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eaho\My project\My_investment\"/>
    </mc:Choice>
  </mc:AlternateContent>
  <xr:revisionPtr revIDLastSave="0" documentId="13_ncr:1_{26F2C887-B6B1-49F2-9571-0B4D37F2B8F9}" xr6:coauthVersionLast="47" xr6:coauthVersionMax="47" xr10:uidLastSave="{00000000-0000-0000-0000-000000000000}"/>
  <bookViews>
    <workbookView xWindow="-98" yWindow="-98" windowWidth="28996" windowHeight="15796" xr2:uid="{00000000-000D-0000-FFFF-FFFF00000000}"/>
  </bookViews>
  <sheets>
    <sheet name="계좌현황" sheetId="1" r:id="rId1"/>
    <sheet name="금액순" sheetId="2" r:id="rId2"/>
    <sheet name="IMPORTXML함수" sheetId="3" state="hidden" r:id="rId3"/>
    <sheet name="올해수익률 계산시트" sheetId="4" state="hidden" r:id="rId4"/>
    <sheet name="8.거래내역" sheetId="5" state="hidden" r:id="rId5"/>
    <sheet name="인덱스" sheetId="6" state="hidden" r:id="rId6"/>
    <sheet name="지수RAW" sheetId="7" state="hidden" r:id="rId7"/>
    <sheet name="드롭박스" sheetId="8" state="hidden" r:id="rId8"/>
    <sheet name="월별배당" sheetId="9" r:id="rId9"/>
  </sheets>
  <definedNames>
    <definedName name="_xlnm._FilterDatabase" localSheetId="1" hidden="1">금액순!$A$20:$I$95</definedName>
    <definedName name="_xlnm._FilterDatabase" localSheetId="8" hidden="1">월별배당!$A$43:$H$347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9" l="1"/>
  <c r="C20" i="9"/>
  <c r="B20" i="9"/>
  <c r="AR3182" i="7"/>
  <c r="AP3182" i="7" s="1"/>
  <c r="AQ3182" i="7"/>
  <c r="AJ3182" i="7"/>
  <c r="AI3182" i="7"/>
  <c r="AH3182" i="7" s="1"/>
  <c r="AB3182" i="7"/>
  <c r="Z3182" i="7" s="1"/>
  <c r="AA3182" i="7"/>
  <c r="T3182" i="7"/>
  <c r="S3182" i="7"/>
  <c r="R3182" i="7" s="1"/>
  <c r="L3182" i="7"/>
  <c r="J3182" i="7" s="1"/>
  <c r="K3182" i="7"/>
  <c r="D3182" i="7"/>
  <c r="C3182" i="7"/>
  <c r="B3182" i="7" s="1"/>
  <c r="AR3181" i="7"/>
  <c r="AQ3181" i="7"/>
  <c r="AP3181" i="7"/>
  <c r="AJ3181" i="7"/>
  <c r="AI3181" i="7"/>
  <c r="AH3181" i="7" s="1"/>
  <c r="AB3181" i="7"/>
  <c r="AA3181" i="7"/>
  <c r="Z3181" i="7"/>
  <c r="T3181" i="7"/>
  <c r="S3181" i="7"/>
  <c r="R3181" i="7" s="1"/>
  <c r="L3181" i="7"/>
  <c r="J3181" i="7" s="1"/>
  <c r="K3181" i="7"/>
  <c r="D3181" i="7"/>
  <c r="C3181" i="7"/>
  <c r="B3181" i="7" s="1"/>
  <c r="AR3180" i="7"/>
  <c r="AQ3180" i="7"/>
  <c r="AP3180" i="7"/>
  <c r="AJ3180" i="7"/>
  <c r="AI3180" i="7"/>
  <c r="AH3180" i="7" s="1"/>
  <c r="AB3180" i="7"/>
  <c r="Z3180" i="7" s="1"/>
  <c r="AA3180" i="7"/>
  <c r="T3180" i="7"/>
  <c r="S3180" i="7"/>
  <c r="R3180" i="7" s="1"/>
  <c r="L3180" i="7"/>
  <c r="J3180" i="7" s="1"/>
  <c r="K3180" i="7"/>
  <c r="D3180" i="7"/>
  <c r="C3180" i="7"/>
  <c r="B3180" i="7" s="1"/>
  <c r="AR3179" i="7"/>
  <c r="AQ3179" i="7"/>
  <c r="AP3179" i="7"/>
  <c r="AJ3179" i="7"/>
  <c r="AI3179" i="7"/>
  <c r="AH3179" i="7" s="1"/>
  <c r="AB3179" i="7"/>
  <c r="AA3179" i="7"/>
  <c r="Z3179" i="7"/>
  <c r="T3179" i="7"/>
  <c r="S3179" i="7"/>
  <c r="R3179" i="7" s="1"/>
  <c r="L3179" i="7"/>
  <c r="J3179" i="7" s="1"/>
  <c r="K3179" i="7"/>
  <c r="D3179" i="7"/>
  <c r="C3179" i="7"/>
  <c r="B3179" i="7" s="1"/>
  <c r="AR3178" i="7"/>
  <c r="AQ3178" i="7"/>
  <c r="AP3178" i="7"/>
  <c r="AJ3178" i="7"/>
  <c r="AI3178" i="7"/>
  <c r="AH3178" i="7" s="1"/>
  <c r="AB3178" i="7"/>
  <c r="Z3178" i="7" s="1"/>
  <c r="AA3178" i="7"/>
  <c r="T3178" i="7"/>
  <c r="S3178" i="7"/>
  <c r="R3178" i="7" s="1"/>
  <c r="L3178" i="7"/>
  <c r="J3178" i="7" s="1"/>
  <c r="K3178" i="7"/>
  <c r="D3178" i="7"/>
  <c r="C3178" i="7"/>
  <c r="B3178" i="7" s="1"/>
  <c r="AR3177" i="7"/>
  <c r="AQ3177" i="7"/>
  <c r="AP3177" i="7"/>
  <c r="AJ3177" i="7"/>
  <c r="AI3177" i="7"/>
  <c r="AH3177" i="7" s="1"/>
  <c r="AB3177" i="7"/>
  <c r="Z3177" i="7" s="1"/>
  <c r="AA3177" i="7"/>
  <c r="T3177" i="7"/>
  <c r="S3177" i="7"/>
  <c r="R3177" i="7" s="1"/>
  <c r="L3177" i="7"/>
  <c r="J3177" i="7" s="1"/>
  <c r="K3177" i="7"/>
  <c r="D3177" i="7"/>
  <c r="C3177" i="7"/>
  <c r="B3177" i="7" s="1"/>
  <c r="AR3176" i="7"/>
  <c r="AQ3176" i="7"/>
  <c r="AP3176" i="7"/>
  <c r="AJ3176" i="7"/>
  <c r="AI3176" i="7"/>
  <c r="AH3176" i="7" s="1"/>
  <c r="AB3176" i="7"/>
  <c r="Z3176" i="7" s="1"/>
  <c r="AA3176" i="7"/>
  <c r="T3176" i="7"/>
  <c r="S3176" i="7"/>
  <c r="R3176" i="7" s="1"/>
  <c r="L3176" i="7"/>
  <c r="J3176" i="7" s="1"/>
  <c r="K3176" i="7"/>
  <c r="D3176" i="7"/>
  <c r="C3176" i="7"/>
  <c r="B3176" i="7" s="1"/>
  <c r="AR3175" i="7"/>
  <c r="AQ3175" i="7"/>
  <c r="AP3175" i="7"/>
  <c r="AJ3175" i="7"/>
  <c r="AI3175" i="7"/>
  <c r="AH3175" i="7" s="1"/>
  <c r="AB3175" i="7"/>
  <c r="Z3175" i="7" s="1"/>
  <c r="AA3175" i="7"/>
  <c r="T3175" i="7"/>
  <c r="S3175" i="7"/>
  <c r="R3175" i="7" s="1"/>
  <c r="L3175" i="7"/>
  <c r="J3175" i="7" s="1"/>
  <c r="K3175" i="7"/>
  <c r="D3175" i="7"/>
  <c r="C3175" i="7"/>
  <c r="B3175" i="7" s="1"/>
  <c r="AR3174" i="7"/>
  <c r="AQ3174" i="7"/>
  <c r="AP3174" i="7"/>
  <c r="AJ3174" i="7"/>
  <c r="AI3174" i="7"/>
  <c r="AH3174" i="7" s="1"/>
  <c r="AB3174" i="7"/>
  <c r="Z3174" i="7" s="1"/>
  <c r="AA3174" i="7"/>
  <c r="T3174" i="7"/>
  <c r="S3174" i="7"/>
  <c r="R3174" i="7" s="1"/>
  <c r="L3174" i="7"/>
  <c r="J3174" i="7" s="1"/>
  <c r="K3174" i="7"/>
  <c r="D3174" i="7"/>
  <c r="C3174" i="7"/>
  <c r="B3174" i="7" s="1"/>
  <c r="AR3173" i="7"/>
  <c r="AQ3173" i="7"/>
  <c r="AP3173" i="7"/>
  <c r="AJ3173" i="7"/>
  <c r="AI3173" i="7"/>
  <c r="AH3173" i="7" s="1"/>
  <c r="AB3173" i="7"/>
  <c r="Z3173" i="7" s="1"/>
  <c r="AA3173" i="7"/>
  <c r="T3173" i="7"/>
  <c r="S3173" i="7"/>
  <c r="R3173" i="7" s="1"/>
  <c r="L3173" i="7"/>
  <c r="J3173" i="7" s="1"/>
  <c r="K3173" i="7"/>
  <c r="D3173" i="7"/>
  <c r="C3173" i="7"/>
  <c r="B3173" i="7" s="1"/>
  <c r="AR3172" i="7"/>
  <c r="AQ3172" i="7"/>
  <c r="AP3172" i="7"/>
  <c r="AJ3172" i="7"/>
  <c r="AI3172" i="7"/>
  <c r="AH3172" i="7" s="1"/>
  <c r="AB3172" i="7"/>
  <c r="Z3172" i="7" s="1"/>
  <c r="AA3172" i="7"/>
  <c r="T3172" i="7"/>
  <c r="S3172" i="7"/>
  <c r="R3172" i="7" s="1"/>
  <c r="L3172" i="7"/>
  <c r="J3172" i="7" s="1"/>
  <c r="K3172" i="7"/>
  <c r="D3172" i="7"/>
  <c r="C3172" i="7"/>
  <c r="B3172" i="7" s="1"/>
  <c r="AR3171" i="7"/>
  <c r="AQ3171" i="7"/>
  <c r="AP3171" i="7"/>
  <c r="AJ3171" i="7"/>
  <c r="AI3171" i="7"/>
  <c r="AH3171" i="7" s="1"/>
  <c r="AB3171" i="7"/>
  <c r="Z3171" i="7" s="1"/>
  <c r="AA3171" i="7"/>
  <c r="T3171" i="7"/>
  <c r="S3171" i="7"/>
  <c r="R3171" i="7" s="1"/>
  <c r="L3171" i="7"/>
  <c r="J3171" i="7" s="1"/>
  <c r="K3171" i="7"/>
  <c r="D3171" i="7"/>
  <c r="C3171" i="7"/>
  <c r="B3171" i="7" s="1"/>
  <c r="AR3170" i="7"/>
  <c r="AQ3170" i="7"/>
  <c r="AP3170" i="7"/>
  <c r="AJ3170" i="7"/>
  <c r="AI3170" i="7"/>
  <c r="AH3170" i="7" s="1"/>
  <c r="AB3170" i="7"/>
  <c r="Z3170" i="7" s="1"/>
  <c r="AA3170" i="7"/>
  <c r="T3170" i="7"/>
  <c r="S3170" i="7"/>
  <c r="R3170" i="7" s="1"/>
  <c r="L3170" i="7"/>
  <c r="J3170" i="7" s="1"/>
  <c r="K3170" i="7"/>
  <c r="D3170" i="7"/>
  <c r="C3170" i="7"/>
  <c r="B3170" i="7" s="1"/>
  <c r="AR3169" i="7"/>
  <c r="AQ3169" i="7"/>
  <c r="AP3169" i="7"/>
  <c r="AJ3169" i="7"/>
  <c r="AI3169" i="7"/>
  <c r="AH3169" i="7" s="1"/>
  <c r="AB3169" i="7"/>
  <c r="Z3169" i="7" s="1"/>
  <c r="AA3169" i="7"/>
  <c r="T3169" i="7"/>
  <c r="S3169" i="7"/>
  <c r="R3169" i="7" s="1"/>
  <c r="L3169" i="7"/>
  <c r="J3169" i="7" s="1"/>
  <c r="K3169" i="7"/>
  <c r="D3169" i="7"/>
  <c r="C3169" i="7"/>
  <c r="B3169" i="7" s="1"/>
  <c r="AR3168" i="7"/>
  <c r="AQ3168" i="7"/>
  <c r="AP3168" i="7"/>
  <c r="AJ3168" i="7"/>
  <c r="AI3168" i="7"/>
  <c r="AH3168" i="7" s="1"/>
  <c r="AB3168" i="7"/>
  <c r="Z3168" i="7" s="1"/>
  <c r="AA3168" i="7"/>
  <c r="T3168" i="7"/>
  <c r="S3168" i="7"/>
  <c r="R3168" i="7" s="1"/>
  <c r="L3168" i="7"/>
  <c r="J3168" i="7" s="1"/>
  <c r="K3168" i="7"/>
  <c r="D3168" i="7"/>
  <c r="C3168" i="7"/>
  <c r="B3168" i="7" s="1"/>
  <c r="AR3167" i="7"/>
  <c r="AQ3167" i="7"/>
  <c r="AP3167" i="7"/>
  <c r="AJ3167" i="7"/>
  <c r="AI3167" i="7"/>
  <c r="AH3167" i="7" s="1"/>
  <c r="AB3167" i="7"/>
  <c r="Z3167" i="7" s="1"/>
  <c r="AA3167" i="7"/>
  <c r="T3167" i="7"/>
  <c r="S3167" i="7"/>
  <c r="R3167" i="7" s="1"/>
  <c r="L3167" i="7"/>
  <c r="J3167" i="7" s="1"/>
  <c r="K3167" i="7"/>
  <c r="D3167" i="7"/>
  <c r="C3167" i="7"/>
  <c r="B3167" i="7" s="1"/>
  <c r="AR3166" i="7"/>
  <c r="AQ3166" i="7"/>
  <c r="AP3166" i="7"/>
  <c r="AJ3166" i="7"/>
  <c r="AI3166" i="7"/>
  <c r="AH3166" i="7" s="1"/>
  <c r="AB3166" i="7"/>
  <c r="Z3166" i="7" s="1"/>
  <c r="AA3166" i="7"/>
  <c r="T3166" i="7"/>
  <c r="S3166" i="7"/>
  <c r="R3166" i="7" s="1"/>
  <c r="L3166" i="7"/>
  <c r="J3166" i="7" s="1"/>
  <c r="K3166" i="7"/>
  <c r="D3166" i="7"/>
  <c r="C3166" i="7"/>
  <c r="B3166" i="7" s="1"/>
  <c r="AR3165" i="7"/>
  <c r="AQ3165" i="7"/>
  <c r="AP3165" i="7"/>
  <c r="AJ3165" i="7"/>
  <c r="AI3165" i="7"/>
  <c r="AH3165" i="7" s="1"/>
  <c r="AB3165" i="7"/>
  <c r="Z3165" i="7" s="1"/>
  <c r="AA3165" i="7"/>
  <c r="T3165" i="7"/>
  <c r="S3165" i="7"/>
  <c r="R3165" i="7" s="1"/>
  <c r="L3165" i="7"/>
  <c r="J3165" i="7" s="1"/>
  <c r="K3165" i="7"/>
  <c r="D3165" i="7"/>
  <c r="C3165" i="7"/>
  <c r="B3165" i="7" s="1"/>
  <c r="AR3164" i="7"/>
  <c r="AQ3164" i="7"/>
  <c r="AP3164" i="7"/>
  <c r="AJ3164" i="7"/>
  <c r="AI3164" i="7"/>
  <c r="AH3164" i="7" s="1"/>
  <c r="AB3164" i="7"/>
  <c r="Z3164" i="7" s="1"/>
  <c r="AA3164" i="7"/>
  <c r="T3164" i="7"/>
  <c r="S3164" i="7"/>
  <c r="R3164" i="7" s="1"/>
  <c r="L3164" i="7"/>
  <c r="J3164" i="7" s="1"/>
  <c r="K3164" i="7"/>
  <c r="D3164" i="7"/>
  <c r="C3164" i="7"/>
  <c r="B3164" i="7" s="1"/>
  <c r="AR3163" i="7"/>
  <c r="AQ3163" i="7"/>
  <c r="AP3163" i="7"/>
  <c r="AJ3163" i="7"/>
  <c r="AI3163" i="7"/>
  <c r="AH3163" i="7" s="1"/>
  <c r="AB3163" i="7"/>
  <c r="Z3163" i="7" s="1"/>
  <c r="AA3163" i="7"/>
  <c r="T3163" i="7"/>
  <c r="S3163" i="7"/>
  <c r="R3163" i="7" s="1"/>
  <c r="L3163" i="7"/>
  <c r="J3163" i="7" s="1"/>
  <c r="K3163" i="7"/>
  <c r="D3163" i="7"/>
  <c r="C3163" i="7"/>
  <c r="B3163" i="7" s="1"/>
  <c r="AR3162" i="7"/>
  <c r="AQ3162" i="7"/>
  <c r="AP3162" i="7"/>
  <c r="AJ3162" i="7"/>
  <c r="AI3162" i="7"/>
  <c r="AH3162" i="7" s="1"/>
  <c r="AB3162" i="7"/>
  <c r="Z3162" i="7" s="1"/>
  <c r="AA3162" i="7"/>
  <c r="T3162" i="7"/>
  <c r="S3162" i="7"/>
  <c r="R3162" i="7" s="1"/>
  <c r="L3162" i="7"/>
  <c r="J3162" i="7" s="1"/>
  <c r="K3162" i="7"/>
  <c r="D3162" i="7"/>
  <c r="C3162" i="7"/>
  <c r="B3162" i="7" s="1"/>
  <c r="AR3161" i="7"/>
  <c r="AQ3161" i="7"/>
  <c r="AP3161" i="7"/>
  <c r="AJ3161" i="7"/>
  <c r="AI3161" i="7"/>
  <c r="AH3161" i="7" s="1"/>
  <c r="AB3161" i="7"/>
  <c r="Z3161" i="7" s="1"/>
  <c r="AA3161" i="7"/>
  <c r="T3161" i="7"/>
  <c r="S3161" i="7"/>
  <c r="L3161" i="7"/>
  <c r="J3161" i="7" s="1"/>
  <c r="K3161" i="7"/>
  <c r="D3161" i="7"/>
  <c r="C3161" i="7"/>
  <c r="B3161" i="7" s="1"/>
  <c r="AR3160" i="7"/>
  <c r="AQ3160" i="7"/>
  <c r="AP3160" i="7"/>
  <c r="AJ3160" i="7"/>
  <c r="AI3160" i="7"/>
  <c r="AH3160" i="7" s="1"/>
  <c r="AB3160" i="7"/>
  <c r="Z3160" i="7" s="1"/>
  <c r="AA3160" i="7"/>
  <c r="T3160" i="7"/>
  <c r="S3160" i="7"/>
  <c r="L3160" i="7"/>
  <c r="J3160" i="7" s="1"/>
  <c r="K3160" i="7"/>
  <c r="D3160" i="7"/>
  <c r="C3160" i="7"/>
  <c r="B3160" i="7" s="1"/>
  <c r="AR3159" i="7"/>
  <c r="AQ3159" i="7"/>
  <c r="AP3159" i="7"/>
  <c r="AJ3159" i="7"/>
  <c r="AI3159" i="7"/>
  <c r="AH3159" i="7" s="1"/>
  <c r="AB3159" i="7"/>
  <c r="Z3159" i="7" s="1"/>
  <c r="AA3159" i="7"/>
  <c r="T3159" i="7"/>
  <c r="S3159" i="7"/>
  <c r="L3159" i="7"/>
  <c r="J3159" i="7" s="1"/>
  <c r="K3159" i="7"/>
  <c r="D3159" i="7"/>
  <c r="C3159" i="7"/>
  <c r="B3159" i="7" s="1"/>
  <c r="AR3158" i="7"/>
  <c r="AQ3158" i="7"/>
  <c r="AP3158" i="7"/>
  <c r="AJ3158" i="7"/>
  <c r="AI3158" i="7"/>
  <c r="AH3158" i="7" s="1"/>
  <c r="AB3158" i="7"/>
  <c r="Z3158" i="7" s="1"/>
  <c r="AA3158" i="7"/>
  <c r="T3158" i="7"/>
  <c r="S3158" i="7"/>
  <c r="L3158" i="7"/>
  <c r="J3158" i="7" s="1"/>
  <c r="K3158" i="7"/>
  <c r="D3158" i="7"/>
  <c r="C3158" i="7"/>
  <c r="B3158" i="7" s="1"/>
  <c r="AR3157" i="7"/>
  <c r="AQ3157" i="7"/>
  <c r="AP3157" i="7"/>
  <c r="AJ3157" i="7"/>
  <c r="AI3157" i="7"/>
  <c r="AH3157" i="7" s="1"/>
  <c r="AB3157" i="7"/>
  <c r="Z3157" i="7" s="1"/>
  <c r="AA3157" i="7"/>
  <c r="T3157" i="7"/>
  <c r="S3157" i="7"/>
  <c r="L3157" i="7"/>
  <c r="J3157" i="7" s="1"/>
  <c r="K3157" i="7"/>
  <c r="D3157" i="7"/>
  <c r="C3157" i="7"/>
  <c r="B3157" i="7" s="1"/>
  <c r="AR3156" i="7"/>
  <c r="AQ3156" i="7"/>
  <c r="AP3156" i="7"/>
  <c r="AJ3156" i="7"/>
  <c r="AI3156" i="7"/>
  <c r="AH3156" i="7" s="1"/>
  <c r="AB3156" i="7"/>
  <c r="Z3156" i="7" s="1"/>
  <c r="AA3156" i="7"/>
  <c r="T3156" i="7"/>
  <c r="S3156" i="7"/>
  <c r="L3156" i="7"/>
  <c r="J3156" i="7" s="1"/>
  <c r="K3156" i="7"/>
  <c r="D3156" i="7"/>
  <c r="C3156" i="7"/>
  <c r="B3156" i="7" s="1"/>
  <c r="AR3155" i="7"/>
  <c r="AQ3155" i="7"/>
  <c r="AP3155" i="7"/>
  <c r="AJ3155" i="7"/>
  <c r="AI3155" i="7"/>
  <c r="AH3155" i="7" s="1"/>
  <c r="AB3155" i="7"/>
  <c r="Z3155" i="7" s="1"/>
  <c r="AA3155" i="7"/>
  <c r="T3155" i="7"/>
  <c r="S3155" i="7"/>
  <c r="L3155" i="7"/>
  <c r="J3155" i="7" s="1"/>
  <c r="K3155" i="7"/>
  <c r="D3155" i="7"/>
  <c r="C3155" i="7"/>
  <c r="B3155" i="7" s="1"/>
  <c r="AR3154" i="7"/>
  <c r="AQ3154" i="7"/>
  <c r="AP3154" i="7"/>
  <c r="AJ3154" i="7"/>
  <c r="AI3154" i="7"/>
  <c r="AH3154" i="7" s="1"/>
  <c r="AB3154" i="7"/>
  <c r="Z3154" i="7" s="1"/>
  <c r="AA3154" i="7"/>
  <c r="T3154" i="7"/>
  <c r="R3154" i="7" s="1"/>
  <c r="S3154" i="7"/>
  <c r="L3154" i="7"/>
  <c r="J3154" i="7" s="1"/>
  <c r="K3154" i="7"/>
  <c r="D3154" i="7"/>
  <c r="B3154" i="7" s="1"/>
  <c r="C3154" i="7"/>
  <c r="AR3153" i="7"/>
  <c r="AP3153" i="7" s="1"/>
  <c r="AQ3153" i="7"/>
  <c r="AJ3153" i="7"/>
  <c r="AH3153" i="7" s="1"/>
  <c r="AI3153" i="7"/>
  <c r="AB3153" i="7"/>
  <c r="Z3153" i="7" s="1"/>
  <c r="AA3153" i="7"/>
  <c r="T3153" i="7"/>
  <c r="R3153" i="7" s="1"/>
  <c r="S3153" i="7"/>
  <c r="L3153" i="7"/>
  <c r="J3153" i="7" s="1"/>
  <c r="K3153" i="7"/>
  <c r="D3153" i="7"/>
  <c r="B3153" i="7" s="1"/>
  <c r="C3153" i="7"/>
  <c r="AR3152" i="7"/>
  <c r="AP3152" i="7" s="1"/>
  <c r="AQ3152" i="7"/>
  <c r="AJ3152" i="7"/>
  <c r="AH3152" i="7" s="1"/>
  <c r="AI3152" i="7"/>
  <c r="AB3152" i="7"/>
  <c r="Z3152" i="7" s="1"/>
  <c r="AA3152" i="7"/>
  <c r="T3152" i="7"/>
  <c r="R3152" i="7" s="1"/>
  <c r="S3152" i="7"/>
  <c r="L3152" i="7"/>
  <c r="J3152" i="7" s="1"/>
  <c r="K3152" i="7"/>
  <c r="D3152" i="7"/>
  <c r="B3152" i="7" s="1"/>
  <c r="C3152" i="7"/>
  <c r="AR3151" i="7"/>
  <c r="AP3151" i="7" s="1"/>
  <c r="AQ3151" i="7"/>
  <c r="AJ3151" i="7"/>
  <c r="AH3151" i="7" s="1"/>
  <c r="AI3151" i="7"/>
  <c r="AB3151" i="7"/>
  <c r="Z3151" i="7" s="1"/>
  <c r="AA3151" i="7"/>
  <c r="T3151" i="7"/>
  <c r="R3151" i="7" s="1"/>
  <c r="S3151" i="7"/>
  <c r="L3151" i="7"/>
  <c r="J3151" i="7" s="1"/>
  <c r="K3151" i="7"/>
  <c r="D3151" i="7"/>
  <c r="B3151" i="7" s="1"/>
  <c r="C3151" i="7"/>
  <c r="AR3150" i="7"/>
  <c r="AP3150" i="7" s="1"/>
  <c r="AQ3150" i="7"/>
  <c r="AJ3150" i="7"/>
  <c r="AH3150" i="7" s="1"/>
  <c r="AI3150" i="7"/>
  <c r="AB3150" i="7"/>
  <c r="Z3150" i="7" s="1"/>
  <c r="AA3150" i="7"/>
  <c r="T3150" i="7"/>
  <c r="R3150" i="7" s="1"/>
  <c r="S3150" i="7"/>
  <c r="L3150" i="7"/>
  <c r="J3150" i="7" s="1"/>
  <c r="K3150" i="7"/>
  <c r="D3150" i="7"/>
  <c r="B3150" i="7" s="1"/>
  <c r="C3150" i="7"/>
  <c r="AR3149" i="7"/>
  <c r="AP3149" i="7" s="1"/>
  <c r="AQ3149" i="7"/>
  <c r="AJ3149" i="7"/>
  <c r="AH3149" i="7" s="1"/>
  <c r="AI3149" i="7"/>
  <c r="AB3149" i="7"/>
  <c r="Z3149" i="7" s="1"/>
  <c r="AA3149" i="7"/>
  <c r="T3149" i="7"/>
  <c r="S3149" i="7"/>
  <c r="R3149" i="7" s="1"/>
  <c r="L3149" i="7"/>
  <c r="J3149" i="7" s="1"/>
  <c r="K3149" i="7"/>
  <c r="D3149" i="7"/>
  <c r="C3149" i="7"/>
  <c r="B3149" i="7" s="1"/>
  <c r="AR3148" i="7"/>
  <c r="AP3148" i="7" s="1"/>
  <c r="AQ3148" i="7"/>
  <c r="AJ3148" i="7"/>
  <c r="AI3148" i="7"/>
  <c r="AB3148" i="7"/>
  <c r="Z3148" i="7" s="1"/>
  <c r="AA3148" i="7"/>
  <c r="T3148" i="7"/>
  <c r="S3148" i="7"/>
  <c r="R3148" i="7" s="1"/>
  <c r="L3148" i="7"/>
  <c r="J3148" i="7" s="1"/>
  <c r="K3148" i="7"/>
  <c r="D3148" i="7"/>
  <c r="C3148" i="7"/>
  <c r="AR3147" i="7"/>
  <c r="AP3147" i="7" s="1"/>
  <c r="AQ3147" i="7"/>
  <c r="AJ3147" i="7"/>
  <c r="AI3147" i="7"/>
  <c r="AB3147" i="7"/>
  <c r="Z3147" i="7" s="1"/>
  <c r="AA3147" i="7"/>
  <c r="T3147" i="7"/>
  <c r="S3147" i="7"/>
  <c r="R3147" i="7" s="1"/>
  <c r="L3147" i="7"/>
  <c r="J3147" i="7" s="1"/>
  <c r="K3147" i="7"/>
  <c r="D3147" i="7"/>
  <c r="C3147" i="7"/>
  <c r="AR3146" i="7"/>
  <c r="AP3146" i="7" s="1"/>
  <c r="AQ3146" i="7"/>
  <c r="AJ3146" i="7"/>
  <c r="AI3146" i="7"/>
  <c r="AB3146" i="7"/>
  <c r="Z3146" i="7" s="1"/>
  <c r="AA3146" i="7"/>
  <c r="T3146" i="7"/>
  <c r="S3146" i="7"/>
  <c r="R3146" i="7" s="1"/>
  <c r="L3146" i="7"/>
  <c r="J3146" i="7" s="1"/>
  <c r="K3146" i="7"/>
  <c r="D3146" i="7"/>
  <c r="C3146" i="7"/>
  <c r="AR3145" i="7"/>
  <c r="AP3145" i="7" s="1"/>
  <c r="AQ3145" i="7"/>
  <c r="AJ3145" i="7"/>
  <c r="AI3145" i="7"/>
  <c r="AB3145" i="7"/>
  <c r="AA3145" i="7"/>
  <c r="T3145" i="7"/>
  <c r="S3145" i="7"/>
  <c r="R3145" i="7" s="1"/>
  <c r="L3145" i="7"/>
  <c r="K3145" i="7"/>
  <c r="D3145" i="7"/>
  <c r="C3145" i="7"/>
  <c r="AR3144" i="7"/>
  <c r="AQ3144" i="7"/>
  <c r="AP3144" i="7" s="1"/>
  <c r="AJ3144" i="7"/>
  <c r="AI3144" i="7"/>
  <c r="AB3144" i="7"/>
  <c r="AA3144" i="7"/>
  <c r="T3144" i="7"/>
  <c r="S3144" i="7"/>
  <c r="R3144" i="7" s="1"/>
  <c r="L3144" i="7"/>
  <c r="K3144" i="7"/>
  <c r="D3144" i="7"/>
  <c r="C3144" i="7"/>
  <c r="AR3143" i="7"/>
  <c r="AQ3143" i="7"/>
  <c r="AP3143" i="7" s="1"/>
  <c r="AJ3143" i="7"/>
  <c r="AI3143" i="7"/>
  <c r="AB3143" i="7"/>
  <c r="AA3143" i="7"/>
  <c r="T3143" i="7"/>
  <c r="S3143" i="7"/>
  <c r="R3143" i="7" s="1"/>
  <c r="L3143" i="7"/>
  <c r="K3143" i="7"/>
  <c r="D3143" i="7"/>
  <c r="C3143" i="7"/>
  <c r="AR3142" i="7"/>
  <c r="AQ3142" i="7"/>
  <c r="AP3142" i="7" s="1"/>
  <c r="AJ3142" i="7"/>
  <c r="AI3142" i="7"/>
  <c r="AB3142" i="7"/>
  <c r="AA3142" i="7"/>
  <c r="T3142" i="7"/>
  <c r="S3142" i="7"/>
  <c r="R3142" i="7" s="1"/>
  <c r="L3142" i="7"/>
  <c r="K3142" i="7"/>
  <c r="D3142" i="7"/>
  <c r="C3142" i="7"/>
  <c r="AR3141" i="7"/>
  <c r="AQ3141" i="7"/>
  <c r="AP3141" i="7" s="1"/>
  <c r="AJ3141" i="7"/>
  <c r="AI3141" i="7"/>
  <c r="AB3141" i="7"/>
  <c r="AA3141" i="7"/>
  <c r="T3141" i="7"/>
  <c r="S3141" i="7"/>
  <c r="R3141" i="7" s="1"/>
  <c r="L3141" i="7"/>
  <c r="K3141" i="7"/>
  <c r="D3141" i="7"/>
  <c r="C3141" i="7"/>
  <c r="AR3140" i="7"/>
  <c r="AQ3140" i="7"/>
  <c r="AP3140" i="7" s="1"/>
  <c r="AJ3140" i="7"/>
  <c r="AI3140" i="7"/>
  <c r="AB3140" i="7"/>
  <c r="AA3140" i="7"/>
  <c r="T3140" i="7"/>
  <c r="S3140" i="7"/>
  <c r="R3140" i="7" s="1"/>
  <c r="L3140" i="7"/>
  <c r="K3140" i="7"/>
  <c r="D3140" i="7"/>
  <c r="C3140" i="7"/>
  <c r="AR3139" i="7"/>
  <c r="AQ3139" i="7"/>
  <c r="AP3139" i="7" s="1"/>
  <c r="AJ3139" i="7"/>
  <c r="AI3139" i="7"/>
  <c r="AB3139" i="7"/>
  <c r="AA3139" i="7"/>
  <c r="T3139" i="7"/>
  <c r="S3139" i="7"/>
  <c r="R3139" i="7" s="1"/>
  <c r="L3139" i="7"/>
  <c r="K3139" i="7"/>
  <c r="D3139" i="7"/>
  <c r="C3139" i="7"/>
  <c r="AR3138" i="7"/>
  <c r="AQ3138" i="7"/>
  <c r="AP3138" i="7" s="1"/>
  <c r="AJ3138" i="7"/>
  <c r="AI3138" i="7"/>
  <c r="AB3138" i="7"/>
  <c r="AA3138" i="7"/>
  <c r="T3138" i="7"/>
  <c r="S3138" i="7"/>
  <c r="R3138" i="7" s="1"/>
  <c r="L3138" i="7"/>
  <c r="K3138" i="7"/>
  <c r="D3138" i="7"/>
  <c r="C3138" i="7"/>
  <c r="AR3137" i="7"/>
  <c r="AQ3137" i="7"/>
  <c r="AP3137" i="7" s="1"/>
  <c r="AJ3137" i="7"/>
  <c r="AI3137" i="7"/>
  <c r="AB3137" i="7"/>
  <c r="AA3137" i="7"/>
  <c r="T3137" i="7"/>
  <c r="S3137" i="7"/>
  <c r="R3137" i="7" s="1"/>
  <c r="L3137" i="7"/>
  <c r="K3137" i="7"/>
  <c r="D3137" i="7"/>
  <c r="C3137" i="7"/>
  <c r="AR3136" i="7"/>
  <c r="AQ3136" i="7"/>
  <c r="AP3136" i="7" s="1"/>
  <c r="AJ3136" i="7"/>
  <c r="AI3136" i="7"/>
  <c r="AB3136" i="7"/>
  <c r="AA3136" i="7"/>
  <c r="T3136" i="7"/>
  <c r="S3136" i="7"/>
  <c r="R3136" i="7" s="1"/>
  <c r="L3136" i="7"/>
  <c r="K3136" i="7"/>
  <c r="D3136" i="7"/>
  <c r="C3136" i="7"/>
  <c r="AR3135" i="7"/>
  <c r="AQ3135" i="7"/>
  <c r="AP3135" i="7" s="1"/>
  <c r="AJ3135" i="7"/>
  <c r="AI3135" i="7"/>
  <c r="AB3135" i="7"/>
  <c r="AA3135" i="7"/>
  <c r="T3135" i="7"/>
  <c r="S3135" i="7"/>
  <c r="R3135" i="7" s="1"/>
  <c r="L3135" i="7"/>
  <c r="K3135" i="7"/>
  <c r="D3135" i="7"/>
  <c r="C3135" i="7"/>
  <c r="AR3134" i="7"/>
  <c r="AQ3134" i="7"/>
  <c r="AP3134" i="7" s="1"/>
  <c r="AJ3134" i="7"/>
  <c r="AI3134" i="7"/>
  <c r="AB3134" i="7"/>
  <c r="AA3134" i="7"/>
  <c r="T3134" i="7"/>
  <c r="S3134" i="7"/>
  <c r="R3134" i="7" s="1"/>
  <c r="L3134" i="7"/>
  <c r="K3134" i="7"/>
  <c r="D3134" i="7"/>
  <c r="C3134" i="7"/>
  <c r="AR3133" i="7"/>
  <c r="AQ3133" i="7"/>
  <c r="AP3133" i="7" s="1"/>
  <c r="AJ3133" i="7"/>
  <c r="AI3133" i="7"/>
  <c r="AB3133" i="7"/>
  <c r="AA3133" i="7"/>
  <c r="T3133" i="7"/>
  <c r="S3133" i="7"/>
  <c r="R3133" i="7" s="1"/>
  <c r="L3133" i="7"/>
  <c r="K3133" i="7"/>
  <c r="D3133" i="7"/>
  <c r="C3133" i="7"/>
  <c r="AR3132" i="7"/>
  <c r="AQ3132" i="7"/>
  <c r="AP3132" i="7" s="1"/>
  <c r="AJ3132" i="7"/>
  <c r="AI3132" i="7"/>
  <c r="AB3132" i="7"/>
  <c r="AA3132" i="7"/>
  <c r="T3132" i="7"/>
  <c r="S3132" i="7"/>
  <c r="R3132" i="7" s="1"/>
  <c r="L3132" i="7"/>
  <c r="K3132" i="7"/>
  <c r="D3132" i="7"/>
  <c r="C3132" i="7"/>
  <c r="AR3131" i="7"/>
  <c r="AQ3131" i="7"/>
  <c r="AP3131" i="7" s="1"/>
  <c r="AJ3131" i="7"/>
  <c r="AI3131" i="7"/>
  <c r="AB3131" i="7"/>
  <c r="AA3131" i="7"/>
  <c r="T3131" i="7"/>
  <c r="S3131" i="7"/>
  <c r="R3131" i="7" s="1"/>
  <c r="L3131" i="7"/>
  <c r="K3131" i="7"/>
  <c r="D3131" i="7"/>
  <c r="C3131" i="7"/>
  <c r="AR3130" i="7"/>
  <c r="AQ3130" i="7"/>
  <c r="AP3130" i="7" s="1"/>
  <c r="AJ3130" i="7"/>
  <c r="AI3130" i="7"/>
  <c r="AH3130" i="7" s="1"/>
  <c r="AB3130" i="7"/>
  <c r="AA3130" i="7"/>
  <c r="Z3130" i="7"/>
  <c r="T3130" i="7"/>
  <c r="S3130" i="7"/>
  <c r="R3130" i="7"/>
  <c r="L3130" i="7"/>
  <c r="K3130" i="7"/>
  <c r="J3130" i="7"/>
  <c r="D3130" i="7"/>
  <c r="C3130" i="7"/>
  <c r="B3130" i="7"/>
  <c r="AR3129" i="7"/>
  <c r="AQ3129" i="7"/>
  <c r="AP3129" i="7"/>
  <c r="AJ3129" i="7"/>
  <c r="AI3129" i="7"/>
  <c r="AH3129" i="7"/>
  <c r="AB3129" i="7"/>
  <c r="AA3129" i="7"/>
  <c r="Z3129" i="7"/>
  <c r="T3129" i="7"/>
  <c r="S3129" i="7"/>
  <c r="R3129" i="7"/>
  <c r="L3129" i="7"/>
  <c r="K3129" i="7"/>
  <c r="J3129" i="7"/>
  <c r="D3129" i="7"/>
  <c r="C3129" i="7"/>
  <c r="B3129" i="7"/>
  <c r="AR3128" i="7"/>
  <c r="AQ3128" i="7"/>
  <c r="AP3128" i="7"/>
  <c r="AJ3128" i="7"/>
  <c r="AI3128" i="7"/>
  <c r="AH3128" i="7"/>
  <c r="AB3128" i="7"/>
  <c r="AA3128" i="7"/>
  <c r="Z3128" i="7"/>
  <c r="T3128" i="7"/>
  <c r="S3128" i="7"/>
  <c r="R3128" i="7"/>
  <c r="L3128" i="7"/>
  <c r="K3128" i="7"/>
  <c r="J3128" i="7"/>
  <c r="D3128" i="7"/>
  <c r="C3128" i="7"/>
  <c r="B3128" i="7"/>
  <c r="AR3127" i="7"/>
  <c r="AQ3127" i="7"/>
  <c r="AP3127" i="7"/>
  <c r="AJ3127" i="7"/>
  <c r="AI3127" i="7"/>
  <c r="AH3127" i="7"/>
  <c r="AB3127" i="7"/>
  <c r="AA3127" i="7"/>
  <c r="Z3127" i="7"/>
  <c r="T3127" i="7"/>
  <c r="S3127" i="7"/>
  <c r="R3127" i="7"/>
  <c r="L3127" i="7"/>
  <c r="K3127" i="7"/>
  <c r="J3127" i="7"/>
  <c r="D3127" i="7"/>
  <c r="C3127" i="7"/>
  <c r="B3127" i="7"/>
  <c r="AR3126" i="7"/>
  <c r="AQ3126" i="7"/>
  <c r="AP3126" i="7"/>
  <c r="AJ3126" i="7"/>
  <c r="AI3126" i="7"/>
  <c r="AH3126" i="7"/>
  <c r="AB3126" i="7"/>
  <c r="AA3126" i="7"/>
  <c r="Z3126" i="7"/>
  <c r="T3126" i="7"/>
  <c r="S3126" i="7"/>
  <c r="R3126" i="7"/>
  <c r="L3126" i="7"/>
  <c r="K3126" i="7"/>
  <c r="J3126" i="7"/>
  <c r="D3126" i="7"/>
  <c r="C3126" i="7"/>
  <c r="B3126" i="7"/>
  <c r="AR3125" i="7"/>
  <c r="AQ3125" i="7"/>
  <c r="AP3125" i="7"/>
  <c r="AJ3125" i="7"/>
  <c r="AI3125" i="7"/>
  <c r="AH3125" i="7"/>
  <c r="AB3125" i="7"/>
  <c r="AA3125" i="7"/>
  <c r="Z3125" i="7"/>
  <c r="T3125" i="7"/>
  <c r="S3125" i="7"/>
  <c r="R3125" i="7"/>
  <c r="L3125" i="7"/>
  <c r="K3125" i="7"/>
  <c r="J3125" i="7"/>
  <c r="D3125" i="7"/>
  <c r="C3125" i="7"/>
  <c r="B3125" i="7"/>
  <c r="AR3124" i="7"/>
  <c r="AQ3124" i="7"/>
  <c r="AP3124" i="7"/>
  <c r="AJ3124" i="7"/>
  <c r="AI3124" i="7"/>
  <c r="AH3124" i="7"/>
  <c r="AB3124" i="7"/>
  <c r="AA3124" i="7"/>
  <c r="Z3124" i="7"/>
  <c r="T3124" i="7"/>
  <c r="S3124" i="7"/>
  <c r="R3124" i="7"/>
  <c r="L3124" i="7"/>
  <c r="K3124" i="7"/>
  <c r="J3124" i="7"/>
  <c r="D3124" i="7"/>
  <c r="C3124" i="7"/>
  <c r="B3124" i="7"/>
  <c r="AR3123" i="7"/>
  <c r="AQ3123" i="7"/>
  <c r="AP3123" i="7"/>
  <c r="AJ3123" i="7"/>
  <c r="AI3123" i="7"/>
  <c r="AH3123" i="7"/>
  <c r="AB3123" i="7"/>
  <c r="AA3123" i="7"/>
  <c r="Z3123" i="7"/>
  <c r="T3123" i="7"/>
  <c r="S3123" i="7"/>
  <c r="R3123" i="7"/>
  <c r="L3123" i="7"/>
  <c r="K3123" i="7"/>
  <c r="J3123" i="7"/>
  <c r="D3123" i="7"/>
  <c r="C3123" i="7"/>
  <c r="B3123" i="7"/>
  <c r="AR3122" i="7"/>
  <c r="AQ3122" i="7"/>
  <c r="AP3122" i="7"/>
  <c r="AJ3122" i="7"/>
  <c r="AI3122" i="7"/>
  <c r="AH3122" i="7"/>
  <c r="AB3122" i="7"/>
  <c r="AA3122" i="7"/>
  <c r="Z3122" i="7"/>
  <c r="T3122" i="7"/>
  <c r="S3122" i="7"/>
  <c r="R3122" i="7"/>
  <c r="L3122" i="7"/>
  <c r="K3122" i="7"/>
  <c r="J3122" i="7"/>
  <c r="D3122" i="7"/>
  <c r="C3122" i="7"/>
  <c r="B3122" i="7"/>
  <c r="AR3121" i="7"/>
  <c r="AQ3121" i="7"/>
  <c r="AP3121" i="7"/>
  <c r="AJ3121" i="7"/>
  <c r="AI3121" i="7"/>
  <c r="AH3121" i="7"/>
  <c r="AB3121" i="7"/>
  <c r="AA3121" i="7"/>
  <c r="Z3121" i="7"/>
  <c r="T3121" i="7"/>
  <c r="S3121" i="7"/>
  <c r="R3121" i="7"/>
  <c r="L3121" i="7"/>
  <c r="K3121" i="7"/>
  <c r="J3121" i="7"/>
  <c r="D3121" i="7"/>
  <c r="C3121" i="7"/>
  <c r="B3121" i="7"/>
  <c r="AR3120" i="7"/>
  <c r="AQ3120" i="7"/>
  <c r="AP3120" i="7"/>
  <c r="AJ3120" i="7"/>
  <c r="AI3120" i="7"/>
  <c r="AH3120" i="7"/>
  <c r="AB3120" i="7"/>
  <c r="AA3120" i="7"/>
  <c r="Z3120" i="7"/>
  <c r="T3120" i="7"/>
  <c r="S3120" i="7"/>
  <c r="R3120" i="7"/>
  <c r="L3120" i="7"/>
  <c r="K3120" i="7"/>
  <c r="J3120" i="7"/>
  <c r="D3120" i="7"/>
  <c r="C3120" i="7"/>
  <c r="B3120" i="7"/>
  <c r="AR3119" i="7"/>
  <c r="AQ3119" i="7"/>
  <c r="AP3119" i="7"/>
  <c r="AJ3119" i="7"/>
  <c r="AI3119" i="7"/>
  <c r="AH3119" i="7"/>
  <c r="AB3119" i="7"/>
  <c r="AA3119" i="7"/>
  <c r="Z3119" i="7"/>
  <c r="T3119" i="7"/>
  <c r="S3119" i="7"/>
  <c r="R3119" i="7"/>
  <c r="L3119" i="7"/>
  <c r="K3119" i="7"/>
  <c r="J3119" i="7"/>
  <c r="D3119" i="7"/>
  <c r="C3119" i="7"/>
  <c r="B3119" i="7"/>
  <c r="AR3118" i="7"/>
  <c r="AQ3118" i="7"/>
  <c r="AP3118" i="7"/>
  <c r="AJ3118" i="7"/>
  <c r="AI3118" i="7"/>
  <c r="AH3118" i="7"/>
  <c r="AB3118" i="7"/>
  <c r="AA3118" i="7"/>
  <c r="Z3118" i="7"/>
  <c r="T3118" i="7"/>
  <c r="S3118" i="7"/>
  <c r="R3118" i="7"/>
  <c r="L3118" i="7"/>
  <c r="K3118" i="7"/>
  <c r="J3118" i="7"/>
  <c r="D3118" i="7"/>
  <c r="C3118" i="7"/>
  <c r="B3118" i="7"/>
  <c r="AR3117" i="7"/>
  <c r="AQ3117" i="7"/>
  <c r="AP3117" i="7"/>
  <c r="AJ3117" i="7"/>
  <c r="AI3117" i="7"/>
  <c r="AH3117" i="7"/>
  <c r="AB3117" i="7"/>
  <c r="AA3117" i="7"/>
  <c r="Z3117" i="7"/>
  <c r="T3117" i="7"/>
  <c r="S3117" i="7"/>
  <c r="R3117" i="7"/>
  <c r="L3117" i="7"/>
  <c r="K3117" i="7"/>
  <c r="J3117" i="7"/>
  <c r="D3117" i="7"/>
  <c r="C3117" i="7"/>
  <c r="B3117" i="7"/>
  <c r="AR3116" i="7"/>
  <c r="AQ3116" i="7"/>
  <c r="AP3116" i="7"/>
  <c r="AJ3116" i="7"/>
  <c r="AI3116" i="7"/>
  <c r="AH3116" i="7"/>
  <c r="AB3116" i="7"/>
  <c r="AA3116" i="7"/>
  <c r="Z3116" i="7"/>
  <c r="T3116" i="7"/>
  <c r="S3116" i="7"/>
  <c r="R3116" i="7"/>
  <c r="L3116" i="7"/>
  <c r="K3116" i="7"/>
  <c r="J3116" i="7"/>
  <c r="D3116" i="7"/>
  <c r="C3116" i="7"/>
  <c r="B3116" i="7"/>
  <c r="AR3115" i="7"/>
  <c r="AQ3115" i="7"/>
  <c r="AP3115" i="7"/>
  <c r="AJ3115" i="7"/>
  <c r="AI3115" i="7"/>
  <c r="AH3115" i="7"/>
  <c r="AB3115" i="7"/>
  <c r="AA3115" i="7"/>
  <c r="Z3115" i="7"/>
  <c r="T3115" i="7"/>
  <c r="S3115" i="7"/>
  <c r="R3115" i="7"/>
  <c r="L3115" i="7"/>
  <c r="K3115" i="7"/>
  <c r="J3115" i="7"/>
  <c r="D3115" i="7"/>
  <c r="C3115" i="7"/>
  <c r="B3115" i="7"/>
  <c r="AR3114" i="7"/>
  <c r="AQ3114" i="7"/>
  <c r="AP3114" i="7"/>
  <c r="AL3114" i="7"/>
  <c r="AK3114" i="7"/>
  <c r="AB3114" i="7"/>
  <c r="AA3114" i="7"/>
  <c r="T3114" i="7"/>
  <c r="R3114" i="7" s="1"/>
  <c r="S3114" i="7"/>
  <c r="L3114" i="7"/>
  <c r="K3114" i="7"/>
  <c r="D3114" i="7"/>
  <c r="B3114" i="7" s="1"/>
  <c r="C3114" i="7"/>
  <c r="AR3113" i="7"/>
  <c r="AQ3113" i="7"/>
  <c r="AP3113" i="7" s="1"/>
  <c r="AL3113" i="7"/>
  <c r="AK3113" i="7"/>
  <c r="AJ3113" i="7" s="1"/>
  <c r="AB3113" i="7"/>
  <c r="AA3113" i="7"/>
  <c r="Z3113" i="7" s="1"/>
  <c r="T3113" i="7"/>
  <c r="S3113" i="7"/>
  <c r="R3113" i="7" s="1"/>
  <c r="L3113" i="7"/>
  <c r="K3113" i="7"/>
  <c r="J3113" i="7" s="1"/>
  <c r="D3113" i="7"/>
  <c r="C3113" i="7"/>
  <c r="B3113" i="7" s="1"/>
  <c r="AR3112" i="7"/>
  <c r="AQ3112" i="7"/>
  <c r="AP3112" i="7" s="1"/>
  <c r="AL3112" i="7"/>
  <c r="AK3112" i="7"/>
  <c r="AB3112" i="7"/>
  <c r="AA3112" i="7"/>
  <c r="Z3112" i="7"/>
  <c r="T3112" i="7"/>
  <c r="S3112" i="7"/>
  <c r="R3112" i="7"/>
  <c r="L3112" i="7"/>
  <c r="K3112" i="7"/>
  <c r="J3112" i="7"/>
  <c r="D3112" i="7"/>
  <c r="C3112" i="7"/>
  <c r="B3112" i="7"/>
  <c r="AR3111" i="7"/>
  <c r="AQ3111" i="7"/>
  <c r="AP3111" i="7"/>
  <c r="AL3111" i="7"/>
  <c r="AK3111" i="7"/>
  <c r="AI3111" i="7" s="1"/>
  <c r="AB3111" i="7"/>
  <c r="AA3111" i="7"/>
  <c r="Z3111" i="7" s="1"/>
  <c r="T3111" i="7"/>
  <c r="R3111" i="7" s="1"/>
  <c r="S3111" i="7"/>
  <c r="L3111" i="7"/>
  <c r="K3111" i="7"/>
  <c r="D3111" i="7"/>
  <c r="B3111" i="7" s="1"/>
  <c r="C3111" i="7"/>
  <c r="AR3110" i="7"/>
  <c r="AQ3110" i="7"/>
  <c r="AL3110" i="7"/>
  <c r="AK3110" i="7"/>
  <c r="AB3110" i="7"/>
  <c r="AA3110" i="7"/>
  <c r="Z3110" i="7" s="1"/>
  <c r="T3110" i="7"/>
  <c r="S3110" i="7"/>
  <c r="R3110" i="7" s="1"/>
  <c r="L3110" i="7"/>
  <c r="K3110" i="7"/>
  <c r="J3110" i="7" s="1"/>
  <c r="D3110" i="7"/>
  <c r="C3110" i="7"/>
  <c r="B3110" i="7" s="1"/>
  <c r="AR3109" i="7"/>
  <c r="AQ3109" i="7"/>
  <c r="AP3109" i="7" s="1"/>
  <c r="AL3109" i="7"/>
  <c r="AK3109" i="7"/>
  <c r="AB3109" i="7"/>
  <c r="AA3109" i="7"/>
  <c r="Z3109" i="7"/>
  <c r="T3109" i="7"/>
  <c r="S3109" i="7"/>
  <c r="R3109" i="7"/>
  <c r="L3109" i="7"/>
  <c r="K3109" i="7"/>
  <c r="J3109" i="7"/>
  <c r="D3109" i="7"/>
  <c r="C3109" i="7"/>
  <c r="B3109" i="7"/>
  <c r="AR3108" i="7"/>
  <c r="AQ3108" i="7"/>
  <c r="AP3108" i="7"/>
  <c r="AL3108" i="7"/>
  <c r="AK3108" i="7"/>
  <c r="AB3108" i="7"/>
  <c r="AA3108" i="7"/>
  <c r="T3108" i="7"/>
  <c r="R3108" i="7" s="1"/>
  <c r="S3108" i="7"/>
  <c r="L3108" i="7"/>
  <c r="K3108" i="7"/>
  <c r="J3108" i="7" s="1"/>
  <c r="D3108" i="7"/>
  <c r="B3108" i="7" s="1"/>
  <c r="C3108" i="7"/>
  <c r="AR3107" i="7"/>
  <c r="AQ3107" i="7"/>
  <c r="AL3107" i="7"/>
  <c r="AK3107" i="7"/>
  <c r="AB3107" i="7"/>
  <c r="AA3107" i="7"/>
  <c r="Z3107" i="7" s="1"/>
  <c r="T3107" i="7"/>
  <c r="S3107" i="7"/>
  <c r="R3107" i="7" s="1"/>
  <c r="L3107" i="7"/>
  <c r="K3107" i="7"/>
  <c r="J3107" i="7" s="1"/>
  <c r="D3107" i="7"/>
  <c r="C3107" i="7"/>
  <c r="B3107" i="7" s="1"/>
  <c r="AR3106" i="7"/>
  <c r="AQ3106" i="7"/>
  <c r="AP3106" i="7" s="1"/>
  <c r="AL3106" i="7"/>
  <c r="AK3106" i="7"/>
  <c r="AB3106" i="7"/>
  <c r="AA3106" i="7"/>
  <c r="Z3106" i="7"/>
  <c r="T3106" i="7"/>
  <c r="S3106" i="7"/>
  <c r="R3106" i="7"/>
  <c r="L3106" i="7"/>
  <c r="K3106" i="7"/>
  <c r="J3106" i="7"/>
  <c r="D3106" i="7"/>
  <c r="C3106" i="7"/>
  <c r="B3106" i="7"/>
  <c r="AR3105" i="7"/>
  <c r="AQ3105" i="7"/>
  <c r="AP3105" i="7"/>
  <c r="AL3105" i="7"/>
  <c r="AK3105" i="7"/>
  <c r="AB3105" i="7"/>
  <c r="AA3105" i="7"/>
  <c r="T3105" i="7"/>
  <c r="R3105" i="7" s="1"/>
  <c r="S3105" i="7"/>
  <c r="L3105" i="7"/>
  <c r="K3105" i="7"/>
  <c r="D3105" i="7"/>
  <c r="B3105" i="7" s="1"/>
  <c r="C3105" i="7"/>
  <c r="AR3104" i="7"/>
  <c r="AQ3104" i="7"/>
  <c r="AP3104" i="7" s="1"/>
  <c r="AL3104" i="7"/>
  <c r="AK3104" i="7"/>
  <c r="AJ3104" i="7" s="1"/>
  <c r="AB3104" i="7"/>
  <c r="AA3104" i="7"/>
  <c r="Z3104" i="7" s="1"/>
  <c r="T3104" i="7"/>
  <c r="S3104" i="7"/>
  <c r="R3104" i="7" s="1"/>
  <c r="L3104" i="7"/>
  <c r="K3104" i="7"/>
  <c r="J3104" i="7" s="1"/>
  <c r="D3104" i="7"/>
  <c r="C3104" i="7"/>
  <c r="B3104" i="7" s="1"/>
  <c r="AR3103" i="7"/>
  <c r="AQ3103" i="7"/>
  <c r="AP3103" i="7" s="1"/>
  <c r="AL3103" i="7"/>
  <c r="AK3103" i="7"/>
  <c r="AB3103" i="7"/>
  <c r="AA3103" i="7"/>
  <c r="Z3103" i="7"/>
  <c r="T3103" i="7"/>
  <c r="S3103" i="7"/>
  <c r="R3103" i="7"/>
  <c r="L3103" i="7"/>
  <c r="K3103" i="7"/>
  <c r="J3103" i="7"/>
  <c r="D3103" i="7"/>
  <c r="C3103" i="7"/>
  <c r="B3103" i="7"/>
  <c r="AR3102" i="7"/>
  <c r="AQ3102" i="7"/>
  <c r="AP3102" i="7"/>
  <c r="AL3102" i="7"/>
  <c r="AK3102" i="7"/>
  <c r="AI3102" i="7" s="1"/>
  <c r="AB3102" i="7"/>
  <c r="AA3102" i="7"/>
  <c r="Z3102" i="7" s="1"/>
  <c r="T3102" i="7"/>
  <c r="R3102" i="7" s="1"/>
  <c r="S3102" i="7"/>
  <c r="L3102" i="7"/>
  <c r="K3102" i="7"/>
  <c r="D3102" i="7"/>
  <c r="B3102" i="7" s="1"/>
  <c r="C3102" i="7"/>
  <c r="AR3101" i="7"/>
  <c r="AQ3101" i="7"/>
  <c r="AL3101" i="7"/>
  <c r="AK3101" i="7"/>
  <c r="AB3101" i="7"/>
  <c r="AA3101" i="7"/>
  <c r="Z3101" i="7" s="1"/>
  <c r="T3101" i="7"/>
  <c r="S3101" i="7"/>
  <c r="R3101" i="7" s="1"/>
  <c r="L3101" i="7"/>
  <c r="K3101" i="7"/>
  <c r="J3101" i="7" s="1"/>
  <c r="D3101" i="7"/>
  <c r="C3101" i="7"/>
  <c r="B3101" i="7" s="1"/>
  <c r="AR3100" i="7"/>
  <c r="AQ3100" i="7"/>
  <c r="AP3100" i="7" s="1"/>
  <c r="AL3100" i="7"/>
  <c r="AK3100" i="7"/>
  <c r="AB3100" i="7"/>
  <c r="AA3100" i="7"/>
  <c r="Z3100" i="7"/>
  <c r="T3100" i="7"/>
  <c r="S3100" i="7"/>
  <c r="R3100" i="7"/>
  <c r="L3100" i="7"/>
  <c r="K3100" i="7"/>
  <c r="J3100" i="7"/>
  <c r="D3100" i="7"/>
  <c r="C3100" i="7"/>
  <c r="B3100" i="7"/>
  <c r="AR3099" i="7"/>
  <c r="AQ3099" i="7"/>
  <c r="AP3099" i="7"/>
  <c r="AL3099" i="7"/>
  <c r="AK3099" i="7"/>
  <c r="AB3099" i="7"/>
  <c r="AA3099" i="7"/>
  <c r="T3099" i="7"/>
  <c r="R3099" i="7" s="1"/>
  <c r="S3099" i="7"/>
  <c r="L3099" i="7"/>
  <c r="K3099" i="7"/>
  <c r="J3099" i="7" s="1"/>
  <c r="D3099" i="7"/>
  <c r="B3099" i="7" s="1"/>
  <c r="C3099" i="7"/>
  <c r="AR3098" i="7"/>
  <c r="AQ3098" i="7"/>
  <c r="AL3098" i="7"/>
  <c r="AK3098" i="7"/>
  <c r="AB3098" i="7"/>
  <c r="AA3098" i="7"/>
  <c r="Z3098" i="7" s="1"/>
  <c r="T3098" i="7"/>
  <c r="S3098" i="7"/>
  <c r="R3098" i="7" s="1"/>
  <c r="L3098" i="7"/>
  <c r="K3098" i="7"/>
  <c r="J3098" i="7" s="1"/>
  <c r="D3098" i="7"/>
  <c r="C3098" i="7"/>
  <c r="B3098" i="7" s="1"/>
  <c r="AR3097" i="7"/>
  <c r="AQ3097" i="7"/>
  <c r="AP3097" i="7" s="1"/>
  <c r="AL3097" i="7"/>
  <c r="AK3097" i="7"/>
  <c r="AB3097" i="7"/>
  <c r="AA3097" i="7"/>
  <c r="Z3097" i="7"/>
  <c r="T3097" i="7"/>
  <c r="S3097" i="7"/>
  <c r="R3097" i="7"/>
  <c r="L3097" i="7"/>
  <c r="K3097" i="7"/>
  <c r="J3097" i="7"/>
  <c r="D3097" i="7"/>
  <c r="C3097" i="7"/>
  <c r="B3097" i="7"/>
  <c r="AR3096" i="7"/>
  <c r="AQ3096" i="7"/>
  <c r="AP3096" i="7"/>
  <c r="AL3096" i="7"/>
  <c r="AK3096" i="7"/>
  <c r="AB3096" i="7"/>
  <c r="AA3096" i="7"/>
  <c r="T3096" i="7"/>
  <c r="R3096" i="7" s="1"/>
  <c r="S3096" i="7"/>
  <c r="L3096" i="7"/>
  <c r="K3096" i="7"/>
  <c r="D3096" i="7"/>
  <c r="B3096" i="7" s="1"/>
  <c r="C3096" i="7"/>
  <c r="AR3095" i="7"/>
  <c r="AQ3095" i="7"/>
  <c r="AP3095" i="7" s="1"/>
  <c r="AL3095" i="7"/>
  <c r="AK3095" i="7"/>
  <c r="AJ3095" i="7" s="1"/>
  <c r="AB3095" i="7"/>
  <c r="AA3095" i="7"/>
  <c r="Z3095" i="7" s="1"/>
  <c r="T3095" i="7"/>
  <c r="S3095" i="7"/>
  <c r="R3095" i="7" s="1"/>
  <c r="L3095" i="7"/>
  <c r="K3095" i="7"/>
  <c r="J3095" i="7" s="1"/>
  <c r="D3095" i="7"/>
  <c r="C3095" i="7"/>
  <c r="B3095" i="7" s="1"/>
  <c r="AR3094" i="7"/>
  <c r="AQ3094" i="7"/>
  <c r="AP3094" i="7" s="1"/>
  <c r="AL3094" i="7"/>
  <c r="AK3094" i="7"/>
  <c r="AB3094" i="7"/>
  <c r="AA3094" i="7"/>
  <c r="Z3094" i="7"/>
  <c r="T3094" i="7"/>
  <c r="S3094" i="7"/>
  <c r="R3094" i="7"/>
  <c r="L3094" i="7"/>
  <c r="K3094" i="7"/>
  <c r="J3094" i="7"/>
  <c r="D3094" i="7"/>
  <c r="C3094" i="7"/>
  <c r="B3094" i="7"/>
  <c r="AR3093" i="7"/>
  <c r="AQ3093" i="7"/>
  <c r="AP3093" i="7"/>
  <c r="AL3093" i="7"/>
  <c r="AK3093" i="7"/>
  <c r="AI3093" i="7" s="1"/>
  <c r="AB3093" i="7"/>
  <c r="AA3093" i="7"/>
  <c r="T3093" i="7"/>
  <c r="R3093" i="7" s="1"/>
  <c r="S3093" i="7"/>
  <c r="L3093" i="7"/>
  <c r="K3093" i="7"/>
  <c r="J3093" i="7" s="1"/>
  <c r="D3093" i="7"/>
  <c r="B3093" i="7" s="1"/>
  <c r="C3093" i="7"/>
  <c r="AR3092" i="7"/>
  <c r="AQ3092" i="7"/>
  <c r="AP3092" i="7" s="1"/>
  <c r="AL3092" i="7"/>
  <c r="AK3092" i="7"/>
  <c r="AB3092" i="7"/>
  <c r="AA3092" i="7"/>
  <c r="Z3092" i="7" s="1"/>
  <c r="T3092" i="7"/>
  <c r="S3092" i="7"/>
  <c r="R3092" i="7" s="1"/>
  <c r="L3092" i="7"/>
  <c r="K3092" i="7"/>
  <c r="J3092" i="7" s="1"/>
  <c r="D3092" i="7"/>
  <c r="C3092" i="7"/>
  <c r="B3092" i="7" s="1"/>
  <c r="AR3091" i="7"/>
  <c r="AQ3091" i="7"/>
  <c r="AP3091" i="7" s="1"/>
  <c r="AL3091" i="7"/>
  <c r="AK3091" i="7"/>
  <c r="AB3091" i="7"/>
  <c r="AA3091" i="7"/>
  <c r="Z3091" i="7"/>
  <c r="T3091" i="7"/>
  <c r="S3091" i="7"/>
  <c r="R3091" i="7"/>
  <c r="L3091" i="7"/>
  <c r="K3091" i="7"/>
  <c r="J3091" i="7"/>
  <c r="D3091" i="7"/>
  <c r="C3091" i="7"/>
  <c r="B3091" i="7"/>
  <c r="AR3090" i="7"/>
  <c r="AQ3090" i="7"/>
  <c r="AP3090" i="7"/>
  <c r="AL3090" i="7"/>
  <c r="AK3090" i="7"/>
  <c r="AB3090" i="7"/>
  <c r="AA3090" i="7"/>
  <c r="T3090" i="7"/>
  <c r="R3090" i="7" s="1"/>
  <c r="S3090" i="7"/>
  <c r="L3090" i="7"/>
  <c r="K3090" i="7"/>
  <c r="D3090" i="7"/>
  <c r="B3090" i="7" s="1"/>
  <c r="C3090" i="7"/>
  <c r="AR3089" i="7"/>
  <c r="AQ3089" i="7"/>
  <c r="AP3089" i="7" s="1"/>
  <c r="AL3089" i="7"/>
  <c r="AK3089" i="7"/>
  <c r="AB3089" i="7"/>
  <c r="AA3089" i="7"/>
  <c r="Z3089" i="7" s="1"/>
  <c r="T3089" i="7"/>
  <c r="S3089" i="7"/>
  <c r="R3089" i="7" s="1"/>
  <c r="L3089" i="7"/>
  <c r="K3089" i="7"/>
  <c r="J3089" i="7" s="1"/>
  <c r="D3089" i="7"/>
  <c r="C3089" i="7"/>
  <c r="B3089" i="7" s="1"/>
  <c r="AR3088" i="7"/>
  <c r="AQ3088" i="7"/>
  <c r="AP3088" i="7" s="1"/>
  <c r="AL3088" i="7"/>
  <c r="AK3088" i="7"/>
  <c r="AB3088" i="7"/>
  <c r="AA3088" i="7"/>
  <c r="Z3088" i="7"/>
  <c r="T3088" i="7"/>
  <c r="S3088" i="7"/>
  <c r="R3088" i="7"/>
  <c r="L3088" i="7"/>
  <c r="K3088" i="7"/>
  <c r="J3088" i="7"/>
  <c r="D3088" i="7"/>
  <c r="C3088" i="7"/>
  <c r="B3088" i="7"/>
  <c r="AR3087" i="7"/>
  <c r="AQ3087" i="7"/>
  <c r="AP3087" i="7"/>
  <c r="AL3087" i="7"/>
  <c r="AK3087" i="7"/>
  <c r="AB3087" i="7"/>
  <c r="AA3087" i="7"/>
  <c r="T3087" i="7"/>
  <c r="R3087" i="7" s="1"/>
  <c r="S3087" i="7"/>
  <c r="L3087" i="7"/>
  <c r="K3087" i="7"/>
  <c r="J3087" i="7" s="1"/>
  <c r="D3087" i="7"/>
  <c r="B3087" i="7" s="1"/>
  <c r="C3087" i="7"/>
  <c r="AR3086" i="7"/>
  <c r="AQ3086" i="7"/>
  <c r="AP3086" i="7" s="1"/>
  <c r="AL3086" i="7"/>
  <c r="AK3086" i="7"/>
  <c r="AJ3086" i="7" s="1"/>
  <c r="AB3086" i="7"/>
  <c r="AA3086" i="7"/>
  <c r="Z3086" i="7" s="1"/>
  <c r="T3086" i="7"/>
  <c r="S3086" i="7"/>
  <c r="R3086" i="7" s="1"/>
  <c r="L3086" i="7"/>
  <c r="K3086" i="7"/>
  <c r="J3086" i="7" s="1"/>
  <c r="D3086" i="7"/>
  <c r="C3086" i="7"/>
  <c r="B3086" i="7" s="1"/>
  <c r="AR3085" i="7"/>
  <c r="AQ3085" i="7"/>
  <c r="AP3085" i="7" s="1"/>
  <c r="AL3085" i="7"/>
  <c r="AK3085" i="7"/>
  <c r="AB3085" i="7"/>
  <c r="AA3085" i="7"/>
  <c r="Z3085" i="7"/>
  <c r="T3085" i="7"/>
  <c r="S3085" i="7"/>
  <c r="R3085" i="7"/>
  <c r="L3085" i="7"/>
  <c r="K3085" i="7"/>
  <c r="J3085" i="7"/>
  <c r="D3085" i="7"/>
  <c r="C3085" i="7"/>
  <c r="B3085" i="7"/>
  <c r="AR3084" i="7"/>
  <c r="AQ3084" i="7"/>
  <c r="AP3084" i="7"/>
  <c r="AL3084" i="7"/>
  <c r="AK3084" i="7"/>
  <c r="AI3084" i="7" s="1"/>
  <c r="AB3084" i="7"/>
  <c r="AA3084" i="7"/>
  <c r="T3084" i="7"/>
  <c r="R3084" i="7" s="1"/>
  <c r="S3084" i="7"/>
  <c r="L3084" i="7"/>
  <c r="K3084" i="7"/>
  <c r="D3084" i="7"/>
  <c r="B3084" i="7" s="1"/>
  <c r="C3084" i="7"/>
  <c r="AR3083" i="7"/>
  <c r="AQ3083" i="7"/>
  <c r="AP3083" i="7" s="1"/>
  <c r="AL3083" i="7"/>
  <c r="AK3083" i="7"/>
  <c r="AB3083" i="7"/>
  <c r="AA3083" i="7"/>
  <c r="Z3083" i="7" s="1"/>
  <c r="T3083" i="7"/>
  <c r="S3083" i="7"/>
  <c r="R3083" i="7" s="1"/>
  <c r="L3083" i="7"/>
  <c r="K3083" i="7"/>
  <c r="J3083" i="7" s="1"/>
  <c r="D3083" i="7"/>
  <c r="C3083" i="7"/>
  <c r="B3083" i="7" s="1"/>
  <c r="AR3082" i="7"/>
  <c r="AQ3082" i="7"/>
  <c r="AP3082" i="7" s="1"/>
  <c r="AL3082" i="7"/>
  <c r="AK3082" i="7"/>
  <c r="AB3082" i="7"/>
  <c r="AA3082" i="7"/>
  <c r="Z3082" i="7"/>
  <c r="T3082" i="7"/>
  <c r="S3082" i="7"/>
  <c r="R3082" i="7"/>
  <c r="L3082" i="7"/>
  <c r="K3082" i="7"/>
  <c r="J3082" i="7"/>
  <c r="D3082" i="7"/>
  <c r="C3082" i="7"/>
  <c r="B3082" i="7"/>
  <c r="AR3081" i="7"/>
  <c r="AQ3081" i="7"/>
  <c r="AP3081" i="7"/>
  <c r="AL3081" i="7"/>
  <c r="AK3081" i="7"/>
  <c r="AB3081" i="7"/>
  <c r="AA3081" i="7"/>
  <c r="T3081" i="7"/>
  <c r="R3081" i="7" s="1"/>
  <c r="S3081" i="7"/>
  <c r="L3081" i="7"/>
  <c r="K3081" i="7"/>
  <c r="J3081" i="7" s="1"/>
  <c r="D3081" i="7"/>
  <c r="B3081" i="7" s="1"/>
  <c r="C3081" i="7"/>
  <c r="AR3080" i="7"/>
  <c r="AQ3080" i="7"/>
  <c r="AP3080" i="7" s="1"/>
  <c r="AL3080" i="7"/>
  <c r="AK3080" i="7"/>
  <c r="AB3080" i="7"/>
  <c r="AA3080" i="7"/>
  <c r="Z3080" i="7" s="1"/>
  <c r="T3080" i="7"/>
  <c r="S3080" i="7"/>
  <c r="R3080" i="7" s="1"/>
  <c r="L3080" i="7"/>
  <c r="K3080" i="7"/>
  <c r="J3080" i="7" s="1"/>
  <c r="D3080" i="7"/>
  <c r="C3080" i="7"/>
  <c r="B3080" i="7" s="1"/>
  <c r="AR3079" i="7"/>
  <c r="AQ3079" i="7"/>
  <c r="AP3079" i="7" s="1"/>
  <c r="AL3079" i="7"/>
  <c r="AK3079" i="7"/>
  <c r="AB3079" i="7"/>
  <c r="AA3079" i="7"/>
  <c r="Z3079" i="7"/>
  <c r="T3079" i="7"/>
  <c r="S3079" i="7"/>
  <c r="R3079" i="7"/>
  <c r="L3079" i="7"/>
  <c r="K3079" i="7"/>
  <c r="J3079" i="7"/>
  <c r="D3079" i="7"/>
  <c r="C3079" i="7"/>
  <c r="B3079" i="7"/>
  <c r="AR3078" i="7"/>
  <c r="AQ3078" i="7"/>
  <c r="AP3078" i="7"/>
  <c r="AL3078" i="7"/>
  <c r="AK3078" i="7"/>
  <c r="AI3078" i="7" s="1"/>
  <c r="AB3078" i="7"/>
  <c r="AA3078" i="7"/>
  <c r="T3078" i="7"/>
  <c r="R3078" i="7" s="1"/>
  <c r="S3078" i="7"/>
  <c r="L3078" i="7"/>
  <c r="K3078" i="7"/>
  <c r="D3078" i="7"/>
  <c r="B3078" i="7" s="1"/>
  <c r="C3078" i="7"/>
  <c r="AR3077" i="7"/>
  <c r="AQ3077" i="7"/>
  <c r="AP3077" i="7" s="1"/>
  <c r="AL3077" i="7"/>
  <c r="AK3077" i="7"/>
  <c r="AJ3077" i="7" s="1"/>
  <c r="AB3077" i="7"/>
  <c r="AA3077" i="7"/>
  <c r="Z3077" i="7" s="1"/>
  <c r="T3077" i="7"/>
  <c r="S3077" i="7"/>
  <c r="L3077" i="7"/>
  <c r="K3077" i="7"/>
  <c r="J3077" i="7" s="1"/>
  <c r="D3077" i="7"/>
  <c r="C3077" i="7"/>
  <c r="B3077" i="7" s="1"/>
  <c r="AR3076" i="7"/>
  <c r="AQ3076" i="7"/>
  <c r="AP3076" i="7" s="1"/>
  <c r="AL3076" i="7"/>
  <c r="AK3076" i="7"/>
  <c r="AB3076" i="7"/>
  <c r="AA3076" i="7"/>
  <c r="Z3076" i="7" s="1"/>
  <c r="T3076" i="7"/>
  <c r="S3076" i="7"/>
  <c r="R3076" i="7"/>
  <c r="L3076" i="7"/>
  <c r="K3076" i="7"/>
  <c r="J3076" i="7" s="1"/>
  <c r="D3076" i="7"/>
  <c r="C3076" i="7"/>
  <c r="B3076" i="7"/>
  <c r="AR3075" i="7"/>
  <c r="AQ3075" i="7"/>
  <c r="AP3075" i="7" s="1"/>
  <c r="AL3075" i="7"/>
  <c r="AK3075" i="7"/>
  <c r="AB3075" i="7"/>
  <c r="AA3075" i="7"/>
  <c r="Z3075" i="7" s="1"/>
  <c r="T3075" i="7"/>
  <c r="S3075" i="7"/>
  <c r="R3075" i="7" s="1"/>
  <c r="L3075" i="7"/>
  <c r="K3075" i="7"/>
  <c r="J3075" i="7" s="1"/>
  <c r="D3075" i="7"/>
  <c r="C3075" i="7"/>
  <c r="B3075" i="7" s="1"/>
  <c r="AR3074" i="7"/>
  <c r="AQ3074" i="7"/>
  <c r="AP3074" i="7" s="1"/>
  <c r="AL3074" i="7"/>
  <c r="AK3074" i="7"/>
  <c r="AI3074" i="7" s="1"/>
  <c r="AB3074" i="7"/>
  <c r="AA3074" i="7"/>
  <c r="Z3074" i="7"/>
  <c r="T3074" i="7"/>
  <c r="S3074" i="7"/>
  <c r="R3074" i="7"/>
  <c r="L3074" i="7"/>
  <c r="K3074" i="7"/>
  <c r="J3074" i="7"/>
  <c r="D3074" i="7"/>
  <c r="C3074" i="7"/>
  <c r="B3074" i="7"/>
  <c r="AR3073" i="7"/>
  <c r="AQ3073" i="7"/>
  <c r="AP3073" i="7"/>
  <c r="AL3073" i="7"/>
  <c r="AK3073" i="7"/>
  <c r="AI3073" i="7" s="1"/>
  <c r="AB3073" i="7"/>
  <c r="AA3073" i="7"/>
  <c r="Z3073" i="7" s="1"/>
  <c r="T3073" i="7"/>
  <c r="S3073" i="7"/>
  <c r="R3073" i="7"/>
  <c r="L3073" i="7"/>
  <c r="K3073" i="7"/>
  <c r="J3073" i="7" s="1"/>
  <c r="D3073" i="7"/>
  <c r="C3073" i="7"/>
  <c r="B3073" i="7"/>
  <c r="AR3072" i="7"/>
  <c r="AQ3072" i="7"/>
  <c r="AP3072" i="7" s="1"/>
  <c r="AL3072" i="7"/>
  <c r="AK3072" i="7"/>
  <c r="AJ3072" i="7" s="1"/>
  <c r="AB3072" i="7"/>
  <c r="AA3072" i="7"/>
  <c r="Z3072" i="7" s="1"/>
  <c r="T3072" i="7"/>
  <c r="S3072" i="7"/>
  <c r="R3072" i="7" s="1"/>
  <c r="L3072" i="7"/>
  <c r="K3072" i="7"/>
  <c r="J3072" i="7" s="1"/>
  <c r="D3072" i="7"/>
  <c r="C3072" i="7"/>
  <c r="B3072" i="7" s="1"/>
  <c r="AR3071" i="7"/>
  <c r="AQ3071" i="7"/>
  <c r="AP3071" i="7" s="1"/>
  <c r="AL3071" i="7"/>
  <c r="AK3071" i="7"/>
  <c r="AI3071" i="7" s="1"/>
  <c r="AB3071" i="7"/>
  <c r="AA3071" i="7"/>
  <c r="Z3071" i="7"/>
  <c r="T3071" i="7"/>
  <c r="S3071" i="7"/>
  <c r="R3071" i="7"/>
  <c r="L3071" i="7"/>
  <c r="K3071" i="7"/>
  <c r="J3071" i="7"/>
  <c r="D3071" i="7"/>
  <c r="C3071" i="7"/>
  <c r="B3071" i="7"/>
  <c r="AR3070" i="7"/>
  <c r="AQ3070" i="7"/>
  <c r="AP3070" i="7"/>
  <c r="AL3070" i="7"/>
  <c r="AK3070" i="7"/>
  <c r="AI3070" i="7" s="1"/>
  <c r="AJ3070" i="7"/>
  <c r="AB3070" i="7"/>
  <c r="AA3070" i="7"/>
  <c r="Z3070" i="7" s="1"/>
  <c r="T3070" i="7"/>
  <c r="S3070" i="7"/>
  <c r="R3070" i="7"/>
  <c r="L3070" i="7"/>
  <c r="K3070" i="7"/>
  <c r="J3070" i="7" s="1"/>
  <c r="D3070" i="7"/>
  <c r="C3070" i="7"/>
  <c r="B3070" i="7"/>
  <c r="AR3069" i="7"/>
  <c r="AQ3069" i="7"/>
  <c r="AP3069" i="7" s="1"/>
  <c r="AL3069" i="7"/>
  <c r="AK3069" i="7"/>
  <c r="AJ3069" i="7" s="1"/>
  <c r="AB3069" i="7"/>
  <c r="AA3069" i="7"/>
  <c r="Z3069" i="7" s="1"/>
  <c r="T3069" i="7"/>
  <c r="S3069" i="7"/>
  <c r="R3069" i="7" s="1"/>
  <c r="L3069" i="7"/>
  <c r="K3069" i="7"/>
  <c r="J3069" i="7" s="1"/>
  <c r="D3069" i="7"/>
  <c r="C3069" i="7"/>
  <c r="B3069" i="7" s="1"/>
  <c r="AR3068" i="7"/>
  <c r="AQ3068" i="7"/>
  <c r="AP3068" i="7" s="1"/>
  <c r="AL3068" i="7"/>
  <c r="AK3068" i="7"/>
  <c r="AI3068" i="7" s="1"/>
  <c r="AB3068" i="7"/>
  <c r="AA3068" i="7"/>
  <c r="Z3068" i="7"/>
  <c r="T3068" i="7"/>
  <c r="S3068" i="7"/>
  <c r="R3068" i="7"/>
  <c r="L3068" i="7"/>
  <c r="K3068" i="7"/>
  <c r="J3068" i="7"/>
  <c r="D3068" i="7"/>
  <c r="C3068" i="7"/>
  <c r="B3068" i="7"/>
  <c r="AR3067" i="7"/>
  <c r="AQ3067" i="7"/>
  <c r="AP3067" i="7"/>
  <c r="AL3067" i="7"/>
  <c r="AK3067" i="7"/>
  <c r="AI3067" i="7" s="1"/>
  <c r="AB3067" i="7"/>
  <c r="AA3067" i="7"/>
  <c r="Z3067" i="7" s="1"/>
  <c r="T3067" i="7"/>
  <c r="S3067" i="7"/>
  <c r="R3067" i="7"/>
  <c r="L3067" i="7"/>
  <c r="K3067" i="7"/>
  <c r="J3067" i="7" s="1"/>
  <c r="D3067" i="7"/>
  <c r="C3067" i="7"/>
  <c r="B3067" i="7"/>
  <c r="AR3066" i="7"/>
  <c r="AQ3066" i="7"/>
  <c r="AP3066" i="7" s="1"/>
  <c r="AL3066" i="7"/>
  <c r="AK3066" i="7"/>
  <c r="AB3066" i="7"/>
  <c r="AA3066" i="7"/>
  <c r="Z3066" i="7" s="1"/>
  <c r="T3066" i="7"/>
  <c r="S3066" i="7"/>
  <c r="R3066" i="7" s="1"/>
  <c r="L3066" i="7"/>
  <c r="K3066" i="7"/>
  <c r="J3066" i="7" s="1"/>
  <c r="D3066" i="7"/>
  <c r="C3066" i="7"/>
  <c r="B3066" i="7" s="1"/>
  <c r="AR3065" i="7"/>
  <c r="AQ3065" i="7"/>
  <c r="AP3065" i="7" s="1"/>
  <c r="AL3065" i="7"/>
  <c r="AK3065" i="7"/>
  <c r="AI3065" i="7" s="1"/>
  <c r="AB3065" i="7"/>
  <c r="AA3065" i="7"/>
  <c r="Z3065" i="7"/>
  <c r="T3065" i="7"/>
  <c r="S3065" i="7"/>
  <c r="R3065" i="7"/>
  <c r="L3065" i="7"/>
  <c r="K3065" i="7"/>
  <c r="J3065" i="7"/>
  <c r="D3065" i="7"/>
  <c r="C3065" i="7"/>
  <c r="B3065" i="7"/>
  <c r="AR3064" i="7"/>
  <c r="AQ3064" i="7"/>
  <c r="AP3064" i="7"/>
  <c r="AL3064" i="7"/>
  <c r="AK3064" i="7"/>
  <c r="AI3064" i="7" s="1"/>
  <c r="AB3064" i="7"/>
  <c r="AA3064" i="7"/>
  <c r="Z3064" i="7" s="1"/>
  <c r="T3064" i="7"/>
  <c r="S3064" i="7"/>
  <c r="R3064" i="7"/>
  <c r="L3064" i="7"/>
  <c r="K3064" i="7"/>
  <c r="J3064" i="7" s="1"/>
  <c r="D3064" i="7"/>
  <c r="C3064" i="7"/>
  <c r="B3064" i="7"/>
  <c r="AR3063" i="7"/>
  <c r="AQ3063" i="7"/>
  <c r="AP3063" i="7" s="1"/>
  <c r="AL3063" i="7"/>
  <c r="AK3063" i="7"/>
  <c r="AB3063" i="7"/>
  <c r="AA3063" i="7"/>
  <c r="Z3063" i="7" s="1"/>
  <c r="T3063" i="7"/>
  <c r="S3063" i="7"/>
  <c r="R3063" i="7" s="1"/>
  <c r="L3063" i="7"/>
  <c r="K3063" i="7"/>
  <c r="J3063" i="7" s="1"/>
  <c r="D3063" i="7"/>
  <c r="C3063" i="7"/>
  <c r="B3063" i="7" s="1"/>
  <c r="AR3062" i="7"/>
  <c r="AQ3062" i="7"/>
  <c r="AP3062" i="7" s="1"/>
  <c r="AL3062" i="7"/>
  <c r="AK3062" i="7"/>
  <c r="AI3062" i="7" s="1"/>
  <c r="AB3062" i="7"/>
  <c r="AA3062" i="7"/>
  <c r="Z3062" i="7"/>
  <c r="T3062" i="7"/>
  <c r="S3062" i="7"/>
  <c r="R3062" i="7"/>
  <c r="L3062" i="7"/>
  <c r="K3062" i="7"/>
  <c r="J3062" i="7"/>
  <c r="D3062" i="7"/>
  <c r="C3062" i="7"/>
  <c r="B3062" i="7"/>
  <c r="AR3061" i="7"/>
  <c r="AQ3061" i="7"/>
  <c r="AP3061" i="7"/>
  <c r="AL3061" i="7"/>
  <c r="AK3061" i="7"/>
  <c r="AD3061" i="7"/>
  <c r="AC3061" i="7"/>
  <c r="AB3061" i="7" s="1"/>
  <c r="AA3061" i="7"/>
  <c r="Z3061" i="7" s="1"/>
  <c r="T3061" i="7"/>
  <c r="S3061" i="7"/>
  <c r="R3061" i="7" s="1"/>
  <c r="L3061" i="7"/>
  <c r="K3061" i="7"/>
  <c r="J3061" i="7" s="1"/>
  <c r="D3061" i="7"/>
  <c r="C3061" i="7"/>
  <c r="B3061" i="7" s="1"/>
  <c r="AR3060" i="7"/>
  <c r="AQ3060" i="7"/>
  <c r="AP3060" i="7" s="1"/>
  <c r="AL3060" i="7"/>
  <c r="AK3060" i="7"/>
  <c r="AD3060" i="7"/>
  <c r="AC3060" i="7"/>
  <c r="AA3060" i="7" s="1"/>
  <c r="AB3060" i="7"/>
  <c r="T3060" i="7"/>
  <c r="S3060" i="7"/>
  <c r="R3060" i="7"/>
  <c r="L3060" i="7"/>
  <c r="K3060" i="7"/>
  <c r="J3060" i="7" s="1"/>
  <c r="D3060" i="7"/>
  <c r="C3060" i="7"/>
  <c r="B3060" i="7"/>
  <c r="AR3059" i="7"/>
  <c r="AQ3059" i="7"/>
  <c r="AP3059" i="7" s="1"/>
  <c r="AL3059" i="7"/>
  <c r="AK3059" i="7"/>
  <c r="AD3059" i="7"/>
  <c r="AC3059" i="7"/>
  <c r="AB3059" i="7" s="1"/>
  <c r="T3059" i="7"/>
  <c r="S3059" i="7"/>
  <c r="R3059" i="7"/>
  <c r="L3059" i="7"/>
  <c r="K3059" i="7"/>
  <c r="J3059" i="7"/>
  <c r="D3059" i="7"/>
  <c r="C3059" i="7"/>
  <c r="B3059" i="7"/>
  <c r="AR3058" i="7"/>
  <c r="AQ3058" i="7"/>
  <c r="AP3058" i="7"/>
  <c r="AL3058" i="7"/>
  <c r="AK3058" i="7"/>
  <c r="AD3058" i="7"/>
  <c r="AC3058" i="7"/>
  <c r="AB3058" i="7" s="1"/>
  <c r="T3058" i="7"/>
  <c r="S3058" i="7"/>
  <c r="R3058" i="7" s="1"/>
  <c r="L3058" i="7"/>
  <c r="K3058" i="7"/>
  <c r="J3058" i="7" s="1"/>
  <c r="D3058" i="7"/>
  <c r="C3058" i="7"/>
  <c r="B3058" i="7" s="1"/>
  <c r="AR3057" i="7"/>
  <c r="AQ3057" i="7"/>
  <c r="AP3057" i="7" s="1"/>
  <c r="AL3057" i="7"/>
  <c r="AK3057" i="7"/>
  <c r="AD3057" i="7"/>
  <c r="AC3057" i="7"/>
  <c r="AA3057" i="7" s="1"/>
  <c r="T3057" i="7"/>
  <c r="S3057" i="7"/>
  <c r="R3057" i="7"/>
  <c r="L3057" i="7"/>
  <c r="K3057" i="7"/>
  <c r="D3057" i="7"/>
  <c r="C3057" i="7"/>
  <c r="B3057" i="7"/>
  <c r="AR3056" i="7"/>
  <c r="AQ3056" i="7"/>
  <c r="AP3056" i="7" s="1"/>
  <c r="AL3056" i="7"/>
  <c r="AK3056" i="7"/>
  <c r="AJ3056" i="7" s="1"/>
  <c r="AD3056" i="7"/>
  <c r="AC3056" i="7"/>
  <c r="T3056" i="7"/>
  <c r="S3056" i="7"/>
  <c r="R3056" i="7"/>
  <c r="L3056" i="7"/>
  <c r="K3056" i="7"/>
  <c r="J3056" i="7" s="1"/>
  <c r="D3056" i="7"/>
  <c r="C3056" i="7"/>
  <c r="B3056" i="7"/>
  <c r="AR3055" i="7"/>
  <c r="AQ3055" i="7"/>
  <c r="AP3055" i="7" s="1"/>
  <c r="AL3055" i="7"/>
  <c r="AK3055" i="7"/>
  <c r="AI3055" i="7" s="1"/>
  <c r="AD3055" i="7"/>
  <c r="AC3055" i="7"/>
  <c r="AB3055" i="7" s="1"/>
  <c r="T3055" i="7"/>
  <c r="S3055" i="7"/>
  <c r="R3055" i="7" s="1"/>
  <c r="L3055" i="7"/>
  <c r="K3055" i="7"/>
  <c r="J3055" i="7" s="1"/>
  <c r="D3055" i="7"/>
  <c r="C3055" i="7"/>
  <c r="B3055" i="7" s="1"/>
  <c r="AR3054" i="7"/>
  <c r="AQ3054" i="7"/>
  <c r="AP3054" i="7" s="1"/>
  <c r="AL3054" i="7"/>
  <c r="AK3054" i="7"/>
  <c r="AD3054" i="7"/>
  <c r="AC3054" i="7"/>
  <c r="AA3054" i="7" s="1"/>
  <c r="T3054" i="7"/>
  <c r="S3054" i="7"/>
  <c r="R3054" i="7"/>
  <c r="L3054" i="7"/>
  <c r="K3054" i="7"/>
  <c r="J3054" i="7" s="1"/>
  <c r="D3054" i="7"/>
  <c r="C3054" i="7"/>
  <c r="B3054" i="7"/>
  <c r="AR3053" i="7"/>
  <c r="AQ3053" i="7"/>
  <c r="AL3053" i="7"/>
  <c r="AK3053" i="7"/>
  <c r="AI3053" i="7" s="1"/>
  <c r="AD3053" i="7"/>
  <c r="AC3053" i="7"/>
  <c r="T3053" i="7"/>
  <c r="S3053" i="7"/>
  <c r="R3053" i="7"/>
  <c r="L3053" i="7"/>
  <c r="K3053" i="7"/>
  <c r="J3053" i="7" s="1"/>
  <c r="D3053" i="7"/>
  <c r="C3053" i="7"/>
  <c r="B3053" i="7"/>
  <c r="AR3052" i="7"/>
  <c r="AQ3052" i="7"/>
  <c r="AP3052" i="7" s="1"/>
  <c r="AL3052" i="7"/>
  <c r="AK3052" i="7"/>
  <c r="AI3052" i="7" s="1"/>
  <c r="AD3052" i="7"/>
  <c r="AC3052" i="7"/>
  <c r="AB3052" i="7" s="1"/>
  <c r="T3052" i="7"/>
  <c r="S3052" i="7"/>
  <c r="L3052" i="7"/>
  <c r="K3052" i="7"/>
  <c r="J3052" i="7" s="1"/>
  <c r="D3052" i="7"/>
  <c r="C3052" i="7"/>
  <c r="B3052" i="7" s="1"/>
  <c r="AR3051" i="7"/>
  <c r="AQ3051" i="7"/>
  <c r="AP3051" i="7" s="1"/>
  <c r="AL3051" i="7"/>
  <c r="AK3051" i="7"/>
  <c r="AD3051" i="7"/>
  <c r="AC3051" i="7"/>
  <c r="AA3051" i="7" s="1"/>
  <c r="T3051" i="7"/>
  <c r="S3051" i="7"/>
  <c r="R3051" i="7"/>
  <c r="L3051" i="7"/>
  <c r="K3051" i="7"/>
  <c r="J3051" i="7" s="1"/>
  <c r="D3051" i="7"/>
  <c r="C3051" i="7"/>
  <c r="B3051" i="7"/>
  <c r="AR3050" i="7"/>
  <c r="AQ3050" i="7"/>
  <c r="AL3050" i="7"/>
  <c r="AK3050" i="7"/>
  <c r="AD3050" i="7"/>
  <c r="AC3050" i="7"/>
  <c r="AB3050" i="7" s="1"/>
  <c r="T3050" i="7"/>
  <c r="S3050" i="7"/>
  <c r="R3050" i="7"/>
  <c r="L3050" i="7"/>
  <c r="K3050" i="7"/>
  <c r="J3050" i="7"/>
  <c r="D3050" i="7"/>
  <c r="C3050" i="7"/>
  <c r="B3050" i="7"/>
  <c r="AR3049" i="7"/>
  <c r="AQ3049" i="7"/>
  <c r="AP3049" i="7"/>
  <c r="AL3049" i="7"/>
  <c r="AK3049" i="7"/>
  <c r="AI3049" i="7" s="1"/>
  <c r="AD3049" i="7"/>
  <c r="AC3049" i="7"/>
  <c r="T3049" i="7"/>
  <c r="S3049" i="7"/>
  <c r="R3049" i="7" s="1"/>
  <c r="L3049" i="7"/>
  <c r="K3049" i="7"/>
  <c r="J3049" i="7" s="1"/>
  <c r="D3049" i="7"/>
  <c r="C3049" i="7"/>
  <c r="AR3048" i="7"/>
  <c r="AQ3048" i="7"/>
  <c r="AP3048" i="7" s="1"/>
  <c r="AL3048" i="7"/>
  <c r="AK3048" i="7"/>
  <c r="AD3048" i="7"/>
  <c r="AC3048" i="7"/>
  <c r="AA3048" i="7" s="1"/>
  <c r="T3048" i="7"/>
  <c r="S3048" i="7"/>
  <c r="R3048" i="7"/>
  <c r="L3048" i="7"/>
  <c r="K3048" i="7"/>
  <c r="D3048" i="7"/>
  <c r="C3048" i="7"/>
  <c r="B3048" i="7"/>
  <c r="AR3047" i="7"/>
  <c r="AQ3047" i="7"/>
  <c r="AP3047" i="7" s="1"/>
  <c r="AL3047" i="7"/>
  <c r="AK3047" i="7"/>
  <c r="AD3047" i="7"/>
  <c r="AC3047" i="7"/>
  <c r="T3047" i="7"/>
  <c r="S3047" i="7"/>
  <c r="R3047" i="7"/>
  <c r="L3047" i="7"/>
  <c r="K3047" i="7"/>
  <c r="J3047" i="7" s="1"/>
  <c r="D3047" i="7"/>
  <c r="C3047" i="7"/>
  <c r="B3047" i="7"/>
  <c r="AR3046" i="7"/>
  <c r="AQ3046" i="7"/>
  <c r="AP3046" i="7" s="1"/>
  <c r="AL3046" i="7"/>
  <c r="AK3046" i="7"/>
  <c r="AD3046" i="7"/>
  <c r="AC3046" i="7"/>
  <c r="AB3046" i="7" s="1"/>
  <c r="T3046" i="7"/>
  <c r="S3046" i="7"/>
  <c r="R3046" i="7" s="1"/>
  <c r="L3046" i="7"/>
  <c r="K3046" i="7"/>
  <c r="J3046" i="7" s="1"/>
  <c r="D3046" i="7"/>
  <c r="C3046" i="7"/>
  <c r="B3046" i="7" s="1"/>
  <c r="AR3045" i="7"/>
  <c r="AQ3045" i="7"/>
  <c r="AP3045" i="7" s="1"/>
  <c r="AL3045" i="7"/>
  <c r="AK3045" i="7"/>
  <c r="AD3045" i="7"/>
  <c r="AC3045" i="7"/>
  <c r="AA3045" i="7" s="1"/>
  <c r="T3045" i="7"/>
  <c r="R3045" i="7" s="1"/>
  <c r="S3045" i="7"/>
  <c r="L3045" i="7"/>
  <c r="K3045" i="7"/>
  <c r="D3045" i="7"/>
  <c r="B3045" i="7" s="1"/>
  <c r="C3045" i="7"/>
  <c r="AR3044" i="7"/>
  <c r="AQ3044" i="7"/>
  <c r="AP3044" i="7" s="1"/>
  <c r="AL3044" i="7"/>
  <c r="AK3044" i="7"/>
  <c r="AD3044" i="7"/>
  <c r="AC3044" i="7"/>
  <c r="AB3044" i="7" s="1"/>
  <c r="T3044" i="7"/>
  <c r="S3044" i="7"/>
  <c r="R3044" i="7"/>
  <c r="L3044" i="7"/>
  <c r="K3044" i="7"/>
  <c r="J3044" i="7"/>
  <c r="D3044" i="7"/>
  <c r="C3044" i="7"/>
  <c r="B3044" i="7"/>
  <c r="AR3043" i="7"/>
  <c r="AQ3043" i="7"/>
  <c r="AP3043" i="7"/>
  <c r="AL3043" i="7"/>
  <c r="AK3043" i="7"/>
  <c r="AI3043" i="7" s="1"/>
  <c r="AD3043" i="7"/>
  <c r="AC3043" i="7"/>
  <c r="AB3043" i="7" s="1"/>
  <c r="T3043" i="7"/>
  <c r="S3043" i="7"/>
  <c r="L3043" i="7"/>
  <c r="K3043" i="7"/>
  <c r="J3043" i="7" s="1"/>
  <c r="D3043" i="7"/>
  <c r="C3043" i="7"/>
  <c r="B3043" i="7" s="1"/>
  <c r="AR3042" i="7"/>
  <c r="AQ3042" i="7"/>
  <c r="AP3042" i="7" s="1"/>
  <c r="AL3042" i="7"/>
  <c r="AK3042" i="7"/>
  <c r="AD3042" i="7"/>
  <c r="AC3042" i="7"/>
  <c r="AA3042" i="7" s="1"/>
  <c r="T3042" i="7"/>
  <c r="R3042" i="7" s="1"/>
  <c r="S3042" i="7"/>
  <c r="L3042" i="7"/>
  <c r="K3042" i="7"/>
  <c r="D3042" i="7"/>
  <c r="C3042" i="7"/>
  <c r="B3042" i="7"/>
  <c r="AR3041" i="7"/>
  <c r="AQ3041" i="7"/>
  <c r="AP3041" i="7" s="1"/>
  <c r="AL3041" i="7"/>
  <c r="AK3041" i="7"/>
  <c r="AD3041" i="7"/>
  <c r="AC3041" i="7"/>
  <c r="AB3041" i="7" s="1"/>
  <c r="T3041" i="7"/>
  <c r="S3041" i="7"/>
  <c r="R3041" i="7"/>
  <c r="L3041" i="7"/>
  <c r="K3041" i="7"/>
  <c r="J3041" i="7" s="1"/>
  <c r="D3041" i="7"/>
  <c r="C3041" i="7"/>
  <c r="B3041" i="7"/>
  <c r="AR3040" i="7"/>
  <c r="AQ3040" i="7"/>
  <c r="AP3040" i="7" s="1"/>
  <c r="AL3040" i="7"/>
  <c r="AK3040" i="7"/>
  <c r="AD3040" i="7"/>
  <c r="AC3040" i="7"/>
  <c r="AB3040" i="7" s="1"/>
  <c r="T3040" i="7"/>
  <c r="S3040" i="7"/>
  <c r="R3040" i="7" s="1"/>
  <c r="L3040" i="7"/>
  <c r="K3040" i="7"/>
  <c r="J3040" i="7" s="1"/>
  <c r="D3040" i="7"/>
  <c r="C3040" i="7"/>
  <c r="B3040" i="7" s="1"/>
  <c r="AR3039" i="7"/>
  <c r="AQ3039" i="7"/>
  <c r="AP3039" i="7" s="1"/>
  <c r="AL3039" i="7"/>
  <c r="AK3039" i="7"/>
  <c r="AD3039" i="7"/>
  <c r="AC3039" i="7"/>
  <c r="AA3039" i="7" s="1"/>
  <c r="T3039" i="7"/>
  <c r="R3039" i="7" s="1"/>
  <c r="S3039" i="7"/>
  <c r="L3039" i="7"/>
  <c r="K3039" i="7"/>
  <c r="D3039" i="7"/>
  <c r="B3039" i="7" s="1"/>
  <c r="C3039" i="7"/>
  <c r="AR3038" i="7"/>
  <c r="AQ3038" i="7"/>
  <c r="AP3038" i="7" s="1"/>
  <c r="AL3038" i="7"/>
  <c r="AK3038" i="7"/>
  <c r="AJ3038" i="7" s="1"/>
  <c r="AD3038" i="7"/>
  <c r="AC3038" i="7"/>
  <c r="AB3038" i="7" s="1"/>
  <c r="T3038" i="7"/>
  <c r="S3038" i="7"/>
  <c r="R3038" i="7"/>
  <c r="L3038" i="7"/>
  <c r="K3038" i="7"/>
  <c r="J3038" i="7"/>
  <c r="D3038" i="7"/>
  <c r="C3038" i="7"/>
  <c r="B3038" i="7"/>
  <c r="AR3037" i="7"/>
  <c r="AQ3037" i="7"/>
  <c r="AP3037" i="7"/>
  <c r="AL3037" i="7"/>
  <c r="AK3037" i="7"/>
  <c r="AI3037" i="7" s="1"/>
  <c r="AD3037" i="7"/>
  <c r="AC3037" i="7"/>
  <c r="AB3037" i="7" s="1"/>
  <c r="T3037" i="7"/>
  <c r="S3037" i="7"/>
  <c r="L3037" i="7"/>
  <c r="K3037" i="7"/>
  <c r="J3037" i="7" s="1"/>
  <c r="D3037" i="7"/>
  <c r="C3037" i="7"/>
  <c r="B3037" i="7" s="1"/>
  <c r="AR3036" i="7"/>
  <c r="AQ3036" i="7"/>
  <c r="AP3036" i="7" s="1"/>
  <c r="AL3036" i="7"/>
  <c r="AK3036" i="7"/>
  <c r="AD3036" i="7"/>
  <c r="AC3036" i="7"/>
  <c r="AA3036" i="7" s="1"/>
  <c r="T3036" i="7"/>
  <c r="R3036" i="7" s="1"/>
  <c r="S3036" i="7"/>
  <c r="L3036" i="7"/>
  <c r="K3036" i="7"/>
  <c r="D3036" i="7"/>
  <c r="C3036" i="7"/>
  <c r="B3036" i="7"/>
  <c r="AR3035" i="7"/>
  <c r="AQ3035" i="7"/>
  <c r="AP3035" i="7" s="1"/>
  <c r="AL3035" i="7"/>
  <c r="AK3035" i="7"/>
  <c r="AI3035" i="7" s="1"/>
  <c r="AD3035" i="7"/>
  <c r="AC3035" i="7"/>
  <c r="AB3035" i="7" s="1"/>
  <c r="T3035" i="7"/>
  <c r="S3035" i="7"/>
  <c r="R3035" i="7"/>
  <c r="L3035" i="7"/>
  <c r="K3035" i="7"/>
  <c r="J3035" i="7" s="1"/>
  <c r="D3035" i="7"/>
  <c r="C3035" i="7"/>
  <c r="B3035" i="7"/>
  <c r="AR3034" i="7"/>
  <c r="AQ3034" i="7"/>
  <c r="AP3034" i="7" s="1"/>
  <c r="AL3034" i="7"/>
  <c r="AK3034" i="7"/>
  <c r="AD3034" i="7"/>
  <c r="AC3034" i="7"/>
  <c r="AA3034" i="7" s="1"/>
  <c r="Z3034" i="7" s="1"/>
  <c r="AB3034" i="7"/>
  <c r="T3034" i="7"/>
  <c r="S3034" i="7"/>
  <c r="R3034" i="7" s="1"/>
  <c r="L3034" i="7"/>
  <c r="K3034" i="7"/>
  <c r="J3034" i="7" s="1"/>
  <c r="D3034" i="7"/>
  <c r="C3034" i="7"/>
  <c r="AR3033" i="7"/>
  <c r="AQ3033" i="7"/>
  <c r="AP3033" i="7" s="1"/>
  <c r="AL3033" i="7"/>
  <c r="AK3033" i="7"/>
  <c r="AD3033" i="7"/>
  <c r="AC3033" i="7"/>
  <c r="T3033" i="7"/>
  <c r="S3033" i="7"/>
  <c r="R3033" i="7"/>
  <c r="L3033" i="7"/>
  <c r="J3033" i="7" s="1"/>
  <c r="K3033" i="7"/>
  <c r="D3033" i="7"/>
  <c r="B3033" i="7" s="1"/>
  <c r="C3033" i="7"/>
  <c r="AR3032" i="7"/>
  <c r="AP3032" i="7" s="1"/>
  <c r="AQ3032" i="7"/>
  <c r="AL3032" i="7"/>
  <c r="AK3032" i="7"/>
  <c r="AD3032" i="7"/>
  <c r="AC3032" i="7"/>
  <c r="AB3032" i="7" s="1"/>
  <c r="T3032" i="7"/>
  <c r="S3032" i="7"/>
  <c r="R3032" i="7"/>
  <c r="L3032" i="7"/>
  <c r="K3032" i="7"/>
  <c r="J3032" i="7"/>
  <c r="D3032" i="7"/>
  <c r="C3032" i="7"/>
  <c r="B3032" i="7"/>
  <c r="AR3031" i="7"/>
  <c r="AQ3031" i="7"/>
  <c r="AP3031" i="7"/>
  <c r="AL3031" i="7"/>
  <c r="AK3031" i="7"/>
  <c r="AI3031" i="7" s="1"/>
  <c r="AD3031" i="7"/>
  <c r="AC3031" i="7"/>
  <c r="AA3031" i="7" s="1"/>
  <c r="T3031" i="7"/>
  <c r="S3031" i="7"/>
  <c r="L3031" i="7"/>
  <c r="K3031" i="7"/>
  <c r="J3031" i="7" s="1"/>
  <c r="D3031" i="7"/>
  <c r="C3031" i="7"/>
  <c r="AR3030" i="7"/>
  <c r="AQ3030" i="7"/>
  <c r="AP3030" i="7" s="1"/>
  <c r="AL3030" i="7"/>
  <c r="AK3030" i="7"/>
  <c r="AD3030" i="7"/>
  <c r="AC3030" i="7"/>
  <c r="AA3030" i="7" s="1"/>
  <c r="T3030" i="7"/>
  <c r="R3030" i="7" s="1"/>
  <c r="S3030" i="7"/>
  <c r="L3030" i="7"/>
  <c r="J3030" i="7" s="1"/>
  <c r="K3030" i="7"/>
  <c r="D3030" i="7"/>
  <c r="C3030" i="7"/>
  <c r="B3030" i="7"/>
  <c r="AR3029" i="7"/>
  <c r="AP3029" i="7" s="1"/>
  <c r="AQ3029" i="7"/>
  <c r="AL3029" i="7"/>
  <c r="AK3029" i="7"/>
  <c r="AD3029" i="7"/>
  <c r="AC3029" i="7"/>
  <c r="T3029" i="7"/>
  <c r="S3029" i="7"/>
  <c r="R3029" i="7"/>
  <c r="L3029" i="7"/>
  <c r="K3029" i="7"/>
  <c r="J3029" i="7" s="1"/>
  <c r="D3029" i="7"/>
  <c r="C3029" i="7"/>
  <c r="B3029" i="7"/>
  <c r="AR3028" i="7"/>
  <c r="AQ3028" i="7"/>
  <c r="AP3028" i="7" s="1"/>
  <c r="AL3028" i="7"/>
  <c r="AK3028" i="7"/>
  <c r="AI3028" i="7" s="1"/>
  <c r="AD3028" i="7"/>
  <c r="AC3028" i="7"/>
  <c r="AB3028" i="7" s="1"/>
  <c r="T3028" i="7"/>
  <c r="S3028" i="7"/>
  <c r="L3028" i="7"/>
  <c r="K3028" i="7"/>
  <c r="J3028" i="7" s="1"/>
  <c r="D3028" i="7"/>
  <c r="C3028" i="7"/>
  <c r="B3028" i="7" s="1"/>
  <c r="AR3027" i="7"/>
  <c r="AQ3027" i="7"/>
  <c r="AP3027" i="7" s="1"/>
  <c r="AL3027" i="7"/>
  <c r="AK3027" i="7"/>
  <c r="AD3027" i="7"/>
  <c r="AC3027" i="7"/>
  <c r="AA3027" i="7" s="1"/>
  <c r="T3027" i="7"/>
  <c r="R3027" i="7" s="1"/>
  <c r="S3027" i="7"/>
  <c r="L3027" i="7"/>
  <c r="J3027" i="7" s="1"/>
  <c r="K3027" i="7"/>
  <c r="D3027" i="7"/>
  <c r="C3027" i="7"/>
  <c r="B3027" i="7"/>
  <c r="AR3026" i="7"/>
  <c r="AP3026" i="7" s="1"/>
  <c r="AQ3026" i="7"/>
  <c r="AL3026" i="7"/>
  <c r="AK3026" i="7"/>
  <c r="AI3026" i="7" s="1"/>
  <c r="AJ3026" i="7"/>
  <c r="AD3026" i="7"/>
  <c r="AC3026" i="7"/>
  <c r="AB3026" i="7" s="1"/>
  <c r="T3026" i="7"/>
  <c r="S3026" i="7"/>
  <c r="R3026" i="7"/>
  <c r="L3026" i="7"/>
  <c r="K3026" i="7"/>
  <c r="J3026" i="7" s="1"/>
  <c r="D3026" i="7"/>
  <c r="C3026" i="7"/>
  <c r="B3026" i="7"/>
  <c r="AR3025" i="7"/>
  <c r="AQ3025" i="7"/>
  <c r="AP3025" i="7" s="1"/>
  <c r="AL3025" i="7"/>
  <c r="AK3025" i="7"/>
  <c r="AI3025" i="7" s="1"/>
  <c r="AD3025" i="7"/>
  <c r="AC3025" i="7"/>
  <c r="AA3025" i="7" s="1"/>
  <c r="T3025" i="7"/>
  <c r="S3025" i="7"/>
  <c r="R3025" i="7" s="1"/>
  <c r="L3025" i="7"/>
  <c r="K3025" i="7"/>
  <c r="D3025" i="7"/>
  <c r="C3025" i="7"/>
  <c r="B3025" i="7"/>
  <c r="AR3024" i="7"/>
  <c r="AQ3024" i="7"/>
  <c r="AL3024" i="7"/>
  <c r="AK3024" i="7"/>
  <c r="AD3024" i="7"/>
  <c r="AC3024" i="7"/>
  <c r="AA3024" i="7" s="1"/>
  <c r="T3024" i="7"/>
  <c r="R3024" i="7" s="1"/>
  <c r="S3024" i="7"/>
  <c r="L3024" i="7"/>
  <c r="K3024" i="7"/>
  <c r="J3024" i="7"/>
  <c r="D3024" i="7"/>
  <c r="B3024" i="7" s="1"/>
  <c r="C3024" i="7"/>
  <c r="AR3023" i="7"/>
  <c r="AQ3023" i="7"/>
  <c r="AP3023" i="7"/>
  <c r="AL3023" i="7"/>
  <c r="AK3023" i="7"/>
  <c r="AD3023" i="7"/>
  <c r="AC3023" i="7"/>
  <c r="AB3023" i="7" s="1"/>
  <c r="T3023" i="7"/>
  <c r="S3023" i="7"/>
  <c r="R3023" i="7"/>
  <c r="L3023" i="7"/>
  <c r="K3023" i="7"/>
  <c r="J3023" i="7" s="1"/>
  <c r="D3023" i="7"/>
  <c r="C3023" i="7"/>
  <c r="B3023" i="7"/>
  <c r="AR3022" i="7"/>
  <c r="AQ3022" i="7"/>
  <c r="AP3022" i="7" s="1"/>
  <c r="AL3022" i="7"/>
  <c r="AK3022" i="7"/>
  <c r="AI3022" i="7" s="1"/>
  <c r="AD3022" i="7"/>
  <c r="AC3022" i="7"/>
  <c r="T3022" i="7"/>
  <c r="S3022" i="7"/>
  <c r="R3022" i="7" s="1"/>
  <c r="L3022" i="7"/>
  <c r="K3022" i="7"/>
  <c r="J3022" i="7" s="1"/>
  <c r="D3022" i="7"/>
  <c r="C3022" i="7"/>
  <c r="B3022" i="7"/>
  <c r="AR3021" i="7"/>
  <c r="AQ3021" i="7"/>
  <c r="AP3021" i="7"/>
  <c r="AL3021" i="7"/>
  <c r="AK3021" i="7"/>
  <c r="AI3021" i="7" s="1"/>
  <c r="AD3021" i="7"/>
  <c r="AC3021" i="7"/>
  <c r="AB3021" i="7" s="1"/>
  <c r="T3021" i="7"/>
  <c r="S3021" i="7"/>
  <c r="R3021" i="7" s="1"/>
  <c r="L3021" i="7"/>
  <c r="K3021" i="7"/>
  <c r="J3021" i="7" s="1"/>
  <c r="D3021" i="7"/>
  <c r="C3021" i="7"/>
  <c r="B3021" i="7" s="1"/>
  <c r="AR3020" i="7"/>
  <c r="AQ3020" i="7"/>
  <c r="AP3020" i="7" s="1"/>
  <c r="AL3020" i="7"/>
  <c r="AK3020" i="7"/>
  <c r="AJ3020" i="7" s="1"/>
  <c r="AD3020" i="7"/>
  <c r="AC3020" i="7"/>
  <c r="AB3020" i="7" s="1"/>
  <c r="T3020" i="7"/>
  <c r="S3020" i="7"/>
  <c r="R3020" i="7" s="1"/>
  <c r="L3020" i="7"/>
  <c r="K3020" i="7"/>
  <c r="J3020" i="7"/>
  <c r="D3020" i="7"/>
  <c r="C3020" i="7"/>
  <c r="B3020" i="7" s="1"/>
  <c r="AR3019" i="7"/>
  <c r="AQ3019" i="7"/>
  <c r="AP3019" i="7"/>
  <c r="AL3019" i="7"/>
  <c r="AK3019" i="7"/>
  <c r="AJ3019" i="7" s="1"/>
  <c r="AD3019" i="7"/>
  <c r="AC3019" i="7"/>
  <c r="AB3019" i="7" s="1"/>
  <c r="T3019" i="7"/>
  <c r="S3019" i="7"/>
  <c r="R3019" i="7"/>
  <c r="L3019" i="7"/>
  <c r="K3019" i="7"/>
  <c r="J3019" i="7"/>
  <c r="D3019" i="7"/>
  <c r="C3019" i="7"/>
  <c r="B3019" i="7"/>
  <c r="AR3018" i="7"/>
  <c r="AQ3018" i="7"/>
  <c r="AP3018" i="7"/>
  <c r="AL3018" i="7"/>
  <c r="AK3018" i="7"/>
  <c r="AD3018" i="7"/>
  <c r="AC3018" i="7"/>
  <c r="T3018" i="7"/>
  <c r="S3018" i="7"/>
  <c r="R3018" i="7" s="1"/>
  <c r="L3018" i="7"/>
  <c r="K3018" i="7"/>
  <c r="J3018" i="7" s="1"/>
  <c r="D3018" i="7"/>
  <c r="C3018" i="7"/>
  <c r="B3018" i="7" s="1"/>
  <c r="AR3017" i="7"/>
  <c r="AQ3017" i="7"/>
  <c r="AP3017" i="7" s="1"/>
  <c r="AL3017" i="7"/>
  <c r="AK3017" i="7"/>
  <c r="AD3017" i="7"/>
  <c r="AC3017" i="7"/>
  <c r="T3017" i="7"/>
  <c r="S3017" i="7"/>
  <c r="R3017" i="7" s="1"/>
  <c r="L3017" i="7"/>
  <c r="K3017" i="7"/>
  <c r="J3017" i="7"/>
  <c r="D3017" i="7"/>
  <c r="C3017" i="7"/>
  <c r="B3017" i="7" s="1"/>
  <c r="AR3016" i="7"/>
  <c r="AQ3016" i="7"/>
  <c r="AP3016" i="7"/>
  <c r="AL3016" i="7"/>
  <c r="AK3016" i="7"/>
  <c r="AJ3016" i="7" s="1"/>
  <c r="AD3016" i="7"/>
  <c r="AC3016" i="7"/>
  <c r="AB3016" i="7" s="1"/>
  <c r="T3016" i="7"/>
  <c r="S3016" i="7"/>
  <c r="R3016" i="7"/>
  <c r="L3016" i="7"/>
  <c r="K3016" i="7"/>
  <c r="J3016" i="7"/>
  <c r="D3016" i="7"/>
  <c r="C3016" i="7"/>
  <c r="B3016" i="7"/>
  <c r="AR3015" i="7"/>
  <c r="AQ3015" i="7"/>
  <c r="AP3015" i="7"/>
  <c r="AL3015" i="7"/>
  <c r="AK3015" i="7"/>
  <c r="AI3015" i="7" s="1"/>
  <c r="AD3015" i="7"/>
  <c r="AC3015" i="7"/>
  <c r="AA3015" i="7" s="1"/>
  <c r="T3015" i="7"/>
  <c r="S3015" i="7"/>
  <c r="R3015" i="7" s="1"/>
  <c r="L3015" i="7"/>
  <c r="K3015" i="7"/>
  <c r="J3015" i="7" s="1"/>
  <c r="D3015" i="7"/>
  <c r="C3015" i="7"/>
  <c r="B3015" i="7" s="1"/>
  <c r="AR3014" i="7"/>
  <c r="AQ3014" i="7"/>
  <c r="AP3014" i="7" s="1"/>
  <c r="AL3014" i="7"/>
  <c r="AK3014" i="7"/>
  <c r="AJ3014" i="7" s="1"/>
  <c r="AD3014" i="7"/>
  <c r="AC3014" i="7"/>
  <c r="AB3014" i="7" s="1"/>
  <c r="T3014" i="7"/>
  <c r="S3014" i="7"/>
  <c r="R3014" i="7" s="1"/>
  <c r="L3014" i="7"/>
  <c r="K3014" i="7"/>
  <c r="J3014" i="7"/>
  <c r="D3014" i="7"/>
  <c r="C3014" i="7"/>
  <c r="B3014" i="7" s="1"/>
  <c r="AR3013" i="7"/>
  <c r="AQ3013" i="7"/>
  <c r="AP3013" i="7"/>
  <c r="AL3013" i="7"/>
  <c r="AK3013" i="7"/>
  <c r="AJ3013" i="7" s="1"/>
  <c r="AD3013" i="7"/>
  <c r="AC3013" i="7"/>
  <c r="AB3013" i="7" s="1"/>
  <c r="T3013" i="7"/>
  <c r="S3013" i="7"/>
  <c r="R3013" i="7"/>
  <c r="L3013" i="7"/>
  <c r="K3013" i="7"/>
  <c r="J3013" i="7"/>
  <c r="D3013" i="7"/>
  <c r="C3013" i="7"/>
  <c r="B3013" i="7"/>
  <c r="AR3012" i="7"/>
  <c r="AQ3012" i="7"/>
  <c r="AP3012" i="7"/>
  <c r="AL3012" i="7"/>
  <c r="AK3012" i="7"/>
  <c r="AD3012" i="7"/>
  <c r="AC3012" i="7"/>
  <c r="T3012" i="7"/>
  <c r="S3012" i="7"/>
  <c r="R3012" i="7" s="1"/>
  <c r="L3012" i="7"/>
  <c r="K3012" i="7"/>
  <c r="J3012" i="7" s="1"/>
  <c r="D3012" i="7"/>
  <c r="C3012" i="7"/>
  <c r="B3012" i="7" s="1"/>
  <c r="AR3011" i="7"/>
  <c r="AQ3011" i="7"/>
  <c r="AP3011" i="7" s="1"/>
  <c r="AL3011" i="7"/>
  <c r="AK3011" i="7"/>
  <c r="AD3011" i="7"/>
  <c r="AC3011" i="7"/>
  <c r="T3011" i="7"/>
  <c r="S3011" i="7"/>
  <c r="R3011" i="7" s="1"/>
  <c r="L3011" i="7"/>
  <c r="K3011" i="7"/>
  <c r="J3011" i="7"/>
  <c r="D3011" i="7"/>
  <c r="C3011" i="7"/>
  <c r="B3011" i="7" s="1"/>
  <c r="AR3010" i="7"/>
  <c r="AQ3010" i="7"/>
  <c r="AP3010" i="7"/>
  <c r="AL3010" i="7"/>
  <c r="AK3010" i="7"/>
  <c r="AJ3010" i="7" s="1"/>
  <c r="AD3010" i="7"/>
  <c r="AC3010" i="7"/>
  <c r="AB3010" i="7" s="1"/>
  <c r="T3010" i="7"/>
  <c r="S3010" i="7"/>
  <c r="R3010" i="7"/>
  <c r="L3010" i="7"/>
  <c r="K3010" i="7"/>
  <c r="J3010" i="7"/>
  <c r="D3010" i="7"/>
  <c r="C3010" i="7"/>
  <c r="B3010" i="7"/>
  <c r="AR3009" i="7"/>
  <c r="AQ3009" i="7"/>
  <c r="AP3009" i="7"/>
  <c r="AL3009" i="7"/>
  <c r="AK3009" i="7"/>
  <c r="AD3009" i="7"/>
  <c r="AC3009" i="7"/>
  <c r="T3009" i="7"/>
  <c r="S3009" i="7"/>
  <c r="R3009" i="7" s="1"/>
  <c r="L3009" i="7"/>
  <c r="K3009" i="7"/>
  <c r="J3009" i="7" s="1"/>
  <c r="D3009" i="7"/>
  <c r="C3009" i="7"/>
  <c r="B3009" i="7" s="1"/>
  <c r="AR3008" i="7"/>
  <c r="AQ3008" i="7"/>
  <c r="AP3008" i="7" s="1"/>
  <c r="AL3008" i="7"/>
  <c r="AK3008" i="7"/>
  <c r="AJ3008" i="7" s="1"/>
  <c r="AI3008" i="7"/>
  <c r="AD3008" i="7"/>
  <c r="AC3008" i="7"/>
  <c r="T3008" i="7"/>
  <c r="S3008" i="7"/>
  <c r="R3008" i="7" s="1"/>
  <c r="L3008" i="7"/>
  <c r="K3008" i="7"/>
  <c r="J3008" i="7"/>
  <c r="D3008" i="7"/>
  <c r="C3008" i="7"/>
  <c r="B3008" i="7" s="1"/>
  <c r="AR3007" i="7"/>
  <c r="AQ3007" i="7"/>
  <c r="AP3007" i="7"/>
  <c r="AL3007" i="7"/>
  <c r="AK3007" i="7"/>
  <c r="AJ3007" i="7" s="1"/>
  <c r="AD3007" i="7"/>
  <c r="AC3007" i="7"/>
  <c r="AB3007" i="7" s="1"/>
  <c r="T3007" i="7"/>
  <c r="S3007" i="7"/>
  <c r="R3007" i="7"/>
  <c r="L3007" i="7"/>
  <c r="K3007" i="7"/>
  <c r="J3007" i="7"/>
  <c r="D3007" i="7"/>
  <c r="C3007" i="7"/>
  <c r="B3007" i="7"/>
  <c r="AR3006" i="7"/>
  <c r="AQ3006" i="7"/>
  <c r="AP3006" i="7"/>
  <c r="AL3006" i="7"/>
  <c r="AK3006" i="7"/>
  <c r="AD3006" i="7"/>
  <c r="AC3006" i="7"/>
  <c r="AA3006" i="7" s="1"/>
  <c r="T3006" i="7"/>
  <c r="S3006" i="7"/>
  <c r="R3006" i="7" s="1"/>
  <c r="L3006" i="7"/>
  <c r="K3006" i="7"/>
  <c r="J3006" i="7" s="1"/>
  <c r="D3006" i="7"/>
  <c r="C3006" i="7"/>
  <c r="B3006" i="7" s="1"/>
  <c r="AR3005" i="7"/>
  <c r="AQ3005" i="7"/>
  <c r="AP3005" i="7" s="1"/>
  <c r="AL3005" i="7"/>
  <c r="AK3005" i="7"/>
  <c r="AD3005" i="7"/>
  <c r="AC3005" i="7"/>
  <c r="AB3005" i="7" s="1"/>
  <c r="T3005" i="7"/>
  <c r="S3005" i="7"/>
  <c r="R3005" i="7" s="1"/>
  <c r="L3005" i="7"/>
  <c r="K3005" i="7"/>
  <c r="J3005" i="7"/>
  <c r="D3005" i="7"/>
  <c r="C3005" i="7"/>
  <c r="B3005" i="7" s="1"/>
  <c r="AR3004" i="7"/>
  <c r="AQ3004" i="7"/>
  <c r="AP3004" i="7"/>
  <c r="AL3004" i="7"/>
  <c r="AK3004" i="7"/>
  <c r="AJ3004" i="7" s="1"/>
  <c r="AD3004" i="7"/>
  <c r="AC3004" i="7"/>
  <c r="AB3004" i="7" s="1"/>
  <c r="T3004" i="7"/>
  <c r="S3004" i="7"/>
  <c r="R3004" i="7"/>
  <c r="L3004" i="7"/>
  <c r="K3004" i="7"/>
  <c r="J3004" i="7"/>
  <c r="D3004" i="7"/>
  <c r="C3004" i="7"/>
  <c r="B3004" i="7"/>
  <c r="AR3003" i="7"/>
  <c r="AQ3003" i="7"/>
  <c r="AP3003" i="7"/>
  <c r="AL3003" i="7"/>
  <c r="AK3003" i="7"/>
  <c r="AD3003" i="7"/>
  <c r="AC3003" i="7"/>
  <c r="T3003" i="7"/>
  <c r="S3003" i="7"/>
  <c r="R3003" i="7" s="1"/>
  <c r="L3003" i="7"/>
  <c r="K3003" i="7"/>
  <c r="J3003" i="7" s="1"/>
  <c r="D3003" i="7"/>
  <c r="C3003" i="7"/>
  <c r="B3003" i="7" s="1"/>
  <c r="AR3002" i="7"/>
  <c r="AQ3002" i="7"/>
  <c r="AP3002" i="7" s="1"/>
  <c r="AL3002" i="7"/>
  <c r="AK3002" i="7"/>
  <c r="AD3002" i="7"/>
  <c r="AC3002" i="7"/>
  <c r="AA3002" i="7" s="1"/>
  <c r="T3002" i="7"/>
  <c r="S3002" i="7"/>
  <c r="R3002" i="7" s="1"/>
  <c r="L3002" i="7"/>
  <c r="K3002" i="7"/>
  <c r="J3002" i="7"/>
  <c r="D3002" i="7"/>
  <c r="C3002" i="7"/>
  <c r="B3002" i="7" s="1"/>
  <c r="AR3001" i="7"/>
  <c r="AQ3001" i="7"/>
  <c r="AP3001" i="7"/>
  <c r="AL3001" i="7"/>
  <c r="AK3001" i="7"/>
  <c r="AD3001" i="7"/>
  <c r="AC3001" i="7"/>
  <c r="AB3001" i="7" s="1"/>
  <c r="T3001" i="7"/>
  <c r="S3001" i="7"/>
  <c r="R3001" i="7"/>
  <c r="L3001" i="7"/>
  <c r="K3001" i="7"/>
  <c r="J3001" i="7"/>
  <c r="D3001" i="7"/>
  <c r="C3001" i="7"/>
  <c r="B3001" i="7"/>
  <c r="AR3000" i="7"/>
  <c r="AQ3000" i="7"/>
  <c r="AP3000" i="7"/>
  <c r="AL3000" i="7"/>
  <c r="AK3000" i="7"/>
  <c r="AD3000" i="7"/>
  <c r="AC3000" i="7"/>
  <c r="AB3000" i="7" s="1"/>
  <c r="T3000" i="7"/>
  <c r="S3000" i="7"/>
  <c r="R3000" i="7" s="1"/>
  <c r="L3000" i="7"/>
  <c r="K3000" i="7"/>
  <c r="J3000" i="7" s="1"/>
  <c r="D3000" i="7"/>
  <c r="C3000" i="7"/>
  <c r="B3000" i="7" s="1"/>
  <c r="AR2999" i="7"/>
  <c r="AQ2999" i="7"/>
  <c r="AP2999" i="7" s="1"/>
  <c r="AL2999" i="7"/>
  <c r="AK2999" i="7"/>
  <c r="AJ2999" i="7" s="1"/>
  <c r="AD2999" i="7"/>
  <c r="AC2999" i="7"/>
  <c r="T2999" i="7"/>
  <c r="S2999" i="7"/>
  <c r="R2999" i="7" s="1"/>
  <c r="L2999" i="7"/>
  <c r="K2999" i="7"/>
  <c r="J2999" i="7"/>
  <c r="D2999" i="7"/>
  <c r="C2999" i="7"/>
  <c r="B2999" i="7" s="1"/>
  <c r="AR2998" i="7"/>
  <c r="AQ2998" i="7"/>
  <c r="AP2998" i="7"/>
  <c r="AL2998" i="7"/>
  <c r="AK2998" i="7"/>
  <c r="AJ2998" i="7" s="1"/>
  <c r="AD2998" i="7"/>
  <c r="AC2998" i="7"/>
  <c r="AB2998" i="7" s="1"/>
  <c r="T2998" i="7"/>
  <c r="S2998" i="7"/>
  <c r="R2998" i="7"/>
  <c r="L2998" i="7"/>
  <c r="K2998" i="7"/>
  <c r="J2998" i="7"/>
  <c r="D2998" i="7"/>
  <c r="C2998" i="7"/>
  <c r="B2998" i="7"/>
  <c r="AR2997" i="7"/>
  <c r="AQ2997" i="7"/>
  <c r="AP2997" i="7"/>
  <c r="AL2997" i="7"/>
  <c r="AK2997" i="7"/>
  <c r="AI2997" i="7" s="1"/>
  <c r="AD2997" i="7"/>
  <c r="AC2997" i="7"/>
  <c r="AA2997" i="7" s="1"/>
  <c r="T2997" i="7"/>
  <c r="S2997" i="7"/>
  <c r="R2997" i="7" s="1"/>
  <c r="L2997" i="7"/>
  <c r="K2997" i="7"/>
  <c r="J2997" i="7" s="1"/>
  <c r="D2997" i="7"/>
  <c r="C2997" i="7"/>
  <c r="B2997" i="7" s="1"/>
  <c r="AR2996" i="7"/>
  <c r="AQ2996" i="7"/>
  <c r="AP2996" i="7" s="1"/>
  <c r="AL2996" i="7"/>
  <c r="AK2996" i="7"/>
  <c r="AD2996" i="7"/>
  <c r="AC2996" i="7"/>
  <c r="AA2996" i="7" s="1"/>
  <c r="T2996" i="7"/>
  <c r="S2996" i="7"/>
  <c r="R2996" i="7" s="1"/>
  <c r="L2996" i="7"/>
  <c r="K2996" i="7"/>
  <c r="J2996" i="7"/>
  <c r="D2996" i="7"/>
  <c r="C2996" i="7"/>
  <c r="B2996" i="7" s="1"/>
  <c r="AR2995" i="7"/>
  <c r="AQ2995" i="7"/>
  <c r="AP2995" i="7"/>
  <c r="AL2995" i="7"/>
  <c r="AK2995" i="7"/>
  <c r="AJ2995" i="7" s="1"/>
  <c r="AD2995" i="7"/>
  <c r="AC2995" i="7"/>
  <c r="AB2995" i="7" s="1"/>
  <c r="T2995" i="7"/>
  <c r="S2995" i="7"/>
  <c r="R2995" i="7"/>
  <c r="L2995" i="7"/>
  <c r="K2995" i="7"/>
  <c r="J2995" i="7"/>
  <c r="D2995" i="7"/>
  <c r="C2995" i="7"/>
  <c r="B2995" i="7"/>
  <c r="AR2994" i="7"/>
  <c r="AQ2994" i="7"/>
  <c r="AP2994" i="7"/>
  <c r="AL2994" i="7"/>
  <c r="AK2994" i="7"/>
  <c r="AI2994" i="7" s="1"/>
  <c r="AD2994" i="7"/>
  <c r="AC2994" i="7"/>
  <c r="T2994" i="7"/>
  <c r="S2994" i="7"/>
  <c r="R2994" i="7" s="1"/>
  <c r="L2994" i="7"/>
  <c r="K2994" i="7"/>
  <c r="J2994" i="7" s="1"/>
  <c r="D2994" i="7"/>
  <c r="C2994" i="7"/>
  <c r="B2994" i="7" s="1"/>
  <c r="AR2993" i="7"/>
  <c r="AQ2993" i="7"/>
  <c r="AP2993" i="7" s="1"/>
  <c r="AL2993" i="7"/>
  <c r="AK2993" i="7"/>
  <c r="AD2993" i="7"/>
  <c r="AC2993" i="7"/>
  <c r="T2993" i="7"/>
  <c r="S2993" i="7"/>
  <c r="R2993" i="7" s="1"/>
  <c r="L2993" i="7"/>
  <c r="K2993" i="7"/>
  <c r="J2993" i="7"/>
  <c r="D2993" i="7"/>
  <c r="C2993" i="7"/>
  <c r="B2993" i="7" s="1"/>
  <c r="AR2992" i="7"/>
  <c r="AQ2992" i="7"/>
  <c r="AP2992" i="7"/>
  <c r="AL2992" i="7"/>
  <c r="AK2992" i="7"/>
  <c r="AJ2992" i="7" s="1"/>
  <c r="AD2992" i="7"/>
  <c r="AC2992" i="7"/>
  <c r="AB2992" i="7" s="1"/>
  <c r="T2992" i="7"/>
  <c r="S2992" i="7"/>
  <c r="R2992" i="7"/>
  <c r="L2992" i="7"/>
  <c r="K2992" i="7"/>
  <c r="J2992" i="7"/>
  <c r="D2992" i="7"/>
  <c r="C2992" i="7"/>
  <c r="B2992" i="7"/>
  <c r="AR2991" i="7"/>
  <c r="AQ2991" i="7"/>
  <c r="AP2991" i="7"/>
  <c r="AL2991" i="7"/>
  <c r="AK2991" i="7"/>
  <c r="AD2991" i="7"/>
  <c r="AC2991" i="7"/>
  <c r="AA2991" i="7" s="1"/>
  <c r="T2991" i="7"/>
  <c r="S2991" i="7"/>
  <c r="R2991" i="7" s="1"/>
  <c r="L2991" i="7"/>
  <c r="K2991" i="7"/>
  <c r="J2991" i="7" s="1"/>
  <c r="D2991" i="7"/>
  <c r="C2991" i="7"/>
  <c r="B2991" i="7" s="1"/>
  <c r="AR2990" i="7"/>
  <c r="AQ2990" i="7"/>
  <c r="AP2990" i="7" s="1"/>
  <c r="AL2990" i="7"/>
  <c r="AK2990" i="7"/>
  <c r="AJ2990" i="7" s="1"/>
  <c r="AD2990" i="7"/>
  <c r="AC2990" i="7"/>
  <c r="T2990" i="7"/>
  <c r="S2990" i="7"/>
  <c r="R2990" i="7" s="1"/>
  <c r="L2990" i="7"/>
  <c r="K2990" i="7"/>
  <c r="J2990" i="7"/>
  <c r="D2990" i="7"/>
  <c r="C2990" i="7"/>
  <c r="B2990" i="7" s="1"/>
  <c r="AR2989" i="7"/>
  <c r="AQ2989" i="7"/>
  <c r="AP2989" i="7"/>
  <c r="AL2989" i="7"/>
  <c r="AK2989" i="7"/>
  <c r="AJ2989" i="7" s="1"/>
  <c r="AD2989" i="7"/>
  <c r="AC2989" i="7"/>
  <c r="AB2989" i="7" s="1"/>
  <c r="T2989" i="7"/>
  <c r="S2989" i="7"/>
  <c r="R2989" i="7"/>
  <c r="L2989" i="7"/>
  <c r="K2989" i="7"/>
  <c r="J2989" i="7"/>
  <c r="D2989" i="7"/>
  <c r="C2989" i="7"/>
  <c r="B2989" i="7"/>
  <c r="AR2988" i="7"/>
  <c r="AQ2988" i="7"/>
  <c r="AP2988" i="7"/>
  <c r="AL2988" i="7"/>
  <c r="AK2988" i="7"/>
  <c r="AI2988" i="7" s="1"/>
  <c r="AJ2988" i="7"/>
  <c r="AD2988" i="7"/>
  <c r="AC2988" i="7"/>
  <c r="AA2988" i="7" s="1"/>
  <c r="T2988" i="7"/>
  <c r="S2988" i="7"/>
  <c r="R2988" i="7" s="1"/>
  <c r="L2988" i="7"/>
  <c r="K2988" i="7"/>
  <c r="J2988" i="7" s="1"/>
  <c r="D2988" i="7"/>
  <c r="C2988" i="7"/>
  <c r="B2988" i="7" s="1"/>
  <c r="AR2987" i="7"/>
  <c r="AQ2987" i="7"/>
  <c r="AP2987" i="7" s="1"/>
  <c r="AL2987" i="7"/>
  <c r="AK2987" i="7"/>
  <c r="AD2987" i="7"/>
  <c r="AC2987" i="7"/>
  <c r="AA2987" i="7" s="1"/>
  <c r="T2987" i="7"/>
  <c r="S2987" i="7"/>
  <c r="R2987" i="7" s="1"/>
  <c r="L2987" i="7"/>
  <c r="K2987" i="7"/>
  <c r="J2987" i="7"/>
  <c r="D2987" i="7"/>
  <c r="C2987" i="7"/>
  <c r="B2987" i="7" s="1"/>
  <c r="AR2986" i="7"/>
  <c r="AQ2986" i="7"/>
  <c r="AP2986" i="7"/>
  <c r="AL2986" i="7"/>
  <c r="AK2986" i="7"/>
  <c r="AJ2986" i="7" s="1"/>
  <c r="AD2986" i="7"/>
  <c r="AC2986" i="7"/>
  <c r="T2986" i="7"/>
  <c r="S2986" i="7"/>
  <c r="R2986" i="7"/>
  <c r="L2986" i="7"/>
  <c r="K2986" i="7"/>
  <c r="J2986" i="7"/>
  <c r="D2986" i="7"/>
  <c r="C2986" i="7"/>
  <c r="B2986" i="7"/>
  <c r="AR2985" i="7"/>
  <c r="AQ2985" i="7"/>
  <c r="AP2985" i="7"/>
  <c r="AL2985" i="7"/>
  <c r="AK2985" i="7"/>
  <c r="AI2985" i="7" s="1"/>
  <c r="AD2985" i="7"/>
  <c r="AC2985" i="7"/>
  <c r="AB2985" i="7" s="1"/>
  <c r="T2985" i="7"/>
  <c r="S2985" i="7"/>
  <c r="R2985" i="7" s="1"/>
  <c r="L2985" i="7"/>
  <c r="K2985" i="7"/>
  <c r="J2985" i="7" s="1"/>
  <c r="D2985" i="7"/>
  <c r="C2985" i="7"/>
  <c r="B2985" i="7" s="1"/>
  <c r="AR2984" i="7"/>
  <c r="AQ2984" i="7"/>
  <c r="AP2984" i="7" s="1"/>
  <c r="AL2984" i="7"/>
  <c r="AK2984" i="7"/>
  <c r="AJ2984" i="7" s="1"/>
  <c r="AD2984" i="7"/>
  <c r="AC2984" i="7"/>
  <c r="AA2984" i="7" s="1"/>
  <c r="AB2984" i="7"/>
  <c r="T2984" i="7"/>
  <c r="S2984" i="7"/>
  <c r="L2984" i="7"/>
  <c r="K2984" i="7"/>
  <c r="J2984" i="7"/>
  <c r="D2984" i="7"/>
  <c r="C2984" i="7"/>
  <c r="B2984" i="7" s="1"/>
  <c r="AR2983" i="7"/>
  <c r="AQ2983" i="7"/>
  <c r="AP2983" i="7"/>
  <c r="AL2983" i="7"/>
  <c r="AK2983" i="7"/>
  <c r="AJ2983" i="7" s="1"/>
  <c r="AD2983" i="7"/>
  <c r="AC2983" i="7"/>
  <c r="T2983" i="7"/>
  <c r="S2983" i="7"/>
  <c r="R2983" i="7" s="1"/>
  <c r="L2983" i="7"/>
  <c r="K2983" i="7"/>
  <c r="J2983" i="7"/>
  <c r="D2983" i="7"/>
  <c r="C2983" i="7"/>
  <c r="B2983" i="7" s="1"/>
  <c r="AR2982" i="7"/>
  <c r="AQ2982" i="7"/>
  <c r="AP2982" i="7"/>
  <c r="AL2982" i="7"/>
  <c r="AK2982" i="7"/>
  <c r="AI2982" i="7" s="1"/>
  <c r="AD2982" i="7"/>
  <c r="AC2982" i="7"/>
  <c r="AA2982" i="7" s="1"/>
  <c r="T2982" i="7"/>
  <c r="S2982" i="7"/>
  <c r="R2982" i="7" s="1"/>
  <c r="L2982" i="7"/>
  <c r="K2982" i="7"/>
  <c r="D2982" i="7"/>
  <c r="C2982" i="7"/>
  <c r="B2982" i="7" s="1"/>
  <c r="AR2981" i="7"/>
  <c r="AQ2981" i="7"/>
  <c r="AL2981" i="7"/>
  <c r="AK2981" i="7"/>
  <c r="AJ2981" i="7" s="1"/>
  <c r="AI2981" i="7"/>
  <c r="AH2981" i="7" s="1"/>
  <c r="AD2981" i="7"/>
  <c r="AC2981" i="7"/>
  <c r="AA2981" i="7" s="1"/>
  <c r="T2981" i="7"/>
  <c r="S2981" i="7"/>
  <c r="L2981" i="7"/>
  <c r="K2981" i="7"/>
  <c r="J2981" i="7"/>
  <c r="D2981" i="7"/>
  <c r="C2981" i="7"/>
  <c r="B2981" i="7" s="1"/>
  <c r="AR2980" i="7"/>
  <c r="AQ2980" i="7"/>
  <c r="AP2980" i="7"/>
  <c r="AL2980" i="7"/>
  <c r="AK2980" i="7"/>
  <c r="AJ2980" i="7" s="1"/>
  <c r="AD2980" i="7"/>
  <c r="AC2980" i="7"/>
  <c r="T2980" i="7"/>
  <c r="S2980" i="7"/>
  <c r="R2980" i="7"/>
  <c r="L2980" i="7"/>
  <c r="K2980" i="7"/>
  <c r="J2980" i="7"/>
  <c r="D2980" i="7"/>
  <c r="C2980" i="7"/>
  <c r="B2980" i="7"/>
  <c r="AR2979" i="7"/>
  <c r="AQ2979" i="7"/>
  <c r="AP2979" i="7"/>
  <c r="AL2979" i="7"/>
  <c r="AK2979" i="7"/>
  <c r="AI2979" i="7" s="1"/>
  <c r="AD2979" i="7"/>
  <c r="AC2979" i="7"/>
  <c r="T2979" i="7"/>
  <c r="S2979" i="7"/>
  <c r="R2979" i="7" s="1"/>
  <c r="L2979" i="7"/>
  <c r="K2979" i="7"/>
  <c r="D2979" i="7"/>
  <c r="C2979" i="7"/>
  <c r="B2979" i="7" s="1"/>
  <c r="AR2978" i="7"/>
  <c r="AQ2978" i="7"/>
  <c r="AP2978" i="7" s="1"/>
  <c r="AL2978" i="7"/>
  <c r="AK2978" i="7"/>
  <c r="AJ2978" i="7" s="1"/>
  <c r="AD2978" i="7"/>
  <c r="AC2978" i="7"/>
  <c r="T2978" i="7"/>
  <c r="S2978" i="7"/>
  <c r="L2978" i="7"/>
  <c r="J2978" i="7" s="1"/>
  <c r="K2978" i="7"/>
  <c r="D2978" i="7"/>
  <c r="C2978" i="7"/>
  <c r="B2978" i="7" s="1"/>
  <c r="AR2977" i="7"/>
  <c r="AQ2977" i="7"/>
  <c r="AP2977" i="7"/>
  <c r="AL2977" i="7"/>
  <c r="AK2977" i="7"/>
  <c r="AJ2977" i="7" s="1"/>
  <c r="AD2977" i="7"/>
  <c r="AC2977" i="7"/>
  <c r="T2977" i="7"/>
  <c r="S2977" i="7"/>
  <c r="R2977" i="7"/>
  <c r="L2977" i="7"/>
  <c r="K2977" i="7"/>
  <c r="J2977" i="7"/>
  <c r="D2977" i="7"/>
  <c r="C2977" i="7"/>
  <c r="B2977" i="7"/>
  <c r="AR2976" i="7"/>
  <c r="AQ2976" i="7"/>
  <c r="AP2976" i="7"/>
  <c r="AL2976" i="7"/>
  <c r="AK2976" i="7"/>
  <c r="AD2976" i="7"/>
  <c r="AC2976" i="7"/>
  <c r="T2976" i="7"/>
  <c r="S2976" i="7"/>
  <c r="R2976" i="7" s="1"/>
  <c r="L2976" i="7"/>
  <c r="K2976" i="7"/>
  <c r="J2976" i="7" s="1"/>
  <c r="D2976" i="7"/>
  <c r="C2976" i="7"/>
  <c r="B2976" i="7" s="1"/>
  <c r="AR2975" i="7"/>
  <c r="AQ2975" i="7"/>
  <c r="AP2975" i="7" s="1"/>
  <c r="AL2975" i="7"/>
  <c r="AK2975" i="7"/>
  <c r="AD2975" i="7"/>
  <c r="AC2975" i="7"/>
  <c r="T2975" i="7"/>
  <c r="S2975" i="7"/>
  <c r="L2975" i="7"/>
  <c r="J2975" i="7" s="1"/>
  <c r="K2975" i="7"/>
  <c r="D2975" i="7"/>
  <c r="C2975" i="7"/>
  <c r="AR2974" i="7"/>
  <c r="AQ2974" i="7"/>
  <c r="AP2974" i="7"/>
  <c r="AL2974" i="7"/>
  <c r="AK2974" i="7"/>
  <c r="AJ2974" i="7" s="1"/>
  <c r="AD2974" i="7"/>
  <c r="AC2974" i="7"/>
  <c r="T2974" i="7"/>
  <c r="S2974" i="7"/>
  <c r="R2974" i="7" s="1"/>
  <c r="L2974" i="7"/>
  <c r="K2974" i="7"/>
  <c r="J2974" i="7"/>
  <c r="D2974" i="7"/>
  <c r="C2974" i="7"/>
  <c r="B2974" i="7" s="1"/>
  <c r="AR2973" i="7"/>
  <c r="AQ2973" i="7"/>
  <c r="AP2973" i="7"/>
  <c r="AL2973" i="7"/>
  <c r="AK2973" i="7"/>
  <c r="AI2973" i="7" s="1"/>
  <c r="AD2973" i="7"/>
  <c r="AC2973" i="7"/>
  <c r="T2973" i="7"/>
  <c r="S2973" i="7"/>
  <c r="R2973" i="7" s="1"/>
  <c r="L2973" i="7"/>
  <c r="K2973" i="7"/>
  <c r="J2973" i="7" s="1"/>
  <c r="D2973" i="7"/>
  <c r="C2973" i="7"/>
  <c r="B2973" i="7" s="1"/>
  <c r="AR2972" i="7"/>
  <c r="AQ2972" i="7"/>
  <c r="AL2972" i="7"/>
  <c r="AK2972" i="7"/>
  <c r="AJ2972" i="7" s="1"/>
  <c r="AD2972" i="7"/>
  <c r="AC2972" i="7"/>
  <c r="AB2972" i="7" s="1"/>
  <c r="T2972" i="7"/>
  <c r="S2972" i="7"/>
  <c r="R2972" i="7" s="1"/>
  <c r="L2972" i="7"/>
  <c r="K2972" i="7"/>
  <c r="J2972" i="7"/>
  <c r="D2972" i="7"/>
  <c r="C2972" i="7"/>
  <c r="B2972" i="7" s="1"/>
  <c r="AR2971" i="7"/>
  <c r="AP2971" i="7" s="1"/>
  <c r="AQ2971" i="7"/>
  <c r="AL2971" i="7"/>
  <c r="AK2971" i="7"/>
  <c r="AJ2971" i="7" s="1"/>
  <c r="AD2971" i="7"/>
  <c r="AC2971" i="7"/>
  <c r="T2971" i="7"/>
  <c r="S2971" i="7"/>
  <c r="R2971" i="7"/>
  <c r="L2971" i="7"/>
  <c r="K2971" i="7"/>
  <c r="J2971" i="7"/>
  <c r="D2971" i="7"/>
  <c r="C2971" i="7"/>
  <c r="B2971" i="7"/>
  <c r="AR2970" i="7"/>
  <c r="AQ2970" i="7"/>
  <c r="AP2970" i="7"/>
  <c r="AL2970" i="7"/>
  <c r="AK2970" i="7"/>
  <c r="AI2970" i="7" s="1"/>
  <c r="AJ2970" i="7"/>
  <c r="AD2970" i="7"/>
  <c r="AC2970" i="7"/>
  <c r="AB2970" i="7" s="1"/>
  <c r="T2970" i="7"/>
  <c r="S2970" i="7"/>
  <c r="R2970" i="7" s="1"/>
  <c r="L2970" i="7"/>
  <c r="K2970" i="7"/>
  <c r="D2970" i="7"/>
  <c r="C2970" i="7"/>
  <c r="B2970" i="7" s="1"/>
  <c r="AR2969" i="7"/>
  <c r="AQ2969" i="7"/>
  <c r="AP2969" i="7" s="1"/>
  <c r="AL2969" i="7"/>
  <c r="AK2969" i="7"/>
  <c r="AJ2969" i="7" s="1"/>
  <c r="AD2969" i="7"/>
  <c r="AC2969" i="7"/>
  <c r="T2969" i="7"/>
  <c r="S2969" i="7"/>
  <c r="L2969" i="7"/>
  <c r="J2969" i="7" s="1"/>
  <c r="K2969" i="7"/>
  <c r="D2969" i="7"/>
  <c r="C2969" i="7"/>
  <c r="B2969" i="7" s="1"/>
  <c r="AR2968" i="7"/>
  <c r="AQ2968" i="7"/>
  <c r="AP2968" i="7"/>
  <c r="AL2968" i="7"/>
  <c r="AK2968" i="7"/>
  <c r="AJ2968" i="7" s="1"/>
  <c r="AD2968" i="7"/>
  <c r="AC2968" i="7"/>
  <c r="T2968" i="7"/>
  <c r="S2968" i="7"/>
  <c r="R2968" i="7"/>
  <c r="L2968" i="7"/>
  <c r="K2968" i="7"/>
  <c r="J2968" i="7"/>
  <c r="D2968" i="7"/>
  <c r="C2968" i="7"/>
  <c r="B2968" i="7"/>
  <c r="AR2967" i="7"/>
  <c r="AQ2967" i="7"/>
  <c r="AP2967" i="7"/>
  <c r="AL2967" i="7"/>
  <c r="AK2967" i="7"/>
  <c r="AI2967" i="7" s="1"/>
  <c r="AJ2967" i="7"/>
  <c r="AD2967" i="7"/>
  <c r="AC2967" i="7"/>
  <c r="T2967" i="7"/>
  <c r="S2967" i="7"/>
  <c r="R2967" i="7" s="1"/>
  <c r="L2967" i="7"/>
  <c r="K2967" i="7"/>
  <c r="J2967" i="7" s="1"/>
  <c r="D2967" i="7"/>
  <c r="C2967" i="7"/>
  <c r="B2967" i="7" s="1"/>
  <c r="AR2966" i="7"/>
  <c r="AQ2966" i="7"/>
  <c r="AP2966" i="7" s="1"/>
  <c r="AL2966" i="7"/>
  <c r="AK2966" i="7"/>
  <c r="AD2966" i="7"/>
  <c r="AC2966" i="7"/>
  <c r="AB2966" i="7" s="1"/>
  <c r="T2966" i="7"/>
  <c r="S2966" i="7"/>
  <c r="L2966" i="7"/>
  <c r="J2966" i="7" s="1"/>
  <c r="K2966" i="7"/>
  <c r="D2966" i="7"/>
  <c r="C2966" i="7"/>
  <c r="AR2965" i="7"/>
  <c r="AQ2965" i="7"/>
  <c r="AP2965" i="7"/>
  <c r="AL2965" i="7"/>
  <c r="AK2965" i="7"/>
  <c r="AD2965" i="7"/>
  <c r="AC2965" i="7"/>
  <c r="T2965" i="7"/>
  <c r="S2965" i="7"/>
  <c r="R2965" i="7" s="1"/>
  <c r="L2965" i="7"/>
  <c r="K2965" i="7"/>
  <c r="J2965" i="7"/>
  <c r="D2965" i="7"/>
  <c r="C2965" i="7"/>
  <c r="B2965" i="7" s="1"/>
  <c r="AR2964" i="7"/>
  <c r="AQ2964" i="7"/>
  <c r="AP2964" i="7"/>
  <c r="AL2964" i="7"/>
  <c r="AK2964" i="7"/>
  <c r="AI2964" i="7" s="1"/>
  <c r="AD2964" i="7"/>
  <c r="AC2964" i="7"/>
  <c r="AB2964" i="7" s="1"/>
  <c r="T2964" i="7"/>
  <c r="S2964" i="7"/>
  <c r="R2964" i="7" s="1"/>
  <c r="L2964" i="7"/>
  <c r="K2964" i="7"/>
  <c r="J2964" i="7" s="1"/>
  <c r="D2964" i="7"/>
  <c r="C2964" i="7"/>
  <c r="B2964" i="7" s="1"/>
  <c r="AR2963" i="7"/>
  <c r="AQ2963" i="7"/>
  <c r="AL2963" i="7"/>
  <c r="AK2963" i="7"/>
  <c r="AJ2963" i="7" s="1"/>
  <c r="AD2963" i="7"/>
  <c r="AC2963" i="7"/>
  <c r="T2963" i="7"/>
  <c r="S2963" i="7"/>
  <c r="R2963" i="7" s="1"/>
  <c r="L2963" i="7"/>
  <c r="K2963" i="7"/>
  <c r="J2963" i="7"/>
  <c r="D2963" i="7"/>
  <c r="C2963" i="7"/>
  <c r="B2963" i="7" s="1"/>
  <c r="AR2962" i="7"/>
  <c r="AP2962" i="7" s="1"/>
  <c r="AQ2962" i="7"/>
  <c r="AL2962" i="7"/>
  <c r="AK2962" i="7"/>
  <c r="AJ2962" i="7" s="1"/>
  <c r="AD2962" i="7"/>
  <c r="AC2962" i="7"/>
  <c r="T2962" i="7"/>
  <c r="S2962" i="7"/>
  <c r="R2962" i="7"/>
  <c r="L2962" i="7"/>
  <c r="K2962" i="7"/>
  <c r="J2962" i="7"/>
  <c r="D2962" i="7"/>
  <c r="C2962" i="7"/>
  <c r="B2962" i="7"/>
  <c r="AR2961" i="7"/>
  <c r="AQ2961" i="7"/>
  <c r="AP2961" i="7"/>
  <c r="AL2961" i="7"/>
  <c r="AK2961" i="7"/>
  <c r="AI2961" i="7" s="1"/>
  <c r="AD2961" i="7"/>
  <c r="AC2961" i="7"/>
  <c r="AB2961" i="7" s="1"/>
  <c r="T2961" i="7"/>
  <c r="S2961" i="7"/>
  <c r="R2961" i="7"/>
  <c r="L2961" i="7"/>
  <c r="K2961" i="7"/>
  <c r="D2961" i="7"/>
  <c r="C2961" i="7"/>
  <c r="B2961" i="7"/>
  <c r="AR2960" i="7"/>
  <c r="AQ2960" i="7"/>
  <c r="AL2960" i="7"/>
  <c r="AK2960" i="7"/>
  <c r="AJ2960" i="7" s="1"/>
  <c r="AD2960" i="7"/>
  <c r="AC2960" i="7"/>
  <c r="AB2960" i="7" s="1"/>
  <c r="T2960" i="7"/>
  <c r="S2960" i="7"/>
  <c r="L2960" i="7"/>
  <c r="K2960" i="7"/>
  <c r="J2960" i="7" s="1"/>
  <c r="D2960" i="7"/>
  <c r="C2960" i="7"/>
  <c r="B2960" i="7" s="1"/>
  <c r="AR2959" i="7"/>
  <c r="AQ2959" i="7"/>
  <c r="AP2959" i="7"/>
  <c r="AL2959" i="7"/>
  <c r="AK2959" i="7"/>
  <c r="AD2959" i="7"/>
  <c r="AC2959" i="7"/>
  <c r="T2959" i="7"/>
  <c r="S2959" i="7"/>
  <c r="R2959" i="7" s="1"/>
  <c r="L2959" i="7"/>
  <c r="K2959" i="7"/>
  <c r="J2959" i="7"/>
  <c r="D2959" i="7"/>
  <c r="C2959" i="7"/>
  <c r="B2959" i="7" s="1"/>
  <c r="AR2958" i="7"/>
  <c r="AQ2958" i="7"/>
  <c r="AP2958" i="7"/>
  <c r="AL2958" i="7"/>
  <c r="AK2958" i="7"/>
  <c r="AI2958" i="7" s="1"/>
  <c r="AD2958" i="7"/>
  <c r="AC2958" i="7"/>
  <c r="AA2958" i="7" s="1"/>
  <c r="T2958" i="7"/>
  <c r="S2958" i="7"/>
  <c r="R2958" i="7" s="1"/>
  <c r="L2958" i="7"/>
  <c r="K2958" i="7"/>
  <c r="J2958" i="7" s="1"/>
  <c r="D2958" i="7"/>
  <c r="C2958" i="7"/>
  <c r="B2958" i="7" s="1"/>
  <c r="AR2957" i="7"/>
  <c r="AQ2957" i="7"/>
  <c r="AP2957" i="7" s="1"/>
  <c r="AL2957" i="7"/>
  <c r="AK2957" i="7"/>
  <c r="AJ2957" i="7" s="1"/>
  <c r="AD2957" i="7"/>
  <c r="AC2957" i="7"/>
  <c r="AB2957" i="7" s="1"/>
  <c r="T2957" i="7"/>
  <c r="S2957" i="7"/>
  <c r="L2957" i="7"/>
  <c r="K2957" i="7"/>
  <c r="J2957" i="7" s="1"/>
  <c r="D2957" i="7"/>
  <c r="C2957" i="7"/>
  <c r="B2957" i="7" s="1"/>
  <c r="AR2956" i="7"/>
  <c r="AQ2956" i="7"/>
  <c r="AP2956" i="7"/>
  <c r="AL2956" i="7"/>
  <c r="AK2956" i="7"/>
  <c r="AD2956" i="7"/>
  <c r="AC2956" i="7"/>
  <c r="AA2956" i="7" s="1"/>
  <c r="T2956" i="7"/>
  <c r="S2956" i="7"/>
  <c r="R2956" i="7" s="1"/>
  <c r="L2956" i="7"/>
  <c r="J2956" i="7" s="1"/>
  <c r="K2956" i="7"/>
  <c r="D2956" i="7"/>
  <c r="C2956" i="7"/>
  <c r="B2956" i="7" s="1"/>
  <c r="AR2955" i="7"/>
  <c r="AP2955" i="7" s="1"/>
  <c r="AQ2955" i="7"/>
  <c r="AL2955" i="7"/>
  <c r="AK2955" i="7"/>
  <c r="AJ2955" i="7" s="1"/>
  <c r="AD2955" i="7"/>
  <c r="AC2955" i="7"/>
  <c r="AA2955" i="7" s="1"/>
  <c r="T2955" i="7"/>
  <c r="S2955" i="7"/>
  <c r="R2955" i="7"/>
  <c r="L2955" i="7"/>
  <c r="K2955" i="7"/>
  <c r="J2955" i="7" s="1"/>
  <c r="D2955" i="7"/>
  <c r="C2955" i="7"/>
  <c r="B2955" i="7"/>
  <c r="AR2954" i="7"/>
  <c r="AQ2954" i="7"/>
  <c r="AP2954" i="7" s="1"/>
  <c r="AL2954" i="7"/>
  <c r="AK2954" i="7"/>
  <c r="AJ2954" i="7" s="1"/>
  <c r="AD2954" i="7"/>
  <c r="AC2954" i="7"/>
  <c r="AB2954" i="7" s="1"/>
  <c r="T2954" i="7"/>
  <c r="S2954" i="7"/>
  <c r="L2954" i="7"/>
  <c r="J2954" i="7" s="1"/>
  <c r="K2954" i="7"/>
  <c r="D2954" i="7"/>
  <c r="C2954" i="7"/>
  <c r="AR2953" i="7"/>
  <c r="AQ2953" i="7"/>
  <c r="AP2953" i="7" s="1"/>
  <c r="AL2953" i="7"/>
  <c r="AK2953" i="7"/>
  <c r="AJ2953" i="7" s="1"/>
  <c r="AD2953" i="7"/>
  <c r="AC2953" i="7"/>
  <c r="AA2953" i="7" s="1"/>
  <c r="T2953" i="7"/>
  <c r="S2953" i="7"/>
  <c r="R2953" i="7"/>
  <c r="L2953" i="7"/>
  <c r="K2953" i="7"/>
  <c r="J2953" i="7"/>
  <c r="D2953" i="7"/>
  <c r="C2953" i="7"/>
  <c r="B2953" i="7"/>
  <c r="AR2952" i="7"/>
  <c r="AQ2952" i="7"/>
  <c r="AP2952" i="7"/>
  <c r="AL2952" i="7"/>
  <c r="AK2952" i="7"/>
  <c r="AJ2952" i="7" s="1"/>
  <c r="AD2952" i="7"/>
  <c r="AC2952" i="7"/>
  <c r="AA2952" i="7" s="1"/>
  <c r="T2952" i="7"/>
  <c r="S2952" i="7"/>
  <c r="R2952" i="7"/>
  <c r="L2952" i="7"/>
  <c r="K2952" i="7"/>
  <c r="J2952" i="7"/>
  <c r="D2952" i="7"/>
  <c r="C2952" i="7"/>
  <c r="B2952" i="7"/>
  <c r="AR2951" i="7"/>
  <c r="AQ2951" i="7"/>
  <c r="AP2951" i="7"/>
  <c r="AL2951" i="7"/>
  <c r="AK2951" i="7"/>
  <c r="AI2951" i="7" s="1"/>
  <c r="AD2951" i="7"/>
  <c r="AC2951" i="7"/>
  <c r="AA2951" i="7" s="1"/>
  <c r="T2951" i="7"/>
  <c r="S2951" i="7"/>
  <c r="R2951" i="7" s="1"/>
  <c r="L2951" i="7"/>
  <c r="K2951" i="7"/>
  <c r="J2951" i="7"/>
  <c r="D2951" i="7"/>
  <c r="C2951" i="7"/>
  <c r="AR2950" i="7"/>
  <c r="AP2950" i="7" s="1"/>
  <c r="AQ2950" i="7"/>
  <c r="AL2950" i="7"/>
  <c r="AK2950" i="7"/>
  <c r="AJ2950" i="7" s="1"/>
  <c r="AD2950" i="7"/>
  <c r="AC2950" i="7"/>
  <c r="AA2950" i="7" s="1"/>
  <c r="T2950" i="7"/>
  <c r="S2950" i="7"/>
  <c r="R2950" i="7" s="1"/>
  <c r="L2950" i="7"/>
  <c r="J2950" i="7" s="1"/>
  <c r="K2950" i="7"/>
  <c r="D2950" i="7"/>
  <c r="C2950" i="7"/>
  <c r="B2950" i="7" s="1"/>
  <c r="AR2949" i="7"/>
  <c r="AP2949" i="7" s="1"/>
  <c r="AQ2949" i="7"/>
  <c r="AL2949" i="7"/>
  <c r="AK2949" i="7"/>
  <c r="AJ2949" i="7" s="1"/>
  <c r="AD2949" i="7"/>
  <c r="AC2949" i="7"/>
  <c r="AB2949" i="7" s="1"/>
  <c r="T2949" i="7"/>
  <c r="S2949" i="7"/>
  <c r="R2949" i="7" s="1"/>
  <c r="L2949" i="7"/>
  <c r="K2949" i="7"/>
  <c r="J2949" i="7" s="1"/>
  <c r="D2949" i="7"/>
  <c r="C2949" i="7"/>
  <c r="B2949" i="7" s="1"/>
  <c r="AR2948" i="7"/>
  <c r="AQ2948" i="7"/>
  <c r="AP2948" i="7" s="1"/>
  <c r="AL2948" i="7"/>
  <c r="AK2948" i="7"/>
  <c r="AI2948" i="7" s="1"/>
  <c r="AD2948" i="7"/>
  <c r="AC2948" i="7"/>
  <c r="AB2948" i="7" s="1"/>
  <c r="T2948" i="7"/>
  <c r="S2948" i="7"/>
  <c r="L2948" i="7"/>
  <c r="K2948" i="7"/>
  <c r="J2948" i="7" s="1"/>
  <c r="D2948" i="7"/>
  <c r="C2948" i="7"/>
  <c r="B2948" i="7" s="1"/>
  <c r="AR2947" i="7"/>
  <c r="AQ2947" i="7"/>
  <c r="AP2947" i="7"/>
  <c r="AL2947" i="7"/>
  <c r="AK2947" i="7"/>
  <c r="AJ2947" i="7" s="1"/>
  <c r="AD2947" i="7"/>
  <c r="AC2947" i="7"/>
  <c r="AA2947" i="7" s="1"/>
  <c r="T2947" i="7"/>
  <c r="R2947" i="7" s="1"/>
  <c r="S2947" i="7"/>
  <c r="L2947" i="7"/>
  <c r="J2947" i="7" s="1"/>
  <c r="K2947" i="7"/>
  <c r="D2947" i="7"/>
  <c r="B2947" i="7" s="1"/>
  <c r="C2947" i="7"/>
  <c r="AR2946" i="7"/>
  <c r="AP2946" i="7" s="1"/>
  <c r="AQ2946" i="7"/>
  <c r="AL2946" i="7"/>
  <c r="AK2946" i="7"/>
  <c r="AD2946" i="7"/>
  <c r="AC2946" i="7"/>
  <c r="T2946" i="7"/>
  <c r="S2946" i="7"/>
  <c r="R2946" i="7" s="1"/>
  <c r="L2946" i="7"/>
  <c r="J2946" i="7" s="1"/>
  <c r="K2946" i="7"/>
  <c r="D2946" i="7"/>
  <c r="C2946" i="7"/>
  <c r="B2946" i="7" s="1"/>
  <c r="AR2945" i="7"/>
  <c r="AP2945" i="7" s="1"/>
  <c r="AQ2945" i="7"/>
  <c r="AL2945" i="7"/>
  <c r="AK2945" i="7"/>
  <c r="AD2945" i="7"/>
  <c r="AC2945" i="7"/>
  <c r="T2945" i="7"/>
  <c r="S2945" i="7"/>
  <c r="R2945" i="7" s="1"/>
  <c r="L2945" i="7"/>
  <c r="K2945" i="7"/>
  <c r="J2945" i="7" s="1"/>
  <c r="D2945" i="7"/>
  <c r="C2945" i="7"/>
  <c r="AR2944" i="7"/>
  <c r="AQ2944" i="7"/>
  <c r="AP2944" i="7" s="1"/>
  <c r="AL2944" i="7"/>
  <c r="AK2944" i="7"/>
  <c r="AJ2944" i="7" s="1"/>
  <c r="AD2944" i="7"/>
  <c r="AC2944" i="7"/>
  <c r="AA2944" i="7" s="1"/>
  <c r="T2944" i="7"/>
  <c r="S2944" i="7"/>
  <c r="R2944" i="7"/>
  <c r="L2944" i="7"/>
  <c r="K2944" i="7"/>
  <c r="J2944" i="7"/>
  <c r="D2944" i="7"/>
  <c r="C2944" i="7"/>
  <c r="B2944" i="7"/>
  <c r="AR2943" i="7"/>
  <c r="AQ2943" i="7"/>
  <c r="AP2943" i="7"/>
  <c r="AL2943" i="7"/>
  <c r="AK2943" i="7"/>
  <c r="AD2943" i="7"/>
  <c r="AC2943" i="7"/>
  <c r="T2943" i="7"/>
  <c r="S2943" i="7"/>
  <c r="R2943" i="7" s="1"/>
  <c r="L2943" i="7"/>
  <c r="K2943" i="7"/>
  <c r="J2943" i="7" s="1"/>
  <c r="D2943" i="7"/>
  <c r="C2943" i="7"/>
  <c r="B2943" i="7" s="1"/>
  <c r="AR2942" i="7"/>
  <c r="AQ2942" i="7"/>
  <c r="AP2942" i="7" s="1"/>
  <c r="AL2942" i="7"/>
  <c r="AK2942" i="7"/>
  <c r="AJ2942" i="7" s="1"/>
  <c r="AD2942" i="7"/>
  <c r="AC2942" i="7"/>
  <c r="AA2942" i="7" s="1"/>
  <c r="T2942" i="7"/>
  <c r="S2942" i="7"/>
  <c r="R2942" i="7" s="1"/>
  <c r="L2942" i="7"/>
  <c r="J2942" i="7" s="1"/>
  <c r="K2942" i="7"/>
  <c r="D2942" i="7"/>
  <c r="C2942" i="7"/>
  <c r="AR2941" i="7"/>
  <c r="AP2941" i="7" s="1"/>
  <c r="AQ2941" i="7"/>
  <c r="AL2941" i="7"/>
  <c r="AK2941" i="7"/>
  <c r="AD2941" i="7"/>
  <c r="AC2941" i="7"/>
  <c r="T2941" i="7"/>
  <c r="S2941" i="7"/>
  <c r="R2941" i="7"/>
  <c r="L2941" i="7"/>
  <c r="K2941" i="7"/>
  <c r="J2941" i="7"/>
  <c r="D2941" i="7"/>
  <c r="C2941" i="7"/>
  <c r="B2941" i="7"/>
  <c r="AR2940" i="7"/>
  <c r="AQ2940" i="7"/>
  <c r="AP2940" i="7"/>
  <c r="AL2940" i="7"/>
  <c r="AK2940" i="7"/>
  <c r="AI2940" i="7" s="1"/>
  <c r="AD2940" i="7"/>
  <c r="AC2940" i="7"/>
  <c r="T2940" i="7"/>
  <c r="S2940" i="7"/>
  <c r="R2940" i="7" s="1"/>
  <c r="L2940" i="7"/>
  <c r="K2940" i="7"/>
  <c r="J2940" i="7" s="1"/>
  <c r="D2940" i="7"/>
  <c r="C2940" i="7"/>
  <c r="B2940" i="7" s="1"/>
  <c r="AR2939" i="7"/>
  <c r="AQ2939" i="7"/>
  <c r="AP2939" i="7" s="1"/>
  <c r="AL2939" i="7"/>
  <c r="AK2939" i="7"/>
  <c r="AJ2939" i="7" s="1"/>
  <c r="AD2939" i="7"/>
  <c r="AC2939" i="7"/>
  <c r="AB2939" i="7" s="1"/>
  <c r="T2939" i="7"/>
  <c r="S2939" i="7"/>
  <c r="L2939" i="7"/>
  <c r="J2939" i="7" s="1"/>
  <c r="K2939" i="7"/>
  <c r="D2939" i="7"/>
  <c r="C2939" i="7"/>
  <c r="B2939" i="7" s="1"/>
  <c r="AR2938" i="7"/>
  <c r="AP2938" i="7" s="1"/>
  <c r="AQ2938" i="7"/>
  <c r="AL2938" i="7"/>
  <c r="AK2938" i="7"/>
  <c r="AJ2938" i="7" s="1"/>
  <c r="AD2938" i="7"/>
  <c r="AC2938" i="7"/>
  <c r="T2938" i="7"/>
  <c r="S2938" i="7"/>
  <c r="R2938" i="7"/>
  <c r="L2938" i="7"/>
  <c r="K2938" i="7"/>
  <c r="J2938" i="7"/>
  <c r="D2938" i="7"/>
  <c r="C2938" i="7"/>
  <c r="B2938" i="7"/>
  <c r="AR2937" i="7"/>
  <c r="AQ2937" i="7"/>
  <c r="AP2937" i="7"/>
  <c r="AL2937" i="7"/>
  <c r="AK2937" i="7"/>
  <c r="AD2937" i="7"/>
  <c r="AC2937" i="7"/>
  <c r="AA2937" i="7" s="1"/>
  <c r="T2937" i="7"/>
  <c r="S2937" i="7"/>
  <c r="R2937" i="7" s="1"/>
  <c r="L2937" i="7"/>
  <c r="K2937" i="7"/>
  <c r="J2937" i="7" s="1"/>
  <c r="D2937" i="7"/>
  <c r="C2937" i="7"/>
  <c r="B2937" i="7" s="1"/>
  <c r="AR2936" i="7"/>
  <c r="AQ2936" i="7"/>
  <c r="AP2936" i="7" s="1"/>
  <c r="AL2936" i="7"/>
  <c r="AK2936" i="7"/>
  <c r="AJ2936" i="7" s="1"/>
  <c r="AD2936" i="7"/>
  <c r="AC2936" i="7"/>
  <c r="AB2936" i="7" s="1"/>
  <c r="T2936" i="7"/>
  <c r="S2936" i="7"/>
  <c r="L2936" i="7"/>
  <c r="J2936" i="7" s="1"/>
  <c r="K2936" i="7"/>
  <c r="D2936" i="7"/>
  <c r="C2936" i="7"/>
  <c r="B2936" i="7" s="1"/>
  <c r="AR2935" i="7"/>
  <c r="AP2935" i="7" s="1"/>
  <c r="AQ2935" i="7"/>
  <c r="AL2935" i="7"/>
  <c r="AK2935" i="7"/>
  <c r="AJ2935" i="7" s="1"/>
  <c r="AD2935" i="7"/>
  <c r="AC2935" i="7"/>
  <c r="T2935" i="7"/>
  <c r="S2935" i="7"/>
  <c r="R2935" i="7"/>
  <c r="L2935" i="7"/>
  <c r="K2935" i="7"/>
  <c r="J2935" i="7"/>
  <c r="D2935" i="7"/>
  <c r="C2935" i="7"/>
  <c r="B2935" i="7"/>
  <c r="AR2934" i="7"/>
  <c r="AQ2934" i="7"/>
  <c r="AP2934" i="7"/>
  <c r="AL2934" i="7"/>
  <c r="AK2934" i="7"/>
  <c r="AD2934" i="7"/>
  <c r="AC2934" i="7"/>
  <c r="AB2934" i="7" s="1"/>
  <c r="T2934" i="7"/>
  <c r="S2934" i="7"/>
  <c r="R2934" i="7" s="1"/>
  <c r="L2934" i="7"/>
  <c r="K2934" i="7"/>
  <c r="J2934" i="7" s="1"/>
  <c r="D2934" i="7"/>
  <c r="C2934" i="7"/>
  <c r="B2934" i="7" s="1"/>
  <c r="AR2933" i="7"/>
  <c r="AQ2933" i="7"/>
  <c r="AP2933" i="7" s="1"/>
  <c r="AL2933" i="7"/>
  <c r="AK2933" i="7"/>
  <c r="AJ2933" i="7" s="1"/>
  <c r="AD2933" i="7"/>
  <c r="AC2933" i="7"/>
  <c r="T2933" i="7"/>
  <c r="S2933" i="7"/>
  <c r="R2933" i="7" s="1"/>
  <c r="L2933" i="7"/>
  <c r="J2933" i="7" s="1"/>
  <c r="K2933" i="7"/>
  <c r="D2933" i="7"/>
  <c r="C2933" i="7"/>
  <c r="AR2932" i="7"/>
  <c r="AP2932" i="7" s="1"/>
  <c r="AQ2932" i="7"/>
  <c r="AL2932" i="7"/>
  <c r="AK2932" i="7"/>
  <c r="AJ2932" i="7" s="1"/>
  <c r="AD2932" i="7"/>
  <c r="AC2932" i="7"/>
  <c r="T2932" i="7"/>
  <c r="S2932" i="7"/>
  <c r="R2932" i="7"/>
  <c r="L2932" i="7"/>
  <c r="K2932" i="7"/>
  <c r="J2932" i="7"/>
  <c r="D2932" i="7"/>
  <c r="C2932" i="7"/>
  <c r="B2932" i="7"/>
  <c r="AR2931" i="7"/>
  <c r="AQ2931" i="7"/>
  <c r="AP2931" i="7"/>
  <c r="AL2931" i="7"/>
  <c r="AK2931" i="7"/>
  <c r="AD2931" i="7"/>
  <c r="AC2931" i="7"/>
  <c r="T2931" i="7"/>
  <c r="S2931" i="7"/>
  <c r="R2931" i="7" s="1"/>
  <c r="L2931" i="7"/>
  <c r="K2931" i="7"/>
  <c r="J2931" i="7" s="1"/>
  <c r="D2931" i="7"/>
  <c r="C2931" i="7"/>
  <c r="B2931" i="7" s="1"/>
  <c r="AR2930" i="7"/>
  <c r="AQ2930" i="7"/>
  <c r="AP2930" i="7" s="1"/>
  <c r="AL2930" i="7"/>
  <c r="AK2930" i="7"/>
  <c r="AJ2930" i="7" s="1"/>
  <c r="AD2930" i="7"/>
  <c r="AC2930" i="7"/>
  <c r="AA2930" i="7" s="1"/>
  <c r="T2930" i="7"/>
  <c r="S2930" i="7"/>
  <c r="R2930" i="7" s="1"/>
  <c r="L2930" i="7"/>
  <c r="J2930" i="7" s="1"/>
  <c r="K2930" i="7"/>
  <c r="D2930" i="7"/>
  <c r="C2930" i="7"/>
  <c r="B2930" i="7" s="1"/>
  <c r="AR2929" i="7"/>
  <c r="AP2929" i="7" s="1"/>
  <c r="AQ2929" i="7"/>
  <c r="AL2929" i="7"/>
  <c r="AK2929" i="7"/>
  <c r="AJ2929" i="7" s="1"/>
  <c r="AD2929" i="7"/>
  <c r="AC2929" i="7"/>
  <c r="T2929" i="7"/>
  <c r="S2929" i="7"/>
  <c r="R2929" i="7"/>
  <c r="L2929" i="7"/>
  <c r="K2929" i="7"/>
  <c r="J2929" i="7"/>
  <c r="D2929" i="7"/>
  <c r="C2929" i="7"/>
  <c r="B2929" i="7"/>
  <c r="AR2928" i="7"/>
  <c r="AQ2928" i="7"/>
  <c r="AP2928" i="7"/>
  <c r="AL2928" i="7"/>
  <c r="AK2928" i="7"/>
  <c r="AD2928" i="7"/>
  <c r="AC2928" i="7"/>
  <c r="T2928" i="7"/>
  <c r="S2928" i="7"/>
  <c r="R2928" i="7" s="1"/>
  <c r="L2928" i="7"/>
  <c r="K2928" i="7"/>
  <c r="J2928" i="7" s="1"/>
  <c r="D2928" i="7"/>
  <c r="C2928" i="7"/>
  <c r="B2928" i="7" s="1"/>
  <c r="AR2927" i="7"/>
  <c r="AQ2927" i="7"/>
  <c r="AP2927" i="7" s="1"/>
  <c r="AL2927" i="7"/>
  <c r="AK2927" i="7"/>
  <c r="AJ2927" i="7" s="1"/>
  <c r="AD2927" i="7"/>
  <c r="AC2927" i="7"/>
  <c r="AB2927" i="7" s="1"/>
  <c r="T2927" i="7"/>
  <c r="S2927" i="7"/>
  <c r="L2927" i="7"/>
  <c r="J2927" i="7" s="1"/>
  <c r="K2927" i="7"/>
  <c r="D2927" i="7"/>
  <c r="C2927" i="7"/>
  <c r="AR2926" i="7"/>
  <c r="AP2926" i="7" s="1"/>
  <c r="AQ2926" i="7"/>
  <c r="AL2926" i="7"/>
  <c r="AK2926" i="7"/>
  <c r="AJ2926" i="7" s="1"/>
  <c r="AD2926" i="7"/>
  <c r="AC2926" i="7"/>
  <c r="T2926" i="7"/>
  <c r="S2926" i="7"/>
  <c r="R2926" i="7"/>
  <c r="L2926" i="7"/>
  <c r="K2926" i="7"/>
  <c r="J2926" i="7"/>
  <c r="D2926" i="7"/>
  <c r="C2926" i="7"/>
  <c r="B2926" i="7"/>
  <c r="AR2925" i="7"/>
  <c r="AQ2925" i="7"/>
  <c r="AP2925" i="7"/>
  <c r="AL2925" i="7"/>
  <c r="AK2925" i="7"/>
  <c r="AD2925" i="7"/>
  <c r="AC2925" i="7"/>
  <c r="AB2925" i="7" s="1"/>
  <c r="T2925" i="7"/>
  <c r="S2925" i="7"/>
  <c r="R2925" i="7" s="1"/>
  <c r="L2925" i="7"/>
  <c r="K2925" i="7"/>
  <c r="J2925" i="7" s="1"/>
  <c r="D2925" i="7"/>
  <c r="C2925" i="7"/>
  <c r="B2925" i="7" s="1"/>
  <c r="AR2924" i="7"/>
  <c r="AQ2924" i="7"/>
  <c r="AP2924" i="7" s="1"/>
  <c r="AL2924" i="7"/>
  <c r="AK2924" i="7"/>
  <c r="AJ2924" i="7" s="1"/>
  <c r="AD2924" i="7"/>
  <c r="AC2924" i="7"/>
  <c r="T2924" i="7"/>
  <c r="S2924" i="7"/>
  <c r="R2924" i="7" s="1"/>
  <c r="L2924" i="7"/>
  <c r="J2924" i="7" s="1"/>
  <c r="K2924" i="7"/>
  <c r="D2924" i="7"/>
  <c r="C2924" i="7"/>
  <c r="AR2923" i="7"/>
  <c r="AP2923" i="7" s="1"/>
  <c r="AQ2923" i="7"/>
  <c r="AL2923" i="7"/>
  <c r="AK2923" i="7"/>
  <c r="AJ2923" i="7" s="1"/>
  <c r="AD2923" i="7"/>
  <c r="AC2923" i="7"/>
  <c r="T2923" i="7"/>
  <c r="S2923" i="7"/>
  <c r="R2923" i="7"/>
  <c r="L2923" i="7"/>
  <c r="K2923" i="7"/>
  <c r="J2923" i="7"/>
  <c r="D2923" i="7"/>
  <c r="C2923" i="7"/>
  <c r="B2923" i="7"/>
  <c r="AR2922" i="7"/>
  <c r="AQ2922" i="7"/>
  <c r="AP2922" i="7"/>
  <c r="AL2922" i="7"/>
  <c r="AK2922" i="7"/>
  <c r="AI2922" i="7" s="1"/>
  <c r="AD2922" i="7"/>
  <c r="AC2922" i="7"/>
  <c r="AB2922" i="7" s="1"/>
  <c r="T2922" i="7"/>
  <c r="S2922" i="7"/>
  <c r="R2922" i="7" s="1"/>
  <c r="L2922" i="7"/>
  <c r="K2922" i="7"/>
  <c r="J2922" i="7" s="1"/>
  <c r="D2922" i="7"/>
  <c r="C2922" i="7"/>
  <c r="B2922" i="7" s="1"/>
  <c r="AR2921" i="7"/>
  <c r="AQ2921" i="7"/>
  <c r="AP2921" i="7" s="1"/>
  <c r="AL2921" i="7"/>
  <c r="AK2921" i="7"/>
  <c r="AJ2921" i="7" s="1"/>
  <c r="AD2921" i="7"/>
  <c r="AC2921" i="7"/>
  <c r="T2921" i="7"/>
  <c r="S2921" i="7"/>
  <c r="L2921" i="7"/>
  <c r="J2921" i="7" s="1"/>
  <c r="K2921" i="7"/>
  <c r="D2921" i="7"/>
  <c r="C2921" i="7"/>
  <c r="B2921" i="7" s="1"/>
  <c r="AR2920" i="7"/>
  <c r="AP2920" i="7" s="1"/>
  <c r="AQ2920" i="7"/>
  <c r="AL2920" i="7"/>
  <c r="AK2920" i="7"/>
  <c r="AJ2920" i="7" s="1"/>
  <c r="AD2920" i="7"/>
  <c r="AC2920" i="7"/>
  <c r="T2920" i="7"/>
  <c r="S2920" i="7"/>
  <c r="R2920" i="7"/>
  <c r="L2920" i="7"/>
  <c r="K2920" i="7"/>
  <c r="J2920" i="7"/>
  <c r="D2920" i="7"/>
  <c r="C2920" i="7"/>
  <c r="B2920" i="7"/>
  <c r="AR2919" i="7"/>
  <c r="AQ2919" i="7"/>
  <c r="AP2919" i="7"/>
  <c r="AL2919" i="7"/>
  <c r="AK2919" i="7"/>
  <c r="AI2919" i="7" s="1"/>
  <c r="AD2919" i="7"/>
  <c r="AC2919" i="7"/>
  <c r="AA2919" i="7" s="1"/>
  <c r="T2919" i="7"/>
  <c r="S2919" i="7"/>
  <c r="R2919" i="7" s="1"/>
  <c r="L2919" i="7"/>
  <c r="K2919" i="7"/>
  <c r="J2919" i="7" s="1"/>
  <c r="D2919" i="7"/>
  <c r="C2919" i="7"/>
  <c r="B2919" i="7" s="1"/>
  <c r="AR2918" i="7"/>
  <c r="AQ2918" i="7"/>
  <c r="AP2918" i="7" s="1"/>
  <c r="AL2918" i="7"/>
  <c r="AK2918" i="7"/>
  <c r="AJ2918" i="7" s="1"/>
  <c r="AD2918" i="7"/>
  <c r="AC2918" i="7"/>
  <c r="AB2918" i="7" s="1"/>
  <c r="T2918" i="7"/>
  <c r="S2918" i="7"/>
  <c r="L2918" i="7"/>
  <c r="J2918" i="7" s="1"/>
  <c r="K2918" i="7"/>
  <c r="D2918" i="7"/>
  <c r="C2918" i="7"/>
  <c r="B2918" i="7" s="1"/>
  <c r="AR2917" i="7"/>
  <c r="AP2917" i="7" s="1"/>
  <c r="AQ2917" i="7"/>
  <c r="AL2917" i="7"/>
  <c r="AK2917" i="7"/>
  <c r="AJ2917" i="7" s="1"/>
  <c r="AD2917" i="7"/>
  <c r="AC2917" i="7"/>
  <c r="T2917" i="7"/>
  <c r="S2917" i="7"/>
  <c r="R2917" i="7"/>
  <c r="L2917" i="7"/>
  <c r="K2917" i="7"/>
  <c r="J2917" i="7"/>
  <c r="D2917" i="7"/>
  <c r="C2917" i="7"/>
  <c r="B2917" i="7"/>
  <c r="AR2916" i="7"/>
  <c r="AQ2916" i="7"/>
  <c r="AP2916" i="7"/>
  <c r="AL2916" i="7"/>
  <c r="AK2916" i="7"/>
  <c r="AD2916" i="7"/>
  <c r="AC2916" i="7"/>
  <c r="AB2916" i="7" s="1"/>
  <c r="T2916" i="7"/>
  <c r="S2916" i="7"/>
  <c r="R2916" i="7" s="1"/>
  <c r="L2916" i="7"/>
  <c r="K2916" i="7"/>
  <c r="J2916" i="7" s="1"/>
  <c r="D2916" i="7"/>
  <c r="C2916" i="7"/>
  <c r="B2916" i="7" s="1"/>
  <c r="AR2915" i="7"/>
  <c r="AQ2915" i="7"/>
  <c r="AP2915" i="7" s="1"/>
  <c r="AL2915" i="7"/>
  <c r="AK2915" i="7"/>
  <c r="AD2915" i="7"/>
  <c r="AC2915" i="7"/>
  <c r="AA2915" i="7" s="1"/>
  <c r="T2915" i="7"/>
  <c r="S2915" i="7"/>
  <c r="L2915" i="7"/>
  <c r="J2915" i="7" s="1"/>
  <c r="K2915" i="7"/>
  <c r="D2915" i="7"/>
  <c r="C2915" i="7"/>
  <c r="B2915" i="7" s="1"/>
  <c r="AR2914" i="7"/>
  <c r="AP2914" i="7" s="1"/>
  <c r="AQ2914" i="7"/>
  <c r="AL2914" i="7"/>
  <c r="AK2914" i="7"/>
  <c r="AJ2914" i="7" s="1"/>
  <c r="AD2914" i="7"/>
  <c r="AC2914" i="7"/>
  <c r="T2914" i="7"/>
  <c r="S2914" i="7"/>
  <c r="R2914" i="7"/>
  <c r="L2914" i="7"/>
  <c r="K2914" i="7"/>
  <c r="J2914" i="7"/>
  <c r="D2914" i="7"/>
  <c r="C2914" i="7"/>
  <c r="B2914" i="7"/>
  <c r="AR2913" i="7"/>
  <c r="AQ2913" i="7"/>
  <c r="AP2913" i="7"/>
  <c r="AL2913" i="7"/>
  <c r="AK2913" i="7"/>
  <c r="AI2913" i="7" s="1"/>
  <c r="AD2913" i="7"/>
  <c r="AC2913" i="7"/>
  <c r="AB2913" i="7" s="1"/>
  <c r="T2913" i="7"/>
  <c r="S2913" i="7"/>
  <c r="R2913" i="7" s="1"/>
  <c r="L2913" i="7"/>
  <c r="K2913" i="7"/>
  <c r="J2913" i="7" s="1"/>
  <c r="D2913" i="7"/>
  <c r="C2913" i="7"/>
  <c r="B2913" i="7" s="1"/>
  <c r="AR2912" i="7"/>
  <c r="AQ2912" i="7"/>
  <c r="AP2912" i="7" s="1"/>
  <c r="AL2912" i="7"/>
  <c r="AK2912" i="7"/>
  <c r="AD2912" i="7"/>
  <c r="AC2912" i="7"/>
  <c r="T2912" i="7"/>
  <c r="S2912" i="7"/>
  <c r="L2912" i="7"/>
  <c r="J2912" i="7" s="1"/>
  <c r="K2912" i="7"/>
  <c r="D2912" i="7"/>
  <c r="C2912" i="7"/>
  <c r="AR2911" i="7"/>
  <c r="AP2911" i="7" s="1"/>
  <c r="AQ2911" i="7"/>
  <c r="AL2911" i="7"/>
  <c r="AK2911" i="7"/>
  <c r="AD2911" i="7"/>
  <c r="AC2911" i="7"/>
  <c r="T2911" i="7"/>
  <c r="S2911" i="7"/>
  <c r="R2911" i="7"/>
  <c r="L2911" i="7"/>
  <c r="K2911" i="7"/>
  <c r="J2911" i="7"/>
  <c r="D2911" i="7"/>
  <c r="C2911" i="7"/>
  <c r="B2911" i="7"/>
  <c r="AR2910" i="7"/>
  <c r="AQ2910" i="7"/>
  <c r="AP2910" i="7"/>
  <c r="AL2910" i="7"/>
  <c r="AK2910" i="7"/>
  <c r="AI2910" i="7" s="1"/>
  <c r="AD2910" i="7"/>
  <c r="AC2910" i="7"/>
  <c r="T2910" i="7"/>
  <c r="S2910" i="7"/>
  <c r="R2910" i="7" s="1"/>
  <c r="L2910" i="7"/>
  <c r="K2910" i="7"/>
  <c r="J2910" i="7" s="1"/>
  <c r="D2910" i="7"/>
  <c r="C2910" i="7"/>
  <c r="B2910" i="7" s="1"/>
  <c r="AR2909" i="7"/>
  <c r="AQ2909" i="7"/>
  <c r="AP2909" i="7" s="1"/>
  <c r="AL2909" i="7"/>
  <c r="AK2909" i="7"/>
  <c r="AD2909" i="7"/>
  <c r="AC2909" i="7"/>
  <c r="AB2909" i="7" s="1"/>
  <c r="T2909" i="7"/>
  <c r="S2909" i="7"/>
  <c r="L2909" i="7"/>
  <c r="J2909" i="7" s="1"/>
  <c r="K2909" i="7"/>
  <c r="D2909" i="7"/>
  <c r="C2909" i="7"/>
  <c r="AR2908" i="7"/>
  <c r="AP2908" i="7" s="1"/>
  <c r="AQ2908" i="7"/>
  <c r="AL2908" i="7"/>
  <c r="AK2908" i="7"/>
  <c r="AJ2908" i="7" s="1"/>
  <c r="AD2908" i="7"/>
  <c r="AC2908" i="7"/>
  <c r="T2908" i="7"/>
  <c r="S2908" i="7"/>
  <c r="R2908" i="7"/>
  <c r="L2908" i="7"/>
  <c r="K2908" i="7"/>
  <c r="J2908" i="7"/>
  <c r="D2908" i="7"/>
  <c r="C2908" i="7"/>
  <c r="B2908" i="7"/>
  <c r="AR2907" i="7"/>
  <c r="AQ2907" i="7"/>
  <c r="AP2907" i="7"/>
  <c r="AL2907" i="7"/>
  <c r="AK2907" i="7"/>
  <c r="AD2907" i="7"/>
  <c r="AC2907" i="7"/>
  <c r="T2907" i="7"/>
  <c r="S2907" i="7"/>
  <c r="R2907" i="7" s="1"/>
  <c r="L2907" i="7"/>
  <c r="K2907" i="7"/>
  <c r="J2907" i="7" s="1"/>
  <c r="D2907" i="7"/>
  <c r="C2907" i="7"/>
  <c r="B2907" i="7" s="1"/>
  <c r="AR2906" i="7"/>
  <c r="AQ2906" i="7"/>
  <c r="AP2906" i="7" s="1"/>
  <c r="AL2906" i="7"/>
  <c r="AK2906" i="7"/>
  <c r="AD2906" i="7"/>
  <c r="AC2906" i="7"/>
  <c r="T2906" i="7"/>
  <c r="S2906" i="7"/>
  <c r="L2906" i="7"/>
  <c r="J2906" i="7" s="1"/>
  <c r="K2906" i="7"/>
  <c r="D2906" i="7"/>
  <c r="C2906" i="7"/>
  <c r="AR2905" i="7"/>
  <c r="AP2905" i="7" s="1"/>
  <c r="AQ2905" i="7"/>
  <c r="AL2905" i="7"/>
  <c r="AK2905" i="7"/>
  <c r="AD2905" i="7"/>
  <c r="AC2905" i="7"/>
  <c r="T2905" i="7"/>
  <c r="S2905" i="7"/>
  <c r="R2905" i="7"/>
  <c r="L2905" i="7"/>
  <c r="K2905" i="7"/>
  <c r="J2905" i="7"/>
  <c r="D2905" i="7"/>
  <c r="C2905" i="7"/>
  <c r="B2905" i="7"/>
  <c r="AR2904" i="7"/>
  <c r="AQ2904" i="7"/>
  <c r="AP2904" i="7"/>
  <c r="AL2904" i="7"/>
  <c r="AK2904" i="7"/>
  <c r="AI2904" i="7" s="1"/>
  <c r="AJ2904" i="7"/>
  <c r="AD2904" i="7"/>
  <c r="AC2904" i="7"/>
  <c r="T2904" i="7"/>
  <c r="S2904" i="7"/>
  <c r="R2904" i="7" s="1"/>
  <c r="L2904" i="7"/>
  <c r="K2904" i="7"/>
  <c r="J2904" i="7" s="1"/>
  <c r="D2904" i="7"/>
  <c r="C2904" i="7"/>
  <c r="B2904" i="7" s="1"/>
  <c r="AR2903" i="7"/>
  <c r="AQ2903" i="7"/>
  <c r="AP2903" i="7" s="1"/>
  <c r="AL2903" i="7"/>
  <c r="AK2903" i="7"/>
  <c r="AD2903" i="7"/>
  <c r="AC2903" i="7"/>
  <c r="T2903" i="7"/>
  <c r="S2903" i="7"/>
  <c r="L2903" i="7"/>
  <c r="J2903" i="7" s="1"/>
  <c r="K2903" i="7"/>
  <c r="D2903" i="7"/>
  <c r="C2903" i="7"/>
  <c r="AR2902" i="7"/>
  <c r="AP2902" i="7" s="1"/>
  <c r="AQ2902" i="7"/>
  <c r="AL2902" i="7"/>
  <c r="AK2902" i="7"/>
  <c r="AD2902" i="7"/>
  <c r="AC2902" i="7"/>
  <c r="T2902" i="7"/>
  <c r="S2902" i="7"/>
  <c r="R2902" i="7"/>
  <c r="L2902" i="7"/>
  <c r="K2902" i="7"/>
  <c r="J2902" i="7"/>
  <c r="D2902" i="7"/>
  <c r="C2902" i="7"/>
  <c r="B2902" i="7" s="1"/>
  <c r="AR2901" i="7"/>
  <c r="AQ2901" i="7"/>
  <c r="AP2901" i="7"/>
  <c r="AL2901" i="7"/>
  <c r="AK2901" i="7"/>
  <c r="AI2901" i="7" s="1"/>
  <c r="AD2901" i="7"/>
  <c r="AC2901" i="7"/>
  <c r="T2901" i="7"/>
  <c r="S2901" i="7"/>
  <c r="R2901" i="7" s="1"/>
  <c r="L2901" i="7"/>
  <c r="K2901" i="7"/>
  <c r="J2901" i="7" s="1"/>
  <c r="D2901" i="7"/>
  <c r="C2901" i="7"/>
  <c r="B2901" i="7" s="1"/>
  <c r="AR2900" i="7"/>
  <c r="AQ2900" i="7"/>
  <c r="AL2900" i="7"/>
  <c r="AK2900" i="7"/>
  <c r="AJ2900" i="7" s="1"/>
  <c r="AD2900" i="7"/>
  <c r="AC2900" i="7"/>
  <c r="AA2900" i="7" s="1"/>
  <c r="T2900" i="7"/>
  <c r="S2900" i="7"/>
  <c r="R2900" i="7" s="1"/>
  <c r="L2900" i="7"/>
  <c r="K2900" i="7"/>
  <c r="J2900" i="7"/>
  <c r="D2900" i="7"/>
  <c r="C2900" i="7"/>
  <c r="AR2899" i="7"/>
  <c r="AP2899" i="7" s="1"/>
  <c r="AQ2899" i="7"/>
  <c r="AL2899" i="7"/>
  <c r="AK2899" i="7"/>
  <c r="AJ2899" i="7" s="1"/>
  <c r="AD2899" i="7"/>
  <c r="AC2899" i="7"/>
  <c r="T2899" i="7"/>
  <c r="S2899" i="7"/>
  <c r="R2899" i="7" s="1"/>
  <c r="L2899" i="7"/>
  <c r="K2899" i="7"/>
  <c r="J2899" i="7"/>
  <c r="D2899" i="7"/>
  <c r="C2899" i="7"/>
  <c r="B2899" i="7" s="1"/>
  <c r="AR2898" i="7"/>
  <c r="AQ2898" i="7"/>
  <c r="AP2898" i="7"/>
  <c r="AL2898" i="7"/>
  <c r="AK2898" i="7"/>
  <c r="AI2898" i="7" s="1"/>
  <c r="AD2898" i="7"/>
  <c r="AC2898" i="7"/>
  <c r="T2898" i="7"/>
  <c r="S2898" i="7"/>
  <c r="R2898" i="7" s="1"/>
  <c r="L2898" i="7"/>
  <c r="K2898" i="7"/>
  <c r="D2898" i="7"/>
  <c r="C2898" i="7"/>
  <c r="B2898" i="7" s="1"/>
  <c r="AR2897" i="7"/>
  <c r="AQ2897" i="7"/>
  <c r="AL2897" i="7"/>
  <c r="AK2897" i="7"/>
  <c r="AJ2897" i="7" s="1"/>
  <c r="AD2897" i="7"/>
  <c r="AC2897" i="7"/>
  <c r="AB2897" i="7" s="1"/>
  <c r="T2897" i="7"/>
  <c r="S2897" i="7"/>
  <c r="L2897" i="7"/>
  <c r="K2897" i="7"/>
  <c r="J2897" i="7"/>
  <c r="D2897" i="7"/>
  <c r="C2897" i="7"/>
  <c r="B2897" i="7" s="1"/>
  <c r="AR2896" i="7"/>
  <c r="AQ2896" i="7"/>
  <c r="AP2896" i="7"/>
  <c r="AL2896" i="7"/>
  <c r="AK2896" i="7"/>
  <c r="AJ2896" i="7" s="1"/>
  <c r="AD2896" i="7"/>
  <c r="AC2896" i="7"/>
  <c r="T2896" i="7"/>
  <c r="S2896" i="7"/>
  <c r="R2896" i="7"/>
  <c r="L2896" i="7"/>
  <c r="K2896" i="7"/>
  <c r="J2896" i="7"/>
  <c r="D2896" i="7"/>
  <c r="C2896" i="7"/>
  <c r="B2896" i="7"/>
  <c r="AR2895" i="7"/>
  <c r="AQ2895" i="7"/>
  <c r="AP2895" i="7"/>
  <c r="AL2895" i="7"/>
  <c r="AK2895" i="7"/>
  <c r="AI2895" i="7" s="1"/>
  <c r="AD2895" i="7"/>
  <c r="AC2895" i="7"/>
  <c r="T2895" i="7"/>
  <c r="S2895" i="7"/>
  <c r="R2895" i="7" s="1"/>
  <c r="L2895" i="7"/>
  <c r="K2895" i="7"/>
  <c r="D2895" i="7"/>
  <c r="C2895" i="7"/>
  <c r="B2895" i="7" s="1"/>
  <c r="AR2894" i="7"/>
  <c r="AQ2894" i="7"/>
  <c r="AP2894" i="7" s="1"/>
  <c r="AL2894" i="7"/>
  <c r="AK2894" i="7"/>
  <c r="AD2894" i="7"/>
  <c r="AC2894" i="7"/>
  <c r="T2894" i="7"/>
  <c r="S2894" i="7"/>
  <c r="L2894" i="7"/>
  <c r="J2894" i="7" s="1"/>
  <c r="K2894" i="7"/>
  <c r="D2894" i="7"/>
  <c r="C2894" i="7"/>
  <c r="AR2893" i="7"/>
  <c r="AQ2893" i="7"/>
  <c r="AP2893" i="7"/>
  <c r="AL2893" i="7"/>
  <c r="AK2893" i="7"/>
  <c r="AJ2893" i="7" s="1"/>
  <c r="AD2893" i="7"/>
  <c r="AC2893" i="7"/>
  <c r="T2893" i="7"/>
  <c r="S2893" i="7"/>
  <c r="R2893" i="7" s="1"/>
  <c r="L2893" i="7"/>
  <c r="K2893" i="7"/>
  <c r="J2893" i="7"/>
  <c r="D2893" i="7"/>
  <c r="C2893" i="7"/>
  <c r="B2893" i="7" s="1"/>
  <c r="AR2892" i="7"/>
  <c r="AQ2892" i="7"/>
  <c r="AP2892" i="7"/>
  <c r="AL2892" i="7"/>
  <c r="AK2892" i="7"/>
  <c r="AI2892" i="7" s="1"/>
  <c r="AD2892" i="7"/>
  <c r="AC2892" i="7"/>
  <c r="T2892" i="7"/>
  <c r="S2892" i="7"/>
  <c r="R2892" i="7" s="1"/>
  <c r="L2892" i="7"/>
  <c r="K2892" i="7"/>
  <c r="J2892" i="7" s="1"/>
  <c r="D2892" i="7"/>
  <c r="C2892" i="7"/>
  <c r="B2892" i="7" s="1"/>
  <c r="AR2891" i="7"/>
  <c r="AQ2891" i="7"/>
  <c r="AL2891" i="7"/>
  <c r="AK2891" i="7"/>
  <c r="AJ2891" i="7" s="1"/>
  <c r="AD2891" i="7"/>
  <c r="AC2891" i="7"/>
  <c r="T2891" i="7"/>
  <c r="S2891" i="7"/>
  <c r="R2891" i="7" s="1"/>
  <c r="L2891" i="7"/>
  <c r="K2891" i="7"/>
  <c r="J2891" i="7"/>
  <c r="D2891" i="7"/>
  <c r="C2891" i="7"/>
  <c r="AR2890" i="7"/>
  <c r="AP2890" i="7" s="1"/>
  <c r="AQ2890" i="7"/>
  <c r="AL2890" i="7"/>
  <c r="AK2890" i="7"/>
  <c r="AJ2890" i="7" s="1"/>
  <c r="AD2890" i="7"/>
  <c r="AC2890" i="7"/>
  <c r="T2890" i="7"/>
  <c r="S2890" i="7"/>
  <c r="R2890" i="7" s="1"/>
  <c r="L2890" i="7"/>
  <c r="K2890" i="7"/>
  <c r="J2890" i="7"/>
  <c r="D2890" i="7"/>
  <c r="C2890" i="7"/>
  <c r="B2890" i="7" s="1"/>
  <c r="AR2889" i="7"/>
  <c r="AQ2889" i="7"/>
  <c r="AP2889" i="7"/>
  <c r="AL2889" i="7"/>
  <c r="AK2889" i="7"/>
  <c r="AI2889" i="7" s="1"/>
  <c r="AD2889" i="7"/>
  <c r="AC2889" i="7"/>
  <c r="T2889" i="7"/>
  <c r="S2889" i="7"/>
  <c r="R2889" i="7" s="1"/>
  <c r="L2889" i="7"/>
  <c r="K2889" i="7"/>
  <c r="D2889" i="7"/>
  <c r="C2889" i="7"/>
  <c r="B2889" i="7" s="1"/>
  <c r="AR2888" i="7"/>
  <c r="AQ2888" i="7"/>
  <c r="AL2888" i="7"/>
  <c r="AK2888" i="7"/>
  <c r="AJ2888" i="7" s="1"/>
  <c r="AD2888" i="7"/>
  <c r="AC2888" i="7"/>
  <c r="AB2888" i="7" s="1"/>
  <c r="T2888" i="7"/>
  <c r="S2888" i="7"/>
  <c r="L2888" i="7"/>
  <c r="K2888" i="7"/>
  <c r="J2888" i="7"/>
  <c r="D2888" i="7"/>
  <c r="C2888" i="7"/>
  <c r="B2888" i="7" s="1"/>
  <c r="AR2887" i="7"/>
  <c r="AQ2887" i="7"/>
  <c r="AP2887" i="7"/>
  <c r="AL2887" i="7"/>
  <c r="AK2887" i="7"/>
  <c r="AJ2887" i="7" s="1"/>
  <c r="AD2887" i="7"/>
  <c r="AC2887" i="7"/>
  <c r="T2887" i="7"/>
  <c r="S2887" i="7"/>
  <c r="R2887" i="7"/>
  <c r="L2887" i="7"/>
  <c r="K2887" i="7"/>
  <c r="J2887" i="7"/>
  <c r="D2887" i="7"/>
  <c r="C2887" i="7"/>
  <c r="B2887" i="7"/>
  <c r="AR2886" i="7"/>
  <c r="AQ2886" i="7"/>
  <c r="AP2886" i="7"/>
  <c r="AL2886" i="7"/>
  <c r="AK2886" i="7"/>
  <c r="AD2886" i="7"/>
  <c r="AC2886" i="7"/>
  <c r="T2886" i="7"/>
  <c r="S2886" i="7"/>
  <c r="R2886" i="7" s="1"/>
  <c r="L2886" i="7"/>
  <c r="K2886" i="7"/>
  <c r="D2886" i="7"/>
  <c r="C2886" i="7"/>
  <c r="B2886" i="7" s="1"/>
  <c r="AR2885" i="7"/>
  <c r="AQ2885" i="7"/>
  <c r="AP2885" i="7" s="1"/>
  <c r="AL2885" i="7"/>
  <c r="AK2885" i="7"/>
  <c r="AJ2885" i="7" s="1"/>
  <c r="AD2885" i="7"/>
  <c r="AC2885" i="7"/>
  <c r="AB2885" i="7" s="1"/>
  <c r="T2885" i="7"/>
  <c r="S2885" i="7"/>
  <c r="L2885" i="7"/>
  <c r="J2885" i="7" s="1"/>
  <c r="K2885" i="7"/>
  <c r="D2885" i="7"/>
  <c r="C2885" i="7"/>
  <c r="AR2884" i="7"/>
  <c r="AQ2884" i="7"/>
  <c r="AP2884" i="7"/>
  <c r="AL2884" i="7"/>
  <c r="AK2884" i="7"/>
  <c r="AD2884" i="7"/>
  <c r="AC2884" i="7"/>
  <c r="T2884" i="7"/>
  <c r="S2884" i="7"/>
  <c r="R2884" i="7" s="1"/>
  <c r="L2884" i="7"/>
  <c r="K2884" i="7"/>
  <c r="J2884" i="7"/>
  <c r="D2884" i="7"/>
  <c r="C2884" i="7"/>
  <c r="B2884" i="7" s="1"/>
  <c r="AR2883" i="7"/>
  <c r="AQ2883" i="7"/>
  <c r="AP2883" i="7"/>
  <c r="AL2883" i="7"/>
  <c r="AK2883" i="7"/>
  <c r="AI2883" i="7" s="1"/>
  <c r="AD2883" i="7"/>
  <c r="AC2883" i="7"/>
  <c r="T2883" i="7"/>
  <c r="S2883" i="7"/>
  <c r="R2883" i="7" s="1"/>
  <c r="L2883" i="7"/>
  <c r="K2883" i="7"/>
  <c r="J2883" i="7" s="1"/>
  <c r="D2883" i="7"/>
  <c r="C2883" i="7"/>
  <c r="B2883" i="7" s="1"/>
  <c r="AR2882" i="7"/>
  <c r="AQ2882" i="7"/>
  <c r="AP2882" i="7"/>
  <c r="AL2882" i="7"/>
  <c r="AK2882" i="7"/>
  <c r="AD2882" i="7"/>
  <c r="AC2882" i="7"/>
  <c r="AB2882" i="7" s="1"/>
  <c r="T2882" i="7"/>
  <c r="S2882" i="7"/>
  <c r="L2882" i="7"/>
  <c r="J2882" i="7" s="1"/>
  <c r="K2882" i="7"/>
  <c r="D2882" i="7"/>
  <c r="C2882" i="7"/>
  <c r="AR2881" i="7"/>
  <c r="AQ2881" i="7"/>
  <c r="AP2881" i="7"/>
  <c r="AL2881" i="7"/>
  <c r="AK2881" i="7"/>
  <c r="AJ2881" i="7" s="1"/>
  <c r="AD2881" i="7"/>
  <c r="AC2881" i="7"/>
  <c r="AA2881" i="7" s="1"/>
  <c r="T2881" i="7"/>
  <c r="S2881" i="7"/>
  <c r="R2881" i="7" s="1"/>
  <c r="L2881" i="7"/>
  <c r="J2881" i="7" s="1"/>
  <c r="K2881" i="7"/>
  <c r="D2881" i="7"/>
  <c r="C2881" i="7"/>
  <c r="B2881" i="7" s="1"/>
  <c r="AR2880" i="7"/>
  <c r="AP2880" i="7" s="1"/>
  <c r="AQ2880" i="7"/>
  <c r="AL2880" i="7"/>
  <c r="AK2880" i="7"/>
  <c r="AD2880" i="7"/>
  <c r="AC2880" i="7"/>
  <c r="T2880" i="7"/>
  <c r="S2880" i="7"/>
  <c r="R2880" i="7" s="1"/>
  <c r="L2880" i="7"/>
  <c r="K2880" i="7"/>
  <c r="J2880" i="7" s="1"/>
  <c r="D2880" i="7"/>
  <c r="C2880" i="7"/>
  <c r="B2880" i="7" s="1"/>
  <c r="AR2879" i="7"/>
  <c r="AQ2879" i="7"/>
  <c r="AP2879" i="7" s="1"/>
  <c r="AL2879" i="7"/>
  <c r="AK2879" i="7"/>
  <c r="AD2879" i="7"/>
  <c r="AC2879" i="7"/>
  <c r="T2879" i="7"/>
  <c r="S2879" i="7"/>
  <c r="L2879" i="7"/>
  <c r="K2879" i="7"/>
  <c r="J2879" i="7" s="1"/>
  <c r="D2879" i="7"/>
  <c r="C2879" i="7"/>
  <c r="AR2878" i="7"/>
  <c r="AQ2878" i="7"/>
  <c r="AP2878" i="7" s="1"/>
  <c r="AL2878" i="7"/>
  <c r="AK2878" i="7"/>
  <c r="AJ2878" i="7" s="1"/>
  <c r="AD2878" i="7"/>
  <c r="AC2878" i="7"/>
  <c r="AA2878" i="7" s="1"/>
  <c r="T2878" i="7"/>
  <c r="S2878" i="7"/>
  <c r="R2878" i="7"/>
  <c r="L2878" i="7"/>
  <c r="K2878" i="7"/>
  <c r="J2878" i="7"/>
  <c r="D2878" i="7"/>
  <c r="C2878" i="7"/>
  <c r="B2878" i="7"/>
  <c r="AR2877" i="7"/>
  <c r="AQ2877" i="7"/>
  <c r="AP2877" i="7"/>
  <c r="AL2877" i="7"/>
  <c r="AK2877" i="7"/>
  <c r="AJ2877" i="7" s="1"/>
  <c r="AI2877" i="7"/>
  <c r="AD2877" i="7"/>
  <c r="AC2877" i="7"/>
  <c r="AB2877" i="7" s="1"/>
  <c r="T2877" i="7"/>
  <c r="S2877" i="7"/>
  <c r="R2877" i="7"/>
  <c r="L2877" i="7"/>
  <c r="K2877" i="7"/>
  <c r="J2877" i="7"/>
  <c r="D2877" i="7"/>
  <c r="C2877" i="7"/>
  <c r="B2877" i="7"/>
  <c r="AR2876" i="7"/>
  <c r="AQ2876" i="7"/>
  <c r="AP2876" i="7"/>
  <c r="AL2876" i="7"/>
  <c r="AK2876" i="7"/>
  <c r="AJ2876" i="7" s="1"/>
  <c r="AI2876" i="7"/>
  <c r="AD2876" i="7"/>
  <c r="AC2876" i="7"/>
  <c r="T2876" i="7"/>
  <c r="S2876" i="7"/>
  <c r="R2876" i="7" s="1"/>
  <c r="L2876" i="7"/>
  <c r="K2876" i="7"/>
  <c r="J2876" i="7"/>
  <c r="D2876" i="7"/>
  <c r="C2876" i="7"/>
  <c r="AR2875" i="7"/>
  <c r="AQ2875" i="7"/>
  <c r="AP2875" i="7" s="1"/>
  <c r="AL2875" i="7"/>
  <c r="AK2875" i="7"/>
  <c r="AJ2875" i="7" s="1"/>
  <c r="AD2875" i="7"/>
  <c r="AC2875" i="7"/>
  <c r="AA2875" i="7" s="1"/>
  <c r="T2875" i="7"/>
  <c r="S2875" i="7"/>
  <c r="R2875" i="7" s="1"/>
  <c r="L2875" i="7"/>
  <c r="K2875" i="7"/>
  <c r="J2875" i="7"/>
  <c r="D2875" i="7"/>
  <c r="C2875" i="7"/>
  <c r="B2875" i="7" s="1"/>
  <c r="AR2874" i="7"/>
  <c r="AQ2874" i="7"/>
  <c r="AP2874" i="7"/>
  <c r="AL2874" i="7"/>
  <c r="AK2874" i="7"/>
  <c r="AI2874" i="7" s="1"/>
  <c r="AD2874" i="7"/>
  <c r="AC2874" i="7"/>
  <c r="T2874" i="7"/>
  <c r="S2874" i="7"/>
  <c r="R2874" i="7" s="1"/>
  <c r="L2874" i="7"/>
  <c r="K2874" i="7"/>
  <c r="J2874" i="7" s="1"/>
  <c r="D2874" i="7"/>
  <c r="C2874" i="7"/>
  <c r="B2874" i="7" s="1"/>
  <c r="AR2873" i="7"/>
  <c r="AQ2873" i="7"/>
  <c r="AP2873" i="7" s="1"/>
  <c r="AL2873" i="7"/>
  <c r="AK2873" i="7"/>
  <c r="AJ2873" i="7" s="1"/>
  <c r="AD2873" i="7"/>
  <c r="AC2873" i="7"/>
  <c r="T2873" i="7"/>
  <c r="S2873" i="7"/>
  <c r="L2873" i="7"/>
  <c r="K2873" i="7"/>
  <c r="J2873" i="7" s="1"/>
  <c r="D2873" i="7"/>
  <c r="C2873" i="7"/>
  <c r="B2873" i="7" s="1"/>
  <c r="AR2872" i="7"/>
  <c r="AQ2872" i="7"/>
  <c r="AP2872" i="7"/>
  <c r="AL2872" i="7"/>
  <c r="AK2872" i="7"/>
  <c r="AD2872" i="7"/>
  <c r="AC2872" i="7"/>
  <c r="AA2872" i="7" s="1"/>
  <c r="T2872" i="7"/>
  <c r="S2872" i="7"/>
  <c r="R2872" i="7" s="1"/>
  <c r="L2872" i="7"/>
  <c r="J2872" i="7" s="1"/>
  <c r="K2872" i="7"/>
  <c r="D2872" i="7"/>
  <c r="C2872" i="7"/>
  <c r="B2872" i="7" s="1"/>
  <c r="AR2871" i="7"/>
  <c r="AP2871" i="7" s="1"/>
  <c r="AQ2871" i="7"/>
  <c r="AL2871" i="7"/>
  <c r="AK2871" i="7"/>
  <c r="AJ2871" i="7" s="1"/>
  <c r="AD2871" i="7"/>
  <c r="AC2871" i="7"/>
  <c r="AA2871" i="7" s="1"/>
  <c r="T2871" i="7"/>
  <c r="S2871" i="7"/>
  <c r="R2871" i="7" s="1"/>
  <c r="L2871" i="7"/>
  <c r="K2871" i="7"/>
  <c r="J2871" i="7" s="1"/>
  <c r="D2871" i="7"/>
  <c r="C2871" i="7"/>
  <c r="B2871" i="7" s="1"/>
  <c r="AR2870" i="7"/>
  <c r="AQ2870" i="7"/>
  <c r="AP2870" i="7" s="1"/>
  <c r="AL2870" i="7"/>
  <c r="AK2870" i="7"/>
  <c r="AJ2870" i="7" s="1"/>
  <c r="AD2870" i="7"/>
  <c r="AC2870" i="7"/>
  <c r="AA2870" i="7" s="1"/>
  <c r="T2870" i="7"/>
  <c r="S2870" i="7"/>
  <c r="L2870" i="7"/>
  <c r="K2870" i="7"/>
  <c r="J2870" i="7" s="1"/>
  <c r="D2870" i="7"/>
  <c r="C2870" i="7"/>
  <c r="AR2869" i="7"/>
  <c r="AQ2869" i="7"/>
  <c r="AP2869" i="7" s="1"/>
  <c r="AL2869" i="7"/>
  <c r="AK2869" i="7"/>
  <c r="AJ2869" i="7" s="1"/>
  <c r="AD2869" i="7"/>
  <c r="AC2869" i="7"/>
  <c r="AB2869" i="7" s="1"/>
  <c r="T2869" i="7"/>
  <c r="S2869" i="7"/>
  <c r="R2869" i="7" s="1"/>
  <c r="L2869" i="7"/>
  <c r="K2869" i="7"/>
  <c r="J2869" i="7" s="1"/>
  <c r="D2869" i="7"/>
  <c r="C2869" i="7"/>
  <c r="B2869" i="7" s="1"/>
  <c r="AR2868" i="7"/>
  <c r="AQ2868" i="7"/>
  <c r="AP2868" i="7" s="1"/>
  <c r="AL2868" i="7"/>
  <c r="AK2868" i="7"/>
  <c r="AJ2868" i="7" s="1"/>
  <c r="AD2868" i="7"/>
  <c r="AC2868" i="7"/>
  <c r="T2868" i="7"/>
  <c r="S2868" i="7"/>
  <c r="R2868" i="7" s="1"/>
  <c r="L2868" i="7"/>
  <c r="K2868" i="7"/>
  <c r="J2868" i="7" s="1"/>
  <c r="D2868" i="7"/>
  <c r="C2868" i="7"/>
  <c r="B2868" i="7" s="1"/>
  <c r="AR2867" i="7"/>
  <c r="AQ2867" i="7"/>
  <c r="AP2867" i="7" s="1"/>
  <c r="AL2867" i="7"/>
  <c r="AK2867" i="7"/>
  <c r="AD2867" i="7"/>
  <c r="AC2867" i="7"/>
  <c r="AA2867" i="7" s="1"/>
  <c r="T2867" i="7"/>
  <c r="S2867" i="7"/>
  <c r="R2867" i="7"/>
  <c r="L2867" i="7"/>
  <c r="K2867" i="7"/>
  <c r="J2867" i="7"/>
  <c r="D2867" i="7"/>
  <c r="C2867" i="7"/>
  <c r="B2867" i="7"/>
  <c r="AR2866" i="7"/>
  <c r="AQ2866" i="7"/>
  <c r="AP2866" i="7"/>
  <c r="AL2866" i="7"/>
  <c r="AK2866" i="7"/>
  <c r="AD2866" i="7"/>
  <c r="AC2866" i="7"/>
  <c r="T2866" i="7"/>
  <c r="S2866" i="7"/>
  <c r="R2866" i="7" s="1"/>
  <c r="L2866" i="7"/>
  <c r="K2866" i="7"/>
  <c r="J2866" i="7" s="1"/>
  <c r="D2866" i="7"/>
  <c r="C2866" i="7"/>
  <c r="B2866" i="7" s="1"/>
  <c r="AR2865" i="7"/>
  <c r="AQ2865" i="7"/>
  <c r="AP2865" i="7" s="1"/>
  <c r="AL2865" i="7"/>
  <c r="AK2865" i="7"/>
  <c r="AJ2865" i="7" s="1"/>
  <c r="AD2865" i="7"/>
  <c r="AC2865" i="7"/>
  <c r="AB2865" i="7" s="1"/>
  <c r="T2865" i="7"/>
  <c r="S2865" i="7"/>
  <c r="R2865" i="7" s="1"/>
  <c r="L2865" i="7"/>
  <c r="K2865" i="7"/>
  <c r="J2865" i="7" s="1"/>
  <c r="D2865" i="7"/>
  <c r="C2865" i="7"/>
  <c r="B2865" i="7" s="1"/>
  <c r="AR2864" i="7"/>
  <c r="AQ2864" i="7"/>
  <c r="AP2864" i="7" s="1"/>
  <c r="AL2864" i="7"/>
  <c r="AK2864" i="7"/>
  <c r="AJ2864" i="7" s="1"/>
  <c r="AD2864" i="7"/>
  <c r="AC2864" i="7"/>
  <c r="AA2864" i="7" s="1"/>
  <c r="T2864" i="7"/>
  <c r="S2864" i="7"/>
  <c r="R2864" i="7"/>
  <c r="L2864" i="7"/>
  <c r="K2864" i="7"/>
  <c r="J2864" i="7"/>
  <c r="D2864" i="7"/>
  <c r="C2864" i="7"/>
  <c r="B2864" i="7"/>
  <c r="AR2863" i="7"/>
  <c r="AQ2863" i="7"/>
  <c r="AP2863" i="7"/>
  <c r="AL2863" i="7"/>
  <c r="AK2863" i="7"/>
  <c r="AD2863" i="7"/>
  <c r="AC2863" i="7"/>
  <c r="AB2863" i="7" s="1"/>
  <c r="T2863" i="7"/>
  <c r="S2863" i="7"/>
  <c r="R2863" i="7" s="1"/>
  <c r="L2863" i="7"/>
  <c r="K2863" i="7"/>
  <c r="J2863" i="7" s="1"/>
  <c r="D2863" i="7"/>
  <c r="C2863" i="7"/>
  <c r="B2863" i="7" s="1"/>
  <c r="AR2862" i="7"/>
  <c r="AQ2862" i="7"/>
  <c r="AP2862" i="7" s="1"/>
  <c r="AL2862" i="7"/>
  <c r="AK2862" i="7"/>
  <c r="AJ2862" i="7" s="1"/>
  <c r="AD2862" i="7"/>
  <c r="AC2862" i="7"/>
  <c r="AA2862" i="7" s="1"/>
  <c r="T2862" i="7"/>
  <c r="S2862" i="7"/>
  <c r="R2862" i="7" s="1"/>
  <c r="L2862" i="7"/>
  <c r="K2862" i="7"/>
  <c r="J2862" i="7" s="1"/>
  <c r="D2862" i="7"/>
  <c r="C2862" i="7"/>
  <c r="B2862" i="7" s="1"/>
  <c r="AR2861" i="7"/>
  <c r="AQ2861" i="7"/>
  <c r="AP2861" i="7" s="1"/>
  <c r="AL2861" i="7"/>
  <c r="AK2861" i="7"/>
  <c r="AJ2861" i="7" s="1"/>
  <c r="AD2861" i="7"/>
  <c r="AC2861" i="7"/>
  <c r="AA2861" i="7" s="1"/>
  <c r="T2861" i="7"/>
  <c r="S2861" i="7"/>
  <c r="R2861" i="7"/>
  <c r="L2861" i="7"/>
  <c r="K2861" i="7"/>
  <c r="J2861" i="7"/>
  <c r="D2861" i="7"/>
  <c r="C2861" i="7"/>
  <c r="B2861" i="7"/>
  <c r="AR2860" i="7"/>
  <c r="AQ2860" i="7"/>
  <c r="AP2860" i="7"/>
  <c r="AL2860" i="7"/>
  <c r="AK2860" i="7"/>
  <c r="AD2860" i="7"/>
  <c r="AC2860" i="7"/>
  <c r="AB2860" i="7" s="1"/>
  <c r="T2860" i="7"/>
  <c r="S2860" i="7"/>
  <c r="R2860" i="7" s="1"/>
  <c r="L2860" i="7"/>
  <c r="K2860" i="7"/>
  <c r="J2860" i="7" s="1"/>
  <c r="D2860" i="7"/>
  <c r="C2860" i="7"/>
  <c r="B2860" i="7" s="1"/>
  <c r="AR2859" i="7"/>
  <c r="AQ2859" i="7"/>
  <c r="AP2859" i="7" s="1"/>
  <c r="AL2859" i="7"/>
  <c r="AK2859" i="7"/>
  <c r="AJ2859" i="7" s="1"/>
  <c r="AD2859" i="7"/>
  <c r="AC2859" i="7"/>
  <c r="T2859" i="7"/>
  <c r="S2859" i="7"/>
  <c r="R2859" i="7" s="1"/>
  <c r="L2859" i="7"/>
  <c r="K2859" i="7"/>
  <c r="J2859" i="7" s="1"/>
  <c r="D2859" i="7"/>
  <c r="C2859" i="7"/>
  <c r="B2859" i="7" s="1"/>
  <c r="AR2858" i="7"/>
  <c r="AQ2858" i="7"/>
  <c r="AP2858" i="7" s="1"/>
  <c r="AL2858" i="7"/>
  <c r="AK2858" i="7"/>
  <c r="AJ2858" i="7" s="1"/>
  <c r="AD2858" i="7"/>
  <c r="AC2858" i="7"/>
  <c r="AA2858" i="7" s="1"/>
  <c r="T2858" i="7"/>
  <c r="S2858" i="7"/>
  <c r="R2858" i="7"/>
  <c r="L2858" i="7"/>
  <c r="K2858" i="7"/>
  <c r="J2858" i="7"/>
  <c r="D2858" i="7"/>
  <c r="C2858" i="7"/>
  <c r="B2858" i="7"/>
  <c r="AR2857" i="7"/>
  <c r="AQ2857" i="7"/>
  <c r="AP2857" i="7"/>
  <c r="AL2857" i="7"/>
  <c r="AK2857" i="7"/>
  <c r="AD2857" i="7"/>
  <c r="AC2857" i="7"/>
  <c r="T2857" i="7"/>
  <c r="S2857" i="7"/>
  <c r="R2857" i="7" s="1"/>
  <c r="L2857" i="7"/>
  <c r="K2857" i="7"/>
  <c r="J2857" i="7" s="1"/>
  <c r="D2857" i="7"/>
  <c r="C2857" i="7"/>
  <c r="B2857" i="7" s="1"/>
  <c r="AR2856" i="7"/>
  <c r="AQ2856" i="7"/>
  <c r="AP2856" i="7" s="1"/>
  <c r="AL2856" i="7"/>
  <c r="AK2856" i="7"/>
  <c r="AJ2856" i="7" s="1"/>
  <c r="AD2856" i="7"/>
  <c r="AC2856" i="7"/>
  <c r="AB2856" i="7" s="1"/>
  <c r="T2856" i="7"/>
  <c r="S2856" i="7"/>
  <c r="R2856" i="7" s="1"/>
  <c r="L2856" i="7"/>
  <c r="K2856" i="7"/>
  <c r="J2856" i="7" s="1"/>
  <c r="D2856" i="7"/>
  <c r="C2856" i="7"/>
  <c r="B2856" i="7" s="1"/>
  <c r="AR2855" i="7"/>
  <c r="AQ2855" i="7"/>
  <c r="AP2855" i="7" s="1"/>
  <c r="AL2855" i="7"/>
  <c r="AK2855" i="7"/>
  <c r="AJ2855" i="7" s="1"/>
  <c r="AD2855" i="7"/>
  <c r="AC2855" i="7"/>
  <c r="AA2855" i="7" s="1"/>
  <c r="T2855" i="7"/>
  <c r="S2855" i="7"/>
  <c r="R2855" i="7"/>
  <c r="L2855" i="7"/>
  <c r="K2855" i="7"/>
  <c r="J2855" i="7"/>
  <c r="D2855" i="7"/>
  <c r="C2855" i="7"/>
  <c r="B2855" i="7"/>
  <c r="AR2854" i="7"/>
  <c r="AQ2854" i="7"/>
  <c r="AP2854" i="7"/>
  <c r="AL2854" i="7"/>
  <c r="AK2854" i="7"/>
  <c r="AD2854" i="7"/>
  <c r="AC2854" i="7"/>
  <c r="AB2854" i="7" s="1"/>
  <c r="T2854" i="7"/>
  <c r="S2854" i="7"/>
  <c r="R2854" i="7" s="1"/>
  <c r="L2854" i="7"/>
  <c r="K2854" i="7"/>
  <c r="J2854" i="7" s="1"/>
  <c r="D2854" i="7"/>
  <c r="C2854" i="7"/>
  <c r="B2854" i="7" s="1"/>
  <c r="AR2853" i="7"/>
  <c r="AQ2853" i="7"/>
  <c r="AP2853" i="7" s="1"/>
  <c r="AL2853" i="7"/>
  <c r="AK2853" i="7"/>
  <c r="AJ2853" i="7" s="1"/>
  <c r="AD2853" i="7"/>
  <c r="AC2853" i="7"/>
  <c r="AA2853" i="7" s="1"/>
  <c r="T2853" i="7"/>
  <c r="S2853" i="7"/>
  <c r="R2853" i="7" s="1"/>
  <c r="L2853" i="7"/>
  <c r="K2853" i="7"/>
  <c r="J2853" i="7" s="1"/>
  <c r="D2853" i="7"/>
  <c r="C2853" i="7"/>
  <c r="B2853" i="7" s="1"/>
  <c r="AR2852" i="7"/>
  <c r="AQ2852" i="7"/>
  <c r="AP2852" i="7" s="1"/>
  <c r="AL2852" i="7"/>
  <c r="AK2852" i="7"/>
  <c r="AD2852" i="7"/>
  <c r="AC2852" i="7"/>
  <c r="AA2852" i="7" s="1"/>
  <c r="T2852" i="7"/>
  <c r="S2852" i="7"/>
  <c r="R2852" i="7"/>
  <c r="L2852" i="7"/>
  <c r="K2852" i="7"/>
  <c r="J2852" i="7"/>
  <c r="D2852" i="7"/>
  <c r="C2852" i="7"/>
  <c r="B2852" i="7"/>
  <c r="AR2851" i="7"/>
  <c r="AQ2851" i="7"/>
  <c r="AP2851" i="7"/>
  <c r="AL2851" i="7"/>
  <c r="AK2851" i="7"/>
  <c r="AD2851" i="7"/>
  <c r="AC2851" i="7"/>
  <c r="AB2851" i="7" s="1"/>
  <c r="T2851" i="7"/>
  <c r="S2851" i="7"/>
  <c r="R2851" i="7" s="1"/>
  <c r="L2851" i="7"/>
  <c r="K2851" i="7"/>
  <c r="J2851" i="7" s="1"/>
  <c r="D2851" i="7"/>
  <c r="C2851" i="7"/>
  <c r="B2851" i="7" s="1"/>
  <c r="AR2850" i="7"/>
  <c r="AQ2850" i="7"/>
  <c r="AP2850" i="7" s="1"/>
  <c r="AL2850" i="7"/>
  <c r="AK2850" i="7"/>
  <c r="AJ2850" i="7" s="1"/>
  <c r="AD2850" i="7"/>
  <c r="AC2850" i="7"/>
  <c r="AB2850" i="7" s="1"/>
  <c r="T2850" i="7"/>
  <c r="S2850" i="7"/>
  <c r="R2850" i="7" s="1"/>
  <c r="L2850" i="7"/>
  <c r="K2850" i="7"/>
  <c r="J2850" i="7" s="1"/>
  <c r="D2850" i="7"/>
  <c r="C2850" i="7"/>
  <c r="B2850" i="7" s="1"/>
  <c r="AR2849" i="7"/>
  <c r="AQ2849" i="7"/>
  <c r="AP2849" i="7" s="1"/>
  <c r="AL2849" i="7"/>
  <c r="AK2849" i="7"/>
  <c r="AJ2849" i="7" s="1"/>
  <c r="AD2849" i="7"/>
  <c r="AC2849" i="7"/>
  <c r="AA2849" i="7" s="1"/>
  <c r="T2849" i="7"/>
  <c r="S2849" i="7"/>
  <c r="R2849" i="7"/>
  <c r="L2849" i="7"/>
  <c r="K2849" i="7"/>
  <c r="J2849" i="7"/>
  <c r="D2849" i="7"/>
  <c r="C2849" i="7"/>
  <c r="B2849" i="7"/>
  <c r="AR2848" i="7"/>
  <c r="AQ2848" i="7"/>
  <c r="AP2848" i="7"/>
  <c r="AL2848" i="7"/>
  <c r="AK2848" i="7"/>
  <c r="AJ2848" i="7" s="1"/>
  <c r="AD2848" i="7"/>
  <c r="AC2848" i="7"/>
  <c r="T2848" i="7"/>
  <c r="S2848" i="7"/>
  <c r="R2848" i="7" s="1"/>
  <c r="L2848" i="7"/>
  <c r="K2848" i="7"/>
  <c r="J2848" i="7" s="1"/>
  <c r="D2848" i="7"/>
  <c r="C2848" i="7"/>
  <c r="B2848" i="7" s="1"/>
  <c r="AR2847" i="7"/>
  <c r="AQ2847" i="7"/>
  <c r="AP2847" i="7" s="1"/>
  <c r="AL2847" i="7"/>
  <c r="AK2847" i="7"/>
  <c r="AJ2847" i="7" s="1"/>
  <c r="AD2847" i="7"/>
  <c r="AC2847" i="7"/>
  <c r="AB2847" i="7" s="1"/>
  <c r="T2847" i="7"/>
  <c r="S2847" i="7"/>
  <c r="R2847" i="7" s="1"/>
  <c r="L2847" i="7"/>
  <c r="K2847" i="7"/>
  <c r="J2847" i="7" s="1"/>
  <c r="D2847" i="7"/>
  <c r="C2847" i="7"/>
  <c r="B2847" i="7" s="1"/>
  <c r="AR2846" i="7"/>
  <c r="AQ2846" i="7"/>
  <c r="AP2846" i="7" s="1"/>
  <c r="AL2846" i="7"/>
  <c r="AK2846" i="7"/>
  <c r="AJ2846" i="7" s="1"/>
  <c r="AD2846" i="7"/>
  <c r="AC2846" i="7"/>
  <c r="AA2846" i="7" s="1"/>
  <c r="T2846" i="7"/>
  <c r="S2846" i="7"/>
  <c r="R2846" i="7"/>
  <c r="L2846" i="7"/>
  <c r="K2846" i="7"/>
  <c r="J2846" i="7"/>
  <c r="D2846" i="7"/>
  <c r="C2846" i="7"/>
  <c r="B2846" i="7"/>
  <c r="AR2845" i="7"/>
  <c r="AQ2845" i="7"/>
  <c r="AP2845" i="7"/>
  <c r="AL2845" i="7"/>
  <c r="AK2845" i="7"/>
  <c r="AD2845" i="7"/>
  <c r="AC2845" i="7"/>
  <c r="T2845" i="7"/>
  <c r="S2845" i="7"/>
  <c r="R2845" i="7" s="1"/>
  <c r="L2845" i="7"/>
  <c r="K2845" i="7"/>
  <c r="J2845" i="7" s="1"/>
  <c r="D2845" i="7"/>
  <c r="C2845" i="7"/>
  <c r="B2845" i="7" s="1"/>
  <c r="AR2844" i="7"/>
  <c r="AQ2844" i="7"/>
  <c r="AP2844" i="7" s="1"/>
  <c r="AL2844" i="7"/>
  <c r="AK2844" i="7"/>
  <c r="AJ2844" i="7" s="1"/>
  <c r="AD2844" i="7"/>
  <c r="AC2844" i="7"/>
  <c r="T2844" i="7"/>
  <c r="S2844" i="7"/>
  <c r="R2844" i="7" s="1"/>
  <c r="L2844" i="7"/>
  <c r="K2844" i="7"/>
  <c r="J2844" i="7" s="1"/>
  <c r="D2844" i="7"/>
  <c r="C2844" i="7"/>
  <c r="B2844" i="7" s="1"/>
  <c r="AR2843" i="7"/>
  <c r="AQ2843" i="7"/>
  <c r="AP2843" i="7" s="1"/>
  <c r="AL2843" i="7"/>
  <c r="AK2843" i="7"/>
  <c r="AD2843" i="7"/>
  <c r="AC2843" i="7"/>
  <c r="AA2843" i="7" s="1"/>
  <c r="T2843" i="7"/>
  <c r="S2843" i="7"/>
  <c r="R2843" i="7"/>
  <c r="L2843" i="7"/>
  <c r="K2843" i="7"/>
  <c r="J2843" i="7"/>
  <c r="D2843" i="7"/>
  <c r="C2843" i="7"/>
  <c r="B2843" i="7"/>
  <c r="AR2842" i="7"/>
  <c r="AQ2842" i="7"/>
  <c r="AP2842" i="7"/>
  <c r="AL2842" i="7"/>
  <c r="AK2842" i="7"/>
  <c r="AD2842" i="7"/>
  <c r="AC2842" i="7"/>
  <c r="AB2842" i="7" s="1"/>
  <c r="T2842" i="7"/>
  <c r="S2842" i="7"/>
  <c r="R2842" i="7" s="1"/>
  <c r="L2842" i="7"/>
  <c r="K2842" i="7"/>
  <c r="J2842" i="7" s="1"/>
  <c r="D2842" i="7"/>
  <c r="C2842" i="7"/>
  <c r="B2842" i="7" s="1"/>
  <c r="AR2841" i="7"/>
  <c r="AQ2841" i="7"/>
  <c r="AP2841" i="7" s="1"/>
  <c r="AL2841" i="7"/>
  <c r="AK2841" i="7"/>
  <c r="AJ2841" i="7" s="1"/>
  <c r="AD2841" i="7"/>
  <c r="AC2841" i="7"/>
  <c r="T2841" i="7"/>
  <c r="S2841" i="7"/>
  <c r="R2841" i="7" s="1"/>
  <c r="L2841" i="7"/>
  <c r="K2841" i="7"/>
  <c r="J2841" i="7" s="1"/>
  <c r="D2841" i="7"/>
  <c r="C2841" i="7"/>
  <c r="B2841" i="7" s="1"/>
  <c r="AR2840" i="7"/>
  <c r="AQ2840" i="7"/>
  <c r="AP2840" i="7" s="1"/>
  <c r="AL2840" i="7"/>
  <c r="AK2840" i="7"/>
  <c r="AJ2840" i="7" s="1"/>
  <c r="AD2840" i="7"/>
  <c r="AC2840" i="7"/>
  <c r="AA2840" i="7" s="1"/>
  <c r="T2840" i="7"/>
  <c r="S2840" i="7"/>
  <c r="R2840" i="7"/>
  <c r="L2840" i="7"/>
  <c r="K2840" i="7"/>
  <c r="J2840" i="7"/>
  <c r="D2840" i="7"/>
  <c r="C2840" i="7"/>
  <c r="B2840" i="7"/>
  <c r="AR2839" i="7"/>
  <c r="AQ2839" i="7"/>
  <c r="AP2839" i="7"/>
  <c r="AL2839" i="7"/>
  <c r="AK2839" i="7"/>
  <c r="AJ2839" i="7" s="1"/>
  <c r="AD2839" i="7"/>
  <c r="AC2839" i="7"/>
  <c r="T2839" i="7"/>
  <c r="S2839" i="7"/>
  <c r="R2839" i="7" s="1"/>
  <c r="L2839" i="7"/>
  <c r="K2839" i="7"/>
  <c r="J2839" i="7" s="1"/>
  <c r="D2839" i="7"/>
  <c r="C2839" i="7"/>
  <c r="B2839" i="7" s="1"/>
  <c r="AR2838" i="7"/>
  <c r="AQ2838" i="7"/>
  <c r="AP2838" i="7" s="1"/>
  <c r="AL2838" i="7"/>
  <c r="AK2838" i="7"/>
  <c r="AJ2838" i="7" s="1"/>
  <c r="AD2838" i="7"/>
  <c r="AC2838" i="7"/>
  <c r="T2838" i="7"/>
  <c r="S2838" i="7"/>
  <c r="R2838" i="7" s="1"/>
  <c r="L2838" i="7"/>
  <c r="K2838" i="7"/>
  <c r="J2838" i="7" s="1"/>
  <c r="D2838" i="7"/>
  <c r="C2838" i="7"/>
  <c r="B2838" i="7" s="1"/>
  <c r="AR2837" i="7"/>
  <c r="AQ2837" i="7"/>
  <c r="AP2837" i="7" s="1"/>
  <c r="AL2837" i="7"/>
  <c r="AK2837" i="7"/>
  <c r="AD2837" i="7"/>
  <c r="AC2837" i="7"/>
  <c r="AA2837" i="7" s="1"/>
  <c r="T2837" i="7"/>
  <c r="S2837" i="7"/>
  <c r="R2837" i="7"/>
  <c r="L2837" i="7"/>
  <c r="K2837" i="7"/>
  <c r="J2837" i="7"/>
  <c r="D2837" i="7"/>
  <c r="C2837" i="7"/>
  <c r="B2837" i="7"/>
  <c r="AR2836" i="7"/>
  <c r="AQ2836" i="7"/>
  <c r="AP2836" i="7"/>
  <c r="AL2836" i="7"/>
  <c r="AK2836" i="7"/>
  <c r="AI2836" i="7" s="1"/>
  <c r="AD2836" i="7"/>
  <c r="AC2836" i="7"/>
  <c r="AB2836" i="7" s="1"/>
  <c r="T2836" i="7"/>
  <c r="S2836" i="7"/>
  <c r="R2836" i="7" s="1"/>
  <c r="L2836" i="7"/>
  <c r="K2836" i="7"/>
  <c r="J2836" i="7" s="1"/>
  <c r="D2836" i="7"/>
  <c r="C2836" i="7"/>
  <c r="B2836" i="7" s="1"/>
  <c r="AR2835" i="7"/>
  <c r="AQ2835" i="7"/>
  <c r="AP2835" i="7" s="1"/>
  <c r="AL2835" i="7"/>
  <c r="AK2835" i="7"/>
  <c r="AJ2835" i="7" s="1"/>
  <c r="AD2835" i="7"/>
  <c r="AC2835" i="7"/>
  <c r="T2835" i="7"/>
  <c r="S2835" i="7"/>
  <c r="R2835" i="7" s="1"/>
  <c r="L2835" i="7"/>
  <c r="K2835" i="7"/>
  <c r="J2835" i="7" s="1"/>
  <c r="D2835" i="7"/>
  <c r="C2835" i="7"/>
  <c r="B2835" i="7" s="1"/>
  <c r="AR2834" i="7"/>
  <c r="AQ2834" i="7"/>
  <c r="AP2834" i="7" s="1"/>
  <c r="AL2834" i="7"/>
  <c r="AK2834" i="7"/>
  <c r="AD2834" i="7"/>
  <c r="AC2834" i="7"/>
  <c r="AA2834" i="7" s="1"/>
  <c r="T2834" i="7"/>
  <c r="S2834" i="7"/>
  <c r="R2834" i="7"/>
  <c r="L2834" i="7"/>
  <c r="K2834" i="7"/>
  <c r="J2834" i="7"/>
  <c r="D2834" i="7"/>
  <c r="C2834" i="7"/>
  <c r="B2834" i="7"/>
  <c r="AR2833" i="7"/>
  <c r="AQ2833" i="7"/>
  <c r="AP2833" i="7"/>
  <c r="AL2833" i="7"/>
  <c r="AK2833" i="7"/>
  <c r="AD2833" i="7"/>
  <c r="AC2833" i="7"/>
  <c r="AB2833" i="7" s="1"/>
  <c r="T2833" i="7"/>
  <c r="S2833" i="7"/>
  <c r="R2833" i="7" s="1"/>
  <c r="L2833" i="7"/>
  <c r="K2833" i="7"/>
  <c r="J2833" i="7" s="1"/>
  <c r="D2833" i="7"/>
  <c r="C2833" i="7"/>
  <c r="B2833" i="7" s="1"/>
  <c r="AR2832" i="7"/>
  <c r="AQ2832" i="7"/>
  <c r="AP2832" i="7" s="1"/>
  <c r="AL2832" i="7"/>
  <c r="AK2832" i="7"/>
  <c r="AJ2832" i="7" s="1"/>
  <c r="AD2832" i="7"/>
  <c r="AC2832" i="7"/>
  <c r="AB2832" i="7" s="1"/>
  <c r="T2832" i="7"/>
  <c r="S2832" i="7"/>
  <c r="R2832" i="7" s="1"/>
  <c r="L2832" i="7"/>
  <c r="K2832" i="7"/>
  <c r="J2832" i="7" s="1"/>
  <c r="D2832" i="7"/>
  <c r="C2832" i="7"/>
  <c r="B2832" i="7" s="1"/>
  <c r="AR2831" i="7"/>
  <c r="AQ2831" i="7"/>
  <c r="AP2831" i="7" s="1"/>
  <c r="AL2831" i="7"/>
  <c r="AK2831" i="7"/>
  <c r="AJ2831" i="7" s="1"/>
  <c r="AD2831" i="7"/>
  <c r="AC2831" i="7"/>
  <c r="AA2831" i="7" s="1"/>
  <c r="T2831" i="7"/>
  <c r="S2831" i="7"/>
  <c r="R2831" i="7"/>
  <c r="L2831" i="7"/>
  <c r="K2831" i="7"/>
  <c r="J2831" i="7"/>
  <c r="D2831" i="7"/>
  <c r="C2831" i="7"/>
  <c r="B2831" i="7"/>
  <c r="AR2830" i="7"/>
  <c r="AQ2830" i="7"/>
  <c r="AP2830" i="7"/>
  <c r="AL2830" i="7"/>
  <c r="AK2830" i="7"/>
  <c r="AD2830" i="7"/>
  <c r="AC2830" i="7"/>
  <c r="T2830" i="7"/>
  <c r="S2830" i="7"/>
  <c r="R2830" i="7" s="1"/>
  <c r="L2830" i="7"/>
  <c r="K2830" i="7"/>
  <c r="J2830" i="7" s="1"/>
  <c r="D2830" i="7"/>
  <c r="C2830" i="7"/>
  <c r="B2830" i="7" s="1"/>
  <c r="AR2829" i="7"/>
  <c r="AQ2829" i="7"/>
  <c r="AP2829" i="7" s="1"/>
  <c r="AL2829" i="7"/>
  <c r="AK2829" i="7"/>
  <c r="AJ2829" i="7" s="1"/>
  <c r="AD2829" i="7"/>
  <c r="AC2829" i="7"/>
  <c r="T2829" i="7"/>
  <c r="S2829" i="7"/>
  <c r="R2829" i="7" s="1"/>
  <c r="L2829" i="7"/>
  <c r="K2829" i="7"/>
  <c r="J2829" i="7" s="1"/>
  <c r="D2829" i="7"/>
  <c r="C2829" i="7"/>
  <c r="B2829" i="7" s="1"/>
  <c r="AR2828" i="7"/>
  <c r="AQ2828" i="7"/>
  <c r="AP2828" i="7" s="1"/>
  <c r="AL2828" i="7"/>
  <c r="AK2828" i="7"/>
  <c r="AD2828" i="7"/>
  <c r="AC2828" i="7"/>
  <c r="AA2828" i="7" s="1"/>
  <c r="T2828" i="7"/>
  <c r="S2828" i="7"/>
  <c r="R2828" i="7"/>
  <c r="L2828" i="7"/>
  <c r="K2828" i="7"/>
  <c r="J2828" i="7"/>
  <c r="D2828" i="7"/>
  <c r="C2828" i="7"/>
  <c r="B2828" i="7"/>
  <c r="AR2827" i="7"/>
  <c r="AQ2827" i="7"/>
  <c r="AP2827" i="7"/>
  <c r="AL2827" i="7"/>
  <c r="AK2827" i="7"/>
  <c r="AI2827" i="7" s="1"/>
  <c r="AD2827" i="7"/>
  <c r="AC2827" i="7"/>
  <c r="T2827" i="7"/>
  <c r="S2827" i="7"/>
  <c r="R2827" i="7" s="1"/>
  <c r="L2827" i="7"/>
  <c r="K2827" i="7"/>
  <c r="J2827" i="7" s="1"/>
  <c r="D2827" i="7"/>
  <c r="C2827" i="7"/>
  <c r="B2827" i="7" s="1"/>
  <c r="AR2826" i="7"/>
  <c r="AQ2826" i="7"/>
  <c r="AP2826" i="7" s="1"/>
  <c r="AL2826" i="7"/>
  <c r="AK2826" i="7"/>
  <c r="AJ2826" i="7" s="1"/>
  <c r="AD2826" i="7"/>
  <c r="AC2826" i="7"/>
  <c r="T2826" i="7"/>
  <c r="S2826" i="7"/>
  <c r="R2826" i="7" s="1"/>
  <c r="L2826" i="7"/>
  <c r="K2826" i="7"/>
  <c r="J2826" i="7" s="1"/>
  <c r="D2826" i="7"/>
  <c r="C2826" i="7"/>
  <c r="B2826" i="7" s="1"/>
  <c r="AR2825" i="7"/>
  <c r="AQ2825" i="7"/>
  <c r="AP2825" i="7" s="1"/>
  <c r="AL2825" i="7"/>
  <c r="AK2825" i="7"/>
  <c r="AJ2825" i="7" s="1"/>
  <c r="AD2825" i="7"/>
  <c r="AC2825" i="7"/>
  <c r="AA2825" i="7" s="1"/>
  <c r="T2825" i="7"/>
  <c r="S2825" i="7"/>
  <c r="R2825" i="7"/>
  <c r="L2825" i="7"/>
  <c r="K2825" i="7"/>
  <c r="J2825" i="7"/>
  <c r="D2825" i="7"/>
  <c r="C2825" i="7"/>
  <c r="B2825" i="7"/>
  <c r="AR2824" i="7"/>
  <c r="AQ2824" i="7"/>
  <c r="AP2824" i="7"/>
  <c r="AL2824" i="7"/>
  <c r="AK2824" i="7"/>
  <c r="AD2824" i="7"/>
  <c r="AC2824" i="7"/>
  <c r="T2824" i="7"/>
  <c r="S2824" i="7"/>
  <c r="R2824" i="7" s="1"/>
  <c r="L2824" i="7"/>
  <c r="K2824" i="7"/>
  <c r="J2824" i="7" s="1"/>
  <c r="D2824" i="7"/>
  <c r="C2824" i="7"/>
  <c r="B2824" i="7" s="1"/>
  <c r="AR2823" i="7"/>
  <c r="AQ2823" i="7"/>
  <c r="AP2823" i="7" s="1"/>
  <c r="AL2823" i="7"/>
  <c r="AK2823" i="7"/>
  <c r="AJ2823" i="7" s="1"/>
  <c r="AD2823" i="7"/>
  <c r="AC2823" i="7"/>
  <c r="AB2823" i="7" s="1"/>
  <c r="T2823" i="7"/>
  <c r="S2823" i="7"/>
  <c r="R2823" i="7" s="1"/>
  <c r="L2823" i="7"/>
  <c r="K2823" i="7"/>
  <c r="J2823" i="7" s="1"/>
  <c r="D2823" i="7"/>
  <c r="C2823" i="7"/>
  <c r="B2823" i="7" s="1"/>
  <c r="AR2822" i="7"/>
  <c r="AQ2822" i="7"/>
  <c r="AP2822" i="7" s="1"/>
  <c r="AL2822" i="7"/>
  <c r="AK2822" i="7"/>
  <c r="AJ2822" i="7" s="1"/>
  <c r="AD2822" i="7"/>
  <c r="AC2822" i="7"/>
  <c r="AA2822" i="7" s="1"/>
  <c r="T2822" i="7"/>
  <c r="S2822" i="7"/>
  <c r="R2822" i="7"/>
  <c r="L2822" i="7"/>
  <c r="K2822" i="7"/>
  <c r="J2822" i="7"/>
  <c r="D2822" i="7"/>
  <c r="C2822" i="7"/>
  <c r="B2822" i="7"/>
  <c r="AR2821" i="7"/>
  <c r="AQ2821" i="7"/>
  <c r="AP2821" i="7"/>
  <c r="AL2821" i="7"/>
  <c r="AK2821" i="7"/>
  <c r="AD2821" i="7"/>
  <c r="AC2821" i="7"/>
  <c r="AB2821" i="7" s="1"/>
  <c r="T2821" i="7"/>
  <c r="S2821" i="7"/>
  <c r="R2821" i="7" s="1"/>
  <c r="L2821" i="7"/>
  <c r="K2821" i="7"/>
  <c r="J2821" i="7" s="1"/>
  <c r="D2821" i="7"/>
  <c r="C2821" i="7"/>
  <c r="B2821" i="7" s="1"/>
  <c r="AR2820" i="7"/>
  <c r="AQ2820" i="7"/>
  <c r="AP2820" i="7" s="1"/>
  <c r="AL2820" i="7"/>
  <c r="AK2820" i="7"/>
  <c r="AJ2820" i="7" s="1"/>
  <c r="AD2820" i="7"/>
  <c r="AC2820" i="7"/>
  <c r="T2820" i="7"/>
  <c r="S2820" i="7"/>
  <c r="R2820" i="7" s="1"/>
  <c r="L2820" i="7"/>
  <c r="K2820" i="7"/>
  <c r="J2820" i="7" s="1"/>
  <c r="D2820" i="7"/>
  <c r="C2820" i="7"/>
  <c r="B2820" i="7" s="1"/>
  <c r="AR2819" i="7"/>
  <c r="AQ2819" i="7"/>
  <c r="AP2819" i="7" s="1"/>
  <c r="AL2819" i="7"/>
  <c r="AK2819" i="7"/>
  <c r="AD2819" i="7"/>
  <c r="AC2819" i="7"/>
  <c r="AA2819" i="7" s="1"/>
  <c r="T2819" i="7"/>
  <c r="S2819" i="7"/>
  <c r="R2819" i="7"/>
  <c r="L2819" i="7"/>
  <c r="K2819" i="7"/>
  <c r="J2819" i="7"/>
  <c r="D2819" i="7"/>
  <c r="C2819" i="7"/>
  <c r="B2819" i="7"/>
  <c r="AR2818" i="7"/>
  <c r="AQ2818" i="7"/>
  <c r="AP2818" i="7"/>
  <c r="AL2818" i="7"/>
  <c r="AK2818" i="7"/>
  <c r="AD2818" i="7"/>
  <c r="AC2818" i="7"/>
  <c r="AB2818" i="7" s="1"/>
  <c r="T2818" i="7"/>
  <c r="S2818" i="7"/>
  <c r="R2818" i="7" s="1"/>
  <c r="L2818" i="7"/>
  <c r="K2818" i="7"/>
  <c r="J2818" i="7" s="1"/>
  <c r="D2818" i="7"/>
  <c r="C2818" i="7"/>
  <c r="B2818" i="7" s="1"/>
  <c r="AR2817" i="7"/>
  <c r="AQ2817" i="7"/>
  <c r="AP2817" i="7" s="1"/>
  <c r="AL2817" i="7"/>
  <c r="AK2817" i="7"/>
  <c r="AJ2817" i="7" s="1"/>
  <c r="AD2817" i="7"/>
  <c r="AC2817" i="7"/>
  <c r="T2817" i="7"/>
  <c r="S2817" i="7"/>
  <c r="L2817" i="7"/>
  <c r="K2817" i="7"/>
  <c r="J2817" i="7" s="1"/>
  <c r="D2817" i="7"/>
  <c r="C2817" i="7"/>
  <c r="AR2816" i="7"/>
  <c r="AQ2816" i="7"/>
  <c r="AP2816" i="7" s="1"/>
  <c r="AL2816" i="7"/>
  <c r="AK2816" i="7"/>
  <c r="AD2816" i="7"/>
  <c r="AC2816" i="7"/>
  <c r="T2816" i="7"/>
  <c r="S2816" i="7"/>
  <c r="R2816" i="7"/>
  <c r="L2816" i="7"/>
  <c r="K2816" i="7"/>
  <c r="J2816" i="7"/>
  <c r="D2816" i="7"/>
  <c r="C2816" i="7"/>
  <c r="B2816" i="7"/>
  <c r="AR2815" i="7"/>
  <c r="AQ2815" i="7"/>
  <c r="AP2815" i="7"/>
  <c r="AL2815" i="7"/>
  <c r="AK2815" i="7"/>
  <c r="AD2815" i="7"/>
  <c r="AC2815" i="7"/>
  <c r="AB2815" i="7" s="1"/>
  <c r="T2815" i="7"/>
  <c r="S2815" i="7"/>
  <c r="R2815" i="7" s="1"/>
  <c r="L2815" i="7"/>
  <c r="K2815" i="7"/>
  <c r="J2815" i="7" s="1"/>
  <c r="D2815" i="7"/>
  <c r="C2815" i="7"/>
  <c r="B2815" i="7" s="1"/>
  <c r="AR2814" i="7"/>
  <c r="AQ2814" i="7"/>
  <c r="AP2814" i="7" s="1"/>
  <c r="AL2814" i="7"/>
  <c r="AK2814" i="7"/>
  <c r="AJ2814" i="7" s="1"/>
  <c r="AD2814" i="7"/>
  <c r="AC2814" i="7"/>
  <c r="AB2814" i="7" s="1"/>
  <c r="T2814" i="7"/>
  <c r="S2814" i="7"/>
  <c r="L2814" i="7"/>
  <c r="K2814" i="7"/>
  <c r="J2814" i="7" s="1"/>
  <c r="D2814" i="7"/>
  <c r="C2814" i="7"/>
  <c r="B2814" i="7" s="1"/>
  <c r="AR2813" i="7"/>
  <c r="AQ2813" i="7"/>
  <c r="AP2813" i="7" s="1"/>
  <c r="AL2813" i="7"/>
  <c r="AK2813" i="7"/>
  <c r="AD2813" i="7"/>
  <c r="AC2813" i="7"/>
  <c r="T2813" i="7"/>
  <c r="S2813" i="7"/>
  <c r="R2813" i="7"/>
  <c r="L2813" i="7"/>
  <c r="K2813" i="7"/>
  <c r="J2813" i="7"/>
  <c r="D2813" i="7"/>
  <c r="C2813" i="7"/>
  <c r="B2813" i="7"/>
  <c r="AR2812" i="7"/>
  <c r="AQ2812" i="7"/>
  <c r="AP2812" i="7"/>
  <c r="AL2812" i="7"/>
  <c r="AK2812" i="7"/>
  <c r="AD2812" i="7"/>
  <c r="AC2812" i="7"/>
  <c r="AB2812" i="7" s="1"/>
  <c r="T2812" i="7"/>
  <c r="S2812" i="7"/>
  <c r="R2812" i="7" s="1"/>
  <c r="L2812" i="7"/>
  <c r="K2812" i="7"/>
  <c r="J2812" i="7" s="1"/>
  <c r="D2812" i="7"/>
  <c r="C2812" i="7"/>
  <c r="B2812" i="7" s="1"/>
  <c r="AR2811" i="7"/>
  <c r="AQ2811" i="7"/>
  <c r="AP2811" i="7" s="1"/>
  <c r="AL2811" i="7"/>
  <c r="AK2811" i="7"/>
  <c r="AJ2811" i="7" s="1"/>
  <c r="AD2811" i="7"/>
  <c r="AC2811" i="7"/>
  <c r="T2811" i="7"/>
  <c r="S2811" i="7"/>
  <c r="L2811" i="7"/>
  <c r="K2811" i="7"/>
  <c r="J2811" i="7" s="1"/>
  <c r="D2811" i="7"/>
  <c r="C2811" i="7"/>
  <c r="AR2810" i="7"/>
  <c r="AQ2810" i="7"/>
  <c r="AP2810" i="7" s="1"/>
  <c r="AL2810" i="7"/>
  <c r="AK2810" i="7"/>
  <c r="AD2810" i="7"/>
  <c r="AC2810" i="7"/>
  <c r="T2810" i="7"/>
  <c r="S2810" i="7"/>
  <c r="R2810" i="7"/>
  <c r="L2810" i="7"/>
  <c r="K2810" i="7"/>
  <c r="J2810" i="7"/>
  <c r="D2810" i="7"/>
  <c r="C2810" i="7"/>
  <c r="B2810" i="7"/>
  <c r="AR2809" i="7"/>
  <c r="AQ2809" i="7"/>
  <c r="AP2809" i="7"/>
  <c r="AL2809" i="7"/>
  <c r="AK2809" i="7"/>
  <c r="AD2809" i="7"/>
  <c r="AC2809" i="7"/>
  <c r="AB2809" i="7" s="1"/>
  <c r="T2809" i="7"/>
  <c r="S2809" i="7"/>
  <c r="R2809" i="7" s="1"/>
  <c r="L2809" i="7"/>
  <c r="K2809" i="7"/>
  <c r="J2809" i="7" s="1"/>
  <c r="D2809" i="7"/>
  <c r="C2809" i="7"/>
  <c r="B2809" i="7" s="1"/>
  <c r="AR2808" i="7"/>
  <c r="AQ2808" i="7"/>
  <c r="AP2808" i="7" s="1"/>
  <c r="AL2808" i="7"/>
  <c r="AK2808" i="7"/>
  <c r="AD2808" i="7"/>
  <c r="AC2808" i="7"/>
  <c r="T2808" i="7"/>
  <c r="S2808" i="7"/>
  <c r="L2808" i="7"/>
  <c r="K2808" i="7"/>
  <c r="D2808" i="7"/>
  <c r="C2808" i="7"/>
  <c r="AR2807" i="7"/>
  <c r="AQ2807" i="7"/>
  <c r="AL2807" i="7"/>
  <c r="AK2807" i="7"/>
  <c r="AD2807" i="7"/>
  <c r="AC2807" i="7"/>
  <c r="T2807" i="7"/>
  <c r="S2807" i="7"/>
  <c r="R2807" i="7"/>
  <c r="L2807" i="7"/>
  <c r="K2807" i="7"/>
  <c r="J2807" i="7"/>
  <c r="D2807" i="7"/>
  <c r="C2807" i="7"/>
  <c r="B2807" i="7"/>
  <c r="AR2806" i="7"/>
  <c r="AQ2806" i="7"/>
  <c r="AP2806" i="7"/>
  <c r="AL2806" i="7"/>
  <c r="AK2806" i="7"/>
  <c r="AD2806" i="7"/>
  <c r="AC2806" i="7"/>
  <c r="AB2806" i="7" s="1"/>
  <c r="T2806" i="7"/>
  <c r="S2806" i="7"/>
  <c r="R2806" i="7" s="1"/>
  <c r="L2806" i="7"/>
  <c r="K2806" i="7"/>
  <c r="J2806" i="7" s="1"/>
  <c r="D2806" i="7"/>
  <c r="C2806" i="7"/>
  <c r="B2806" i="7" s="1"/>
  <c r="AR2805" i="7"/>
  <c r="AQ2805" i="7"/>
  <c r="AP2805" i="7" s="1"/>
  <c r="AL2805" i="7"/>
  <c r="AK2805" i="7"/>
  <c r="AD2805" i="7"/>
  <c r="AC2805" i="7"/>
  <c r="AB2805" i="7" s="1"/>
  <c r="T2805" i="7"/>
  <c r="S2805" i="7"/>
  <c r="L2805" i="7"/>
  <c r="K2805" i="7"/>
  <c r="D2805" i="7"/>
  <c r="C2805" i="7"/>
  <c r="AR2804" i="7"/>
  <c r="AQ2804" i="7"/>
  <c r="AL2804" i="7"/>
  <c r="AK2804" i="7"/>
  <c r="AJ2804" i="7" s="1"/>
  <c r="AD2804" i="7"/>
  <c r="AC2804" i="7"/>
  <c r="T2804" i="7"/>
  <c r="S2804" i="7"/>
  <c r="R2804" i="7"/>
  <c r="L2804" i="7"/>
  <c r="K2804" i="7"/>
  <c r="J2804" i="7"/>
  <c r="D2804" i="7"/>
  <c r="C2804" i="7"/>
  <c r="B2804" i="7"/>
  <c r="AR2803" i="7"/>
  <c r="AQ2803" i="7"/>
  <c r="AP2803" i="7"/>
  <c r="AL2803" i="7"/>
  <c r="AK2803" i="7"/>
  <c r="AD2803" i="7"/>
  <c r="AC2803" i="7"/>
  <c r="T2803" i="7"/>
  <c r="S2803" i="7"/>
  <c r="R2803" i="7" s="1"/>
  <c r="L2803" i="7"/>
  <c r="K2803" i="7"/>
  <c r="J2803" i="7" s="1"/>
  <c r="D2803" i="7"/>
  <c r="C2803" i="7"/>
  <c r="B2803" i="7" s="1"/>
  <c r="AR2802" i="7"/>
  <c r="AQ2802" i="7"/>
  <c r="AP2802" i="7" s="1"/>
  <c r="AL2802" i="7"/>
  <c r="AK2802" i="7"/>
  <c r="AD2802" i="7"/>
  <c r="AC2802" i="7"/>
  <c r="T2802" i="7"/>
  <c r="S2802" i="7"/>
  <c r="L2802" i="7"/>
  <c r="K2802" i="7"/>
  <c r="D2802" i="7"/>
  <c r="C2802" i="7"/>
  <c r="AR2801" i="7"/>
  <c r="AQ2801" i="7"/>
  <c r="AL2801" i="7"/>
  <c r="AK2801" i="7"/>
  <c r="AD2801" i="7"/>
  <c r="AC2801" i="7"/>
  <c r="T2801" i="7"/>
  <c r="S2801" i="7"/>
  <c r="R2801" i="7"/>
  <c r="L2801" i="7"/>
  <c r="K2801" i="7"/>
  <c r="J2801" i="7"/>
  <c r="D2801" i="7"/>
  <c r="C2801" i="7"/>
  <c r="B2801" i="7"/>
  <c r="AR2800" i="7"/>
  <c r="AQ2800" i="7"/>
  <c r="AP2800" i="7"/>
  <c r="AL2800" i="7"/>
  <c r="AK2800" i="7"/>
  <c r="AI2800" i="7" s="1"/>
  <c r="AD2800" i="7"/>
  <c r="AC2800" i="7"/>
  <c r="T2800" i="7"/>
  <c r="S2800" i="7"/>
  <c r="R2800" i="7" s="1"/>
  <c r="L2800" i="7"/>
  <c r="K2800" i="7"/>
  <c r="J2800" i="7" s="1"/>
  <c r="D2800" i="7"/>
  <c r="C2800" i="7"/>
  <c r="B2800" i="7" s="1"/>
  <c r="AR2799" i="7"/>
  <c r="AQ2799" i="7"/>
  <c r="AP2799" i="7" s="1"/>
  <c r="AL2799" i="7"/>
  <c r="AK2799" i="7"/>
  <c r="AD2799" i="7"/>
  <c r="AC2799" i="7"/>
  <c r="T2799" i="7"/>
  <c r="S2799" i="7"/>
  <c r="L2799" i="7"/>
  <c r="K2799" i="7"/>
  <c r="D2799" i="7"/>
  <c r="C2799" i="7"/>
  <c r="AR2798" i="7"/>
  <c r="AQ2798" i="7"/>
  <c r="AL2798" i="7"/>
  <c r="AK2798" i="7"/>
  <c r="AD2798" i="7"/>
  <c r="AC2798" i="7"/>
  <c r="T2798" i="7"/>
  <c r="S2798" i="7"/>
  <c r="R2798" i="7"/>
  <c r="L2798" i="7"/>
  <c r="K2798" i="7"/>
  <c r="J2798" i="7"/>
  <c r="D2798" i="7"/>
  <c r="C2798" i="7"/>
  <c r="B2798" i="7"/>
  <c r="AR2797" i="7"/>
  <c r="AQ2797" i="7"/>
  <c r="AP2797" i="7"/>
  <c r="AL2797" i="7"/>
  <c r="AK2797" i="7"/>
  <c r="AD2797" i="7"/>
  <c r="AC2797" i="7"/>
  <c r="T2797" i="7"/>
  <c r="S2797" i="7"/>
  <c r="R2797" i="7" s="1"/>
  <c r="L2797" i="7"/>
  <c r="K2797" i="7"/>
  <c r="J2797" i="7" s="1"/>
  <c r="D2797" i="7"/>
  <c r="C2797" i="7"/>
  <c r="B2797" i="7" s="1"/>
  <c r="AR2796" i="7"/>
  <c r="AQ2796" i="7"/>
  <c r="AP2796" i="7" s="1"/>
  <c r="AL2796" i="7"/>
  <c r="AK2796" i="7"/>
  <c r="AD2796" i="7"/>
  <c r="AC2796" i="7"/>
  <c r="AB2796" i="7" s="1"/>
  <c r="T2796" i="7"/>
  <c r="S2796" i="7"/>
  <c r="L2796" i="7"/>
  <c r="K2796" i="7"/>
  <c r="D2796" i="7"/>
  <c r="C2796" i="7"/>
  <c r="AR2795" i="7"/>
  <c r="AQ2795" i="7"/>
  <c r="AL2795" i="7"/>
  <c r="AK2795" i="7"/>
  <c r="AJ2795" i="7" s="1"/>
  <c r="AD2795" i="7"/>
  <c r="AC2795" i="7"/>
  <c r="T2795" i="7"/>
  <c r="S2795" i="7"/>
  <c r="R2795" i="7"/>
  <c r="L2795" i="7"/>
  <c r="K2795" i="7"/>
  <c r="J2795" i="7"/>
  <c r="D2795" i="7"/>
  <c r="C2795" i="7"/>
  <c r="B2795" i="7"/>
  <c r="AR2794" i="7"/>
  <c r="AQ2794" i="7"/>
  <c r="AP2794" i="7"/>
  <c r="AL2794" i="7"/>
  <c r="AK2794" i="7"/>
  <c r="AJ2794" i="7" s="1"/>
  <c r="AD2794" i="7"/>
  <c r="AC2794" i="7"/>
  <c r="AB2794" i="7" s="1"/>
  <c r="T2794" i="7"/>
  <c r="S2794" i="7"/>
  <c r="R2794" i="7" s="1"/>
  <c r="L2794" i="7"/>
  <c r="K2794" i="7"/>
  <c r="J2794" i="7" s="1"/>
  <c r="D2794" i="7"/>
  <c r="C2794" i="7"/>
  <c r="B2794" i="7" s="1"/>
  <c r="AR2793" i="7"/>
  <c r="AQ2793" i="7"/>
  <c r="AP2793" i="7" s="1"/>
  <c r="AL2793" i="7"/>
  <c r="AK2793" i="7"/>
  <c r="AD2793" i="7"/>
  <c r="AC2793" i="7"/>
  <c r="T2793" i="7"/>
  <c r="S2793" i="7"/>
  <c r="L2793" i="7"/>
  <c r="K2793" i="7"/>
  <c r="D2793" i="7"/>
  <c r="C2793" i="7"/>
  <c r="AR2792" i="7"/>
  <c r="AQ2792" i="7"/>
  <c r="AL2792" i="7"/>
  <c r="AK2792" i="7"/>
  <c r="AD2792" i="7"/>
  <c r="AC2792" i="7"/>
  <c r="T2792" i="7"/>
  <c r="S2792" i="7"/>
  <c r="R2792" i="7"/>
  <c r="L2792" i="7"/>
  <c r="K2792" i="7"/>
  <c r="J2792" i="7"/>
  <c r="D2792" i="7"/>
  <c r="C2792" i="7"/>
  <c r="B2792" i="7"/>
  <c r="AR2791" i="7"/>
  <c r="AQ2791" i="7"/>
  <c r="AP2791" i="7"/>
  <c r="AL2791" i="7"/>
  <c r="AK2791" i="7"/>
  <c r="AI2791" i="7" s="1"/>
  <c r="AD2791" i="7"/>
  <c r="AC2791" i="7"/>
  <c r="AB2791" i="7" s="1"/>
  <c r="T2791" i="7"/>
  <c r="S2791" i="7"/>
  <c r="R2791" i="7" s="1"/>
  <c r="L2791" i="7"/>
  <c r="K2791" i="7"/>
  <c r="J2791" i="7" s="1"/>
  <c r="D2791" i="7"/>
  <c r="C2791" i="7"/>
  <c r="B2791" i="7" s="1"/>
  <c r="AR2790" i="7"/>
  <c r="AQ2790" i="7"/>
  <c r="AP2790" i="7" s="1"/>
  <c r="AL2790" i="7"/>
  <c r="AK2790" i="7"/>
  <c r="AD2790" i="7"/>
  <c r="AC2790" i="7"/>
  <c r="AB2790" i="7" s="1"/>
  <c r="T2790" i="7"/>
  <c r="S2790" i="7"/>
  <c r="L2790" i="7"/>
  <c r="K2790" i="7"/>
  <c r="D2790" i="7"/>
  <c r="C2790" i="7"/>
  <c r="AR2789" i="7"/>
  <c r="AQ2789" i="7"/>
  <c r="AL2789" i="7"/>
  <c r="AK2789" i="7"/>
  <c r="AJ2789" i="7" s="1"/>
  <c r="AD2789" i="7"/>
  <c r="AC2789" i="7"/>
  <c r="T2789" i="7"/>
  <c r="S2789" i="7"/>
  <c r="R2789" i="7"/>
  <c r="L2789" i="7"/>
  <c r="K2789" i="7"/>
  <c r="J2789" i="7"/>
  <c r="D2789" i="7"/>
  <c r="C2789" i="7"/>
  <c r="B2789" i="7"/>
  <c r="AR2788" i="7"/>
  <c r="AQ2788" i="7"/>
  <c r="AP2788" i="7"/>
  <c r="AL2788" i="7"/>
  <c r="AK2788" i="7"/>
  <c r="AJ2788" i="7" s="1"/>
  <c r="AD2788" i="7"/>
  <c r="AC2788" i="7"/>
  <c r="AB2788" i="7" s="1"/>
  <c r="T2788" i="7"/>
  <c r="S2788" i="7"/>
  <c r="R2788" i="7" s="1"/>
  <c r="L2788" i="7"/>
  <c r="K2788" i="7"/>
  <c r="J2788" i="7" s="1"/>
  <c r="D2788" i="7"/>
  <c r="C2788" i="7"/>
  <c r="B2788" i="7" s="1"/>
  <c r="AR2787" i="7"/>
  <c r="AQ2787" i="7"/>
  <c r="AP2787" i="7" s="1"/>
  <c r="AL2787" i="7"/>
  <c r="AK2787" i="7"/>
  <c r="AI2787" i="7" s="1"/>
  <c r="AD2787" i="7"/>
  <c r="AC2787" i="7"/>
  <c r="T2787" i="7"/>
  <c r="S2787" i="7"/>
  <c r="L2787" i="7"/>
  <c r="K2787" i="7"/>
  <c r="D2787" i="7"/>
  <c r="C2787" i="7"/>
  <c r="AR2786" i="7"/>
  <c r="AQ2786" i="7"/>
  <c r="AL2786" i="7"/>
  <c r="AK2786" i="7"/>
  <c r="AJ2786" i="7" s="1"/>
  <c r="AD2786" i="7"/>
  <c r="AC2786" i="7"/>
  <c r="T2786" i="7"/>
  <c r="S2786" i="7"/>
  <c r="R2786" i="7"/>
  <c r="L2786" i="7"/>
  <c r="K2786" i="7"/>
  <c r="J2786" i="7"/>
  <c r="D2786" i="7"/>
  <c r="C2786" i="7"/>
  <c r="B2786" i="7"/>
  <c r="AR2785" i="7"/>
  <c r="AQ2785" i="7"/>
  <c r="AP2785" i="7"/>
  <c r="AL2785" i="7"/>
  <c r="AK2785" i="7"/>
  <c r="AJ2785" i="7" s="1"/>
  <c r="AD2785" i="7"/>
  <c r="AC2785" i="7"/>
  <c r="T2785" i="7"/>
  <c r="S2785" i="7"/>
  <c r="R2785" i="7" s="1"/>
  <c r="L2785" i="7"/>
  <c r="K2785" i="7"/>
  <c r="J2785" i="7" s="1"/>
  <c r="D2785" i="7"/>
  <c r="C2785" i="7"/>
  <c r="B2785" i="7" s="1"/>
  <c r="AR2784" i="7"/>
  <c r="AQ2784" i="7"/>
  <c r="AP2784" i="7" s="1"/>
  <c r="AL2784" i="7"/>
  <c r="AK2784" i="7"/>
  <c r="AI2784" i="7" s="1"/>
  <c r="AD2784" i="7"/>
  <c r="AC2784" i="7"/>
  <c r="T2784" i="7"/>
  <c r="S2784" i="7"/>
  <c r="L2784" i="7"/>
  <c r="K2784" i="7"/>
  <c r="D2784" i="7"/>
  <c r="C2784" i="7"/>
  <c r="AR2783" i="7"/>
  <c r="AQ2783" i="7"/>
  <c r="AL2783" i="7"/>
  <c r="AK2783" i="7"/>
  <c r="AD2783" i="7"/>
  <c r="AC2783" i="7"/>
  <c r="T2783" i="7"/>
  <c r="S2783" i="7"/>
  <c r="R2783" i="7"/>
  <c r="L2783" i="7"/>
  <c r="K2783" i="7"/>
  <c r="J2783" i="7"/>
  <c r="D2783" i="7"/>
  <c r="C2783" i="7"/>
  <c r="B2783" i="7"/>
  <c r="AR2782" i="7"/>
  <c r="AQ2782" i="7"/>
  <c r="AP2782" i="7"/>
  <c r="AL2782" i="7"/>
  <c r="AK2782" i="7"/>
  <c r="AD2782" i="7"/>
  <c r="AC2782" i="7"/>
  <c r="AB2782" i="7" s="1"/>
  <c r="T2782" i="7"/>
  <c r="S2782" i="7"/>
  <c r="R2782" i="7"/>
  <c r="L2782" i="7"/>
  <c r="K2782" i="7"/>
  <c r="J2782" i="7" s="1"/>
  <c r="D2782" i="7"/>
  <c r="C2782" i="7"/>
  <c r="B2782" i="7" s="1"/>
  <c r="AR2781" i="7"/>
  <c r="AQ2781" i="7"/>
  <c r="AP2781" i="7" s="1"/>
  <c r="AL2781" i="7"/>
  <c r="AK2781" i="7"/>
  <c r="AI2781" i="7" s="1"/>
  <c r="AD2781" i="7"/>
  <c r="AC2781" i="7"/>
  <c r="AA2781" i="7" s="1"/>
  <c r="T2781" i="7"/>
  <c r="S2781" i="7"/>
  <c r="L2781" i="7"/>
  <c r="K2781" i="7"/>
  <c r="D2781" i="7"/>
  <c r="C2781" i="7"/>
  <c r="AR2780" i="7"/>
  <c r="AQ2780" i="7"/>
  <c r="AL2780" i="7"/>
  <c r="AK2780" i="7"/>
  <c r="AJ2780" i="7" s="1"/>
  <c r="AD2780" i="7"/>
  <c r="AC2780" i="7"/>
  <c r="T2780" i="7"/>
  <c r="R2780" i="7" s="1"/>
  <c r="S2780" i="7"/>
  <c r="L2780" i="7"/>
  <c r="K2780" i="7"/>
  <c r="J2780" i="7"/>
  <c r="D2780" i="7"/>
  <c r="B2780" i="7" s="1"/>
  <c r="C2780" i="7"/>
  <c r="AR2779" i="7"/>
  <c r="AQ2779" i="7"/>
  <c r="AP2779" i="7"/>
  <c r="AL2779" i="7"/>
  <c r="AK2779" i="7"/>
  <c r="AJ2779" i="7" s="1"/>
  <c r="AD2779" i="7"/>
  <c r="AC2779" i="7"/>
  <c r="T2779" i="7"/>
  <c r="S2779" i="7"/>
  <c r="R2779" i="7"/>
  <c r="L2779" i="7"/>
  <c r="K2779" i="7"/>
  <c r="J2779" i="7" s="1"/>
  <c r="D2779" i="7"/>
  <c r="C2779" i="7"/>
  <c r="B2779" i="7" s="1"/>
  <c r="AR2778" i="7"/>
  <c r="AQ2778" i="7"/>
  <c r="AP2778" i="7" s="1"/>
  <c r="AL2778" i="7"/>
  <c r="AK2778" i="7"/>
  <c r="AI2778" i="7" s="1"/>
  <c r="AD2778" i="7"/>
  <c r="AC2778" i="7"/>
  <c r="AB2778" i="7" s="1"/>
  <c r="T2778" i="7"/>
  <c r="S2778" i="7"/>
  <c r="L2778" i="7"/>
  <c r="K2778" i="7"/>
  <c r="D2778" i="7"/>
  <c r="C2778" i="7"/>
  <c r="AR2777" i="7"/>
  <c r="AQ2777" i="7"/>
  <c r="AL2777" i="7"/>
  <c r="AK2777" i="7"/>
  <c r="AJ2777" i="7" s="1"/>
  <c r="AD2777" i="7"/>
  <c r="AC2777" i="7"/>
  <c r="T2777" i="7"/>
  <c r="R2777" i="7" s="1"/>
  <c r="S2777" i="7"/>
  <c r="L2777" i="7"/>
  <c r="K2777" i="7"/>
  <c r="J2777" i="7"/>
  <c r="D2777" i="7"/>
  <c r="B2777" i="7" s="1"/>
  <c r="C2777" i="7"/>
  <c r="AR2776" i="7"/>
  <c r="AQ2776" i="7"/>
  <c r="AP2776" i="7"/>
  <c r="AL2776" i="7"/>
  <c r="AK2776" i="7"/>
  <c r="AI2776" i="7" s="1"/>
  <c r="AD2776" i="7"/>
  <c r="AC2776" i="7"/>
  <c r="AB2776" i="7" s="1"/>
  <c r="T2776" i="7"/>
  <c r="S2776" i="7"/>
  <c r="R2776" i="7"/>
  <c r="L2776" i="7"/>
  <c r="K2776" i="7"/>
  <c r="J2776" i="7" s="1"/>
  <c r="D2776" i="7"/>
  <c r="C2776" i="7"/>
  <c r="B2776" i="7"/>
  <c r="AR2775" i="7"/>
  <c r="AQ2775" i="7"/>
  <c r="AP2775" i="7" s="1"/>
  <c r="AL2775" i="7"/>
  <c r="AK2775" i="7"/>
  <c r="AI2775" i="7" s="1"/>
  <c r="AD2775" i="7"/>
  <c r="AC2775" i="7"/>
  <c r="AA2775" i="7" s="1"/>
  <c r="T2775" i="7"/>
  <c r="S2775" i="7"/>
  <c r="L2775" i="7"/>
  <c r="K2775" i="7"/>
  <c r="D2775" i="7"/>
  <c r="C2775" i="7"/>
  <c r="AR2774" i="7"/>
  <c r="AQ2774" i="7"/>
  <c r="AL2774" i="7"/>
  <c r="AK2774" i="7"/>
  <c r="AD2774" i="7"/>
  <c r="AC2774" i="7"/>
  <c r="AA2774" i="7" s="1"/>
  <c r="T2774" i="7"/>
  <c r="S2774" i="7"/>
  <c r="R2774" i="7"/>
  <c r="L2774" i="7"/>
  <c r="K2774" i="7"/>
  <c r="J2774" i="7"/>
  <c r="D2774" i="7"/>
  <c r="C2774" i="7"/>
  <c r="B2774" i="7"/>
  <c r="AR2773" i="7"/>
  <c r="AQ2773" i="7"/>
  <c r="AP2773" i="7"/>
  <c r="AL2773" i="7"/>
  <c r="AK2773" i="7"/>
  <c r="AD2773" i="7"/>
  <c r="AC2773" i="7"/>
  <c r="T2773" i="7"/>
  <c r="S2773" i="7"/>
  <c r="R2773" i="7"/>
  <c r="L2773" i="7"/>
  <c r="K2773" i="7"/>
  <c r="J2773" i="7" s="1"/>
  <c r="D2773" i="7"/>
  <c r="C2773" i="7"/>
  <c r="B2773" i="7"/>
  <c r="AR2772" i="7"/>
  <c r="AQ2772" i="7"/>
  <c r="AP2772" i="7" s="1"/>
  <c r="AL2772" i="7"/>
  <c r="AK2772" i="7"/>
  <c r="AD2772" i="7"/>
  <c r="AC2772" i="7"/>
  <c r="T2772" i="7"/>
  <c r="S2772" i="7"/>
  <c r="L2772" i="7"/>
  <c r="K2772" i="7"/>
  <c r="D2772" i="7"/>
  <c r="C2772" i="7"/>
  <c r="AR2771" i="7"/>
  <c r="AQ2771" i="7"/>
  <c r="AL2771" i="7"/>
  <c r="AK2771" i="7"/>
  <c r="AD2771" i="7"/>
  <c r="AC2771" i="7"/>
  <c r="T2771" i="7"/>
  <c r="S2771" i="7"/>
  <c r="R2771" i="7"/>
  <c r="L2771" i="7"/>
  <c r="J2771" i="7" s="1"/>
  <c r="K2771" i="7"/>
  <c r="D2771" i="7"/>
  <c r="C2771" i="7"/>
  <c r="B2771" i="7"/>
  <c r="AR2770" i="7"/>
  <c r="AP2770" i="7" s="1"/>
  <c r="AQ2770" i="7"/>
  <c r="AL2770" i="7"/>
  <c r="AK2770" i="7"/>
  <c r="AD2770" i="7"/>
  <c r="AC2770" i="7"/>
  <c r="AB2770" i="7" s="1"/>
  <c r="AA2770" i="7"/>
  <c r="T2770" i="7"/>
  <c r="S2770" i="7"/>
  <c r="R2770" i="7" s="1"/>
  <c r="L2770" i="7"/>
  <c r="K2770" i="7"/>
  <c r="J2770" i="7" s="1"/>
  <c r="D2770" i="7"/>
  <c r="C2770" i="7"/>
  <c r="B2770" i="7" s="1"/>
  <c r="AR2769" i="7"/>
  <c r="AQ2769" i="7"/>
  <c r="AP2769" i="7" s="1"/>
  <c r="AL2769" i="7"/>
  <c r="AK2769" i="7"/>
  <c r="AD2769" i="7"/>
  <c r="AC2769" i="7"/>
  <c r="T2769" i="7"/>
  <c r="S2769" i="7"/>
  <c r="L2769" i="7"/>
  <c r="K2769" i="7"/>
  <c r="D2769" i="7"/>
  <c r="C2769" i="7"/>
  <c r="AR2768" i="7"/>
  <c r="AQ2768" i="7"/>
  <c r="AL2768" i="7"/>
  <c r="AK2768" i="7"/>
  <c r="AJ2768" i="7" s="1"/>
  <c r="AI2768" i="7"/>
  <c r="AH2768" i="7" s="1"/>
  <c r="AD2768" i="7"/>
  <c r="AC2768" i="7"/>
  <c r="T2768" i="7"/>
  <c r="R2768" i="7" s="1"/>
  <c r="S2768" i="7"/>
  <c r="L2768" i="7"/>
  <c r="K2768" i="7"/>
  <c r="J2768" i="7"/>
  <c r="D2768" i="7"/>
  <c r="B2768" i="7" s="1"/>
  <c r="C2768" i="7"/>
  <c r="AR2767" i="7"/>
  <c r="AQ2767" i="7"/>
  <c r="AP2767" i="7"/>
  <c r="AL2767" i="7"/>
  <c r="AK2767" i="7"/>
  <c r="AJ2767" i="7" s="1"/>
  <c r="AD2767" i="7"/>
  <c r="AC2767" i="7"/>
  <c r="AB2767" i="7" s="1"/>
  <c r="T2767" i="7"/>
  <c r="S2767" i="7"/>
  <c r="R2767" i="7"/>
  <c r="L2767" i="7"/>
  <c r="K2767" i="7"/>
  <c r="J2767" i="7"/>
  <c r="D2767" i="7"/>
  <c r="C2767" i="7"/>
  <c r="B2767" i="7"/>
  <c r="AR2766" i="7"/>
  <c r="AQ2766" i="7"/>
  <c r="AP2766" i="7"/>
  <c r="AL2766" i="7"/>
  <c r="AK2766" i="7"/>
  <c r="AI2766" i="7" s="1"/>
  <c r="AD2766" i="7"/>
  <c r="AC2766" i="7"/>
  <c r="T2766" i="7"/>
  <c r="S2766" i="7"/>
  <c r="L2766" i="7"/>
  <c r="K2766" i="7"/>
  <c r="D2766" i="7"/>
  <c r="C2766" i="7"/>
  <c r="AR2765" i="7"/>
  <c r="AQ2765" i="7"/>
  <c r="AL2765" i="7"/>
  <c r="AK2765" i="7"/>
  <c r="AD2765" i="7"/>
  <c r="AC2765" i="7"/>
  <c r="T2765" i="7"/>
  <c r="S2765" i="7"/>
  <c r="R2765" i="7"/>
  <c r="L2765" i="7"/>
  <c r="K2765" i="7"/>
  <c r="J2765" i="7"/>
  <c r="D2765" i="7"/>
  <c r="C2765" i="7"/>
  <c r="B2765" i="7"/>
  <c r="AR2764" i="7"/>
  <c r="AQ2764" i="7"/>
  <c r="AP2764" i="7"/>
  <c r="AL2764" i="7"/>
  <c r="AK2764" i="7"/>
  <c r="AI2764" i="7" s="1"/>
  <c r="AD2764" i="7"/>
  <c r="AC2764" i="7"/>
  <c r="T2764" i="7"/>
  <c r="S2764" i="7"/>
  <c r="R2764" i="7"/>
  <c r="L2764" i="7"/>
  <c r="K2764" i="7"/>
  <c r="J2764" i="7" s="1"/>
  <c r="D2764" i="7"/>
  <c r="C2764" i="7"/>
  <c r="B2764" i="7"/>
  <c r="AR2763" i="7"/>
  <c r="AQ2763" i="7"/>
  <c r="AL2763" i="7"/>
  <c r="AK2763" i="7"/>
  <c r="AD2763" i="7"/>
  <c r="AC2763" i="7"/>
  <c r="AB2763" i="7" s="1"/>
  <c r="T2763" i="7"/>
  <c r="S2763" i="7"/>
  <c r="R2763" i="7"/>
  <c r="L2763" i="7"/>
  <c r="K2763" i="7"/>
  <c r="J2763" i="7" s="1"/>
  <c r="D2763" i="7"/>
  <c r="C2763" i="7"/>
  <c r="B2763" i="7"/>
  <c r="AR2762" i="7"/>
  <c r="AQ2762" i="7"/>
  <c r="AP2762" i="7" s="1"/>
  <c r="AL2762" i="7"/>
  <c r="AK2762" i="7"/>
  <c r="AJ2762" i="7" s="1"/>
  <c r="AD2762" i="7"/>
  <c r="AC2762" i="7"/>
  <c r="AB2762" i="7" s="1"/>
  <c r="T2762" i="7"/>
  <c r="S2762" i="7"/>
  <c r="L2762" i="7"/>
  <c r="K2762" i="7"/>
  <c r="J2762" i="7" s="1"/>
  <c r="D2762" i="7"/>
  <c r="C2762" i="7"/>
  <c r="B2762" i="7" s="1"/>
  <c r="AR2761" i="7"/>
  <c r="AQ2761" i="7"/>
  <c r="AP2761" i="7" s="1"/>
  <c r="AL2761" i="7"/>
  <c r="AK2761" i="7"/>
  <c r="AD2761" i="7"/>
  <c r="AC2761" i="7"/>
  <c r="AA2761" i="7" s="1"/>
  <c r="T2761" i="7"/>
  <c r="S2761" i="7"/>
  <c r="R2761" i="7"/>
  <c r="L2761" i="7"/>
  <c r="K2761" i="7"/>
  <c r="J2761" i="7" s="1"/>
  <c r="D2761" i="7"/>
  <c r="B2761" i="7" s="1"/>
  <c r="C2761" i="7"/>
  <c r="AR2760" i="7"/>
  <c r="AQ2760" i="7"/>
  <c r="AP2760" i="7" s="1"/>
  <c r="AL2760" i="7"/>
  <c r="AK2760" i="7"/>
  <c r="AI2760" i="7" s="1"/>
  <c r="AD2760" i="7"/>
  <c r="AC2760" i="7"/>
  <c r="AB2760" i="7" s="1"/>
  <c r="T2760" i="7"/>
  <c r="S2760" i="7"/>
  <c r="R2760" i="7"/>
  <c r="L2760" i="7"/>
  <c r="K2760" i="7"/>
  <c r="J2760" i="7" s="1"/>
  <c r="D2760" i="7"/>
  <c r="C2760" i="7"/>
  <c r="B2760" i="7"/>
  <c r="AR2759" i="7"/>
  <c r="AQ2759" i="7"/>
  <c r="AP2759" i="7" s="1"/>
  <c r="AL2759" i="7"/>
  <c r="AK2759" i="7"/>
  <c r="AJ2759" i="7" s="1"/>
  <c r="AD2759" i="7"/>
  <c r="AC2759" i="7"/>
  <c r="AB2759" i="7" s="1"/>
  <c r="T2759" i="7"/>
  <c r="S2759" i="7"/>
  <c r="R2759" i="7" s="1"/>
  <c r="L2759" i="7"/>
  <c r="K2759" i="7"/>
  <c r="J2759" i="7" s="1"/>
  <c r="D2759" i="7"/>
  <c r="C2759" i="7"/>
  <c r="B2759" i="7"/>
  <c r="AR2758" i="7"/>
  <c r="AQ2758" i="7"/>
  <c r="AP2758" i="7" s="1"/>
  <c r="AL2758" i="7"/>
  <c r="AK2758" i="7"/>
  <c r="AI2758" i="7" s="1"/>
  <c r="AD2758" i="7"/>
  <c r="AC2758" i="7"/>
  <c r="AB2758" i="7" s="1"/>
  <c r="T2758" i="7"/>
  <c r="S2758" i="7"/>
  <c r="R2758" i="7"/>
  <c r="L2758" i="7"/>
  <c r="K2758" i="7"/>
  <c r="D2758" i="7"/>
  <c r="C2758" i="7"/>
  <c r="B2758" i="7"/>
  <c r="AR2757" i="7"/>
  <c r="AQ2757" i="7"/>
  <c r="AL2757" i="7"/>
  <c r="AK2757" i="7"/>
  <c r="AJ2757" i="7" s="1"/>
  <c r="AD2757" i="7"/>
  <c r="AC2757" i="7"/>
  <c r="T2757" i="7"/>
  <c r="R2757" i="7" s="1"/>
  <c r="S2757" i="7"/>
  <c r="L2757" i="7"/>
  <c r="K2757" i="7"/>
  <c r="J2757" i="7"/>
  <c r="D2757" i="7"/>
  <c r="B2757" i="7" s="1"/>
  <c r="C2757" i="7"/>
  <c r="AR2756" i="7"/>
  <c r="AQ2756" i="7"/>
  <c r="AP2756" i="7"/>
  <c r="AL2756" i="7"/>
  <c r="AK2756" i="7"/>
  <c r="AJ2756" i="7" s="1"/>
  <c r="AD2756" i="7"/>
  <c r="AC2756" i="7"/>
  <c r="AB2756" i="7" s="1"/>
  <c r="T2756" i="7"/>
  <c r="S2756" i="7"/>
  <c r="R2756" i="7"/>
  <c r="L2756" i="7"/>
  <c r="K2756" i="7"/>
  <c r="J2756" i="7" s="1"/>
  <c r="D2756" i="7"/>
  <c r="C2756" i="7"/>
  <c r="B2756" i="7" s="1"/>
  <c r="AR2755" i="7"/>
  <c r="AQ2755" i="7"/>
  <c r="AP2755" i="7" s="1"/>
  <c r="AL2755" i="7"/>
  <c r="AK2755" i="7"/>
  <c r="AI2755" i="7" s="1"/>
  <c r="AD2755" i="7"/>
  <c r="AC2755" i="7"/>
  <c r="AB2755" i="7" s="1"/>
  <c r="T2755" i="7"/>
  <c r="S2755" i="7"/>
  <c r="R2755" i="7"/>
  <c r="L2755" i="7"/>
  <c r="K2755" i="7"/>
  <c r="J2755" i="7" s="1"/>
  <c r="D2755" i="7"/>
  <c r="B2755" i="7" s="1"/>
  <c r="C2755" i="7"/>
  <c r="AR2754" i="7"/>
  <c r="AQ2754" i="7"/>
  <c r="AP2754" i="7" s="1"/>
  <c r="AL2754" i="7"/>
  <c r="AK2754" i="7"/>
  <c r="AJ2754" i="7" s="1"/>
  <c r="AD2754" i="7"/>
  <c r="AC2754" i="7"/>
  <c r="AB2754" i="7" s="1"/>
  <c r="T2754" i="7"/>
  <c r="S2754" i="7"/>
  <c r="R2754" i="7"/>
  <c r="L2754" i="7"/>
  <c r="K2754" i="7"/>
  <c r="J2754" i="7" s="1"/>
  <c r="D2754" i="7"/>
  <c r="C2754" i="7"/>
  <c r="B2754" i="7"/>
  <c r="AR2753" i="7"/>
  <c r="AQ2753" i="7"/>
  <c r="AP2753" i="7" s="1"/>
  <c r="AL2753" i="7"/>
  <c r="AK2753" i="7"/>
  <c r="AJ2753" i="7" s="1"/>
  <c r="AD2753" i="7"/>
  <c r="AC2753" i="7"/>
  <c r="AB2753" i="7" s="1"/>
  <c r="T2753" i="7"/>
  <c r="S2753" i="7"/>
  <c r="R2753" i="7" s="1"/>
  <c r="L2753" i="7"/>
  <c r="K2753" i="7"/>
  <c r="J2753" i="7" s="1"/>
  <c r="D2753" i="7"/>
  <c r="C2753" i="7"/>
  <c r="B2753" i="7"/>
  <c r="AR2752" i="7"/>
  <c r="AQ2752" i="7"/>
  <c r="AP2752" i="7" s="1"/>
  <c r="AL2752" i="7"/>
  <c r="AK2752" i="7"/>
  <c r="AI2752" i="7" s="1"/>
  <c r="AJ2752" i="7"/>
  <c r="AD2752" i="7"/>
  <c r="AC2752" i="7"/>
  <c r="AA2752" i="7" s="1"/>
  <c r="T2752" i="7"/>
  <c r="S2752" i="7"/>
  <c r="R2752" i="7"/>
  <c r="L2752" i="7"/>
  <c r="K2752" i="7"/>
  <c r="J2752" i="7" s="1"/>
  <c r="D2752" i="7"/>
  <c r="C2752" i="7"/>
  <c r="B2752" i="7"/>
  <c r="AR2751" i="7"/>
  <c r="AQ2751" i="7"/>
  <c r="AL2751" i="7"/>
  <c r="AK2751" i="7"/>
  <c r="AJ2751" i="7" s="1"/>
  <c r="AD2751" i="7"/>
  <c r="AC2751" i="7"/>
  <c r="T2751" i="7"/>
  <c r="R2751" i="7" s="1"/>
  <c r="S2751" i="7"/>
  <c r="L2751" i="7"/>
  <c r="K2751" i="7"/>
  <c r="J2751" i="7"/>
  <c r="D2751" i="7"/>
  <c r="B2751" i="7" s="1"/>
  <c r="C2751" i="7"/>
  <c r="AR2750" i="7"/>
  <c r="AQ2750" i="7"/>
  <c r="AP2750" i="7"/>
  <c r="AL2750" i="7"/>
  <c r="AK2750" i="7"/>
  <c r="AJ2750" i="7" s="1"/>
  <c r="AD2750" i="7"/>
  <c r="AC2750" i="7"/>
  <c r="AB2750" i="7" s="1"/>
  <c r="T2750" i="7"/>
  <c r="S2750" i="7"/>
  <c r="R2750" i="7"/>
  <c r="L2750" i="7"/>
  <c r="K2750" i="7"/>
  <c r="J2750" i="7" s="1"/>
  <c r="D2750" i="7"/>
  <c r="B2750" i="7" s="1"/>
  <c r="C2750" i="7"/>
  <c r="AR2749" i="7"/>
  <c r="AQ2749" i="7"/>
  <c r="AP2749" i="7" s="1"/>
  <c r="AL2749" i="7"/>
  <c r="AK2749" i="7"/>
  <c r="AI2749" i="7" s="1"/>
  <c r="AD2749" i="7"/>
  <c r="AC2749" i="7"/>
  <c r="AA2749" i="7" s="1"/>
  <c r="T2749" i="7"/>
  <c r="S2749" i="7"/>
  <c r="R2749" i="7"/>
  <c r="L2749" i="7"/>
  <c r="K2749" i="7"/>
  <c r="J2749" i="7" s="1"/>
  <c r="D2749" i="7"/>
  <c r="B2749" i="7" s="1"/>
  <c r="C2749" i="7"/>
  <c r="AR2748" i="7"/>
  <c r="AQ2748" i="7"/>
  <c r="AP2748" i="7" s="1"/>
  <c r="AL2748" i="7"/>
  <c r="AK2748" i="7"/>
  <c r="AD2748" i="7"/>
  <c r="AC2748" i="7"/>
  <c r="AB2748" i="7" s="1"/>
  <c r="T2748" i="7"/>
  <c r="S2748" i="7"/>
  <c r="R2748" i="7"/>
  <c r="L2748" i="7"/>
  <c r="K2748" i="7"/>
  <c r="J2748" i="7" s="1"/>
  <c r="D2748" i="7"/>
  <c r="C2748" i="7"/>
  <c r="B2748" i="7"/>
  <c r="AR2747" i="7"/>
  <c r="AQ2747" i="7"/>
  <c r="AP2747" i="7" s="1"/>
  <c r="AL2747" i="7"/>
  <c r="AK2747" i="7"/>
  <c r="AD2747" i="7"/>
  <c r="AC2747" i="7"/>
  <c r="T2747" i="7"/>
  <c r="S2747" i="7"/>
  <c r="R2747" i="7" s="1"/>
  <c r="L2747" i="7"/>
  <c r="K2747" i="7"/>
  <c r="J2747" i="7"/>
  <c r="D2747" i="7"/>
  <c r="C2747" i="7"/>
  <c r="B2747" i="7" s="1"/>
  <c r="AR2746" i="7"/>
  <c r="AQ2746" i="7"/>
  <c r="AP2746" i="7"/>
  <c r="AL2746" i="7"/>
  <c r="AK2746" i="7"/>
  <c r="AI2746" i="7" s="1"/>
  <c r="AD2746" i="7"/>
  <c r="AC2746" i="7"/>
  <c r="AA2746" i="7" s="1"/>
  <c r="T2746" i="7"/>
  <c r="S2746" i="7"/>
  <c r="R2746" i="7"/>
  <c r="L2746" i="7"/>
  <c r="K2746" i="7"/>
  <c r="J2746" i="7" s="1"/>
  <c r="D2746" i="7"/>
  <c r="B2746" i="7" s="1"/>
  <c r="C2746" i="7"/>
  <c r="AR2745" i="7"/>
  <c r="AQ2745" i="7"/>
  <c r="AP2745" i="7" s="1"/>
  <c r="AL2745" i="7"/>
  <c r="AK2745" i="7"/>
  <c r="AJ2745" i="7" s="1"/>
  <c r="AD2745" i="7"/>
  <c r="AC2745" i="7"/>
  <c r="AB2745" i="7" s="1"/>
  <c r="T2745" i="7"/>
  <c r="S2745" i="7"/>
  <c r="R2745" i="7"/>
  <c r="L2745" i="7"/>
  <c r="J2745" i="7" s="1"/>
  <c r="K2745" i="7"/>
  <c r="D2745" i="7"/>
  <c r="C2745" i="7"/>
  <c r="B2745" i="7"/>
  <c r="AR2744" i="7"/>
  <c r="AP2744" i="7" s="1"/>
  <c r="AQ2744" i="7"/>
  <c r="AL2744" i="7"/>
  <c r="AK2744" i="7"/>
  <c r="AD2744" i="7"/>
  <c r="AC2744" i="7"/>
  <c r="AB2744" i="7" s="1"/>
  <c r="T2744" i="7"/>
  <c r="R2744" i="7" s="1"/>
  <c r="S2744" i="7"/>
  <c r="L2744" i="7"/>
  <c r="K2744" i="7"/>
  <c r="J2744" i="7"/>
  <c r="D2744" i="7"/>
  <c r="B2744" i="7" s="1"/>
  <c r="C2744" i="7"/>
  <c r="AR2743" i="7"/>
  <c r="AQ2743" i="7"/>
  <c r="AP2743" i="7"/>
  <c r="AL2743" i="7"/>
  <c r="AK2743" i="7"/>
  <c r="AI2743" i="7" s="1"/>
  <c r="AD2743" i="7"/>
  <c r="AC2743" i="7"/>
  <c r="AB2743" i="7" s="1"/>
  <c r="T2743" i="7"/>
  <c r="S2743" i="7"/>
  <c r="R2743" i="7" s="1"/>
  <c r="L2743" i="7"/>
  <c r="K2743" i="7"/>
  <c r="J2743" i="7"/>
  <c r="D2743" i="7"/>
  <c r="C2743" i="7"/>
  <c r="B2743" i="7" s="1"/>
  <c r="AR2742" i="7"/>
  <c r="AQ2742" i="7"/>
  <c r="AP2742" i="7"/>
  <c r="AL2742" i="7"/>
  <c r="AK2742" i="7"/>
  <c r="AD2742" i="7"/>
  <c r="AC2742" i="7"/>
  <c r="T2742" i="7"/>
  <c r="S2742" i="7"/>
  <c r="R2742" i="7"/>
  <c r="L2742" i="7"/>
  <c r="K2742" i="7"/>
  <c r="J2742" i="7" s="1"/>
  <c r="D2742" i="7"/>
  <c r="C2742" i="7"/>
  <c r="B2742" i="7"/>
  <c r="AR2741" i="7"/>
  <c r="AQ2741" i="7"/>
  <c r="AL2741" i="7"/>
  <c r="AK2741" i="7"/>
  <c r="AD2741" i="7"/>
  <c r="AC2741" i="7"/>
  <c r="T2741" i="7"/>
  <c r="R2741" i="7" s="1"/>
  <c r="S2741" i="7"/>
  <c r="L2741" i="7"/>
  <c r="K2741" i="7"/>
  <c r="J2741" i="7"/>
  <c r="D2741" i="7"/>
  <c r="B2741" i="7" s="1"/>
  <c r="C2741" i="7"/>
  <c r="AR2740" i="7"/>
  <c r="AQ2740" i="7"/>
  <c r="AP2740" i="7"/>
  <c r="AL2740" i="7"/>
  <c r="AK2740" i="7"/>
  <c r="AI2740" i="7" s="1"/>
  <c r="AD2740" i="7"/>
  <c r="AC2740" i="7"/>
  <c r="AB2740" i="7" s="1"/>
  <c r="T2740" i="7"/>
  <c r="S2740" i="7"/>
  <c r="R2740" i="7" s="1"/>
  <c r="L2740" i="7"/>
  <c r="K2740" i="7"/>
  <c r="J2740" i="7"/>
  <c r="D2740" i="7"/>
  <c r="C2740" i="7"/>
  <c r="B2740" i="7" s="1"/>
  <c r="AR2739" i="7"/>
  <c r="AQ2739" i="7"/>
  <c r="AP2739" i="7"/>
  <c r="AL2739" i="7"/>
  <c r="AK2739" i="7"/>
  <c r="AD2739" i="7"/>
  <c r="AC2739" i="7"/>
  <c r="T2739" i="7"/>
  <c r="S2739" i="7"/>
  <c r="R2739" i="7"/>
  <c r="L2739" i="7"/>
  <c r="K2739" i="7"/>
  <c r="D2739" i="7"/>
  <c r="C2739" i="7"/>
  <c r="B2739" i="7"/>
  <c r="AR2738" i="7"/>
  <c r="AQ2738" i="7"/>
  <c r="AP2738" i="7" s="1"/>
  <c r="AL2738" i="7"/>
  <c r="AK2738" i="7"/>
  <c r="AJ2738" i="7" s="1"/>
  <c r="AD2738" i="7"/>
  <c r="AC2738" i="7"/>
  <c r="AA2738" i="7" s="1"/>
  <c r="T2738" i="7"/>
  <c r="R2738" i="7" s="1"/>
  <c r="S2738" i="7"/>
  <c r="L2738" i="7"/>
  <c r="K2738" i="7"/>
  <c r="J2738" i="7"/>
  <c r="D2738" i="7"/>
  <c r="B2738" i="7" s="1"/>
  <c r="C2738" i="7"/>
  <c r="AR2737" i="7"/>
  <c r="AQ2737" i="7"/>
  <c r="AP2737" i="7"/>
  <c r="AL2737" i="7"/>
  <c r="AK2737" i="7"/>
  <c r="AI2737" i="7" s="1"/>
  <c r="AD2737" i="7"/>
  <c r="AC2737" i="7"/>
  <c r="AB2737" i="7" s="1"/>
  <c r="T2737" i="7"/>
  <c r="S2737" i="7"/>
  <c r="R2737" i="7" s="1"/>
  <c r="L2737" i="7"/>
  <c r="K2737" i="7"/>
  <c r="J2737" i="7"/>
  <c r="D2737" i="7"/>
  <c r="C2737" i="7"/>
  <c r="B2737" i="7" s="1"/>
  <c r="AR2736" i="7"/>
  <c r="AQ2736" i="7"/>
  <c r="AP2736" i="7"/>
  <c r="AL2736" i="7"/>
  <c r="AK2736" i="7"/>
  <c r="AD2736" i="7"/>
  <c r="AC2736" i="7"/>
  <c r="T2736" i="7"/>
  <c r="S2736" i="7"/>
  <c r="R2736" i="7"/>
  <c r="L2736" i="7"/>
  <c r="K2736" i="7"/>
  <c r="J2736" i="7" s="1"/>
  <c r="D2736" i="7"/>
  <c r="C2736" i="7"/>
  <c r="B2736" i="7"/>
  <c r="AR2735" i="7"/>
  <c r="AQ2735" i="7"/>
  <c r="AL2735" i="7"/>
  <c r="AK2735" i="7"/>
  <c r="AJ2735" i="7" s="1"/>
  <c r="AD2735" i="7"/>
  <c r="AC2735" i="7"/>
  <c r="T2735" i="7"/>
  <c r="R2735" i="7" s="1"/>
  <c r="S2735" i="7"/>
  <c r="L2735" i="7"/>
  <c r="K2735" i="7"/>
  <c r="J2735" i="7"/>
  <c r="D2735" i="7"/>
  <c r="B2735" i="7" s="1"/>
  <c r="C2735" i="7"/>
  <c r="AR2734" i="7"/>
  <c r="AQ2734" i="7"/>
  <c r="AP2734" i="7"/>
  <c r="AL2734" i="7"/>
  <c r="AK2734" i="7"/>
  <c r="AJ2734" i="7" s="1"/>
  <c r="AD2734" i="7"/>
  <c r="AC2734" i="7"/>
  <c r="AB2734" i="7" s="1"/>
  <c r="T2734" i="7"/>
  <c r="S2734" i="7"/>
  <c r="R2734" i="7" s="1"/>
  <c r="L2734" i="7"/>
  <c r="K2734" i="7"/>
  <c r="J2734" i="7"/>
  <c r="D2734" i="7"/>
  <c r="C2734" i="7"/>
  <c r="B2734" i="7" s="1"/>
  <c r="AR2733" i="7"/>
  <c r="AQ2733" i="7"/>
  <c r="AP2733" i="7"/>
  <c r="AL2733" i="7"/>
  <c r="AK2733" i="7"/>
  <c r="AD2733" i="7"/>
  <c r="AC2733" i="7"/>
  <c r="AA2733" i="7" s="1"/>
  <c r="T2733" i="7"/>
  <c r="S2733" i="7"/>
  <c r="R2733" i="7"/>
  <c r="L2733" i="7"/>
  <c r="K2733" i="7"/>
  <c r="D2733" i="7"/>
  <c r="C2733" i="7"/>
  <c r="B2733" i="7"/>
  <c r="AR2732" i="7"/>
  <c r="AQ2732" i="7"/>
  <c r="AP2732" i="7" s="1"/>
  <c r="AL2732" i="7"/>
  <c r="AK2732" i="7"/>
  <c r="AJ2732" i="7" s="1"/>
  <c r="AD2732" i="7"/>
  <c r="AC2732" i="7"/>
  <c r="T2732" i="7"/>
  <c r="R2732" i="7" s="1"/>
  <c r="S2732" i="7"/>
  <c r="L2732" i="7"/>
  <c r="K2732" i="7"/>
  <c r="J2732" i="7"/>
  <c r="D2732" i="7"/>
  <c r="B2732" i="7" s="1"/>
  <c r="C2732" i="7"/>
  <c r="AR2731" i="7"/>
  <c r="AQ2731" i="7"/>
  <c r="AP2731" i="7"/>
  <c r="AL2731" i="7"/>
  <c r="AK2731" i="7"/>
  <c r="AI2731" i="7" s="1"/>
  <c r="AD2731" i="7"/>
  <c r="AC2731" i="7"/>
  <c r="AB2731" i="7" s="1"/>
  <c r="T2731" i="7"/>
  <c r="S2731" i="7"/>
  <c r="R2731" i="7" s="1"/>
  <c r="L2731" i="7"/>
  <c r="K2731" i="7"/>
  <c r="J2731" i="7"/>
  <c r="D2731" i="7"/>
  <c r="C2731" i="7"/>
  <c r="AR2730" i="7"/>
  <c r="AQ2730" i="7"/>
  <c r="AP2730" i="7"/>
  <c r="AL2730" i="7"/>
  <c r="AK2730" i="7"/>
  <c r="AD2730" i="7"/>
  <c r="AC2730" i="7"/>
  <c r="AA2730" i="7" s="1"/>
  <c r="T2730" i="7"/>
  <c r="S2730" i="7"/>
  <c r="R2730" i="7"/>
  <c r="L2730" i="7"/>
  <c r="K2730" i="7"/>
  <c r="J2730" i="7" s="1"/>
  <c r="D2730" i="7"/>
  <c r="C2730" i="7"/>
  <c r="B2730" i="7"/>
  <c r="AR2729" i="7"/>
  <c r="AQ2729" i="7"/>
  <c r="AL2729" i="7"/>
  <c r="AK2729" i="7"/>
  <c r="AD2729" i="7"/>
  <c r="AC2729" i="7"/>
  <c r="T2729" i="7"/>
  <c r="R2729" i="7" s="1"/>
  <c r="S2729" i="7"/>
  <c r="L2729" i="7"/>
  <c r="K2729" i="7"/>
  <c r="J2729" i="7" s="1"/>
  <c r="D2729" i="7"/>
  <c r="B2729" i="7" s="1"/>
  <c r="C2729" i="7"/>
  <c r="AR2728" i="7"/>
  <c r="AQ2728" i="7"/>
  <c r="AP2728" i="7"/>
  <c r="AL2728" i="7"/>
  <c r="AK2728" i="7"/>
  <c r="AD2728" i="7"/>
  <c r="AC2728" i="7"/>
  <c r="AB2728" i="7" s="1"/>
  <c r="T2728" i="7"/>
  <c r="S2728" i="7"/>
  <c r="L2728" i="7"/>
  <c r="K2728" i="7"/>
  <c r="J2728" i="7"/>
  <c r="D2728" i="7"/>
  <c r="C2728" i="7"/>
  <c r="B2728" i="7" s="1"/>
  <c r="AR2727" i="7"/>
  <c r="AQ2727" i="7"/>
  <c r="AP2727" i="7"/>
  <c r="AL2727" i="7"/>
  <c r="AK2727" i="7"/>
  <c r="AD2727" i="7"/>
  <c r="AC2727" i="7"/>
  <c r="AA2727" i="7" s="1"/>
  <c r="T2727" i="7"/>
  <c r="S2727" i="7"/>
  <c r="R2727" i="7"/>
  <c r="L2727" i="7"/>
  <c r="K2727" i="7"/>
  <c r="D2727" i="7"/>
  <c r="C2727" i="7"/>
  <c r="B2727" i="7"/>
  <c r="AR2726" i="7"/>
  <c r="AQ2726" i="7"/>
  <c r="AP2726" i="7" s="1"/>
  <c r="AL2726" i="7"/>
  <c r="AK2726" i="7"/>
  <c r="AJ2726" i="7" s="1"/>
  <c r="AD2726" i="7"/>
  <c r="AC2726" i="7"/>
  <c r="AA2726" i="7" s="1"/>
  <c r="T2726" i="7"/>
  <c r="R2726" i="7" s="1"/>
  <c r="S2726" i="7"/>
  <c r="L2726" i="7"/>
  <c r="K2726" i="7"/>
  <c r="J2726" i="7" s="1"/>
  <c r="D2726" i="7"/>
  <c r="B2726" i="7" s="1"/>
  <c r="C2726" i="7"/>
  <c r="AR2725" i="7"/>
  <c r="AQ2725" i="7"/>
  <c r="AP2725" i="7" s="1"/>
  <c r="AL2725" i="7"/>
  <c r="AK2725" i="7"/>
  <c r="AD2725" i="7"/>
  <c r="AC2725" i="7"/>
  <c r="AB2725" i="7" s="1"/>
  <c r="T2725" i="7"/>
  <c r="S2725" i="7"/>
  <c r="L2725" i="7"/>
  <c r="K2725" i="7"/>
  <c r="J2725" i="7"/>
  <c r="D2725" i="7"/>
  <c r="C2725" i="7"/>
  <c r="B2725" i="7" s="1"/>
  <c r="AR2724" i="7"/>
  <c r="AQ2724" i="7"/>
  <c r="AP2724" i="7"/>
  <c r="AL2724" i="7"/>
  <c r="AK2724" i="7"/>
  <c r="AD2724" i="7"/>
  <c r="AC2724" i="7"/>
  <c r="AA2724" i="7" s="1"/>
  <c r="T2724" i="7"/>
  <c r="S2724" i="7"/>
  <c r="R2724" i="7" s="1"/>
  <c r="L2724" i="7"/>
  <c r="K2724" i="7"/>
  <c r="D2724" i="7"/>
  <c r="C2724" i="7"/>
  <c r="B2724" i="7" s="1"/>
  <c r="AR2723" i="7"/>
  <c r="AQ2723" i="7"/>
  <c r="AP2723" i="7" s="1"/>
  <c r="AL2723" i="7"/>
  <c r="AK2723" i="7"/>
  <c r="AJ2723" i="7" s="1"/>
  <c r="AD2723" i="7"/>
  <c r="AC2723" i="7"/>
  <c r="T2723" i="7"/>
  <c r="R2723" i="7" s="1"/>
  <c r="S2723" i="7"/>
  <c r="L2723" i="7"/>
  <c r="J2723" i="7" s="1"/>
  <c r="K2723" i="7"/>
  <c r="D2723" i="7"/>
  <c r="B2723" i="7" s="1"/>
  <c r="C2723" i="7"/>
  <c r="AR2722" i="7"/>
  <c r="AQ2722" i="7"/>
  <c r="AP2722" i="7" s="1"/>
  <c r="AL2722" i="7"/>
  <c r="AK2722" i="7"/>
  <c r="AD2722" i="7"/>
  <c r="AC2722" i="7"/>
  <c r="AB2722" i="7" s="1"/>
  <c r="T2722" i="7"/>
  <c r="S2722" i="7"/>
  <c r="L2722" i="7"/>
  <c r="K2722" i="7"/>
  <c r="J2722" i="7"/>
  <c r="D2722" i="7"/>
  <c r="C2722" i="7"/>
  <c r="AR2721" i="7"/>
  <c r="AQ2721" i="7"/>
  <c r="AP2721" i="7"/>
  <c r="AL2721" i="7"/>
  <c r="AK2721" i="7"/>
  <c r="AD2721" i="7"/>
  <c r="AC2721" i="7"/>
  <c r="T2721" i="7"/>
  <c r="S2721" i="7"/>
  <c r="R2721" i="7" s="1"/>
  <c r="L2721" i="7"/>
  <c r="K2721" i="7"/>
  <c r="D2721" i="7"/>
  <c r="C2721" i="7"/>
  <c r="B2721" i="7"/>
  <c r="AR2720" i="7"/>
  <c r="AQ2720" i="7"/>
  <c r="AL2720" i="7"/>
  <c r="AK2720" i="7"/>
  <c r="AJ2720" i="7" s="1"/>
  <c r="AD2720" i="7"/>
  <c r="AC2720" i="7"/>
  <c r="AA2720" i="7" s="1"/>
  <c r="T2720" i="7"/>
  <c r="R2720" i="7" s="1"/>
  <c r="S2720" i="7"/>
  <c r="L2720" i="7"/>
  <c r="K2720" i="7"/>
  <c r="J2720" i="7" s="1"/>
  <c r="D2720" i="7"/>
  <c r="B2720" i="7" s="1"/>
  <c r="C2720" i="7"/>
  <c r="AR2719" i="7"/>
  <c r="AQ2719" i="7"/>
  <c r="AP2719" i="7"/>
  <c r="AL2719" i="7"/>
  <c r="AK2719" i="7"/>
  <c r="AI2719" i="7" s="1"/>
  <c r="AD2719" i="7"/>
  <c r="AC2719" i="7"/>
  <c r="T2719" i="7"/>
  <c r="S2719" i="7"/>
  <c r="R2719" i="7" s="1"/>
  <c r="L2719" i="7"/>
  <c r="K2719" i="7"/>
  <c r="J2719" i="7"/>
  <c r="D2719" i="7"/>
  <c r="C2719" i="7"/>
  <c r="B2719" i="7" s="1"/>
  <c r="AR2718" i="7"/>
  <c r="AQ2718" i="7"/>
  <c r="AP2718" i="7"/>
  <c r="AL2718" i="7"/>
  <c r="AK2718" i="7"/>
  <c r="AI2718" i="7" s="1"/>
  <c r="AD2718" i="7"/>
  <c r="AC2718" i="7"/>
  <c r="AA2718" i="7" s="1"/>
  <c r="T2718" i="7"/>
  <c r="S2718" i="7"/>
  <c r="R2718" i="7"/>
  <c r="L2718" i="7"/>
  <c r="K2718" i="7"/>
  <c r="J2718" i="7" s="1"/>
  <c r="D2718" i="7"/>
  <c r="C2718" i="7"/>
  <c r="B2718" i="7" s="1"/>
  <c r="AR2717" i="7"/>
  <c r="AQ2717" i="7"/>
  <c r="AL2717" i="7"/>
  <c r="AK2717" i="7"/>
  <c r="AJ2717" i="7" s="1"/>
  <c r="AD2717" i="7"/>
  <c r="AC2717" i="7"/>
  <c r="AA2717" i="7" s="1"/>
  <c r="AB2717" i="7"/>
  <c r="T2717" i="7"/>
  <c r="R2717" i="7" s="1"/>
  <c r="S2717" i="7"/>
  <c r="L2717" i="7"/>
  <c r="K2717" i="7"/>
  <c r="J2717" i="7" s="1"/>
  <c r="D2717" i="7"/>
  <c r="B2717" i="7" s="1"/>
  <c r="C2717" i="7"/>
  <c r="AR2716" i="7"/>
  <c r="AQ2716" i="7"/>
  <c r="AP2716" i="7" s="1"/>
  <c r="AL2716" i="7"/>
  <c r="AK2716" i="7"/>
  <c r="AI2716" i="7" s="1"/>
  <c r="AD2716" i="7"/>
  <c r="AC2716" i="7"/>
  <c r="T2716" i="7"/>
  <c r="R2716" i="7" s="1"/>
  <c r="S2716" i="7"/>
  <c r="L2716" i="7"/>
  <c r="K2716" i="7"/>
  <c r="J2716" i="7"/>
  <c r="D2716" i="7"/>
  <c r="B2716" i="7" s="1"/>
  <c r="C2716" i="7"/>
  <c r="AR2715" i="7"/>
  <c r="AQ2715" i="7"/>
  <c r="AP2715" i="7"/>
  <c r="AL2715" i="7"/>
  <c r="AK2715" i="7"/>
  <c r="AD2715" i="7"/>
  <c r="AC2715" i="7"/>
  <c r="AB2715" i="7" s="1"/>
  <c r="T2715" i="7"/>
  <c r="S2715" i="7"/>
  <c r="R2715" i="7" s="1"/>
  <c r="L2715" i="7"/>
  <c r="K2715" i="7"/>
  <c r="D2715" i="7"/>
  <c r="C2715" i="7"/>
  <c r="B2715" i="7"/>
  <c r="AR2714" i="7"/>
  <c r="AQ2714" i="7"/>
  <c r="AL2714" i="7"/>
  <c r="AK2714" i="7"/>
  <c r="AJ2714" i="7" s="1"/>
  <c r="AD2714" i="7"/>
  <c r="AC2714" i="7"/>
  <c r="T2714" i="7"/>
  <c r="R2714" i="7" s="1"/>
  <c r="S2714" i="7"/>
  <c r="L2714" i="7"/>
  <c r="K2714" i="7"/>
  <c r="J2714" i="7" s="1"/>
  <c r="D2714" i="7"/>
  <c r="B2714" i="7" s="1"/>
  <c r="C2714" i="7"/>
  <c r="AR2713" i="7"/>
  <c r="AQ2713" i="7"/>
  <c r="AP2713" i="7"/>
  <c r="AL2713" i="7"/>
  <c r="AK2713" i="7"/>
  <c r="AD2713" i="7"/>
  <c r="AC2713" i="7"/>
  <c r="T2713" i="7"/>
  <c r="S2713" i="7"/>
  <c r="R2713" i="7" s="1"/>
  <c r="L2713" i="7"/>
  <c r="K2713" i="7"/>
  <c r="J2713" i="7"/>
  <c r="D2713" i="7"/>
  <c r="C2713" i="7"/>
  <c r="B2713" i="7" s="1"/>
  <c r="AR2712" i="7"/>
  <c r="AQ2712" i="7"/>
  <c r="AP2712" i="7"/>
  <c r="AL2712" i="7"/>
  <c r="AK2712" i="7"/>
  <c r="AI2712" i="7" s="1"/>
  <c r="AD2712" i="7"/>
  <c r="AC2712" i="7"/>
  <c r="AB2712" i="7" s="1"/>
  <c r="T2712" i="7"/>
  <c r="S2712" i="7"/>
  <c r="R2712" i="7" s="1"/>
  <c r="L2712" i="7"/>
  <c r="K2712" i="7"/>
  <c r="D2712" i="7"/>
  <c r="C2712" i="7"/>
  <c r="B2712" i="7"/>
  <c r="AR2711" i="7"/>
  <c r="AQ2711" i="7"/>
  <c r="AP2711" i="7" s="1"/>
  <c r="AL2711" i="7"/>
  <c r="AK2711" i="7"/>
  <c r="AD2711" i="7"/>
  <c r="AC2711" i="7"/>
  <c r="AB2711" i="7" s="1"/>
  <c r="T2711" i="7"/>
  <c r="S2711" i="7"/>
  <c r="R2711" i="7"/>
  <c r="L2711" i="7"/>
  <c r="K2711" i="7"/>
  <c r="J2711" i="7"/>
  <c r="D2711" i="7"/>
  <c r="C2711" i="7"/>
  <c r="B2711" i="7"/>
  <c r="AR2710" i="7"/>
  <c r="AQ2710" i="7"/>
  <c r="AP2710" i="7"/>
  <c r="AL2710" i="7"/>
  <c r="AK2710" i="7"/>
  <c r="AJ2710" i="7" s="1"/>
  <c r="AD2710" i="7"/>
  <c r="AC2710" i="7"/>
  <c r="AB2710" i="7" s="1"/>
  <c r="T2710" i="7"/>
  <c r="S2710" i="7"/>
  <c r="R2710" i="7"/>
  <c r="L2710" i="7"/>
  <c r="K2710" i="7"/>
  <c r="J2710" i="7" s="1"/>
  <c r="D2710" i="7"/>
  <c r="C2710" i="7"/>
  <c r="B2710" i="7"/>
  <c r="AR2709" i="7"/>
  <c r="AQ2709" i="7"/>
  <c r="AP2709" i="7" s="1"/>
  <c r="AL2709" i="7"/>
  <c r="AK2709" i="7"/>
  <c r="AI2709" i="7" s="1"/>
  <c r="AD2709" i="7"/>
  <c r="AC2709" i="7"/>
  <c r="AB2709" i="7" s="1"/>
  <c r="T2709" i="7"/>
  <c r="R2709" i="7" s="1"/>
  <c r="S2709" i="7"/>
  <c r="L2709" i="7"/>
  <c r="K2709" i="7"/>
  <c r="D2709" i="7"/>
  <c r="C2709" i="7"/>
  <c r="B2709" i="7" s="1"/>
  <c r="AR2708" i="7"/>
  <c r="AQ2708" i="7"/>
  <c r="AP2708" i="7" s="1"/>
  <c r="AL2708" i="7"/>
  <c r="AK2708" i="7"/>
  <c r="AJ2708" i="7" s="1"/>
  <c r="AD2708" i="7"/>
  <c r="AC2708" i="7"/>
  <c r="T2708" i="7"/>
  <c r="S2708" i="7"/>
  <c r="R2708" i="7" s="1"/>
  <c r="L2708" i="7"/>
  <c r="J2708" i="7" s="1"/>
  <c r="K2708" i="7"/>
  <c r="D2708" i="7"/>
  <c r="C2708" i="7"/>
  <c r="B2708" i="7" s="1"/>
  <c r="AR2707" i="7"/>
  <c r="AP2707" i="7" s="1"/>
  <c r="AQ2707" i="7"/>
  <c r="AL2707" i="7"/>
  <c r="AK2707" i="7"/>
  <c r="AD2707" i="7"/>
  <c r="AC2707" i="7"/>
  <c r="AB2707" i="7" s="1"/>
  <c r="T2707" i="7"/>
  <c r="S2707" i="7"/>
  <c r="R2707" i="7" s="1"/>
  <c r="L2707" i="7"/>
  <c r="K2707" i="7"/>
  <c r="J2707" i="7"/>
  <c r="D2707" i="7"/>
  <c r="C2707" i="7"/>
  <c r="B2707" i="7" s="1"/>
  <c r="AR2706" i="7"/>
  <c r="AQ2706" i="7"/>
  <c r="AP2706" i="7"/>
  <c r="AL2706" i="7"/>
  <c r="AK2706" i="7"/>
  <c r="AJ2706" i="7" s="1"/>
  <c r="AD2706" i="7"/>
  <c r="AC2706" i="7"/>
  <c r="T2706" i="7"/>
  <c r="S2706" i="7"/>
  <c r="R2706" i="7" s="1"/>
  <c r="L2706" i="7"/>
  <c r="K2706" i="7"/>
  <c r="J2706" i="7" s="1"/>
  <c r="D2706" i="7"/>
  <c r="C2706" i="7"/>
  <c r="B2706" i="7" s="1"/>
  <c r="AR2705" i="7"/>
  <c r="AQ2705" i="7"/>
  <c r="AP2705" i="7" s="1"/>
  <c r="AL2705" i="7"/>
  <c r="AK2705" i="7"/>
  <c r="AJ2705" i="7" s="1"/>
  <c r="AD2705" i="7"/>
  <c r="AC2705" i="7"/>
  <c r="AB2705" i="7" s="1"/>
  <c r="T2705" i="7"/>
  <c r="S2705" i="7"/>
  <c r="R2705" i="7" s="1"/>
  <c r="L2705" i="7"/>
  <c r="J2705" i="7" s="1"/>
  <c r="K2705" i="7"/>
  <c r="D2705" i="7"/>
  <c r="C2705" i="7"/>
  <c r="B2705" i="7" s="1"/>
  <c r="AR2704" i="7"/>
  <c r="AP2704" i="7" s="1"/>
  <c r="AQ2704" i="7"/>
  <c r="AL2704" i="7"/>
  <c r="AK2704" i="7"/>
  <c r="AJ2704" i="7" s="1"/>
  <c r="AD2704" i="7"/>
  <c r="AC2704" i="7"/>
  <c r="AB2704" i="7" s="1"/>
  <c r="T2704" i="7"/>
  <c r="S2704" i="7"/>
  <c r="R2704" i="7" s="1"/>
  <c r="L2704" i="7"/>
  <c r="K2704" i="7"/>
  <c r="J2704" i="7"/>
  <c r="D2704" i="7"/>
  <c r="C2704" i="7"/>
  <c r="B2704" i="7" s="1"/>
  <c r="AR2703" i="7"/>
  <c r="AQ2703" i="7"/>
  <c r="AP2703" i="7"/>
  <c r="AL2703" i="7"/>
  <c r="AK2703" i="7"/>
  <c r="AJ2703" i="7" s="1"/>
  <c r="AD2703" i="7"/>
  <c r="AC2703" i="7"/>
  <c r="T2703" i="7"/>
  <c r="S2703" i="7"/>
  <c r="R2703" i="7" s="1"/>
  <c r="L2703" i="7"/>
  <c r="K2703" i="7"/>
  <c r="J2703" i="7" s="1"/>
  <c r="D2703" i="7"/>
  <c r="C2703" i="7"/>
  <c r="B2703" i="7" s="1"/>
  <c r="AR2702" i="7"/>
  <c r="AQ2702" i="7"/>
  <c r="AP2702" i="7" s="1"/>
  <c r="AL2702" i="7"/>
  <c r="AK2702" i="7"/>
  <c r="AJ2702" i="7" s="1"/>
  <c r="AD2702" i="7"/>
  <c r="AC2702" i="7"/>
  <c r="AA2702" i="7" s="1"/>
  <c r="AB2702" i="7"/>
  <c r="T2702" i="7"/>
  <c r="S2702" i="7"/>
  <c r="R2702" i="7" s="1"/>
  <c r="L2702" i="7"/>
  <c r="J2702" i="7" s="1"/>
  <c r="K2702" i="7"/>
  <c r="D2702" i="7"/>
  <c r="C2702" i="7"/>
  <c r="B2702" i="7" s="1"/>
  <c r="AR2701" i="7"/>
  <c r="AP2701" i="7" s="1"/>
  <c r="AQ2701" i="7"/>
  <c r="AL2701" i="7"/>
  <c r="AK2701" i="7"/>
  <c r="AJ2701" i="7" s="1"/>
  <c r="AD2701" i="7"/>
  <c r="AC2701" i="7"/>
  <c r="AB2701" i="7" s="1"/>
  <c r="T2701" i="7"/>
  <c r="S2701" i="7"/>
  <c r="R2701" i="7" s="1"/>
  <c r="L2701" i="7"/>
  <c r="K2701" i="7"/>
  <c r="J2701" i="7"/>
  <c r="D2701" i="7"/>
  <c r="C2701" i="7"/>
  <c r="B2701" i="7" s="1"/>
  <c r="AR2700" i="7"/>
  <c r="AQ2700" i="7"/>
  <c r="AP2700" i="7"/>
  <c r="AL2700" i="7"/>
  <c r="AK2700" i="7"/>
  <c r="AJ2700" i="7" s="1"/>
  <c r="AD2700" i="7"/>
  <c r="AC2700" i="7"/>
  <c r="T2700" i="7"/>
  <c r="S2700" i="7"/>
  <c r="R2700" i="7" s="1"/>
  <c r="L2700" i="7"/>
  <c r="K2700" i="7"/>
  <c r="J2700" i="7" s="1"/>
  <c r="D2700" i="7"/>
  <c r="C2700" i="7"/>
  <c r="B2700" i="7" s="1"/>
  <c r="AR2699" i="7"/>
  <c r="AQ2699" i="7"/>
  <c r="AP2699" i="7" s="1"/>
  <c r="AL2699" i="7"/>
  <c r="AK2699" i="7"/>
  <c r="AJ2699" i="7" s="1"/>
  <c r="AD2699" i="7"/>
  <c r="AC2699" i="7"/>
  <c r="AA2699" i="7" s="1"/>
  <c r="AB2699" i="7"/>
  <c r="T2699" i="7"/>
  <c r="S2699" i="7"/>
  <c r="R2699" i="7" s="1"/>
  <c r="L2699" i="7"/>
  <c r="J2699" i="7" s="1"/>
  <c r="K2699" i="7"/>
  <c r="D2699" i="7"/>
  <c r="C2699" i="7"/>
  <c r="B2699" i="7" s="1"/>
  <c r="AR2698" i="7"/>
  <c r="AP2698" i="7" s="1"/>
  <c r="AQ2698" i="7"/>
  <c r="AL2698" i="7"/>
  <c r="AK2698" i="7"/>
  <c r="AJ2698" i="7" s="1"/>
  <c r="AD2698" i="7"/>
  <c r="AC2698" i="7"/>
  <c r="AB2698" i="7" s="1"/>
  <c r="T2698" i="7"/>
  <c r="S2698" i="7"/>
  <c r="R2698" i="7" s="1"/>
  <c r="L2698" i="7"/>
  <c r="K2698" i="7"/>
  <c r="J2698" i="7"/>
  <c r="D2698" i="7"/>
  <c r="C2698" i="7"/>
  <c r="B2698" i="7" s="1"/>
  <c r="AR2697" i="7"/>
  <c r="AQ2697" i="7"/>
  <c r="AP2697" i="7"/>
  <c r="AL2697" i="7"/>
  <c r="AK2697" i="7"/>
  <c r="AJ2697" i="7" s="1"/>
  <c r="AD2697" i="7"/>
  <c r="AC2697" i="7"/>
  <c r="T2697" i="7"/>
  <c r="S2697" i="7"/>
  <c r="R2697" i="7" s="1"/>
  <c r="L2697" i="7"/>
  <c r="K2697" i="7"/>
  <c r="J2697" i="7" s="1"/>
  <c r="D2697" i="7"/>
  <c r="C2697" i="7"/>
  <c r="B2697" i="7" s="1"/>
  <c r="AR2696" i="7"/>
  <c r="AQ2696" i="7"/>
  <c r="AP2696" i="7" s="1"/>
  <c r="AL2696" i="7"/>
  <c r="AK2696" i="7"/>
  <c r="AJ2696" i="7" s="1"/>
  <c r="AD2696" i="7"/>
  <c r="AC2696" i="7"/>
  <c r="AA2696" i="7" s="1"/>
  <c r="T2696" i="7"/>
  <c r="S2696" i="7"/>
  <c r="R2696" i="7" s="1"/>
  <c r="L2696" i="7"/>
  <c r="J2696" i="7" s="1"/>
  <c r="K2696" i="7"/>
  <c r="D2696" i="7"/>
  <c r="C2696" i="7"/>
  <c r="B2696" i="7" s="1"/>
  <c r="AR2695" i="7"/>
  <c r="AP2695" i="7" s="1"/>
  <c r="AQ2695" i="7"/>
  <c r="AL2695" i="7"/>
  <c r="AK2695" i="7"/>
  <c r="AD2695" i="7"/>
  <c r="AC2695" i="7"/>
  <c r="AB2695" i="7" s="1"/>
  <c r="T2695" i="7"/>
  <c r="S2695" i="7"/>
  <c r="R2695" i="7" s="1"/>
  <c r="L2695" i="7"/>
  <c r="K2695" i="7"/>
  <c r="J2695" i="7"/>
  <c r="D2695" i="7"/>
  <c r="C2695" i="7"/>
  <c r="B2695" i="7" s="1"/>
  <c r="AR2694" i="7"/>
  <c r="AQ2694" i="7"/>
  <c r="AP2694" i="7"/>
  <c r="AL2694" i="7"/>
  <c r="AK2694" i="7"/>
  <c r="AJ2694" i="7" s="1"/>
  <c r="AD2694" i="7"/>
  <c r="AC2694" i="7"/>
  <c r="T2694" i="7"/>
  <c r="S2694" i="7"/>
  <c r="R2694" i="7" s="1"/>
  <c r="L2694" i="7"/>
  <c r="K2694" i="7"/>
  <c r="J2694" i="7" s="1"/>
  <c r="D2694" i="7"/>
  <c r="C2694" i="7"/>
  <c r="B2694" i="7" s="1"/>
  <c r="AR2693" i="7"/>
  <c r="AQ2693" i="7"/>
  <c r="AP2693" i="7" s="1"/>
  <c r="AL2693" i="7"/>
  <c r="AK2693" i="7"/>
  <c r="AJ2693" i="7" s="1"/>
  <c r="AD2693" i="7"/>
  <c r="AC2693" i="7"/>
  <c r="T2693" i="7"/>
  <c r="S2693" i="7"/>
  <c r="R2693" i="7" s="1"/>
  <c r="L2693" i="7"/>
  <c r="J2693" i="7" s="1"/>
  <c r="K2693" i="7"/>
  <c r="D2693" i="7"/>
  <c r="C2693" i="7"/>
  <c r="B2693" i="7" s="1"/>
  <c r="AR2692" i="7"/>
  <c r="AP2692" i="7" s="1"/>
  <c r="AQ2692" i="7"/>
  <c r="AL2692" i="7"/>
  <c r="AK2692" i="7"/>
  <c r="AJ2692" i="7" s="1"/>
  <c r="AD2692" i="7"/>
  <c r="AC2692" i="7"/>
  <c r="AB2692" i="7" s="1"/>
  <c r="T2692" i="7"/>
  <c r="S2692" i="7"/>
  <c r="R2692" i="7" s="1"/>
  <c r="L2692" i="7"/>
  <c r="K2692" i="7"/>
  <c r="J2692" i="7"/>
  <c r="D2692" i="7"/>
  <c r="C2692" i="7"/>
  <c r="B2692" i="7" s="1"/>
  <c r="AR2691" i="7"/>
  <c r="AQ2691" i="7"/>
  <c r="AP2691" i="7"/>
  <c r="AL2691" i="7"/>
  <c r="AK2691" i="7"/>
  <c r="AJ2691" i="7" s="1"/>
  <c r="AD2691" i="7"/>
  <c r="AC2691" i="7"/>
  <c r="AB2691" i="7"/>
  <c r="AA2691" i="7"/>
  <c r="Z2691" i="7" s="1"/>
  <c r="T2691" i="7"/>
  <c r="S2691" i="7"/>
  <c r="R2691" i="7" s="1"/>
  <c r="L2691" i="7"/>
  <c r="K2691" i="7"/>
  <c r="J2691" i="7" s="1"/>
  <c r="D2691" i="7"/>
  <c r="C2691" i="7"/>
  <c r="B2691" i="7" s="1"/>
  <c r="AR2690" i="7"/>
  <c r="AQ2690" i="7"/>
  <c r="AP2690" i="7" s="1"/>
  <c r="AL2690" i="7"/>
  <c r="AK2690" i="7"/>
  <c r="AJ2690" i="7" s="1"/>
  <c r="AD2690" i="7"/>
  <c r="AC2690" i="7"/>
  <c r="T2690" i="7"/>
  <c r="S2690" i="7"/>
  <c r="R2690" i="7" s="1"/>
  <c r="L2690" i="7"/>
  <c r="J2690" i="7" s="1"/>
  <c r="K2690" i="7"/>
  <c r="D2690" i="7"/>
  <c r="C2690" i="7"/>
  <c r="B2690" i="7" s="1"/>
  <c r="AR2689" i="7"/>
  <c r="AP2689" i="7" s="1"/>
  <c r="AQ2689" i="7"/>
  <c r="AL2689" i="7"/>
  <c r="AK2689" i="7"/>
  <c r="AJ2689" i="7" s="1"/>
  <c r="AD2689" i="7"/>
  <c r="AC2689" i="7"/>
  <c r="AB2689" i="7" s="1"/>
  <c r="T2689" i="7"/>
  <c r="S2689" i="7"/>
  <c r="R2689" i="7" s="1"/>
  <c r="L2689" i="7"/>
  <c r="K2689" i="7"/>
  <c r="J2689" i="7"/>
  <c r="D2689" i="7"/>
  <c r="C2689" i="7"/>
  <c r="B2689" i="7" s="1"/>
  <c r="AR2688" i="7"/>
  <c r="AQ2688" i="7"/>
  <c r="AP2688" i="7"/>
  <c r="AL2688" i="7"/>
  <c r="AK2688" i="7"/>
  <c r="AJ2688" i="7" s="1"/>
  <c r="AD2688" i="7"/>
  <c r="AC2688" i="7"/>
  <c r="AA2688" i="7" s="1"/>
  <c r="T2688" i="7"/>
  <c r="S2688" i="7"/>
  <c r="R2688" i="7" s="1"/>
  <c r="L2688" i="7"/>
  <c r="K2688" i="7"/>
  <c r="J2688" i="7" s="1"/>
  <c r="D2688" i="7"/>
  <c r="C2688" i="7"/>
  <c r="B2688" i="7" s="1"/>
  <c r="AR2687" i="7"/>
  <c r="AQ2687" i="7"/>
  <c r="AP2687" i="7" s="1"/>
  <c r="AL2687" i="7"/>
  <c r="AK2687" i="7"/>
  <c r="AJ2687" i="7" s="1"/>
  <c r="AD2687" i="7"/>
  <c r="AC2687" i="7"/>
  <c r="T2687" i="7"/>
  <c r="S2687" i="7"/>
  <c r="R2687" i="7" s="1"/>
  <c r="L2687" i="7"/>
  <c r="J2687" i="7" s="1"/>
  <c r="K2687" i="7"/>
  <c r="D2687" i="7"/>
  <c r="C2687" i="7"/>
  <c r="B2687" i="7" s="1"/>
  <c r="AR2686" i="7"/>
  <c r="AP2686" i="7" s="1"/>
  <c r="AQ2686" i="7"/>
  <c r="AL2686" i="7"/>
  <c r="AK2686" i="7"/>
  <c r="AJ2686" i="7" s="1"/>
  <c r="AD2686" i="7"/>
  <c r="AC2686" i="7"/>
  <c r="AB2686" i="7" s="1"/>
  <c r="T2686" i="7"/>
  <c r="S2686" i="7"/>
  <c r="R2686" i="7" s="1"/>
  <c r="L2686" i="7"/>
  <c r="K2686" i="7"/>
  <c r="J2686" i="7"/>
  <c r="D2686" i="7"/>
  <c r="C2686" i="7"/>
  <c r="B2686" i="7" s="1"/>
  <c r="AR2685" i="7"/>
  <c r="AQ2685" i="7"/>
  <c r="AP2685" i="7"/>
  <c r="AL2685" i="7"/>
  <c r="AK2685" i="7"/>
  <c r="AJ2685" i="7" s="1"/>
  <c r="AD2685" i="7"/>
  <c r="AC2685" i="7"/>
  <c r="AA2685" i="7" s="1"/>
  <c r="AB2685" i="7"/>
  <c r="T2685" i="7"/>
  <c r="S2685" i="7"/>
  <c r="R2685" i="7" s="1"/>
  <c r="L2685" i="7"/>
  <c r="K2685" i="7"/>
  <c r="J2685" i="7" s="1"/>
  <c r="D2685" i="7"/>
  <c r="C2685" i="7"/>
  <c r="B2685" i="7" s="1"/>
  <c r="AR2684" i="7"/>
  <c r="AQ2684" i="7"/>
  <c r="AP2684" i="7" s="1"/>
  <c r="AL2684" i="7"/>
  <c r="AK2684" i="7"/>
  <c r="AJ2684" i="7" s="1"/>
  <c r="AD2684" i="7"/>
  <c r="AC2684" i="7"/>
  <c r="T2684" i="7"/>
  <c r="S2684" i="7"/>
  <c r="R2684" i="7" s="1"/>
  <c r="L2684" i="7"/>
  <c r="J2684" i="7" s="1"/>
  <c r="K2684" i="7"/>
  <c r="D2684" i="7"/>
  <c r="C2684" i="7"/>
  <c r="B2684" i="7" s="1"/>
  <c r="AR2683" i="7"/>
  <c r="AP2683" i="7" s="1"/>
  <c r="AQ2683" i="7"/>
  <c r="AL2683" i="7"/>
  <c r="AK2683" i="7"/>
  <c r="AD2683" i="7"/>
  <c r="AC2683" i="7"/>
  <c r="AB2683" i="7" s="1"/>
  <c r="T2683" i="7"/>
  <c r="S2683" i="7"/>
  <c r="R2683" i="7" s="1"/>
  <c r="L2683" i="7"/>
  <c r="K2683" i="7"/>
  <c r="J2683" i="7"/>
  <c r="D2683" i="7"/>
  <c r="C2683" i="7"/>
  <c r="B2683" i="7" s="1"/>
  <c r="AR2682" i="7"/>
  <c r="AQ2682" i="7"/>
  <c r="AP2682" i="7"/>
  <c r="AL2682" i="7"/>
  <c r="AK2682" i="7"/>
  <c r="AJ2682" i="7" s="1"/>
  <c r="AD2682" i="7"/>
  <c r="AC2682" i="7"/>
  <c r="AA2682" i="7" s="1"/>
  <c r="AB2682" i="7"/>
  <c r="T2682" i="7"/>
  <c r="S2682" i="7"/>
  <c r="R2682" i="7" s="1"/>
  <c r="L2682" i="7"/>
  <c r="K2682" i="7"/>
  <c r="J2682" i="7" s="1"/>
  <c r="D2682" i="7"/>
  <c r="C2682" i="7"/>
  <c r="B2682" i="7" s="1"/>
  <c r="AR2681" i="7"/>
  <c r="AQ2681" i="7"/>
  <c r="AP2681" i="7" s="1"/>
  <c r="AL2681" i="7"/>
  <c r="AK2681" i="7"/>
  <c r="AJ2681" i="7" s="1"/>
  <c r="AD2681" i="7"/>
  <c r="AC2681" i="7"/>
  <c r="T2681" i="7"/>
  <c r="S2681" i="7"/>
  <c r="R2681" i="7" s="1"/>
  <c r="L2681" i="7"/>
  <c r="J2681" i="7" s="1"/>
  <c r="K2681" i="7"/>
  <c r="D2681" i="7"/>
  <c r="C2681" i="7"/>
  <c r="B2681" i="7" s="1"/>
  <c r="AR2680" i="7"/>
  <c r="AP2680" i="7" s="1"/>
  <c r="AQ2680" i="7"/>
  <c r="AL2680" i="7"/>
  <c r="AK2680" i="7"/>
  <c r="AD2680" i="7"/>
  <c r="AC2680" i="7"/>
  <c r="AB2680" i="7" s="1"/>
  <c r="T2680" i="7"/>
  <c r="S2680" i="7"/>
  <c r="R2680" i="7" s="1"/>
  <c r="L2680" i="7"/>
  <c r="K2680" i="7"/>
  <c r="J2680" i="7"/>
  <c r="D2680" i="7"/>
  <c r="C2680" i="7"/>
  <c r="B2680" i="7" s="1"/>
  <c r="AR2679" i="7"/>
  <c r="AQ2679" i="7"/>
  <c r="AP2679" i="7"/>
  <c r="AL2679" i="7"/>
  <c r="AK2679" i="7"/>
  <c r="AJ2679" i="7" s="1"/>
  <c r="AD2679" i="7"/>
  <c r="AC2679" i="7"/>
  <c r="T2679" i="7"/>
  <c r="S2679" i="7"/>
  <c r="R2679" i="7" s="1"/>
  <c r="L2679" i="7"/>
  <c r="K2679" i="7"/>
  <c r="J2679" i="7" s="1"/>
  <c r="D2679" i="7"/>
  <c r="C2679" i="7"/>
  <c r="B2679" i="7" s="1"/>
  <c r="AR2678" i="7"/>
  <c r="AQ2678" i="7"/>
  <c r="AP2678" i="7" s="1"/>
  <c r="AL2678" i="7"/>
  <c r="AK2678" i="7"/>
  <c r="AJ2678" i="7" s="1"/>
  <c r="AD2678" i="7"/>
  <c r="AC2678" i="7"/>
  <c r="T2678" i="7"/>
  <c r="S2678" i="7"/>
  <c r="R2678" i="7" s="1"/>
  <c r="L2678" i="7"/>
  <c r="J2678" i="7" s="1"/>
  <c r="K2678" i="7"/>
  <c r="D2678" i="7"/>
  <c r="C2678" i="7"/>
  <c r="B2678" i="7" s="1"/>
  <c r="AR2677" i="7"/>
  <c r="AP2677" i="7" s="1"/>
  <c r="AQ2677" i="7"/>
  <c r="AL2677" i="7"/>
  <c r="AK2677" i="7"/>
  <c r="AJ2677" i="7" s="1"/>
  <c r="AD2677" i="7"/>
  <c r="AC2677" i="7"/>
  <c r="AB2677" i="7" s="1"/>
  <c r="T2677" i="7"/>
  <c r="S2677" i="7"/>
  <c r="R2677" i="7" s="1"/>
  <c r="L2677" i="7"/>
  <c r="K2677" i="7"/>
  <c r="J2677" i="7"/>
  <c r="D2677" i="7"/>
  <c r="C2677" i="7"/>
  <c r="B2677" i="7" s="1"/>
  <c r="AR2676" i="7"/>
  <c r="AQ2676" i="7"/>
  <c r="AP2676" i="7"/>
  <c r="AL2676" i="7"/>
  <c r="AK2676" i="7"/>
  <c r="AJ2676" i="7" s="1"/>
  <c r="AD2676" i="7"/>
  <c r="AC2676" i="7"/>
  <c r="AB2676" i="7" s="1"/>
  <c r="AA2676" i="7"/>
  <c r="Z2676" i="7" s="1"/>
  <c r="T2676" i="7"/>
  <c r="S2676" i="7"/>
  <c r="R2676" i="7" s="1"/>
  <c r="L2676" i="7"/>
  <c r="K2676" i="7"/>
  <c r="J2676" i="7" s="1"/>
  <c r="D2676" i="7"/>
  <c r="C2676" i="7"/>
  <c r="B2676" i="7" s="1"/>
  <c r="AR2675" i="7"/>
  <c r="AQ2675" i="7"/>
  <c r="AP2675" i="7" s="1"/>
  <c r="AL2675" i="7"/>
  <c r="AK2675" i="7"/>
  <c r="AJ2675" i="7" s="1"/>
  <c r="AD2675" i="7"/>
  <c r="AC2675" i="7"/>
  <c r="AA2675" i="7" s="1"/>
  <c r="T2675" i="7"/>
  <c r="S2675" i="7"/>
  <c r="R2675" i="7" s="1"/>
  <c r="L2675" i="7"/>
  <c r="J2675" i="7" s="1"/>
  <c r="K2675" i="7"/>
  <c r="D2675" i="7"/>
  <c r="C2675" i="7"/>
  <c r="B2675" i="7" s="1"/>
  <c r="AR2674" i="7"/>
  <c r="AP2674" i="7" s="1"/>
  <c r="AQ2674" i="7"/>
  <c r="AL2674" i="7"/>
  <c r="AK2674" i="7"/>
  <c r="AJ2674" i="7" s="1"/>
  <c r="AI2674" i="7"/>
  <c r="AH2674" i="7" s="1"/>
  <c r="AD2674" i="7"/>
  <c r="AC2674" i="7"/>
  <c r="AB2674" i="7" s="1"/>
  <c r="T2674" i="7"/>
  <c r="S2674" i="7"/>
  <c r="R2674" i="7" s="1"/>
  <c r="L2674" i="7"/>
  <c r="K2674" i="7"/>
  <c r="J2674" i="7"/>
  <c r="D2674" i="7"/>
  <c r="C2674" i="7"/>
  <c r="B2674" i="7" s="1"/>
  <c r="AR2673" i="7"/>
  <c r="AQ2673" i="7"/>
  <c r="AP2673" i="7"/>
  <c r="AL2673" i="7"/>
  <c r="AK2673" i="7"/>
  <c r="AJ2673" i="7" s="1"/>
  <c r="AD2673" i="7"/>
  <c r="AC2673" i="7"/>
  <c r="AB2673" i="7" s="1"/>
  <c r="T2673" i="7"/>
  <c r="S2673" i="7"/>
  <c r="R2673" i="7" s="1"/>
  <c r="L2673" i="7"/>
  <c r="K2673" i="7"/>
  <c r="J2673" i="7" s="1"/>
  <c r="D2673" i="7"/>
  <c r="C2673" i="7"/>
  <c r="B2673" i="7" s="1"/>
  <c r="AR2672" i="7"/>
  <c r="AQ2672" i="7"/>
  <c r="AP2672" i="7" s="1"/>
  <c r="AL2672" i="7"/>
  <c r="AK2672" i="7"/>
  <c r="AJ2672" i="7" s="1"/>
  <c r="AD2672" i="7"/>
  <c r="AC2672" i="7"/>
  <c r="AA2672" i="7" s="1"/>
  <c r="T2672" i="7"/>
  <c r="S2672" i="7"/>
  <c r="R2672" i="7" s="1"/>
  <c r="L2672" i="7"/>
  <c r="J2672" i="7" s="1"/>
  <c r="K2672" i="7"/>
  <c r="D2672" i="7"/>
  <c r="C2672" i="7"/>
  <c r="B2672" i="7" s="1"/>
  <c r="AR2671" i="7"/>
  <c r="AP2671" i="7" s="1"/>
  <c r="AQ2671" i="7"/>
  <c r="AL2671" i="7"/>
  <c r="AK2671" i="7"/>
  <c r="AD2671" i="7"/>
  <c r="AC2671" i="7"/>
  <c r="AB2671" i="7" s="1"/>
  <c r="T2671" i="7"/>
  <c r="S2671" i="7"/>
  <c r="R2671" i="7" s="1"/>
  <c r="L2671" i="7"/>
  <c r="K2671" i="7"/>
  <c r="J2671" i="7"/>
  <c r="D2671" i="7"/>
  <c r="C2671" i="7"/>
  <c r="B2671" i="7" s="1"/>
  <c r="AR2670" i="7"/>
  <c r="AQ2670" i="7"/>
  <c r="AP2670" i="7"/>
  <c r="AL2670" i="7"/>
  <c r="AK2670" i="7"/>
  <c r="AJ2670" i="7" s="1"/>
  <c r="AD2670" i="7"/>
  <c r="AC2670" i="7"/>
  <c r="T2670" i="7"/>
  <c r="S2670" i="7"/>
  <c r="R2670" i="7" s="1"/>
  <c r="L2670" i="7"/>
  <c r="K2670" i="7"/>
  <c r="J2670" i="7" s="1"/>
  <c r="D2670" i="7"/>
  <c r="C2670" i="7"/>
  <c r="B2670" i="7" s="1"/>
  <c r="AR2669" i="7"/>
  <c r="AQ2669" i="7"/>
  <c r="AP2669" i="7" s="1"/>
  <c r="AL2669" i="7"/>
  <c r="AK2669" i="7"/>
  <c r="AJ2669" i="7" s="1"/>
  <c r="AD2669" i="7"/>
  <c r="AC2669" i="7"/>
  <c r="AA2669" i="7" s="1"/>
  <c r="AB2669" i="7"/>
  <c r="T2669" i="7"/>
  <c r="S2669" i="7"/>
  <c r="R2669" i="7" s="1"/>
  <c r="L2669" i="7"/>
  <c r="J2669" i="7" s="1"/>
  <c r="K2669" i="7"/>
  <c r="D2669" i="7"/>
  <c r="C2669" i="7"/>
  <c r="B2669" i="7" s="1"/>
  <c r="AR2668" i="7"/>
  <c r="AP2668" i="7" s="1"/>
  <c r="AQ2668" i="7"/>
  <c r="AL2668" i="7"/>
  <c r="AK2668" i="7"/>
  <c r="AD2668" i="7"/>
  <c r="AC2668" i="7"/>
  <c r="AB2668" i="7" s="1"/>
  <c r="T2668" i="7"/>
  <c r="S2668" i="7"/>
  <c r="R2668" i="7" s="1"/>
  <c r="L2668" i="7"/>
  <c r="K2668" i="7"/>
  <c r="J2668" i="7"/>
  <c r="D2668" i="7"/>
  <c r="C2668" i="7"/>
  <c r="B2668" i="7" s="1"/>
  <c r="AR2667" i="7"/>
  <c r="AQ2667" i="7"/>
  <c r="AP2667" i="7"/>
  <c r="AL2667" i="7"/>
  <c r="AK2667" i="7"/>
  <c r="AJ2667" i="7" s="1"/>
  <c r="AD2667" i="7"/>
  <c r="AC2667" i="7"/>
  <c r="AB2667" i="7" s="1"/>
  <c r="T2667" i="7"/>
  <c r="S2667" i="7"/>
  <c r="R2667" i="7" s="1"/>
  <c r="L2667" i="7"/>
  <c r="K2667" i="7"/>
  <c r="J2667" i="7" s="1"/>
  <c r="D2667" i="7"/>
  <c r="C2667" i="7"/>
  <c r="B2667" i="7" s="1"/>
  <c r="AR2666" i="7"/>
  <c r="AQ2666" i="7"/>
  <c r="AP2666" i="7" s="1"/>
  <c r="AL2666" i="7"/>
  <c r="AK2666" i="7"/>
  <c r="AJ2666" i="7" s="1"/>
  <c r="AD2666" i="7"/>
  <c r="AC2666" i="7"/>
  <c r="T2666" i="7"/>
  <c r="S2666" i="7"/>
  <c r="R2666" i="7" s="1"/>
  <c r="L2666" i="7"/>
  <c r="J2666" i="7" s="1"/>
  <c r="K2666" i="7"/>
  <c r="D2666" i="7"/>
  <c r="C2666" i="7"/>
  <c r="B2666" i="7" s="1"/>
  <c r="AR2665" i="7"/>
  <c r="AP2665" i="7" s="1"/>
  <c r="AQ2665" i="7"/>
  <c r="AL2665" i="7"/>
  <c r="AK2665" i="7"/>
  <c r="AJ2665" i="7" s="1"/>
  <c r="AD2665" i="7"/>
  <c r="AC2665" i="7"/>
  <c r="AB2665" i="7" s="1"/>
  <c r="T2665" i="7"/>
  <c r="S2665" i="7"/>
  <c r="R2665" i="7" s="1"/>
  <c r="L2665" i="7"/>
  <c r="K2665" i="7"/>
  <c r="J2665" i="7"/>
  <c r="D2665" i="7"/>
  <c r="C2665" i="7"/>
  <c r="B2665" i="7" s="1"/>
  <c r="AR2664" i="7"/>
  <c r="AQ2664" i="7"/>
  <c r="AP2664" i="7"/>
  <c r="AL2664" i="7"/>
  <c r="AK2664" i="7"/>
  <c r="AJ2664" i="7" s="1"/>
  <c r="AD2664" i="7"/>
  <c r="AC2664" i="7"/>
  <c r="AB2664" i="7" s="1"/>
  <c r="T2664" i="7"/>
  <c r="S2664" i="7"/>
  <c r="R2664" i="7" s="1"/>
  <c r="L2664" i="7"/>
  <c r="K2664" i="7"/>
  <c r="J2664" i="7" s="1"/>
  <c r="D2664" i="7"/>
  <c r="C2664" i="7"/>
  <c r="B2664" i="7" s="1"/>
  <c r="AR2663" i="7"/>
  <c r="AQ2663" i="7"/>
  <c r="AP2663" i="7" s="1"/>
  <c r="AL2663" i="7"/>
  <c r="AK2663" i="7"/>
  <c r="AJ2663" i="7" s="1"/>
  <c r="AD2663" i="7"/>
  <c r="AC2663" i="7"/>
  <c r="T2663" i="7"/>
  <c r="S2663" i="7"/>
  <c r="R2663" i="7" s="1"/>
  <c r="L2663" i="7"/>
  <c r="J2663" i="7" s="1"/>
  <c r="K2663" i="7"/>
  <c r="D2663" i="7"/>
  <c r="C2663" i="7"/>
  <c r="B2663" i="7" s="1"/>
  <c r="AR2662" i="7"/>
  <c r="AP2662" i="7" s="1"/>
  <c r="AQ2662" i="7"/>
  <c r="AL2662" i="7"/>
  <c r="AK2662" i="7"/>
  <c r="AJ2662" i="7" s="1"/>
  <c r="AD2662" i="7"/>
  <c r="AC2662" i="7"/>
  <c r="AB2662" i="7" s="1"/>
  <c r="T2662" i="7"/>
  <c r="S2662" i="7"/>
  <c r="R2662" i="7" s="1"/>
  <c r="L2662" i="7"/>
  <c r="K2662" i="7"/>
  <c r="J2662" i="7"/>
  <c r="D2662" i="7"/>
  <c r="C2662" i="7"/>
  <c r="B2662" i="7" s="1"/>
  <c r="AR2661" i="7"/>
  <c r="AQ2661" i="7"/>
  <c r="AP2661" i="7"/>
  <c r="AL2661" i="7"/>
  <c r="AK2661" i="7"/>
  <c r="AJ2661" i="7" s="1"/>
  <c r="AD2661" i="7"/>
  <c r="AC2661" i="7"/>
  <c r="T2661" i="7"/>
  <c r="S2661" i="7"/>
  <c r="R2661" i="7" s="1"/>
  <c r="L2661" i="7"/>
  <c r="K2661" i="7"/>
  <c r="J2661" i="7" s="1"/>
  <c r="D2661" i="7"/>
  <c r="C2661" i="7"/>
  <c r="B2661" i="7" s="1"/>
  <c r="AR2660" i="7"/>
  <c r="AQ2660" i="7"/>
  <c r="AP2660" i="7" s="1"/>
  <c r="AL2660" i="7"/>
  <c r="AK2660" i="7"/>
  <c r="AJ2660" i="7" s="1"/>
  <c r="AD2660" i="7"/>
  <c r="AC2660" i="7"/>
  <c r="AA2660" i="7" s="1"/>
  <c r="T2660" i="7"/>
  <c r="S2660" i="7"/>
  <c r="R2660" i="7" s="1"/>
  <c r="L2660" i="7"/>
  <c r="J2660" i="7" s="1"/>
  <c r="K2660" i="7"/>
  <c r="D2660" i="7"/>
  <c r="C2660" i="7"/>
  <c r="B2660" i="7" s="1"/>
  <c r="AR2659" i="7"/>
  <c r="AP2659" i="7" s="1"/>
  <c r="AQ2659" i="7"/>
  <c r="AL2659" i="7"/>
  <c r="AK2659" i="7"/>
  <c r="AJ2659" i="7" s="1"/>
  <c r="AI2659" i="7"/>
  <c r="AH2659" i="7" s="1"/>
  <c r="AD2659" i="7"/>
  <c r="AC2659" i="7"/>
  <c r="AB2659" i="7" s="1"/>
  <c r="T2659" i="7"/>
  <c r="S2659" i="7"/>
  <c r="R2659" i="7" s="1"/>
  <c r="L2659" i="7"/>
  <c r="K2659" i="7"/>
  <c r="J2659" i="7"/>
  <c r="D2659" i="7"/>
  <c r="C2659" i="7"/>
  <c r="B2659" i="7" s="1"/>
  <c r="AR2658" i="7"/>
  <c r="AQ2658" i="7"/>
  <c r="AP2658" i="7"/>
  <c r="AL2658" i="7"/>
  <c r="AK2658" i="7"/>
  <c r="AJ2658" i="7" s="1"/>
  <c r="AD2658" i="7"/>
  <c r="AC2658" i="7"/>
  <c r="AB2658" i="7" s="1"/>
  <c r="T2658" i="7"/>
  <c r="S2658" i="7"/>
  <c r="R2658" i="7" s="1"/>
  <c r="L2658" i="7"/>
  <c r="K2658" i="7"/>
  <c r="J2658" i="7" s="1"/>
  <c r="D2658" i="7"/>
  <c r="C2658" i="7"/>
  <c r="B2658" i="7" s="1"/>
  <c r="AR2657" i="7"/>
  <c r="AQ2657" i="7"/>
  <c r="AP2657" i="7" s="1"/>
  <c r="AL2657" i="7"/>
  <c r="AK2657" i="7"/>
  <c r="AD2657" i="7"/>
  <c r="AC2657" i="7"/>
  <c r="AA2657" i="7" s="1"/>
  <c r="T2657" i="7"/>
  <c r="S2657" i="7"/>
  <c r="R2657" i="7" s="1"/>
  <c r="L2657" i="7"/>
  <c r="J2657" i="7" s="1"/>
  <c r="K2657" i="7"/>
  <c r="D2657" i="7"/>
  <c r="C2657" i="7"/>
  <c r="B2657" i="7" s="1"/>
  <c r="AR2656" i="7"/>
  <c r="AP2656" i="7" s="1"/>
  <c r="AQ2656" i="7"/>
  <c r="AL2656" i="7"/>
  <c r="AK2656" i="7"/>
  <c r="AJ2656" i="7" s="1"/>
  <c r="AD2656" i="7"/>
  <c r="AC2656" i="7"/>
  <c r="AB2656" i="7" s="1"/>
  <c r="T2656" i="7"/>
  <c r="S2656" i="7"/>
  <c r="R2656" i="7" s="1"/>
  <c r="L2656" i="7"/>
  <c r="K2656" i="7"/>
  <c r="J2656" i="7"/>
  <c r="D2656" i="7"/>
  <c r="C2656" i="7"/>
  <c r="B2656" i="7" s="1"/>
  <c r="AR2655" i="7"/>
  <c r="AQ2655" i="7"/>
  <c r="AP2655" i="7"/>
  <c r="AL2655" i="7"/>
  <c r="AK2655" i="7"/>
  <c r="AJ2655" i="7" s="1"/>
  <c r="AD2655" i="7"/>
  <c r="AC2655" i="7"/>
  <c r="AB2655" i="7" s="1"/>
  <c r="T2655" i="7"/>
  <c r="S2655" i="7"/>
  <c r="R2655" i="7" s="1"/>
  <c r="L2655" i="7"/>
  <c r="K2655" i="7"/>
  <c r="J2655" i="7" s="1"/>
  <c r="D2655" i="7"/>
  <c r="C2655" i="7"/>
  <c r="B2655" i="7" s="1"/>
  <c r="AR2654" i="7"/>
  <c r="AQ2654" i="7"/>
  <c r="AP2654" i="7" s="1"/>
  <c r="AL2654" i="7"/>
  <c r="AK2654" i="7"/>
  <c r="AD2654" i="7"/>
  <c r="AC2654" i="7"/>
  <c r="AA2654" i="7" s="1"/>
  <c r="T2654" i="7"/>
  <c r="S2654" i="7"/>
  <c r="R2654" i="7" s="1"/>
  <c r="L2654" i="7"/>
  <c r="J2654" i="7" s="1"/>
  <c r="K2654" i="7"/>
  <c r="D2654" i="7"/>
  <c r="C2654" i="7"/>
  <c r="B2654" i="7" s="1"/>
  <c r="AR2653" i="7"/>
  <c r="AP2653" i="7" s="1"/>
  <c r="AQ2653" i="7"/>
  <c r="AL2653" i="7"/>
  <c r="AK2653" i="7"/>
  <c r="AJ2653" i="7" s="1"/>
  <c r="AD2653" i="7"/>
  <c r="AC2653" i="7"/>
  <c r="AB2653" i="7" s="1"/>
  <c r="T2653" i="7"/>
  <c r="S2653" i="7"/>
  <c r="R2653" i="7" s="1"/>
  <c r="L2653" i="7"/>
  <c r="K2653" i="7"/>
  <c r="J2653" i="7"/>
  <c r="D2653" i="7"/>
  <c r="C2653" i="7"/>
  <c r="B2653" i="7" s="1"/>
  <c r="AR2652" i="7"/>
  <c r="AQ2652" i="7"/>
  <c r="AP2652" i="7"/>
  <c r="AL2652" i="7"/>
  <c r="AK2652" i="7"/>
  <c r="AJ2652" i="7" s="1"/>
  <c r="AD2652" i="7"/>
  <c r="AC2652" i="7"/>
  <c r="T2652" i="7"/>
  <c r="S2652" i="7"/>
  <c r="R2652" i="7" s="1"/>
  <c r="L2652" i="7"/>
  <c r="K2652" i="7"/>
  <c r="J2652" i="7" s="1"/>
  <c r="D2652" i="7"/>
  <c r="C2652" i="7"/>
  <c r="B2652" i="7" s="1"/>
  <c r="AR2651" i="7"/>
  <c r="AQ2651" i="7"/>
  <c r="AP2651" i="7" s="1"/>
  <c r="AL2651" i="7"/>
  <c r="AK2651" i="7"/>
  <c r="AD2651" i="7"/>
  <c r="AC2651" i="7"/>
  <c r="AA2651" i="7" s="1"/>
  <c r="T2651" i="7"/>
  <c r="S2651" i="7"/>
  <c r="R2651" i="7" s="1"/>
  <c r="L2651" i="7"/>
  <c r="J2651" i="7" s="1"/>
  <c r="K2651" i="7"/>
  <c r="D2651" i="7"/>
  <c r="C2651" i="7"/>
  <c r="B2651" i="7" s="1"/>
  <c r="AR2650" i="7"/>
  <c r="AP2650" i="7" s="1"/>
  <c r="AQ2650" i="7"/>
  <c r="AL2650" i="7"/>
  <c r="AK2650" i="7"/>
  <c r="AJ2650" i="7" s="1"/>
  <c r="AD2650" i="7"/>
  <c r="AC2650" i="7"/>
  <c r="AB2650" i="7" s="1"/>
  <c r="T2650" i="7"/>
  <c r="S2650" i="7"/>
  <c r="R2650" i="7" s="1"/>
  <c r="L2650" i="7"/>
  <c r="K2650" i="7"/>
  <c r="J2650" i="7"/>
  <c r="D2650" i="7"/>
  <c r="C2650" i="7"/>
  <c r="B2650" i="7" s="1"/>
  <c r="AR2649" i="7"/>
  <c r="AQ2649" i="7"/>
  <c r="AP2649" i="7"/>
  <c r="AL2649" i="7"/>
  <c r="AK2649" i="7"/>
  <c r="AJ2649" i="7" s="1"/>
  <c r="AD2649" i="7"/>
  <c r="AC2649" i="7"/>
  <c r="T2649" i="7"/>
  <c r="S2649" i="7"/>
  <c r="R2649" i="7" s="1"/>
  <c r="L2649" i="7"/>
  <c r="K2649" i="7"/>
  <c r="J2649" i="7" s="1"/>
  <c r="D2649" i="7"/>
  <c r="C2649" i="7"/>
  <c r="B2649" i="7" s="1"/>
  <c r="AR2648" i="7"/>
  <c r="AQ2648" i="7"/>
  <c r="AP2648" i="7" s="1"/>
  <c r="AL2648" i="7"/>
  <c r="AK2648" i="7"/>
  <c r="AD2648" i="7"/>
  <c r="AC2648" i="7"/>
  <c r="AA2648" i="7" s="1"/>
  <c r="T2648" i="7"/>
  <c r="S2648" i="7"/>
  <c r="R2648" i="7" s="1"/>
  <c r="L2648" i="7"/>
  <c r="J2648" i="7" s="1"/>
  <c r="K2648" i="7"/>
  <c r="D2648" i="7"/>
  <c r="C2648" i="7"/>
  <c r="B2648" i="7" s="1"/>
  <c r="AR2647" i="7"/>
  <c r="AP2647" i="7" s="1"/>
  <c r="AQ2647" i="7"/>
  <c r="AL2647" i="7"/>
  <c r="AK2647" i="7"/>
  <c r="AD2647" i="7"/>
  <c r="AC2647" i="7"/>
  <c r="AB2647" i="7" s="1"/>
  <c r="T2647" i="7"/>
  <c r="S2647" i="7"/>
  <c r="R2647" i="7" s="1"/>
  <c r="L2647" i="7"/>
  <c r="K2647" i="7"/>
  <c r="J2647" i="7"/>
  <c r="D2647" i="7"/>
  <c r="C2647" i="7"/>
  <c r="B2647" i="7" s="1"/>
  <c r="AR2646" i="7"/>
  <c r="AQ2646" i="7"/>
  <c r="AP2646" i="7"/>
  <c r="AL2646" i="7"/>
  <c r="AK2646" i="7"/>
  <c r="AJ2646" i="7" s="1"/>
  <c r="AD2646" i="7"/>
  <c r="AC2646" i="7"/>
  <c r="T2646" i="7"/>
  <c r="S2646" i="7"/>
  <c r="R2646" i="7" s="1"/>
  <c r="L2646" i="7"/>
  <c r="K2646" i="7"/>
  <c r="J2646" i="7" s="1"/>
  <c r="D2646" i="7"/>
  <c r="C2646" i="7"/>
  <c r="B2646" i="7" s="1"/>
  <c r="AR2645" i="7"/>
  <c r="AQ2645" i="7"/>
  <c r="AP2645" i="7" s="1"/>
  <c r="AL2645" i="7"/>
  <c r="AK2645" i="7"/>
  <c r="AD2645" i="7"/>
  <c r="AC2645" i="7"/>
  <c r="T2645" i="7"/>
  <c r="S2645" i="7"/>
  <c r="R2645" i="7" s="1"/>
  <c r="L2645" i="7"/>
  <c r="J2645" i="7" s="1"/>
  <c r="K2645" i="7"/>
  <c r="D2645" i="7"/>
  <c r="C2645" i="7"/>
  <c r="B2645" i="7" s="1"/>
  <c r="AR2644" i="7"/>
  <c r="AP2644" i="7" s="1"/>
  <c r="AQ2644" i="7"/>
  <c r="AL2644" i="7"/>
  <c r="AK2644" i="7"/>
  <c r="AD2644" i="7"/>
  <c r="AC2644" i="7"/>
  <c r="AB2644" i="7" s="1"/>
  <c r="T2644" i="7"/>
  <c r="S2644" i="7"/>
  <c r="R2644" i="7" s="1"/>
  <c r="L2644" i="7"/>
  <c r="K2644" i="7"/>
  <c r="J2644" i="7"/>
  <c r="D2644" i="7"/>
  <c r="C2644" i="7"/>
  <c r="B2644" i="7" s="1"/>
  <c r="AR2643" i="7"/>
  <c r="AQ2643" i="7"/>
  <c r="AP2643" i="7"/>
  <c r="AL2643" i="7"/>
  <c r="AK2643" i="7"/>
  <c r="AJ2643" i="7" s="1"/>
  <c r="AD2643" i="7"/>
  <c r="AC2643" i="7"/>
  <c r="AB2643" i="7" s="1"/>
  <c r="T2643" i="7"/>
  <c r="S2643" i="7"/>
  <c r="R2643" i="7" s="1"/>
  <c r="L2643" i="7"/>
  <c r="K2643" i="7"/>
  <c r="J2643" i="7" s="1"/>
  <c r="D2643" i="7"/>
  <c r="C2643" i="7"/>
  <c r="B2643" i="7" s="1"/>
  <c r="AR2642" i="7"/>
  <c r="AQ2642" i="7"/>
  <c r="AP2642" i="7" s="1"/>
  <c r="AL2642" i="7"/>
  <c r="AK2642" i="7"/>
  <c r="AD2642" i="7"/>
  <c r="AC2642" i="7"/>
  <c r="AA2642" i="7" s="1"/>
  <c r="T2642" i="7"/>
  <c r="S2642" i="7"/>
  <c r="R2642" i="7" s="1"/>
  <c r="L2642" i="7"/>
  <c r="J2642" i="7" s="1"/>
  <c r="K2642" i="7"/>
  <c r="D2642" i="7"/>
  <c r="C2642" i="7"/>
  <c r="B2642" i="7" s="1"/>
  <c r="AR2641" i="7"/>
  <c r="AP2641" i="7" s="1"/>
  <c r="AQ2641" i="7"/>
  <c r="AL2641" i="7"/>
  <c r="AK2641" i="7"/>
  <c r="AJ2641" i="7" s="1"/>
  <c r="AD2641" i="7"/>
  <c r="AC2641" i="7"/>
  <c r="AB2641" i="7" s="1"/>
  <c r="T2641" i="7"/>
  <c r="S2641" i="7"/>
  <c r="R2641" i="7" s="1"/>
  <c r="L2641" i="7"/>
  <c r="K2641" i="7"/>
  <c r="J2641" i="7"/>
  <c r="D2641" i="7"/>
  <c r="C2641" i="7"/>
  <c r="B2641" i="7" s="1"/>
  <c r="AR2640" i="7"/>
  <c r="AQ2640" i="7"/>
  <c r="AP2640" i="7"/>
  <c r="AL2640" i="7"/>
  <c r="AK2640" i="7"/>
  <c r="AJ2640" i="7" s="1"/>
  <c r="AD2640" i="7"/>
  <c r="AC2640" i="7"/>
  <c r="T2640" i="7"/>
  <c r="S2640" i="7"/>
  <c r="R2640" i="7" s="1"/>
  <c r="L2640" i="7"/>
  <c r="K2640" i="7"/>
  <c r="J2640" i="7" s="1"/>
  <c r="D2640" i="7"/>
  <c r="C2640" i="7"/>
  <c r="B2640" i="7" s="1"/>
  <c r="AR2639" i="7"/>
  <c r="AQ2639" i="7"/>
  <c r="AP2639" i="7" s="1"/>
  <c r="AL2639" i="7"/>
  <c r="AK2639" i="7"/>
  <c r="AD2639" i="7"/>
  <c r="AC2639" i="7"/>
  <c r="T2639" i="7"/>
  <c r="R2639" i="7" s="1"/>
  <c r="S2639" i="7"/>
  <c r="L2639" i="7"/>
  <c r="J2639" i="7" s="1"/>
  <c r="K2639" i="7"/>
  <c r="D2639" i="7"/>
  <c r="B2639" i="7" s="1"/>
  <c r="C2639" i="7"/>
  <c r="AR2638" i="7"/>
  <c r="AP2638" i="7" s="1"/>
  <c r="AQ2638" i="7"/>
  <c r="AL2638" i="7"/>
  <c r="AK2638" i="7"/>
  <c r="AJ2638" i="7" s="1"/>
  <c r="AD2638" i="7"/>
  <c r="AC2638" i="7"/>
  <c r="AB2638" i="7" s="1"/>
  <c r="T2638" i="7"/>
  <c r="S2638" i="7"/>
  <c r="R2638" i="7" s="1"/>
  <c r="L2638" i="7"/>
  <c r="K2638" i="7"/>
  <c r="J2638" i="7"/>
  <c r="D2638" i="7"/>
  <c r="C2638" i="7"/>
  <c r="B2638" i="7" s="1"/>
  <c r="AR2637" i="7"/>
  <c r="AQ2637" i="7"/>
  <c r="AP2637" i="7"/>
  <c r="AL2637" i="7"/>
  <c r="AK2637" i="7"/>
  <c r="AJ2637" i="7" s="1"/>
  <c r="AD2637" i="7"/>
  <c r="AC2637" i="7"/>
  <c r="T2637" i="7"/>
  <c r="S2637" i="7"/>
  <c r="R2637" i="7" s="1"/>
  <c r="L2637" i="7"/>
  <c r="K2637" i="7"/>
  <c r="J2637" i="7" s="1"/>
  <c r="D2637" i="7"/>
  <c r="C2637" i="7"/>
  <c r="B2637" i="7" s="1"/>
  <c r="AR2636" i="7"/>
  <c r="AQ2636" i="7"/>
  <c r="AP2636" i="7" s="1"/>
  <c r="AL2636" i="7"/>
  <c r="AK2636" i="7"/>
  <c r="AD2636" i="7"/>
  <c r="AC2636" i="7"/>
  <c r="AA2636" i="7" s="1"/>
  <c r="T2636" i="7"/>
  <c r="R2636" i="7" s="1"/>
  <c r="S2636" i="7"/>
  <c r="L2636" i="7"/>
  <c r="J2636" i="7" s="1"/>
  <c r="K2636" i="7"/>
  <c r="D2636" i="7"/>
  <c r="B2636" i="7" s="1"/>
  <c r="C2636" i="7"/>
  <c r="AR2635" i="7"/>
  <c r="AP2635" i="7" s="1"/>
  <c r="AQ2635" i="7"/>
  <c r="AL2635" i="7"/>
  <c r="AK2635" i="7"/>
  <c r="AD2635" i="7"/>
  <c r="AC2635" i="7"/>
  <c r="AB2635" i="7" s="1"/>
  <c r="T2635" i="7"/>
  <c r="S2635" i="7"/>
  <c r="R2635" i="7" s="1"/>
  <c r="L2635" i="7"/>
  <c r="K2635" i="7"/>
  <c r="J2635" i="7"/>
  <c r="D2635" i="7"/>
  <c r="C2635" i="7"/>
  <c r="B2635" i="7" s="1"/>
  <c r="AR2634" i="7"/>
  <c r="AQ2634" i="7"/>
  <c r="AP2634" i="7"/>
  <c r="AL2634" i="7"/>
  <c r="AK2634" i="7"/>
  <c r="AD2634" i="7"/>
  <c r="AC2634" i="7"/>
  <c r="T2634" i="7"/>
  <c r="S2634" i="7"/>
  <c r="R2634" i="7" s="1"/>
  <c r="L2634" i="7"/>
  <c r="K2634" i="7"/>
  <c r="D2634" i="7"/>
  <c r="C2634" i="7"/>
  <c r="B2634" i="7" s="1"/>
  <c r="AR2633" i="7"/>
  <c r="AQ2633" i="7"/>
  <c r="AP2633" i="7" s="1"/>
  <c r="AL2633" i="7"/>
  <c r="AK2633" i="7"/>
  <c r="AJ2633" i="7" s="1"/>
  <c r="AD2633" i="7"/>
  <c r="AC2633" i="7"/>
  <c r="AA2633" i="7" s="1"/>
  <c r="T2633" i="7"/>
  <c r="R2633" i="7" s="1"/>
  <c r="S2633" i="7"/>
  <c r="L2633" i="7"/>
  <c r="K2633" i="7"/>
  <c r="J2633" i="7"/>
  <c r="D2633" i="7"/>
  <c r="B2633" i="7" s="1"/>
  <c r="C2633" i="7"/>
  <c r="AR2632" i="7"/>
  <c r="AP2632" i="7" s="1"/>
  <c r="AQ2632" i="7"/>
  <c r="AL2632" i="7"/>
  <c r="AK2632" i="7"/>
  <c r="AD2632" i="7"/>
  <c r="AC2632" i="7"/>
  <c r="AB2632" i="7" s="1"/>
  <c r="T2632" i="7"/>
  <c r="S2632" i="7"/>
  <c r="R2632" i="7" s="1"/>
  <c r="L2632" i="7"/>
  <c r="K2632" i="7"/>
  <c r="J2632" i="7"/>
  <c r="D2632" i="7"/>
  <c r="C2632" i="7"/>
  <c r="B2632" i="7" s="1"/>
  <c r="AR2631" i="7"/>
  <c r="AQ2631" i="7"/>
  <c r="AP2631" i="7"/>
  <c r="AL2631" i="7"/>
  <c r="AK2631" i="7"/>
  <c r="AD2631" i="7"/>
  <c r="AC2631" i="7"/>
  <c r="T2631" i="7"/>
  <c r="S2631" i="7"/>
  <c r="R2631" i="7" s="1"/>
  <c r="L2631" i="7"/>
  <c r="K2631" i="7"/>
  <c r="D2631" i="7"/>
  <c r="C2631" i="7"/>
  <c r="B2631" i="7" s="1"/>
  <c r="AR2630" i="7"/>
  <c r="AQ2630" i="7"/>
  <c r="AP2630" i="7" s="1"/>
  <c r="AL2630" i="7"/>
  <c r="AK2630" i="7"/>
  <c r="AJ2630" i="7" s="1"/>
  <c r="AD2630" i="7"/>
  <c r="AC2630" i="7"/>
  <c r="T2630" i="7"/>
  <c r="R2630" i="7" s="1"/>
  <c r="S2630" i="7"/>
  <c r="L2630" i="7"/>
  <c r="K2630" i="7"/>
  <c r="J2630" i="7"/>
  <c r="D2630" i="7"/>
  <c r="B2630" i="7" s="1"/>
  <c r="C2630" i="7"/>
  <c r="AR2629" i="7"/>
  <c r="AP2629" i="7" s="1"/>
  <c r="AQ2629" i="7"/>
  <c r="AL2629" i="7"/>
  <c r="AK2629" i="7"/>
  <c r="AJ2629" i="7" s="1"/>
  <c r="AD2629" i="7"/>
  <c r="AC2629" i="7"/>
  <c r="AB2629" i="7" s="1"/>
  <c r="T2629" i="7"/>
  <c r="S2629" i="7"/>
  <c r="R2629" i="7" s="1"/>
  <c r="L2629" i="7"/>
  <c r="K2629" i="7"/>
  <c r="J2629" i="7"/>
  <c r="D2629" i="7"/>
  <c r="C2629" i="7"/>
  <c r="B2629" i="7" s="1"/>
  <c r="AR2628" i="7"/>
  <c r="AQ2628" i="7"/>
  <c r="AP2628" i="7"/>
  <c r="AL2628" i="7"/>
  <c r="AK2628" i="7"/>
  <c r="AD2628" i="7"/>
  <c r="AC2628" i="7"/>
  <c r="T2628" i="7"/>
  <c r="S2628" i="7"/>
  <c r="R2628" i="7" s="1"/>
  <c r="L2628" i="7"/>
  <c r="K2628" i="7"/>
  <c r="D2628" i="7"/>
  <c r="C2628" i="7"/>
  <c r="B2628" i="7" s="1"/>
  <c r="AR2627" i="7"/>
  <c r="AQ2627" i="7"/>
  <c r="AP2627" i="7" s="1"/>
  <c r="AL2627" i="7"/>
  <c r="AK2627" i="7"/>
  <c r="AJ2627" i="7" s="1"/>
  <c r="AD2627" i="7"/>
  <c r="AC2627" i="7"/>
  <c r="T2627" i="7"/>
  <c r="R2627" i="7" s="1"/>
  <c r="S2627" i="7"/>
  <c r="L2627" i="7"/>
  <c r="K2627" i="7"/>
  <c r="J2627" i="7"/>
  <c r="D2627" i="7"/>
  <c r="B2627" i="7" s="1"/>
  <c r="C2627" i="7"/>
  <c r="AR2626" i="7"/>
  <c r="AP2626" i="7" s="1"/>
  <c r="AQ2626" i="7"/>
  <c r="AL2626" i="7"/>
  <c r="AK2626" i="7"/>
  <c r="AD2626" i="7"/>
  <c r="AC2626" i="7"/>
  <c r="AB2626" i="7" s="1"/>
  <c r="T2626" i="7"/>
  <c r="S2626" i="7"/>
  <c r="R2626" i="7" s="1"/>
  <c r="L2626" i="7"/>
  <c r="K2626" i="7"/>
  <c r="J2626" i="7"/>
  <c r="D2626" i="7"/>
  <c r="C2626" i="7"/>
  <c r="B2626" i="7" s="1"/>
  <c r="AR2625" i="7"/>
  <c r="AQ2625" i="7"/>
  <c r="AP2625" i="7"/>
  <c r="AL2625" i="7"/>
  <c r="AK2625" i="7"/>
  <c r="AI2625" i="7" s="1"/>
  <c r="AD2625" i="7"/>
  <c r="AC2625" i="7"/>
  <c r="T2625" i="7"/>
  <c r="S2625" i="7"/>
  <c r="R2625" i="7" s="1"/>
  <c r="L2625" i="7"/>
  <c r="K2625" i="7"/>
  <c r="D2625" i="7"/>
  <c r="C2625" i="7"/>
  <c r="B2625" i="7" s="1"/>
  <c r="AR2624" i="7"/>
  <c r="AQ2624" i="7"/>
  <c r="AL2624" i="7"/>
  <c r="AK2624" i="7"/>
  <c r="AD2624" i="7"/>
  <c r="AC2624" i="7"/>
  <c r="AA2624" i="7" s="1"/>
  <c r="T2624" i="7"/>
  <c r="R2624" i="7" s="1"/>
  <c r="S2624" i="7"/>
  <c r="L2624" i="7"/>
  <c r="J2624" i="7" s="1"/>
  <c r="K2624" i="7"/>
  <c r="D2624" i="7"/>
  <c r="B2624" i="7" s="1"/>
  <c r="C2624" i="7"/>
  <c r="AR2623" i="7"/>
  <c r="AP2623" i="7" s="1"/>
  <c r="AQ2623" i="7"/>
  <c r="AL2623" i="7"/>
  <c r="AK2623" i="7"/>
  <c r="AJ2623" i="7" s="1"/>
  <c r="AI2623" i="7"/>
  <c r="AD2623" i="7"/>
  <c r="AC2623" i="7"/>
  <c r="T2623" i="7"/>
  <c r="S2623" i="7"/>
  <c r="R2623" i="7"/>
  <c r="L2623" i="7"/>
  <c r="K2623" i="7"/>
  <c r="J2623" i="7"/>
  <c r="D2623" i="7"/>
  <c r="C2623" i="7"/>
  <c r="B2623" i="7"/>
  <c r="AR2622" i="7"/>
  <c r="AQ2622" i="7"/>
  <c r="AP2622" i="7"/>
  <c r="AL2622" i="7"/>
  <c r="AK2622" i="7"/>
  <c r="AI2622" i="7" s="1"/>
  <c r="AD2622" i="7"/>
  <c r="AC2622" i="7"/>
  <c r="T2622" i="7"/>
  <c r="S2622" i="7"/>
  <c r="R2622" i="7" s="1"/>
  <c r="L2622" i="7"/>
  <c r="K2622" i="7"/>
  <c r="D2622" i="7"/>
  <c r="C2622" i="7"/>
  <c r="AR2621" i="7"/>
  <c r="AQ2621" i="7"/>
  <c r="AP2621" i="7" s="1"/>
  <c r="AL2621" i="7"/>
  <c r="AK2621" i="7"/>
  <c r="AD2621" i="7"/>
  <c r="AC2621" i="7"/>
  <c r="T2621" i="7"/>
  <c r="S2621" i="7"/>
  <c r="R2621" i="7"/>
  <c r="L2621" i="7"/>
  <c r="J2621" i="7" s="1"/>
  <c r="K2621" i="7"/>
  <c r="D2621" i="7"/>
  <c r="C2621" i="7"/>
  <c r="B2621" i="7"/>
  <c r="AR2620" i="7"/>
  <c r="AP2620" i="7" s="1"/>
  <c r="AQ2620" i="7"/>
  <c r="AL2620" i="7"/>
  <c r="AK2620" i="7"/>
  <c r="AD2620" i="7"/>
  <c r="AC2620" i="7"/>
  <c r="T2620" i="7"/>
  <c r="R2620" i="7" s="1"/>
  <c r="S2620" i="7"/>
  <c r="L2620" i="7"/>
  <c r="K2620" i="7"/>
  <c r="J2620" i="7"/>
  <c r="D2620" i="7"/>
  <c r="B2620" i="7" s="1"/>
  <c r="C2620" i="7"/>
  <c r="AR2619" i="7"/>
  <c r="AQ2619" i="7"/>
  <c r="AP2619" i="7"/>
  <c r="AL2619" i="7"/>
  <c r="AK2619" i="7"/>
  <c r="AD2619" i="7"/>
  <c r="AC2619" i="7"/>
  <c r="AB2619" i="7" s="1"/>
  <c r="T2619" i="7"/>
  <c r="S2619" i="7"/>
  <c r="R2619" i="7" s="1"/>
  <c r="L2619" i="7"/>
  <c r="K2619" i="7"/>
  <c r="J2619" i="7" s="1"/>
  <c r="D2619" i="7"/>
  <c r="C2619" i="7"/>
  <c r="B2619" i="7" s="1"/>
  <c r="AR2618" i="7"/>
  <c r="AQ2618" i="7"/>
  <c r="AP2618" i="7" s="1"/>
  <c r="AL2618" i="7"/>
  <c r="AK2618" i="7"/>
  <c r="AD2618" i="7"/>
  <c r="AC2618" i="7"/>
  <c r="T2618" i="7"/>
  <c r="S2618" i="7"/>
  <c r="R2618" i="7"/>
  <c r="L2618" i="7"/>
  <c r="K2618" i="7"/>
  <c r="D2618" i="7"/>
  <c r="C2618" i="7"/>
  <c r="B2618" i="7"/>
  <c r="AR2617" i="7"/>
  <c r="AQ2617" i="7"/>
  <c r="AL2617" i="7"/>
  <c r="AK2617" i="7"/>
  <c r="AD2617" i="7"/>
  <c r="AC2617" i="7"/>
  <c r="T2617" i="7"/>
  <c r="R2617" i="7" s="1"/>
  <c r="S2617" i="7"/>
  <c r="L2617" i="7"/>
  <c r="K2617" i="7"/>
  <c r="J2617" i="7"/>
  <c r="D2617" i="7"/>
  <c r="B2617" i="7" s="1"/>
  <c r="C2617" i="7"/>
  <c r="AR2616" i="7"/>
  <c r="AQ2616" i="7"/>
  <c r="AP2616" i="7"/>
  <c r="AL2616" i="7"/>
  <c r="AK2616" i="7"/>
  <c r="AD2616" i="7"/>
  <c r="AC2616" i="7"/>
  <c r="AB2616" i="7" s="1"/>
  <c r="T2616" i="7"/>
  <c r="S2616" i="7"/>
  <c r="R2616" i="7" s="1"/>
  <c r="L2616" i="7"/>
  <c r="K2616" i="7"/>
  <c r="J2616" i="7" s="1"/>
  <c r="D2616" i="7"/>
  <c r="C2616" i="7"/>
  <c r="B2616" i="7" s="1"/>
  <c r="AR2615" i="7"/>
  <c r="AQ2615" i="7"/>
  <c r="AP2615" i="7" s="1"/>
  <c r="AL2615" i="7"/>
  <c r="AK2615" i="7"/>
  <c r="AD2615" i="7"/>
  <c r="AC2615" i="7"/>
  <c r="T2615" i="7"/>
  <c r="S2615" i="7"/>
  <c r="R2615" i="7"/>
  <c r="L2615" i="7"/>
  <c r="K2615" i="7"/>
  <c r="D2615" i="7"/>
  <c r="C2615" i="7"/>
  <c r="B2615" i="7"/>
  <c r="AR2614" i="7"/>
  <c r="AQ2614" i="7"/>
  <c r="AL2614" i="7"/>
  <c r="AK2614" i="7"/>
  <c r="AJ2614" i="7" s="1"/>
  <c r="AD2614" i="7"/>
  <c r="AC2614" i="7"/>
  <c r="AB2614" i="7" s="1"/>
  <c r="T2614" i="7"/>
  <c r="R2614" i="7" s="1"/>
  <c r="S2614" i="7"/>
  <c r="L2614" i="7"/>
  <c r="K2614" i="7"/>
  <c r="J2614" i="7"/>
  <c r="D2614" i="7"/>
  <c r="B2614" i="7" s="1"/>
  <c r="C2614" i="7"/>
  <c r="AR2613" i="7"/>
  <c r="AQ2613" i="7"/>
  <c r="AP2613" i="7"/>
  <c r="AL2613" i="7"/>
  <c r="AK2613" i="7"/>
  <c r="AI2613" i="7" s="1"/>
  <c r="AD2613" i="7"/>
  <c r="AC2613" i="7"/>
  <c r="AB2613" i="7" s="1"/>
  <c r="T2613" i="7"/>
  <c r="S2613" i="7"/>
  <c r="R2613" i="7" s="1"/>
  <c r="L2613" i="7"/>
  <c r="K2613" i="7"/>
  <c r="J2613" i="7" s="1"/>
  <c r="D2613" i="7"/>
  <c r="C2613" i="7"/>
  <c r="B2613" i="7" s="1"/>
  <c r="AR2612" i="7"/>
  <c r="AQ2612" i="7"/>
  <c r="AP2612" i="7" s="1"/>
  <c r="AL2612" i="7"/>
  <c r="AK2612" i="7"/>
  <c r="AD2612" i="7"/>
  <c r="AC2612" i="7"/>
  <c r="T2612" i="7"/>
  <c r="S2612" i="7"/>
  <c r="R2612" i="7"/>
  <c r="L2612" i="7"/>
  <c r="K2612" i="7"/>
  <c r="D2612" i="7"/>
  <c r="C2612" i="7"/>
  <c r="B2612" i="7"/>
  <c r="AR2611" i="7"/>
  <c r="AQ2611" i="7"/>
  <c r="AP2611" i="7" s="1"/>
  <c r="AL2611" i="7"/>
  <c r="AK2611" i="7"/>
  <c r="AD2611" i="7"/>
  <c r="AC2611" i="7"/>
  <c r="T2611" i="7"/>
  <c r="R2611" i="7" s="1"/>
  <c r="S2611" i="7"/>
  <c r="L2611" i="7"/>
  <c r="K2611" i="7"/>
  <c r="J2611" i="7"/>
  <c r="D2611" i="7"/>
  <c r="B2611" i="7" s="1"/>
  <c r="C2611" i="7"/>
  <c r="AR2610" i="7"/>
  <c r="AQ2610" i="7"/>
  <c r="AP2610" i="7"/>
  <c r="AL2610" i="7"/>
  <c r="AK2610" i="7"/>
  <c r="AI2610" i="7" s="1"/>
  <c r="AD2610" i="7"/>
  <c r="AC2610" i="7"/>
  <c r="AB2610" i="7" s="1"/>
  <c r="T2610" i="7"/>
  <c r="S2610" i="7"/>
  <c r="R2610" i="7" s="1"/>
  <c r="L2610" i="7"/>
  <c r="K2610" i="7"/>
  <c r="J2610" i="7" s="1"/>
  <c r="D2610" i="7"/>
  <c r="C2610" i="7"/>
  <c r="B2610" i="7" s="1"/>
  <c r="AR2609" i="7"/>
  <c r="AQ2609" i="7"/>
  <c r="AP2609" i="7" s="1"/>
  <c r="AL2609" i="7"/>
  <c r="AK2609" i="7"/>
  <c r="AD2609" i="7"/>
  <c r="AC2609" i="7"/>
  <c r="AB2609" i="7" s="1"/>
  <c r="T2609" i="7"/>
  <c r="S2609" i="7"/>
  <c r="R2609" i="7"/>
  <c r="L2609" i="7"/>
  <c r="K2609" i="7"/>
  <c r="J2609" i="7" s="1"/>
  <c r="D2609" i="7"/>
  <c r="C2609" i="7"/>
  <c r="B2609" i="7"/>
  <c r="AR2608" i="7"/>
  <c r="AQ2608" i="7"/>
  <c r="AP2608" i="7" s="1"/>
  <c r="AL2608" i="7"/>
  <c r="AK2608" i="7"/>
  <c r="AD2608" i="7"/>
  <c r="AC2608" i="7"/>
  <c r="T2608" i="7"/>
  <c r="R2608" i="7" s="1"/>
  <c r="S2608" i="7"/>
  <c r="L2608" i="7"/>
  <c r="K2608" i="7"/>
  <c r="J2608" i="7"/>
  <c r="D2608" i="7"/>
  <c r="B2608" i="7" s="1"/>
  <c r="C2608" i="7"/>
  <c r="AR2607" i="7"/>
  <c r="AQ2607" i="7"/>
  <c r="AP2607" i="7"/>
  <c r="AL2607" i="7"/>
  <c r="AK2607" i="7"/>
  <c r="AD2607" i="7"/>
  <c r="AC2607" i="7"/>
  <c r="AB2607" i="7" s="1"/>
  <c r="T2607" i="7"/>
  <c r="S2607" i="7"/>
  <c r="R2607" i="7" s="1"/>
  <c r="L2607" i="7"/>
  <c r="K2607" i="7"/>
  <c r="J2607" i="7" s="1"/>
  <c r="D2607" i="7"/>
  <c r="C2607" i="7"/>
  <c r="B2607" i="7" s="1"/>
  <c r="AR2606" i="7"/>
  <c r="AQ2606" i="7"/>
  <c r="AP2606" i="7" s="1"/>
  <c r="AL2606" i="7"/>
  <c r="AK2606" i="7"/>
  <c r="AD2606" i="7"/>
  <c r="AC2606" i="7"/>
  <c r="AA2606" i="7" s="1"/>
  <c r="T2606" i="7"/>
  <c r="S2606" i="7"/>
  <c r="R2606" i="7"/>
  <c r="L2606" i="7"/>
  <c r="K2606" i="7"/>
  <c r="J2606" i="7" s="1"/>
  <c r="D2606" i="7"/>
  <c r="C2606" i="7"/>
  <c r="B2606" i="7"/>
  <c r="AR2605" i="7"/>
  <c r="AQ2605" i="7"/>
  <c r="AL2605" i="7"/>
  <c r="AK2605" i="7"/>
  <c r="AI2605" i="7" s="1"/>
  <c r="AD2605" i="7"/>
  <c r="AC2605" i="7"/>
  <c r="AB2605" i="7" s="1"/>
  <c r="T2605" i="7"/>
  <c r="R2605" i="7" s="1"/>
  <c r="S2605" i="7"/>
  <c r="L2605" i="7"/>
  <c r="K2605" i="7"/>
  <c r="J2605" i="7"/>
  <c r="D2605" i="7"/>
  <c r="B2605" i="7" s="1"/>
  <c r="C2605" i="7"/>
  <c r="AR2604" i="7"/>
  <c r="AQ2604" i="7"/>
  <c r="AP2604" i="7"/>
  <c r="AL2604" i="7"/>
  <c r="AK2604" i="7"/>
  <c r="AD2604" i="7"/>
  <c r="AC2604" i="7"/>
  <c r="AB2604" i="7" s="1"/>
  <c r="T2604" i="7"/>
  <c r="S2604" i="7"/>
  <c r="R2604" i="7" s="1"/>
  <c r="L2604" i="7"/>
  <c r="K2604" i="7"/>
  <c r="J2604" i="7" s="1"/>
  <c r="D2604" i="7"/>
  <c r="C2604" i="7"/>
  <c r="B2604" i="7" s="1"/>
  <c r="AR2603" i="7"/>
  <c r="AQ2603" i="7"/>
  <c r="AP2603" i="7" s="1"/>
  <c r="AL2603" i="7"/>
  <c r="AK2603" i="7"/>
  <c r="AD2603" i="7"/>
  <c r="AC2603" i="7"/>
  <c r="T2603" i="7"/>
  <c r="S2603" i="7"/>
  <c r="R2603" i="7"/>
  <c r="L2603" i="7"/>
  <c r="K2603" i="7"/>
  <c r="D2603" i="7"/>
  <c r="C2603" i="7"/>
  <c r="B2603" i="7"/>
  <c r="AR2602" i="7"/>
  <c r="AQ2602" i="7"/>
  <c r="AL2602" i="7"/>
  <c r="AK2602" i="7"/>
  <c r="AJ2602" i="7" s="1"/>
  <c r="AD2602" i="7"/>
  <c r="AC2602" i="7"/>
  <c r="AB2602" i="7" s="1"/>
  <c r="T2602" i="7"/>
  <c r="R2602" i="7" s="1"/>
  <c r="S2602" i="7"/>
  <c r="L2602" i="7"/>
  <c r="K2602" i="7"/>
  <c r="J2602" i="7"/>
  <c r="D2602" i="7"/>
  <c r="B2602" i="7" s="1"/>
  <c r="C2602" i="7"/>
  <c r="AR2601" i="7"/>
  <c r="AQ2601" i="7"/>
  <c r="AP2601" i="7"/>
  <c r="AL2601" i="7"/>
  <c r="AK2601" i="7"/>
  <c r="AD2601" i="7"/>
  <c r="AC2601" i="7"/>
  <c r="AB2601" i="7" s="1"/>
  <c r="T2601" i="7"/>
  <c r="S2601" i="7"/>
  <c r="R2601" i="7" s="1"/>
  <c r="L2601" i="7"/>
  <c r="K2601" i="7"/>
  <c r="J2601" i="7" s="1"/>
  <c r="D2601" i="7"/>
  <c r="C2601" i="7"/>
  <c r="B2601" i="7" s="1"/>
  <c r="AR2600" i="7"/>
  <c r="AQ2600" i="7"/>
  <c r="AP2600" i="7" s="1"/>
  <c r="AL2600" i="7"/>
  <c r="AK2600" i="7"/>
  <c r="AD2600" i="7"/>
  <c r="AC2600" i="7"/>
  <c r="T2600" i="7"/>
  <c r="S2600" i="7"/>
  <c r="R2600" i="7"/>
  <c r="L2600" i="7"/>
  <c r="K2600" i="7"/>
  <c r="J2600" i="7" s="1"/>
  <c r="D2600" i="7"/>
  <c r="C2600" i="7"/>
  <c r="B2600" i="7"/>
  <c r="AR2599" i="7"/>
  <c r="AQ2599" i="7"/>
  <c r="AP2599" i="7" s="1"/>
  <c r="AL2599" i="7"/>
  <c r="AK2599" i="7"/>
  <c r="AD2599" i="7"/>
  <c r="AC2599" i="7"/>
  <c r="AB2599" i="7" s="1"/>
  <c r="T2599" i="7"/>
  <c r="R2599" i="7" s="1"/>
  <c r="S2599" i="7"/>
  <c r="L2599" i="7"/>
  <c r="K2599" i="7"/>
  <c r="J2599" i="7"/>
  <c r="D2599" i="7"/>
  <c r="B2599" i="7" s="1"/>
  <c r="C2599" i="7"/>
  <c r="AR2598" i="7"/>
  <c r="AQ2598" i="7"/>
  <c r="AP2598" i="7"/>
  <c r="AL2598" i="7"/>
  <c r="AK2598" i="7"/>
  <c r="AD2598" i="7"/>
  <c r="AC2598" i="7"/>
  <c r="AB2598" i="7" s="1"/>
  <c r="T2598" i="7"/>
  <c r="S2598" i="7"/>
  <c r="R2598" i="7" s="1"/>
  <c r="L2598" i="7"/>
  <c r="K2598" i="7"/>
  <c r="J2598" i="7" s="1"/>
  <c r="D2598" i="7"/>
  <c r="C2598" i="7"/>
  <c r="B2598" i="7" s="1"/>
  <c r="AR2597" i="7"/>
  <c r="AQ2597" i="7"/>
  <c r="AP2597" i="7" s="1"/>
  <c r="AL2597" i="7"/>
  <c r="AK2597" i="7"/>
  <c r="AD2597" i="7"/>
  <c r="AC2597" i="7"/>
  <c r="T2597" i="7"/>
  <c r="S2597" i="7"/>
  <c r="R2597" i="7"/>
  <c r="L2597" i="7"/>
  <c r="K2597" i="7"/>
  <c r="J2597" i="7" s="1"/>
  <c r="D2597" i="7"/>
  <c r="C2597" i="7"/>
  <c r="B2597" i="7"/>
  <c r="AR2596" i="7"/>
  <c r="AQ2596" i="7"/>
  <c r="AL2596" i="7"/>
  <c r="AK2596" i="7"/>
  <c r="AJ2596" i="7" s="1"/>
  <c r="AD2596" i="7"/>
  <c r="AC2596" i="7"/>
  <c r="AB2596" i="7" s="1"/>
  <c r="T2596" i="7"/>
  <c r="R2596" i="7" s="1"/>
  <c r="S2596" i="7"/>
  <c r="L2596" i="7"/>
  <c r="K2596" i="7"/>
  <c r="J2596" i="7"/>
  <c r="D2596" i="7"/>
  <c r="B2596" i="7" s="1"/>
  <c r="C2596" i="7"/>
  <c r="AR2595" i="7"/>
  <c r="AQ2595" i="7"/>
  <c r="AP2595" i="7"/>
  <c r="AL2595" i="7"/>
  <c r="AK2595" i="7"/>
  <c r="AI2595" i="7" s="1"/>
  <c r="AD2595" i="7"/>
  <c r="AC2595" i="7"/>
  <c r="AB2595" i="7" s="1"/>
  <c r="T2595" i="7"/>
  <c r="S2595" i="7"/>
  <c r="R2595" i="7" s="1"/>
  <c r="L2595" i="7"/>
  <c r="K2595" i="7"/>
  <c r="J2595" i="7" s="1"/>
  <c r="D2595" i="7"/>
  <c r="C2595" i="7"/>
  <c r="B2595" i="7" s="1"/>
  <c r="AR2594" i="7"/>
  <c r="AQ2594" i="7"/>
  <c r="AP2594" i="7" s="1"/>
  <c r="AL2594" i="7"/>
  <c r="AK2594" i="7"/>
  <c r="AD2594" i="7"/>
  <c r="AC2594" i="7"/>
  <c r="T2594" i="7"/>
  <c r="S2594" i="7"/>
  <c r="R2594" i="7"/>
  <c r="L2594" i="7"/>
  <c r="K2594" i="7"/>
  <c r="D2594" i="7"/>
  <c r="C2594" i="7"/>
  <c r="B2594" i="7"/>
  <c r="AR2593" i="7"/>
  <c r="AQ2593" i="7"/>
  <c r="AL2593" i="7"/>
  <c r="AK2593" i="7"/>
  <c r="AI2593" i="7" s="1"/>
  <c r="AD2593" i="7"/>
  <c r="AC2593" i="7"/>
  <c r="T2593" i="7"/>
  <c r="R2593" i="7" s="1"/>
  <c r="S2593" i="7"/>
  <c r="L2593" i="7"/>
  <c r="K2593" i="7"/>
  <c r="J2593" i="7"/>
  <c r="D2593" i="7"/>
  <c r="B2593" i="7" s="1"/>
  <c r="C2593" i="7"/>
  <c r="AR2592" i="7"/>
  <c r="AQ2592" i="7"/>
  <c r="AP2592" i="7"/>
  <c r="AL2592" i="7"/>
  <c r="AK2592" i="7"/>
  <c r="AD2592" i="7"/>
  <c r="AC2592" i="7"/>
  <c r="AB2592" i="7" s="1"/>
  <c r="T2592" i="7"/>
  <c r="S2592" i="7"/>
  <c r="R2592" i="7" s="1"/>
  <c r="L2592" i="7"/>
  <c r="K2592" i="7"/>
  <c r="J2592" i="7" s="1"/>
  <c r="D2592" i="7"/>
  <c r="C2592" i="7"/>
  <c r="B2592" i="7" s="1"/>
  <c r="AR2591" i="7"/>
  <c r="AQ2591" i="7"/>
  <c r="AP2591" i="7" s="1"/>
  <c r="AL2591" i="7"/>
  <c r="AK2591" i="7"/>
  <c r="AD2591" i="7"/>
  <c r="AC2591" i="7"/>
  <c r="AA2591" i="7" s="1"/>
  <c r="T2591" i="7"/>
  <c r="S2591" i="7"/>
  <c r="R2591" i="7"/>
  <c r="L2591" i="7"/>
  <c r="K2591" i="7"/>
  <c r="J2591" i="7" s="1"/>
  <c r="D2591" i="7"/>
  <c r="C2591" i="7"/>
  <c r="B2591" i="7"/>
  <c r="AR2590" i="7"/>
  <c r="AQ2590" i="7"/>
  <c r="AP2590" i="7" s="1"/>
  <c r="AL2590" i="7"/>
  <c r="AK2590" i="7"/>
  <c r="AD2590" i="7"/>
  <c r="AC2590" i="7"/>
  <c r="T2590" i="7"/>
  <c r="R2590" i="7" s="1"/>
  <c r="S2590" i="7"/>
  <c r="L2590" i="7"/>
  <c r="K2590" i="7"/>
  <c r="J2590" i="7"/>
  <c r="D2590" i="7"/>
  <c r="B2590" i="7" s="1"/>
  <c r="C2590" i="7"/>
  <c r="AR2589" i="7"/>
  <c r="AQ2589" i="7"/>
  <c r="AP2589" i="7"/>
  <c r="AL2589" i="7"/>
  <c r="AK2589" i="7"/>
  <c r="AI2589" i="7" s="1"/>
  <c r="AD2589" i="7"/>
  <c r="AC2589" i="7"/>
  <c r="AB2589" i="7" s="1"/>
  <c r="T2589" i="7"/>
  <c r="S2589" i="7"/>
  <c r="R2589" i="7" s="1"/>
  <c r="L2589" i="7"/>
  <c r="K2589" i="7"/>
  <c r="J2589" i="7" s="1"/>
  <c r="D2589" i="7"/>
  <c r="C2589" i="7"/>
  <c r="B2589" i="7" s="1"/>
  <c r="AR2588" i="7"/>
  <c r="AQ2588" i="7"/>
  <c r="AP2588" i="7" s="1"/>
  <c r="AL2588" i="7"/>
  <c r="AK2588" i="7"/>
  <c r="AD2588" i="7"/>
  <c r="AC2588" i="7"/>
  <c r="T2588" i="7"/>
  <c r="S2588" i="7"/>
  <c r="R2588" i="7"/>
  <c r="L2588" i="7"/>
  <c r="K2588" i="7"/>
  <c r="J2588" i="7" s="1"/>
  <c r="D2588" i="7"/>
  <c r="C2588" i="7"/>
  <c r="B2588" i="7"/>
  <c r="AR2587" i="7"/>
  <c r="AQ2587" i="7"/>
  <c r="AL2587" i="7"/>
  <c r="AK2587" i="7"/>
  <c r="AI2587" i="7" s="1"/>
  <c r="AD2587" i="7"/>
  <c r="AC2587" i="7"/>
  <c r="T2587" i="7"/>
  <c r="R2587" i="7" s="1"/>
  <c r="S2587" i="7"/>
  <c r="L2587" i="7"/>
  <c r="K2587" i="7"/>
  <c r="J2587" i="7"/>
  <c r="D2587" i="7"/>
  <c r="B2587" i="7" s="1"/>
  <c r="C2587" i="7"/>
  <c r="AR2586" i="7"/>
  <c r="AQ2586" i="7"/>
  <c r="AP2586" i="7"/>
  <c r="AL2586" i="7"/>
  <c r="AK2586" i="7"/>
  <c r="AD2586" i="7"/>
  <c r="AC2586" i="7"/>
  <c r="AB2586" i="7" s="1"/>
  <c r="T2586" i="7"/>
  <c r="S2586" i="7"/>
  <c r="R2586" i="7" s="1"/>
  <c r="L2586" i="7"/>
  <c r="K2586" i="7"/>
  <c r="J2586" i="7" s="1"/>
  <c r="D2586" i="7"/>
  <c r="C2586" i="7"/>
  <c r="B2586" i="7" s="1"/>
  <c r="AR2585" i="7"/>
  <c r="AQ2585" i="7"/>
  <c r="AP2585" i="7" s="1"/>
  <c r="AL2585" i="7"/>
  <c r="AK2585" i="7"/>
  <c r="AD2585" i="7"/>
  <c r="AC2585" i="7"/>
  <c r="AA2585" i="7" s="1"/>
  <c r="T2585" i="7"/>
  <c r="S2585" i="7"/>
  <c r="R2585" i="7"/>
  <c r="L2585" i="7"/>
  <c r="K2585" i="7"/>
  <c r="D2585" i="7"/>
  <c r="C2585" i="7"/>
  <c r="B2585" i="7"/>
  <c r="AR2584" i="7"/>
  <c r="AQ2584" i="7"/>
  <c r="AL2584" i="7"/>
  <c r="AK2584" i="7"/>
  <c r="AJ2584" i="7" s="1"/>
  <c r="AD2584" i="7"/>
  <c r="AC2584" i="7"/>
  <c r="AB2584" i="7" s="1"/>
  <c r="T2584" i="7"/>
  <c r="R2584" i="7" s="1"/>
  <c r="S2584" i="7"/>
  <c r="L2584" i="7"/>
  <c r="K2584" i="7"/>
  <c r="J2584" i="7"/>
  <c r="D2584" i="7"/>
  <c r="B2584" i="7" s="1"/>
  <c r="C2584" i="7"/>
  <c r="AR2583" i="7"/>
  <c r="AQ2583" i="7"/>
  <c r="AP2583" i="7"/>
  <c r="AL2583" i="7"/>
  <c r="AK2583" i="7"/>
  <c r="AI2583" i="7" s="1"/>
  <c r="AD2583" i="7"/>
  <c r="AC2583" i="7"/>
  <c r="AB2583" i="7" s="1"/>
  <c r="T2583" i="7"/>
  <c r="S2583" i="7"/>
  <c r="R2583" i="7" s="1"/>
  <c r="L2583" i="7"/>
  <c r="K2583" i="7"/>
  <c r="J2583" i="7" s="1"/>
  <c r="D2583" i="7"/>
  <c r="C2583" i="7"/>
  <c r="B2583" i="7" s="1"/>
  <c r="AR2582" i="7"/>
  <c r="AQ2582" i="7"/>
  <c r="AP2582" i="7" s="1"/>
  <c r="AL2582" i="7"/>
  <c r="AK2582" i="7"/>
  <c r="AD2582" i="7"/>
  <c r="AC2582" i="7"/>
  <c r="AA2582" i="7" s="1"/>
  <c r="T2582" i="7"/>
  <c r="S2582" i="7"/>
  <c r="R2582" i="7"/>
  <c r="L2582" i="7"/>
  <c r="K2582" i="7"/>
  <c r="J2582" i="7" s="1"/>
  <c r="D2582" i="7"/>
  <c r="C2582" i="7"/>
  <c r="B2582" i="7"/>
  <c r="AR2581" i="7"/>
  <c r="AQ2581" i="7"/>
  <c r="AP2581" i="7" s="1"/>
  <c r="AL2581" i="7"/>
  <c r="AK2581" i="7"/>
  <c r="AD2581" i="7"/>
  <c r="AC2581" i="7"/>
  <c r="T2581" i="7"/>
  <c r="R2581" i="7" s="1"/>
  <c r="S2581" i="7"/>
  <c r="L2581" i="7"/>
  <c r="K2581" i="7"/>
  <c r="J2581" i="7"/>
  <c r="D2581" i="7"/>
  <c r="B2581" i="7" s="1"/>
  <c r="C2581" i="7"/>
  <c r="AR2580" i="7"/>
  <c r="AQ2580" i="7"/>
  <c r="AP2580" i="7"/>
  <c r="AL2580" i="7"/>
  <c r="AK2580" i="7"/>
  <c r="AD2580" i="7"/>
  <c r="AC2580" i="7"/>
  <c r="AB2580" i="7" s="1"/>
  <c r="T2580" i="7"/>
  <c r="S2580" i="7"/>
  <c r="L2580" i="7"/>
  <c r="K2580" i="7"/>
  <c r="J2580" i="7" s="1"/>
  <c r="D2580" i="7"/>
  <c r="C2580" i="7"/>
  <c r="B2580" i="7" s="1"/>
  <c r="AR2579" i="7"/>
  <c r="AQ2579" i="7"/>
  <c r="AP2579" i="7" s="1"/>
  <c r="AL2579" i="7"/>
  <c r="AK2579" i="7"/>
  <c r="AD2579" i="7"/>
  <c r="AC2579" i="7"/>
  <c r="AA2579" i="7" s="1"/>
  <c r="T2579" i="7"/>
  <c r="S2579" i="7"/>
  <c r="R2579" i="7"/>
  <c r="L2579" i="7"/>
  <c r="K2579" i="7"/>
  <c r="J2579" i="7" s="1"/>
  <c r="D2579" i="7"/>
  <c r="C2579" i="7"/>
  <c r="B2579" i="7"/>
  <c r="AR2578" i="7"/>
  <c r="AQ2578" i="7"/>
  <c r="AP2578" i="7" s="1"/>
  <c r="AL2578" i="7"/>
  <c r="AK2578" i="7"/>
  <c r="AD2578" i="7"/>
  <c r="AC2578" i="7"/>
  <c r="AB2578" i="7" s="1"/>
  <c r="T2578" i="7"/>
  <c r="R2578" i="7" s="1"/>
  <c r="S2578" i="7"/>
  <c r="L2578" i="7"/>
  <c r="K2578" i="7"/>
  <c r="J2578" i="7"/>
  <c r="D2578" i="7"/>
  <c r="B2578" i="7" s="1"/>
  <c r="C2578" i="7"/>
  <c r="AR2577" i="7"/>
  <c r="AQ2577" i="7"/>
  <c r="AP2577" i="7"/>
  <c r="AL2577" i="7"/>
  <c r="AK2577" i="7"/>
  <c r="AD2577" i="7"/>
  <c r="AC2577" i="7"/>
  <c r="AB2577" i="7" s="1"/>
  <c r="T2577" i="7"/>
  <c r="S2577" i="7"/>
  <c r="R2577" i="7" s="1"/>
  <c r="L2577" i="7"/>
  <c r="K2577" i="7"/>
  <c r="J2577" i="7" s="1"/>
  <c r="D2577" i="7"/>
  <c r="C2577" i="7"/>
  <c r="B2577" i="7" s="1"/>
  <c r="AR2576" i="7"/>
  <c r="AQ2576" i="7"/>
  <c r="AP2576" i="7" s="1"/>
  <c r="AL2576" i="7"/>
  <c r="AK2576" i="7"/>
  <c r="AD2576" i="7"/>
  <c r="AC2576" i="7"/>
  <c r="T2576" i="7"/>
  <c r="S2576" i="7"/>
  <c r="R2576" i="7"/>
  <c r="L2576" i="7"/>
  <c r="K2576" i="7"/>
  <c r="J2576" i="7" s="1"/>
  <c r="D2576" i="7"/>
  <c r="C2576" i="7"/>
  <c r="B2576" i="7"/>
  <c r="AR2575" i="7"/>
  <c r="AQ2575" i="7"/>
  <c r="AL2575" i="7"/>
  <c r="AK2575" i="7"/>
  <c r="AJ2575" i="7" s="1"/>
  <c r="AD2575" i="7"/>
  <c r="AC2575" i="7"/>
  <c r="AB2575" i="7" s="1"/>
  <c r="T2575" i="7"/>
  <c r="R2575" i="7" s="1"/>
  <c r="S2575" i="7"/>
  <c r="L2575" i="7"/>
  <c r="K2575" i="7"/>
  <c r="J2575" i="7"/>
  <c r="D2575" i="7"/>
  <c r="B2575" i="7" s="1"/>
  <c r="C2575" i="7"/>
  <c r="AR2574" i="7"/>
  <c r="AQ2574" i="7"/>
  <c r="AP2574" i="7" s="1"/>
  <c r="AL2574" i="7"/>
  <c r="AK2574" i="7"/>
  <c r="AD2574" i="7"/>
  <c r="AC2574" i="7"/>
  <c r="AB2574" i="7" s="1"/>
  <c r="T2574" i="7"/>
  <c r="S2574" i="7"/>
  <c r="R2574" i="7" s="1"/>
  <c r="L2574" i="7"/>
  <c r="K2574" i="7"/>
  <c r="J2574" i="7" s="1"/>
  <c r="D2574" i="7"/>
  <c r="C2574" i="7"/>
  <c r="AR2573" i="7"/>
  <c r="AQ2573" i="7"/>
  <c r="AP2573" i="7" s="1"/>
  <c r="AL2573" i="7"/>
  <c r="AK2573" i="7"/>
  <c r="AD2573" i="7"/>
  <c r="AC2573" i="7"/>
  <c r="T2573" i="7"/>
  <c r="S2573" i="7"/>
  <c r="R2573" i="7"/>
  <c r="L2573" i="7"/>
  <c r="K2573" i="7"/>
  <c r="D2573" i="7"/>
  <c r="C2573" i="7"/>
  <c r="B2573" i="7"/>
  <c r="AR2572" i="7"/>
  <c r="AQ2572" i="7"/>
  <c r="AL2572" i="7"/>
  <c r="AK2572" i="7"/>
  <c r="AJ2572" i="7" s="1"/>
  <c r="AD2572" i="7"/>
  <c r="AC2572" i="7"/>
  <c r="AB2572" i="7" s="1"/>
  <c r="T2572" i="7"/>
  <c r="R2572" i="7" s="1"/>
  <c r="S2572" i="7"/>
  <c r="L2572" i="7"/>
  <c r="K2572" i="7"/>
  <c r="J2572" i="7" s="1"/>
  <c r="D2572" i="7"/>
  <c r="B2572" i="7" s="1"/>
  <c r="C2572" i="7"/>
  <c r="AR2571" i="7"/>
  <c r="AQ2571" i="7"/>
  <c r="AP2571" i="7" s="1"/>
  <c r="AL2571" i="7"/>
  <c r="AK2571" i="7"/>
  <c r="AI2571" i="7" s="1"/>
  <c r="AD2571" i="7"/>
  <c r="AC2571" i="7"/>
  <c r="AB2571" i="7" s="1"/>
  <c r="T2571" i="7"/>
  <c r="S2571" i="7"/>
  <c r="R2571" i="7" s="1"/>
  <c r="L2571" i="7"/>
  <c r="K2571" i="7"/>
  <c r="J2571" i="7" s="1"/>
  <c r="D2571" i="7"/>
  <c r="C2571" i="7"/>
  <c r="AR2570" i="7"/>
  <c r="AQ2570" i="7"/>
  <c r="AP2570" i="7" s="1"/>
  <c r="AL2570" i="7"/>
  <c r="AK2570" i="7"/>
  <c r="AD2570" i="7"/>
  <c r="AC2570" i="7"/>
  <c r="AA2570" i="7" s="1"/>
  <c r="T2570" i="7"/>
  <c r="S2570" i="7"/>
  <c r="R2570" i="7"/>
  <c r="L2570" i="7"/>
  <c r="K2570" i="7"/>
  <c r="D2570" i="7"/>
  <c r="C2570" i="7"/>
  <c r="B2570" i="7"/>
  <c r="AR2569" i="7"/>
  <c r="AQ2569" i="7"/>
  <c r="AL2569" i="7"/>
  <c r="AK2569" i="7"/>
  <c r="AD2569" i="7"/>
  <c r="AC2569" i="7"/>
  <c r="T2569" i="7"/>
  <c r="R2569" i="7" s="1"/>
  <c r="S2569" i="7"/>
  <c r="L2569" i="7"/>
  <c r="K2569" i="7"/>
  <c r="J2569" i="7" s="1"/>
  <c r="D2569" i="7"/>
  <c r="B2569" i="7" s="1"/>
  <c r="C2569" i="7"/>
  <c r="AR2568" i="7"/>
  <c r="AQ2568" i="7"/>
  <c r="AP2568" i="7" s="1"/>
  <c r="AL2568" i="7"/>
  <c r="AK2568" i="7"/>
  <c r="AD2568" i="7"/>
  <c r="AC2568" i="7"/>
  <c r="AB2568" i="7" s="1"/>
  <c r="T2568" i="7"/>
  <c r="S2568" i="7"/>
  <c r="L2568" i="7"/>
  <c r="K2568" i="7"/>
  <c r="J2568" i="7" s="1"/>
  <c r="D2568" i="7"/>
  <c r="C2568" i="7"/>
  <c r="AR2567" i="7"/>
  <c r="AQ2567" i="7"/>
  <c r="AP2567" i="7" s="1"/>
  <c r="AL2567" i="7"/>
  <c r="AK2567" i="7"/>
  <c r="AD2567" i="7"/>
  <c r="AC2567" i="7"/>
  <c r="AB2567" i="7" s="1"/>
  <c r="T2567" i="7"/>
  <c r="S2567" i="7"/>
  <c r="R2567" i="7"/>
  <c r="L2567" i="7"/>
  <c r="K2567" i="7"/>
  <c r="D2567" i="7"/>
  <c r="C2567" i="7"/>
  <c r="B2567" i="7"/>
  <c r="AR2566" i="7"/>
  <c r="AQ2566" i="7"/>
  <c r="AL2566" i="7"/>
  <c r="AK2566" i="7"/>
  <c r="AI2566" i="7" s="1"/>
  <c r="AD2566" i="7"/>
  <c r="AC2566" i="7"/>
  <c r="AB2566" i="7" s="1"/>
  <c r="T2566" i="7"/>
  <c r="R2566" i="7" s="1"/>
  <c r="S2566" i="7"/>
  <c r="L2566" i="7"/>
  <c r="K2566" i="7"/>
  <c r="J2566" i="7"/>
  <c r="D2566" i="7"/>
  <c r="B2566" i="7" s="1"/>
  <c r="C2566" i="7"/>
  <c r="AR2565" i="7"/>
  <c r="AQ2565" i="7"/>
  <c r="AP2565" i="7" s="1"/>
  <c r="AL2565" i="7"/>
  <c r="AK2565" i="7"/>
  <c r="AI2565" i="7" s="1"/>
  <c r="AD2565" i="7"/>
  <c r="AC2565" i="7"/>
  <c r="T2565" i="7"/>
  <c r="S2565" i="7"/>
  <c r="R2565" i="7"/>
  <c r="L2565" i="7"/>
  <c r="K2565" i="7"/>
  <c r="J2565" i="7" s="1"/>
  <c r="D2565" i="7"/>
  <c r="C2565" i="7"/>
  <c r="B2565" i="7"/>
  <c r="AR2564" i="7"/>
  <c r="AQ2564" i="7"/>
  <c r="AP2564" i="7" s="1"/>
  <c r="AL2564" i="7"/>
  <c r="AK2564" i="7"/>
  <c r="AD2564" i="7"/>
  <c r="AC2564" i="7"/>
  <c r="T2564" i="7"/>
  <c r="S2564" i="7"/>
  <c r="R2564" i="7"/>
  <c r="L2564" i="7"/>
  <c r="K2564" i="7"/>
  <c r="D2564" i="7"/>
  <c r="C2564" i="7"/>
  <c r="B2564" i="7"/>
  <c r="AR2563" i="7"/>
  <c r="AQ2563" i="7"/>
  <c r="AP2563" i="7" s="1"/>
  <c r="AL2563" i="7"/>
  <c r="AK2563" i="7"/>
  <c r="AJ2563" i="7" s="1"/>
  <c r="AD2563" i="7"/>
  <c r="AC2563" i="7"/>
  <c r="AB2563" i="7" s="1"/>
  <c r="T2563" i="7"/>
  <c r="R2563" i="7" s="1"/>
  <c r="S2563" i="7"/>
  <c r="L2563" i="7"/>
  <c r="K2563" i="7"/>
  <c r="J2563" i="7" s="1"/>
  <c r="D2563" i="7"/>
  <c r="B2563" i="7" s="1"/>
  <c r="C2563" i="7"/>
  <c r="AR2562" i="7"/>
  <c r="AQ2562" i="7"/>
  <c r="AP2562" i="7" s="1"/>
  <c r="AL2562" i="7"/>
  <c r="AK2562" i="7"/>
  <c r="AD2562" i="7"/>
  <c r="AC2562" i="7"/>
  <c r="T2562" i="7"/>
  <c r="S2562" i="7"/>
  <c r="R2562" i="7"/>
  <c r="L2562" i="7"/>
  <c r="K2562" i="7"/>
  <c r="J2562" i="7" s="1"/>
  <c r="D2562" i="7"/>
  <c r="C2562" i="7"/>
  <c r="B2562" i="7" s="1"/>
  <c r="AR2561" i="7"/>
  <c r="AQ2561" i="7"/>
  <c r="AP2561" i="7" s="1"/>
  <c r="AL2561" i="7"/>
  <c r="AK2561" i="7"/>
  <c r="AI2561" i="7" s="1"/>
  <c r="AD2561" i="7"/>
  <c r="AC2561" i="7"/>
  <c r="AA2561" i="7" s="1"/>
  <c r="T2561" i="7"/>
  <c r="S2561" i="7"/>
  <c r="R2561" i="7"/>
  <c r="L2561" i="7"/>
  <c r="K2561" i="7"/>
  <c r="J2561" i="7" s="1"/>
  <c r="D2561" i="7"/>
  <c r="B2561" i="7" s="1"/>
  <c r="C2561" i="7"/>
  <c r="AR2560" i="7"/>
  <c r="AQ2560" i="7"/>
  <c r="AP2560" i="7" s="1"/>
  <c r="AL2560" i="7"/>
  <c r="AK2560" i="7"/>
  <c r="AI2560" i="7" s="1"/>
  <c r="AD2560" i="7"/>
  <c r="AC2560" i="7"/>
  <c r="T2560" i="7"/>
  <c r="S2560" i="7"/>
  <c r="R2560" i="7"/>
  <c r="L2560" i="7"/>
  <c r="K2560" i="7"/>
  <c r="J2560" i="7" s="1"/>
  <c r="D2560" i="7"/>
  <c r="C2560" i="7"/>
  <c r="B2560" i="7"/>
  <c r="AR2559" i="7"/>
  <c r="AQ2559" i="7"/>
  <c r="AP2559" i="7" s="1"/>
  <c r="AL2559" i="7"/>
  <c r="AK2559" i="7"/>
  <c r="AD2559" i="7"/>
  <c r="AC2559" i="7"/>
  <c r="AB2559" i="7" s="1"/>
  <c r="T2559" i="7"/>
  <c r="S2559" i="7"/>
  <c r="R2559" i="7"/>
  <c r="L2559" i="7"/>
  <c r="K2559" i="7"/>
  <c r="J2559" i="7" s="1"/>
  <c r="D2559" i="7"/>
  <c r="C2559" i="7"/>
  <c r="B2559" i="7"/>
  <c r="AR2558" i="7"/>
  <c r="AQ2558" i="7"/>
  <c r="AP2558" i="7" s="1"/>
  <c r="AL2558" i="7"/>
  <c r="AK2558" i="7"/>
  <c r="AI2558" i="7" s="1"/>
  <c r="AD2558" i="7"/>
  <c r="AC2558" i="7"/>
  <c r="AB2558" i="7" s="1"/>
  <c r="T2558" i="7"/>
  <c r="S2558" i="7"/>
  <c r="R2558" i="7"/>
  <c r="L2558" i="7"/>
  <c r="K2558" i="7"/>
  <c r="D2558" i="7"/>
  <c r="C2558" i="7"/>
  <c r="B2558" i="7"/>
  <c r="AR2557" i="7"/>
  <c r="AQ2557" i="7"/>
  <c r="AL2557" i="7"/>
  <c r="AK2557" i="7"/>
  <c r="AD2557" i="7"/>
  <c r="AC2557" i="7"/>
  <c r="AB2557" i="7" s="1"/>
  <c r="T2557" i="7"/>
  <c r="R2557" i="7" s="1"/>
  <c r="S2557" i="7"/>
  <c r="L2557" i="7"/>
  <c r="K2557" i="7"/>
  <c r="J2557" i="7"/>
  <c r="D2557" i="7"/>
  <c r="B2557" i="7" s="1"/>
  <c r="C2557" i="7"/>
  <c r="AR2556" i="7"/>
  <c r="AQ2556" i="7"/>
  <c r="AP2556" i="7"/>
  <c r="AL2556" i="7"/>
  <c r="AK2556" i="7"/>
  <c r="AD2556" i="7"/>
  <c r="AC2556" i="7"/>
  <c r="AB2556" i="7" s="1"/>
  <c r="T2556" i="7"/>
  <c r="S2556" i="7"/>
  <c r="R2556" i="7" s="1"/>
  <c r="L2556" i="7"/>
  <c r="K2556" i="7"/>
  <c r="J2556" i="7" s="1"/>
  <c r="D2556" i="7"/>
  <c r="C2556" i="7"/>
  <c r="B2556" i="7" s="1"/>
  <c r="AR2555" i="7"/>
  <c r="AQ2555" i="7"/>
  <c r="AP2555" i="7" s="1"/>
  <c r="AL2555" i="7"/>
  <c r="AK2555" i="7"/>
  <c r="AI2555" i="7" s="1"/>
  <c r="AD2555" i="7"/>
  <c r="AC2555" i="7"/>
  <c r="T2555" i="7"/>
  <c r="R2555" i="7" s="1"/>
  <c r="S2555" i="7"/>
  <c r="L2555" i="7"/>
  <c r="K2555" i="7"/>
  <c r="J2555" i="7" s="1"/>
  <c r="D2555" i="7"/>
  <c r="B2555" i="7" s="1"/>
  <c r="C2555" i="7"/>
  <c r="AR2554" i="7"/>
  <c r="AQ2554" i="7"/>
  <c r="AL2554" i="7"/>
  <c r="AK2554" i="7"/>
  <c r="AJ2554" i="7" s="1"/>
  <c r="AD2554" i="7"/>
  <c r="AC2554" i="7"/>
  <c r="AB2554" i="7" s="1"/>
  <c r="T2554" i="7"/>
  <c r="R2554" i="7" s="1"/>
  <c r="S2554" i="7"/>
  <c r="L2554" i="7"/>
  <c r="K2554" i="7"/>
  <c r="J2554" i="7"/>
  <c r="D2554" i="7"/>
  <c r="B2554" i="7" s="1"/>
  <c r="C2554" i="7"/>
  <c r="AR2553" i="7"/>
  <c r="AQ2553" i="7"/>
  <c r="AP2553" i="7"/>
  <c r="AL2553" i="7"/>
  <c r="AK2553" i="7"/>
  <c r="AD2553" i="7"/>
  <c r="AC2553" i="7"/>
  <c r="T2553" i="7"/>
  <c r="S2553" i="7"/>
  <c r="R2553" i="7"/>
  <c r="L2553" i="7"/>
  <c r="K2553" i="7"/>
  <c r="J2553" i="7" s="1"/>
  <c r="D2553" i="7"/>
  <c r="C2553" i="7"/>
  <c r="B2553" i="7" s="1"/>
  <c r="AR2552" i="7"/>
  <c r="AQ2552" i="7"/>
  <c r="AP2552" i="7" s="1"/>
  <c r="AL2552" i="7"/>
  <c r="AK2552" i="7"/>
  <c r="AI2552" i="7" s="1"/>
  <c r="AD2552" i="7"/>
  <c r="AC2552" i="7"/>
  <c r="AA2552" i="7" s="1"/>
  <c r="T2552" i="7"/>
  <c r="S2552" i="7"/>
  <c r="R2552" i="7"/>
  <c r="L2552" i="7"/>
  <c r="K2552" i="7"/>
  <c r="J2552" i="7" s="1"/>
  <c r="D2552" i="7"/>
  <c r="B2552" i="7" s="1"/>
  <c r="C2552" i="7"/>
  <c r="AR2551" i="7"/>
  <c r="AQ2551" i="7"/>
  <c r="AP2551" i="7" s="1"/>
  <c r="AL2551" i="7"/>
  <c r="AK2551" i="7"/>
  <c r="AI2551" i="7" s="1"/>
  <c r="AD2551" i="7"/>
  <c r="AC2551" i="7"/>
  <c r="T2551" i="7"/>
  <c r="S2551" i="7"/>
  <c r="R2551" i="7"/>
  <c r="L2551" i="7"/>
  <c r="K2551" i="7"/>
  <c r="J2551" i="7" s="1"/>
  <c r="D2551" i="7"/>
  <c r="C2551" i="7"/>
  <c r="B2551" i="7"/>
  <c r="AR2550" i="7"/>
  <c r="AQ2550" i="7"/>
  <c r="AP2550" i="7" s="1"/>
  <c r="AL2550" i="7"/>
  <c r="AK2550" i="7"/>
  <c r="AI2550" i="7" s="1"/>
  <c r="AD2550" i="7"/>
  <c r="AC2550" i="7"/>
  <c r="AB2550" i="7" s="1"/>
  <c r="T2550" i="7"/>
  <c r="S2550" i="7"/>
  <c r="R2550" i="7"/>
  <c r="L2550" i="7"/>
  <c r="K2550" i="7"/>
  <c r="J2550" i="7" s="1"/>
  <c r="D2550" i="7"/>
  <c r="C2550" i="7"/>
  <c r="B2550" i="7"/>
  <c r="AR2549" i="7"/>
  <c r="AQ2549" i="7"/>
  <c r="AP2549" i="7" s="1"/>
  <c r="AL2549" i="7"/>
  <c r="AK2549" i="7"/>
  <c r="AD2549" i="7"/>
  <c r="AC2549" i="7"/>
  <c r="AB2549" i="7" s="1"/>
  <c r="T2549" i="7"/>
  <c r="S2549" i="7"/>
  <c r="R2549" i="7"/>
  <c r="L2549" i="7"/>
  <c r="K2549" i="7"/>
  <c r="D2549" i="7"/>
  <c r="C2549" i="7"/>
  <c r="B2549" i="7"/>
  <c r="AR2548" i="7"/>
  <c r="AQ2548" i="7"/>
  <c r="AL2548" i="7"/>
  <c r="AK2548" i="7"/>
  <c r="AD2548" i="7"/>
  <c r="AC2548" i="7"/>
  <c r="AB2548" i="7" s="1"/>
  <c r="T2548" i="7"/>
  <c r="R2548" i="7" s="1"/>
  <c r="S2548" i="7"/>
  <c r="L2548" i="7"/>
  <c r="K2548" i="7"/>
  <c r="J2548" i="7"/>
  <c r="D2548" i="7"/>
  <c r="B2548" i="7" s="1"/>
  <c r="C2548" i="7"/>
  <c r="AR2547" i="7"/>
  <c r="AQ2547" i="7"/>
  <c r="AP2547" i="7"/>
  <c r="AL2547" i="7"/>
  <c r="AK2547" i="7"/>
  <c r="AI2547" i="7" s="1"/>
  <c r="AD2547" i="7"/>
  <c r="AC2547" i="7"/>
  <c r="T2547" i="7"/>
  <c r="S2547" i="7"/>
  <c r="L2547" i="7"/>
  <c r="K2547" i="7"/>
  <c r="J2547" i="7" s="1"/>
  <c r="D2547" i="7"/>
  <c r="C2547" i="7"/>
  <c r="B2547" i="7" s="1"/>
  <c r="AR2546" i="7"/>
  <c r="AQ2546" i="7"/>
  <c r="AP2546" i="7" s="1"/>
  <c r="AL2546" i="7"/>
  <c r="AK2546" i="7"/>
  <c r="AD2546" i="7"/>
  <c r="AC2546" i="7"/>
  <c r="T2546" i="7"/>
  <c r="R2546" i="7" s="1"/>
  <c r="S2546" i="7"/>
  <c r="L2546" i="7"/>
  <c r="K2546" i="7"/>
  <c r="J2546" i="7" s="1"/>
  <c r="D2546" i="7"/>
  <c r="B2546" i="7" s="1"/>
  <c r="C2546" i="7"/>
  <c r="AR2545" i="7"/>
  <c r="AQ2545" i="7"/>
  <c r="AL2545" i="7"/>
  <c r="AK2545" i="7"/>
  <c r="AD2545" i="7"/>
  <c r="AC2545" i="7"/>
  <c r="T2545" i="7"/>
  <c r="R2545" i="7" s="1"/>
  <c r="S2545" i="7"/>
  <c r="L2545" i="7"/>
  <c r="K2545" i="7"/>
  <c r="J2545" i="7"/>
  <c r="D2545" i="7"/>
  <c r="B2545" i="7" s="1"/>
  <c r="C2545" i="7"/>
  <c r="AR2544" i="7"/>
  <c r="AQ2544" i="7"/>
  <c r="AP2544" i="7"/>
  <c r="AL2544" i="7"/>
  <c r="AK2544" i="7"/>
  <c r="AD2544" i="7"/>
  <c r="AC2544" i="7"/>
  <c r="T2544" i="7"/>
  <c r="S2544" i="7"/>
  <c r="R2544" i="7"/>
  <c r="L2544" i="7"/>
  <c r="K2544" i="7"/>
  <c r="J2544" i="7" s="1"/>
  <c r="D2544" i="7"/>
  <c r="C2544" i="7"/>
  <c r="B2544" i="7" s="1"/>
  <c r="AR2543" i="7"/>
  <c r="AQ2543" i="7"/>
  <c r="AP2543" i="7" s="1"/>
  <c r="AL2543" i="7"/>
  <c r="AK2543" i="7"/>
  <c r="AI2543" i="7" s="1"/>
  <c r="AD2543" i="7"/>
  <c r="AC2543" i="7"/>
  <c r="AA2543" i="7" s="1"/>
  <c r="AB2543" i="7"/>
  <c r="T2543" i="7"/>
  <c r="S2543" i="7"/>
  <c r="R2543" i="7"/>
  <c r="L2543" i="7"/>
  <c r="K2543" i="7"/>
  <c r="J2543" i="7" s="1"/>
  <c r="D2543" i="7"/>
  <c r="B2543" i="7" s="1"/>
  <c r="C2543" i="7"/>
  <c r="AR2542" i="7"/>
  <c r="AQ2542" i="7"/>
  <c r="AP2542" i="7" s="1"/>
  <c r="AL2542" i="7"/>
  <c r="AK2542" i="7"/>
  <c r="AI2542" i="7" s="1"/>
  <c r="AD2542" i="7"/>
  <c r="AC2542" i="7"/>
  <c r="T2542" i="7"/>
  <c r="S2542" i="7"/>
  <c r="R2542" i="7"/>
  <c r="L2542" i="7"/>
  <c r="K2542" i="7"/>
  <c r="J2542" i="7" s="1"/>
  <c r="D2542" i="7"/>
  <c r="C2542" i="7"/>
  <c r="B2542" i="7"/>
  <c r="AR2541" i="7"/>
  <c r="AQ2541" i="7"/>
  <c r="AP2541" i="7" s="1"/>
  <c r="AL2541" i="7"/>
  <c r="AK2541" i="7"/>
  <c r="AD2541" i="7"/>
  <c r="AC2541" i="7"/>
  <c r="AB2541" i="7" s="1"/>
  <c r="T2541" i="7"/>
  <c r="S2541" i="7"/>
  <c r="R2541" i="7"/>
  <c r="L2541" i="7"/>
  <c r="K2541" i="7"/>
  <c r="J2541" i="7" s="1"/>
  <c r="D2541" i="7"/>
  <c r="C2541" i="7"/>
  <c r="B2541" i="7"/>
  <c r="AR2540" i="7"/>
  <c r="AQ2540" i="7"/>
  <c r="AL2540" i="7"/>
  <c r="AK2540" i="7"/>
  <c r="AD2540" i="7"/>
  <c r="AC2540" i="7"/>
  <c r="T2540" i="7"/>
  <c r="R2540" i="7" s="1"/>
  <c r="S2540" i="7"/>
  <c r="L2540" i="7"/>
  <c r="K2540" i="7"/>
  <c r="J2540" i="7"/>
  <c r="D2540" i="7"/>
  <c r="B2540" i="7" s="1"/>
  <c r="C2540" i="7"/>
  <c r="AR2539" i="7"/>
  <c r="AQ2539" i="7"/>
  <c r="AP2539" i="7"/>
  <c r="AL2539" i="7"/>
  <c r="AK2539" i="7"/>
  <c r="AD2539" i="7"/>
  <c r="AC2539" i="7"/>
  <c r="T2539" i="7"/>
  <c r="S2539" i="7"/>
  <c r="R2539" i="7"/>
  <c r="L2539" i="7"/>
  <c r="K2539" i="7"/>
  <c r="J2539" i="7" s="1"/>
  <c r="D2539" i="7"/>
  <c r="C2539" i="7"/>
  <c r="B2539" i="7"/>
  <c r="AR2538" i="7"/>
  <c r="AQ2538" i="7"/>
  <c r="AP2538" i="7" s="1"/>
  <c r="AL2538" i="7"/>
  <c r="AK2538" i="7"/>
  <c r="AD2538" i="7"/>
  <c r="AC2538" i="7"/>
  <c r="T2538" i="7"/>
  <c r="S2538" i="7"/>
  <c r="R2538" i="7" s="1"/>
  <c r="L2538" i="7"/>
  <c r="K2538" i="7"/>
  <c r="D2538" i="7"/>
  <c r="C2538" i="7"/>
  <c r="B2538" i="7"/>
  <c r="AR2537" i="7"/>
  <c r="AQ2537" i="7"/>
  <c r="AL2537" i="7"/>
  <c r="AK2537" i="7"/>
  <c r="AD2537" i="7"/>
  <c r="AC2537" i="7"/>
  <c r="T2537" i="7"/>
  <c r="R2537" i="7" s="1"/>
  <c r="S2537" i="7"/>
  <c r="L2537" i="7"/>
  <c r="K2537" i="7"/>
  <c r="J2537" i="7"/>
  <c r="D2537" i="7"/>
  <c r="B2537" i="7" s="1"/>
  <c r="C2537" i="7"/>
  <c r="AR2536" i="7"/>
  <c r="AQ2536" i="7"/>
  <c r="AP2536" i="7"/>
  <c r="AL2536" i="7"/>
  <c r="AK2536" i="7"/>
  <c r="AI2536" i="7" s="1"/>
  <c r="AD2536" i="7"/>
  <c r="AC2536" i="7"/>
  <c r="AB2536" i="7" s="1"/>
  <c r="T2536" i="7"/>
  <c r="S2536" i="7"/>
  <c r="R2536" i="7"/>
  <c r="L2536" i="7"/>
  <c r="K2536" i="7"/>
  <c r="J2536" i="7" s="1"/>
  <c r="D2536" i="7"/>
  <c r="C2536" i="7"/>
  <c r="B2536" i="7"/>
  <c r="AR2535" i="7"/>
  <c r="AQ2535" i="7"/>
  <c r="AP2535" i="7" s="1"/>
  <c r="AL2535" i="7"/>
  <c r="AK2535" i="7"/>
  <c r="AI2535" i="7" s="1"/>
  <c r="AD2535" i="7"/>
  <c r="AC2535" i="7"/>
  <c r="AB2535" i="7" s="1"/>
  <c r="T2535" i="7"/>
  <c r="S2535" i="7"/>
  <c r="R2535" i="7" s="1"/>
  <c r="L2535" i="7"/>
  <c r="K2535" i="7"/>
  <c r="J2535" i="7" s="1"/>
  <c r="D2535" i="7"/>
  <c r="C2535" i="7"/>
  <c r="B2535" i="7" s="1"/>
  <c r="AR2534" i="7"/>
  <c r="AQ2534" i="7"/>
  <c r="AL2534" i="7"/>
  <c r="AK2534" i="7"/>
  <c r="AD2534" i="7"/>
  <c r="AC2534" i="7"/>
  <c r="AB2534" i="7" s="1"/>
  <c r="T2534" i="7"/>
  <c r="S2534" i="7"/>
  <c r="R2534" i="7"/>
  <c r="L2534" i="7"/>
  <c r="K2534" i="7"/>
  <c r="J2534" i="7" s="1"/>
  <c r="D2534" i="7"/>
  <c r="C2534" i="7"/>
  <c r="B2534" i="7"/>
  <c r="AR2533" i="7"/>
  <c r="AQ2533" i="7"/>
  <c r="AP2533" i="7" s="1"/>
  <c r="AL2533" i="7"/>
  <c r="AK2533" i="7"/>
  <c r="AD2533" i="7"/>
  <c r="AC2533" i="7"/>
  <c r="AB2533" i="7" s="1"/>
  <c r="T2533" i="7"/>
  <c r="S2533" i="7"/>
  <c r="R2533" i="7" s="1"/>
  <c r="L2533" i="7"/>
  <c r="K2533" i="7"/>
  <c r="J2533" i="7"/>
  <c r="D2533" i="7"/>
  <c r="C2533" i="7"/>
  <c r="B2533" i="7" s="1"/>
  <c r="AR2532" i="7"/>
  <c r="AQ2532" i="7"/>
  <c r="AP2532" i="7"/>
  <c r="AL2532" i="7"/>
  <c r="AK2532" i="7"/>
  <c r="AD2532" i="7"/>
  <c r="AC2532" i="7"/>
  <c r="T2532" i="7"/>
  <c r="S2532" i="7"/>
  <c r="R2532" i="7" s="1"/>
  <c r="L2532" i="7"/>
  <c r="K2532" i="7"/>
  <c r="J2532" i="7" s="1"/>
  <c r="D2532" i="7"/>
  <c r="C2532" i="7"/>
  <c r="B2532" i="7" s="1"/>
  <c r="AR2531" i="7"/>
  <c r="AQ2531" i="7"/>
  <c r="AP2531" i="7" s="1"/>
  <c r="AL2531" i="7"/>
  <c r="AK2531" i="7"/>
  <c r="AD2531" i="7"/>
  <c r="AC2531" i="7"/>
  <c r="T2531" i="7"/>
  <c r="S2531" i="7"/>
  <c r="R2531" i="7"/>
  <c r="L2531" i="7"/>
  <c r="K2531" i="7"/>
  <c r="J2531" i="7" s="1"/>
  <c r="D2531" i="7"/>
  <c r="C2531" i="7"/>
  <c r="B2531" i="7"/>
  <c r="AR2530" i="7"/>
  <c r="AQ2530" i="7"/>
  <c r="AP2530" i="7" s="1"/>
  <c r="AL2530" i="7"/>
  <c r="AK2530" i="7"/>
  <c r="AJ2530" i="7" s="1"/>
  <c r="AD2530" i="7"/>
  <c r="AC2530" i="7"/>
  <c r="AB2530" i="7" s="1"/>
  <c r="T2530" i="7"/>
  <c r="S2530" i="7"/>
  <c r="L2530" i="7"/>
  <c r="K2530" i="7"/>
  <c r="J2530" i="7"/>
  <c r="D2530" i="7"/>
  <c r="C2530" i="7"/>
  <c r="B2530" i="7" s="1"/>
  <c r="AR2529" i="7"/>
  <c r="AQ2529" i="7"/>
  <c r="AP2529" i="7"/>
  <c r="AL2529" i="7"/>
  <c r="AK2529" i="7"/>
  <c r="AI2529" i="7" s="1"/>
  <c r="AD2529" i="7"/>
  <c r="AC2529" i="7"/>
  <c r="AA2529" i="7" s="1"/>
  <c r="AB2529" i="7"/>
  <c r="T2529" i="7"/>
  <c r="S2529" i="7"/>
  <c r="R2529" i="7"/>
  <c r="L2529" i="7"/>
  <c r="K2529" i="7"/>
  <c r="J2529" i="7" s="1"/>
  <c r="D2529" i="7"/>
  <c r="C2529" i="7"/>
  <c r="B2529" i="7" s="1"/>
  <c r="AR2528" i="7"/>
  <c r="AQ2528" i="7"/>
  <c r="AP2528" i="7" s="1"/>
  <c r="AL2528" i="7"/>
  <c r="AK2528" i="7"/>
  <c r="AJ2528" i="7" s="1"/>
  <c r="AD2528" i="7"/>
  <c r="AC2528" i="7"/>
  <c r="T2528" i="7"/>
  <c r="S2528" i="7"/>
  <c r="R2528" i="7"/>
  <c r="L2528" i="7"/>
  <c r="K2528" i="7"/>
  <c r="J2528" i="7" s="1"/>
  <c r="D2528" i="7"/>
  <c r="C2528" i="7"/>
  <c r="B2528" i="7"/>
  <c r="AR2527" i="7"/>
  <c r="AQ2527" i="7"/>
  <c r="AP2527" i="7" s="1"/>
  <c r="AL2527" i="7"/>
  <c r="AK2527" i="7"/>
  <c r="AI2527" i="7" s="1"/>
  <c r="AD2527" i="7"/>
  <c r="AC2527" i="7"/>
  <c r="AB2527" i="7" s="1"/>
  <c r="T2527" i="7"/>
  <c r="S2527" i="7"/>
  <c r="R2527" i="7" s="1"/>
  <c r="L2527" i="7"/>
  <c r="K2527" i="7"/>
  <c r="J2527" i="7"/>
  <c r="D2527" i="7"/>
  <c r="C2527" i="7"/>
  <c r="B2527" i="7" s="1"/>
  <c r="AR2526" i="7"/>
  <c r="AQ2526" i="7"/>
  <c r="AP2526" i="7"/>
  <c r="AL2526" i="7"/>
  <c r="AK2526" i="7"/>
  <c r="AI2526" i="7" s="1"/>
  <c r="AD2526" i="7"/>
  <c r="AC2526" i="7"/>
  <c r="T2526" i="7"/>
  <c r="S2526" i="7"/>
  <c r="R2526" i="7"/>
  <c r="L2526" i="7"/>
  <c r="K2526" i="7"/>
  <c r="J2526" i="7" s="1"/>
  <c r="D2526" i="7"/>
  <c r="C2526" i="7"/>
  <c r="B2526" i="7"/>
  <c r="AR2525" i="7"/>
  <c r="AQ2525" i="7"/>
  <c r="AP2525" i="7" s="1"/>
  <c r="AL2525" i="7"/>
  <c r="AK2525" i="7"/>
  <c r="AJ2525" i="7" s="1"/>
  <c r="AD2525" i="7"/>
  <c r="AC2525" i="7"/>
  <c r="AA2525" i="7" s="1"/>
  <c r="T2525" i="7"/>
  <c r="S2525" i="7"/>
  <c r="R2525" i="7" s="1"/>
  <c r="L2525" i="7"/>
  <c r="K2525" i="7"/>
  <c r="J2525" i="7"/>
  <c r="D2525" i="7"/>
  <c r="C2525" i="7"/>
  <c r="B2525" i="7" s="1"/>
  <c r="AR2524" i="7"/>
  <c r="AQ2524" i="7"/>
  <c r="AP2524" i="7"/>
  <c r="AL2524" i="7"/>
  <c r="AK2524" i="7"/>
  <c r="AJ2524" i="7" s="1"/>
  <c r="AD2524" i="7"/>
  <c r="AC2524" i="7"/>
  <c r="AB2524" i="7" s="1"/>
  <c r="T2524" i="7"/>
  <c r="S2524" i="7"/>
  <c r="R2524" i="7" s="1"/>
  <c r="L2524" i="7"/>
  <c r="K2524" i="7"/>
  <c r="J2524" i="7"/>
  <c r="D2524" i="7"/>
  <c r="C2524" i="7"/>
  <c r="B2524" i="7" s="1"/>
  <c r="AR2523" i="7"/>
  <c r="AQ2523" i="7"/>
  <c r="AP2523" i="7"/>
  <c r="AL2523" i="7"/>
  <c r="AK2523" i="7"/>
  <c r="AD2523" i="7"/>
  <c r="AC2523" i="7"/>
  <c r="T2523" i="7"/>
  <c r="S2523" i="7"/>
  <c r="R2523" i="7"/>
  <c r="L2523" i="7"/>
  <c r="K2523" i="7"/>
  <c r="J2523" i="7" s="1"/>
  <c r="D2523" i="7"/>
  <c r="C2523" i="7"/>
  <c r="B2523" i="7"/>
  <c r="AR2522" i="7"/>
  <c r="AQ2522" i="7"/>
  <c r="AP2522" i="7" s="1"/>
  <c r="AL2522" i="7"/>
  <c r="AK2522" i="7"/>
  <c r="AD2522" i="7"/>
  <c r="AC2522" i="7"/>
  <c r="T2522" i="7"/>
  <c r="S2522" i="7"/>
  <c r="R2522" i="7" s="1"/>
  <c r="L2522" i="7"/>
  <c r="K2522" i="7"/>
  <c r="J2522" i="7"/>
  <c r="D2522" i="7"/>
  <c r="C2522" i="7"/>
  <c r="B2522" i="7" s="1"/>
  <c r="AR2521" i="7"/>
  <c r="AQ2521" i="7"/>
  <c r="AP2521" i="7"/>
  <c r="AL2521" i="7"/>
  <c r="AK2521" i="7"/>
  <c r="AJ2521" i="7" s="1"/>
  <c r="AD2521" i="7"/>
  <c r="AC2521" i="7"/>
  <c r="AB2521" i="7" s="1"/>
  <c r="T2521" i="7"/>
  <c r="S2521" i="7"/>
  <c r="R2521" i="7" s="1"/>
  <c r="L2521" i="7"/>
  <c r="K2521" i="7"/>
  <c r="J2521" i="7"/>
  <c r="D2521" i="7"/>
  <c r="C2521" i="7"/>
  <c r="B2521" i="7" s="1"/>
  <c r="AR2520" i="7"/>
  <c r="AQ2520" i="7"/>
  <c r="AP2520" i="7"/>
  <c r="AL2520" i="7"/>
  <c r="AK2520" i="7"/>
  <c r="AD2520" i="7"/>
  <c r="AC2520" i="7"/>
  <c r="AA2520" i="7" s="1"/>
  <c r="T2520" i="7"/>
  <c r="S2520" i="7"/>
  <c r="R2520" i="7"/>
  <c r="L2520" i="7"/>
  <c r="K2520" i="7"/>
  <c r="J2520" i="7" s="1"/>
  <c r="D2520" i="7"/>
  <c r="C2520" i="7"/>
  <c r="B2520" i="7"/>
  <c r="AR2519" i="7"/>
  <c r="AQ2519" i="7"/>
  <c r="AP2519" i="7" s="1"/>
  <c r="AL2519" i="7"/>
  <c r="AK2519" i="7"/>
  <c r="AI2519" i="7" s="1"/>
  <c r="AD2519" i="7"/>
  <c r="AC2519" i="7"/>
  <c r="T2519" i="7"/>
  <c r="S2519" i="7"/>
  <c r="R2519" i="7" s="1"/>
  <c r="L2519" i="7"/>
  <c r="K2519" i="7"/>
  <c r="J2519" i="7"/>
  <c r="D2519" i="7"/>
  <c r="C2519" i="7"/>
  <c r="B2519" i="7" s="1"/>
  <c r="AR2518" i="7"/>
  <c r="AQ2518" i="7"/>
  <c r="AP2518" i="7"/>
  <c r="AL2518" i="7"/>
  <c r="AK2518" i="7"/>
  <c r="AD2518" i="7"/>
  <c r="AC2518" i="7"/>
  <c r="AB2518" i="7" s="1"/>
  <c r="T2518" i="7"/>
  <c r="S2518" i="7"/>
  <c r="R2518" i="7" s="1"/>
  <c r="L2518" i="7"/>
  <c r="K2518" i="7"/>
  <c r="J2518" i="7"/>
  <c r="D2518" i="7"/>
  <c r="C2518" i="7"/>
  <c r="B2518" i="7" s="1"/>
  <c r="AR2517" i="7"/>
  <c r="AQ2517" i="7"/>
  <c r="AP2517" i="7"/>
  <c r="AL2517" i="7"/>
  <c r="AK2517" i="7"/>
  <c r="AD2517" i="7"/>
  <c r="AC2517" i="7"/>
  <c r="T2517" i="7"/>
  <c r="S2517" i="7"/>
  <c r="R2517" i="7"/>
  <c r="L2517" i="7"/>
  <c r="K2517" i="7"/>
  <c r="D2517" i="7"/>
  <c r="C2517" i="7"/>
  <c r="B2517" i="7"/>
  <c r="AR2516" i="7"/>
  <c r="AQ2516" i="7"/>
  <c r="AP2516" i="7" s="1"/>
  <c r="AL2516" i="7"/>
  <c r="AK2516" i="7"/>
  <c r="AJ2516" i="7" s="1"/>
  <c r="AD2516" i="7"/>
  <c r="AC2516" i="7"/>
  <c r="AB2516" i="7" s="1"/>
  <c r="T2516" i="7"/>
  <c r="S2516" i="7"/>
  <c r="R2516" i="7" s="1"/>
  <c r="L2516" i="7"/>
  <c r="K2516" i="7"/>
  <c r="J2516" i="7"/>
  <c r="D2516" i="7"/>
  <c r="C2516" i="7"/>
  <c r="B2516" i="7" s="1"/>
  <c r="AR2515" i="7"/>
  <c r="AQ2515" i="7"/>
  <c r="AP2515" i="7"/>
  <c r="AL2515" i="7"/>
  <c r="AK2515" i="7"/>
  <c r="AJ2515" i="7" s="1"/>
  <c r="AD2515" i="7"/>
  <c r="AC2515" i="7"/>
  <c r="AB2515" i="7" s="1"/>
  <c r="T2515" i="7"/>
  <c r="S2515" i="7"/>
  <c r="R2515" i="7" s="1"/>
  <c r="L2515" i="7"/>
  <c r="K2515" i="7"/>
  <c r="J2515" i="7"/>
  <c r="D2515" i="7"/>
  <c r="C2515" i="7"/>
  <c r="B2515" i="7" s="1"/>
  <c r="AR2514" i="7"/>
  <c r="AQ2514" i="7"/>
  <c r="AP2514" i="7"/>
  <c r="AL2514" i="7"/>
  <c r="AK2514" i="7"/>
  <c r="AD2514" i="7"/>
  <c r="AC2514" i="7"/>
  <c r="T2514" i="7"/>
  <c r="S2514" i="7"/>
  <c r="R2514" i="7"/>
  <c r="L2514" i="7"/>
  <c r="K2514" i="7"/>
  <c r="D2514" i="7"/>
  <c r="C2514" i="7"/>
  <c r="B2514" i="7"/>
  <c r="AR2513" i="7"/>
  <c r="AQ2513" i="7"/>
  <c r="AL2513" i="7"/>
  <c r="AK2513" i="7"/>
  <c r="AJ2513" i="7" s="1"/>
  <c r="AD2513" i="7"/>
  <c r="AC2513" i="7"/>
  <c r="T2513" i="7"/>
  <c r="S2513" i="7"/>
  <c r="R2513" i="7" s="1"/>
  <c r="L2513" i="7"/>
  <c r="K2513" i="7"/>
  <c r="J2513" i="7"/>
  <c r="D2513" i="7"/>
  <c r="C2513" i="7"/>
  <c r="B2513" i="7" s="1"/>
  <c r="AR2512" i="7"/>
  <c r="AQ2512" i="7"/>
  <c r="AP2512" i="7"/>
  <c r="AL2512" i="7"/>
  <c r="AK2512" i="7"/>
  <c r="AD2512" i="7"/>
  <c r="AC2512" i="7"/>
  <c r="AB2512" i="7" s="1"/>
  <c r="T2512" i="7"/>
  <c r="S2512" i="7"/>
  <c r="R2512" i="7" s="1"/>
  <c r="L2512" i="7"/>
  <c r="K2512" i="7"/>
  <c r="J2512" i="7"/>
  <c r="D2512" i="7"/>
  <c r="C2512" i="7"/>
  <c r="B2512" i="7" s="1"/>
  <c r="AR2511" i="7"/>
  <c r="AQ2511" i="7"/>
  <c r="AP2511" i="7"/>
  <c r="AL2511" i="7"/>
  <c r="AK2511" i="7"/>
  <c r="AD2511" i="7"/>
  <c r="AC2511" i="7"/>
  <c r="AA2511" i="7" s="1"/>
  <c r="T2511" i="7"/>
  <c r="S2511" i="7"/>
  <c r="R2511" i="7"/>
  <c r="L2511" i="7"/>
  <c r="K2511" i="7"/>
  <c r="J2511" i="7" s="1"/>
  <c r="D2511" i="7"/>
  <c r="C2511" i="7"/>
  <c r="B2511" i="7"/>
  <c r="AR2510" i="7"/>
  <c r="AQ2510" i="7"/>
  <c r="AL2510" i="7"/>
  <c r="AK2510" i="7"/>
  <c r="AD2510" i="7"/>
  <c r="AC2510" i="7"/>
  <c r="T2510" i="7"/>
  <c r="S2510" i="7"/>
  <c r="R2510" i="7" s="1"/>
  <c r="L2510" i="7"/>
  <c r="K2510" i="7"/>
  <c r="J2510" i="7"/>
  <c r="D2510" i="7"/>
  <c r="C2510" i="7"/>
  <c r="B2510" i="7" s="1"/>
  <c r="AR2509" i="7"/>
  <c r="AQ2509" i="7"/>
  <c r="AP2509" i="7"/>
  <c r="AL2509" i="7"/>
  <c r="AK2509" i="7"/>
  <c r="AJ2509" i="7" s="1"/>
  <c r="AD2509" i="7"/>
  <c r="AC2509" i="7"/>
  <c r="AB2509" i="7" s="1"/>
  <c r="T2509" i="7"/>
  <c r="S2509" i="7"/>
  <c r="R2509" i="7" s="1"/>
  <c r="L2509" i="7"/>
  <c r="K2509" i="7"/>
  <c r="J2509" i="7"/>
  <c r="D2509" i="7"/>
  <c r="C2509" i="7"/>
  <c r="B2509" i="7" s="1"/>
  <c r="AR2508" i="7"/>
  <c r="AQ2508" i="7"/>
  <c r="AP2508" i="7"/>
  <c r="AL2508" i="7"/>
  <c r="AK2508" i="7"/>
  <c r="AD2508" i="7"/>
  <c r="AC2508" i="7"/>
  <c r="T2508" i="7"/>
  <c r="S2508" i="7"/>
  <c r="R2508" i="7"/>
  <c r="L2508" i="7"/>
  <c r="K2508" i="7"/>
  <c r="J2508" i="7" s="1"/>
  <c r="D2508" i="7"/>
  <c r="C2508" i="7"/>
  <c r="B2508" i="7"/>
  <c r="AR2507" i="7"/>
  <c r="AQ2507" i="7"/>
  <c r="AP2507" i="7" s="1"/>
  <c r="AL2507" i="7"/>
  <c r="AK2507" i="7"/>
  <c r="AD2507" i="7"/>
  <c r="AC2507" i="7"/>
  <c r="AB2507" i="7" s="1"/>
  <c r="T2507" i="7"/>
  <c r="S2507" i="7"/>
  <c r="R2507" i="7" s="1"/>
  <c r="L2507" i="7"/>
  <c r="K2507" i="7"/>
  <c r="J2507" i="7"/>
  <c r="D2507" i="7"/>
  <c r="C2507" i="7"/>
  <c r="B2507" i="7" s="1"/>
  <c r="AR2506" i="7"/>
  <c r="AQ2506" i="7"/>
  <c r="AP2506" i="7"/>
  <c r="AL2506" i="7"/>
  <c r="AK2506" i="7"/>
  <c r="AJ2506" i="7" s="1"/>
  <c r="AD2506" i="7"/>
  <c r="AC2506" i="7"/>
  <c r="AB2506" i="7" s="1"/>
  <c r="T2506" i="7"/>
  <c r="S2506" i="7"/>
  <c r="R2506" i="7" s="1"/>
  <c r="L2506" i="7"/>
  <c r="K2506" i="7"/>
  <c r="J2506" i="7"/>
  <c r="D2506" i="7"/>
  <c r="C2506" i="7"/>
  <c r="B2506" i="7" s="1"/>
  <c r="AR2505" i="7"/>
  <c r="AQ2505" i="7"/>
  <c r="AP2505" i="7"/>
  <c r="AL2505" i="7"/>
  <c r="AK2505" i="7"/>
  <c r="AD2505" i="7"/>
  <c r="AC2505" i="7"/>
  <c r="T2505" i="7"/>
  <c r="S2505" i="7"/>
  <c r="R2505" i="7"/>
  <c r="L2505" i="7"/>
  <c r="K2505" i="7"/>
  <c r="J2505" i="7" s="1"/>
  <c r="D2505" i="7"/>
  <c r="C2505" i="7"/>
  <c r="B2505" i="7"/>
  <c r="AR2504" i="7"/>
  <c r="AQ2504" i="7"/>
  <c r="AP2504" i="7" s="1"/>
  <c r="AL2504" i="7"/>
  <c r="AK2504" i="7"/>
  <c r="AJ2504" i="7" s="1"/>
  <c r="AD2504" i="7"/>
  <c r="AC2504" i="7"/>
  <c r="T2504" i="7"/>
  <c r="S2504" i="7"/>
  <c r="R2504" i="7" s="1"/>
  <c r="L2504" i="7"/>
  <c r="K2504" i="7"/>
  <c r="J2504" i="7" s="1"/>
  <c r="D2504" i="7"/>
  <c r="C2504" i="7"/>
  <c r="B2504" i="7" s="1"/>
  <c r="AR2503" i="7"/>
  <c r="AQ2503" i="7"/>
  <c r="AP2503" i="7"/>
  <c r="AL2503" i="7"/>
  <c r="AK2503" i="7"/>
  <c r="AD2503" i="7"/>
  <c r="AC2503" i="7"/>
  <c r="AB2503" i="7" s="1"/>
  <c r="T2503" i="7"/>
  <c r="S2503" i="7"/>
  <c r="L2503" i="7"/>
  <c r="K2503" i="7"/>
  <c r="J2503" i="7"/>
  <c r="D2503" i="7"/>
  <c r="C2503" i="7"/>
  <c r="AR2502" i="7"/>
  <c r="AQ2502" i="7"/>
  <c r="AP2502" i="7"/>
  <c r="AL2502" i="7"/>
  <c r="AK2502" i="7"/>
  <c r="AD2502" i="7"/>
  <c r="AC2502" i="7"/>
  <c r="T2502" i="7"/>
  <c r="S2502" i="7"/>
  <c r="R2502" i="7"/>
  <c r="L2502" i="7"/>
  <c r="K2502" i="7"/>
  <c r="D2502" i="7"/>
  <c r="C2502" i="7"/>
  <c r="B2502" i="7"/>
  <c r="AR2501" i="7"/>
  <c r="AQ2501" i="7"/>
  <c r="AL2501" i="7"/>
  <c r="AK2501" i="7"/>
  <c r="AD2501" i="7"/>
  <c r="AC2501" i="7"/>
  <c r="T2501" i="7"/>
  <c r="S2501" i="7"/>
  <c r="R2501" i="7" s="1"/>
  <c r="L2501" i="7"/>
  <c r="K2501" i="7"/>
  <c r="J2501" i="7"/>
  <c r="D2501" i="7"/>
  <c r="C2501" i="7"/>
  <c r="B2501" i="7" s="1"/>
  <c r="AR2500" i="7"/>
  <c r="AQ2500" i="7"/>
  <c r="AP2500" i="7" s="1"/>
  <c r="AL2500" i="7"/>
  <c r="AK2500" i="7"/>
  <c r="AD2500" i="7"/>
  <c r="AC2500" i="7"/>
  <c r="AB2500" i="7" s="1"/>
  <c r="T2500" i="7"/>
  <c r="S2500" i="7"/>
  <c r="R2500" i="7" s="1"/>
  <c r="L2500" i="7"/>
  <c r="K2500" i="7"/>
  <c r="J2500" i="7"/>
  <c r="D2500" i="7"/>
  <c r="C2500" i="7"/>
  <c r="B2500" i="7" s="1"/>
  <c r="AR2499" i="7"/>
  <c r="AQ2499" i="7"/>
  <c r="AP2499" i="7"/>
  <c r="AL2499" i="7"/>
  <c r="AK2499" i="7"/>
  <c r="AD2499" i="7"/>
  <c r="AC2499" i="7"/>
  <c r="T2499" i="7"/>
  <c r="S2499" i="7"/>
  <c r="R2499" i="7" s="1"/>
  <c r="L2499" i="7"/>
  <c r="K2499" i="7"/>
  <c r="J2499" i="7" s="1"/>
  <c r="D2499" i="7"/>
  <c r="C2499" i="7"/>
  <c r="B2499" i="7" s="1"/>
  <c r="AR2498" i="7"/>
  <c r="AQ2498" i="7"/>
  <c r="AP2498" i="7" s="1"/>
  <c r="AL2498" i="7"/>
  <c r="AK2498" i="7"/>
  <c r="AD2498" i="7"/>
  <c r="AC2498" i="7"/>
  <c r="AA2498" i="7" s="1"/>
  <c r="T2498" i="7"/>
  <c r="S2498" i="7"/>
  <c r="R2498" i="7" s="1"/>
  <c r="L2498" i="7"/>
  <c r="K2498" i="7"/>
  <c r="J2498" i="7"/>
  <c r="D2498" i="7"/>
  <c r="C2498" i="7"/>
  <c r="B2498" i="7" s="1"/>
  <c r="AR2497" i="7"/>
  <c r="AQ2497" i="7"/>
  <c r="AP2497" i="7"/>
  <c r="AL2497" i="7"/>
  <c r="AK2497" i="7"/>
  <c r="AD2497" i="7"/>
  <c r="AC2497" i="7"/>
  <c r="AB2497" i="7" s="1"/>
  <c r="T2497" i="7"/>
  <c r="S2497" i="7"/>
  <c r="L2497" i="7"/>
  <c r="K2497" i="7"/>
  <c r="J2497" i="7"/>
  <c r="D2497" i="7"/>
  <c r="C2497" i="7"/>
  <c r="B2497" i="7" s="1"/>
  <c r="AR2496" i="7"/>
  <c r="AQ2496" i="7"/>
  <c r="AP2496" i="7"/>
  <c r="AL2496" i="7"/>
  <c r="AK2496" i="7"/>
  <c r="AD2496" i="7"/>
  <c r="AC2496" i="7"/>
  <c r="AA2496" i="7" s="1"/>
  <c r="T2496" i="7"/>
  <c r="S2496" i="7"/>
  <c r="R2496" i="7"/>
  <c r="L2496" i="7"/>
  <c r="K2496" i="7"/>
  <c r="D2496" i="7"/>
  <c r="C2496" i="7"/>
  <c r="B2496" i="7"/>
  <c r="AR2495" i="7"/>
  <c r="AQ2495" i="7"/>
  <c r="AP2495" i="7" s="1"/>
  <c r="AL2495" i="7"/>
  <c r="AK2495" i="7"/>
  <c r="AD2495" i="7"/>
  <c r="AC2495" i="7"/>
  <c r="AA2495" i="7" s="1"/>
  <c r="AB2495" i="7"/>
  <c r="Z2495" i="7" s="1"/>
  <c r="T2495" i="7"/>
  <c r="S2495" i="7"/>
  <c r="R2495" i="7" s="1"/>
  <c r="L2495" i="7"/>
  <c r="K2495" i="7"/>
  <c r="D2495" i="7"/>
  <c r="C2495" i="7"/>
  <c r="B2495" i="7" s="1"/>
  <c r="AR2494" i="7"/>
  <c r="AQ2494" i="7"/>
  <c r="AP2494" i="7" s="1"/>
  <c r="AL2494" i="7"/>
  <c r="AK2494" i="7"/>
  <c r="AD2494" i="7"/>
  <c r="AC2494" i="7"/>
  <c r="AB2494" i="7" s="1"/>
  <c r="T2494" i="7"/>
  <c r="S2494" i="7"/>
  <c r="R2494" i="7" s="1"/>
  <c r="L2494" i="7"/>
  <c r="K2494" i="7"/>
  <c r="J2494" i="7"/>
  <c r="D2494" i="7"/>
  <c r="C2494" i="7"/>
  <c r="B2494" i="7" s="1"/>
  <c r="AR2493" i="7"/>
  <c r="AQ2493" i="7"/>
  <c r="AP2493" i="7"/>
  <c r="AL2493" i="7"/>
  <c r="AK2493" i="7"/>
  <c r="AD2493" i="7"/>
  <c r="AC2493" i="7"/>
  <c r="T2493" i="7"/>
  <c r="S2493" i="7"/>
  <c r="R2493" i="7" s="1"/>
  <c r="L2493" i="7"/>
  <c r="K2493" i="7"/>
  <c r="J2493" i="7" s="1"/>
  <c r="D2493" i="7"/>
  <c r="C2493" i="7"/>
  <c r="B2493" i="7" s="1"/>
  <c r="AR2492" i="7"/>
  <c r="AQ2492" i="7"/>
  <c r="AP2492" i="7" s="1"/>
  <c r="AL2492" i="7"/>
  <c r="AK2492" i="7"/>
  <c r="AI2492" i="7" s="1"/>
  <c r="AD2492" i="7"/>
  <c r="AC2492" i="7"/>
  <c r="T2492" i="7"/>
  <c r="S2492" i="7"/>
  <c r="R2492" i="7" s="1"/>
  <c r="L2492" i="7"/>
  <c r="K2492" i="7"/>
  <c r="J2492" i="7"/>
  <c r="D2492" i="7"/>
  <c r="C2492" i="7"/>
  <c r="B2492" i="7" s="1"/>
  <c r="AR2491" i="7"/>
  <c r="AQ2491" i="7"/>
  <c r="AP2491" i="7"/>
  <c r="AL2491" i="7"/>
  <c r="AK2491" i="7"/>
  <c r="AD2491" i="7"/>
  <c r="AC2491" i="7"/>
  <c r="AB2491" i="7" s="1"/>
  <c r="T2491" i="7"/>
  <c r="S2491" i="7"/>
  <c r="L2491" i="7"/>
  <c r="K2491" i="7"/>
  <c r="J2491" i="7"/>
  <c r="D2491" i="7"/>
  <c r="C2491" i="7"/>
  <c r="B2491" i="7" s="1"/>
  <c r="AR2490" i="7"/>
  <c r="AQ2490" i="7"/>
  <c r="AP2490" i="7"/>
  <c r="AL2490" i="7"/>
  <c r="AK2490" i="7"/>
  <c r="AD2490" i="7"/>
  <c r="AC2490" i="7"/>
  <c r="AA2490" i="7" s="1"/>
  <c r="T2490" i="7"/>
  <c r="S2490" i="7"/>
  <c r="R2490" i="7"/>
  <c r="L2490" i="7"/>
  <c r="K2490" i="7"/>
  <c r="D2490" i="7"/>
  <c r="C2490" i="7"/>
  <c r="B2490" i="7"/>
  <c r="AR2489" i="7"/>
  <c r="AQ2489" i="7"/>
  <c r="AP2489" i="7" s="1"/>
  <c r="AL2489" i="7"/>
  <c r="AK2489" i="7"/>
  <c r="AD2489" i="7"/>
  <c r="AC2489" i="7"/>
  <c r="T2489" i="7"/>
  <c r="S2489" i="7"/>
  <c r="R2489" i="7" s="1"/>
  <c r="L2489" i="7"/>
  <c r="K2489" i="7"/>
  <c r="J2489" i="7" s="1"/>
  <c r="D2489" i="7"/>
  <c r="C2489" i="7"/>
  <c r="B2489" i="7" s="1"/>
  <c r="AR2488" i="7"/>
  <c r="AQ2488" i="7"/>
  <c r="AP2488" i="7" s="1"/>
  <c r="AL2488" i="7"/>
  <c r="AK2488" i="7"/>
  <c r="AD2488" i="7"/>
  <c r="AC2488" i="7"/>
  <c r="AB2488" i="7" s="1"/>
  <c r="T2488" i="7"/>
  <c r="S2488" i="7"/>
  <c r="R2488" i="7" s="1"/>
  <c r="L2488" i="7"/>
  <c r="K2488" i="7"/>
  <c r="J2488" i="7"/>
  <c r="D2488" i="7"/>
  <c r="C2488" i="7"/>
  <c r="B2488" i="7" s="1"/>
  <c r="AR2487" i="7"/>
  <c r="AQ2487" i="7"/>
  <c r="AP2487" i="7"/>
  <c r="AL2487" i="7"/>
  <c r="AK2487" i="7"/>
  <c r="AD2487" i="7"/>
  <c r="AC2487" i="7"/>
  <c r="T2487" i="7"/>
  <c r="S2487" i="7"/>
  <c r="R2487" i="7" s="1"/>
  <c r="L2487" i="7"/>
  <c r="K2487" i="7"/>
  <c r="J2487" i="7" s="1"/>
  <c r="D2487" i="7"/>
  <c r="C2487" i="7"/>
  <c r="B2487" i="7" s="1"/>
  <c r="AR2486" i="7"/>
  <c r="AQ2486" i="7"/>
  <c r="AP2486" i="7" s="1"/>
  <c r="AL2486" i="7"/>
  <c r="AK2486" i="7"/>
  <c r="AD2486" i="7"/>
  <c r="AC2486" i="7"/>
  <c r="T2486" i="7"/>
  <c r="S2486" i="7"/>
  <c r="R2486" i="7" s="1"/>
  <c r="L2486" i="7"/>
  <c r="K2486" i="7"/>
  <c r="J2486" i="7"/>
  <c r="D2486" i="7"/>
  <c r="C2486" i="7"/>
  <c r="B2486" i="7" s="1"/>
  <c r="AR2485" i="7"/>
  <c r="AQ2485" i="7"/>
  <c r="AP2485" i="7"/>
  <c r="AL2485" i="7"/>
  <c r="AK2485" i="7"/>
  <c r="AD2485" i="7"/>
  <c r="AC2485" i="7"/>
  <c r="AB2485" i="7" s="1"/>
  <c r="T2485" i="7"/>
  <c r="S2485" i="7"/>
  <c r="L2485" i="7"/>
  <c r="K2485" i="7"/>
  <c r="J2485" i="7"/>
  <c r="D2485" i="7"/>
  <c r="C2485" i="7"/>
  <c r="B2485" i="7" s="1"/>
  <c r="AR2484" i="7"/>
  <c r="AQ2484" i="7"/>
  <c r="AP2484" i="7"/>
  <c r="AL2484" i="7"/>
  <c r="AK2484" i="7"/>
  <c r="AD2484" i="7"/>
  <c r="AC2484" i="7"/>
  <c r="AA2484" i="7" s="1"/>
  <c r="T2484" i="7"/>
  <c r="S2484" i="7"/>
  <c r="R2484" i="7"/>
  <c r="L2484" i="7"/>
  <c r="K2484" i="7"/>
  <c r="D2484" i="7"/>
  <c r="C2484" i="7"/>
  <c r="B2484" i="7"/>
  <c r="AR2483" i="7"/>
  <c r="AQ2483" i="7"/>
  <c r="AP2483" i="7" s="1"/>
  <c r="AL2483" i="7"/>
  <c r="AK2483" i="7"/>
  <c r="AD2483" i="7"/>
  <c r="AC2483" i="7"/>
  <c r="T2483" i="7"/>
  <c r="S2483" i="7"/>
  <c r="R2483" i="7" s="1"/>
  <c r="L2483" i="7"/>
  <c r="K2483" i="7"/>
  <c r="J2483" i="7" s="1"/>
  <c r="D2483" i="7"/>
  <c r="C2483" i="7"/>
  <c r="B2483" i="7" s="1"/>
  <c r="AR2482" i="7"/>
  <c r="AQ2482" i="7"/>
  <c r="AP2482" i="7" s="1"/>
  <c r="AL2482" i="7"/>
  <c r="AK2482" i="7"/>
  <c r="AJ2482" i="7" s="1"/>
  <c r="AD2482" i="7"/>
  <c r="AC2482" i="7"/>
  <c r="AB2482" i="7" s="1"/>
  <c r="T2482" i="7"/>
  <c r="S2482" i="7"/>
  <c r="R2482" i="7" s="1"/>
  <c r="L2482" i="7"/>
  <c r="K2482" i="7"/>
  <c r="J2482" i="7"/>
  <c r="D2482" i="7"/>
  <c r="C2482" i="7"/>
  <c r="B2482" i="7" s="1"/>
  <c r="AR2481" i="7"/>
  <c r="AQ2481" i="7"/>
  <c r="AP2481" i="7"/>
  <c r="AL2481" i="7"/>
  <c r="AK2481" i="7"/>
  <c r="AD2481" i="7"/>
  <c r="AC2481" i="7"/>
  <c r="AA2481" i="7" s="1"/>
  <c r="T2481" i="7"/>
  <c r="S2481" i="7"/>
  <c r="R2481" i="7" s="1"/>
  <c r="L2481" i="7"/>
  <c r="K2481" i="7"/>
  <c r="J2481" i="7" s="1"/>
  <c r="D2481" i="7"/>
  <c r="C2481" i="7"/>
  <c r="B2481" i="7" s="1"/>
  <c r="AR2480" i="7"/>
  <c r="AQ2480" i="7"/>
  <c r="AP2480" i="7" s="1"/>
  <c r="AL2480" i="7"/>
  <c r="AK2480" i="7"/>
  <c r="AD2480" i="7"/>
  <c r="AC2480" i="7"/>
  <c r="AA2480" i="7" s="1"/>
  <c r="T2480" i="7"/>
  <c r="S2480" i="7"/>
  <c r="R2480" i="7" s="1"/>
  <c r="L2480" i="7"/>
  <c r="K2480" i="7"/>
  <c r="J2480" i="7"/>
  <c r="D2480" i="7"/>
  <c r="C2480" i="7"/>
  <c r="B2480" i="7" s="1"/>
  <c r="AR2479" i="7"/>
  <c r="AQ2479" i="7"/>
  <c r="AP2479" i="7"/>
  <c r="AL2479" i="7"/>
  <c r="AK2479" i="7"/>
  <c r="AD2479" i="7"/>
  <c r="AC2479" i="7"/>
  <c r="AB2479" i="7" s="1"/>
  <c r="T2479" i="7"/>
  <c r="S2479" i="7"/>
  <c r="L2479" i="7"/>
  <c r="K2479" i="7"/>
  <c r="J2479" i="7"/>
  <c r="D2479" i="7"/>
  <c r="C2479" i="7"/>
  <c r="B2479" i="7" s="1"/>
  <c r="AR2478" i="7"/>
  <c r="AQ2478" i="7"/>
  <c r="AP2478" i="7"/>
  <c r="AL2478" i="7"/>
  <c r="AK2478" i="7"/>
  <c r="AD2478" i="7"/>
  <c r="AC2478" i="7"/>
  <c r="AA2478" i="7" s="1"/>
  <c r="T2478" i="7"/>
  <c r="S2478" i="7"/>
  <c r="R2478" i="7"/>
  <c r="L2478" i="7"/>
  <c r="K2478" i="7"/>
  <c r="D2478" i="7"/>
  <c r="C2478" i="7"/>
  <c r="B2478" i="7"/>
  <c r="AR2477" i="7"/>
  <c r="AQ2477" i="7"/>
  <c r="AP2477" i="7" s="1"/>
  <c r="AL2477" i="7"/>
  <c r="AK2477" i="7"/>
  <c r="AI2477" i="7" s="1"/>
  <c r="AD2477" i="7"/>
  <c r="AC2477" i="7"/>
  <c r="AA2477" i="7" s="1"/>
  <c r="T2477" i="7"/>
  <c r="S2477" i="7"/>
  <c r="R2477" i="7" s="1"/>
  <c r="L2477" i="7"/>
  <c r="K2477" i="7"/>
  <c r="D2477" i="7"/>
  <c r="C2477" i="7"/>
  <c r="B2477" i="7" s="1"/>
  <c r="AR2476" i="7"/>
  <c r="AQ2476" i="7"/>
  <c r="AP2476" i="7" s="1"/>
  <c r="AL2476" i="7"/>
  <c r="AK2476" i="7"/>
  <c r="AD2476" i="7"/>
  <c r="AC2476" i="7"/>
  <c r="AB2476" i="7" s="1"/>
  <c r="T2476" i="7"/>
  <c r="S2476" i="7"/>
  <c r="R2476" i="7" s="1"/>
  <c r="L2476" i="7"/>
  <c r="K2476" i="7"/>
  <c r="J2476" i="7"/>
  <c r="D2476" i="7"/>
  <c r="C2476" i="7"/>
  <c r="B2476" i="7" s="1"/>
  <c r="AR2475" i="7"/>
  <c r="AQ2475" i="7"/>
  <c r="AP2475" i="7"/>
  <c r="AL2475" i="7"/>
  <c r="AK2475" i="7"/>
  <c r="AD2475" i="7"/>
  <c r="AC2475" i="7"/>
  <c r="AA2475" i="7" s="1"/>
  <c r="T2475" i="7"/>
  <c r="S2475" i="7"/>
  <c r="R2475" i="7" s="1"/>
  <c r="L2475" i="7"/>
  <c r="K2475" i="7"/>
  <c r="J2475" i="7" s="1"/>
  <c r="D2475" i="7"/>
  <c r="C2475" i="7"/>
  <c r="B2475" i="7" s="1"/>
  <c r="AR2474" i="7"/>
  <c r="AQ2474" i="7"/>
  <c r="AP2474" i="7" s="1"/>
  <c r="AL2474" i="7"/>
  <c r="AK2474" i="7"/>
  <c r="AD2474" i="7"/>
  <c r="AC2474" i="7"/>
  <c r="AB2474" i="7" s="1"/>
  <c r="T2474" i="7"/>
  <c r="S2474" i="7"/>
  <c r="R2474" i="7" s="1"/>
  <c r="L2474" i="7"/>
  <c r="K2474" i="7"/>
  <c r="J2474" i="7"/>
  <c r="D2474" i="7"/>
  <c r="C2474" i="7"/>
  <c r="B2474" i="7" s="1"/>
  <c r="AR2473" i="7"/>
  <c r="AQ2473" i="7"/>
  <c r="AP2473" i="7"/>
  <c r="AL2473" i="7"/>
  <c r="AK2473" i="7"/>
  <c r="AD2473" i="7"/>
  <c r="AC2473" i="7"/>
  <c r="AB2473" i="7" s="1"/>
  <c r="T2473" i="7"/>
  <c r="S2473" i="7"/>
  <c r="R2473" i="7" s="1"/>
  <c r="L2473" i="7"/>
  <c r="K2473" i="7"/>
  <c r="J2473" i="7"/>
  <c r="D2473" i="7"/>
  <c r="C2473" i="7"/>
  <c r="AR2472" i="7"/>
  <c r="AQ2472" i="7"/>
  <c r="AP2472" i="7"/>
  <c r="AL2472" i="7"/>
  <c r="AK2472" i="7"/>
  <c r="AI2472" i="7" s="1"/>
  <c r="AD2472" i="7"/>
  <c r="AC2472" i="7"/>
  <c r="T2472" i="7"/>
  <c r="S2472" i="7"/>
  <c r="R2472" i="7"/>
  <c r="L2472" i="7"/>
  <c r="K2472" i="7"/>
  <c r="J2472" i="7" s="1"/>
  <c r="D2472" i="7"/>
  <c r="C2472" i="7"/>
  <c r="B2472" i="7" s="1"/>
  <c r="AR2471" i="7"/>
  <c r="AQ2471" i="7"/>
  <c r="AP2471" i="7" s="1"/>
  <c r="AL2471" i="7"/>
  <c r="AK2471" i="7"/>
  <c r="AD2471" i="7"/>
  <c r="AC2471" i="7"/>
  <c r="AB2471" i="7" s="1"/>
  <c r="AA2471" i="7"/>
  <c r="T2471" i="7"/>
  <c r="S2471" i="7"/>
  <c r="R2471" i="7" s="1"/>
  <c r="L2471" i="7"/>
  <c r="K2471" i="7"/>
  <c r="J2471" i="7" s="1"/>
  <c r="D2471" i="7"/>
  <c r="C2471" i="7"/>
  <c r="B2471" i="7" s="1"/>
  <c r="AR2470" i="7"/>
  <c r="AQ2470" i="7"/>
  <c r="AP2470" i="7"/>
  <c r="AL2470" i="7"/>
  <c r="AK2470" i="7"/>
  <c r="AJ2470" i="7" s="1"/>
  <c r="AI2470" i="7"/>
  <c r="AH2470" i="7" s="1"/>
  <c r="AD2470" i="7"/>
  <c r="AC2470" i="7"/>
  <c r="T2470" i="7"/>
  <c r="S2470" i="7"/>
  <c r="R2470" i="7"/>
  <c r="L2470" i="7"/>
  <c r="K2470" i="7"/>
  <c r="J2470" i="7"/>
  <c r="D2470" i="7"/>
  <c r="C2470" i="7"/>
  <c r="B2470" i="7"/>
  <c r="AR2469" i="7"/>
  <c r="AQ2469" i="7"/>
  <c r="AP2469" i="7"/>
  <c r="AL2469" i="7"/>
  <c r="AK2469" i="7"/>
  <c r="AI2469" i="7" s="1"/>
  <c r="AD2469" i="7"/>
  <c r="AC2469" i="7"/>
  <c r="T2469" i="7"/>
  <c r="S2469" i="7"/>
  <c r="R2469" i="7"/>
  <c r="L2469" i="7"/>
  <c r="K2469" i="7"/>
  <c r="D2469" i="7"/>
  <c r="C2469" i="7"/>
  <c r="B2469" i="7"/>
  <c r="AR2468" i="7"/>
  <c r="AQ2468" i="7"/>
  <c r="AP2468" i="7" s="1"/>
  <c r="AL2468" i="7"/>
  <c r="AK2468" i="7"/>
  <c r="AD2468" i="7"/>
  <c r="AC2468" i="7"/>
  <c r="T2468" i="7"/>
  <c r="S2468" i="7"/>
  <c r="R2468" i="7" s="1"/>
  <c r="L2468" i="7"/>
  <c r="J2468" i="7" s="1"/>
  <c r="K2468" i="7"/>
  <c r="D2468" i="7"/>
  <c r="C2468" i="7"/>
  <c r="B2468" i="7" s="1"/>
  <c r="AR2467" i="7"/>
  <c r="AQ2467" i="7"/>
  <c r="AL2467" i="7"/>
  <c r="AK2467" i="7"/>
  <c r="AD2467" i="7"/>
  <c r="AC2467" i="7"/>
  <c r="T2467" i="7"/>
  <c r="S2467" i="7"/>
  <c r="R2467" i="7" s="1"/>
  <c r="L2467" i="7"/>
  <c r="K2467" i="7"/>
  <c r="J2467" i="7"/>
  <c r="D2467" i="7"/>
  <c r="C2467" i="7"/>
  <c r="B2467" i="7" s="1"/>
  <c r="AR2466" i="7"/>
  <c r="AQ2466" i="7"/>
  <c r="AP2466" i="7"/>
  <c r="AL2466" i="7"/>
  <c r="AK2466" i="7"/>
  <c r="AD2466" i="7"/>
  <c r="AC2466" i="7"/>
  <c r="T2466" i="7"/>
  <c r="S2466" i="7"/>
  <c r="R2466" i="7"/>
  <c r="L2466" i="7"/>
  <c r="K2466" i="7"/>
  <c r="J2466" i="7" s="1"/>
  <c r="D2466" i="7"/>
  <c r="C2466" i="7"/>
  <c r="B2466" i="7"/>
  <c r="AR2465" i="7"/>
  <c r="AQ2465" i="7"/>
  <c r="AP2465" i="7" s="1"/>
  <c r="AL2465" i="7"/>
  <c r="AK2465" i="7"/>
  <c r="AD2465" i="7"/>
  <c r="AC2465" i="7"/>
  <c r="T2465" i="7"/>
  <c r="S2465" i="7"/>
  <c r="L2465" i="7"/>
  <c r="K2465" i="7"/>
  <c r="J2465" i="7"/>
  <c r="D2465" i="7"/>
  <c r="C2465" i="7"/>
  <c r="B2465" i="7" s="1"/>
  <c r="AR2464" i="7"/>
  <c r="AP2464" i="7" s="1"/>
  <c r="AQ2464" i="7"/>
  <c r="AL2464" i="7"/>
  <c r="AK2464" i="7"/>
  <c r="AD2464" i="7"/>
  <c r="AC2464" i="7"/>
  <c r="T2464" i="7"/>
  <c r="S2464" i="7"/>
  <c r="R2464" i="7"/>
  <c r="L2464" i="7"/>
  <c r="K2464" i="7"/>
  <c r="J2464" i="7" s="1"/>
  <c r="D2464" i="7"/>
  <c r="C2464" i="7"/>
  <c r="B2464" i="7"/>
  <c r="AR2463" i="7"/>
  <c r="AQ2463" i="7"/>
  <c r="AP2463" i="7" s="1"/>
  <c r="AL2463" i="7"/>
  <c r="AK2463" i="7"/>
  <c r="AD2463" i="7"/>
  <c r="AC2463" i="7"/>
  <c r="T2463" i="7"/>
  <c r="S2463" i="7"/>
  <c r="R2463" i="7" s="1"/>
  <c r="L2463" i="7"/>
  <c r="K2463" i="7"/>
  <c r="J2463" i="7"/>
  <c r="D2463" i="7"/>
  <c r="C2463" i="7"/>
  <c r="AR2462" i="7"/>
  <c r="AQ2462" i="7"/>
  <c r="AP2462" i="7"/>
  <c r="AL2462" i="7"/>
  <c r="AK2462" i="7"/>
  <c r="AJ2462" i="7" s="1"/>
  <c r="AD2462" i="7"/>
  <c r="AC2462" i="7"/>
  <c r="T2462" i="7"/>
  <c r="S2462" i="7"/>
  <c r="R2462" i="7"/>
  <c r="L2462" i="7"/>
  <c r="J2462" i="7" s="1"/>
  <c r="K2462" i="7"/>
  <c r="D2462" i="7"/>
  <c r="C2462" i="7"/>
  <c r="B2462" i="7"/>
  <c r="AR2461" i="7"/>
  <c r="AP2461" i="7" s="1"/>
  <c r="AQ2461" i="7"/>
  <c r="AL2461" i="7"/>
  <c r="AK2461" i="7"/>
  <c r="AD2461" i="7"/>
  <c r="AC2461" i="7"/>
  <c r="T2461" i="7"/>
  <c r="S2461" i="7"/>
  <c r="R2461" i="7"/>
  <c r="L2461" i="7"/>
  <c r="K2461" i="7"/>
  <c r="J2461" i="7" s="1"/>
  <c r="D2461" i="7"/>
  <c r="C2461" i="7"/>
  <c r="B2461" i="7"/>
  <c r="AR2460" i="7"/>
  <c r="AQ2460" i="7"/>
  <c r="AP2460" i="7" s="1"/>
  <c r="AL2460" i="7"/>
  <c r="AK2460" i="7"/>
  <c r="AD2460" i="7"/>
  <c r="AC2460" i="7"/>
  <c r="T2460" i="7"/>
  <c r="S2460" i="7"/>
  <c r="R2460" i="7" s="1"/>
  <c r="L2460" i="7"/>
  <c r="K2460" i="7"/>
  <c r="J2460" i="7"/>
  <c r="D2460" i="7"/>
  <c r="C2460" i="7"/>
  <c r="AR2459" i="7"/>
  <c r="AQ2459" i="7"/>
  <c r="AP2459" i="7"/>
  <c r="AL2459" i="7"/>
  <c r="AK2459" i="7"/>
  <c r="AJ2459" i="7" s="1"/>
  <c r="AD2459" i="7"/>
  <c r="AC2459" i="7"/>
  <c r="T2459" i="7"/>
  <c r="S2459" i="7"/>
  <c r="R2459" i="7"/>
  <c r="L2459" i="7"/>
  <c r="J2459" i="7" s="1"/>
  <c r="K2459" i="7"/>
  <c r="D2459" i="7"/>
  <c r="C2459" i="7"/>
  <c r="B2459" i="7"/>
  <c r="AR2458" i="7"/>
  <c r="AP2458" i="7" s="1"/>
  <c r="AQ2458" i="7"/>
  <c r="AL2458" i="7"/>
  <c r="AK2458" i="7"/>
  <c r="AI2458" i="7" s="1"/>
  <c r="AD2458" i="7"/>
  <c r="AC2458" i="7"/>
  <c r="T2458" i="7"/>
  <c r="S2458" i="7"/>
  <c r="R2458" i="7"/>
  <c r="L2458" i="7"/>
  <c r="K2458" i="7"/>
  <c r="J2458" i="7" s="1"/>
  <c r="D2458" i="7"/>
  <c r="C2458" i="7"/>
  <c r="B2458" i="7"/>
  <c r="AR2457" i="7"/>
  <c r="AQ2457" i="7"/>
  <c r="AP2457" i="7" s="1"/>
  <c r="AL2457" i="7"/>
  <c r="AK2457" i="7"/>
  <c r="AD2457" i="7"/>
  <c r="AC2457" i="7"/>
  <c r="AA2457" i="7" s="1"/>
  <c r="T2457" i="7"/>
  <c r="S2457" i="7"/>
  <c r="R2457" i="7" s="1"/>
  <c r="L2457" i="7"/>
  <c r="K2457" i="7"/>
  <c r="J2457" i="7"/>
  <c r="D2457" i="7"/>
  <c r="C2457" i="7"/>
  <c r="AR2456" i="7"/>
  <c r="AQ2456" i="7"/>
  <c r="AP2456" i="7"/>
  <c r="AL2456" i="7"/>
  <c r="AK2456" i="7"/>
  <c r="AJ2456" i="7" s="1"/>
  <c r="AD2456" i="7"/>
  <c r="AC2456" i="7"/>
  <c r="T2456" i="7"/>
  <c r="S2456" i="7"/>
  <c r="R2456" i="7"/>
  <c r="L2456" i="7"/>
  <c r="J2456" i="7" s="1"/>
  <c r="K2456" i="7"/>
  <c r="D2456" i="7"/>
  <c r="C2456" i="7"/>
  <c r="B2456" i="7"/>
  <c r="AR2455" i="7"/>
  <c r="AP2455" i="7" s="1"/>
  <c r="AQ2455" i="7"/>
  <c r="AL2455" i="7"/>
  <c r="AK2455" i="7"/>
  <c r="AD2455" i="7"/>
  <c r="AC2455" i="7"/>
  <c r="T2455" i="7"/>
  <c r="S2455" i="7"/>
  <c r="R2455" i="7"/>
  <c r="L2455" i="7"/>
  <c r="K2455" i="7"/>
  <c r="J2455" i="7" s="1"/>
  <c r="D2455" i="7"/>
  <c r="C2455" i="7"/>
  <c r="B2455" i="7"/>
  <c r="AR2454" i="7"/>
  <c r="AQ2454" i="7"/>
  <c r="AP2454" i="7" s="1"/>
  <c r="AL2454" i="7"/>
  <c r="AK2454" i="7"/>
  <c r="AD2454" i="7"/>
  <c r="AC2454" i="7"/>
  <c r="AB2454" i="7" s="1"/>
  <c r="T2454" i="7"/>
  <c r="S2454" i="7"/>
  <c r="R2454" i="7" s="1"/>
  <c r="L2454" i="7"/>
  <c r="K2454" i="7"/>
  <c r="J2454" i="7"/>
  <c r="D2454" i="7"/>
  <c r="C2454" i="7"/>
  <c r="AR2453" i="7"/>
  <c r="AQ2453" i="7"/>
  <c r="AP2453" i="7"/>
  <c r="AL2453" i="7"/>
  <c r="AK2453" i="7"/>
  <c r="AJ2453" i="7" s="1"/>
  <c r="AD2453" i="7"/>
  <c r="AC2453" i="7"/>
  <c r="T2453" i="7"/>
  <c r="S2453" i="7"/>
  <c r="R2453" i="7"/>
  <c r="L2453" i="7"/>
  <c r="J2453" i="7" s="1"/>
  <c r="K2453" i="7"/>
  <c r="D2453" i="7"/>
  <c r="C2453" i="7"/>
  <c r="B2453" i="7"/>
  <c r="AR2452" i="7"/>
  <c r="AP2452" i="7" s="1"/>
  <c r="AQ2452" i="7"/>
  <c r="AL2452" i="7"/>
  <c r="AK2452" i="7"/>
  <c r="AI2452" i="7" s="1"/>
  <c r="AD2452" i="7"/>
  <c r="AC2452" i="7"/>
  <c r="T2452" i="7"/>
  <c r="S2452" i="7"/>
  <c r="R2452" i="7"/>
  <c r="L2452" i="7"/>
  <c r="K2452" i="7"/>
  <c r="J2452" i="7" s="1"/>
  <c r="D2452" i="7"/>
  <c r="C2452" i="7"/>
  <c r="B2452" i="7"/>
  <c r="AR2451" i="7"/>
  <c r="AQ2451" i="7"/>
  <c r="AP2451" i="7" s="1"/>
  <c r="AL2451" i="7"/>
  <c r="AK2451" i="7"/>
  <c r="AD2451" i="7"/>
  <c r="AC2451" i="7"/>
  <c r="T2451" i="7"/>
  <c r="S2451" i="7"/>
  <c r="R2451" i="7" s="1"/>
  <c r="L2451" i="7"/>
  <c r="K2451" i="7"/>
  <c r="J2451" i="7"/>
  <c r="D2451" i="7"/>
  <c r="C2451" i="7"/>
  <c r="AR2450" i="7"/>
  <c r="AQ2450" i="7"/>
  <c r="AP2450" i="7"/>
  <c r="AL2450" i="7"/>
  <c r="AK2450" i="7"/>
  <c r="AJ2450" i="7" s="1"/>
  <c r="AD2450" i="7"/>
  <c r="AC2450" i="7"/>
  <c r="T2450" i="7"/>
  <c r="S2450" i="7"/>
  <c r="R2450" i="7"/>
  <c r="L2450" i="7"/>
  <c r="J2450" i="7" s="1"/>
  <c r="K2450" i="7"/>
  <c r="D2450" i="7"/>
  <c r="C2450" i="7"/>
  <c r="B2450" i="7"/>
  <c r="AR2449" i="7"/>
  <c r="AP2449" i="7" s="1"/>
  <c r="AQ2449" i="7"/>
  <c r="AL2449" i="7"/>
  <c r="AK2449" i="7"/>
  <c r="AD2449" i="7"/>
  <c r="AC2449" i="7"/>
  <c r="T2449" i="7"/>
  <c r="S2449" i="7"/>
  <c r="R2449" i="7"/>
  <c r="L2449" i="7"/>
  <c r="K2449" i="7"/>
  <c r="J2449" i="7" s="1"/>
  <c r="D2449" i="7"/>
  <c r="C2449" i="7"/>
  <c r="B2449" i="7"/>
  <c r="AR2448" i="7"/>
  <c r="AQ2448" i="7"/>
  <c r="AP2448" i="7" s="1"/>
  <c r="AL2448" i="7"/>
  <c r="AK2448" i="7"/>
  <c r="AI2448" i="7" s="1"/>
  <c r="AD2448" i="7"/>
  <c r="AC2448" i="7"/>
  <c r="T2448" i="7"/>
  <c r="S2448" i="7"/>
  <c r="R2448" i="7" s="1"/>
  <c r="L2448" i="7"/>
  <c r="K2448" i="7"/>
  <c r="J2448" i="7"/>
  <c r="D2448" i="7"/>
  <c r="C2448" i="7"/>
  <c r="AR2447" i="7"/>
  <c r="AQ2447" i="7"/>
  <c r="AP2447" i="7"/>
  <c r="AL2447" i="7"/>
  <c r="AK2447" i="7"/>
  <c r="AJ2447" i="7" s="1"/>
  <c r="AD2447" i="7"/>
  <c r="AC2447" i="7"/>
  <c r="T2447" i="7"/>
  <c r="S2447" i="7"/>
  <c r="R2447" i="7"/>
  <c r="L2447" i="7"/>
  <c r="J2447" i="7" s="1"/>
  <c r="K2447" i="7"/>
  <c r="D2447" i="7"/>
  <c r="C2447" i="7"/>
  <c r="B2447" i="7"/>
  <c r="AR2446" i="7"/>
  <c r="AP2446" i="7" s="1"/>
  <c r="AQ2446" i="7"/>
  <c r="AL2446" i="7"/>
  <c r="AK2446" i="7"/>
  <c r="AD2446" i="7"/>
  <c r="AC2446" i="7"/>
  <c r="T2446" i="7"/>
  <c r="S2446" i="7"/>
  <c r="R2446" i="7"/>
  <c r="L2446" i="7"/>
  <c r="K2446" i="7"/>
  <c r="J2446" i="7" s="1"/>
  <c r="D2446" i="7"/>
  <c r="C2446" i="7"/>
  <c r="B2446" i="7"/>
  <c r="AR2445" i="7"/>
  <c r="AQ2445" i="7"/>
  <c r="AP2445" i="7" s="1"/>
  <c r="AL2445" i="7"/>
  <c r="AK2445" i="7"/>
  <c r="AD2445" i="7"/>
  <c r="AC2445" i="7"/>
  <c r="T2445" i="7"/>
  <c r="S2445" i="7"/>
  <c r="R2445" i="7" s="1"/>
  <c r="L2445" i="7"/>
  <c r="K2445" i="7"/>
  <c r="J2445" i="7"/>
  <c r="D2445" i="7"/>
  <c r="C2445" i="7"/>
  <c r="AR2444" i="7"/>
  <c r="AQ2444" i="7"/>
  <c r="AP2444" i="7"/>
  <c r="AL2444" i="7"/>
  <c r="AK2444" i="7"/>
  <c r="AJ2444" i="7" s="1"/>
  <c r="AD2444" i="7"/>
  <c r="AC2444" i="7"/>
  <c r="T2444" i="7"/>
  <c r="S2444" i="7"/>
  <c r="R2444" i="7"/>
  <c r="L2444" i="7"/>
  <c r="J2444" i="7" s="1"/>
  <c r="K2444" i="7"/>
  <c r="D2444" i="7"/>
  <c r="C2444" i="7"/>
  <c r="B2444" i="7"/>
  <c r="AR2443" i="7"/>
  <c r="AP2443" i="7" s="1"/>
  <c r="AQ2443" i="7"/>
  <c r="AL2443" i="7"/>
  <c r="AK2443" i="7"/>
  <c r="AD2443" i="7"/>
  <c r="AC2443" i="7"/>
  <c r="AA2443" i="7" s="1"/>
  <c r="T2443" i="7"/>
  <c r="S2443" i="7"/>
  <c r="R2443" i="7"/>
  <c r="L2443" i="7"/>
  <c r="K2443" i="7"/>
  <c r="J2443" i="7" s="1"/>
  <c r="D2443" i="7"/>
  <c r="C2443" i="7"/>
  <c r="B2443" i="7"/>
  <c r="AR2442" i="7"/>
  <c r="AQ2442" i="7"/>
  <c r="AP2442" i="7" s="1"/>
  <c r="AL2442" i="7"/>
  <c r="AK2442" i="7"/>
  <c r="AD2442" i="7"/>
  <c r="AC2442" i="7"/>
  <c r="AB2442" i="7" s="1"/>
  <c r="T2442" i="7"/>
  <c r="S2442" i="7"/>
  <c r="R2442" i="7" s="1"/>
  <c r="L2442" i="7"/>
  <c r="K2442" i="7"/>
  <c r="J2442" i="7"/>
  <c r="D2442" i="7"/>
  <c r="C2442" i="7"/>
  <c r="AR2441" i="7"/>
  <c r="AQ2441" i="7"/>
  <c r="AP2441" i="7"/>
  <c r="AL2441" i="7"/>
  <c r="AK2441" i="7"/>
  <c r="AJ2441" i="7" s="1"/>
  <c r="AD2441" i="7"/>
  <c r="AC2441" i="7"/>
  <c r="T2441" i="7"/>
  <c r="S2441" i="7"/>
  <c r="R2441" i="7"/>
  <c r="L2441" i="7"/>
  <c r="J2441" i="7" s="1"/>
  <c r="K2441" i="7"/>
  <c r="D2441" i="7"/>
  <c r="C2441" i="7"/>
  <c r="B2441" i="7"/>
  <c r="AR2440" i="7"/>
  <c r="AP2440" i="7" s="1"/>
  <c r="AQ2440" i="7"/>
  <c r="AL2440" i="7"/>
  <c r="AK2440" i="7"/>
  <c r="AD2440" i="7"/>
  <c r="AC2440" i="7"/>
  <c r="T2440" i="7"/>
  <c r="S2440" i="7"/>
  <c r="R2440" i="7"/>
  <c r="L2440" i="7"/>
  <c r="K2440" i="7"/>
  <c r="J2440" i="7" s="1"/>
  <c r="D2440" i="7"/>
  <c r="C2440" i="7"/>
  <c r="B2440" i="7"/>
  <c r="AR2439" i="7"/>
  <c r="AQ2439" i="7"/>
  <c r="AP2439" i="7" s="1"/>
  <c r="AL2439" i="7"/>
  <c r="AK2439" i="7"/>
  <c r="AD2439" i="7"/>
  <c r="AC2439" i="7"/>
  <c r="T2439" i="7"/>
  <c r="S2439" i="7"/>
  <c r="R2439" i="7" s="1"/>
  <c r="L2439" i="7"/>
  <c r="K2439" i="7"/>
  <c r="J2439" i="7"/>
  <c r="D2439" i="7"/>
  <c r="C2439" i="7"/>
  <c r="AR2438" i="7"/>
  <c r="AQ2438" i="7"/>
  <c r="AP2438" i="7"/>
  <c r="AL2438" i="7"/>
  <c r="AK2438" i="7"/>
  <c r="AJ2438" i="7" s="1"/>
  <c r="AD2438" i="7"/>
  <c r="AC2438" i="7"/>
  <c r="T2438" i="7"/>
  <c r="S2438" i="7"/>
  <c r="R2438" i="7"/>
  <c r="L2438" i="7"/>
  <c r="J2438" i="7" s="1"/>
  <c r="K2438" i="7"/>
  <c r="D2438" i="7"/>
  <c r="C2438" i="7"/>
  <c r="B2438" i="7"/>
  <c r="AR2437" i="7"/>
  <c r="AP2437" i="7" s="1"/>
  <c r="AQ2437" i="7"/>
  <c r="AL2437" i="7"/>
  <c r="AK2437" i="7"/>
  <c r="AD2437" i="7"/>
  <c r="AC2437" i="7"/>
  <c r="AA2437" i="7" s="1"/>
  <c r="T2437" i="7"/>
  <c r="S2437" i="7"/>
  <c r="R2437" i="7"/>
  <c r="L2437" i="7"/>
  <c r="K2437" i="7"/>
  <c r="J2437" i="7" s="1"/>
  <c r="D2437" i="7"/>
  <c r="C2437" i="7"/>
  <c r="B2437" i="7"/>
  <c r="AR2436" i="7"/>
  <c r="AQ2436" i="7"/>
  <c r="AP2436" i="7" s="1"/>
  <c r="AL2436" i="7"/>
  <c r="AK2436" i="7"/>
  <c r="AI2436" i="7" s="1"/>
  <c r="AD2436" i="7"/>
  <c r="AC2436" i="7"/>
  <c r="AB2436" i="7" s="1"/>
  <c r="T2436" i="7"/>
  <c r="S2436" i="7"/>
  <c r="R2436" i="7" s="1"/>
  <c r="L2436" i="7"/>
  <c r="K2436" i="7"/>
  <c r="J2436" i="7"/>
  <c r="D2436" i="7"/>
  <c r="C2436" i="7"/>
  <c r="AR2435" i="7"/>
  <c r="AQ2435" i="7"/>
  <c r="AP2435" i="7"/>
  <c r="AL2435" i="7"/>
  <c r="AK2435" i="7"/>
  <c r="AJ2435" i="7" s="1"/>
  <c r="AD2435" i="7"/>
  <c r="AC2435" i="7"/>
  <c r="T2435" i="7"/>
  <c r="S2435" i="7"/>
  <c r="R2435" i="7"/>
  <c r="L2435" i="7"/>
  <c r="J2435" i="7" s="1"/>
  <c r="K2435" i="7"/>
  <c r="D2435" i="7"/>
  <c r="C2435" i="7"/>
  <c r="B2435" i="7"/>
  <c r="AR2434" i="7"/>
  <c r="AP2434" i="7" s="1"/>
  <c r="AQ2434" i="7"/>
  <c r="AL2434" i="7"/>
  <c r="AK2434" i="7"/>
  <c r="AD2434" i="7"/>
  <c r="AC2434" i="7"/>
  <c r="T2434" i="7"/>
  <c r="S2434" i="7"/>
  <c r="R2434" i="7"/>
  <c r="L2434" i="7"/>
  <c r="K2434" i="7"/>
  <c r="J2434" i="7" s="1"/>
  <c r="D2434" i="7"/>
  <c r="C2434" i="7"/>
  <c r="B2434" i="7"/>
  <c r="AR2433" i="7"/>
  <c r="AQ2433" i="7"/>
  <c r="AP2433" i="7" s="1"/>
  <c r="AL2433" i="7"/>
  <c r="AK2433" i="7"/>
  <c r="AD2433" i="7"/>
  <c r="AC2433" i="7"/>
  <c r="T2433" i="7"/>
  <c r="S2433" i="7"/>
  <c r="R2433" i="7" s="1"/>
  <c r="L2433" i="7"/>
  <c r="K2433" i="7"/>
  <c r="J2433" i="7"/>
  <c r="D2433" i="7"/>
  <c r="C2433" i="7"/>
  <c r="AR2432" i="7"/>
  <c r="AQ2432" i="7"/>
  <c r="AP2432" i="7"/>
  <c r="AL2432" i="7"/>
  <c r="AK2432" i="7"/>
  <c r="AJ2432" i="7" s="1"/>
  <c r="AD2432" i="7"/>
  <c r="AC2432" i="7"/>
  <c r="T2432" i="7"/>
  <c r="S2432" i="7"/>
  <c r="R2432" i="7"/>
  <c r="L2432" i="7"/>
  <c r="J2432" i="7" s="1"/>
  <c r="K2432" i="7"/>
  <c r="D2432" i="7"/>
  <c r="C2432" i="7"/>
  <c r="B2432" i="7"/>
  <c r="AR2431" i="7"/>
  <c r="AP2431" i="7" s="1"/>
  <c r="AQ2431" i="7"/>
  <c r="AL2431" i="7"/>
  <c r="AK2431" i="7"/>
  <c r="AD2431" i="7"/>
  <c r="AC2431" i="7"/>
  <c r="AA2431" i="7" s="1"/>
  <c r="T2431" i="7"/>
  <c r="S2431" i="7"/>
  <c r="R2431" i="7"/>
  <c r="L2431" i="7"/>
  <c r="K2431" i="7"/>
  <c r="J2431" i="7" s="1"/>
  <c r="D2431" i="7"/>
  <c r="C2431" i="7"/>
  <c r="B2431" i="7"/>
  <c r="AR2430" i="7"/>
  <c r="AQ2430" i="7"/>
  <c r="AP2430" i="7" s="1"/>
  <c r="AL2430" i="7"/>
  <c r="AK2430" i="7"/>
  <c r="AI2430" i="7" s="1"/>
  <c r="AD2430" i="7"/>
  <c r="AC2430" i="7"/>
  <c r="AA2430" i="7" s="1"/>
  <c r="T2430" i="7"/>
  <c r="S2430" i="7"/>
  <c r="R2430" i="7" s="1"/>
  <c r="L2430" i="7"/>
  <c r="K2430" i="7"/>
  <c r="J2430" i="7"/>
  <c r="D2430" i="7"/>
  <c r="C2430" i="7"/>
  <c r="AR2429" i="7"/>
  <c r="AQ2429" i="7"/>
  <c r="AP2429" i="7"/>
  <c r="AL2429" i="7"/>
  <c r="AK2429" i="7"/>
  <c r="AJ2429" i="7" s="1"/>
  <c r="AD2429" i="7"/>
  <c r="AC2429" i="7"/>
  <c r="T2429" i="7"/>
  <c r="S2429" i="7"/>
  <c r="R2429" i="7"/>
  <c r="L2429" i="7"/>
  <c r="J2429" i="7" s="1"/>
  <c r="K2429" i="7"/>
  <c r="D2429" i="7"/>
  <c r="C2429" i="7"/>
  <c r="B2429" i="7"/>
  <c r="AR2428" i="7"/>
  <c r="AP2428" i="7" s="1"/>
  <c r="AQ2428" i="7"/>
  <c r="AL2428" i="7"/>
  <c r="AK2428" i="7"/>
  <c r="AD2428" i="7"/>
  <c r="AC2428" i="7"/>
  <c r="T2428" i="7"/>
  <c r="S2428" i="7"/>
  <c r="R2428" i="7"/>
  <c r="L2428" i="7"/>
  <c r="K2428" i="7"/>
  <c r="J2428" i="7" s="1"/>
  <c r="D2428" i="7"/>
  <c r="C2428" i="7"/>
  <c r="B2428" i="7"/>
  <c r="AR2427" i="7"/>
  <c r="AQ2427" i="7"/>
  <c r="AP2427" i="7" s="1"/>
  <c r="AL2427" i="7"/>
  <c r="AK2427" i="7"/>
  <c r="AD2427" i="7"/>
  <c r="AC2427" i="7"/>
  <c r="AB2427" i="7" s="1"/>
  <c r="T2427" i="7"/>
  <c r="S2427" i="7"/>
  <c r="R2427" i="7" s="1"/>
  <c r="L2427" i="7"/>
  <c r="K2427" i="7"/>
  <c r="J2427" i="7"/>
  <c r="D2427" i="7"/>
  <c r="C2427" i="7"/>
  <c r="AR2426" i="7"/>
  <c r="AQ2426" i="7"/>
  <c r="AP2426" i="7"/>
  <c r="AL2426" i="7"/>
  <c r="AK2426" i="7"/>
  <c r="AJ2426" i="7" s="1"/>
  <c r="AD2426" i="7"/>
  <c r="AC2426" i="7"/>
  <c r="T2426" i="7"/>
  <c r="S2426" i="7"/>
  <c r="R2426" i="7"/>
  <c r="L2426" i="7"/>
  <c r="J2426" i="7" s="1"/>
  <c r="K2426" i="7"/>
  <c r="D2426" i="7"/>
  <c r="C2426" i="7"/>
  <c r="B2426" i="7"/>
  <c r="AR2425" i="7"/>
  <c r="AP2425" i="7" s="1"/>
  <c r="AQ2425" i="7"/>
  <c r="AL2425" i="7"/>
  <c r="AK2425" i="7"/>
  <c r="AD2425" i="7"/>
  <c r="AC2425" i="7"/>
  <c r="AB2425" i="7" s="1"/>
  <c r="T2425" i="7"/>
  <c r="S2425" i="7"/>
  <c r="R2425" i="7"/>
  <c r="L2425" i="7"/>
  <c r="K2425" i="7"/>
  <c r="J2425" i="7" s="1"/>
  <c r="D2425" i="7"/>
  <c r="C2425" i="7"/>
  <c r="B2425" i="7"/>
  <c r="AR2424" i="7"/>
  <c r="AQ2424" i="7"/>
  <c r="AP2424" i="7" s="1"/>
  <c r="AL2424" i="7"/>
  <c r="AK2424" i="7"/>
  <c r="AD2424" i="7"/>
  <c r="AC2424" i="7"/>
  <c r="AA2424" i="7" s="1"/>
  <c r="T2424" i="7"/>
  <c r="S2424" i="7"/>
  <c r="R2424" i="7" s="1"/>
  <c r="L2424" i="7"/>
  <c r="K2424" i="7"/>
  <c r="J2424" i="7"/>
  <c r="D2424" i="7"/>
  <c r="C2424" i="7"/>
  <c r="AR2423" i="7"/>
  <c r="AQ2423" i="7"/>
  <c r="AP2423" i="7"/>
  <c r="AL2423" i="7"/>
  <c r="AK2423" i="7"/>
  <c r="AJ2423" i="7" s="1"/>
  <c r="AD2423" i="7"/>
  <c r="AC2423" i="7"/>
  <c r="T2423" i="7"/>
  <c r="S2423" i="7"/>
  <c r="R2423" i="7"/>
  <c r="L2423" i="7"/>
  <c r="J2423" i="7" s="1"/>
  <c r="K2423" i="7"/>
  <c r="D2423" i="7"/>
  <c r="C2423" i="7"/>
  <c r="B2423" i="7"/>
  <c r="AR2422" i="7"/>
  <c r="AP2422" i="7" s="1"/>
  <c r="AQ2422" i="7"/>
  <c r="AL2422" i="7"/>
  <c r="AK2422" i="7"/>
  <c r="AD2422" i="7"/>
  <c r="AC2422" i="7"/>
  <c r="T2422" i="7"/>
  <c r="S2422" i="7"/>
  <c r="R2422" i="7"/>
  <c r="L2422" i="7"/>
  <c r="K2422" i="7"/>
  <c r="J2422" i="7" s="1"/>
  <c r="D2422" i="7"/>
  <c r="C2422" i="7"/>
  <c r="B2422" i="7"/>
  <c r="AR2421" i="7"/>
  <c r="AQ2421" i="7"/>
  <c r="AP2421" i="7" s="1"/>
  <c r="AL2421" i="7"/>
  <c r="AK2421" i="7"/>
  <c r="AD2421" i="7"/>
  <c r="AC2421" i="7"/>
  <c r="T2421" i="7"/>
  <c r="S2421" i="7"/>
  <c r="R2421" i="7" s="1"/>
  <c r="L2421" i="7"/>
  <c r="K2421" i="7"/>
  <c r="J2421" i="7"/>
  <c r="D2421" i="7"/>
  <c r="C2421" i="7"/>
  <c r="AR2420" i="7"/>
  <c r="AQ2420" i="7"/>
  <c r="AP2420" i="7"/>
  <c r="AL2420" i="7"/>
  <c r="AK2420" i="7"/>
  <c r="AJ2420" i="7" s="1"/>
  <c r="AD2420" i="7"/>
  <c r="AC2420" i="7"/>
  <c r="T2420" i="7"/>
  <c r="S2420" i="7"/>
  <c r="R2420" i="7"/>
  <c r="L2420" i="7"/>
  <c r="J2420" i="7" s="1"/>
  <c r="K2420" i="7"/>
  <c r="D2420" i="7"/>
  <c r="C2420" i="7"/>
  <c r="B2420" i="7"/>
  <c r="AR2419" i="7"/>
  <c r="AP2419" i="7" s="1"/>
  <c r="AQ2419" i="7"/>
  <c r="AL2419" i="7"/>
  <c r="AK2419" i="7"/>
  <c r="AD2419" i="7"/>
  <c r="AC2419" i="7"/>
  <c r="T2419" i="7"/>
  <c r="S2419" i="7"/>
  <c r="R2419" i="7"/>
  <c r="L2419" i="7"/>
  <c r="K2419" i="7"/>
  <c r="J2419" i="7" s="1"/>
  <c r="D2419" i="7"/>
  <c r="C2419" i="7"/>
  <c r="B2419" i="7"/>
  <c r="AR2418" i="7"/>
  <c r="AQ2418" i="7"/>
  <c r="AP2418" i="7" s="1"/>
  <c r="AL2418" i="7"/>
  <c r="AK2418" i="7"/>
  <c r="AD2418" i="7"/>
  <c r="AC2418" i="7"/>
  <c r="T2418" i="7"/>
  <c r="S2418" i="7"/>
  <c r="R2418" i="7" s="1"/>
  <c r="L2418" i="7"/>
  <c r="K2418" i="7"/>
  <c r="J2418" i="7"/>
  <c r="D2418" i="7"/>
  <c r="C2418" i="7"/>
  <c r="AR2417" i="7"/>
  <c r="AQ2417" i="7"/>
  <c r="AP2417" i="7"/>
  <c r="AL2417" i="7"/>
  <c r="AK2417" i="7"/>
  <c r="AJ2417" i="7" s="1"/>
  <c r="AD2417" i="7"/>
  <c r="AC2417" i="7"/>
  <c r="T2417" i="7"/>
  <c r="S2417" i="7"/>
  <c r="R2417" i="7"/>
  <c r="L2417" i="7"/>
  <c r="J2417" i="7" s="1"/>
  <c r="K2417" i="7"/>
  <c r="D2417" i="7"/>
  <c r="C2417" i="7"/>
  <c r="B2417" i="7"/>
  <c r="AR2416" i="7"/>
  <c r="AP2416" i="7" s="1"/>
  <c r="AQ2416" i="7"/>
  <c r="AL2416" i="7"/>
  <c r="AK2416" i="7"/>
  <c r="AI2416" i="7" s="1"/>
  <c r="AD2416" i="7"/>
  <c r="AC2416" i="7"/>
  <c r="T2416" i="7"/>
  <c r="S2416" i="7"/>
  <c r="R2416" i="7"/>
  <c r="L2416" i="7"/>
  <c r="K2416" i="7"/>
  <c r="J2416" i="7" s="1"/>
  <c r="D2416" i="7"/>
  <c r="C2416" i="7"/>
  <c r="B2416" i="7"/>
  <c r="AR2415" i="7"/>
  <c r="AQ2415" i="7"/>
  <c r="AP2415" i="7" s="1"/>
  <c r="AL2415" i="7"/>
  <c r="AK2415" i="7"/>
  <c r="AD2415" i="7"/>
  <c r="AC2415" i="7"/>
  <c r="T2415" i="7"/>
  <c r="S2415" i="7"/>
  <c r="R2415" i="7" s="1"/>
  <c r="L2415" i="7"/>
  <c r="K2415" i="7"/>
  <c r="J2415" i="7"/>
  <c r="D2415" i="7"/>
  <c r="C2415" i="7"/>
  <c r="AR2414" i="7"/>
  <c r="AQ2414" i="7"/>
  <c r="AP2414" i="7"/>
  <c r="AL2414" i="7"/>
  <c r="AK2414" i="7"/>
  <c r="AJ2414" i="7" s="1"/>
  <c r="AD2414" i="7"/>
  <c r="AC2414" i="7"/>
  <c r="T2414" i="7"/>
  <c r="S2414" i="7"/>
  <c r="R2414" i="7"/>
  <c r="L2414" i="7"/>
  <c r="J2414" i="7" s="1"/>
  <c r="K2414" i="7"/>
  <c r="D2414" i="7"/>
  <c r="C2414" i="7"/>
  <c r="B2414" i="7"/>
  <c r="AR2413" i="7"/>
  <c r="AP2413" i="7" s="1"/>
  <c r="AQ2413" i="7"/>
  <c r="AL2413" i="7"/>
  <c r="AK2413" i="7"/>
  <c r="AD2413" i="7"/>
  <c r="AC2413" i="7"/>
  <c r="AB2413" i="7" s="1"/>
  <c r="T2413" i="7"/>
  <c r="S2413" i="7"/>
  <c r="R2413" i="7"/>
  <c r="L2413" i="7"/>
  <c r="K2413" i="7"/>
  <c r="J2413" i="7" s="1"/>
  <c r="D2413" i="7"/>
  <c r="C2413" i="7"/>
  <c r="B2413" i="7"/>
  <c r="AR2412" i="7"/>
  <c r="AQ2412" i="7"/>
  <c r="AP2412" i="7" s="1"/>
  <c r="AL2412" i="7"/>
  <c r="AK2412" i="7"/>
  <c r="AD2412" i="7"/>
  <c r="AC2412" i="7"/>
  <c r="AA2412" i="7" s="1"/>
  <c r="T2412" i="7"/>
  <c r="S2412" i="7"/>
  <c r="R2412" i="7" s="1"/>
  <c r="L2412" i="7"/>
  <c r="K2412" i="7"/>
  <c r="J2412" i="7"/>
  <c r="D2412" i="7"/>
  <c r="C2412" i="7"/>
  <c r="AR2411" i="7"/>
  <c r="AQ2411" i="7"/>
  <c r="AP2411" i="7"/>
  <c r="AL2411" i="7"/>
  <c r="AK2411" i="7"/>
  <c r="AJ2411" i="7" s="1"/>
  <c r="AD2411" i="7"/>
  <c r="AC2411" i="7"/>
  <c r="T2411" i="7"/>
  <c r="S2411" i="7"/>
  <c r="R2411" i="7"/>
  <c r="L2411" i="7"/>
  <c r="J2411" i="7" s="1"/>
  <c r="K2411" i="7"/>
  <c r="D2411" i="7"/>
  <c r="C2411" i="7"/>
  <c r="B2411" i="7"/>
  <c r="AR2410" i="7"/>
  <c r="AP2410" i="7" s="1"/>
  <c r="AQ2410" i="7"/>
  <c r="AL2410" i="7"/>
  <c r="AK2410" i="7"/>
  <c r="AD2410" i="7"/>
  <c r="AC2410" i="7"/>
  <c r="T2410" i="7"/>
  <c r="S2410" i="7"/>
  <c r="R2410" i="7"/>
  <c r="L2410" i="7"/>
  <c r="K2410" i="7"/>
  <c r="J2410" i="7" s="1"/>
  <c r="D2410" i="7"/>
  <c r="C2410" i="7"/>
  <c r="B2410" i="7"/>
  <c r="AR2409" i="7"/>
  <c r="AQ2409" i="7"/>
  <c r="AP2409" i="7" s="1"/>
  <c r="AL2409" i="7"/>
  <c r="AK2409" i="7"/>
  <c r="AD2409" i="7"/>
  <c r="AC2409" i="7"/>
  <c r="T2409" i="7"/>
  <c r="S2409" i="7"/>
  <c r="R2409" i="7" s="1"/>
  <c r="L2409" i="7"/>
  <c r="K2409" i="7"/>
  <c r="J2409" i="7"/>
  <c r="D2409" i="7"/>
  <c r="C2409" i="7"/>
  <c r="AR2408" i="7"/>
  <c r="AQ2408" i="7"/>
  <c r="AP2408" i="7"/>
  <c r="AL2408" i="7"/>
  <c r="AK2408" i="7"/>
  <c r="AJ2408" i="7" s="1"/>
  <c r="AD2408" i="7"/>
  <c r="AC2408" i="7"/>
  <c r="T2408" i="7"/>
  <c r="S2408" i="7"/>
  <c r="R2408" i="7"/>
  <c r="L2408" i="7"/>
  <c r="J2408" i="7" s="1"/>
  <c r="K2408" i="7"/>
  <c r="D2408" i="7"/>
  <c r="C2408" i="7"/>
  <c r="B2408" i="7"/>
  <c r="AR2407" i="7"/>
  <c r="AP2407" i="7" s="1"/>
  <c r="AQ2407" i="7"/>
  <c r="AL2407" i="7"/>
  <c r="AK2407" i="7"/>
  <c r="AD2407" i="7"/>
  <c r="AC2407" i="7"/>
  <c r="T2407" i="7"/>
  <c r="S2407" i="7"/>
  <c r="R2407" i="7"/>
  <c r="L2407" i="7"/>
  <c r="K2407" i="7"/>
  <c r="J2407" i="7" s="1"/>
  <c r="D2407" i="7"/>
  <c r="C2407" i="7"/>
  <c r="B2407" i="7"/>
  <c r="AR2406" i="7"/>
  <c r="AQ2406" i="7"/>
  <c r="AP2406" i="7" s="1"/>
  <c r="AL2406" i="7"/>
  <c r="AK2406" i="7"/>
  <c r="AI2406" i="7" s="1"/>
  <c r="AJ2406" i="7"/>
  <c r="AD2406" i="7"/>
  <c r="AC2406" i="7"/>
  <c r="T2406" i="7"/>
  <c r="S2406" i="7"/>
  <c r="R2406" i="7" s="1"/>
  <c r="L2406" i="7"/>
  <c r="K2406" i="7"/>
  <c r="J2406" i="7"/>
  <c r="D2406" i="7"/>
  <c r="C2406" i="7"/>
  <c r="AR2405" i="7"/>
  <c r="AQ2405" i="7"/>
  <c r="AP2405" i="7"/>
  <c r="AL2405" i="7"/>
  <c r="AK2405" i="7"/>
  <c r="AJ2405" i="7" s="1"/>
  <c r="AD2405" i="7"/>
  <c r="AC2405" i="7"/>
  <c r="T2405" i="7"/>
  <c r="S2405" i="7"/>
  <c r="R2405" i="7"/>
  <c r="L2405" i="7"/>
  <c r="J2405" i="7" s="1"/>
  <c r="K2405" i="7"/>
  <c r="D2405" i="7"/>
  <c r="C2405" i="7"/>
  <c r="B2405" i="7"/>
  <c r="AR2404" i="7"/>
  <c r="AP2404" i="7" s="1"/>
  <c r="AQ2404" i="7"/>
  <c r="AL2404" i="7"/>
  <c r="AK2404" i="7"/>
  <c r="AI2404" i="7" s="1"/>
  <c r="AD2404" i="7"/>
  <c r="AC2404" i="7"/>
  <c r="AB2404" i="7" s="1"/>
  <c r="T2404" i="7"/>
  <c r="S2404" i="7"/>
  <c r="R2404" i="7"/>
  <c r="L2404" i="7"/>
  <c r="K2404" i="7"/>
  <c r="J2404" i="7" s="1"/>
  <c r="D2404" i="7"/>
  <c r="C2404" i="7"/>
  <c r="B2404" i="7"/>
  <c r="AR2403" i="7"/>
  <c r="AQ2403" i="7"/>
  <c r="AP2403" i="7" s="1"/>
  <c r="AL2403" i="7"/>
  <c r="AK2403" i="7"/>
  <c r="AD2403" i="7"/>
  <c r="AC2403" i="7"/>
  <c r="AA2403" i="7" s="1"/>
  <c r="T2403" i="7"/>
  <c r="S2403" i="7"/>
  <c r="R2403" i="7" s="1"/>
  <c r="L2403" i="7"/>
  <c r="K2403" i="7"/>
  <c r="J2403" i="7"/>
  <c r="D2403" i="7"/>
  <c r="C2403" i="7"/>
  <c r="AR2402" i="7"/>
  <c r="AQ2402" i="7"/>
  <c r="AP2402" i="7"/>
  <c r="AL2402" i="7"/>
  <c r="AK2402" i="7"/>
  <c r="AJ2402" i="7" s="1"/>
  <c r="AD2402" i="7"/>
  <c r="AC2402" i="7"/>
  <c r="T2402" i="7"/>
  <c r="S2402" i="7"/>
  <c r="R2402" i="7"/>
  <c r="L2402" i="7"/>
  <c r="J2402" i="7" s="1"/>
  <c r="K2402" i="7"/>
  <c r="D2402" i="7"/>
  <c r="C2402" i="7"/>
  <c r="B2402" i="7"/>
  <c r="AR2401" i="7"/>
  <c r="AP2401" i="7" s="1"/>
  <c r="AQ2401" i="7"/>
  <c r="AL2401" i="7"/>
  <c r="AK2401" i="7"/>
  <c r="AD2401" i="7"/>
  <c r="AC2401" i="7"/>
  <c r="T2401" i="7"/>
  <c r="S2401" i="7"/>
  <c r="R2401" i="7"/>
  <c r="L2401" i="7"/>
  <c r="K2401" i="7"/>
  <c r="J2401" i="7" s="1"/>
  <c r="D2401" i="7"/>
  <c r="C2401" i="7"/>
  <c r="B2401" i="7"/>
  <c r="AR2400" i="7"/>
  <c r="AQ2400" i="7"/>
  <c r="AP2400" i="7" s="1"/>
  <c r="AL2400" i="7"/>
  <c r="AK2400" i="7"/>
  <c r="AD2400" i="7"/>
  <c r="AC2400" i="7"/>
  <c r="T2400" i="7"/>
  <c r="S2400" i="7"/>
  <c r="R2400" i="7" s="1"/>
  <c r="L2400" i="7"/>
  <c r="K2400" i="7"/>
  <c r="J2400" i="7"/>
  <c r="D2400" i="7"/>
  <c r="C2400" i="7"/>
  <c r="AR2399" i="7"/>
  <c r="AQ2399" i="7"/>
  <c r="AP2399" i="7"/>
  <c r="AL2399" i="7"/>
  <c r="AK2399" i="7"/>
  <c r="AJ2399" i="7" s="1"/>
  <c r="AD2399" i="7"/>
  <c r="AC2399" i="7"/>
  <c r="T2399" i="7"/>
  <c r="S2399" i="7"/>
  <c r="R2399" i="7"/>
  <c r="L2399" i="7"/>
  <c r="J2399" i="7" s="1"/>
  <c r="K2399" i="7"/>
  <c r="D2399" i="7"/>
  <c r="C2399" i="7"/>
  <c r="B2399" i="7"/>
  <c r="AR2398" i="7"/>
  <c r="AP2398" i="7" s="1"/>
  <c r="AQ2398" i="7"/>
  <c r="AL2398" i="7"/>
  <c r="AK2398" i="7"/>
  <c r="AD2398" i="7"/>
  <c r="AC2398" i="7"/>
  <c r="T2398" i="7"/>
  <c r="S2398" i="7"/>
  <c r="R2398" i="7"/>
  <c r="L2398" i="7"/>
  <c r="K2398" i="7"/>
  <c r="J2398" i="7" s="1"/>
  <c r="D2398" i="7"/>
  <c r="C2398" i="7"/>
  <c r="B2398" i="7"/>
  <c r="AR2397" i="7"/>
  <c r="AQ2397" i="7"/>
  <c r="AP2397" i="7" s="1"/>
  <c r="AL2397" i="7"/>
  <c r="AK2397" i="7"/>
  <c r="AD2397" i="7"/>
  <c r="AC2397" i="7"/>
  <c r="T2397" i="7"/>
  <c r="S2397" i="7"/>
  <c r="R2397" i="7" s="1"/>
  <c r="L2397" i="7"/>
  <c r="K2397" i="7"/>
  <c r="J2397" i="7"/>
  <c r="D2397" i="7"/>
  <c r="C2397" i="7"/>
  <c r="AR2396" i="7"/>
  <c r="AQ2396" i="7"/>
  <c r="AP2396" i="7"/>
  <c r="AL2396" i="7"/>
  <c r="AK2396" i="7"/>
  <c r="AJ2396" i="7" s="1"/>
  <c r="AD2396" i="7"/>
  <c r="AC2396" i="7"/>
  <c r="T2396" i="7"/>
  <c r="S2396" i="7"/>
  <c r="R2396" i="7"/>
  <c r="L2396" i="7"/>
  <c r="J2396" i="7" s="1"/>
  <c r="K2396" i="7"/>
  <c r="D2396" i="7"/>
  <c r="C2396" i="7"/>
  <c r="B2396" i="7"/>
  <c r="AR2395" i="7"/>
  <c r="AP2395" i="7" s="1"/>
  <c r="AQ2395" i="7"/>
  <c r="AL2395" i="7"/>
  <c r="AK2395" i="7"/>
  <c r="AD2395" i="7"/>
  <c r="AC2395" i="7"/>
  <c r="T2395" i="7"/>
  <c r="S2395" i="7"/>
  <c r="R2395" i="7"/>
  <c r="L2395" i="7"/>
  <c r="K2395" i="7"/>
  <c r="J2395" i="7" s="1"/>
  <c r="D2395" i="7"/>
  <c r="C2395" i="7"/>
  <c r="B2395" i="7"/>
  <c r="AR2394" i="7"/>
  <c r="AQ2394" i="7"/>
  <c r="AP2394" i="7" s="1"/>
  <c r="AL2394" i="7"/>
  <c r="AK2394" i="7"/>
  <c r="AI2394" i="7" s="1"/>
  <c r="AD2394" i="7"/>
  <c r="AC2394" i="7"/>
  <c r="AA2394" i="7" s="1"/>
  <c r="Z2394" i="7" s="1"/>
  <c r="AB2394" i="7"/>
  <c r="T2394" i="7"/>
  <c r="S2394" i="7"/>
  <c r="R2394" i="7" s="1"/>
  <c r="L2394" i="7"/>
  <c r="K2394" i="7"/>
  <c r="J2394" i="7"/>
  <c r="D2394" i="7"/>
  <c r="C2394" i="7"/>
  <c r="AR2393" i="7"/>
  <c r="AQ2393" i="7"/>
  <c r="AP2393" i="7"/>
  <c r="AL2393" i="7"/>
  <c r="AK2393" i="7"/>
  <c r="AJ2393" i="7" s="1"/>
  <c r="AD2393" i="7"/>
  <c r="AC2393" i="7"/>
  <c r="T2393" i="7"/>
  <c r="S2393" i="7"/>
  <c r="R2393" i="7"/>
  <c r="L2393" i="7"/>
  <c r="J2393" i="7" s="1"/>
  <c r="K2393" i="7"/>
  <c r="D2393" i="7"/>
  <c r="C2393" i="7"/>
  <c r="B2393" i="7"/>
  <c r="AR2392" i="7"/>
  <c r="AP2392" i="7" s="1"/>
  <c r="AQ2392" i="7"/>
  <c r="AL2392" i="7"/>
  <c r="AK2392" i="7"/>
  <c r="AD2392" i="7"/>
  <c r="AC2392" i="7"/>
  <c r="T2392" i="7"/>
  <c r="S2392" i="7"/>
  <c r="R2392" i="7"/>
  <c r="L2392" i="7"/>
  <c r="K2392" i="7"/>
  <c r="J2392" i="7" s="1"/>
  <c r="D2392" i="7"/>
  <c r="C2392" i="7"/>
  <c r="B2392" i="7"/>
  <c r="AR2391" i="7"/>
  <c r="AQ2391" i="7"/>
  <c r="AP2391" i="7" s="1"/>
  <c r="AL2391" i="7"/>
  <c r="AK2391" i="7"/>
  <c r="AD2391" i="7"/>
  <c r="AC2391" i="7"/>
  <c r="AA2391" i="7" s="1"/>
  <c r="T2391" i="7"/>
  <c r="S2391" i="7"/>
  <c r="R2391" i="7" s="1"/>
  <c r="L2391" i="7"/>
  <c r="K2391" i="7"/>
  <c r="J2391" i="7"/>
  <c r="D2391" i="7"/>
  <c r="C2391" i="7"/>
  <c r="AR2390" i="7"/>
  <c r="AQ2390" i="7"/>
  <c r="AP2390" i="7"/>
  <c r="AL2390" i="7"/>
  <c r="AK2390" i="7"/>
  <c r="AD2390" i="7"/>
  <c r="AC2390" i="7"/>
  <c r="T2390" i="7"/>
  <c r="S2390" i="7"/>
  <c r="R2390" i="7"/>
  <c r="L2390" i="7"/>
  <c r="K2390" i="7"/>
  <c r="J2390" i="7"/>
  <c r="D2390" i="7"/>
  <c r="C2390" i="7"/>
  <c r="B2390" i="7"/>
  <c r="AR2389" i="7"/>
  <c r="AQ2389" i="7"/>
  <c r="AP2389" i="7"/>
  <c r="AL2389" i="7"/>
  <c r="AK2389" i="7"/>
  <c r="AD2389" i="7"/>
  <c r="AC2389" i="7"/>
  <c r="T2389" i="7"/>
  <c r="S2389" i="7"/>
  <c r="R2389" i="7"/>
  <c r="L2389" i="7"/>
  <c r="K2389" i="7"/>
  <c r="J2389" i="7" s="1"/>
  <c r="D2389" i="7"/>
  <c r="C2389" i="7"/>
  <c r="B2389" i="7"/>
  <c r="AR2388" i="7"/>
  <c r="AQ2388" i="7"/>
  <c r="AP2388" i="7" s="1"/>
  <c r="AL2388" i="7"/>
  <c r="AK2388" i="7"/>
  <c r="AD2388" i="7"/>
  <c r="AC2388" i="7"/>
  <c r="T2388" i="7"/>
  <c r="S2388" i="7"/>
  <c r="R2388" i="7" s="1"/>
  <c r="L2388" i="7"/>
  <c r="K2388" i="7"/>
  <c r="J2388" i="7"/>
  <c r="D2388" i="7"/>
  <c r="C2388" i="7"/>
  <c r="AR2387" i="7"/>
  <c r="AQ2387" i="7"/>
  <c r="AP2387" i="7"/>
  <c r="AL2387" i="7"/>
  <c r="AK2387" i="7"/>
  <c r="AJ2387" i="7" s="1"/>
  <c r="AD2387" i="7"/>
  <c r="AC2387" i="7"/>
  <c r="T2387" i="7"/>
  <c r="S2387" i="7"/>
  <c r="R2387" i="7"/>
  <c r="L2387" i="7"/>
  <c r="K2387" i="7"/>
  <c r="J2387" i="7"/>
  <c r="D2387" i="7"/>
  <c r="C2387" i="7"/>
  <c r="B2387" i="7"/>
  <c r="AR2386" i="7"/>
  <c r="AQ2386" i="7"/>
  <c r="AP2386" i="7"/>
  <c r="AL2386" i="7"/>
  <c r="AK2386" i="7"/>
  <c r="AD2386" i="7"/>
  <c r="AC2386" i="7"/>
  <c r="T2386" i="7"/>
  <c r="S2386" i="7"/>
  <c r="R2386" i="7"/>
  <c r="L2386" i="7"/>
  <c r="K2386" i="7"/>
  <c r="J2386" i="7" s="1"/>
  <c r="D2386" i="7"/>
  <c r="C2386" i="7"/>
  <c r="B2386" i="7"/>
  <c r="AR2385" i="7"/>
  <c r="AQ2385" i="7"/>
  <c r="AP2385" i="7" s="1"/>
  <c r="AL2385" i="7"/>
  <c r="AK2385" i="7"/>
  <c r="AD2385" i="7"/>
  <c r="AC2385" i="7"/>
  <c r="T2385" i="7"/>
  <c r="S2385" i="7"/>
  <c r="R2385" i="7" s="1"/>
  <c r="L2385" i="7"/>
  <c r="K2385" i="7"/>
  <c r="J2385" i="7"/>
  <c r="D2385" i="7"/>
  <c r="C2385" i="7"/>
  <c r="AR2384" i="7"/>
  <c r="AQ2384" i="7"/>
  <c r="AP2384" i="7"/>
  <c r="AL2384" i="7"/>
  <c r="AK2384" i="7"/>
  <c r="AD2384" i="7"/>
  <c r="AC2384" i="7"/>
  <c r="T2384" i="7"/>
  <c r="S2384" i="7"/>
  <c r="R2384" i="7"/>
  <c r="L2384" i="7"/>
  <c r="K2384" i="7"/>
  <c r="J2384" i="7"/>
  <c r="D2384" i="7"/>
  <c r="C2384" i="7"/>
  <c r="B2384" i="7"/>
  <c r="AR2383" i="7"/>
  <c r="AQ2383" i="7"/>
  <c r="AP2383" i="7"/>
  <c r="AL2383" i="7"/>
  <c r="AK2383" i="7"/>
  <c r="AD2383" i="7"/>
  <c r="AC2383" i="7"/>
  <c r="AB2383" i="7" s="1"/>
  <c r="T2383" i="7"/>
  <c r="S2383" i="7"/>
  <c r="R2383" i="7"/>
  <c r="L2383" i="7"/>
  <c r="K2383" i="7"/>
  <c r="J2383" i="7" s="1"/>
  <c r="D2383" i="7"/>
  <c r="C2383" i="7"/>
  <c r="B2383" i="7"/>
  <c r="AR2382" i="7"/>
  <c r="AQ2382" i="7"/>
  <c r="AP2382" i="7" s="1"/>
  <c r="AL2382" i="7"/>
  <c r="AK2382" i="7"/>
  <c r="AD2382" i="7"/>
  <c r="AC2382" i="7"/>
  <c r="T2382" i="7"/>
  <c r="S2382" i="7"/>
  <c r="R2382" i="7" s="1"/>
  <c r="L2382" i="7"/>
  <c r="K2382" i="7"/>
  <c r="J2382" i="7"/>
  <c r="D2382" i="7"/>
  <c r="C2382" i="7"/>
  <c r="AR2381" i="7"/>
  <c r="AQ2381" i="7"/>
  <c r="AP2381" i="7"/>
  <c r="AL2381" i="7"/>
  <c r="AK2381" i="7"/>
  <c r="AJ2381" i="7" s="1"/>
  <c r="AD2381" i="7"/>
  <c r="AC2381" i="7"/>
  <c r="T2381" i="7"/>
  <c r="S2381" i="7"/>
  <c r="R2381" i="7"/>
  <c r="L2381" i="7"/>
  <c r="K2381" i="7"/>
  <c r="J2381" i="7"/>
  <c r="D2381" i="7"/>
  <c r="C2381" i="7"/>
  <c r="B2381" i="7"/>
  <c r="AR2380" i="7"/>
  <c r="AQ2380" i="7"/>
  <c r="AP2380" i="7"/>
  <c r="AL2380" i="7"/>
  <c r="AK2380" i="7"/>
  <c r="AD2380" i="7"/>
  <c r="AC2380" i="7"/>
  <c r="T2380" i="7"/>
  <c r="S2380" i="7"/>
  <c r="R2380" i="7"/>
  <c r="L2380" i="7"/>
  <c r="K2380" i="7"/>
  <c r="D2380" i="7"/>
  <c r="C2380" i="7"/>
  <c r="B2380" i="7"/>
  <c r="AR2379" i="7"/>
  <c r="AQ2379" i="7"/>
  <c r="AP2379" i="7" s="1"/>
  <c r="AL2379" i="7"/>
  <c r="AK2379" i="7"/>
  <c r="AJ2379" i="7" s="1"/>
  <c r="AD2379" i="7"/>
  <c r="AC2379" i="7"/>
  <c r="AA2379" i="7" s="1"/>
  <c r="T2379" i="7"/>
  <c r="S2379" i="7"/>
  <c r="R2379" i="7" s="1"/>
  <c r="L2379" i="7"/>
  <c r="K2379" i="7"/>
  <c r="J2379" i="7"/>
  <c r="D2379" i="7"/>
  <c r="C2379" i="7"/>
  <c r="AR2378" i="7"/>
  <c r="AQ2378" i="7"/>
  <c r="AP2378" i="7"/>
  <c r="AL2378" i="7"/>
  <c r="AK2378" i="7"/>
  <c r="AD2378" i="7"/>
  <c r="AC2378" i="7"/>
  <c r="T2378" i="7"/>
  <c r="S2378" i="7"/>
  <c r="R2378" i="7"/>
  <c r="L2378" i="7"/>
  <c r="K2378" i="7"/>
  <c r="J2378" i="7"/>
  <c r="D2378" i="7"/>
  <c r="C2378" i="7"/>
  <c r="B2378" i="7"/>
  <c r="AR2377" i="7"/>
  <c r="AQ2377" i="7"/>
  <c r="AP2377" i="7"/>
  <c r="AL2377" i="7"/>
  <c r="AK2377" i="7"/>
  <c r="AD2377" i="7"/>
  <c r="AC2377" i="7"/>
  <c r="AB2377" i="7" s="1"/>
  <c r="T2377" i="7"/>
  <c r="S2377" i="7"/>
  <c r="R2377" i="7"/>
  <c r="L2377" i="7"/>
  <c r="K2377" i="7"/>
  <c r="D2377" i="7"/>
  <c r="C2377" i="7"/>
  <c r="B2377" i="7"/>
  <c r="AR2376" i="7"/>
  <c r="AQ2376" i="7"/>
  <c r="AP2376" i="7" s="1"/>
  <c r="AL2376" i="7"/>
  <c r="AK2376" i="7"/>
  <c r="AD2376" i="7"/>
  <c r="AC2376" i="7"/>
  <c r="AB2376" i="7" s="1"/>
  <c r="T2376" i="7"/>
  <c r="S2376" i="7"/>
  <c r="R2376" i="7" s="1"/>
  <c r="L2376" i="7"/>
  <c r="K2376" i="7"/>
  <c r="J2376" i="7"/>
  <c r="D2376" i="7"/>
  <c r="C2376" i="7"/>
  <c r="AR2375" i="7"/>
  <c r="AQ2375" i="7"/>
  <c r="AP2375" i="7"/>
  <c r="AL2375" i="7"/>
  <c r="AK2375" i="7"/>
  <c r="AD2375" i="7"/>
  <c r="AC2375" i="7"/>
  <c r="T2375" i="7"/>
  <c r="S2375" i="7"/>
  <c r="R2375" i="7"/>
  <c r="L2375" i="7"/>
  <c r="K2375" i="7"/>
  <c r="J2375" i="7"/>
  <c r="D2375" i="7"/>
  <c r="C2375" i="7"/>
  <c r="B2375" i="7"/>
  <c r="AR2374" i="7"/>
  <c r="AQ2374" i="7"/>
  <c r="AP2374" i="7"/>
  <c r="AL2374" i="7"/>
  <c r="AK2374" i="7"/>
  <c r="AD2374" i="7"/>
  <c r="AC2374" i="7"/>
  <c r="AB2374" i="7" s="1"/>
  <c r="T2374" i="7"/>
  <c r="S2374" i="7"/>
  <c r="R2374" i="7"/>
  <c r="L2374" i="7"/>
  <c r="K2374" i="7"/>
  <c r="D2374" i="7"/>
  <c r="C2374" i="7"/>
  <c r="B2374" i="7"/>
  <c r="AR2373" i="7"/>
  <c r="AQ2373" i="7"/>
  <c r="AP2373" i="7" s="1"/>
  <c r="AL2373" i="7"/>
  <c r="AK2373" i="7"/>
  <c r="AD2373" i="7"/>
  <c r="AC2373" i="7"/>
  <c r="T2373" i="7"/>
  <c r="S2373" i="7"/>
  <c r="R2373" i="7" s="1"/>
  <c r="L2373" i="7"/>
  <c r="K2373" i="7"/>
  <c r="J2373" i="7"/>
  <c r="D2373" i="7"/>
  <c r="C2373" i="7"/>
  <c r="AR2372" i="7"/>
  <c r="AQ2372" i="7"/>
  <c r="AP2372" i="7"/>
  <c r="AL2372" i="7"/>
  <c r="AK2372" i="7"/>
  <c r="AD2372" i="7"/>
  <c r="AC2372" i="7"/>
  <c r="T2372" i="7"/>
  <c r="S2372" i="7"/>
  <c r="R2372" i="7"/>
  <c r="L2372" i="7"/>
  <c r="K2372" i="7"/>
  <c r="J2372" i="7"/>
  <c r="D2372" i="7"/>
  <c r="C2372" i="7"/>
  <c r="B2372" i="7"/>
  <c r="AR2371" i="7"/>
  <c r="AQ2371" i="7"/>
  <c r="AP2371" i="7"/>
  <c r="AL2371" i="7"/>
  <c r="AK2371" i="7"/>
  <c r="AD2371" i="7"/>
  <c r="AC2371" i="7"/>
  <c r="T2371" i="7"/>
  <c r="S2371" i="7"/>
  <c r="R2371" i="7"/>
  <c r="L2371" i="7"/>
  <c r="K2371" i="7"/>
  <c r="D2371" i="7"/>
  <c r="C2371" i="7"/>
  <c r="B2371" i="7"/>
  <c r="AR2370" i="7"/>
  <c r="AQ2370" i="7"/>
  <c r="AP2370" i="7" s="1"/>
  <c r="AL2370" i="7"/>
  <c r="AK2370" i="7"/>
  <c r="AD2370" i="7"/>
  <c r="AC2370" i="7"/>
  <c r="T2370" i="7"/>
  <c r="S2370" i="7"/>
  <c r="R2370" i="7" s="1"/>
  <c r="L2370" i="7"/>
  <c r="K2370" i="7"/>
  <c r="J2370" i="7"/>
  <c r="D2370" i="7"/>
  <c r="C2370" i="7"/>
  <c r="AR2369" i="7"/>
  <c r="AQ2369" i="7"/>
  <c r="AP2369" i="7" s="1"/>
  <c r="AL2369" i="7"/>
  <c r="AK2369" i="7"/>
  <c r="AD2369" i="7"/>
  <c r="AC2369" i="7"/>
  <c r="T2369" i="7"/>
  <c r="S2369" i="7"/>
  <c r="R2369" i="7" s="1"/>
  <c r="L2369" i="7"/>
  <c r="K2369" i="7"/>
  <c r="J2369" i="7"/>
  <c r="D2369" i="7"/>
  <c r="C2369" i="7"/>
  <c r="B2369" i="7" s="1"/>
  <c r="AR2368" i="7"/>
  <c r="AQ2368" i="7"/>
  <c r="AP2368" i="7"/>
  <c r="AL2368" i="7"/>
  <c r="AK2368" i="7"/>
  <c r="AD2368" i="7"/>
  <c r="AC2368" i="7"/>
  <c r="T2368" i="7"/>
  <c r="S2368" i="7"/>
  <c r="R2368" i="7"/>
  <c r="L2368" i="7"/>
  <c r="K2368" i="7"/>
  <c r="D2368" i="7"/>
  <c r="C2368" i="7"/>
  <c r="B2368" i="7"/>
  <c r="AR2367" i="7"/>
  <c r="AQ2367" i="7"/>
  <c r="AL2367" i="7"/>
  <c r="AK2367" i="7"/>
  <c r="AD2367" i="7"/>
  <c r="AC2367" i="7"/>
  <c r="T2367" i="7"/>
  <c r="S2367" i="7"/>
  <c r="L2367" i="7"/>
  <c r="K2367" i="7"/>
  <c r="J2367" i="7"/>
  <c r="D2367" i="7"/>
  <c r="C2367" i="7"/>
  <c r="B2367" i="7" s="1"/>
  <c r="AR2366" i="7"/>
  <c r="AQ2366" i="7"/>
  <c r="AP2366" i="7"/>
  <c r="AL2366" i="7"/>
  <c r="AK2366" i="7"/>
  <c r="AJ2366" i="7" s="1"/>
  <c r="AD2366" i="7"/>
  <c r="AC2366" i="7"/>
  <c r="T2366" i="7"/>
  <c r="R2366" i="7" s="1"/>
  <c r="S2366" i="7"/>
  <c r="L2366" i="7"/>
  <c r="K2366" i="7"/>
  <c r="J2366" i="7"/>
  <c r="D2366" i="7"/>
  <c r="B2366" i="7" s="1"/>
  <c r="C2366" i="7"/>
  <c r="AR2365" i="7"/>
  <c r="AQ2365" i="7"/>
  <c r="AP2365" i="7"/>
  <c r="AL2365" i="7"/>
  <c r="AK2365" i="7"/>
  <c r="AD2365" i="7"/>
  <c r="AC2365" i="7"/>
  <c r="T2365" i="7"/>
  <c r="S2365" i="7"/>
  <c r="R2365" i="7"/>
  <c r="L2365" i="7"/>
  <c r="K2365" i="7"/>
  <c r="J2365" i="7" s="1"/>
  <c r="D2365" i="7"/>
  <c r="C2365" i="7"/>
  <c r="B2365" i="7"/>
  <c r="AR2364" i="7"/>
  <c r="AQ2364" i="7"/>
  <c r="AL2364" i="7"/>
  <c r="AK2364" i="7"/>
  <c r="AJ2364" i="7" s="1"/>
  <c r="AD2364" i="7"/>
  <c r="AC2364" i="7"/>
  <c r="AA2364" i="7" s="1"/>
  <c r="T2364" i="7"/>
  <c r="S2364" i="7"/>
  <c r="L2364" i="7"/>
  <c r="K2364" i="7"/>
  <c r="J2364" i="7" s="1"/>
  <c r="D2364" i="7"/>
  <c r="C2364" i="7"/>
  <c r="AR2363" i="7"/>
  <c r="AQ2363" i="7"/>
  <c r="AP2363" i="7"/>
  <c r="AL2363" i="7"/>
  <c r="AK2363" i="7"/>
  <c r="AD2363" i="7"/>
  <c r="AC2363" i="7"/>
  <c r="T2363" i="7"/>
  <c r="S2363" i="7"/>
  <c r="R2363" i="7" s="1"/>
  <c r="L2363" i="7"/>
  <c r="K2363" i="7"/>
  <c r="J2363" i="7"/>
  <c r="D2363" i="7"/>
  <c r="C2363" i="7"/>
  <c r="B2363" i="7" s="1"/>
  <c r="AR2362" i="7"/>
  <c r="AQ2362" i="7"/>
  <c r="AP2362" i="7"/>
  <c r="AL2362" i="7"/>
  <c r="AK2362" i="7"/>
  <c r="AI2362" i="7" s="1"/>
  <c r="AD2362" i="7"/>
  <c r="AC2362" i="7"/>
  <c r="T2362" i="7"/>
  <c r="S2362" i="7"/>
  <c r="R2362" i="7"/>
  <c r="L2362" i="7"/>
  <c r="K2362" i="7"/>
  <c r="J2362" i="7" s="1"/>
  <c r="D2362" i="7"/>
  <c r="C2362" i="7"/>
  <c r="B2362" i="7"/>
  <c r="AR2361" i="7"/>
  <c r="AQ2361" i="7"/>
  <c r="AP2361" i="7" s="1"/>
  <c r="AL2361" i="7"/>
  <c r="AK2361" i="7"/>
  <c r="AI2361" i="7" s="1"/>
  <c r="AJ2361" i="7"/>
  <c r="AD2361" i="7"/>
  <c r="AC2361" i="7"/>
  <c r="T2361" i="7"/>
  <c r="S2361" i="7"/>
  <c r="R2361" i="7" s="1"/>
  <c r="L2361" i="7"/>
  <c r="K2361" i="7"/>
  <c r="J2361" i="7"/>
  <c r="D2361" i="7"/>
  <c r="C2361" i="7"/>
  <c r="AR2360" i="7"/>
  <c r="AQ2360" i="7"/>
  <c r="AP2360" i="7" s="1"/>
  <c r="AL2360" i="7"/>
  <c r="AK2360" i="7"/>
  <c r="AD2360" i="7"/>
  <c r="AC2360" i="7"/>
  <c r="T2360" i="7"/>
  <c r="S2360" i="7"/>
  <c r="R2360" i="7" s="1"/>
  <c r="L2360" i="7"/>
  <c r="K2360" i="7"/>
  <c r="J2360" i="7"/>
  <c r="D2360" i="7"/>
  <c r="C2360" i="7"/>
  <c r="B2360" i="7" s="1"/>
  <c r="AR2359" i="7"/>
  <c r="AQ2359" i="7"/>
  <c r="AP2359" i="7"/>
  <c r="AL2359" i="7"/>
  <c r="AK2359" i="7"/>
  <c r="AI2359" i="7" s="1"/>
  <c r="AD2359" i="7"/>
  <c r="AC2359" i="7"/>
  <c r="T2359" i="7"/>
  <c r="S2359" i="7"/>
  <c r="R2359" i="7"/>
  <c r="L2359" i="7"/>
  <c r="K2359" i="7"/>
  <c r="D2359" i="7"/>
  <c r="C2359" i="7"/>
  <c r="B2359" i="7"/>
  <c r="AR2358" i="7"/>
  <c r="AQ2358" i="7"/>
  <c r="AP2358" i="7" s="1"/>
  <c r="AL2358" i="7"/>
  <c r="AK2358" i="7"/>
  <c r="AD2358" i="7"/>
  <c r="AC2358" i="7"/>
  <c r="AA2358" i="7" s="1"/>
  <c r="T2358" i="7"/>
  <c r="S2358" i="7"/>
  <c r="R2358" i="7" s="1"/>
  <c r="L2358" i="7"/>
  <c r="K2358" i="7"/>
  <c r="J2358" i="7" s="1"/>
  <c r="D2358" i="7"/>
  <c r="C2358" i="7"/>
  <c r="B2358" i="7" s="1"/>
  <c r="AR2357" i="7"/>
  <c r="AQ2357" i="7"/>
  <c r="AP2357" i="7"/>
  <c r="AL2357" i="7"/>
  <c r="AK2357" i="7"/>
  <c r="AD2357" i="7"/>
  <c r="AC2357" i="7"/>
  <c r="T2357" i="7"/>
  <c r="S2357" i="7"/>
  <c r="R2357" i="7"/>
  <c r="L2357" i="7"/>
  <c r="K2357" i="7"/>
  <c r="J2357" i="7"/>
  <c r="D2357" i="7"/>
  <c r="C2357" i="7"/>
  <c r="B2357" i="7"/>
  <c r="AR2356" i="7"/>
  <c r="AQ2356" i="7"/>
  <c r="AP2356" i="7"/>
  <c r="AL2356" i="7"/>
  <c r="AK2356" i="7"/>
  <c r="AD2356" i="7"/>
  <c r="AC2356" i="7"/>
  <c r="AA2356" i="7" s="1"/>
  <c r="T2356" i="7"/>
  <c r="S2356" i="7"/>
  <c r="R2356" i="7"/>
  <c r="L2356" i="7"/>
  <c r="K2356" i="7"/>
  <c r="J2356" i="7" s="1"/>
  <c r="D2356" i="7"/>
  <c r="C2356" i="7"/>
  <c r="B2356" i="7"/>
  <c r="AR2355" i="7"/>
  <c r="AQ2355" i="7"/>
  <c r="AL2355" i="7"/>
  <c r="AK2355" i="7"/>
  <c r="AI2355" i="7" s="1"/>
  <c r="AD2355" i="7"/>
  <c r="AC2355" i="7"/>
  <c r="T2355" i="7"/>
  <c r="S2355" i="7"/>
  <c r="L2355" i="7"/>
  <c r="K2355" i="7"/>
  <c r="J2355" i="7" s="1"/>
  <c r="D2355" i="7"/>
  <c r="C2355" i="7"/>
  <c r="B2355" i="7" s="1"/>
  <c r="AR2354" i="7"/>
  <c r="AQ2354" i="7"/>
  <c r="AP2354" i="7" s="1"/>
  <c r="AL2354" i="7"/>
  <c r="AK2354" i="7"/>
  <c r="AD2354" i="7"/>
  <c r="AC2354" i="7"/>
  <c r="T2354" i="7"/>
  <c r="S2354" i="7"/>
  <c r="R2354" i="7"/>
  <c r="L2354" i="7"/>
  <c r="K2354" i="7"/>
  <c r="J2354" i="7"/>
  <c r="D2354" i="7"/>
  <c r="C2354" i="7"/>
  <c r="B2354" i="7"/>
  <c r="AR2353" i="7"/>
  <c r="AQ2353" i="7"/>
  <c r="AP2353" i="7"/>
  <c r="AL2353" i="7"/>
  <c r="AK2353" i="7"/>
  <c r="AD2353" i="7"/>
  <c r="AC2353" i="7"/>
  <c r="AB2353" i="7" s="1"/>
  <c r="T2353" i="7"/>
  <c r="S2353" i="7"/>
  <c r="R2353" i="7"/>
  <c r="L2353" i="7"/>
  <c r="K2353" i="7"/>
  <c r="D2353" i="7"/>
  <c r="C2353" i="7"/>
  <c r="B2353" i="7"/>
  <c r="AR2352" i="7"/>
  <c r="AQ2352" i="7"/>
  <c r="AP2352" i="7" s="1"/>
  <c r="AL2352" i="7"/>
  <c r="AK2352" i="7"/>
  <c r="AD2352" i="7"/>
  <c r="AC2352" i="7"/>
  <c r="T2352" i="7"/>
  <c r="S2352" i="7"/>
  <c r="R2352" i="7" s="1"/>
  <c r="L2352" i="7"/>
  <c r="K2352" i="7"/>
  <c r="J2352" i="7"/>
  <c r="D2352" i="7"/>
  <c r="C2352" i="7"/>
  <c r="AR2351" i="7"/>
  <c r="AQ2351" i="7"/>
  <c r="AP2351" i="7" s="1"/>
  <c r="AL2351" i="7"/>
  <c r="AK2351" i="7"/>
  <c r="AD2351" i="7"/>
  <c r="AC2351" i="7"/>
  <c r="T2351" i="7"/>
  <c r="S2351" i="7"/>
  <c r="R2351" i="7" s="1"/>
  <c r="L2351" i="7"/>
  <c r="K2351" i="7"/>
  <c r="J2351" i="7"/>
  <c r="D2351" i="7"/>
  <c r="C2351" i="7"/>
  <c r="B2351" i="7" s="1"/>
  <c r="AR2350" i="7"/>
  <c r="AQ2350" i="7"/>
  <c r="AP2350" i="7"/>
  <c r="AL2350" i="7"/>
  <c r="AK2350" i="7"/>
  <c r="AD2350" i="7"/>
  <c r="AC2350" i="7"/>
  <c r="T2350" i="7"/>
  <c r="S2350" i="7"/>
  <c r="R2350" i="7"/>
  <c r="L2350" i="7"/>
  <c r="K2350" i="7"/>
  <c r="D2350" i="7"/>
  <c r="C2350" i="7"/>
  <c r="B2350" i="7"/>
  <c r="AR2349" i="7"/>
  <c r="AQ2349" i="7"/>
  <c r="AL2349" i="7"/>
  <c r="AK2349" i="7"/>
  <c r="AD2349" i="7"/>
  <c r="AC2349" i="7"/>
  <c r="AA2349" i="7" s="1"/>
  <c r="T2349" i="7"/>
  <c r="S2349" i="7"/>
  <c r="L2349" i="7"/>
  <c r="K2349" i="7"/>
  <c r="J2349" i="7"/>
  <c r="D2349" i="7"/>
  <c r="C2349" i="7"/>
  <c r="B2349" i="7" s="1"/>
  <c r="AR2348" i="7"/>
  <c r="AQ2348" i="7"/>
  <c r="AP2348" i="7"/>
  <c r="AL2348" i="7"/>
  <c r="AK2348" i="7"/>
  <c r="AJ2348" i="7" s="1"/>
  <c r="AD2348" i="7"/>
  <c r="AC2348" i="7"/>
  <c r="T2348" i="7"/>
  <c r="R2348" i="7" s="1"/>
  <c r="S2348" i="7"/>
  <c r="L2348" i="7"/>
  <c r="K2348" i="7"/>
  <c r="J2348" i="7"/>
  <c r="D2348" i="7"/>
  <c r="B2348" i="7" s="1"/>
  <c r="C2348" i="7"/>
  <c r="AR2347" i="7"/>
  <c r="AQ2347" i="7"/>
  <c r="AP2347" i="7"/>
  <c r="AL2347" i="7"/>
  <c r="AK2347" i="7"/>
  <c r="AI2347" i="7" s="1"/>
  <c r="AD2347" i="7"/>
  <c r="AC2347" i="7"/>
  <c r="T2347" i="7"/>
  <c r="S2347" i="7"/>
  <c r="R2347" i="7"/>
  <c r="L2347" i="7"/>
  <c r="K2347" i="7"/>
  <c r="J2347" i="7" s="1"/>
  <c r="D2347" i="7"/>
  <c r="C2347" i="7"/>
  <c r="B2347" i="7"/>
  <c r="AR2346" i="7"/>
  <c r="AQ2346" i="7"/>
  <c r="AL2346" i="7"/>
  <c r="AK2346" i="7"/>
  <c r="AJ2346" i="7" s="1"/>
  <c r="AD2346" i="7"/>
  <c r="AC2346" i="7"/>
  <c r="T2346" i="7"/>
  <c r="S2346" i="7"/>
  <c r="L2346" i="7"/>
  <c r="K2346" i="7"/>
  <c r="J2346" i="7" s="1"/>
  <c r="D2346" i="7"/>
  <c r="C2346" i="7"/>
  <c r="AR2345" i="7"/>
  <c r="AQ2345" i="7"/>
  <c r="AP2345" i="7"/>
  <c r="AL2345" i="7"/>
  <c r="AK2345" i="7"/>
  <c r="AJ2345" i="7" s="1"/>
  <c r="AD2345" i="7"/>
  <c r="AC2345" i="7"/>
  <c r="T2345" i="7"/>
  <c r="S2345" i="7"/>
  <c r="R2345" i="7" s="1"/>
  <c r="L2345" i="7"/>
  <c r="K2345" i="7"/>
  <c r="J2345" i="7"/>
  <c r="D2345" i="7"/>
  <c r="C2345" i="7"/>
  <c r="B2345" i="7" s="1"/>
  <c r="AR2344" i="7"/>
  <c r="AQ2344" i="7"/>
  <c r="AP2344" i="7"/>
  <c r="AL2344" i="7"/>
  <c r="AK2344" i="7"/>
  <c r="AI2344" i="7" s="1"/>
  <c r="AD2344" i="7"/>
  <c r="AC2344" i="7"/>
  <c r="T2344" i="7"/>
  <c r="S2344" i="7"/>
  <c r="R2344" i="7"/>
  <c r="L2344" i="7"/>
  <c r="K2344" i="7"/>
  <c r="J2344" i="7" s="1"/>
  <c r="D2344" i="7"/>
  <c r="C2344" i="7"/>
  <c r="B2344" i="7"/>
  <c r="AR2343" i="7"/>
  <c r="AQ2343" i="7"/>
  <c r="AP2343" i="7" s="1"/>
  <c r="AL2343" i="7"/>
  <c r="AK2343" i="7"/>
  <c r="AJ2343" i="7" s="1"/>
  <c r="AD2343" i="7"/>
  <c r="AC2343" i="7"/>
  <c r="T2343" i="7"/>
  <c r="S2343" i="7"/>
  <c r="R2343" i="7" s="1"/>
  <c r="L2343" i="7"/>
  <c r="K2343" i="7"/>
  <c r="J2343" i="7"/>
  <c r="D2343" i="7"/>
  <c r="C2343" i="7"/>
  <c r="AR2342" i="7"/>
  <c r="AQ2342" i="7"/>
  <c r="AP2342" i="7" s="1"/>
  <c r="AL2342" i="7"/>
  <c r="AK2342" i="7"/>
  <c r="AJ2342" i="7" s="1"/>
  <c r="AD2342" i="7"/>
  <c r="AC2342" i="7"/>
  <c r="T2342" i="7"/>
  <c r="S2342" i="7"/>
  <c r="R2342" i="7" s="1"/>
  <c r="L2342" i="7"/>
  <c r="K2342" i="7"/>
  <c r="J2342" i="7"/>
  <c r="D2342" i="7"/>
  <c r="C2342" i="7"/>
  <c r="B2342" i="7" s="1"/>
  <c r="AR2341" i="7"/>
  <c r="AQ2341" i="7"/>
  <c r="AP2341" i="7"/>
  <c r="AL2341" i="7"/>
  <c r="AK2341" i="7"/>
  <c r="AI2341" i="7" s="1"/>
  <c r="AD2341" i="7"/>
  <c r="AC2341" i="7"/>
  <c r="T2341" i="7"/>
  <c r="S2341" i="7"/>
  <c r="R2341" i="7"/>
  <c r="L2341" i="7"/>
  <c r="K2341" i="7"/>
  <c r="D2341" i="7"/>
  <c r="C2341" i="7"/>
  <c r="B2341" i="7" s="1"/>
  <c r="AR2340" i="7"/>
  <c r="AQ2340" i="7"/>
  <c r="AP2340" i="7" s="1"/>
  <c r="AL2340" i="7"/>
  <c r="AK2340" i="7"/>
  <c r="AJ2340" i="7" s="1"/>
  <c r="AD2340" i="7"/>
  <c r="AC2340" i="7"/>
  <c r="AB2340" i="7" s="1"/>
  <c r="T2340" i="7"/>
  <c r="S2340" i="7"/>
  <c r="R2340" i="7" s="1"/>
  <c r="L2340" i="7"/>
  <c r="K2340" i="7"/>
  <c r="J2340" i="7" s="1"/>
  <c r="D2340" i="7"/>
  <c r="C2340" i="7"/>
  <c r="B2340" i="7" s="1"/>
  <c r="AR2339" i="7"/>
  <c r="AP2339" i="7" s="1"/>
  <c r="AQ2339" i="7"/>
  <c r="AL2339" i="7"/>
  <c r="AK2339" i="7"/>
  <c r="AJ2339" i="7" s="1"/>
  <c r="AD2339" i="7"/>
  <c r="AC2339" i="7"/>
  <c r="T2339" i="7"/>
  <c r="S2339" i="7"/>
  <c r="R2339" i="7"/>
  <c r="L2339" i="7"/>
  <c r="K2339" i="7"/>
  <c r="J2339" i="7"/>
  <c r="D2339" i="7"/>
  <c r="C2339" i="7"/>
  <c r="B2339" i="7"/>
  <c r="AR2338" i="7"/>
  <c r="AQ2338" i="7"/>
  <c r="AP2338" i="7"/>
  <c r="AL2338" i="7"/>
  <c r="AK2338" i="7"/>
  <c r="AI2338" i="7" s="1"/>
  <c r="AD2338" i="7"/>
  <c r="AC2338" i="7"/>
  <c r="AB2338" i="7" s="1"/>
  <c r="T2338" i="7"/>
  <c r="S2338" i="7"/>
  <c r="R2338" i="7" s="1"/>
  <c r="L2338" i="7"/>
  <c r="K2338" i="7"/>
  <c r="D2338" i="7"/>
  <c r="C2338" i="7"/>
  <c r="B2338" i="7"/>
  <c r="AR2337" i="7"/>
  <c r="AQ2337" i="7"/>
  <c r="AP2337" i="7" s="1"/>
  <c r="AL2337" i="7"/>
  <c r="AK2337" i="7"/>
  <c r="AD2337" i="7"/>
  <c r="AC2337" i="7"/>
  <c r="T2337" i="7"/>
  <c r="S2337" i="7"/>
  <c r="R2337" i="7" s="1"/>
  <c r="L2337" i="7"/>
  <c r="K2337" i="7"/>
  <c r="J2337" i="7"/>
  <c r="D2337" i="7"/>
  <c r="C2337" i="7"/>
  <c r="AR2336" i="7"/>
  <c r="AQ2336" i="7"/>
  <c r="AP2336" i="7" s="1"/>
  <c r="AL2336" i="7"/>
  <c r="AK2336" i="7"/>
  <c r="AD2336" i="7"/>
  <c r="AC2336" i="7"/>
  <c r="T2336" i="7"/>
  <c r="R2336" i="7" s="1"/>
  <c r="S2336" i="7"/>
  <c r="L2336" i="7"/>
  <c r="K2336" i="7"/>
  <c r="J2336" i="7"/>
  <c r="D2336" i="7"/>
  <c r="B2336" i="7" s="1"/>
  <c r="C2336" i="7"/>
  <c r="AR2335" i="7"/>
  <c r="AQ2335" i="7"/>
  <c r="AP2335" i="7"/>
  <c r="AL2335" i="7"/>
  <c r="AK2335" i="7"/>
  <c r="AI2335" i="7" s="1"/>
  <c r="AD2335" i="7"/>
  <c r="AC2335" i="7"/>
  <c r="T2335" i="7"/>
  <c r="S2335" i="7"/>
  <c r="R2335" i="7" s="1"/>
  <c r="L2335" i="7"/>
  <c r="K2335" i="7"/>
  <c r="J2335" i="7" s="1"/>
  <c r="D2335" i="7"/>
  <c r="C2335" i="7"/>
  <c r="B2335" i="7"/>
  <c r="AR2334" i="7"/>
  <c r="AQ2334" i="7"/>
  <c r="AL2334" i="7"/>
  <c r="AK2334" i="7"/>
  <c r="AD2334" i="7"/>
  <c r="AC2334" i="7"/>
  <c r="AB2334" i="7" s="1"/>
  <c r="T2334" i="7"/>
  <c r="S2334" i="7"/>
  <c r="L2334" i="7"/>
  <c r="K2334" i="7"/>
  <c r="J2334" i="7" s="1"/>
  <c r="D2334" i="7"/>
  <c r="C2334" i="7"/>
  <c r="AR2333" i="7"/>
  <c r="AQ2333" i="7"/>
  <c r="AP2333" i="7"/>
  <c r="AL2333" i="7"/>
  <c r="AK2333" i="7"/>
  <c r="AJ2333" i="7" s="1"/>
  <c r="AD2333" i="7"/>
  <c r="AC2333" i="7"/>
  <c r="T2333" i="7"/>
  <c r="S2333" i="7"/>
  <c r="R2333" i="7" s="1"/>
  <c r="L2333" i="7"/>
  <c r="K2333" i="7"/>
  <c r="J2333" i="7"/>
  <c r="D2333" i="7"/>
  <c r="C2333" i="7"/>
  <c r="B2333" i="7" s="1"/>
  <c r="AR2332" i="7"/>
  <c r="AQ2332" i="7"/>
  <c r="AP2332" i="7"/>
  <c r="AL2332" i="7"/>
  <c r="AK2332" i="7"/>
  <c r="AI2332" i="7" s="1"/>
  <c r="AD2332" i="7"/>
  <c r="AC2332" i="7"/>
  <c r="T2332" i="7"/>
  <c r="S2332" i="7"/>
  <c r="R2332" i="7"/>
  <c r="L2332" i="7"/>
  <c r="K2332" i="7"/>
  <c r="D2332" i="7"/>
  <c r="C2332" i="7"/>
  <c r="B2332" i="7" s="1"/>
  <c r="AR2331" i="7"/>
  <c r="AQ2331" i="7"/>
  <c r="AP2331" i="7" s="1"/>
  <c r="AL2331" i="7"/>
  <c r="AK2331" i="7"/>
  <c r="AJ2331" i="7" s="1"/>
  <c r="AD2331" i="7"/>
  <c r="AC2331" i="7"/>
  <c r="T2331" i="7"/>
  <c r="S2331" i="7"/>
  <c r="R2331" i="7" s="1"/>
  <c r="L2331" i="7"/>
  <c r="K2331" i="7"/>
  <c r="J2331" i="7" s="1"/>
  <c r="D2331" i="7"/>
  <c r="C2331" i="7"/>
  <c r="B2331" i="7" s="1"/>
  <c r="AR2330" i="7"/>
  <c r="AP2330" i="7" s="1"/>
  <c r="AQ2330" i="7"/>
  <c r="AL2330" i="7"/>
  <c r="AK2330" i="7"/>
  <c r="AD2330" i="7"/>
  <c r="AC2330" i="7"/>
  <c r="T2330" i="7"/>
  <c r="S2330" i="7"/>
  <c r="R2330" i="7"/>
  <c r="L2330" i="7"/>
  <c r="K2330" i="7"/>
  <c r="J2330" i="7"/>
  <c r="D2330" i="7"/>
  <c r="C2330" i="7"/>
  <c r="B2330" i="7"/>
  <c r="AR2329" i="7"/>
  <c r="AQ2329" i="7"/>
  <c r="AP2329" i="7"/>
  <c r="AL2329" i="7"/>
  <c r="AK2329" i="7"/>
  <c r="AD2329" i="7"/>
  <c r="AC2329" i="7"/>
  <c r="AB2329" i="7" s="1"/>
  <c r="T2329" i="7"/>
  <c r="S2329" i="7"/>
  <c r="R2329" i="7" s="1"/>
  <c r="L2329" i="7"/>
  <c r="K2329" i="7"/>
  <c r="D2329" i="7"/>
  <c r="C2329" i="7"/>
  <c r="B2329" i="7"/>
  <c r="AR2328" i="7"/>
  <c r="AQ2328" i="7"/>
  <c r="AP2328" i="7" s="1"/>
  <c r="AL2328" i="7"/>
  <c r="AK2328" i="7"/>
  <c r="AD2328" i="7"/>
  <c r="AC2328" i="7"/>
  <c r="AA2328" i="7" s="1"/>
  <c r="T2328" i="7"/>
  <c r="S2328" i="7"/>
  <c r="R2328" i="7" s="1"/>
  <c r="L2328" i="7"/>
  <c r="K2328" i="7"/>
  <c r="J2328" i="7"/>
  <c r="D2328" i="7"/>
  <c r="C2328" i="7"/>
  <c r="AR2327" i="7"/>
  <c r="AQ2327" i="7"/>
  <c r="AP2327" i="7" s="1"/>
  <c r="AL2327" i="7"/>
  <c r="AK2327" i="7"/>
  <c r="AD2327" i="7"/>
  <c r="AC2327" i="7"/>
  <c r="T2327" i="7"/>
  <c r="R2327" i="7" s="1"/>
  <c r="S2327" i="7"/>
  <c r="L2327" i="7"/>
  <c r="K2327" i="7"/>
  <c r="J2327" i="7"/>
  <c r="D2327" i="7"/>
  <c r="B2327" i="7" s="1"/>
  <c r="C2327" i="7"/>
  <c r="AR2326" i="7"/>
  <c r="AQ2326" i="7"/>
  <c r="AP2326" i="7"/>
  <c r="AL2326" i="7"/>
  <c r="AK2326" i="7"/>
  <c r="AD2326" i="7"/>
  <c r="AC2326" i="7"/>
  <c r="T2326" i="7"/>
  <c r="S2326" i="7"/>
  <c r="R2326" i="7" s="1"/>
  <c r="L2326" i="7"/>
  <c r="K2326" i="7"/>
  <c r="J2326" i="7" s="1"/>
  <c r="D2326" i="7"/>
  <c r="C2326" i="7"/>
  <c r="B2326" i="7"/>
  <c r="AR2325" i="7"/>
  <c r="AQ2325" i="7"/>
  <c r="AL2325" i="7"/>
  <c r="AK2325" i="7"/>
  <c r="AD2325" i="7"/>
  <c r="AC2325" i="7"/>
  <c r="AB2325" i="7" s="1"/>
  <c r="T2325" i="7"/>
  <c r="S2325" i="7"/>
  <c r="L2325" i="7"/>
  <c r="K2325" i="7"/>
  <c r="J2325" i="7" s="1"/>
  <c r="D2325" i="7"/>
  <c r="C2325" i="7"/>
  <c r="AR2324" i="7"/>
  <c r="AQ2324" i="7"/>
  <c r="AP2324" i="7"/>
  <c r="AL2324" i="7"/>
  <c r="AK2324" i="7"/>
  <c r="AJ2324" i="7" s="1"/>
  <c r="AD2324" i="7"/>
  <c r="AC2324" i="7"/>
  <c r="T2324" i="7"/>
  <c r="S2324" i="7"/>
  <c r="R2324" i="7" s="1"/>
  <c r="L2324" i="7"/>
  <c r="K2324" i="7"/>
  <c r="J2324" i="7"/>
  <c r="D2324" i="7"/>
  <c r="C2324" i="7"/>
  <c r="B2324" i="7" s="1"/>
  <c r="AR2323" i="7"/>
  <c r="AQ2323" i="7"/>
  <c r="AP2323" i="7"/>
  <c r="AL2323" i="7"/>
  <c r="AK2323" i="7"/>
  <c r="AI2323" i="7" s="1"/>
  <c r="AD2323" i="7"/>
  <c r="AC2323" i="7"/>
  <c r="T2323" i="7"/>
  <c r="S2323" i="7"/>
  <c r="R2323" i="7"/>
  <c r="L2323" i="7"/>
  <c r="K2323" i="7"/>
  <c r="D2323" i="7"/>
  <c r="C2323" i="7"/>
  <c r="B2323" i="7" s="1"/>
  <c r="AR2322" i="7"/>
  <c r="AQ2322" i="7"/>
  <c r="AP2322" i="7" s="1"/>
  <c r="AL2322" i="7"/>
  <c r="AK2322" i="7"/>
  <c r="AJ2322" i="7" s="1"/>
  <c r="AD2322" i="7"/>
  <c r="AC2322" i="7"/>
  <c r="T2322" i="7"/>
  <c r="S2322" i="7"/>
  <c r="R2322" i="7" s="1"/>
  <c r="L2322" i="7"/>
  <c r="K2322" i="7"/>
  <c r="J2322" i="7" s="1"/>
  <c r="D2322" i="7"/>
  <c r="C2322" i="7"/>
  <c r="B2322" i="7" s="1"/>
  <c r="AR2321" i="7"/>
  <c r="AP2321" i="7" s="1"/>
  <c r="AQ2321" i="7"/>
  <c r="AL2321" i="7"/>
  <c r="AK2321" i="7"/>
  <c r="AJ2321" i="7" s="1"/>
  <c r="AD2321" i="7"/>
  <c r="AC2321" i="7"/>
  <c r="T2321" i="7"/>
  <c r="S2321" i="7"/>
  <c r="R2321" i="7"/>
  <c r="L2321" i="7"/>
  <c r="K2321" i="7"/>
  <c r="J2321" i="7"/>
  <c r="D2321" i="7"/>
  <c r="C2321" i="7"/>
  <c r="B2321" i="7"/>
  <c r="AR2320" i="7"/>
  <c r="AQ2320" i="7"/>
  <c r="AP2320" i="7"/>
  <c r="AL2320" i="7"/>
  <c r="AK2320" i="7"/>
  <c r="AI2320" i="7" s="1"/>
  <c r="AD2320" i="7"/>
  <c r="AC2320" i="7"/>
  <c r="AB2320" i="7" s="1"/>
  <c r="T2320" i="7"/>
  <c r="S2320" i="7"/>
  <c r="R2320" i="7" s="1"/>
  <c r="L2320" i="7"/>
  <c r="K2320" i="7"/>
  <c r="D2320" i="7"/>
  <c r="C2320" i="7"/>
  <c r="B2320" i="7"/>
  <c r="AR2319" i="7"/>
  <c r="AQ2319" i="7"/>
  <c r="AP2319" i="7" s="1"/>
  <c r="AL2319" i="7"/>
  <c r="AK2319" i="7"/>
  <c r="AD2319" i="7"/>
  <c r="AC2319" i="7"/>
  <c r="T2319" i="7"/>
  <c r="S2319" i="7"/>
  <c r="R2319" i="7" s="1"/>
  <c r="L2319" i="7"/>
  <c r="K2319" i="7"/>
  <c r="J2319" i="7"/>
  <c r="D2319" i="7"/>
  <c r="C2319" i="7"/>
  <c r="AR2318" i="7"/>
  <c r="AQ2318" i="7"/>
  <c r="AP2318" i="7" s="1"/>
  <c r="AL2318" i="7"/>
  <c r="AK2318" i="7"/>
  <c r="AD2318" i="7"/>
  <c r="AC2318" i="7"/>
  <c r="T2318" i="7"/>
  <c r="S2318" i="7"/>
  <c r="R2318" i="7" s="1"/>
  <c r="L2318" i="7"/>
  <c r="K2318" i="7"/>
  <c r="J2318" i="7"/>
  <c r="D2318" i="7"/>
  <c r="C2318" i="7"/>
  <c r="B2318" i="7" s="1"/>
  <c r="AR2317" i="7"/>
  <c r="AQ2317" i="7"/>
  <c r="AP2317" i="7"/>
  <c r="AL2317" i="7"/>
  <c r="AK2317" i="7"/>
  <c r="AJ2317" i="7" s="1"/>
  <c r="AD2317" i="7"/>
  <c r="AC2317" i="7"/>
  <c r="T2317" i="7"/>
  <c r="S2317" i="7"/>
  <c r="R2317" i="7"/>
  <c r="L2317" i="7"/>
  <c r="K2317" i="7"/>
  <c r="J2317" i="7" s="1"/>
  <c r="D2317" i="7"/>
  <c r="C2317" i="7"/>
  <c r="B2317" i="7"/>
  <c r="AR2316" i="7"/>
  <c r="AQ2316" i="7"/>
  <c r="AP2316" i="7" s="1"/>
  <c r="AL2316" i="7"/>
  <c r="AK2316" i="7"/>
  <c r="AI2316" i="7" s="1"/>
  <c r="AD2316" i="7"/>
  <c r="AC2316" i="7"/>
  <c r="T2316" i="7"/>
  <c r="S2316" i="7"/>
  <c r="L2316" i="7"/>
  <c r="K2316" i="7"/>
  <c r="J2316" i="7"/>
  <c r="D2316" i="7"/>
  <c r="C2316" i="7"/>
  <c r="B2316" i="7" s="1"/>
  <c r="AR2315" i="7"/>
  <c r="AQ2315" i="7"/>
  <c r="AP2315" i="7"/>
  <c r="AL2315" i="7"/>
  <c r="AK2315" i="7"/>
  <c r="AD2315" i="7"/>
  <c r="AC2315" i="7"/>
  <c r="T2315" i="7"/>
  <c r="S2315" i="7"/>
  <c r="R2315" i="7" s="1"/>
  <c r="L2315" i="7"/>
  <c r="J2315" i="7" s="1"/>
  <c r="K2315" i="7"/>
  <c r="D2315" i="7"/>
  <c r="C2315" i="7"/>
  <c r="B2315" i="7" s="1"/>
  <c r="AR2314" i="7"/>
  <c r="AP2314" i="7" s="1"/>
  <c r="AQ2314" i="7"/>
  <c r="AL2314" i="7"/>
  <c r="AK2314" i="7"/>
  <c r="AD2314" i="7"/>
  <c r="AC2314" i="7"/>
  <c r="T2314" i="7"/>
  <c r="S2314" i="7"/>
  <c r="R2314" i="7" s="1"/>
  <c r="L2314" i="7"/>
  <c r="K2314" i="7"/>
  <c r="J2314" i="7" s="1"/>
  <c r="D2314" i="7"/>
  <c r="C2314" i="7"/>
  <c r="B2314" i="7" s="1"/>
  <c r="AR2313" i="7"/>
  <c r="AQ2313" i="7"/>
  <c r="AP2313" i="7" s="1"/>
  <c r="AL2313" i="7"/>
  <c r="AK2313" i="7"/>
  <c r="AD2313" i="7"/>
  <c r="AC2313" i="7"/>
  <c r="AA2313" i="7" s="1"/>
  <c r="T2313" i="7"/>
  <c r="S2313" i="7"/>
  <c r="L2313" i="7"/>
  <c r="K2313" i="7"/>
  <c r="J2313" i="7" s="1"/>
  <c r="D2313" i="7"/>
  <c r="C2313" i="7"/>
  <c r="AR2312" i="7"/>
  <c r="AQ2312" i="7"/>
  <c r="AP2312" i="7"/>
  <c r="AL2312" i="7"/>
  <c r="AK2312" i="7"/>
  <c r="AJ2312" i="7" s="1"/>
  <c r="AD2312" i="7"/>
  <c r="AC2312" i="7"/>
  <c r="T2312" i="7"/>
  <c r="S2312" i="7"/>
  <c r="R2312" i="7"/>
  <c r="L2312" i="7"/>
  <c r="J2312" i="7" s="1"/>
  <c r="K2312" i="7"/>
  <c r="D2312" i="7"/>
  <c r="C2312" i="7"/>
  <c r="B2312" i="7"/>
  <c r="AR2311" i="7"/>
  <c r="AP2311" i="7" s="1"/>
  <c r="AQ2311" i="7"/>
  <c r="AL2311" i="7"/>
  <c r="AK2311" i="7"/>
  <c r="AJ2311" i="7" s="1"/>
  <c r="AD2311" i="7"/>
  <c r="AC2311" i="7"/>
  <c r="AB2311" i="7" s="1"/>
  <c r="T2311" i="7"/>
  <c r="S2311" i="7"/>
  <c r="R2311" i="7"/>
  <c r="L2311" i="7"/>
  <c r="K2311" i="7"/>
  <c r="J2311" i="7"/>
  <c r="D2311" i="7"/>
  <c r="C2311" i="7"/>
  <c r="B2311" i="7"/>
  <c r="AR2310" i="7"/>
  <c r="AQ2310" i="7"/>
  <c r="AP2310" i="7"/>
  <c r="AL2310" i="7"/>
  <c r="AK2310" i="7"/>
  <c r="AD2310" i="7"/>
  <c r="AC2310" i="7"/>
  <c r="T2310" i="7"/>
  <c r="S2310" i="7"/>
  <c r="R2310" i="7" s="1"/>
  <c r="L2310" i="7"/>
  <c r="J2310" i="7" s="1"/>
  <c r="K2310" i="7"/>
  <c r="D2310" i="7"/>
  <c r="C2310" i="7"/>
  <c r="AR2309" i="7"/>
  <c r="AQ2309" i="7"/>
  <c r="AP2309" i="7" s="1"/>
  <c r="AL2309" i="7"/>
  <c r="AK2309" i="7"/>
  <c r="AJ2309" i="7" s="1"/>
  <c r="AD2309" i="7"/>
  <c r="AC2309" i="7"/>
  <c r="AA2309" i="7" s="1"/>
  <c r="T2309" i="7"/>
  <c r="S2309" i="7"/>
  <c r="R2309" i="7"/>
  <c r="L2309" i="7"/>
  <c r="K2309" i="7"/>
  <c r="J2309" i="7"/>
  <c r="D2309" i="7"/>
  <c r="C2309" i="7"/>
  <c r="B2309" i="7"/>
  <c r="AR2308" i="7"/>
  <c r="AQ2308" i="7"/>
  <c r="AP2308" i="7"/>
  <c r="AL2308" i="7"/>
  <c r="AK2308" i="7"/>
  <c r="AD2308" i="7"/>
  <c r="AC2308" i="7"/>
  <c r="AB2308" i="7" s="1"/>
  <c r="T2308" i="7"/>
  <c r="S2308" i="7"/>
  <c r="R2308" i="7" s="1"/>
  <c r="L2308" i="7"/>
  <c r="K2308" i="7"/>
  <c r="J2308" i="7"/>
  <c r="D2308" i="7"/>
  <c r="C2308" i="7"/>
  <c r="B2308" i="7" s="1"/>
  <c r="AR2307" i="7"/>
  <c r="AQ2307" i="7"/>
  <c r="AP2307" i="7"/>
  <c r="AL2307" i="7"/>
  <c r="AK2307" i="7"/>
  <c r="AJ2307" i="7" s="1"/>
  <c r="AD2307" i="7"/>
  <c r="AC2307" i="7"/>
  <c r="AA2307" i="7" s="1"/>
  <c r="T2307" i="7"/>
  <c r="S2307" i="7"/>
  <c r="R2307" i="7" s="1"/>
  <c r="L2307" i="7"/>
  <c r="K2307" i="7"/>
  <c r="J2307" i="7" s="1"/>
  <c r="D2307" i="7"/>
  <c r="C2307" i="7"/>
  <c r="B2307" i="7" s="1"/>
  <c r="AR2306" i="7"/>
  <c r="AP2306" i="7" s="1"/>
  <c r="AQ2306" i="7"/>
  <c r="AL2306" i="7"/>
  <c r="AK2306" i="7"/>
  <c r="AD2306" i="7"/>
  <c r="AC2306" i="7"/>
  <c r="AA2306" i="7" s="1"/>
  <c r="T2306" i="7"/>
  <c r="S2306" i="7"/>
  <c r="R2306" i="7" s="1"/>
  <c r="L2306" i="7"/>
  <c r="J2306" i="7" s="1"/>
  <c r="K2306" i="7"/>
  <c r="D2306" i="7"/>
  <c r="C2306" i="7"/>
  <c r="B2306" i="7" s="1"/>
  <c r="AR2305" i="7"/>
  <c r="AP2305" i="7" s="1"/>
  <c r="AQ2305" i="7"/>
  <c r="AL2305" i="7"/>
  <c r="AK2305" i="7"/>
  <c r="AD2305" i="7"/>
  <c r="AC2305" i="7"/>
  <c r="T2305" i="7"/>
  <c r="S2305" i="7"/>
  <c r="R2305" i="7" s="1"/>
  <c r="L2305" i="7"/>
  <c r="K2305" i="7"/>
  <c r="J2305" i="7" s="1"/>
  <c r="D2305" i="7"/>
  <c r="C2305" i="7"/>
  <c r="B2305" i="7" s="1"/>
  <c r="AR2304" i="7"/>
  <c r="AQ2304" i="7"/>
  <c r="AP2304" i="7" s="1"/>
  <c r="AL2304" i="7"/>
  <c r="AK2304" i="7"/>
  <c r="AD2304" i="7"/>
  <c r="AC2304" i="7"/>
  <c r="AB2304" i="7" s="1"/>
  <c r="T2304" i="7"/>
  <c r="S2304" i="7"/>
  <c r="L2304" i="7"/>
  <c r="K2304" i="7"/>
  <c r="J2304" i="7" s="1"/>
  <c r="D2304" i="7"/>
  <c r="C2304" i="7"/>
  <c r="B2304" i="7" s="1"/>
  <c r="AR2303" i="7"/>
  <c r="AQ2303" i="7"/>
  <c r="AP2303" i="7" s="1"/>
  <c r="AL2303" i="7"/>
  <c r="AK2303" i="7"/>
  <c r="AJ2303" i="7" s="1"/>
  <c r="AD2303" i="7"/>
  <c r="AC2303" i="7"/>
  <c r="AA2303" i="7" s="1"/>
  <c r="T2303" i="7"/>
  <c r="R2303" i="7" s="1"/>
  <c r="S2303" i="7"/>
  <c r="L2303" i="7"/>
  <c r="K2303" i="7"/>
  <c r="J2303" i="7"/>
  <c r="D2303" i="7"/>
  <c r="B2303" i="7" s="1"/>
  <c r="C2303" i="7"/>
  <c r="AR2302" i="7"/>
  <c r="AQ2302" i="7"/>
  <c r="AP2302" i="7"/>
  <c r="AL2302" i="7"/>
  <c r="AK2302" i="7"/>
  <c r="AI2302" i="7" s="1"/>
  <c r="AD2302" i="7"/>
  <c r="AC2302" i="7"/>
  <c r="AA2302" i="7" s="1"/>
  <c r="T2302" i="7"/>
  <c r="S2302" i="7"/>
  <c r="R2302" i="7"/>
  <c r="L2302" i="7"/>
  <c r="J2302" i="7" s="1"/>
  <c r="K2302" i="7"/>
  <c r="D2302" i="7"/>
  <c r="C2302" i="7"/>
  <c r="B2302" i="7"/>
  <c r="AR2301" i="7"/>
  <c r="AP2301" i="7" s="1"/>
  <c r="AQ2301" i="7"/>
  <c r="AL2301" i="7"/>
  <c r="AK2301" i="7"/>
  <c r="AD2301" i="7"/>
  <c r="AC2301" i="7"/>
  <c r="AA2301" i="7" s="1"/>
  <c r="T2301" i="7"/>
  <c r="S2301" i="7"/>
  <c r="R2301" i="7" s="1"/>
  <c r="L2301" i="7"/>
  <c r="K2301" i="7"/>
  <c r="J2301" i="7"/>
  <c r="D2301" i="7"/>
  <c r="C2301" i="7"/>
  <c r="AR2300" i="7"/>
  <c r="AQ2300" i="7"/>
  <c r="AP2300" i="7" s="1"/>
  <c r="AL2300" i="7"/>
  <c r="AK2300" i="7"/>
  <c r="AD2300" i="7"/>
  <c r="AC2300" i="7"/>
  <c r="T2300" i="7"/>
  <c r="S2300" i="7"/>
  <c r="R2300" i="7" s="1"/>
  <c r="L2300" i="7"/>
  <c r="K2300" i="7"/>
  <c r="J2300" i="7"/>
  <c r="D2300" i="7"/>
  <c r="C2300" i="7"/>
  <c r="B2300" i="7" s="1"/>
  <c r="AR2299" i="7"/>
  <c r="AQ2299" i="7"/>
  <c r="AP2299" i="7"/>
  <c r="AL2299" i="7"/>
  <c r="AK2299" i="7"/>
  <c r="AJ2299" i="7" s="1"/>
  <c r="AD2299" i="7"/>
  <c r="AC2299" i="7"/>
  <c r="T2299" i="7"/>
  <c r="S2299" i="7"/>
  <c r="R2299" i="7"/>
  <c r="L2299" i="7"/>
  <c r="K2299" i="7"/>
  <c r="J2299" i="7" s="1"/>
  <c r="D2299" i="7"/>
  <c r="C2299" i="7"/>
  <c r="B2299" i="7"/>
  <c r="AR2298" i="7"/>
  <c r="AQ2298" i="7"/>
  <c r="AP2298" i="7" s="1"/>
  <c r="AL2298" i="7"/>
  <c r="AK2298" i="7"/>
  <c r="AD2298" i="7"/>
  <c r="AC2298" i="7"/>
  <c r="T2298" i="7"/>
  <c r="S2298" i="7"/>
  <c r="L2298" i="7"/>
  <c r="K2298" i="7"/>
  <c r="J2298" i="7"/>
  <c r="D2298" i="7"/>
  <c r="C2298" i="7"/>
  <c r="B2298" i="7" s="1"/>
  <c r="AR2297" i="7"/>
  <c r="AQ2297" i="7"/>
  <c r="AP2297" i="7"/>
  <c r="AL2297" i="7"/>
  <c r="AK2297" i="7"/>
  <c r="AJ2297" i="7" s="1"/>
  <c r="AD2297" i="7"/>
  <c r="AC2297" i="7"/>
  <c r="T2297" i="7"/>
  <c r="S2297" i="7"/>
  <c r="R2297" i="7" s="1"/>
  <c r="L2297" i="7"/>
  <c r="J2297" i="7" s="1"/>
  <c r="K2297" i="7"/>
  <c r="D2297" i="7"/>
  <c r="C2297" i="7"/>
  <c r="B2297" i="7" s="1"/>
  <c r="AR2296" i="7"/>
  <c r="AP2296" i="7" s="1"/>
  <c r="AQ2296" i="7"/>
  <c r="AL2296" i="7"/>
  <c r="AK2296" i="7"/>
  <c r="AD2296" i="7"/>
  <c r="AC2296" i="7"/>
  <c r="T2296" i="7"/>
  <c r="S2296" i="7"/>
  <c r="R2296" i="7" s="1"/>
  <c r="L2296" i="7"/>
  <c r="K2296" i="7"/>
  <c r="J2296" i="7" s="1"/>
  <c r="D2296" i="7"/>
  <c r="C2296" i="7"/>
  <c r="B2296" i="7" s="1"/>
  <c r="AR2295" i="7"/>
  <c r="AQ2295" i="7"/>
  <c r="AP2295" i="7" s="1"/>
  <c r="AL2295" i="7"/>
  <c r="AK2295" i="7"/>
  <c r="AD2295" i="7"/>
  <c r="AC2295" i="7"/>
  <c r="T2295" i="7"/>
  <c r="S2295" i="7"/>
  <c r="L2295" i="7"/>
  <c r="K2295" i="7"/>
  <c r="J2295" i="7" s="1"/>
  <c r="D2295" i="7"/>
  <c r="C2295" i="7"/>
  <c r="AR2294" i="7"/>
  <c r="AQ2294" i="7"/>
  <c r="AP2294" i="7"/>
  <c r="AL2294" i="7"/>
  <c r="AK2294" i="7"/>
  <c r="AJ2294" i="7" s="1"/>
  <c r="AD2294" i="7"/>
  <c r="AC2294" i="7"/>
  <c r="T2294" i="7"/>
  <c r="S2294" i="7"/>
  <c r="R2294" i="7"/>
  <c r="L2294" i="7"/>
  <c r="J2294" i="7" s="1"/>
  <c r="K2294" i="7"/>
  <c r="D2294" i="7"/>
  <c r="C2294" i="7"/>
  <c r="B2294" i="7"/>
  <c r="AR2293" i="7"/>
  <c r="AP2293" i="7" s="1"/>
  <c r="AQ2293" i="7"/>
  <c r="AL2293" i="7"/>
  <c r="AK2293" i="7"/>
  <c r="AJ2293" i="7" s="1"/>
  <c r="AD2293" i="7"/>
  <c r="AC2293" i="7"/>
  <c r="AB2293" i="7" s="1"/>
  <c r="T2293" i="7"/>
  <c r="S2293" i="7"/>
  <c r="R2293" i="7"/>
  <c r="L2293" i="7"/>
  <c r="K2293" i="7"/>
  <c r="J2293" i="7"/>
  <c r="D2293" i="7"/>
  <c r="C2293" i="7"/>
  <c r="B2293" i="7"/>
  <c r="AR2292" i="7"/>
  <c r="AQ2292" i="7"/>
  <c r="AP2292" i="7"/>
  <c r="AL2292" i="7"/>
  <c r="AK2292" i="7"/>
  <c r="AJ2292" i="7" s="1"/>
  <c r="AD2292" i="7"/>
  <c r="AC2292" i="7"/>
  <c r="AA2292" i="7" s="1"/>
  <c r="T2292" i="7"/>
  <c r="S2292" i="7"/>
  <c r="R2292" i="7" s="1"/>
  <c r="L2292" i="7"/>
  <c r="J2292" i="7" s="1"/>
  <c r="K2292" i="7"/>
  <c r="D2292" i="7"/>
  <c r="C2292" i="7"/>
  <c r="AR2291" i="7"/>
  <c r="AQ2291" i="7"/>
  <c r="AP2291" i="7" s="1"/>
  <c r="AL2291" i="7"/>
  <c r="AK2291" i="7"/>
  <c r="AJ2291" i="7" s="1"/>
  <c r="AD2291" i="7"/>
  <c r="AC2291" i="7"/>
  <c r="AA2291" i="7" s="1"/>
  <c r="T2291" i="7"/>
  <c r="S2291" i="7"/>
  <c r="R2291" i="7"/>
  <c r="L2291" i="7"/>
  <c r="K2291" i="7"/>
  <c r="J2291" i="7"/>
  <c r="D2291" i="7"/>
  <c r="C2291" i="7"/>
  <c r="B2291" i="7"/>
  <c r="AR2290" i="7"/>
  <c r="AQ2290" i="7"/>
  <c r="AP2290" i="7"/>
  <c r="AL2290" i="7"/>
  <c r="AK2290" i="7"/>
  <c r="AD2290" i="7"/>
  <c r="AC2290" i="7"/>
  <c r="AB2290" i="7" s="1"/>
  <c r="T2290" i="7"/>
  <c r="S2290" i="7"/>
  <c r="R2290" i="7" s="1"/>
  <c r="L2290" i="7"/>
  <c r="K2290" i="7"/>
  <c r="J2290" i="7"/>
  <c r="D2290" i="7"/>
  <c r="C2290" i="7"/>
  <c r="B2290" i="7" s="1"/>
  <c r="AR2289" i="7"/>
  <c r="AQ2289" i="7"/>
  <c r="AP2289" i="7"/>
  <c r="AL2289" i="7"/>
  <c r="AK2289" i="7"/>
  <c r="AJ2289" i="7" s="1"/>
  <c r="AD2289" i="7"/>
  <c r="AC2289" i="7"/>
  <c r="AB2289" i="7" s="1"/>
  <c r="T2289" i="7"/>
  <c r="S2289" i="7"/>
  <c r="R2289" i="7" s="1"/>
  <c r="L2289" i="7"/>
  <c r="K2289" i="7"/>
  <c r="J2289" i="7" s="1"/>
  <c r="D2289" i="7"/>
  <c r="C2289" i="7"/>
  <c r="B2289" i="7" s="1"/>
  <c r="AR2288" i="7"/>
  <c r="AP2288" i="7" s="1"/>
  <c r="AQ2288" i="7"/>
  <c r="AL2288" i="7"/>
  <c r="AK2288" i="7"/>
  <c r="AD2288" i="7"/>
  <c r="AC2288" i="7"/>
  <c r="AA2288" i="7" s="1"/>
  <c r="T2288" i="7"/>
  <c r="S2288" i="7"/>
  <c r="R2288" i="7" s="1"/>
  <c r="L2288" i="7"/>
  <c r="J2288" i="7" s="1"/>
  <c r="K2288" i="7"/>
  <c r="D2288" i="7"/>
  <c r="C2288" i="7"/>
  <c r="B2288" i="7" s="1"/>
  <c r="AR2287" i="7"/>
  <c r="AP2287" i="7" s="1"/>
  <c r="AQ2287" i="7"/>
  <c r="AL2287" i="7"/>
  <c r="AK2287" i="7"/>
  <c r="AD2287" i="7"/>
  <c r="AC2287" i="7"/>
  <c r="T2287" i="7"/>
  <c r="S2287" i="7"/>
  <c r="R2287" i="7" s="1"/>
  <c r="L2287" i="7"/>
  <c r="K2287" i="7"/>
  <c r="J2287" i="7" s="1"/>
  <c r="D2287" i="7"/>
  <c r="C2287" i="7"/>
  <c r="B2287" i="7" s="1"/>
  <c r="AR2286" i="7"/>
  <c r="AQ2286" i="7"/>
  <c r="AP2286" i="7" s="1"/>
  <c r="AL2286" i="7"/>
  <c r="AK2286" i="7"/>
  <c r="AJ2286" i="7" s="1"/>
  <c r="AD2286" i="7"/>
  <c r="AC2286" i="7"/>
  <c r="AB2286" i="7" s="1"/>
  <c r="T2286" i="7"/>
  <c r="R2286" i="7" s="1"/>
  <c r="S2286" i="7"/>
  <c r="L2286" i="7"/>
  <c r="K2286" i="7"/>
  <c r="J2286" i="7"/>
  <c r="D2286" i="7"/>
  <c r="B2286" i="7" s="1"/>
  <c r="C2286" i="7"/>
  <c r="AR2285" i="7"/>
  <c r="AQ2285" i="7"/>
  <c r="AP2285" i="7"/>
  <c r="AL2285" i="7"/>
  <c r="AK2285" i="7"/>
  <c r="AD2285" i="7"/>
  <c r="AC2285" i="7"/>
  <c r="T2285" i="7"/>
  <c r="S2285" i="7"/>
  <c r="R2285" i="7"/>
  <c r="L2285" i="7"/>
  <c r="K2285" i="7"/>
  <c r="J2285" i="7" s="1"/>
  <c r="D2285" i="7"/>
  <c r="C2285" i="7"/>
  <c r="B2285" i="7"/>
  <c r="AR2284" i="7"/>
  <c r="AQ2284" i="7"/>
  <c r="AP2284" i="7" s="1"/>
  <c r="AL2284" i="7"/>
  <c r="AK2284" i="7"/>
  <c r="AD2284" i="7"/>
  <c r="AC2284" i="7"/>
  <c r="AA2284" i="7" s="1"/>
  <c r="T2284" i="7"/>
  <c r="S2284" i="7"/>
  <c r="R2284" i="7" s="1"/>
  <c r="L2284" i="7"/>
  <c r="K2284" i="7"/>
  <c r="J2284" i="7" s="1"/>
  <c r="D2284" i="7"/>
  <c r="C2284" i="7"/>
  <c r="B2284" i="7" s="1"/>
  <c r="AR2283" i="7"/>
  <c r="AQ2283" i="7"/>
  <c r="AP2283" i="7" s="1"/>
  <c r="AL2283" i="7"/>
  <c r="AK2283" i="7"/>
  <c r="AD2283" i="7"/>
  <c r="AC2283" i="7"/>
  <c r="AB2283" i="7" s="1"/>
  <c r="T2283" i="7"/>
  <c r="R2283" i="7" s="1"/>
  <c r="S2283" i="7"/>
  <c r="L2283" i="7"/>
  <c r="K2283" i="7"/>
  <c r="J2283" i="7"/>
  <c r="D2283" i="7"/>
  <c r="B2283" i="7" s="1"/>
  <c r="C2283" i="7"/>
  <c r="AR2282" i="7"/>
  <c r="AQ2282" i="7"/>
  <c r="AP2282" i="7"/>
  <c r="AL2282" i="7"/>
  <c r="AK2282" i="7"/>
  <c r="AI2282" i="7" s="1"/>
  <c r="AD2282" i="7"/>
  <c r="AC2282" i="7"/>
  <c r="T2282" i="7"/>
  <c r="S2282" i="7"/>
  <c r="R2282" i="7"/>
  <c r="L2282" i="7"/>
  <c r="K2282" i="7"/>
  <c r="J2282" i="7" s="1"/>
  <c r="D2282" i="7"/>
  <c r="C2282" i="7"/>
  <c r="B2282" i="7"/>
  <c r="AR2281" i="7"/>
  <c r="AQ2281" i="7"/>
  <c r="AP2281" i="7" s="1"/>
  <c r="AL2281" i="7"/>
  <c r="AK2281" i="7"/>
  <c r="AD2281" i="7"/>
  <c r="AC2281" i="7"/>
  <c r="T2281" i="7"/>
  <c r="S2281" i="7"/>
  <c r="R2281" i="7" s="1"/>
  <c r="L2281" i="7"/>
  <c r="K2281" i="7"/>
  <c r="J2281" i="7" s="1"/>
  <c r="D2281" i="7"/>
  <c r="C2281" i="7"/>
  <c r="B2281" i="7" s="1"/>
  <c r="AR2280" i="7"/>
  <c r="AQ2280" i="7"/>
  <c r="AP2280" i="7" s="1"/>
  <c r="AL2280" i="7"/>
  <c r="AK2280" i="7"/>
  <c r="AD2280" i="7"/>
  <c r="AC2280" i="7"/>
  <c r="AB2280" i="7" s="1"/>
  <c r="T2280" i="7"/>
  <c r="R2280" i="7" s="1"/>
  <c r="S2280" i="7"/>
  <c r="L2280" i="7"/>
  <c r="K2280" i="7"/>
  <c r="J2280" i="7"/>
  <c r="D2280" i="7"/>
  <c r="B2280" i="7" s="1"/>
  <c r="C2280" i="7"/>
  <c r="AR2279" i="7"/>
  <c r="AQ2279" i="7"/>
  <c r="AP2279" i="7"/>
  <c r="AL2279" i="7"/>
  <c r="AK2279" i="7"/>
  <c r="AI2279" i="7" s="1"/>
  <c r="AD2279" i="7"/>
  <c r="AC2279" i="7"/>
  <c r="T2279" i="7"/>
  <c r="S2279" i="7"/>
  <c r="R2279" i="7"/>
  <c r="L2279" i="7"/>
  <c r="K2279" i="7"/>
  <c r="J2279" i="7" s="1"/>
  <c r="D2279" i="7"/>
  <c r="C2279" i="7"/>
  <c r="B2279" i="7"/>
  <c r="AR2278" i="7"/>
  <c r="AQ2278" i="7"/>
  <c r="AP2278" i="7" s="1"/>
  <c r="AL2278" i="7"/>
  <c r="AK2278" i="7"/>
  <c r="AI2278" i="7" s="1"/>
  <c r="AD2278" i="7"/>
  <c r="AC2278" i="7"/>
  <c r="AB2278" i="7" s="1"/>
  <c r="T2278" i="7"/>
  <c r="S2278" i="7"/>
  <c r="R2278" i="7" s="1"/>
  <c r="L2278" i="7"/>
  <c r="K2278" i="7"/>
  <c r="J2278" i="7" s="1"/>
  <c r="D2278" i="7"/>
  <c r="C2278" i="7"/>
  <c r="B2278" i="7" s="1"/>
  <c r="AR2277" i="7"/>
  <c r="AQ2277" i="7"/>
  <c r="AP2277" i="7" s="1"/>
  <c r="AL2277" i="7"/>
  <c r="AK2277" i="7"/>
  <c r="AD2277" i="7"/>
  <c r="AC2277" i="7"/>
  <c r="AB2277" i="7" s="1"/>
  <c r="T2277" i="7"/>
  <c r="R2277" i="7" s="1"/>
  <c r="S2277" i="7"/>
  <c r="L2277" i="7"/>
  <c r="K2277" i="7"/>
  <c r="J2277" i="7"/>
  <c r="D2277" i="7"/>
  <c r="B2277" i="7" s="1"/>
  <c r="C2277" i="7"/>
  <c r="AR2276" i="7"/>
  <c r="AQ2276" i="7"/>
  <c r="AP2276" i="7"/>
  <c r="AL2276" i="7"/>
  <c r="AK2276" i="7"/>
  <c r="AJ2276" i="7" s="1"/>
  <c r="AD2276" i="7"/>
  <c r="AC2276" i="7"/>
  <c r="T2276" i="7"/>
  <c r="S2276" i="7"/>
  <c r="R2276" i="7"/>
  <c r="L2276" i="7"/>
  <c r="K2276" i="7"/>
  <c r="J2276" i="7" s="1"/>
  <c r="D2276" i="7"/>
  <c r="C2276" i="7"/>
  <c r="B2276" i="7"/>
  <c r="AR2275" i="7"/>
  <c r="AQ2275" i="7"/>
  <c r="AP2275" i="7" s="1"/>
  <c r="AL2275" i="7"/>
  <c r="AK2275" i="7"/>
  <c r="AD2275" i="7"/>
  <c r="AC2275" i="7"/>
  <c r="AB2275" i="7" s="1"/>
  <c r="AA2275" i="7"/>
  <c r="T2275" i="7"/>
  <c r="S2275" i="7"/>
  <c r="R2275" i="7" s="1"/>
  <c r="L2275" i="7"/>
  <c r="K2275" i="7"/>
  <c r="J2275" i="7" s="1"/>
  <c r="D2275" i="7"/>
  <c r="C2275" i="7"/>
  <c r="B2275" i="7" s="1"/>
  <c r="AR2274" i="7"/>
  <c r="AQ2274" i="7"/>
  <c r="AP2274" i="7" s="1"/>
  <c r="AL2274" i="7"/>
  <c r="AK2274" i="7"/>
  <c r="AJ2274" i="7" s="1"/>
  <c r="AD2274" i="7"/>
  <c r="AC2274" i="7"/>
  <c r="AB2274" i="7" s="1"/>
  <c r="T2274" i="7"/>
  <c r="R2274" i="7" s="1"/>
  <c r="S2274" i="7"/>
  <c r="L2274" i="7"/>
  <c r="K2274" i="7"/>
  <c r="J2274" i="7"/>
  <c r="D2274" i="7"/>
  <c r="B2274" i="7" s="1"/>
  <c r="C2274" i="7"/>
  <c r="AR2273" i="7"/>
  <c r="AQ2273" i="7"/>
  <c r="AP2273" i="7"/>
  <c r="AL2273" i="7"/>
  <c r="AK2273" i="7"/>
  <c r="AD2273" i="7"/>
  <c r="AC2273" i="7"/>
  <c r="T2273" i="7"/>
  <c r="S2273" i="7"/>
  <c r="R2273" i="7"/>
  <c r="L2273" i="7"/>
  <c r="K2273" i="7"/>
  <c r="J2273" i="7" s="1"/>
  <c r="D2273" i="7"/>
  <c r="C2273" i="7"/>
  <c r="B2273" i="7"/>
  <c r="AR2272" i="7"/>
  <c r="AQ2272" i="7"/>
  <c r="AP2272" i="7" s="1"/>
  <c r="AL2272" i="7"/>
  <c r="AK2272" i="7"/>
  <c r="AD2272" i="7"/>
  <c r="AC2272" i="7"/>
  <c r="T2272" i="7"/>
  <c r="S2272" i="7"/>
  <c r="R2272" i="7" s="1"/>
  <c r="L2272" i="7"/>
  <c r="K2272" i="7"/>
  <c r="J2272" i="7" s="1"/>
  <c r="D2272" i="7"/>
  <c r="C2272" i="7"/>
  <c r="B2272" i="7" s="1"/>
  <c r="AR2271" i="7"/>
  <c r="AQ2271" i="7"/>
  <c r="AP2271" i="7" s="1"/>
  <c r="AL2271" i="7"/>
  <c r="AK2271" i="7"/>
  <c r="AD2271" i="7"/>
  <c r="AC2271" i="7"/>
  <c r="AB2271" i="7" s="1"/>
  <c r="T2271" i="7"/>
  <c r="R2271" i="7" s="1"/>
  <c r="S2271" i="7"/>
  <c r="L2271" i="7"/>
  <c r="K2271" i="7"/>
  <c r="J2271" i="7"/>
  <c r="D2271" i="7"/>
  <c r="B2271" i="7" s="1"/>
  <c r="C2271" i="7"/>
  <c r="AR2270" i="7"/>
  <c r="AQ2270" i="7"/>
  <c r="AP2270" i="7"/>
  <c r="AL2270" i="7"/>
  <c r="AK2270" i="7"/>
  <c r="AD2270" i="7"/>
  <c r="AC2270" i="7"/>
  <c r="T2270" i="7"/>
  <c r="S2270" i="7"/>
  <c r="R2270" i="7"/>
  <c r="L2270" i="7"/>
  <c r="K2270" i="7"/>
  <c r="J2270" i="7" s="1"/>
  <c r="D2270" i="7"/>
  <c r="C2270" i="7"/>
  <c r="B2270" i="7"/>
  <c r="AR2269" i="7"/>
  <c r="AQ2269" i="7"/>
  <c r="AP2269" i="7" s="1"/>
  <c r="AL2269" i="7"/>
  <c r="AK2269" i="7"/>
  <c r="AI2269" i="7" s="1"/>
  <c r="AD2269" i="7"/>
  <c r="AC2269" i="7"/>
  <c r="T2269" i="7"/>
  <c r="S2269" i="7"/>
  <c r="R2269" i="7" s="1"/>
  <c r="L2269" i="7"/>
  <c r="K2269" i="7"/>
  <c r="J2269" i="7" s="1"/>
  <c r="D2269" i="7"/>
  <c r="C2269" i="7"/>
  <c r="B2269" i="7" s="1"/>
  <c r="AR2268" i="7"/>
  <c r="AQ2268" i="7"/>
  <c r="AP2268" i="7" s="1"/>
  <c r="AL2268" i="7"/>
  <c r="AK2268" i="7"/>
  <c r="AJ2268" i="7" s="1"/>
  <c r="AD2268" i="7"/>
  <c r="AC2268" i="7"/>
  <c r="AB2268" i="7" s="1"/>
  <c r="T2268" i="7"/>
  <c r="R2268" i="7" s="1"/>
  <c r="S2268" i="7"/>
  <c r="L2268" i="7"/>
  <c r="K2268" i="7"/>
  <c r="J2268" i="7"/>
  <c r="D2268" i="7"/>
  <c r="B2268" i="7" s="1"/>
  <c r="C2268" i="7"/>
  <c r="AR2267" i="7"/>
  <c r="AQ2267" i="7"/>
  <c r="AP2267" i="7"/>
  <c r="AL2267" i="7"/>
  <c r="AK2267" i="7"/>
  <c r="AD2267" i="7"/>
  <c r="AC2267" i="7"/>
  <c r="T2267" i="7"/>
  <c r="S2267" i="7"/>
  <c r="R2267" i="7"/>
  <c r="L2267" i="7"/>
  <c r="K2267" i="7"/>
  <c r="J2267" i="7" s="1"/>
  <c r="D2267" i="7"/>
  <c r="C2267" i="7"/>
  <c r="B2267" i="7"/>
  <c r="AR2266" i="7"/>
  <c r="AQ2266" i="7"/>
  <c r="AP2266" i="7" s="1"/>
  <c r="AL2266" i="7"/>
  <c r="AK2266" i="7"/>
  <c r="AI2266" i="7" s="1"/>
  <c r="AD2266" i="7"/>
  <c r="AC2266" i="7"/>
  <c r="T2266" i="7"/>
  <c r="S2266" i="7"/>
  <c r="R2266" i="7" s="1"/>
  <c r="L2266" i="7"/>
  <c r="K2266" i="7"/>
  <c r="J2266" i="7" s="1"/>
  <c r="D2266" i="7"/>
  <c r="C2266" i="7"/>
  <c r="B2266" i="7" s="1"/>
  <c r="AR2265" i="7"/>
  <c r="AQ2265" i="7"/>
  <c r="AP2265" i="7" s="1"/>
  <c r="AL2265" i="7"/>
  <c r="AK2265" i="7"/>
  <c r="AD2265" i="7"/>
  <c r="AC2265" i="7"/>
  <c r="AB2265" i="7" s="1"/>
  <c r="T2265" i="7"/>
  <c r="R2265" i="7" s="1"/>
  <c r="S2265" i="7"/>
  <c r="L2265" i="7"/>
  <c r="K2265" i="7"/>
  <c r="J2265" i="7"/>
  <c r="D2265" i="7"/>
  <c r="B2265" i="7" s="1"/>
  <c r="C2265" i="7"/>
  <c r="AR2264" i="7"/>
  <c r="AQ2264" i="7"/>
  <c r="AP2264" i="7"/>
  <c r="AL2264" i="7"/>
  <c r="AK2264" i="7"/>
  <c r="AJ2264" i="7" s="1"/>
  <c r="AD2264" i="7"/>
  <c r="AC2264" i="7"/>
  <c r="T2264" i="7"/>
  <c r="S2264" i="7"/>
  <c r="R2264" i="7"/>
  <c r="L2264" i="7"/>
  <c r="K2264" i="7"/>
  <c r="J2264" i="7" s="1"/>
  <c r="D2264" i="7"/>
  <c r="C2264" i="7"/>
  <c r="B2264" i="7"/>
  <c r="AR2263" i="7"/>
  <c r="AQ2263" i="7"/>
  <c r="AP2263" i="7" s="1"/>
  <c r="AL2263" i="7"/>
  <c r="AK2263" i="7"/>
  <c r="AD2263" i="7"/>
  <c r="AC2263" i="7"/>
  <c r="T2263" i="7"/>
  <c r="S2263" i="7"/>
  <c r="R2263" i="7" s="1"/>
  <c r="L2263" i="7"/>
  <c r="K2263" i="7"/>
  <c r="J2263" i="7" s="1"/>
  <c r="D2263" i="7"/>
  <c r="C2263" i="7"/>
  <c r="B2263" i="7" s="1"/>
  <c r="AR2262" i="7"/>
  <c r="AQ2262" i="7"/>
  <c r="AP2262" i="7" s="1"/>
  <c r="AL2262" i="7"/>
  <c r="AK2262" i="7"/>
  <c r="AD2262" i="7"/>
  <c r="AC2262" i="7"/>
  <c r="AB2262" i="7" s="1"/>
  <c r="T2262" i="7"/>
  <c r="R2262" i="7" s="1"/>
  <c r="S2262" i="7"/>
  <c r="L2262" i="7"/>
  <c r="K2262" i="7"/>
  <c r="J2262" i="7"/>
  <c r="D2262" i="7"/>
  <c r="B2262" i="7" s="1"/>
  <c r="C2262" i="7"/>
  <c r="AR2261" i="7"/>
  <c r="AQ2261" i="7"/>
  <c r="AP2261" i="7"/>
  <c r="AL2261" i="7"/>
  <c r="AK2261" i="7"/>
  <c r="AD2261" i="7"/>
  <c r="AC2261" i="7"/>
  <c r="T2261" i="7"/>
  <c r="S2261" i="7"/>
  <c r="R2261" i="7"/>
  <c r="L2261" i="7"/>
  <c r="K2261" i="7"/>
  <c r="J2261" i="7" s="1"/>
  <c r="D2261" i="7"/>
  <c r="C2261" i="7"/>
  <c r="B2261" i="7"/>
  <c r="AR2260" i="7"/>
  <c r="AQ2260" i="7"/>
  <c r="AP2260" i="7" s="1"/>
  <c r="AL2260" i="7"/>
  <c r="AK2260" i="7"/>
  <c r="AD2260" i="7"/>
  <c r="AC2260" i="7"/>
  <c r="AA2260" i="7" s="1"/>
  <c r="T2260" i="7"/>
  <c r="S2260" i="7"/>
  <c r="R2260" i="7" s="1"/>
  <c r="L2260" i="7"/>
  <c r="K2260" i="7"/>
  <c r="J2260" i="7" s="1"/>
  <c r="D2260" i="7"/>
  <c r="C2260" i="7"/>
  <c r="B2260" i="7" s="1"/>
  <c r="AR2259" i="7"/>
  <c r="AQ2259" i="7"/>
  <c r="AP2259" i="7" s="1"/>
  <c r="AL2259" i="7"/>
  <c r="AK2259" i="7"/>
  <c r="AD2259" i="7"/>
  <c r="AC2259" i="7"/>
  <c r="AB2259" i="7" s="1"/>
  <c r="T2259" i="7"/>
  <c r="R2259" i="7" s="1"/>
  <c r="S2259" i="7"/>
  <c r="L2259" i="7"/>
  <c r="K2259" i="7"/>
  <c r="J2259" i="7"/>
  <c r="D2259" i="7"/>
  <c r="B2259" i="7" s="1"/>
  <c r="C2259" i="7"/>
  <c r="AR2258" i="7"/>
  <c r="AQ2258" i="7"/>
  <c r="AP2258" i="7"/>
  <c r="AL2258" i="7"/>
  <c r="AK2258" i="7"/>
  <c r="AJ2258" i="7" s="1"/>
  <c r="AD2258" i="7"/>
  <c r="AC2258" i="7"/>
  <c r="T2258" i="7"/>
  <c r="S2258" i="7"/>
  <c r="R2258" i="7"/>
  <c r="L2258" i="7"/>
  <c r="K2258" i="7"/>
  <c r="J2258" i="7" s="1"/>
  <c r="D2258" i="7"/>
  <c r="C2258" i="7"/>
  <c r="B2258" i="7"/>
  <c r="AR2257" i="7"/>
  <c r="AQ2257" i="7"/>
  <c r="AP2257" i="7" s="1"/>
  <c r="AL2257" i="7"/>
  <c r="AK2257" i="7"/>
  <c r="AD2257" i="7"/>
  <c r="AC2257" i="7"/>
  <c r="AB2257" i="7" s="1"/>
  <c r="T2257" i="7"/>
  <c r="S2257" i="7"/>
  <c r="R2257" i="7" s="1"/>
  <c r="L2257" i="7"/>
  <c r="K2257" i="7"/>
  <c r="J2257" i="7" s="1"/>
  <c r="D2257" i="7"/>
  <c r="C2257" i="7"/>
  <c r="B2257" i="7" s="1"/>
  <c r="AR2256" i="7"/>
  <c r="AQ2256" i="7"/>
  <c r="AP2256" i="7" s="1"/>
  <c r="AL2256" i="7"/>
  <c r="AK2256" i="7"/>
  <c r="AJ2256" i="7" s="1"/>
  <c r="AD2256" i="7"/>
  <c r="AC2256" i="7"/>
  <c r="AB2256" i="7" s="1"/>
  <c r="T2256" i="7"/>
  <c r="R2256" i="7" s="1"/>
  <c r="S2256" i="7"/>
  <c r="L2256" i="7"/>
  <c r="K2256" i="7"/>
  <c r="J2256" i="7"/>
  <c r="D2256" i="7"/>
  <c r="B2256" i="7" s="1"/>
  <c r="C2256" i="7"/>
  <c r="AR2255" i="7"/>
  <c r="AQ2255" i="7"/>
  <c r="AP2255" i="7"/>
  <c r="AL2255" i="7"/>
  <c r="AK2255" i="7"/>
  <c r="AI2255" i="7" s="1"/>
  <c r="AJ2255" i="7"/>
  <c r="AD2255" i="7"/>
  <c r="AC2255" i="7"/>
  <c r="T2255" i="7"/>
  <c r="S2255" i="7"/>
  <c r="R2255" i="7"/>
  <c r="L2255" i="7"/>
  <c r="K2255" i="7"/>
  <c r="J2255" i="7" s="1"/>
  <c r="D2255" i="7"/>
  <c r="C2255" i="7"/>
  <c r="B2255" i="7"/>
  <c r="AR2254" i="7"/>
  <c r="AQ2254" i="7"/>
  <c r="AP2254" i="7" s="1"/>
  <c r="AL2254" i="7"/>
  <c r="AK2254" i="7"/>
  <c r="AI2254" i="7" s="1"/>
  <c r="AD2254" i="7"/>
  <c r="AC2254" i="7"/>
  <c r="AB2254" i="7" s="1"/>
  <c r="T2254" i="7"/>
  <c r="S2254" i="7"/>
  <c r="R2254" i="7" s="1"/>
  <c r="L2254" i="7"/>
  <c r="K2254" i="7"/>
  <c r="J2254" i="7" s="1"/>
  <c r="D2254" i="7"/>
  <c r="C2254" i="7"/>
  <c r="B2254" i="7" s="1"/>
  <c r="AR2253" i="7"/>
  <c r="AQ2253" i="7"/>
  <c r="AP2253" i="7" s="1"/>
  <c r="AL2253" i="7"/>
  <c r="AK2253" i="7"/>
  <c r="AD2253" i="7"/>
  <c r="AC2253" i="7"/>
  <c r="AB2253" i="7" s="1"/>
  <c r="T2253" i="7"/>
  <c r="R2253" i="7" s="1"/>
  <c r="S2253" i="7"/>
  <c r="L2253" i="7"/>
  <c r="K2253" i="7"/>
  <c r="J2253" i="7"/>
  <c r="D2253" i="7"/>
  <c r="B2253" i="7" s="1"/>
  <c r="C2253" i="7"/>
  <c r="AR2252" i="7"/>
  <c r="AQ2252" i="7"/>
  <c r="AP2252" i="7"/>
  <c r="AL2252" i="7"/>
  <c r="AK2252" i="7"/>
  <c r="AJ2252" i="7" s="1"/>
  <c r="AD2252" i="7"/>
  <c r="AC2252" i="7"/>
  <c r="T2252" i="7"/>
  <c r="S2252" i="7"/>
  <c r="R2252" i="7"/>
  <c r="L2252" i="7"/>
  <c r="K2252" i="7"/>
  <c r="J2252" i="7" s="1"/>
  <c r="D2252" i="7"/>
  <c r="C2252" i="7"/>
  <c r="B2252" i="7"/>
  <c r="AR2251" i="7"/>
  <c r="AQ2251" i="7"/>
  <c r="AP2251" i="7" s="1"/>
  <c r="AL2251" i="7"/>
  <c r="AK2251" i="7"/>
  <c r="AD2251" i="7"/>
  <c r="AC2251" i="7"/>
  <c r="AA2251" i="7" s="1"/>
  <c r="AB2251" i="7"/>
  <c r="T2251" i="7"/>
  <c r="S2251" i="7"/>
  <c r="R2251" i="7" s="1"/>
  <c r="L2251" i="7"/>
  <c r="K2251" i="7"/>
  <c r="J2251" i="7" s="1"/>
  <c r="D2251" i="7"/>
  <c r="C2251" i="7"/>
  <c r="B2251" i="7" s="1"/>
  <c r="AR2250" i="7"/>
  <c r="AQ2250" i="7"/>
  <c r="AP2250" i="7" s="1"/>
  <c r="AL2250" i="7"/>
  <c r="AK2250" i="7"/>
  <c r="AD2250" i="7"/>
  <c r="AC2250" i="7"/>
  <c r="AB2250" i="7" s="1"/>
  <c r="T2250" i="7"/>
  <c r="R2250" i="7" s="1"/>
  <c r="S2250" i="7"/>
  <c r="L2250" i="7"/>
  <c r="K2250" i="7"/>
  <c r="J2250" i="7"/>
  <c r="D2250" i="7"/>
  <c r="B2250" i="7" s="1"/>
  <c r="C2250" i="7"/>
  <c r="AR2249" i="7"/>
  <c r="AQ2249" i="7"/>
  <c r="AP2249" i="7"/>
  <c r="AL2249" i="7"/>
  <c r="AK2249" i="7"/>
  <c r="AD2249" i="7"/>
  <c r="AC2249" i="7"/>
  <c r="T2249" i="7"/>
  <c r="S2249" i="7"/>
  <c r="R2249" i="7"/>
  <c r="L2249" i="7"/>
  <c r="K2249" i="7"/>
  <c r="J2249" i="7" s="1"/>
  <c r="D2249" i="7"/>
  <c r="C2249" i="7"/>
  <c r="B2249" i="7"/>
  <c r="AR2248" i="7"/>
  <c r="AQ2248" i="7"/>
  <c r="AP2248" i="7" s="1"/>
  <c r="AL2248" i="7"/>
  <c r="AK2248" i="7"/>
  <c r="AD2248" i="7"/>
  <c r="AC2248" i="7"/>
  <c r="AB2248" i="7" s="1"/>
  <c r="T2248" i="7"/>
  <c r="S2248" i="7"/>
  <c r="R2248" i="7" s="1"/>
  <c r="L2248" i="7"/>
  <c r="K2248" i="7"/>
  <c r="J2248" i="7" s="1"/>
  <c r="D2248" i="7"/>
  <c r="C2248" i="7"/>
  <c r="B2248" i="7" s="1"/>
  <c r="AR2247" i="7"/>
  <c r="AQ2247" i="7"/>
  <c r="AP2247" i="7" s="1"/>
  <c r="AL2247" i="7"/>
  <c r="AK2247" i="7"/>
  <c r="AJ2247" i="7" s="1"/>
  <c r="AD2247" i="7"/>
  <c r="AC2247" i="7"/>
  <c r="AB2247" i="7" s="1"/>
  <c r="T2247" i="7"/>
  <c r="R2247" i="7" s="1"/>
  <c r="S2247" i="7"/>
  <c r="L2247" i="7"/>
  <c r="K2247" i="7"/>
  <c r="J2247" i="7"/>
  <c r="D2247" i="7"/>
  <c r="B2247" i="7" s="1"/>
  <c r="C2247" i="7"/>
  <c r="AR2246" i="7"/>
  <c r="AQ2246" i="7"/>
  <c r="AP2246" i="7"/>
  <c r="AL2246" i="7"/>
  <c r="AK2246" i="7"/>
  <c r="AJ2246" i="7" s="1"/>
  <c r="AD2246" i="7"/>
  <c r="AC2246" i="7"/>
  <c r="T2246" i="7"/>
  <c r="S2246" i="7"/>
  <c r="R2246" i="7"/>
  <c r="L2246" i="7"/>
  <c r="K2246" i="7"/>
  <c r="J2246" i="7" s="1"/>
  <c r="D2246" i="7"/>
  <c r="C2246" i="7"/>
  <c r="B2246" i="7"/>
  <c r="AR2245" i="7"/>
  <c r="AQ2245" i="7"/>
  <c r="AP2245" i="7" s="1"/>
  <c r="AL2245" i="7"/>
  <c r="AK2245" i="7"/>
  <c r="AD2245" i="7"/>
  <c r="AC2245" i="7"/>
  <c r="T2245" i="7"/>
  <c r="S2245" i="7"/>
  <c r="R2245" i="7" s="1"/>
  <c r="L2245" i="7"/>
  <c r="K2245" i="7"/>
  <c r="J2245" i="7" s="1"/>
  <c r="D2245" i="7"/>
  <c r="C2245" i="7"/>
  <c r="B2245" i="7" s="1"/>
  <c r="AR2244" i="7"/>
  <c r="AQ2244" i="7"/>
  <c r="AP2244" i="7" s="1"/>
  <c r="AL2244" i="7"/>
  <c r="AK2244" i="7"/>
  <c r="AD2244" i="7"/>
  <c r="AC2244" i="7"/>
  <c r="AB2244" i="7" s="1"/>
  <c r="T2244" i="7"/>
  <c r="R2244" i="7" s="1"/>
  <c r="S2244" i="7"/>
  <c r="L2244" i="7"/>
  <c r="K2244" i="7"/>
  <c r="J2244" i="7"/>
  <c r="D2244" i="7"/>
  <c r="B2244" i="7" s="1"/>
  <c r="C2244" i="7"/>
  <c r="AR2243" i="7"/>
  <c r="AQ2243" i="7"/>
  <c r="AP2243" i="7"/>
  <c r="AL2243" i="7"/>
  <c r="AK2243" i="7"/>
  <c r="AI2243" i="7" s="1"/>
  <c r="AD2243" i="7"/>
  <c r="AC2243" i="7"/>
  <c r="T2243" i="7"/>
  <c r="S2243" i="7"/>
  <c r="R2243" i="7"/>
  <c r="L2243" i="7"/>
  <c r="K2243" i="7"/>
  <c r="J2243" i="7" s="1"/>
  <c r="D2243" i="7"/>
  <c r="C2243" i="7"/>
  <c r="B2243" i="7"/>
  <c r="AR2242" i="7"/>
  <c r="AQ2242" i="7"/>
  <c r="AP2242" i="7" s="1"/>
  <c r="AL2242" i="7"/>
  <c r="AK2242" i="7"/>
  <c r="AI2242" i="7" s="1"/>
  <c r="AD2242" i="7"/>
  <c r="AC2242" i="7"/>
  <c r="T2242" i="7"/>
  <c r="S2242" i="7"/>
  <c r="R2242" i="7" s="1"/>
  <c r="L2242" i="7"/>
  <c r="K2242" i="7"/>
  <c r="J2242" i="7" s="1"/>
  <c r="D2242" i="7"/>
  <c r="C2242" i="7"/>
  <c r="B2242" i="7" s="1"/>
  <c r="AR2241" i="7"/>
  <c r="AQ2241" i="7"/>
  <c r="AP2241" i="7" s="1"/>
  <c r="AL2241" i="7"/>
  <c r="AK2241" i="7"/>
  <c r="AD2241" i="7"/>
  <c r="AC2241" i="7"/>
  <c r="AB2241" i="7" s="1"/>
  <c r="T2241" i="7"/>
  <c r="R2241" i="7" s="1"/>
  <c r="S2241" i="7"/>
  <c r="L2241" i="7"/>
  <c r="K2241" i="7"/>
  <c r="J2241" i="7"/>
  <c r="D2241" i="7"/>
  <c r="B2241" i="7" s="1"/>
  <c r="C2241" i="7"/>
  <c r="AR2240" i="7"/>
  <c r="AQ2240" i="7"/>
  <c r="AP2240" i="7"/>
  <c r="AL2240" i="7"/>
  <c r="AK2240" i="7"/>
  <c r="AJ2240" i="7" s="1"/>
  <c r="AD2240" i="7"/>
  <c r="AC2240" i="7"/>
  <c r="T2240" i="7"/>
  <c r="S2240" i="7"/>
  <c r="R2240" i="7"/>
  <c r="L2240" i="7"/>
  <c r="K2240" i="7"/>
  <c r="J2240" i="7" s="1"/>
  <c r="D2240" i="7"/>
  <c r="C2240" i="7"/>
  <c r="B2240" i="7"/>
  <c r="AR2239" i="7"/>
  <c r="AQ2239" i="7"/>
  <c r="AP2239" i="7" s="1"/>
  <c r="AL2239" i="7"/>
  <c r="AK2239" i="7"/>
  <c r="AI2239" i="7" s="1"/>
  <c r="AJ2239" i="7"/>
  <c r="AD2239" i="7"/>
  <c r="AC2239" i="7"/>
  <c r="T2239" i="7"/>
  <c r="S2239" i="7"/>
  <c r="R2239" i="7" s="1"/>
  <c r="L2239" i="7"/>
  <c r="K2239" i="7"/>
  <c r="J2239" i="7" s="1"/>
  <c r="D2239" i="7"/>
  <c r="C2239" i="7"/>
  <c r="B2239" i="7" s="1"/>
  <c r="AR2238" i="7"/>
  <c r="AQ2238" i="7"/>
  <c r="AP2238" i="7" s="1"/>
  <c r="AL2238" i="7"/>
  <c r="AK2238" i="7"/>
  <c r="AJ2238" i="7" s="1"/>
  <c r="AD2238" i="7"/>
  <c r="AC2238" i="7"/>
  <c r="AB2238" i="7" s="1"/>
  <c r="T2238" i="7"/>
  <c r="R2238" i="7" s="1"/>
  <c r="S2238" i="7"/>
  <c r="L2238" i="7"/>
  <c r="K2238" i="7"/>
  <c r="J2238" i="7"/>
  <c r="D2238" i="7"/>
  <c r="B2238" i="7" s="1"/>
  <c r="C2238" i="7"/>
  <c r="AR2237" i="7"/>
  <c r="AQ2237" i="7"/>
  <c r="AP2237" i="7"/>
  <c r="AL2237" i="7"/>
  <c r="AK2237" i="7"/>
  <c r="AD2237" i="7"/>
  <c r="AC2237" i="7"/>
  <c r="T2237" i="7"/>
  <c r="S2237" i="7"/>
  <c r="R2237" i="7"/>
  <c r="L2237" i="7"/>
  <c r="K2237" i="7"/>
  <c r="J2237" i="7" s="1"/>
  <c r="D2237" i="7"/>
  <c r="C2237" i="7"/>
  <c r="B2237" i="7"/>
  <c r="AR2236" i="7"/>
  <c r="AQ2236" i="7"/>
  <c r="AP2236" i="7" s="1"/>
  <c r="AL2236" i="7"/>
  <c r="AK2236" i="7"/>
  <c r="AD2236" i="7"/>
  <c r="AC2236" i="7"/>
  <c r="AB2236" i="7" s="1"/>
  <c r="T2236" i="7"/>
  <c r="S2236" i="7"/>
  <c r="R2236" i="7" s="1"/>
  <c r="L2236" i="7"/>
  <c r="K2236" i="7"/>
  <c r="J2236" i="7" s="1"/>
  <c r="D2236" i="7"/>
  <c r="C2236" i="7"/>
  <c r="B2236" i="7" s="1"/>
  <c r="AR2235" i="7"/>
  <c r="AQ2235" i="7"/>
  <c r="AP2235" i="7" s="1"/>
  <c r="AL2235" i="7"/>
  <c r="AK2235" i="7"/>
  <c r="AJ2235" i="7" s="1"/>
  <c r="AD2235" i="7"/>
  <c r="AC2235" i="7"/>
  <c r="AB2235" i="7" s="1"/>
  <c r="T2235" i="7"/>
  <c r="R2235" i="7" s="1"/>
  <c r="S2235" i="7"/>
  <c r="L2235" i="7"/>
  <c r="K2235" i="7"/>
  <c r="J2235" i="7"/>
  <c r="D2235" i="7"/>
  <c r="B2235" i="7" s="1"/>
  <c r="C2235" i="7"/>
  <c r="AR2234" i="7"/>
  <c r="AQ2234" i="7"/>
  <c r="AP2234" i="7"/>
  <c r="AL2234" i="7"/>
  <c r="AK2234" i="7"/>
  <c r="AD2234" i="7"/>
  <c r="AC2234" i="7"/>
  <c r="T2234" i="7"/>
  <c r="S2234" i="7"/>
  <c r="R2234" i="7"/>
  <c r="L2234" i="7"/>
  <c r="K2234" i="7"/>
  <c r="J2234" i="7" s="1"/>
  <c r="D2234" i="7"/>
  <c r="C2234" i="7"/>
  <c r="B2234" i="7"/>
  <c r="AR2233" i="7"/>
  <c r="AQ2233" i="7"/>
  <c r="AP2233" i="7" s="1"/>
  <c r="AL2233" i="7"/>
  <c r="AK2233" i="7"/>
  <c r="AD2233" i="7"/>
  <c r="AC2233" i="7"/>
  <c r="AB2233" i="7" s="1"/>
  <c r="T2233" i="7"/>
  <c r="S2233" i="7"/>
  <c r="R2233" i="7" s="1"/>
  <c r="L2233" i="7"/>
  <c r="K2233" i="7"/>
  <c r="J2233" i="7" s="1"/>
  <c r="D2233" i="7"/>
  <c r="C2233" i="7"/>
  <c r="B2233" i="7" s="1"/>
  <c r="AR2232" i="7"/>
  <c r="AQ2232" i="7"/>
  <c r="AP2232" i="7" s="1"/>
  <c r="AL2232" i="7"/>
  <c r="AK2232" i="7"/>
  <c r="AD2232" i="7"/>
  <c r="AC2232" i="7"/>
  <c r="AB2232" i="7" s="1"/>
  <c r="T2232" i="7"/>
  <c r="R2232" i="7" s="1"/>
  <c r="S2232" i="7"/>
  <c r="L2232" i="7"/>
  <c r="K2232" i="7"/>
  <c r="J2232" i="7"/>
  <c r="D2232" i="7"/>
  <c r="B2232" i="7" s="1"/>
  <c r="C2232" i="7"/>
  <c r="AR2231" i="7"/>
  <c r="AQ2231" i="7"/>
  <c r="AP2231" i="7"/>
  <c r="AL2231" i="7"/>
  <c r="AK2231" i="7"/>
  <c r="AD2231" i="7"/>
  <c r="AC2231" i="7"/>
  <c r="T2231" i="7"/>
  <c r="S2231" i="7"/>
  <c r="R2231" i="7"/>
  <c r="L2231" i="7"/>
  <c r="K2231" i="7"/>
  <c r="J2231" i="7" s="1"/>
  <c r="D2231" i="7"/>
  <c r="C2231" i="7"/>
  <c r="B2231" i="7"/>
  <c r="AR2230" i="7"/>
  <c r="AQ2230" i="7"/>
  <c r="AP2230" i="7" s="1"/>
  <c r="AL2230" i="7"/>
  <c r="AK2230" i="7"/>
  <c r="AI2230" i="7" s="1"/>
  <c r="AD2230" i="7"/>
  <c r="AC2230" i="7"/>
  <c r="AB2230" i="7" s="1"/>
  <c r="T2230" i="7"/>
  <c r="S2230" i="7"/>
  <c r="R2230" i="7" s="1"/>
  <c r="L2230" i="7"/>
  <c r="K2230" i="7"/>
  <c r="J2230" i="7" s="1"/>
  <c r="D2230" i="7"/>
  <c r="C2230" i="7"/>
  <c r="B2230" i="7" s="1"/>
  <c r="AR2229" i="7"/>
  <c r="AQ2229" i="7"/>
  <c r="AP2229" i="7" s="1"/>
  <c r="AL2229" i="7"/>
  <c r="AK2229" i="7"/>
  <c r="AD2229" i="7"/>
  <c r="AC2229" i="7"/>
  <c r="AB2229" i="7" s="1"/>
  <c r="T2229" i="7"/>
  <c r="R2229" i="7" s="1"/>
  <c r="S2229" i="7"/>
  <c r="L2229" i="7"/>
  <c r="K2229" i="7"/>
  <c r="J2229" i="7"/>
  <c r="D2229" i="7"/>
  <c r="B2229" i="7" s="1"/>
  <c r="C2229" i="7"/>
  <c r="AR2228" i="7"/>
  <c r="AQ2228" i="7"/>
  <c r="AP2228" i="7"/>
  <c r="AL2228" i="7"/>
  <c r="AK2228" i="7"/>
  <c r="AD2228" i="7"/>
  <c r="AC2228" i="7"/>
  <c r="T2228" i="7"/>
  <c r="S2228" i="7"/>
  <c r="R2228" i="7"/>
  <c r="L2228" i="7"/>
  <c r="K2228" i="7"/>
  <c r="J2228" i="7" s="1"/>
  <c r="D2228" i="7"/>
  <c r="C2228" i="7"/>
  <c r="B2228" i="7"/>
  <c r="AR2227" i="7"/>
  <c r="AQ2227" i="7"/>
  <c r="AP2227" i="7" s="1"/>
  <c r="AL2227" i="7"/>
  <c r="AK2227" i="7"/>
  <c r="AD2227" i="7"/>
  <c r="AC2227" i="7"/>
  <c r="T2227" i="7"/>
  <c r="S2227" i="7"/>
  <c r="R2227" i="7" s="1"/>
  <c r="L2227" i="7"/>
  <c r="K2227" i="7"/>
  <c r="J2227" i="7" s="1"/>
  <c r="D2227" i="7"/>
  <c r="C2227" i="7"/>
  <c r="B2227" i="7" s="1"/>
  <c r="AR2226" i="7"/>
  <c r="AQ2226" i="7"/>
  <c r="AP2226" i="7" s="1"/>
  <c r="AL2226" i="7"/>
  <c r="AK2226" i="7"/>
  <c r="AJ2226" i="7" s="1"/>
  <c r="AD2226" i="7"/>
  <c r="AC2226" i="7"/>
  <c r="AB2226" i="7" s="1"/>
  <c r="T2226" i="7"/>
  <c r="R2226" i="7" s="1"/>
  <c r="S2226" i="7"/>
  <c r="L2226" i="7"/>
  <c r="K2226" i="7"/>
  <c r="J2226" i="7"/>
  <c r="D2226" i="7"/>
  <c r="B2226" i="7" s="1"/>
  <c r="C2226" i="7"/>
  <c r="AR2225" i="7"/>
  <c r="AQ2225" i="7"/>
  <c r="AP2225" i="7"/>
  <c r="AL2225" i="7"/>
  <c r="AK2225" i="7"/>
  <c r="AD2225" i="7"/>
  <c r="AC2225" i="7"/>
  <c r="T2225" i="7"/>
  <c r="S2225" i="7"/>
  <c r="R2225" i="7"/>
  <c r="L2225" i="7"/>
  <c r="K2225" i="7"/>
  <c r="J2225" i="7" s="1"/>
  <c r="D2225" i="7"/>
  <c r="C2225" i="7"/>
  <c r="B2225" i="7" s="1"/>
  <c r="AR2224" i="7"/>
  <c r="AQ2224" i="7"/>
  <c r="AP2224" i="7" s="1"/>
  <c r="AL2224" i="7"/>
  <c r="AK2224" i="7"/>
  <c r="AI2224" i="7" s="1"/>
  <c r="AJ2224" i="7"/>
  <c r="AD2224" i="7"/>
  <c r="AC2224" i="7"/>
  <c r="T2224" i="7"/>
  <c r="S2224" i="7"/>
  <c r="R2224" i="7" s="1"/>
  <c r="L2224" i="7"/>
  <c r="K2224" i="7"/>
  <c r="J2224" i="7" s="1"/>
  <c r="D2224" i="7"/>
  <c r="C2224" i="7"/>
  <c r="B2224" i="7" s="1"/>
  <c r="AR2223" i="7"/>
  <c r="AQ2223" i="7"/>
  <c r="AP2223" i="7" s="1"/>
  <c r="AL2223" i="7"/>
  <c r="AK2223" i="7"/>
  <c r="AD2223" i="7"/>
  <c r="AC2223" i="7"/>
  <c r="AB2223" i="7" s="1"/>
  <c r="T2223" i="7"/>
  <c r="R2223" i="7" s="1"/>
  <c r="S2223" i="7"/>
  <c r="L2223" i="7"/>
  <c r="K2223" i="7"/>
  <c r="J2223" i="7"/>
  <c r="D2223" i="7"/>
  <c r="B2223" i="7" s="1"/>
  <c r="C2223" i="7"/>
  <c r="AR2222" i="7"/>
  <c r="AQ2222" i="7"/>
  <c r="AP2222" i="7"/>
  <c r="AL2222" i="7"/>
  <c r="AK2222" i="7"/>
  <c r="AD2222" i="7"/>
  <c r="AC2222" i="7"/>
  <c r="T2222" i="7"/>
  <c r="S2222" i="7"/>
  <c r="R2222" i="7"/>
  <c r="L2222" i="7"/>
  <c r="K2222" i="7"/>
  <c r="J2222" i="7" s="1"/>
  <c r="D2222" i="7"/>
  <c r="C2222" i="7"/>
  <c r="B2222" i="7" s="1"/>
  <c r="AR2221" i="7"/>
  <c r="AQ2221" i="7"/>
  <c r="AP2221" i="7" s="1"/>
  <c r="AL2221" i="7"/>
  <c r="AK2221" i="7"/>
  <c r="AD2221" i="7"/>
  <c r="AC2221" i="7"/>
  <c r="T2221" i="7"/>
  <c r="S2221" i="7"/>
  <c r="R2221" i="7" s="1"/>
  <c r="L2221" i="7"/>
  <c r="K2221" i="7"/>
  <c r="J2221" i="7" s="1"/>
  <c r="D2221" i="7"/>
  <c r="C2221" i="7"/>
  <c r="B2221" i="7" s="1"/>
  <c r="AR2220" i="7"/>
  <c r="AQ2220" i="7"/>
  <c r="AP2220" i="7" s="1"/>
  <c r="AL2220" i="7"/>
  <c r="AK2220" i="7"/>
  <c r="AJ2220" i="7" s="1"/>
  <c r="AD2220" i="7"/>
  <c r="AC2220" i="7"/>
  <c r="AB2220" i="7" s="1"/>
  <c r="T2220" i="7"/>
  <c r="R2220" i="7" s="1"/>
  <c r="S2220" i="7"/>
  <c r="L2220" i="7"/>
  <c r="K2220" i="7"/>
  <c r="J2220" i="7"/>
  <c r="D2220" i="7"/>
  <c r="B2220" i="7" s="1"/>
  <c r="C2220" i="7"/>
  <c r="AR2219" i="7"/>
  <c r="AQ2219" i="7"/>
  <c r="AP2219" i="7"/>
  <c r="AL2219" i="7"/>
  <c r="AK2219" i="7"/>
  <c r="AD2219" i="7"/>
  <c r="AC2219" i="7"/>
  <c r="T2219" i="7"/>
  <c r="S2219" i="7"/>
  <c r="R2219" i="7"/>
  <c r="L2219" i="7"/>
  <c r="K2219" i="7"/>
  <c r="J2219" i="7" s="1"/>
  <c r="D2219" i="7"/>
  <c r="C2219" i="7"/>
  <c r="B2219" i="7" s="1"/>
  <c r="AR2218" i="7"/>
  <c r="AQ2218" i="7"/>
  <c r="AP2218" i="7" s="1"/>
  <c r="AL2218" i="7"/>
  <c r="AK2218" i="7"/>
  <c r="AD2218" i="7"/>
  <c r="AC2218" i="7"/>
  <c r="T2218" i="7"/>
  <c r="S2218" i="7"/>
  <c r="R2218" i="7" s="1"/>
  <c r="L2218" i="7"/>
  <c r="K2218" i="7"/>
  <c r="J2218" i="7" s="1"/>
  <c r="D2218" i="7"/>
  <c r="C2218" i="7"/>
  <c r="B2218" i="7" s="1"/>
  <c r="AR2217" i="7"/>
  <c r="AQ2217" i="7"/>
  <c r="AP2217" i="7" s="1"/>
  <c r="AL2217" i="7"/>
  <c r="AK2217" i="7"/>
  <c r="AD2217" i="7"/>
  <c r="AC2217" i="7"/>
  <c r="AB2217" i="7" s="1"/>
  <c r="T2217" i="7"/>
  <c r="R2217" i="7" s="1"/>
  <c r="S2217" i="7"/>
  <c r="L2217" i="7"/>
  <c r="K2217" i="7"/>
  <c r="J2217" i="7"/>
  <c r="D2217" i="7"/>
  <c r="B2217" i="7" s="1"/>
  <c r="C2217" i="7"/>
  <c r="AR2216" i="7"/>
  <c r="AQ2216" i="7"/>
  <c r="AP2216" i="7"/>
  <c r="AL2216" i="7"/>
  <c r="AK2216" i="7"/>
  <c r="AD2216" i="7"/>
  <c r="AC2216" i="7"/>
  <c r="T2216" i="7"/>
  <c r="S2216" i="7"/>
  <c r="R2216" i="7"/>
  <c r="L2216" i="7"/>
  <c r="K2216" i="7"/>
  <c r="J2216" i="7" s="1"/>
  <c r="D2216" i="7"/>
  <c r="C2216" i="7"/>
  <c r="B2216" i="7" s="1"/>
  <c r="AR2215" i="7"/>
  <c r="AQ2215" i="7"/>
  <c r="AP2215" i="7" s="1"/>
  <c r="AL2215" i="7"/>
  <c r="AK2215" i="7"/>
  <c r="AD2215" i="7"/>
  <c r="AC2215" i="7"/>
  <c r="T2215" i="7"/>
  <c r="S2215" i="7"/>
  <c r="R2215" i="7" s="1"/>
  <c r="L2215" i="7"/>
  <c r="K2215" i="7"/>
  <c r="J2215" i="7" s="1"/>
  <c r="D2215" i="7"/>
  <c r="C2215" i="7"/>
  <c r="B2215" i="7" s="1"/>
  <c r="AR2214" i="7"/>
  <c r="AQ2214" i="7"/>
  <c r="AP2214" i="7" s="1"/>
  <c r="AL2214" i="7"/>
  <c r="AK2214" i="7"/>
  <c r="AD2214" i="7"/>
  <c r="AC2214" i="7"/>
  <c r="AB2214" i="7" s="1"/>
  <c r="T2214" i="7"/>
  <c r="R2214" i="7" s="1"/>
  <c r="S2214" i="7"/>
  <c r="L2214" i="7"/>
  <c r="K2214" i="7"/>
  <c r="J2214" i="7"/>
  <c r="D2214" i="7"/>
  <c r="B2214" i="7" s="1"/>
  <c r="C2214" i="7"/>
  <c r="AR2213" i="7"/>
  <c r="AQ2213" i="7"/>
  <c r="AP2213" i="7"/>
  <c r="AL2213" i="7"/>
  <c r="AK2213" i="7"/>
  <c r="AD2213" i="7"/>
  <c r="AC2213" i="7"/>
  <c r="T2213" i="7"/>
  <c r="S2213" i="7"/>
  <c r="R2213" i="7"/>
  <c r="L2213" i="7"/>
  <c r="K2213" i="7"/>
  <c r="J2213" i="7" s="1"/>
  <c r="D2213" i="7"/>
  <c r="C2213" i="7"/>
  <c r="B2213" i="7" s="1"/>
  <c r="AR2212" i="7"/>
  <c r="AQ2212" i="7"/>
  <c r="AP2212" i="7" s="1"/>
  <c r="AL2212" i="7"/>
  <c r="AK2212" i="7"/>
  <c r="AI2212" i="7" s="1"/>
  <c r="AD2212" i="7"/>
  <c r="AC2212" i="7"/>
  <c r="T2212" i="7"/>
  <c r="S2212" i="7"/>
  <c r="R2212" i="7" s="1"/>
  <c r="L2212" i="7"/>
  <c r="K2212" i="7"/>
  <c r="J2212" i="7" s="1"/>
  <c r="D2212" i="7"/>
  <c r="C2212" i="7"/>
  <c r="B2212" i="7" s="1"/>
  <c r="AR2211" i="7"/>
  <c r="AQ2211" i="7"/>
  <c r="AP2211" i="7" s="1"/>
  <c r="AL2211" i="7"/>
  <c r="AK2211" i="7"/>
  <c r="AD2211" i="7"/>
  <c r="AC2211" i="7"/>
  <c r="AB2211" i="7" s="1"/>
  <c r="T2211" i="7"/>
  <c r="R2211" i="7" s="1"/>
  <c r="S2211" i="7"/>
  <c r="L2211" i="7"/>
  <c r="K2211" i="7"/>
  <c r="J2211" i="7"/>
  <c r="D2211" i="7"/>
  <c r="B2211" i="7" s="1"/>
  <c r="C2211" i="7"/>
  <c r="AR2210" i="7"/>
  <c r="AQ2210" i="7"/>
  <c r="AP2210" i="7"/>
  <c r="AL2210" i="7"/>
  <c r="AK2210" i="7"/>
  <c r="AI2210" i="7" s="1"/>
  <c r="AD2210" i="7"/>
  <c r="AC2210" i="7"/>
  <c r="T2210" i="7"/>
  <c r="S2210" i="7"/>
  <c r="R2210" i="7"/>
  <c r="L2210" i="7"/>
  <c r="K2210" i="7"/>
  <c r="J2210" i="7" s="1"/>
  <c r="D2210" i="7"/>
  <c r="C2210" i="7"/>
  <c r="B2210" i="7" s="1"/>
  <c r="AR2209" i="7"/>
  <c r="AQ2209" i="7"/>
  <c r="AP2209" i="7" s="1"/>
  <c r="AL2209" i="7"/>
  <c r="AK2209" i="7"/>
  <c r="AI2209" i="7" s="1"/>
  <c r="AD2209" i="7"/>
  <c r="AC2209" i="7"/>
  <c r="AA2209" i="7" s="1"/>
  <c r="T2209" i="7"/>
  <c r="S2209" i="7"/>
  <c r="R2209" i="7" s="1"/>
  <c r="L2209" i="7"/>
  <c r="K2209" i="7"/>
  <c r="J2209" i="7" s="1"/>
  <c r="D2209" i="7"/>
  <c r="C2209" i="7"/>
  <c r="B2209" i="7" s="1"/>
  <c r="AR2208" i="7"/>
  <c r="AQ2208" i="7"/>
  <c r="AP2208" i="7" s="1"/>
  <c r="AL2208" i="7"/>
  <c r="AK2208" i="7"/>
  <c r="AJ2208" i="7" s="1"/>
  <c r="AD2208" i="7"/>
  <c r="AC2208" i="7"/>
  <c r="AB2208" i="7" s="1"/>
  <c r="T2208" i="7"/>
  <c r="R2208" i="7" s="1"/>
  <c r="S2208" i="7"/>
  <c r="L2208" i="7"/>
  <c r="K2208" i="7"/>
  <c r="J2208" i="7"/>
  <c r="D2208" i="7"/>
  <c r="B2208" i="7" s="1"/>
  <c r="C2208" i="7"/>
  <c r="AR2207" i="7"/>
  <c r="AQ2207" i="7"/>
  <c r="AP2207" i="7"/>
  <c r="AL2207" i="7"/>
  <c r="AK2207" i="7"/>
  <c r="AD2207" i="7"/>
  <c r="AC2207" i="7"/>
  <c r="T2207" i="7"/>
  <c r="S2207" i="7"/>
  <c r="R2207" i="7"/>
  <c r="L2207" i="7"/>
  <c r="K2207" i="7"/>
  <c r="J2207" i="7" s="1"/>
  <c r="D2207" i="7"/>
  <c r="C2207" i="7"/>
  <c r="B2207" i="7" s="1"/>
  <c r="AR2206" i="7"/>
  <c r="AQ2206" i="7"/>
  <c r="AP2206" i="7" s="1"/>
  <c r="AL2206" i="7"/>
  <c r="AK2206" i="7"/>
  <c r="AI2206" i="7" s="1"/>
  <c r="AD2206" i="7"/>
  <c r="AC2206" i="7"/>
  <c r="AA2206" i="7" s="1"/>
  <c r="T2206" i="7"/>
  <c r="S2206" i="7"/>
  <c r="R2206" i="7" s="1"/>
  <c r="L2206" i="7"/>
  <c r="K2206" i="7"/>
  <c r="J2206" i="7" s="1"/>
  <c r="D2206" i="7"/>
  <c r="C2206" i="7"/>
  <c r="B2206" i="7" s="1"/>
  <c r="AR2205" i="7"/>
  <c r="AQ2205" i="7"/>
  <c r="AP2205" i="7" s="1"/>
  <c r="AL2205" i="7"/>
  <c r="AK2205" i="7"/>
  <c r="AD2205" i="7"/>
  <c r="AC2205" i="7"/>
  <c r="AB2205" i="7" s="1"/>
  <c r="T2205" i="7"/>
  <c r="R2205" i="7" s="1"/>
  <c r="S2205" i="7"/>
  <c r="L2205" i="7"/>
  <c r="K2205" i="7"/>
  <c r="J2205" i="7"/>
  <c r="D2205" i="7"/>
  <c r="B2205" i="7" s="1"/>
  <c r="C2205" i="7"/>
  <c r="AR2204" i="7"/>
  <c r="AQ2204" i="7"/>
  <c r="AP2204" i="7"/>
  <c r="AL2204" i="7"/>
  <c r="AK2204" i="7"/>
  <c r="AD2204" i="7"/>
  <c r="AC2204" i="7"/>
  <c r="T2204" i="7"/>
  <c r="S2204" i="7"/>
  <c r="R2204" i="7"/>
  <c r="L2204" i="7"/>
  <c r="K2204" i="7"/>
  <c r="J2204" i="7" s="1"/>
  <c r="D2204" i="7"/>
  <c r="C2204" i="7"/>
  <c r="B2204" i="7" s="1"/>
  <c r="AR2203" i="7"/>
  <c r="AQ2203" i="7"/>
  <c r="AP2203" i="7" s="1"/>
  <c r="AL2203" i="7"/>
  <c r="AK2203" i="7"/>
  <c r="AD2203" i="7"/>
  <c r="AC2203" i="7"/>
  <c r="T2203" i="7"/>
  <c r="S2203" i="7"/>
  <c r="R2203" i="7" s="1"/>
  <c r="L2203" i="7"/>
  <c r="K2203" i="7"/>
  <c r="J2203" i="7" s="1"/>
  <c r="D2203" i="7"/>
  <c r="C2203" i="7"/>
  <c r="B2203" i="7" s="1"/>
  <c r="AR2202" i="7"/>
  <c r="AQ2202" i="7"/>
  <c r="AP2202" i="7" s="1"/>
  <c r="AL2202" i="7"/>
  <c r="AK2202" i="7"/>
  <c r="AJ2202" i="7" s="1"/>
  <c r="AI2202" i="7"/>
  <c r="AD2202" i="7"/>
  <c r="AC2202" i="7"/>
  <c r="T2202" i="7"/>
  <c r="R2202" i="7" s="1"/>
  <c r="S2202" i="7"/>
  <c r="L2202" i="7"/>
  <c r="K2202" i="7"/>
  <c r="J2202" i="7"/>
  <c r="D2202" i="7"/>
  <c r="B2202" i="7" s="1"/>
  <c r="C2202" i="7"/>
  <c r="AR2201" i="7"/>
  <c r="AQ2201" i="7"/>
  <c r="AP2201" i="7"/>
  <c r="AL2201" i="7"/>
  <c r="AK2201" i="7"/>
  <c r="AI2201" i="7" s="1"/>
  <c r="AD2201" i="7"/>
  <c r="AC2201" i="7"/>
  <c r="T2201" i="7"/>
  <c r="S2201" i="7"/>
  <c r="R2201" i="7"/>
  <c r="L2201" i="7"/>
  <c r="K2201" i="7"/>
  <c r="J2201" i="7" s="1"/>
  <c r="D2201" i="7"/>
  <c r="C2201" i="7"/>
  <c r="B2201" i="7"/>
  <c r="AR2200" i="7"/>
  <c r="AQ2200" i="7"/>
  <c r="AP2200" i="7" s="1"/>
  <c r="AL2200" i="7"/>
  <c r="AK2200" i="7"/>
  <c r="AD2200" i="7"/>
  <c r="AC2200" i="7"/>
  <c r="T2200" i="7"/>
  <c r="S2200" i="7"/>
  <c r="R2200" i="7" s="1"/>
  <c r="L2200" i="7"/>
  <c r="K2200" i="7"/>
  <c r="J2200" i="7" s="1"/>
  <c r="D2200" i="7"/>
  <c r="C2200" i="7"/>
  <c r="B2200" i="7" s="1"/>
  <c r="AR2199" i="7"/>
  <c r="AQ2199" i="7"/>
  <c r="AP2199" i="7" s="1"/>
  <c r="AL2199" i="7"/>
  <c r="AK2199" i="7"/>
  <c r="AD2199" i="7"/>
  <c r="AC2199" i="7"/>
  <c r="T2199" i="7"/>
  <c r="S2199" i="7"/>
  <c r="R2199" i="7"/>
  <c r="L2199" i="7"/>
  <c r="K2199" i="7"/>
  <c r="J2199" i="7"/>
  <c r="D2199" i="7"/>
  <c r="C2199" i="7"/>
  <c r="B2199" i="7"/>
  <c r="AR2198" i="7"/>
  <c r="AQ2198" i="7"/>
  <c r="AP2198" i="7"/>
  <c r="AL2198" i="7"/>
  <c r="AK2198" i="7"/>
  <c r="AD2198" i="7"/>
  <c r="AC2198" i="7"/>
  <c r="T2198" i="7"/>
  <c r="S2198" i="7"/>
  <c r="R2198" i="7" s="1"/>
  <c r="L2198" i="7"/>
  <c r="K2198" i="7"/>
  <c r="J2198" i="7" s="1"/>
  <c r="D2198" i="7"/>
  <c r="C2198" i="7"/>
  <c r="B2198" i="7"/>
  <c r="AR2197" i="7"/>
  <c r="AQ2197" i="7"/>
  <c r="AP2197" i="7" s="1"/>
  <c r="AL2197" i="7"/>
  <c r="AK2197" i="7"/>
  <c r="AI2197" i="7" s="1"/>
  <c r="AD2197" i="7"/>
  <c r="AC2197" i="7"/>
  <c r="T2197" i="7"/>
  <c r="S2197" i="7"/>
  <c r="R2197" i="7" s="1"/>
  <c r="L2197" i="7"/>
  <c r="K2197" i="7"/>
  <c r="J2197" i="7" s="1"/>
  <c r="D2197" i="7"/>
  <c r="C2197" i="7"/>
  <c r="B2197" i="7" s="1"/>
  <c r="AR2196" i="7"/>
  <c r="AQ2196" i="7"/>
  <c r="AP2196" i="7" s="1"/>
  <c r="AL2196" i="7"/>
  <c r="AK2196" i="7"/>
  <c r="AD2196" i="7"/>
  <c r="AC2196" i="7"/>
  <c r="T2196" i="7"/>
  <c r="S2196" i="7"/>
  <c r="R2196" i="7"/>
  <c r="L2196" i="7"/>
  <c r="K2196" i="7"/>
  <c r="J2196" i="7"/>
  <c r="D2196" i="7"/>
  <c r="C2196" i="7"/>
  <c r="B2196" i="7"/>
  <c r="AR2195" i="7"/>
  <c r="AQ2195" i="7"/>
  <c r="AP2195" i="7"/>
  <c r="AL2195" i="7"/>
  <c r="AK2195" i="7"/>
  <c r="AD2195" i="7"/>
  <c r="AC2195" i="7"/>
  <c r="T2195" i="7"/>
  <c r="S2195" i="7"/>
  <c r="R2195" i="7" s="1"/>
  <c r="L2195" i="7"/>
  <c r="K2195" i="7"/>
  <c r="J2195" i="7" s="1"/>
  <c r="D2195" i="7"/>
  <c r="C2195" i="7"/>
  <c r="B2195" i="7"/>
  <c r="AR2194" i="7"/>
  <c r="AQ2194" i="7"/>
  <c r="AP2194" i="7" s="1"/>
  <c r="AL2194" i="7"/>
  <c r="AK2194" i="7"/>
  <c r="AD2194" i="7"/>
  <c r="AC2194" i="7"/>
  <c r="AB2194" i="7" s="1"/>
  <c r="T2194" i="7"/>
  <c r="S2194" i="7"/>
  <c r="L2194" i="7"/>
  <c r="K2194" i="7"/>
  <c r="D2194" i="7"/>
  <c r="C2194" i="7"/>
  <c r="B2194" i="7" s="1"/>
  <c r="AR2193" i="7"/>
  <c r="AQ2193" i="7"/>
  <c r="AL2193" i="7"/>
  <c r="AK2193" i="7"/>
  <c r="AJ2193" i="7" s="1"/>
  <c r="AD2193" i="7"/>
  <c r="AC2193" i="7"/>
  <c r="T2193" i="7"/>
  <c r="S2193" i="7"/>
  <c r="R2193" i="7"/>
  <c r="L2193" i="7"/>
  <c r="K2193" i="7"/>
  <c r="J2193" i="7"/>
  <c r="D2193" i="7"/>
  <c r="C2193" i="7"/>
  <c r="B2193" i="7"/>
  <c r="AR2192" i="7"/>
  <c r="AQ2192" i="7"/>
  <c r="AP2192" i="7"/>
  <c r="AL2192" i="7"/>
  <c r="AK2192" i="7"/>
  <c r="AJ2192" i="7" s="1"/>
  <c r="AD2192" i="7"/>
  <c r="AC2192" i="7"/>
  <c r="T2192" i="7"/>
  <c r="S2192" i="7"/>
  <c r="R2192" i="7"/>
  <c r="L2192" i="7"/>
  <c r="K2192" i="7"/>
  <c r="J2192" i="7" s="1"/>
  <c r="D2192" i="7"/>
  <c r="C2192" i="7"/>
  <c r="B2192" i="7"/>
  <c r="AR2191" i="7"/>
  <c r="AQ2191" i="7"/>
  <c r="AP2191" i="7" s="1"/>
  <c r="AL2191" i="7"/>
  <c r="AK2191" i="7"/>
  <c r="AI2191" i="7" s="1"/>
  <c r="AD2191" i="7"/>
  <c r="AC2191" i="7"/>
  <c r="AB2191" i="7" s="1"/>
  <c r="T2191" i="7"/>
  <c r="S2191" i="7"/>
  <c r="L2191" i="7"/>
  <c r="K2191" i="7"/>
  <c r="D2191" i="7"/>
  <c r="C2191" i="7"/>
  <c r="AR2190" i="7"/>
  <c r="AQ2190" i="7"/>
  <c r="AL2190" i="7"/>
  <c r="AK2190" i="7"/>
  <c r="AJ2190" i="7" s="1"/>
  <c r="AD2190" i="7"/>
  <c r="AC2190" i="7"/>
  <c r="AA2190" i="7" s="1"/>
  <c r="T2190" i="7"/>
  <c r="S2190" i="7"/>
  <c r="R2190" i="7"/>
  <c r="L2190" i="7"/>
  <c r="K2190" i="7"/>
  <c r="J2190" i="7"/>
  <c r="D2190" i="7"/>
  <c r="C2190" i="7"/>
  <c r="B2190" i="7"/>
  <c r="AR2189" i="7"/>
  <c r="AQ2189" i="7"/>
  <c r="AP2189" i="7"/>
  <c r="AL2189" i="7"/>
  <c r="AK2189" i="7"/>
  <c r="AJ2189" i="7" s="1"/>
  <c r="AD2189" i="7"/>
  <c r="AC2189" i="7"/>
  <c r="AB2189" i="7" s="1"/>
  <c r="T2189" i="7"/>
  <c r="S2189" i="7"/>
  <c r="R2189" i="7"/>
  <c r="L2189" i="7"/>
  <c r="K2189" i="7"/>
  <c r="J2189" i="7" s="1"/>
  <c r="D2189" i="7"/>
  <c r="C2189" i="7"/>
  <c r="B2189" i="7"/>
  <c r="AR2188" i="7"/>
  <c r="AQ2188" i="7"/>
  <c r="AP2188" i="7" s="1"/>
  <c r="AL2188" i="7"/>
  <c r="AK2188" i="7"/>
  <c r="AD2188" i="7"/>
  <c r="AC2188" i="7"/>
  <c r="T2188" i="7"/>
  <c r="S2188" i="7"/>
  <c r="L2188" i="7"/>
  <c r="K2188" i="7"/>
  <c r="D2188" i="7"/>
  <c r="C2188" i="7"/>
  <c r="AR2187" i="7"/>
  <c r="AQ2187" i="7"/>
  <c r="AL2187" i="7"/>
  <c r="AK2187" i="7"/>
  <c r="AD2187" i="7"/>
  <c r="AC2187" i="7"/>
  <c r="T2187" i="7"/>
  <c r="R2187" i="7" s="1"/>
  <c r="S2187" i="7"/>
  <c r="L2187" i="7"/>
  <c r="J2187" i="7" s="1"/>
  <c r="K2187" i="7"/>
  <c r="D2187" i="7"/>
  <c r="B2187" i="7" s="1"/>
  <c r="C2187" i="7"/>
  <c r="AR2186" i="7"/>
  <c r="AP2186" i="7" s="1"/>
  <c r="AQ2186" i="7"/>
  <c r="AL2186" i="7"/>
  <c r="AK2186" i="7"/>
  <c r="AD2186" i="7"/>
  <c r="AC2186" i="7"/>
  <c r="T2186" i="7"/>
  <c r="S2186" i="7"/>
  <c r="R2186" i="7"/>
  <c r="L2186" i="7"/>
  <c r="K2186" i="7"/>
  <c r="J2186" i="7" s="1"/>
  <c r="D2186" i="7"/>
  <c r="C2186" i="7"/>
  <c r="B2186" i="7"/>
  <c r="AR2185" i="7"/>
  <c r="AQ2185" i="7"/>
  <c r="AP2185" i="7" s="1"/>
  <c r="AL2185" i="7"/>
  <c r="AK2185" i="7"/>
  <c r="AI2185" i="7" s="1"/>
  <c r="AD2185" i="7"/>
  <c r="AC2185" i="7"/>
  <c r="AA2185" i="7" s="1"/>
  <c r="AB2185" i="7"/>
  <c r="T2185" i="7"/>
  <c r="S2185" i="7"/>
  <c r="L2185" i="7"/>
  <c r="K2185" i="7"/>
  <c r="D2185" i="7"/>
  <c r="C2185" i="7"/>
  <c r="B2185" i="7" s="1"/>
  <c r="AR2184" i="7"/>
  <c r="AQ2184" i="7"/>
  <c r="AL2184" i="7"/>
  <c r="AK2184" i="7"/>
  <c r="AD2184" i="7"/>
  <c r="AC2184" i="7"/>
  <c r="T2184" i="7"/>
  <c r="S2184" i="7"/>
  <c r="R2184" i="7"/>
  <c r="L2184" i="7"/>
  <c r="K2184" i="7"/>
  <c r="J2184" i="7"/>
  <c r="D2184" i="7"/>
  <c r="C2184" i="7"/>
  <c r="B2184" i="7"/>
  <c r="AR2183" i="7"/>
  <c r="AQ2183" i="7"/>
  <c r="AP2183" i="7"/>
  <c r="AL2183" i="7"/>
  <c r="AK2183" i="7"/>
  <c r="AD2183" i="7"/>
  <c r="AC2183" i="7"/>
  <c r="T2183" i="7"/>
  <c r="S2183" i="7"/>
  <c r="R2183" i="7"/>
  <c r="L2183" i="7"/>
  <c r="K2183" i="7"/>
  <c r="J2183" i="7"/>
  <c r="D2183" i="7"/>
  <c r="C2183" i="7"/>
  <c r="B2183" i="7"/>
  <c r="AR2182" i="7"/>
  <c r="AQ2182" i="7"/>
  <c r="AP2182" i="7"/>
  <c r="AL2182" i="7"/>
  <c r="AK2182" i="7"/>
  <c r="AI2182" i="7" s="1"/>
  <c r="AD2182" i="7"/>
  <c r="AC2182" i="7"/>
  <c r="AB2182" i="7" s="1"/>
  <c r="T2182" i="7"/>
  <c r="S2182" i="7"/>
  <c r="L2182" i="7"/>
  <c r="K2182" i="7"/>
  <c r="J2182" i="7" s="1"/>
  <c r="D2182" i="7"/>
  <c r="C2182" i="7"/>
  <c r="AR2181" i="7"/>
  <c r="AQ2181" i="7"/>
  <c r="AL2181" i="7"/>
  <c r="AK2181" i="7"/>
  <c r="AJ2181" i="7" s="1"/>
  <c r="AD2181" i="7"/>
  <c r="AC2181" i="7"/>
  <c r="AA2181" i="7" s="1"/>
  <c r="T2181" i="7"/>
  <c r="S2181" i="7"/>
  <c r="R2181" i="7"/>
  <c r="L2181" i="7"/>
  <c r="K2181" i="7"/>
  <c r="J2181" i="7"/>
  <c r="D2181" i="7"/>
  <c r="C2181" i="7"/>
  <c r="B2181" i="7"/>
  <c r="AR2180" i="7"/>
  <c r="AQ2180" i="7"/>
  <c r="AP2180" i="7"/>
  <c r="AL2180" i="7"/>
  <c r="AK2180" i="7"/>
  <c r="AD2180" i="7"/>
  <c r="AC2180" i="7"/>
  <c r="T2180" i="7"/>
  <c r="S2180" i="7"/>
  <c r="R2180" i="7"/>
  <c r="L2180" i="7"/>
  <c r="K2180" i="7"/>
  <c r="J2180" i="7" s="1"/>
  <c r="D2180" i="7"/>
  <c r="C2180" i="7"/>
  <c r="B2180" i="7"/>
  <c r="AR2179" i="7"/>
  <c r="AQ2179" i="7"/>
  <c r="AP2179" i="7" s="1"/>
  <c r="AL2179" i="7"/>
  <c r="AK2179" i="7"/>
  <c r="AI2179" i="7" s="1"/>
  <c r="AD2179" i="7"/>
  <c r="AC2179" i="7"/>
  <c r="T2179" i="7"/>
  <c r="S2179" i="7"/>
  <c r="R2179" i="7" s="1"/>
  <c r="L2179" i="7"/>
  <c r="K2179" i="7"/>
  <c r="D2179" i="7"/>
  <c r="C2179" i="7"/>
  <c r="AR2178" i="7"/>
  <c r="AQ2178" i="7"/>
  <c r="AP2178" i="7" s="1"/>
  <c r="AL2178" i="7"/>
  <c r="AK2178" i="7"/>
  <c r="AD2178" i="7"/>
  <c r="AC2178" i="7"/>
  <c r="T2178" i="7"/>
  <c r="R2178" i="7" s="1"/>
  <c r="S2178" i="7"/>
  <c r="L2178" i="7"/>
  <c r="J2178" i="7" s="1"/>
  <c r="K2178" i="7"/>
  <c r="D2178" i="7"/>
  <c r="B2178" i="7" s="1"/>
  <c r="C2178" i="7"/>
  <c r="AR2177" i="7"/>
  <c r="AP2177" i="7" s="1"/>
  <c r="AQ2177" i="7"/>
  <c r="AL2177" i="7"/>
  <c r="AK2177" i="7"/>
  <c r="AD2177" i="7"/>
  <c r="AC2177" i="7"/>
  <c r="AB2177" i="7" s="1"/>
  <c r="T2177" i="7"/>
  <c r="S2177" i="7"/>
  <c r="R2177" i="7"/>
  <c r="L2177" i="7"/>
  <c r="K2177" i="7"/>
  <c r="J2177" i="7" s="1"/>
  <c r="D2177" i="7"/>
  <c r="C2177" i="7"/>
  <c r="B2177" i="7"/>
  <c r="AR2176" i="7"/>
  <c r="AQ2176" i="7"/>
  <c r="AP2176" i="7" s="1"/>
  <c r="AL2176" i="7"/>
  <c r="AK2176" i="7"/>
  <c r="AD2176" i="7"/>
  <c r="AC2176" i="7"/>
  <c r="T2176" i="7"/>
  <c r="S2176" i="7"/>
  <c r="L2176" i="7"/>
  <c r="K2176" i="7"/>
  <c r="D2176" i="7"/>
  <c r="C2176" i="7"/>
  <c r="B2176" i="7" s="1"/>
  <c r="AR2175" i="7"/>
  <c r="AQ2175" i="7"/>
  <c r="AL2175" i="7"/>
  <c r="AK2175" i="7"/>
  <c r="AJ2175" i="7" s="1"/>
  <c r="AD2175" i="7"/>
  <c r="AC2175" i="7"/>
  <c r="AA2175" i="7" s="1"/>
  <c r="T2175" i="7"/>
  <c r="S2175" i="7"/>
  <c r="R2175" i="7"/>
  <c r="L2175" i="7"/>
  <c r="K2175" i="7"/>
  <c r="J2175" i="7"/>
  <c r="D2175" i="7"/>
  <c r="C2175" i="7"/>
  <c r="B2175" i="7"/>
  <c r="AR2174" i="7"/>
  <c r="AQ2174" i="7"/>
  <c r="AP2174" i="7"/>
  <c r="AL2174" i="7"/>
  <c r="AK2174" i="7"/>
  <c r="AD2174" i="7"/>
  <c r="AC2174" i="7"/>
  <c r="T2174" i="7"/>
  <c r="S2174" i="7"/>
  <c r="R2174" i="7"/>
  <c r="L2174" i="7"/>
  <c r="K2174" i="7"/>
  <c r="J2174" i="7"/>
  <c r="D2174" i="7"/>
  <c r="C2174" i="7"/>
  <c r="B2174" i="7"/>
  <c r="AR2173" i="7"/>
  <c r="AQ2173" i="7"/>
  <c r="AP2173" i="7"/>
  <c r="AL2173" i="7"/>
  <c r="AK2173" i="7"/>
  <c r="AD2173" i="7"/>
  <c r="AC2173" i="7"/>
  <c r="T2173" i="7"/>
  <c r="S2173" i="7"/>
  <c r="L2173" i="7"/>
  <c r="K2173" i="7"/>
  <c r="J2173" i="7" s="1"/>
  <c r="D2173" i="7"/>
  <c r="C2173" i="7"/>
  <c r="AR2172" i="7"/>
  <c r="AQ2172" i="7"/>
  <c r="AL2172" i="7"/>
  <c r="AK2172" i="7"/>
  <c r="AJ2172" i="7" s="1"/>
  <c r="AD2172" i="7"/>
  <c r="AC2172" i="7"/>
  <c r="T2172" i="7"/>
  <c r="S2172" i="7"/>
  <c r="R2172" i="7"/>
  <c r="L2172" i="7"/>
  <c r="K2172" i="7"/>
  <c r="J2172" i="7"/>
  <c r="D2172" i="7"/>
  <c r="C2172" i="7"/>
  <c r="B2172" i="7"/>
  <c r="AR2171" i="7"/>
  <c r="AQ2171" i="7"/>
  <c r="AP2171" i="7"/>
  <c r="AL2171" i="7"/>
  <c r="AK2171" i="7"/>
  <c r="AJ2171" i="7" s="1"/>
  <c r="AD2171" i="7"/>
  <c r="AC2171" i="7"/>
  <c r="T2171" i="7"/>
  <c r="S2171" i="7"/>
  <c r="R2171" i="7"/>
  <c r="L2171" i="7"/>
  <c r="K2171" i="7"/>
  <c r="J2171" i="7" s="1"/>
  <c r="D2171" i="7"/>
  <c r="C2171" i="7"/>
  <c r="B2171" i="7"/>
  <c r="AR2170" i="7"/>
  <c r="AQ2170" i="7"/>
  <c r="AP2170" i="7" s="1"/>
  <c r="AL2170" i="7"/>
  <c r="AK2170" i="7"/>
  <c r="AI2170" i="7" s="1"/>
  <c r="AD2170" i="7"/>
  <c r="AC2170" i="7"/>
  <c r="AB2170" i="7" s="1"/>
  <c r="T2170" i="7"/>
  <c r="S2170" i="7"/>
  <c r="R2170" i="7" s="1"/>
  <c r="L2170" i="7"/>
  <c r="K2170" i="7"/>
  <c r="D2170" i="7"/>
  <c r="C2170" i="7"/>
  <c r="AR2169" i="7"/>
  <c r="AQ2169" i="7"/>
  <c r="AP2169" i="7" s="1"/>
  <c r="AL2169" i="7"/>
  <c r="AK2169" i="7"/>
  <c r="AJ2169" i="7" s="1"/>
  <c r="AD2169" i="7"/>
  <c r="AC2169" i="7"/>
  <c r="T2169" i="7"/>
  <c r="R2169" i="7" s="1"/>
  <c r="S2169" i="7"/>
  <c r="L2169" i="7"/>
  <c r="J2169" i="7" s="1"/>
  <c r="K2169" i="7"/>
  <c r="D2169" i="7"/>
  <c r="B2169" i="7" s="1"/>
  <c r="C2169" i="7"/>
  <c r="AR2168" i="7"/>
  <c r="AP2168" i="7" s="1"/>
  <c r="AQ2168" i="7"/>
  <c r="AL2168" i="7"/>
  <c r="AK2168" i="7"/>
  <c r="AI2168" i="7" s="1"/>
  <c r="AD2168" i="7"/>
  <c r="AC2168" i="7"/>
  <c r="AB2168" i="7" s="1"/>
  <c r="T2168" i="7"/>
  <c r="S2168" i="7"/>
  <c r="R2168" i="7" s="1"/>
  <c r="L2168" i="7"/>
  <c r="K2168" i="7"/>
  <c r="J2168" i="7" s="1"/>
  <c r="D2168" i="7"/>
  <c r="C2168" i="7"/>
  <c r="B2168" i="7" s="1"/>
  <c r="AR2167" i="7"/>
  <c r="AQ2167" i="7"/>
  <c r="AP2167" i="7" s="1"/>
  <c r="AL2167" i="7"/>
  <c r="AK2167" i="7"/>
  <c r="AI2167" i="7" s="1"/>
  <c r="AD2167" i="7"/>
  <c r="AC2167" i="7"/>
  <c r="AA2167" i="7" s="1"/>
  <c r="T2167" i="7"/>
  <c r="S2167" i="7"/>
  <c r="L2167" i="7"/>
  <c r="K2167" i="7"/>
  <c r="D2167" i="7"/>
  <c r="C2167" i="7"/>
  <c r="B2167" i="7" s="1"/>
  <c r="AR2166" i="7"/>
  <c r="AQ2166" i="7"/>
  <c r="AL2166" i="7"/>
  <c r="AK2166" i="7"/>
  <c r="AJ2166" i="7" s="1"/>
  <c r="AD2166" i="7"/>
  <c r="AC2166" i="7"/>
  <c r="T2166" i="7"/>
  <c r="S2166" i="7"/>
  <c r="R2166" i="7"/>
  <c r="L2166" i="7"/>
  <c r="K2166" i="7"/>
  <c r="J2166" i="7"/>
  <c r="D2166" i="7"/>
  <c r="C2166" i="7"/>
  <c r="B2166" i="7"/>
  <c r="AR2165" i="7"/>
  <c r="AQ2165" i="7"/>
  <c r="AP2165" i="7"/>
  <c r="AL2165" i="7"/>
  <c r="AK2165" i="7"/>
  <c r="AI2165" i="7" s="1"/>
  <c r="AD2165" i="7"/>
  <c r="AC2165" i="7"/>
  <c r="AB2165" i="7" s="1"/>
  <c r="T2165" i="7"/>
  <c r="S2165" i="7"/>
  <c r="R2165" i="7"/>
  <c r="L2165" i="7"/>
  <c r="K2165" i="7"/>
  <c r="J2165" i="7"/>
  <c r="D2165" i="7"/>
  <c r="C2165" i="7"/>
  <c r="B2165" i="7"/>
  <c r="AR2164" i="7"/>
  <c r="AQ2164" i="7"/>
  <c r="AP2164" i="7"/>
  <c r="AL2164" i="7"/>
  <c r="AK2164" i="7"/>
  <c r="AD2164" i="7"/>
  <c r="AC2164" i="7"/>
  <c r="AB2164" i="7" s="1"/>
  <c r="T2164" i="7"/>
  <c r="S2164" i="7"/>
  <c r="L2164" i="7"/>
  <c r="K2164" i="7"/>
  <c r="J2164" i="7" s="1"/>
  <c r="D2164" i="7"/>
  <c r="C2164" i="7"/>
  <c r="AR2163" i="7"/>
  <c r="AQ2163" i="7"/>
  <c r="AL2163" i="7"/>
  <c r="AK2163" i="7"/>
  <c r="AJ2163" i="7" s="1"/>
  <c r="AD2163" i="7"/>
  <c r="AC2163" i="7"/>
  <c r="T2163" i="7"/>
  <c r="S2163" i="7"/>
  <c r="R2163" i="7"/>
  <c r="L2163" i="7"/>
  <c r="K2163" i="7"/>
  <c r="J2163" i="7"/>
  <c r="D2163" i="7"/>
  <c r="C2163" i="7"/>
  <c r="B2163" i="7"/>
  <c r="AR2162" i="7"/>
  <c r="AQ2162" i="7"/>
  <c r="AP2162" i="7"/>
  <c r="AL2162" i="7"/>
  <c r="AK2162" i="7"/>
  <c r="AD2162" i="7"/>
  <c r="AC2162" i="7"/>
  <c r="AB2162" i="7" s="1"/>
  <c r="T2162" i="7"/>
  <c r="S2162" i="7"/>
  <c r="R2162" i="7"/>
  <c r="L2162" i="7"/>
  <c r="K2162" i="7"/>
  <c r="J2162" i="7" s="1"/>
  <c r="D2162" i="7"/>
  <c r="C2162" i="7"/>
  <c r="B2162" i="7"/>
  <c r="AR2161" i="7"/>
  <c r="AQ2161" i="7"/>
  <c r="AP2161" i="7" s="1"/>
  <c r="AL2161" i="7"/>
  <c r="AK2161" i="7"/>
  <c r="AD2161" i="7"/>
  <c r="AC2161" i="7"/>
  <c r="T2161" i="7"/>
  <c r="S2161" i="7"/>
  <c r="R2161" i="7" s="1"/>
  <c r="L2161" i="7"/>
  <c r="K2161" i="7"/>
  <c r="D2161" i="7"/>
  <c r="C2161" i="7"/>
  <c r="AR2160" i="7"/>
  <c r="AQ2160" i="7"/>
  <c r="AP2160" i="7" s="1"/>
  <c r="AL2160" i="7"/>
  <c r="AK2160" i="7"/>
  <c r="AD2160" i="7"/>
  <c r="AC2160" i="7"/>
  <c r="AA2160" i="7" s="1"/>
  <c r="T2160" i="7"/>
  <c r="R2160" i="7" s="1"/>
  <c r="S2160" i="7"/>
  <c r="L2160" i="7"/>
  <c r="J2160" i="7" s="1"/>
  <c r="K2160" i="7"/>
  <c r="D2160" i="7"/>
  <c r="B2160" i="7" s="1"/>
  <c r="C2160" i="7"/>
  <c r="AR2159" i="7"/>
  <c r="AP2159" i="7" s="1"/>
  <c r="AQ2159" i="7"/>
  <c r="AL2159" i="7"/>
  <c r="AK2159" i="7"/>
  <c r="AD2159" i="7"/>
  <c r="AC2159" i="7"/>
  <c r="T2159" i="7"/>
  <c r="S2159" i="7"/>
  <c r="R2159" i="7" s="1"/>
  <c r="L2159" i="7"/>
  <c r="K2159" i="7"/>
  <c r="J2159" i="7" s="1"/>
  <c r="D2159" i="7"/>
  <c r="C2159" i="7"/>
  <c r="B2159" i="7" s="1"/>
  <c r="AR2158" i="7"/>
  <c r="AQ2158" i="7"/>
  <c r="AP2158" i="7" s="1"/>
  <c r="AL2158" i="7"/>
  <c r="AK2158" i="7"/>
  <c r="AJ2158" i="7" s="1"/>
  <c r="AD2158" i="7"/>
  <c r="AC2158" i="7"/>
  <c r="AB2158" i="7" s="1"/>
  <c r="T2158" i="7"/>
  <c r="S2158" i="7"/>
  <c r="L2158" i="7"/>
  <c r="K2158" i="7"/>
  <c r="J2158" i="7" s="1"/>
  <c r="D2158" i="7"/>
  <c r="C2158" i="7"/>
  <c r="B2158" i="7" s="1"/>
  <c r="AR2157" i="7"/>
  <c r="AQ2157" i="7"/>
  <c r="AP2157" i="7"/>
  <c r="AL2157" i="7"/>
  <c r="AK2157" i="7"/>
  <c r="AJ2157" i="7" s="1"/>
  <c r="AD2157" i="7"/>
  <c r="AC2157" i="7"/>
  <c r="AA2157" i="7" s="1"/>
  <c r="T2157" i="7"/>
  <c r="R2157" i="7" s="1"/>
  <c r="S2157" i="7"/>
  <c r="L2157" i="7"/>
  <c r="J2157" i="7" s="1"/>
  <c r="K2157" i="7"/>
  <c r="D2157" i="7"/>
  <c r="B2157" i="7" s="1"/>
  <c r="C2157" i="7"/>
  <c r="AR2156" i="7"/>
  <c r="AP2156" i="7" s="1"/>
  <c r="AQ2156" i="7"/>
  <c r="AL2156" i="7"/>
  <c r="AK2156" i="7"/>
  <c r="AD2156" i="7"/>
  <c r="AC2156" i="7"/>
  <c r="AB2156" i="7" s="1"/>
  <c r="T2156" i="7"/>
  <c r="S2156" i="7"/>
  <c r="R2156" i="7" s="1"/>
  <c r="L2156" i="7"/>
  <c r="J2156" i="7" s="1"/>
  <c r="K2156" i="7"/>
  <c r="D2156" i="7"/>
  <c r="C2156" i="7"/>
  <c r="B2156" i="7" s="1"/>
  <c r="AR2155" i="7"/>
  <c r="AP2155" i="7" s="1"/>
  <c r="AQ2155" i="7"/>
  <c r="AL2155" i="7"/>
  <c r="AK2155" i="7"/>
  <c r="AD2155" i="7"/>
  <c r="AC2155" i="7"/>
  <c r="T2155" i="7"/>
  <c r="S2155" i="7"/>
  <c r="R2155" i="7" s="1"/>
  <c r="L2155" i="7"/>
  <c r="K2155" i="7"/>
  <c r="J2155" i="7" s="1"/>
  <c r="D2155" i="7"/>
  <c r="C2155" i="7"/>
  <c r="AR2154" i="7"/>
  <c r="AQ2154" i="7"/>
  <c r="AP2154" i="7" s="1"/>
  <c r="AL2154" i="7"/>
  <c r="AK2154" i="7"/>
  <c r="AD2154" i="7"/>
  <c r="AC2154" i="7"/>
  <c r="T2154" i="7"/>
  <c r="S2154" i="7"/>
  <c r="R2154" i="7" s="1"/>
  <c r="L2154" i="7"/>
  <c r="J2154" i="7" s="1"/>
  <c r="K2154" i="7"/>
  <c r="D2154" i="7"/>
  <c r="C2154" i="7"/>
  <c r="B2154" i="7" s="1"/>
  <c r="AR2153" i="7"/>
  <c r="AP2153" i="7" s="1"/>
  <c r="AQ2153" i="7"/>
  <c r="AL2153" i="7"/>
  <c r="AK2153" i="7"/>
  <c r="AD2153" i="7"/>
  <c r="AC2153" i="7"/>
  <c r="AB2153" i="7" s="1"/>
  <c r="T2153" i="7"/>
  <c r="S2153" i="7"/>
  <c r="R2153" i="7"/>
  <c r="L2153" i="7"/>
  <c r="K2153" i="7"/>
  <c r="J2153" i="7"/>
  <c r="D2153" i="7"/>
  <c r="C2153" i="7"/>
  <c r="B2153" i="7"/>
  <c r="AR2152" i="7"/>
  <c r="AQ2152" i="7"/>
  <c r="AP2152" i="7"/>
  <c r="AL2152" i="7"/>
  <c r="AK2152" i="7"/>
  <c r="AD2152" i="7"/>
  <c r="AC2152" i="7"/>
  <c r="AB2152" i="7" s="1"/>
  <c r="T2152" i="7"/>
  <c r="S2152" i="7"/>
  <c r="R2152" i="7" s="1"/>
  <c r="L2152" i="7"/>
  <c r="K2152" i="7"/>
  <c r="J2152" i="7" s="1"/>
  <c r="D2152" i="7"/>
  <c r="C2152" i="7"/>
  <c r="B2152" i="7" s="1"/>
  <c r="AR2151" i="7"/>
  <c r="AQ2151" i="7"/>
  <c r="AP2151" i="7" s="1"/>
  <c r="AL2151" i="7"/>
  <c r="AK2151" i="7"/>
  <c r="AD2151" i="7"/>
  <c r="AC2151" i="7"/>
  <c r="T2151" i="7"/>
  <c r="S2151" i="7"/>
  <c r="R2151" i="7" s="1"/>
  <c r="N2151" i="7"/>
  <c r="M2151" i="7"/>
  <c r="K2151" i="7" s="1"/>
  <c r="D2151" i="7"/>
  <c r="C2151" i="7"/>
  <c r="B2151" i="7" s="1"/>
  <c r="AR2150" i="7"/>
  <c r="AQ2150" i="7"/>
  <c r="AP2150" i="7" s="1"/>
  <c r="AL2150" i="7"/>
  <c r="AK2150" i="7"/>
  <c r="AD2150" i="7"/>
  <c r="AC2150" i="7"/>
  <c r="AA2150" i="7" s="1"/>
  <c r="T2150" i="7"/>
  <c r="S2150" i="7"/>
  <c r="R2150" i="7" s="1"/>
  <c r="N2150" i="7"/>
  <c r="M2150" i="7"/>
  <c r="D2150" i="7"/>
  <c r="C2150" i="7"/>
  <c r="B2150" i="7" s="1"/>
  <c r="AR2149" i="7"/>
  <c r="AQ2149" i="7"/>
  <c r="AP2149" i="7" s="1"/>
  <c r="AL2149" i="7"/>
  <c r="AK2149" i="7"/>
  <c r="AD2149" i="7"/>
  <c r="AC2149" i="7"/>
  <c r="AB2149" i="7" s="1"/>
  <c r="T2149" i="7"/>
  <c r="S2149" i="7"/>
  <c r="R2149" i="7" s="1"/>
  <c r="N2149" i="7"/>
  <c r="M2149" i="7"/>
  <c r="D2149" i="7"/>
  <c r="C2149" i="7"/>
  <c r="B2149" i="7" s="1"/>
  <c r="AR2148" i="7"/>
  <c r="AQ2148" i="7"/>
  <c r="AP2148" i="7" s="1"/>
  <c r="AL2148" i="7"/>
  <c r="AK2148" i="7"/>
  <c r="AD2148" i="7"/>
  <c r="AC2148" i="7"/>
  <c r="AA2148" i="7" s="1"/>
  <c r="AB2148" i="7"/>
  <c r="T2148" i="7"/>
  <c r="S2148" i="7"/>
  <c r="R2148" i="7" s="1"/>
  <c r="N2148" i="7"/>
  <c r="M2148" i="7"/>
  <c r="D2148" i="7"/>
  <c r="C2148" i="7"/>
  <c r="B2148" i="7" s="1"/>
  <c r="AR2147" i="7"/>
  <c r="AQ2147" i="7"/>
  <c r="AP2147" i="7" s="1"/>
  <c r="AL2147" i="7"/>
  <c r="AK2147" i="7"/>
  <c r="AD2147" i="7"/>
  <c r="AC2147" i="7"/>
  <c r="T2147" i="7"/>
  <c r="S2147" i="7"/>
  <c r="R2147" i="7" s="1"/>
  <c r="N2147" i="7"/>
  <c r="M2147" i="7"/>
  <c r="L2147" i="7" s="1"/>
  <c r="F2147" i="7"/>
  <c r="E2147" i="7"/>
  <c r="AR2146" i="7"/>
  <c r="AQ2146" i="7"/>
  <c r="AP2146" i="7"/>
  <c r="AL2146" i="7"/>
  <c r="AK2146" i="7"/>
  <c r="AD2146" i="7"/>
  <c r="AC2146" i="7"/>
  <c r="AB2146" i="7" s="1"/>
  <c r="T2146" i="7"/>
  <c r="S2146" i="7"/>
  <c r="R2146" i="7" s="1"/>
  <c r="N2146" i="7"/>
  <c r="M2146" i="7"/>
  <c r="L2146" i="7" s="1"/>
  <c r="F2146" i="7"/>
  <c r="E2146" i="7"/>
  <c r="D2146" i="7" s="1"/>
  <c r="AR2145" i="7"/>
  <c r="AP2145" i="7" s="1"/>
  <c r="AQ2145" i="7"/>
  <c r="AL2145" i="7"/>
  <c r="AK2145" i="7"/>
  <c r="AD2145" i="7"/>
  <c r="AC2145" i="7"/>
  <c r="AB2145" i="7" s="1"/>
  <c r="T2145" i="7"/>
  <c r="S2145" i="7"/>
  <c r="R2145" i="7"/>
  <c r="N2145" i="7"/>
  <c r="M2145" i="7"/>
  <c r="F2145" i="7"/>
  <c r="E2145" i="7"/>
  <c r="AR2144" i="7"/>
  <c r="AQ2144" i="7"/>
  <c r="AP2144" i="7" s="1"/>
  <c r="AL2144" i="7"/>
  <c r="AK2144" i="7"/>
  <c r="AD2144" i="7"/>
  <c r="AC2144" i="7"/>
  <c r="T2144" i="7"/>
  <c r="S2144" i="7"/>
  <c r="R2144" i="7" s="1"/>
  <c r="N2144" i="7"/>
  <c r="M2144" i="7"/>
  <c r="F2144" i="7"/>
  <c r="E2144" i="7"/>
  <c r="AR2143" i="7"/>
  <c r="AQ2143" i="7"/>
  <c r="AP2143" i="7"/>
  <c r="AL2143" i="7"/>
  <c r="AK2143" i="7"/>
  <c r="AJ2143" i="7" s="1"/>
  <c r="AI2143" i="7"/>
  <c r="AD2143" i="7"/>
  <c r="AC2143" i="7"/>
  <c r="T2143" i="7"/>
  <c r="S2143" i="7"/>
  <c r="R2143" i="7" s="1"/>
  <c r="N2143" i="7"/>
  <c r="M2143" i="7"/>
  <c r="L2143" i="7" s="1"/>
  <c r="F2143" i="7"/>
  <c r="E2143" i="7"/>
  <c r="AT2142" i="7"/>
  <c r="AS2142" i="7"/>
  <c r="AL2142" i="7"/>
  <c r="AK2142" i="7"/>
  <c r="AD2142" i="7"/>
  <c r="AC2142" i="7"/>
  <c r="T2142" i="7"/>
  <c r="S2142" i="7"/>
  <c r="R2142" i="7" s="1"/>
  <c r="N2142" i="7"/>
  <c r="M2142" i="7"/>
  <c r="F2142" i="7"/>
  <c r="E2142" i="7"/>
  <c r="AT2141" i="7"/>
  <c r="AS2141" i="7"/>
  <c r="AL2141" i="7"/>
  <c r="AK2141" i="7"/>
  <c r="AD2141" i="7"/>
  <c r="AC2141" i="7"/>
  <c r="AB2141" i="7" s="1"/>
  <c r="T2141" i="7"/>
  <c r="S2141" i="7"/>
  <c r="R2141" i="7"/>
  <c r="N2141" i="7"/>
  <c r="M2141" i="7"/>
  <c r="F2141" i="7"/>
  <c r="E2141" i="7"/>
  <c r="AT2140" i="7"/>
  <c r="AS2140" i="7"/>
  <c r="AR2140" i="7" s="1"/>
  <c r="AL2140" i="7"/>
  <c r="AK2140" i="7"/>
  <c r="AD2140" i="7"/>
  <c r="AC2140" i="7"/>
  <c r="T2140" i="7"/>
  <c r="S2140" i="7"/>
  <c r="R2140" i="7" s="1"/>
  <c r="N2140" i="7"/>
  <c r="M2140" i="7"/>
  <c r="L2140" i="7" s="1"/>
  <c r="F2140" i="7"/>
  <c r="E2140" i="7"/>
  <c r="C2140" i="7" s="1"/>
  <c r="AT2139" i="7"/>
  <c r="AS2139" i="7"/>
  <c r="AR2139" i="7" s="1"/>
  <c r="AQ2139" i="7"/>
  <c r="AL2139" i="7"/>
  <c r="AK2139" i="7"/>
  <c r="AD2139" i="7"/>
  <c r="AC2139" i="7"/>
  <c r="T2139" i="7"/>
  <c r="S2139" i="7"/>
  <c r="R2139" i="7" s="1"/>
  <c r="N2139" i="7"/>
  <c r="M2139" i="7"/>
  <c r="L2139" i="7" s="1"/>
  <c r="F2139" i="7"/>
  <c r="E2139" i="7"/>
  <c r="AT2138" i="7"/>
  <c r="AS2138" i="7"/>
  <c r="AR2138" i="7" s="1"/>
  <c r="AL2138" i="7"/>
  <c r="AK2138" i="7"/>
  <c r="AJ2138" i="7" s="1"/>
  <c r="AD2138" i="7"/>
  <c r="AC2138" i="7"/>
  <c r="AB2138" i="7" s="1"/>
  <c r="T2138" i="7"/>
  <c r="S2138" i="7"/>
  <c r="R2138" i="7"/>
  <c r="N2138" i="7"/>
  <c r="M2138" i="7"/>
  <c r="F2138" i="7"/>
  <c r="E2138" i="7"/>
  <c r="AT2137" i="7"/>
  <c r="AS2137" i="7"/>
  <c r="AR2137" i="7" s="1"/>
  <c r="AL2137" i="7"/>
  <c r="AK2137" i="7"/>
  <c r="AD2137" i="7"/>
  <c r="AC2137" i="7"/>
  <c r="AB2137" i="7" s="1"/>
  <c r="T2137" i="7"/>
  <c r="S2137" i="7"/>
  <c r="R2137" i="7" s="1"/>
  <c r="N2137" i="7"/>
  <c r="M2137" i="7"/>
  <c r="L2137" i="7" s="1"/>
  <c r="F2137" i="7"/>
  <c r="E2137" i="7"/>
  <c r="AT2136" i="7"/>
  <c r="AS2136" i="7"/>
  <c r="AL2136" i="7"/>
  <c r="AK2136" i="7"/>
  <c r="AD2136" i="7"/>
  <c r="AC2136" i="7"/>
  <c r="T2136" i="7"/>
  <c r="S2136" i="7"/>
  <c r="R2136" i="7" s="1"/>
  <c r="N2136" i="7"/>
  <c r="M2136" i="7"/>
  <c r="F2136" i="7"/>
  <c r="E2136" i="7"/>
  <c r="AT2135" i="7"/>
  <c r="AS2135" i="7"/>
  <c r="AR2135" i="7" s="1"/>
  <c r="AL2135" i="7"/>
  <c r="AK2135" i="7"/>
  <c r="AD2135" i="7"/>
  <c r="AC2135" i="7"/>
  <c r="AB2135" i="7" s="1"/>
  <c r="T2135" i="7"/>
  <c r="S2135" i="7"/>
  <c r="R2135" i="7"/>
  <c r="N2135" i="7"/>
  <c r="M2135" i="7"/>
  <c r="F2135" i="7"/>
  <c r="E2135" i="7"/>
  <c r="AT2134" i="7"/>
  <c r="AS2134" i="7"/>
  <c r="AR2134" i="7" s="1"/>
  <c r="AL2134" i="7"/>
  <c r="AK2134" i="7"/>
  <c r="AD2134" i="7"/>
  <c r="AC2134" i="7"/>
  <c r="AA2134" i="7" s="1"/>
  <c r="AB2134" i="7"/>
  <c r="T2134" i="7"/>
  <c r="S2134" i="7"/>
  <c r="R2134" i="7" s="1"/>
  <c r="N2134" i="7"/>
  <c r="M2134" i="7"/>
  <c r="L2134" i="7" s="1"/>
  <c r="F2134" i="7"/>
  <c r="E2134" i="7"/>
  <c r="AT2133" i="7"/>
  <c r="AS2133" i="7"/>
  <c r="AL2133" i="7"/>
  <c r="AK2133" i="7"/>
  <c r="AD2133" i="7"/>
  <c r="AC2133" i="7"/>
  <c r="T2133" i="7"/>
  <c r="S2133" i="7"/>
  <c r="R2133" i="7" s="1"/>
  <c r="N2133" i="7"/>
  <c r="M2133" i="7"/>
  <c r="F2133" i="7"/>
  <c r="E2133" i="7"/>
  <c r="AT2132" i="7"/>
  <c r="AS2132" i="7"/>
  <c r="AR2132" i="7" s="1"/>
  <c r="AQ2132" i="7"/>
  <c r="AL2132" i="7"/>
  <c r="AK2132" i="7"/>
  <c r="AD2132" i="7"/>
  <c r="AC2132" i="7"/>
  <c r="AB2132" i="7" s="1"/>
  <c r="T2132" i="7"/>
  <c r="S2132" i="7"/>
  <c r="R2132" i="7"/>
  <c r="N2132" i="7"/>
  <c r="M2132" i="7"/>
  <c r="L2132" i="7" s="1"/>
  <c r="F2132" i="7"/>
  <c r="E2132" i="7"/>
  <c r="D2132" i="7" s="1"/>
  <c r="AT2131" i="7"/>
  <c r="AS2131" i="7"/>
  <c r="AR2131" i="7" s="1"/>
  <c r="AL2131" i="7"/>
  <c r="AK2131" i="7"/>
  <c r="AD2131" i="7"/>
  <c r="AC2131" i="7"/>
  <c r="AB2131" i="7" s="1"/>
  <c r="T2131" i="7"/>
  <c r="S2131" i="7"/>
  <c r="R2131" i="7" s="1"/>
  <c r="N2131" i="7"/>
  <c r="M2131" i="7"/>
  <c r="L2131" i="7" s="1"/>
  <c r="F2131" i="7"/>
  <c r="E2131" i="7"/>
  <c r="AT2130" i="7"/>
  <c r="AS2130" i="7"/>
  <c r="AR2130" i="7" s="1"/>
  <c r="AL2130" i="7"/>
  <c r="AK2130" i="7"/>
  <c r="AD2130" i="7"/>
  <c r="AC2130" i="7"/>
  <c r="T2130" i="7"/>
  <c r="S2130" i="7"/>
  <c r="R2130" i="7" s="1"/>
  <c r="N2130" i="7"/>
  <c r="M2130" i="7"/>
  <c r="L2130" i="7" s="1"/>
  <c r="F2130" i="7"/>
  <c r="E2130" i="7"/>
  <c r="AT2129" i="7"/>
  <c r="AS2129" i="7"/>
  <c r="AR2129" i="7" s="1"/>
  <c r="AL2129" i="7"/>
  <c r="AK2129" i="7"/>
  <c r="AJ2129" i="7" s="1"/>
  <c r="AD2129" i="7"/>
  <c r="AC2129" i="7"/>
  <c r="AB2129" i="7" s="1"/>
  <c r="T2129" i="7"/>
  <c r="S2129" i="7"/>
  <c r="R2129" i="7"/>
  <c r="N2129" i="7"/>
  <c r="M2129" i="7"/>
  <c r="L2129" i="7" s="1"/>
  <c r="F2129" i="7"/>
  <c r="E2129" i="7"/>
  <c r="D2129" i="7" s="1"/>
  <c r="AT2128" i="7"/>
  <c r="AS2128" i="7"/>
  <c r="AR2128" i="7" s="1"/>
  <c r="AL2128" i="7"/>
  <c r="AK2128" i="7"/>
  <c r="AD2128" i="7"/>
  <c r="AC2128" i="7"/>
  <c r="AA2128" i="7" s="1"/>
  <c r="T2128" i="7"/>
  <c r="S2128" i="7"/>
  <c r="R2128" i="7" s="1"/>
  <c r="N2128" i="7"/>
  <c r="M2128" i="7"/>
  <c r="L2128" i="7" s="1"/>
  <c r="F2128" i="7"/>
  <c r="E2128" i="7"/>
  <c r="AT2127" i="7"/>
  <c r="AS2127" i="7"/>
  <c r="AR2127" i="7" s="1"/>
  <c r="AL2127" i="7"/>
  <c r="AK2127" i="7"/>
  <c r="AD2127" i="7"/>
  <c r="AC2127" i="7"/>
  <c r="T2127" i="7"/>
  <c r="S2127" i="7"/>
  <c r="R2127" i="7" s="1"/>
  <c r="N2127" i="7"/>
  <c r="M2127" i="7"/>
  <c r="L2127" i="7" s="1"/>
  <c r="F2127" i="7"/>
  <c r="E2127" i="7"/>
  <c r="AT2126" i="7"/>
  <c r="AS2126" i="7"/>
  <c r="AR2126" i="7" s="1"/>
  <c r="AL2126" i="7"/>
  <c r="AK2126" i="7"/>
  <c r="AD2126" i="7"/>
  <c r="AC2126" i="7"/>
  <c r="AB2126" i="7" s="1"/>
  <c r="T2126" i="7"/>
  <c r="S2126" i="7"/>
  <c r="R2126" i="7"/>
  <c r="N2126" i="7"/>
  <c r="M2126" i="7"/>
  <c r="F2126" i="7"/>
  <c r="E2126" i="7"/>
  <c r="AT2125" i="7"/>
  <c r="AS2125" i="7"/>
  <c r="AR2125" i="7" s="1"/>
  <c r="AL2125" i="7"/>
  <c r="AK2125" i="7"/>
  <c r="AJ2125" i="7" s="1"/>
  <c r="AD2125" i="7"/>
  <c r="AC2125" i="7"/>
  <c r="T2125" i="7"/>
  <c r="S2125" i="7"/>
  <c r="R2125" i="7" s="1"/>
  <c r="N2125" i="7"/>
  <c r="M2125" i="7"/>
  <c r="L2125" i="7" s="1"/>
  <c r="F2125" i="7"/>
  <c r="E2125" i="7"/>
  <c r="AT2124" i="7"/>
  <c r="AS2124" i="7"/>
  <c r="AL2124" i="7"/>
  <c r="AK2124" i="7"/>
  <c r="AD2124" i="7"/>
  <c r="AC2124" i="7"/>
  <c r="T2124" i="7"/>
  <c r="S2124" i="7"/>
  <c r="R2124" i="7" s="1"/>
  <c r="N2124" i="7"/>
  <c r="M2124" i="7"/>
  <c r="F2124" i="7"/>
  <c r="E2124" i="7"/>
  <c r="AT2123" i="7"/>
  <c r="AS2123" i="7"/>
  <c r="AL2123" i="7"/>
  <c r="AK2123" i="7"/>
  <c r="AD2123" i="7"/>
  <c r="AC2123" i="7"/>
  <c r="AB2123" i="7" s="1"/>
  <c r="T2123" i="7"/>
  <c r="S2123" i="7"/>
  <c r="R2123" i="7"/>
  <c r="N2123" i="7"/>
  <c r="M2123" i="7"/>
  <c r="F2123" i="7"/>
  <c r="E2123" i="7"/>
  <c r="AT2122" i="7"/>
  <c r="AS2122" i="7"/>
  <c r="AR2122" i="7" s="1"/>
  <c r="AL2122" i="7"/>
  <c r="AK2122" i="7"/>
  <c r="AD2122" i="7"/>
  <c r="AC2122" i="7"/>
  <c r="AB2122" i="7" s="1"/>
  <c r="T2122" i="7"/>
  <c r="S2122" i="7"/>
  <c r="R2122" i="7" s="1"/>
  <c r="N2122" i="7"/>
  <c r="M2122" i="7"/>
  <c r="L2122" i="7" s="1"/>
  <c r="F2122" i="7"/>
  <c r="E2122" i="7"/>
  <c r="AT2121" i="7"/>
  <c r="AS2121" i="7"/>
  <c r="AR2121" i="7" s="1"/>
  <c r="AL2121" i="7"/>
  <c r="AK2121" i="7"/>
  <c r="AD2121" i="7"/>
  <c r="AC2121" i="7"/>
  <c r="AB2121" i="7" s="1"/>
  <c r="T2121" i="7"/>
  <c r="S2121" i="7"/>
  <c r="R2121" i="7" s="1"/>
  <c r="N2121" i="7"/>
  <c r="M2121" i="7"/>
  <c r="K2121" i="7" s="1"/>
  <c r="F2121" i="7"/>
  <c r="E2121" i="7"/>
  <c r="AT2120" i="7"/>
  <c r="AS2120" i="7"/>
  <c r="AR2120" i="7" s="1"/>
  <c r="AL2120" i="7"/>
  <c r="AK2120" i="7"/>
  <c r="AJ2120" i="7" s="1"/>
  <c r="AD2120" i="7"/>
  <c r="AC2120" i="7"/>
  <c r="AB2120" i="7" s="1"/>
  <c r="T2120" i="7"/>
  <c r="S2120" i="7"/>
  <c r="R2120" i="7"/>
  <c r="N2120" i="7"/>
  <c r="M2120" i="7"/>
  <c r="L2120" i="7" s="1"/>
  <c r="F2120" i="7"/>
  <c r="E2120" i="7"/>
  <c r="AT2119" i="7"/>
  <c r="AS2119" i="7"/>
  <c r="AR2119" i="7" s="1"/>
  <c r="AL2119" i="7"/>
  <c r="AK2119" i="7"/>
  <c r="AD2119" i="7"/>
  <c r="AC2119" i="7"/>
  <c r="T2119" i="7"/>
  <c r="S2119" i="7"/>
  <c r="R2119" i="7" s="1"/>
  <c r="N2119" i="7"/>
  <c r="M2119" i="7"/>
  <c r="L2119" i="7" s="1"/>
  <c r="F2119" i="7"/>
  <c r="E2119" i="7"/>
  <c r="D2119" i="7" s="1"/>
  <c r="AT2118" i="7"/>
  <c r="AS2118" i="7"/>
  <c r="AL2118" i="7"/>
  <c r="AK2118" i="7"/>
  <c r="AD2118" i="7"/>
  <c r="AC2118" i="7"/>
  <c r="T2118" i="7"/>
  <c r="S2118" i="7"/>
  <c r="R2118" i="7" s="1"/>
  <c r="N2118" i="7"/>
  <c r="M2118" i="7"/>
  <c r="L2118" i="7" s="1"/>
  <c r="F2118" i="7"/>
  <c r="E2118" i="7"/>
  <c r="AT2117" i="7"/>
  <c r="AS2117" i="7"/>
  <c r="AL2117" i="7"/>
  <c r="AK2117" i="7"/>
  <c r="AD2117" i="7"/>
  <c r="AC2117" i="7"/>
  <c r="AB2117" i="7" s="1"/>
  <c r="T2117" i="7"/>
  <c r="S2117" i="7"/>
  <c r="R2117" i="7"/>
  <c r="N2117" i="7"/>
  <c r="M2117" i="7"/>
  <c r="L2117" i="7" s="1"/>
  <c r="K2117" i="7"/>
  <c r="F2117" i="7"/>
  <c r="E2117" i="7"/>
  <c r="AT2116" i="7"/>
  <c r="AS2116" i="7"/>
  <c r="AR2116" i="7" s="1"/>
  <c r="AL2116" i="7"/>
  <c r="AK2116" i="7"/>
  <c r="AI2116" i="7" s="1"/>
  <c r="AD2116" i="7"/>
  <c r="AC2116" i="7"/>
  <c r="T2116" i="7"/>
  <c r="S2116" i="7"/>
  <c r="R2116" i="7" s="1"/>
  <c r="N2116" i="7"/>
  <c r="M2116" i="7"/>
  <c r="L2116" i="7" s="1"/>
  <c r="F2116" i="7"/>
  <c r="E2116" i="7"/>
  <c r="AT2115" i="7"/>
  <c r="AS2115" i="7"/>
  <c r="AR2115" i="7" s="1"/>
  <c r="AL2115" i="7"/>
  <c r="AK2115" i="7"/>
  <c r="AD2115" i="7"/>
  <c r="AC2115" i="7"/>
  <c r="AB2115" i="7" s="1"/>
  <c r="T2115" i="7"/>
  <c r="S2115" i="7"/>
  <c r="R2115" i="7" s="1"/>
  <c r="N2115" i="7"/>
  <c r="M2115" i="7"/>
  <c r="L2115" i="7" s="1"/>
  <c r="F2115" i="7"/>
  <c r="E2115" i="7"/>
  <c r="AT2114" i="7"/>
  <c r="AS2114" i="7"/>
  <c r="AR2114" i="7" s="1"/>
  <c r="AL2114" i="7"/>
  <c r="AK2114" i="7"/>
  <c r="AD2114" i="7"/>
  <c r="AC2114" i="7"/>
  <c r="AB2114" i="7" s="1"/>
  <c r="T2114" i="7"/>
  <c r="S2114" i="7"/>
  <c r="R2114" i="7"/>
  <c r="N2114" i="7"/>
  <c r="M2114" i="7"/>
  <c r="L2114" i="7" s="1"/>
  <c r="F2114" i="7"/>
  <c r="E2114" i="7"/>
  <c r="AT2113" i="7"/>
  <c r="AS2113" i="7"/>
  <c r="AR2113" i="7" s="1"/>
  <c r="AL2113" i="7"/>
  <c r="AK2113" i="7"/>
  <c r="AD2113" i="7"/>
  <c r="AC2113" i="7"/>
  <c r="AB2113" i="7" s="1"/>
  <c r="T2113" i="7"/>
  <c r="S2113" i="7"/>
  <c r="R2113" i="7" s="1"/>
  <c r="N2113" i="7"/>
  <c r="M2113" i="7"/>
  <c r="L2113" i="7" s="1"/>
  <c r="F2113" i="7"/>
  <c r="E2113" i="7"/>
  <c r="AT2112" i="7"/>
  <c r="AS2112" i="7"/>
  <c r="AR2112" i="7" s="1"/>
  <c r="AL2112" i="7"/>
  <c r="AK2112" i="7"/>
  <c r="AD2112" i="7"/>
  <c r="AC2112" i="7"/>
  <c r="T2112" i="7"/>
  <c r="S2112" i="7"/>
  <c r="R2112" i="7" s="1"/>
  <c r="N2112" i="7"/>
  <c r="M2112" i="7"/>
  <c r="F2112" i="7"/>
  <c r="E2112" i="7"/>
  <c r="AT2111" i="7"/>
  <c r="AS2111" i="7"/>
  <c r="AL2111" i="7"/>
  <c r="AK2111" i="7"/>
  <c r="AD2111" i="7"/>
  <c r="AC2111" i="7"/>
  <c r="AB2111" i="7" s="1"/>
  <c r="T2111" i="7"/>
  <c r="S2111" i="7"/>
  <c r="R2111" i="7"/>
  <c r="N2111" i="7"/>
  <c r="M2111" i="7"/>
  <c r="F2111" i="7"/>
  <c r="E2111" i="7"/>
  <c r="D2111" i="7" s="1"/>
  <c r="AT2110" i="7"/>
  <c r="AS2110" i="7"/>
  <c r="AR2110" i="7" s="1"/>
  <c r="AL2110" i="7"/>
  <c r="AK2110" i="7"/>
  <c r="AJ2110" i="7" s="1"/>
  <c r="AD2110" i="7"/>
  <c r="AC2110" i="7"/>
  <c r="T2110" i="7"/>
  <c r="S2110" i="7"/>
  <c r="R2110" i="7" s="1"/>
  <c r="N2110" i="7"/>
  <c r="M2110" i="7"/>
  <c r="F2110" i="7"/>
  <c r="E2110" i="7"/>
  <c r="D2110" i="7" s="1"/>
  <c r="AT2109" i="7"/>
  <c r="AS2109" i="7"/>
  <c r="AL2109" i="7"/>
  <c r="AK2109" i="7"/>
  <c r="AD2109" i="7"/>
  <c r="AC2109" i="7"/>
  <c r="T2109" i="7"/>
  <c r="S2109" i="7"/>
  <c r="N2109" i="7"/>
  <c r="M2109" i="7"/>
  <c r="F2109" i="7"/>
  <c r="E2109" i="7"/>
  <c r="AT2108" i="7"/>
  <c r="AS2108" i="7"/>
  <c r="AR2108" i="7" s="1"/>
  <c r="AL2108" i="7"/>
  <c r="AK2108" i="7"/>
  <c r="AD2108" i="7"/>
  <c r="AC2108" i="7"/>
  <c r="T2108" i="7"/>
  <c r="S2108" i="7"/>
  <c r="R2108" i="7"/>
  <c r="N2108" i="7"/>
  <c r="M2108" i="7"/>
  <c r="L2108" i="7" s="1"/>
  <c r="F2108" i="7"/>
  <c r="E2108" i="7"/>
  <c r="AT2107" i="7"/>
  <c r="AS2107" i="7"/>
  <c r="AL2107" i="7"/>
  <c r="AK2107" i="7"/>
  <c r="AD2107" i="7"/>
  <c r="AC2107" i="7"/>
  <c r="T2107" i="7"/>
  <c r="S2107" i="7"/>
  <c r="R2107" i="7" s="1"/>
  <c r="N2107" i="7"/>
  <c r="M2107" i="7"/>
  <c r="F2107" i="7"/>
  <c r="E2107" i="7"/>
  <c r="AT2106" i="7"/>
  <c r="AS2106" i="7"/>
  <c r="AL2106" i="7"/>
  <c r="AK2106" i="7"/>
  <c r="AD2106" i="7"/>
  <c r="AC2106" i="7"/>
  <c r="T2106" i="7"/>
  <c r="S2106" i="7"/>
  <c r="N2106" i="7"/>
  <c r="M2106" i="7"/>
  <c r="F2106" i="7"/>
  <c r="E2106" i="7"/>
  <c r="AT2105" i="7"/>
  <c r="AS2105" i="7"/>
  <c r="AL2105" i="7"/>
  <c r="AK2105" i="7"/>
  <c r="AD2105" i="7"/>
  <c r="AC2105" i="7"/>
  <c r="T2105" i="7"/>
  <c r="S2105" i="7"/>
  <c r="R2105" i="7"/>
  <c r="N2105" i="7"/>
  <c r="M2105" i="7"/>
  <c r="F2105" i="7"/>
  <c r="E2105" i="7"/>
  <c r="AT2104" i="7"/>
  <c r="AS2104" i="7"/>
  <c r="AL2104" i="7"/>
  <c r="AK2104" i="7"/>
  <c r="AD2104" i="7"/>
  <c r="AC2104" i="7"/>
  <c r="T2104" i="7"/>
  <c r="S2104" i="7"/>
  <c r="R2104" i="7" s="1"/>
  <c r="N2104" i="7"/>
  <c r="M2104" i="7"/>
  <c r="F2104" i="7"/>
  <c r="E2104" i="7"/>
  <c r="D2104" i="7" s="1"/>
  <c r="AT2103" i="7"/>
  <c r="AS2103" i="7"/>
  <c r="AL2103" i="7"/>
  <c r="AK2103" i="7"/>
  <c r="AD2103" i="7"/>
  <c r="AC2103" i="7"/>
  <c r="T2103" i="7"/>
  <c r="S2103" i="7"/>
  <c r="N2103" i="7"/>
  <c r="M2103" i="7"/>
  <c r="L2103" i="7" s="1"/>
  <c r="F2103" i="7"/>
  <c r="E2103" i="7"/>
  <c r="AT2102" i="7"/>
  <c r="AS2102" i="7"/>
  <c r="AQ2102" i="7" s="1"/>
  <c r="AR2102" i="7"/>
  <c r="AL2102" i="7"/>
  <c r="AK2102" i="7"/>
  <c r="AD2102" i="7"/>
  <c r="AC2102" i="7"/>
  <c r="T2102" i="7"/>
  <c r="S2102" i="7"/>
  <c r="R2102" i="7"/>
  <c r="N2102" i="7"/>
  <c r="M2102" i="7"/>
  <c r="L2102" i="7" s="1"/>
  <c r="F2102" i="7"/>
  <c r="E2102" i="7"/>
  <c r="D2102" i="7" s="1"/>
  <c r="AT2101" i="7"/>
  <c r="AS2101" i="7"/>
  <c r="AL2101" i="7"/>
  <c r="AK2101" i="7"/>
  <c r="AD2101" i="7"/>
  <c r="AC2101" i="7"/>
  <c r="T2101" i="7"/>
  <c r="S2101" i="7"/>
  <c r="R2101" i="7" s="1"/>
  <c r="N2101" i="7"/>
  <c r="M2101" i="7"/>
  <c r="F2101" i="7"/>
  <c r="E2101" i="7"/>
  <c r="AT2100" i="7"/>
  <c r="AS2100" i="7"/>
  <c r="AR2100" i="7" s="1"/>
  <c r="AL2100" i="7"/>
  <c r="AK2100" i="7"/>
  <c r="AD2100" i="7"/>
  <c r="AC2100" i="7"/>
  <c r="T2100" i="7"/>
  <c r="S2100" i="7"/>
  <c r="N2100" i="7"/>
  <c r="M2100" i="7"/>
  <c r="L2100" i="7" s="1"/>
  <c r="F2100" i="7"/>
  <c r="E2100" i="7"/>
  <c r="AT2099" i="7"/>
  <c r="AS2099" i="7"/>
  <c r="AR2099" i="7" s="1"/>
  <c r="AL2099" i="7"/>
  <c r="AK2099" i="7"/>
  <c r="AD2099" i="7"/>
  <c r="AC2099" i="7"/>
  <c r="T2099" i="7"/>
  <c r="S2099" i="7"/>
  <c r="R2099" i="7"/>
  <c r="N2099" i="7"/>
  <c r="M2099" i="7"/>
  <c r="L2099" i="7" s="1"/>
  <c r="F2099" i="7"/>
  <c r="E2099" i="7"/>
  <c r="AT2098" i="7"/>
  <c r="AS2098" i="7"/>
  <c r="AL2098" i="7"/>
  <c r="AK2098" i="7"/>
  <c r="AD2098" i="7"/>
  <c r="AC2098" i="7"/>
  <c r="AB2098" i="7" s="1"/>
  <c r="T2098" i="7"/>
  <c r="S2098" i="7"/>
  <c r="R2098" i="7" s="1"/>
  <c r="N2098" i="7"/>
  <c r="M2098" i="7"/>
  <c r="F2098" i="7"/>
  <c r="E2098" i="7"/>
  <c r="AT2097" i="7"/>
  <c r="AS2097" i="7"/>
  <c r="AQ2097" i="7" s="1"/>
  <c r="AL2097" i="7"/>
  <c r="AK2097" i="7"/>
  <c r="AD2097" i="7"/>
  <c r="AC2097" i="7"/>
  <c r="T2097" i="7"/>
  <c r="S2097" i="7"/>
  <c r="N2097" i="7"/>
  <c r="M2097" i="7"/>
  <c r="F2097" i="7"/>
  <c r="E2097" i="7"/>
  <c r="AT2096" i="7"/>
  <c r="AS2096" i="7"/>
  <c r="AR2096" i="7" s="1"/>
  <c r="AL2096" i="7"/>
  <c r="AK2096" i="7"/>
  <c r="AJ2096" i="7" s="1"/>
  <c r="AD2096" i="7"/>
  <c r="AC2096" i="7"/>
  <c r="T2096" i="7"/>
  <c r="S2096" i="7"/>
  <c r="R2096" i="7"/>
  <c r="N2096" i="7"/>
  <c r="M2096" i="7"/>
  <c r="L2096" i="7" s="1"/>
  <c r="K2096" i="7"/>
  <c r="F2096" i="7"/>
  <c r="E2096" i="7"/>
  <c r="D2096" i="7" s="1"/>
  <c r="AT2095" i="7"/>
  <c r="AS2095" i="7"/>
  <c r="AL2095" i="7"/>
  <c r="AK2095" i="7"/>
  <c r="AD2095" i="7"/>
  <c r="AC2095" i="7"/>
  <c r="AB2095" i="7" s="1"/>
  <c r="T2095" i="7"/>
  <c r="S2095" i="7"/>
  <c r="R2095" i="7" s="1"/>
  <c r="N2095" i="7"/>
  <c r="M2095" i="7"/>
  <c r="F2095" i="7"/>
  <c r="E2095" i="7"/>
  <c r="AT2094" i="7"/>
  <c r="AS2094" i="7"/>
  <c r="AL2094" i="7"/>
  <c r="AK2094" i="7"/>
  <c r="AD2094" i="7"/>
  <c r="AC2094" i="7"/>
  <c r="AB2094" i="7" s="1"/>
  <c r="T2094" i="7"/>
  <c r="S2094" i="7"/>
  <c r="N2094" i="7"/>
  <c r="M2094" i="7"/>
  <c r="L2094" i="7" s="1"/>
  <c r="F2094" i="7"/>
  <c r="E2094" i="7"/>
  <c r="AT2093" i="7"/>
  <c r="AS2093" i="7"/>
  <c r="AL2093" i="7"/>
  <c r="AK2093" i="7"/>
  <c r="AJ2093" i="7" s="1"/>
  <c r="AD2093" i="7"/>
  <c r="AC2093" i="7"/>
  <c r="AA2093" i="7" s="1"/>
  <c r="V2093" i="7"/>
  <c r="U2093" i="7"/>
  <c r="T2093" i="7" s="1"/>
  <c r="N2093" i="7"/>
  <c r="M2093" i="7"/>
  <c r="F2093" i="7"/>
  <c r="E2093" i="7"/>
  <c r="AT2092" i="7"/>
  <c r="AS2092" i="7"/>
  <c r="AR2092" i="7" s="1"/>
  <c r="AL2092" i="7"/>
  <c r="AK2092" i="7"/>
  <c r="AJ2092" i="7" s="1"/>
  <c r="AD2092" i="7"/>
  <c r="AC2092" i="7"/>
  <c r="AA2092" i="7" s="1"/>
  <c r="V2092" i="7"/>
  <c r="U2092" i="7"/>
  <c r="N2092" i="7"/>
  <c r="M2092" i="7"/>
  <c r="F2092" i="7"/>
  <c r="E2092" i="7"/>
  <c r="AT2091" i="7"/>
  <c r="AS2091" i="7"/>
  <c r="AR2091" i="7" s="1"/>
  <c r="AL2091" i="7"/>
  <c r="AK2091" i="7"/>
  <c r="AD2091" i="7"/>
  <c r="AC2091" i="7"/>
  <c r="AA2091" i="7" s="1"/>
  <c r="V2091" i="7"/>
  <c r="U2091" i="7"/>
  <c r="N2091" i="7"/>
  <c r="M2091" i="7"/>
  <c r="L2091" i="7" s="1"/>
  <c r="F2091" i="7"/>
  <c r="E2091" i="7"/>
  <c r="AT2090" i="7"/>
  <c r="AS2090" i="7"/>
  <c r="AR2090" i="7" s="1"/>
  <c r="AL2090" i="7"/>
  <c r="AK2090" i="7"/>
  <c r="AJ2090" i="7" s="1"/>
  <c r="AD2090" i="7"/>
  <c r="AC2090" i="7"/>
  <c r="V2090" i="7"/>
  <c r="U2090" i="7"/>
  <c r="N2090" i="7"/>
  <c r="M2090" i="7"/>
  <c r="F2090" i="7"/>
  <c r="E2090" i="7"/>
  <c r="AT2089" i="7"/>
  <c r="AS2089" i="7"/>
  <c r="AR2089" i="7" s="1"/>
  <c r="AL2089" i="7"/>
  <c r="AK2089" i="7"/>
  <c r="AJ2089" i="7" s="1"/>
  <c r="AD2089" i="7"/>
  <c r="AC2089" i="7"/>
  <c r="V2089" i="7"/>
  <c r="U2089" i="7"/>
  <c r="T2089" i="7" s="1"/>
  <c r="N2089" i="7"/>
  <c r="M2089" i="7"/>
  <c r="K2089" i="7" s="1"/>
  <c r="F2089" i="7"/>
  <c r="E2089" i="7"/>
  <c r="AT2088" i="7"/>
  <c r="AS2088" i="7"/>
  <c r="AR2088" i="7" s="1"/>
  <c r="AL2088" i="7"/>
  <c r="AK2088" i="7"/>
  <c r="AJ2088" i="7" s="1"/>
  <c r="AD2088" i="7"/>
  <c r="AC2088" i="7"/>
  <c r="AA2088" i="7" s="1"/>
  <c r="V2088" i="7"/>
  <c r="U2088" i="7"/>
  <c r="N2088" i="7"/>
  <c r="M2088" i="7"/>
  <c r="F2088" i="7"/>
  <c r="E2088" i="7"/>
  <c r="AT2087" i="7"/>
  <c r="AS2087" i="7"/>
  <c r="AL2087" i="7"/>
  <c r="AK2087" i="7"/>
  <c r="AJ2087" i="7" s="1"/>
  <c r="AD2087" i="7"/>
  <c r="AC2087" i="7"/>
  <c r="AA2087" i="7" s="1"/>
  <c r="V2087" i="7"/>
  <c r="U2087" i="7"/>
  <c r="N2087" i="7"/>
  <c r="M2087" i="7"/>
  <c r="L2087" i="7" s="1"/>
  <c r="F2087" i="7"/>
  <c r="E2087" i="7"/>
  <c r="AT2086" i="7"/>
  <c r="AS2086" i="7"/>
  <c r="AL2086" i="7"/>
  <c r="AK2086" i="7"/>
  <c r="AJ2086" i="7" s="1"/>
  <c r="AD2086" i="7"/>
  <c r="AC2086" i="7"/>
  <c r="AA2086" i="7" s="1"/>
  <c r="V2086" i="7"/>
  <c r="U2086" i="7"/>
  <c r="S2086" i="7" s="1"/>
  <c r="N2086" i="7"/>
  <c r="M2086" i="7"/>
  <c r="L2086" i="7"/>
  <c r="K2086" i="7"/>
  <c r="F2086" i="7"/>
  <c r="E2086" i="7"/>
  <c r="D2086" i="7" s="1"/>
  <c r="AT2085" i="7"/>
  <c r="AS2085" i="7"/>
  <c r="AL2085" i="7"/>
  <c r="AK2085" i="7"/>
  <c r="AD2085" i="7"/>
  <c r="AC2085" i="7"/>
  <c r="AA2085" i="7" s="1"/>
  <c r="V2085" i="7"/>
  <c r="U2085" i="7"/>
  <c r="S2085" i="7" s="1"/>
  <c r="N2085" i="7"/>
  <c r="M2085" i="7"/>
  <c r="F2085" i="7"/>
  <c r="E2085" i="7"/>
  <c r="D2085" i="7" s="1"/>
  <c r="AT2084" i="7"/>
  <c r="AS2084" i="7"/>
  <c r="AR2084" i="7" s="1"/>
  <c r="AL2084" i="7"/>
  <c r="AK2084" i="7"/>
  <c r="AJ2084" i="7" s="1"/>
  <c r="AD2084" i="7"/>
  <c r="AC2084" i="7"/>
  <c r="AA2084" i="7" s="1"/>
  <c r="V2084" i="7"/>
  <c r="U2084" i="7"/>
  <c r="T2084" i="7" s="1"/>
  <c r="N2084" i="7"/>
  <c r="M2084" i="7"/>
  <c r="L2084" i="7" s="1"/>
  <c r="F2084" i="7"/>
  <c r="E2084" i="7"/>
  <c r="AT2083" i="7"/>
  <c r="AS2083" i="7"/>
  <c r="AL2083" i="7"/>
  <c r="AK2083" i="7"/>
  <c r="AJ2083" i="7" s="1"/>
  <c r="AD2083" i="7"/>
  <c r="AC2083" i="7"/>
  <c r="V2083" i="7"/>
  <c r="U2083" i="7"/>
  <c r="T2083" i="7" s="1"/>
  <c r="N2083" i="7"/>
  <c r="M2083" i="7"/>
  <c r="L2083" i="7" s="1"/>
  <c r="F2083" i="7"/>
  <c r="E2083" i="7"/>
  <c r="D2083" i="7" s="1"/>
  <c r="AT2082" i="7"/>
  <c r="AS2082" i="7"/>
  <c r="AQ2082" i="7" s="1"/>
  <c r="AL2082" i="7"/>
  <c r="AK2082" i="7"/>
  <c r="AJ2082" i="7" s="1"/>
  <c r="AD2082" i="7"/>
  <c r="AC2082" i="7"/>
  <c r="V2082" i="7"/>
  <c r="U2082" i="7"/>
  <c r="N2082" i="7"/>
  <c r="M2082" i="7"/>
  <c r="K2082" i="7" s="1"/>
  <c r="F2082" i="7"/>
  <c r="E2082" i="7"/>
  <c r="D2082" i="7" s="1"/>
  <c r="AT2081" i="7"/>
  <c r="AS2081" i="7"/>
  <c r="AQ2081" i="7" s="1"/>
  <c r="AL2081" i="7"/>
  <c r="AK2081" i="7"/>
  <c r="AD2081" i="7"/>
  <c r="AC2081" i="7"/>
  <c r="AA2081" i="7" s="1"/>
  <c r="V2081" i="7"/>
  <c r="U2081" i="7"/>
  <c r="S2081" i="7" s="1"/>
  <c r="N2081" i="7"/>
  <c r="M2081" i="7"/>
  <c r="F2081" i="7"/>
  <c r="E2081" i="7"/>
  <c r="D2081" i="7" s="1"/>
  <c r="AT2080" i="7"/>
  <c r="AS2080" i="7"/>
  <c r="AL2080" i="7"/>
  <c r="AK2080" i="7"/>
  <c r="AJ2080" i="7" s="1"/>
  <c r="AD2080" i="7"/>
  <c r="AC2080" i="7"/>
  <c r="AA2080" i="7" s="1"/>
  <c r="V2080" i="7"/>
  <c r="U2080" i="7"/>
  <c r="S2080" i="7" s="1"/>
  <c r="N2080" i="7"/>
  <c r="M2080" i="7"/>
  <c r="K2080" i="7" s="1"/>
  <c r="F2080" i="7"/>
  <c r="E2080" i="7"/>
  <c r="D2080" i="7" s="1"/>
  <c r="AT2079" i="7"/>
  <c r="AS2079" i="7"/>
  <c r="AL2079" i="7"/>
  <c r="AK2079" i="7"/>
  <c r="AD2079" i="7"/>
  <c r="AC2079" i="7"/>
  <c r="AA2079" i="7" s="1"/>
  <c r="V2079" i="7"/>
  <c r="U2079" i="7"/>
  <c r="S2079" i="7" s="1"/>
  <c r="N2079" i="7"/>
  <c r="M2079" i="7"/>
  <c r="K2079" i="7" s="1"/>
  <c r="F2079" i="7"/>
  <c r="E2079" i="7"/>
  <c r="D2079" i="7" s="1"/>
  <c r="AT2078" i="7"/>
  <c r="AS2078" i="7"/>
  <c r="AR2078" i="7" s="1"/>
  <c r="AL2078" i="7"/>
  <c r="AK2078" i="7"/>
  <c r="AJ2078" i="7" s="1"/>
  <c r="AD2078" i="7"/>
  <c r="AC2078" i="7"/>
  <c r="V2078" i="7"/>
  <c r="U2078" i="7"/>
  <c r="T2078" i="7" s="1"/>
  <c r="N2078" i="7"/>
  <c r="M2078" i="7"/>
  <c r="L2078" i="7" s="1"/>
  <c r="F2078" i="7"/>
  <c r="E2078" i="7"/>
  <c r="AT2077" i="7"/>
  <c r="AS2077" i="7"/>
  <c r="AQ2077" i="7" s="1"/>
  <c r="AL2077" i="7"/>
  <c r="AK2077" i="7"/>
  <c r="AJ2077" i="7" s="1"/>
  <c r="AD2077" i="7"/>
  <c r="AC2077" i="7"/>
  <c r="V2077" i="7"/>
  <c r="U2077" i="7"/>
  <c r="T2077" i="7" s="1"/>
  <c r="N2077" i="7"/>
  <c r="M2077" i="7"/>
  <c r="L2077" i="7" s="1"/>
  <c r="F2077" i="7"/>
  <c r="E2077" i="7"/>
  <c r="D2077" i="7" s="1"/>
  <c r="AT2076" i="7"/>
  <c r="AS2076" i="7"/>
  <c r="AL2076" i="7"/>
  <c r="AK2076" i="7"/>
  <c r="AJ2076" i="7" s="1"/>
  <c r="AD2076" i="7"/>
  <c r="AC2076" i="7"/>
  <c r="AA2076" i="7" s="1"/>
  <c r="V2076" i="7"/>
  <c r="U2076" i="7"/>
  <c r="N2076" i="7"/>
  <c r="M2076" i="7"/>
  <c r="L2076" i="7" s="1"/>
  <c r="F2076" i="7"/>
  <c r="E2076" i="7"/>
  <c r="D2076" i="7" s="1"/>
  <c r="AT2075" i="7"/>
  <c r="AS2075" i="7"/>
  <c r="AL2075" i="7"/>
  <c r="AK2075" i="7"/>
  <c r="AJ2075" i="7" s="1"/>
  <c r="AD2075" i="7"/>
  <c r="AC2075" i="7"/>
  <c r="V2075" i="7"/>
  <c r="U2075" i="7"/>
  <c r="T2075" i="7" s="1"/>
  <c r="N2075" i="7"/>
  <c r="M2075" i="7"/>
  <c r="K2075" i="7" s="1"/>
  <c r="F2075" i="7"/>
  <c r="E2075" i="7"/>
  <c r="AT2074" i="7"/>
  <c r="AS2074" i="7"/>
  <c r="AQ2074" i="7" s="1"/>
  <c r="AL2074" i="7"/>
  <c r="AK2074" i="7"/>
  <c r="AJ2074" i="7" s="1"/>
  <c r="AD2074" i="7"/>
  <c r="AC2074" i="7"/>
  <c r="V2074" i="7"/>
  <c r="U2074" i="7"/>
  <c r="N2074" i="7"/>
  <c r="M2074" i="7"/>
  <c r="L2074" i="7" s="1"/>
  <c r="F2074" i="7"/>
  <c r="E2074" i="7"/>
  <c r="D2074" i="7" s="1"/>
  <c r="AT2073" i="7"/>
  <c r="AS2073" i="7"/>
  <c r="AL2073" i="7"/>
  <c r="AK2073" i="7"/>
  <c r="AD2073" i="7"/>
  <c r="AC2073" i="7"/>
  <c r="V2073" i="7"/>
  <c r="U2073" i="7"/>
  <c r="T2073" i="7" s="1"/>
  <c r="N2073" i="7"/>
  <c r="M2073" i="7"/>
  <c r="L2073" i="7" s="1"/>
  <c r="F2073" i="7"/>
  <c r="E2073" i="7"/>
  <c r="AT2072" i="7"/>
  <c r="AS2072" i="7"/>
  <c r="AQ2072" i="7" s="1"/>
  <c r="AL2072" i="7"/>
  <c r="AK2072" i="7"/>
  <c r="AJ2072" i="7" s="1"/>
  <c r="AD2072" i="7"/>
  <c r="AC2072" i="7"/>
  <c r="V2072" i="7"/>
  <c r="U2072" i="7"/>
  <c r="N2072" i="7"/>
  <c r="M2072" i="7"/>
  <c r="L2072" i="7" s="1"/>
  <c r="F2072" i="7"/>
  <c r="E2072" i="7"/>
  <c r="D2072" i="7" s="1"/>
  <c r="AT2071" i="7"/>
  <c r="AS2071" i="7"/>
  <c r="AR2071" i="7" s="1"/>
  <c r="AL2071" i="7"/>
  <c r="AK2071" i="7"/>
  <c r="AD2071" i="7"/>
  <c r="AC2071" i="7"/>
  <c r="V2071" i="7"/>
  <c r="U2071" i="7"/>
  <c r="T2071" i="7" s="1"/>
  <c r="N2071" i="7"/>
  <c r="M2071" i="7"/>
  <c r="K2071" i="7" s="1"/>
  <c r="L2071" i="7"/>
  <c r="F2071" i="7"/>
  <c r="E2071" i="7"/>
  <c r="AT2070" i="7"/>
  <c r="AS2070" i="7"/>
  <c r="AL2070" i="7"/>
  <c r="AK2070" i="7"/>
  <c r="AJ2070" i="7" s="1"/>
  <c r="AD2070" i="7"/>
  <c r="AC2070" i="7"/>
  <c r="V2070" i="7"/>
  <c r="U2070" i="7"/>
  <c r="N2070" i="7"/>
  <c r="M2070" i="7"/>
  <c r="L2070" i="7" s="1"/>
  <c r="F2070" i="7"/>
  <c r="E2070" i="7"/>
  <c r="D2070" i="7" s="1"/>
  <c r="AT2069" i="7"/>
  <c r="AS2069" i="7"/>
  <c r="AR2069" i="7" s="1"/>
  <c r="AL2069" i="7"/>
  <c r="AK2069" i="7"/>
  <c r="AJ2069" i="7" s="1"/>
  <c r="AD2069" i="7"/>
  <c r="AC2069" i="7"/>
  <c r="V2069" i="7"/>
  <c r="U2069" i="7"/>
  <c r="T2069" i="7" s="1"/>
  <c r="N2069" i="7"/>
  <c r="M2069" i="7"/>
  <c r="F2069" i="7"/>
  <c r="E2069" i="7"/>
  <c r="AT2068" i="7"/>
  <c r="AS2068" i="7"/>
  <c r="AR2068" i="7" s="1"/>
  <c r="AL2068" i="7"/>
  <c r="AK2068" i="7"/>
  <c r="AJ2068" i="7" s="1"/>
  <c r="AD2068" i="7"/>
  <c r="AC2068" i="7"/>
  <c r="V2068" i="7"/>
  <c r="U2068" i="7"/>
  <c r="N2068" i="7"/>
  <c r="M2068" i="7"/>
  <c r="L2068" i="7" s="1"/>
  <c r="F2068" i="7"/>
  <c r="E2068" i="7"/>
  <c r="D2068" i="7" s="1"/>
  <c r="AT2067" i="7"/>
  <c r="AS2067" i="7"/>
  <c r="AL2067" i="7"/>
  <c r="AK2067" i="7"/>
  <c r="AD2067" i="7"/>
  <c r="AC2067" i="7"/>
  <c r="AA2067" i="7" s="1"/>
  <c r="V2067" i="7"/>
  <c r="U2067" i="7"/>
  <c r="T2067" i="7" s="1"/>
  <c r="N2067" i="7"/>
  <c r="M2067" i="7"/>
  <c r="L2067" i="7" s="1"/>
  <c r="F2067" i="7"/>
  <c r="E2067" i="7"/>
  <c r="D2067" i="7" s="1"/>
  <c r="AT2066" i="7"/>
  <c r="AS2066" i="7"/>
  <c r="AL2066" i="7"/>
  <c r="AK2066" i="7"/>
  <c r="AJ2066" i="7" s="1"/>
  <c r="AD2066" i="7"/>
  <c r="AC2066" i="7"/>
  <c r="V2066" i="7"/>
  <c r="U2066" i="7"/>
  <c r="N2066" i="7"/>
  <c r="M2066" i="7"/>
  <c r="L2066" i="7" s="1"/>
  <c r="F2066" i="7"/>
  <c r="E2066" i="7"/>
  <c r="D2066" i="7" s="1"/>
  <c r="AT2065" i="7"/>
  <c r="AS2065" i="7"/>
  <c r="AL2065" i="7"/>
  <c r="AK2065" i="7"/>
  <c r="AD2065" i="7"/>
  <c r="AC2065" i="7"/>
  <c r="V2065" i="7"/>
  <c r="U2065" i="7"/>
  <c r="T2065" i="7" s="1"/>
  <c r="N2065" i="7"/>
  <c r="M2065" i="7"/>
  <c r="F2065" i="7"/>
  <c r="E2065" i="7"/>
  <c r="AT2064" i="7"/>
  <c r="AS2064" i="7"/>
  <c r="AL2064" i="7"/>
  <c r="AK2064" i="7"/>
  <c r="AJ2064" i="7" s="1"/>
  <c r="AD2064" i="7"/>
  <c r="AC2064" i="7"/>
  <c r="V2064" i="7"/>
  <c r="U2064" i="7"/>
  <c r="N2064" i="7"/>
  <c r="M2064" i="7"/>
  <c r="L2064" i="7" s="1"/>
  <c r="F2064" i="7"/>
  <c r="E2064" i="7"/>
  <c r="D2064" i="7" s="1"/>
  <c r="AT2063" i="7"/>
  <c r="AS2063" i="7"/>
  <c r="AQ2063" i="7" s="1"/>
  <c r="AL2063" i="7"/>
  <c r="AK2063" i="7"/>
  <c r="AD2063" i="7"/>
  <c r="AC2063" i="7"/>
  <c r="V2063" i="7"/>
  <c r="U2063" i="7"/>
  <c r="T2063" i="7" s="1"/>
  <c r="N2063" i="7"/>
  <c r="M2063" i="7"/>
  <c r="F2063" i="7"/>
  <c r="E2063" i="7"/>
  <c r="AT2062" i="7"/>
  <c r="AS2062" i="7"/>
  <c r="AQ2062" i="7" s="1"/>
  <c r="AL2062" i="7"/>
  <c r="AK2062" i="7"/>
  <c r="AJ2062" i="7" s="1"/>
  <c r="AD2062" i="7"/>
  <c r="AC2062" i="7"/>
  <c r="V2062" i="7"/>
  <c r="U2062" i="7"/>
  <c r="N2062" i="7"/>
  <c r="M2062" i="7"/>
  <c r="L2062" i="7" s="1"/>
  <c r="F2062" i="7"/>
  <c r="E2062" i="7"/>
  <c r="D2062" i="7" s="1"/>
  <c r="AT2061" i="7"/>
  <c r="AS2061" i="7"/>
  <c r="AL2061" i="7"/>
  <c r="AK2061" i="7"/>
  <c r="AD2061" i="7"/>
  <c r="AC2061" i="7"/>
  <c r="V2061" i="7"/>
  <c r="U2061" i="7"/>
  <c r="N2061" i="7"/>
  <c r="M2061" i="7"/>
  <c r="L2061" i="7" s="1"/>
  <c r="F2061" i="7"/>
  <c r="E2061" i="7"/>
  <c r="D2061" i="7" s="1"/>
  <c r="AT2060" i="7"/>
  <c r="AS2060" i="7"/>
  <c r="AL2060" i="7"/>
  <c r="AK2060" i="7"/>
  <c r="AD2060" i="7"/>
  <c r="AC2060" i="7"/>
  <c r="AA2060" i="7" s="1"/>
  <c r="V2060" i="7"/>
  <c r="U2060" i="7"/>
  <c r="N2060" i="7"/>
  <c r="M2060" i="7"/>
  <c r="L2060" i="7" s="1"/>
  <c r="F2060" i="7"/>
  <c r="E2060" i="7"/>
  <c r="D2060" i="7" s="1"/>
  <c r="AT2059" i="7"/>
  <c r="AS2059" i="7"/>
  <c r="AL2059" i="7"/>
  <c r="AK2059" i="7"/>
  <c r="AD2059" i="7"/>
  <c r="AC2059" i="7"/>
  <c r="AA2059" i="7" s="1"/>
  <c r="V2059" i="7"/>
  <c r="U2059" i="7"/>
  <c r="S2059" i="7" s="1"/>
  <c r="N2059" i="7"/>
  <c r="M2059" i="7"/>
  <c r="L2059" i="7" s="1"/>
  <c r="F2059" i="7"/>
  <c r="E2059" i="7"/>
  <c r="D2059" i="7" s="1"/>
  <c r="AT2058" i="7"/>
  <c r="AS2058" i="7"/>
  <c r="AL2058" i="7"/>
  <c r="AK2058" i="7"/>
  <c r="AD2058" i="7"/>
  <c r="AC2058" i="7"/>
  <c r="AB2058" i="7" s="1"/>
  <c r="V2058" i="7"/>
  <c r="U2058" i="7"/>
  <c r="S2058" i="7" s="1"/>
  <c r="N2058" i="7"/>
  <c r="M2058" i="7"/>
  <c r="L2058" i="7" s="1"/>
  <c r="F2058" i="7"/>
  <c r="E2058" i="7"/>
  <c r="D2058" i="7" s="1"/>
  <c r="AT2057" i="7"/>
  <c r="AS2057" i="7"/>
  <c r="AL2057" i="7"/>
  <c r="AK2057" i="7"/>
  <c r="AD2057" i="7"/>
  <c r="AC2057" i="7"/>
  <c r="AA2057" i="7" s="1"/>
  <c r="V2057" i="7"/>
  <c r="U2057" i="7"/>
  <c r="S2057" i="7" s="1"/>
  <c r="N2057" i="7"/>
  <c r="M2057" i="7"/>
  <c r="L2057" i="7" s="1"/>
  <c r="F2057" i="7"/>
  <c r="E2057" i="7"/>
  <c r="D2057" i="7" s="1"/>
  <c r="AT2056" i="7"/>
  <c r="AS2056" i="7"/>
  <c r="AL2056" i="7"/>
  <c r="AK2056" i="7"/>
  <c r="AD2056" i="7"/>
  <c r="AC2056" i="7"/>
  <c r="AA2056" i="7" s="1"/>
  <c r="V2056" i="7"/>
  <c r="U2056" i="7"/>
  <c r="S2056" i="7" s="1"/>
  <c r="N2056" i="7"/>
  <c r="M2056" i="7"/>
  <c r="L2056" i="7" s="1"/>
  <c r="F2056" i="7"/>
  <c r="E2056" i="7"/>
  <c r="D2056" i="7" s="1"/>
  <c r="AT2055" i="7"/>
  <c r="AS2055" i="7"/>
  <c r="AL2055" i="7"/>
  <c r="AK2055" i="7"/>
  <c r="AD2055" i="7"/>
  <c r="AC2055" i="7"/>
  <c r="AB2055" i="7" s="1"/>
  <c r="V2055" i="7"/>
  <c r="U2055" i="7"/>
  <c r="N2055" i="7"/>
  <c r="M2055" i="7"/>
  <c r="L2055" i="7" s="1"/>
  <c r="F2055" i="7"/>
  <c r="E2055" i="7"/>
  <c r="D2055" i="7" s="1"/>
  <c r="AT2054" i="7"/>
  <c r="AS2054" i="7"/>
  <c r="AL2054" i="7"/>
  <c r="AK2054" i="7"/>
  <c r="AD2054" i="7"/>
  <c r="AC2054" i="7"/>
  <c r="AA2054" i="7" s="1"/>
  <c r="V2054" i="7"/>
  <c r="U2054" i="7"/>
  <c r="T2054" i="7" s="1"/>
  <c r="N2054" i="7"/>
  <c r="M2054" i="7"/>
  <c r="L2054" i="7" s="1"/>
  <c r="F2054" i="7"/>
  <c r="E2054" i="7"/>
  <c r="D2054" i="7" s="1"/>
  <c r="AT2053" i="7"/>
  <c r="AS2053" i="7"/>
  <c r="AL2053" i="7"/>
  <c r="AK2053" i="7"/>
  <c r="AD2053" i="7"/>
  <c r="AC2053" i="7"/>
  <c r="V2053" i="7"/>
  <c r="U2053" i="7"/>
  <c r="T2053" i="7" s="1"/>
  <c r="N2053" i="7"/>
  <c r="M2053" i="7"/>
  <c r="L2053" i="7" s="1"/>
  <c r="F2053" i="7"/>
  <c r="E2053" i="7"/>
  <c r="D2053" i="7" s="1"/>
  <c r="AT2052" i="7"/>
  <c r="AS2052" i="7"/>
  <c r="AL2052" i="7"/>
  <c r="AK2052" i="7"/>
  <c r="AD2052" i="7"/>
  <c r="AC2052" i="7"/>
  <c r="V2052" i="7"/>
  <c r="U2052" i="7"/>
  <c r="T2052" i="7" s="1"/>
  <c r="N2052" i="7"/>
  <c r="M2052" i="7"/>
  <c r="L2052" i="7" s="1"/>
  <c r="F2052" i="7"/>
  <c r="E2052" i="7"/>
  <c r="D2052" i="7" s="1"/>
  <c r="AT2051" i="7"/>
  <c r="AS2051" i="7"/>
  <c r="AL2051" i="7"/>
  <c r="AK2051" i="7"/>
  <c r="AD2051" i="7"/>
  <c r="AC2051" i="7"/>
  <c r="V2051" i="7"/>
  <c r="U2051" i="7"/>
  <c r="T2051" i="7" s="1"/>
  <c r="N2051" i="7"/>
  <c r="M2051" i="7"/>
  <c r="L2051" i="7" s="1"/>
  <c r="F2051" i="7"/>
  <c r="E2051" i="7"/>
  <c r="D2051" i="7" s="1"/>
  <c r="AT2050" i="7"/>
  <c r="AS2050" i="7"/>
  <c r="AL2050" i="7"/>
  <c r="AK2050" i="7"/>
  <c r="AD2050" i="7"/>
  <c r="AC2050" i="7"/>
  <c r="AA2050" i="7" s="1"/>
  <c r="V2050" i="7"/>
  <c r="U2050" i="7"/>
  <c r="N2050" i="7"/>
  <c r="M2050" i="7"/>
  <c r="L2050" i="7" s="1"/>
  <c r="F2050" i="7"/>
  <c r="E2050" i="7"/>
  <c r="D2050" i="7" s="1"/>
  <c r="AT2049" i="7"/>
  <c r="AS2049" i="7"/>
  <c r="AL2049" i="7"/>
  <c r="AK2049" i="7"/>
  <c r="AD2049" i="7"/>
  <c r="AC2049" i="7"/>
  <c r="V2049" i="7"/>
  <c r="U2049" i="7"/>
  <c r="S2049" i="7" s="1"/>
  <c r="N2049" i="7"/>
  <c r="M2049" i="7"/>
  <c r="L2049" i="7" s="1"/>
  <c r="F2049" i="7"/>
  <c r="E2049" i="7"/>
  <c r="D2049" i="7" s="1"/>
  <c r="AT2048" i="7"/>
  <c r="AS2048" i="7"/>
  <c r="AL2048" i="7"/>
  <c r="AK2048" i="7"/>
  <c r="AD2048" i="7"/>
  <c r="AC2048" i="7"/>
  <c r="AA2048" i="7" s="1"/>
  <c r="V2048" i="7"/>
  <c r="U2048" i="7"/>
  <c r="N2048" i="7"/>
  <c r="M2048" i="7"/>
  <c r="L2048" i="7" s="1"/>
  <c r="F2048" i="7"/>
  <c r="E2048" i="7"/>
  <c r="D2048" i="7" s="1"/>
  <c r="AT2047" i="7"/>
  <c r="AS2047" i="7"/>
  <c r="AL2047" i="7"/>
  <c r="AK2047" i="7"/>
  <c r="AD2047" i="7"/>
  <c r="AC2047" i="7"/>
  <c r="V2047" i="7"/>
  <c r="U2047" i="7"/>
  <c r="S2047" i="7" s="1"/>
  <c r="T2047" i="7"/>
  <c r="R2047" i="7" s="1"/>
  <c r="N2047" i="7"/>
  <c r="M2047" i="7"/>
  <c r="L2047" i="7" s="1"/>
  <c r="F2047" i="7"/>
  <c r="E2047" i="7"/>
  <c r="D2047" i="7" s="1"/>
  <c r="AT2046" i="7"/>
  <c r="AS2046" i="7"/>
  <c r="AL2046" i="7"/>
  <c r="AK2046" i="7"/>
  <c r="AD2046" i="7"/>
  <c r="AC2046" i="7"/>
  <c r="V2046" i="7"/>
  <c r="U2046" i="7"/>
  <c r="N2046" i="7"/>
  <c r="M2046" i="7"/>
  <c r="L2046" i="7" s="1"/>
  <c r="F2046" i="7"/>
  <c r="E2046" i="7"/>
  <c r="D2046" i="7" s="1"/>
  <c r="AT2045" i="7"/>
  <c r="AS2045" i="7"/>
  <c r="AL2045" i="7"/>
  <c r="AK2045" i="7"/>
  <c r="AD2045" i="7"/>
  <c r="AC2045" i="7"/>
  <c r="V2045" i="7"/>
  <c r="U2045" i="7"/>
  <c r="N2045" i="7"/>
  <c r="M2045" i="7"/>
  <c r="L2045" i="7" s="1"/>
  <c r="F2045" i="7"/>
  <c r="E2045" i="7"/>
  <c r="D2045" i="7" s="1"/>
  <c r="AT2044" i="7"/>
  <c r="AS2044" i="7"/>
  <c r="AL2044" i="7"/>
  <c r="AK2044" i="7"/>
  <c r="AI2044" i="7" s="1"/>
  <c r="AD2044" i="7"/>
  <c r="AC2044" i="7"/>
  <c r="AB2044" i="7" s="1"/>
  <c r="V2044" i="7"/>
  <c r="U2044" i="7"/>
  <c r="N2044" i="7"/>
  <c r="M2044" i="7"/>
  <c r="L2044" i="7" s="1"/>
  <c r="F2044" i="7"/>
  <c r="E2044" i="7"/>
  <c r="D2044" i="7" s="1"/>
  <c r="AT2043" i="7"/>
  <c r="AS2043" i="7"/>
  <c r="AL2043" i="7"/>
  <c r="AK2043" i="7"/>
  <c r="AI2043" i="7" s="1"/>
  <c r="AD2043" i="7"/>
  <c r="AC2043" i="7"/>
  <c r="V2043" i="7"/>
  <c r="U2043" i="7"/>
  <c r="S2043" i="7" s="1"/>
  <c r="N2043" i="7"/>
  <c r="M2043" i="7"/>
  <c r="L2043" i="7" s="1"/>
  <c r="F2043" i="7"/>
  <c r="E2043" i="7"/>
  <c r="D2043" i="7" s="1"/>
  <c r="AT2042" i="7"/>
  <c r="AS2042" i="7"/>
  <c r="AL2042" i="7"/>
  <c r="AK2042" i="7"/>
  <c r="AI2042" i="7" s="1"/>
  <c r="AD2042" i="7"/>
  <c r="AC2042" i="7"/>
  <c r="V2042" i="7"/>
  <c r="U2042" i="7"/>
  <c r="S2042" i="7" s="1"/>
  <c r="N2042" i="7"/>
  <c r="M2042" i="7"/>
  <c r="L2042" i="7" s="1"/>
  <c r="F2042" i="7"/>
  <c r="E2042" i="7"/>
  <c r="D2042" i="7" s="1"/>
  <c r="AT2041" i="7"/>
  <c r="AS2041" i="7"/>
  <c r="AL2041" i="7"/>
  <c r="AK2041" i="7"/>
  <c r="AI2041" i="7" s="1"/>
  <c r="AD2041" i="7"/>
  <c r="AC2041" i="7"/>
  <c r="V2041" i="7"/>
  <c r="U2041" i="7"/>
  <c r="N2041" i="7"/>
  <c r="M2041" i="7"/>
  <c r="L2041" i="7" s="1"/>
  <c r="F2041" i="7"/>
  <c r="E2041" i="7"/>
  <c r="D2041" i="7" s="1"/>
  <c r="AT2040" i="7"/>
  <c r="AS2040" i="7"/>
  <c r="AL2040" i="7"/>
  <c r="AK2040" i="7"/>
  <c r="AI2040" i="7" s="1"/>
  <c r="AD2040" i="7"/>
  <c r="AC2040" i="7"/>
  <c r="V2040" i="7"/>
  <c r="U2040" i="7"/>
  <c r="S2040" i="7" s="1"/>
  <c r="N2040" i="7"/>
  <c r="M2040" i="7"/>
  <c r="L2040" i="7" s="1"/>
  <c r="F2040" i="7"/>
  <c r="E2040" i="7"/>
  <c r="D2040" i="7" s="1"/>
  <c r="AT2039" i="7"/>
  <c r="AS2039" i="7"/>
  <c r="AL2039" i="7"/>
  <c r="AK2039" i="7"/>
  <c r="AD2039" i="7"/>
  <c r="AC2039" i="7"/>
  <c r="AA2039" i="7" s="1"/>
  <c r="V2039" i="7"/>
  <c r="U2039" i="7"/>
  <c r="T2039" i="7" s="1"/>
  <c r="N2039" i="7"/>
  <c r="M2039" i="7"/>
  <c r="L2039" i="7" s="1"/>
  <c r="F2039" i="7"/>
  <c r="E2039" i="7"/>
  <c r="D2039" i="7" s="1"/>
  <c r="AT2038" i="7"/>
  <c r="AS2038" i="7"/>
  <c r="AL2038" i="7"/>
  <c r="AK2038" i="7"/>
  <c r="AI2038" i="7" s="1"/>
  <c r="AD2038" i="7"/>
  <c r="AC2038" i="7"/>
  <c r="AB2038" i="7" s="1"/>
  <c r="V2038" i="7"/>
  <c r="U2038" i="7"/>
  <c r="N2038" i="7"/>
  <c r="M2038" i="7"/>
  <c r="L2038" i="7" s="1"/>
  <c r="F2038" i="7"/>
  <c r="E2038" i="7"/>
  <c r="D2038" i="7" s="1"/>
  <c r="AT2037" i="7"/>
  <c r="AS2037" i="7"/>
  <c r="AL2037" i="7"/>
  <c r="AK2037" i="7"/>
  <c r="AI2037" i="7" s="1"/>
  <c r="AD2037" i="7"/>
  <c r="AC2037" i="7"/>
  <c r="V2037" i="7"/>
  <c r="U2037" i="7"/>
  <c r="S2037" i="7" s="1"/>
  <c r="N2037" i="7"/>
  <c r="M2037" i="7"/>
  <c r="L2037" i="7" s="1"/>
  <c r="F2037" i="7"/>
  <c r="E2037" i="7"/>
  <c r="D2037" i="7" s="1"/>
  <c r="AT2036" i="7"/>
  <c r="AS2036" i="7"/>
  <c r="AL2036" i="7"/>
  <c r="AK2036" i="7"/>
  <c r="AI2036" i="7" s="1"/>
  <c r="AD2036" i="7"/>
  <c r="AC2036" i="7"/>
  <c r="V2036" i="7"/>
  <c r="U2036" i="7"/>
  <c r="T2036" i="7" s="1"/>
  <c r="N2036" i="7"/>
  <c r="M2036" i="7"/>
  <c r="L2036" i="7" s="1"/>
  <c r="F2036" i="7"/>
  <c r="E2036" i="7"/>
  <c r="D2036" i="7" s="1"/>
  <c r="AT2035" i="7"/>
  <c r="AS2035" i="7"/>
  <c r="AL2035" i="7"/>
  <c r="AK2035" i="7"/>
  <c r="AI2035" i="7" s="1"/>
  <c r="AD2035" i="7"/>
  <c r="AC2035" i="7"/>
  <c r="AA2035" i="7" s="1"/>
  <c r="V2035" i="7"/>
  <c r="U2035" i="7"/>
  <c r="N2035" i="7"/>
  <c r="M2035" i="7"/>
  <c r="L2035" i="7" s="1"/>
  <c r="F2035" i="7"/>
  <c r="E2035" i="7"/>
  <c r="D2035" i="7" s="1"/>
  <c r="AT2034" i="7"/>
  <c r="AS2034" i="7"/>
  <c r="AL2034" i="7"/>
  <c r="AK2034" i="7"/>
  <c r="AI2034" i="7" s="1"/>
  <c r="AD2034" i="7"/>
  <c r="AC2034" i="7"/>
  <c r="V2034" i="7"/>
  <c r="U2034" i="7"/>
  <c r="N2034" i="7"/>
  <c r="M2034" i="7"/>
  <c r="L2034" i="7" s="1"/>
  <c r="F2034" i="7"/>
  <c r="E2034" i="7"/>
  <c r="D2034" i="7" s="1"/>
  <c r="AT2033" i="7"/>
  <c r="AS2033" i="7"/>
  <c r="AQ2033" i="7" s="1"/>
  <c r="AL2033" i="7"/>
  <c r="AK2033" i="7"/>
  <c r="AJ2033" i="7" s="1"/>
  <c r="AD2033" i="7"/>
  <c r="AC2033" i="7"/>
  <c r="AB2033" i="7" s="1"/>
  <c r="V2033" i="7"/>
  <c r="U2033" i="7"/>
  <c r="N2033" i="7"/>
  <c r="M2033" i="7"/>
  <c r="L2033" i="7" s="1"/>
  <c r="F2033" i="7"/>
  <c r="E2033" i="7"/>
  <c r="AT2032" i="7"/>
  <c r="AS2032" i="7"/>
  <c r="AQ2032" i="7" s="1"/>
  <c r="AL2032" i="7"/>
  <c r="AK2032" i="7"/>
  <c r="AI2032" i="7" s="1"/>
  <c r="AD2032" i="7"/>
  <c r="AC2032" i="7"/>
  <c r="V2032" i="7"/>
  <c r="U2032" i="7"/>
  <c r="T2032" i="7" s="1"/>
  <c r="N2032" i="7"/>
  <c r="M2032" i="7"/>
  <c r="L2032" i="7" s="1"/>
  <c r="F2032" i="7"/>
  <c r="E2032" i="7"/>
  <c r="AT2031" i="7"/>
  <c r="AS2031" i="7"/>
  <c r="AL2031" i="7"/>
  <c r="AK2031" i="7"/>
  <c r="AI2031" i="7" s="1"/>
  <c r="AD2031" i="7"/>
  <c r="AC2031" i="7"/>
  <c r="AA2031" i="7" s="1"/>
  <c r="V2031" i="7"/>
  <c r="U2031" i="7"/>
  <c r="S2031" i="7" s="1"/>
  <c r="N2031" i="7"/>
  <c r="M2031" i="7"/>
  <c r="L2031" i="7" s="1"/>
  <c r="F2031" i="7"/>
  <c r="E2031" i="7"/>
  <c r="AT2030" i="7"/>
  <c r="AS2030" i="7"/>
  <c r="AQ2030" i="7" s="1"/>
  <c r="AL2030" i="7"/>
  <c r="AK2030" i="7"/>
  <c r="AJ2030" i="7" s="1"/>
  <c r="AD2030" i="7"/>
  <c r="AC2030" i="7"/>
  <c r="AA2030" i="7" s="1"/>
  <c r="V2030" i="7"/>
  <c r="U2030" i="7"/>
  <c r="N2030" i="7"/>
  <c r="M2030" i="7"/>
  <c r="L2030" i="7" s="1"/>
  <c r="F2030" i="7"/>
  <c r="E2030" i="7"/>
  <c r="AT2029" i="7"/>
  <c r="AS2029" i="7"/>
  <c r="AQ2029" i="7" s="1"/>
  <c r="AL2029" i="7"/>
  <c r="AK2029" i="7"/>
  <c r="AJ2029" i="7" s="1"/>
  <c r="AD2029" i="7"/>
  <c r="AC2029" i="7"/>
  <c r="AA2029" i="7" s="1"/>
  <c r="V2029" i="7"/>
  <c r="U2029" i="7"/>
  <c r="N2029" i="7"/>
  <c r="M2029" i="7"/>
  <c r="L2029" i="7" s="1"/>
  <c r="F2029" i="7"/>
  <c r="E2029" i="7"/>
  <c r="AT2028" i="7"/>
  <c r="AS2028" i="7"/>
  <c r="AL2028" i="7"/>
  <c r="AK2028" i="7"/>
  <c r="AD2028" i="7"/>
  <c r="AC2028" i="7"/>
  <c r="AA2028" i="7" s="1"/>
  <c r="AB2028" i="7"/>
  <c r="V2028" i="7"/>
  <c r="U2028" i="7"/>
  <c r="N2028" i="7"/>
  <c r="M2028" i="7"/>
  <c r="F2028" i="7"/>
  <c r="E2028" i="7"/>
  <c r="C2028" i="7" s="1"/>
  <c r="AT2027" i="7"/>
  <c r="AS2027" i="7"/>
  <c r="AR2027" i="7" s="1"/>
  <c r="AL2027" i="7"/>
  <c r="AK2027" i="7"/>
  <c r="AD2027" i="7"/>
  <c r="AC2027" i="7"/>
  <c r="V2027" i="7"/>
  <c r="U2027" i="7"/>
  <c r="T2027" i="7" s="1"/>
  <c r="N2027" i="7"/>
  <c r="M2027" i="7"/>
  <c r="F2027" i="7"/>
  <c r="E2027" i="7"/>
  <c r="C2027" i="7" s="1"/>
  <c r="AT2026" i="7"/>
  <c r="AS2026" i="7"/>
  <c r="AQ2026" i="7" s="1"/>
  <c r="AL2026" i="7"/>
  <c r="AK2026" i="7"/>
  <c r="AJ2026" i="7" s="1"/>
  <c r="AD2026" i="7"/>
  <c r="AC2026" i="7"/>
  <c r="AB2026" i="7" s="1"/>
  <c r="V2026" i="7"/>
  <c r="U2026" i="7"/>
  <c r="N2026" i="7"/>
  <c r="M2026" i="7"/>
  <c r="F2026" i="7"/>
  <c r="E2026" i="7"/>
  <c r="C2026" i="7" s="1"/>
  <c r="AT2025" i="7"/>
  <c r="AS2025" i="7"/>
  <c r="AR2025" i="7" s="1"/>
  <c r="AL2025" i="7"/>
  <c r="AK2025" i="7"/>
  <c r="AD2025" i="7"/>
  <c r="AC2025" i="7"/>
  <c r="V2025" i="7"/>
  <c r="U2025" i="7"/>
  <c r="N2025" i="7"/>
  <c r="M2025" i="7"/>
  <c r="F2025" i="7"/>
  <c r="E2025" i="7"/>
  <c r="AT2024" i="7"/>
  <c r="AS2024" i="7"/>
  <c r="AL2024" i="7"/>
  <c r="AK2024" i="7"/>
  <c r="AI2024" i="7" s="1"/>
  <c r="AD2024" i="7"/>
  <c r="AC2024" i="7"/>
  <c r="AA2024" i="7" s="1"/>
  <c r="V2024" i="7"/>
  <c r="U2024" i="7"/>
  <c r="S2024" i="7" s="1"/>
  <c r="N2024" i="7"/>
  <c r="M2024" i="7"/>
  <c r="F2024" i="7"/>
  <c r="E2024" i="7"/>
  <c r="C2024" i="7" s="1"/>
  <c r="AT2023" i="7"/>
  <c r="AS2023" i="7"/>
  <c r="AQ2023" i="7" s="1"/>
  <c r="AR2023" i="7"/>
  <c r="AL2023" i="7"/>
  <c r="AK2023" i="7"/>
  <c r="AJ2023" i="7" s="1"/>
  <c r="AD2023" i="7"/>
  <c r="AC2023" i="7"/>
  <c r="V2023" i="7"/>
  <c r="U2023" i="7"/>
  <c r="N2023" i="7"/>
  <c r="M2023" i="7"/>
  <c r="F2023" i="7"/>
  <c r="E2023" i="7"/>
  <c r="C2023" i="7" s="1"/>
  <c r="AT2022" i="7"/>
  <c r="AS2022" i="7"/>
  <c r="AL2022" i="7"/>
  <c r="AK2022" i="7"/>
  <c r="AJ2022" i="7" s="1"/>
  <c r="AD2022" i="7"/>
  <c r="AC2022" i="7"/>
  <c r="AB2022" i="7" s="1"/>
  <c r="V2022" i="7"/>
  <c r="U2022" i="7"/>
  <c r="N2022" i="7"/>
  <c r="M2022" i="7"/>
  <c r="F2022" i="7"/>
  <c r="E2022" i="7"/>
  <c r="C2022" i="7" s="1"/>
  <c r="AT2021" i="7"/>
  <c r="AS2021" i="7"/>
  <c r="AL2021" i="7"/>
  <c r="AK2021" i="7"/>
  <c r="AD2021" i="7"/>
  <c r="AC2021" i="7"/>
  <c r="AB2021" i="7" s="1"/>
  <c r="V2021" i="7"/>
  <c r="U2021" i="7"/>
  <c r="T2021" i="7" s="1"/>
  <c r="N2021" i="7"/>
  <c r="M2021" i="7"/>
  <c r="L2021" i="7" s="1"/>
  <c r="F2021" i="7"/>
  <c r="E2021" i="7"/>
  <c r="C2021" i="7" s="1"/>
  <c r="AT2020" i="7"/>
  <c r="AS2020" i="7"/>
  <c r="AL2020" i="7"/>
  <c r="AK2020" i="7"/>
  <c r="AD2020" i="7"/>
  <c r="AC2020" i="7"/>
  <c r="V2020" i="7"/>
  <c r="U2020" i="7"/>
  <c r="N2020" i="7"/>
  <c r="M2020" i="7"/>
  <c r="L2020" i="7" s="1"/>
  <c r="F2020" i="7"/>
  <c r="E2020" i="7"/>
  <c r="C2020" i="7" s="1"/>
  <c r="AT2019" i="7"/>
  <c r="AS2019" i="7"/>
  <c r="AL2019" i="7"/>
  <c r="AK2019" i="7"/>
  <c r="AD2019" i="7"/>
  <c r="AC2019" i="7"/>
  <c r="AB2019" i="7" s="1"/>
  <c r="V2019" i="7"/>
  <c r="U2019" i="7"/>
  <c r="N2019" i="7"/>
  <c r="M2019" i="7"/>
  <c r="F2019" i="7"/>
  <c r="E2019" i="7"/>
  <c r="C2019" i="7" s="1"/>
  <c r="AT2018" i="7"/>
  <c r="AS2018" i="7"/>
  <c r="AL2018" i="7"/>
  <c r="AK2018" i="7"/>
  <c r="AD2018" i="7"/>
  <c r="AC2018" i="7"/>
  <c r="V2018" i="7"/>
  <c r="U2018" i="7"/>
  <c r="T2018" i="7" s="1"/>
  <c r="N2018" i="7"/>
  <c r="M2018" i="7"/>
  <c r="L2018" i="7" s="1"/>
  <c r="F2018" i="7"/>
  <c r="E2018" i="7"/>
  <c r="C2018" i="7" s="1"/>
  <c r="AT2017" i="7"/>
  <c r="AS2017" i="7"/>
  <c r="AL2017" i="7"/>
  <c r="AK2017" i="7"/>
  <c r="AD2017" i="7"/>
  <c r="AC2017" i="7"/>
  <c r="AB2017" i="7" s="1"/>
  <c r="V2017" i="7"/>
  <c r="U2017" i="7"/>
  <c r="T2017" i="7" s="1"/>
  <c r="N2017" i="7"/>
  <c r="M2017" i="7"/>
  <c r="F2017" i="7"/>
  <c r="E2017" i="7"/>
  <c r="C2017" i="7" s="1"/>
  <c r="AT2016" i="7"/>
  <c r="AS2016" i="7"/>
  <c r="AL2016" i="7"/>
  <c r="AK2016" i="7"/>
  <c r="AI2016" i="7" s="1"/>
  <c r="AD2016" i="7"/>
  <c r="AC2016" i="7"/>
  <c r="V2016" i="7"/>
  <c r="U2016" i="7"/>
  <c r="N2016" i="7"/>
  <c r="M2016" i="7"/>
  <c r="L2016" i="7" s="1"/>
  <c r="F2016" i="7"/>
  <c r="E2016" i="7"/>
  <c r="C2016" i="7" s="1"/>
  <c r="AT2015" i="7"/>
  <c r="AS2015" i="7"/>
  <c r="AR2015" i="7" s="1"/>
  <c r="AL2015" i="7"/>
  <c r="AK2015" i="7"/>
  <c r="AD2015" i="7"/>
  <c r="AC2015" i="7"/>
  <c r="V2015" i="7"/>
  <c r="U2015" i="7"/>
  <c r="T2015" i="7" s="1"/>
  <c r="N2015" i="7"/>
  <c r="M2015" i="7"/>
  <c r="L2015" i="7" s="1"/>
  <c r="F2015" i="7"/>
  <c r="E2015" i="7"/>
  <c r="C2015" i="7" s="1"/>
  <c r="AT2014" i="7"/>
  <c r="AS2014" i="7"/>
  <c r="AL2014" i="7"/>
  <c r="AK2014" i="7"/>
  <c r="AI2014" i="7" s="1"/>
  <c r="AD2014" i="7"/>
  <c r="AC2014" i="7"/>
  <c r="V2014" i="7"/>
  <c r="U2014" i="7"/>
  <c r="N2014" i="7"/>
  <c r="M2014" i="7"/>
  <c r="L2014" i="7" s="1"/>
  <c r="F2014" i="7"/>
  <c r="E2014" i="7"/>
  <c r="C2014" i="7" s="1"/>
  <c r="AT2013" i="7"/>
  <c r="AS2013" i="7"/>
  <c r="AR2013" i="7" s="1"/>
  <c r="AL2013" i="7"/>
  <c r="AK2013" i="7"/>
  <c r="AD2013" i="7"/>
  <c r="AC2013" i="7"/>
  <c r="V2013" i="7"/>
  <c r="U2013" i="7"/>
  <c r="T2013" i="7" s="1"/>
  <c r="N2013" i="7"/>
  <c r="M2013" i="7"/>
  <c r="F2013" i="7"/>
  <c r="E2013" i="7"/>
  <c r="C2013" i="7" s="1"/>
  <c r="AT2012" i="7"/>
  <c r="AS2012" i="7"/>
  <c r="AL2012" i="7"/>
  <c r="AK2012" i="7"/>
  <c r="AI2012" i="7" s="1"/>
  <c r="AD2012" i="7"/>
  <c r="AC2012" i="7"/>
  <c r="V2012" i="7"/>
  <c r="U2012" i="7"/>
  <c r="S2012" i="7" s="1"/>
  <c r="T2012" i="7"/>
  <c r="N2012" i="7"/>
  <c r="M2012" i="7"/>
  <c r="L2012" i="7" s="1"/>
  <c r="F2012" i="7"/>
  <c r="E2012" i="7"/>
  <c r="C2012" i="7" s="1"/>
  <c r="AT2011" i="7"/>
  <c r="AS2011" i="7"/>
  <c r="AR2011" i="7" s="1"/>
  <c r="AL2011" i="7"/>
  <c r="AK2011" i="7"/>
  <c r="AD2011" i="7"/>
  <c r="AC2011" i="7"/>
  <c r="AB2011" i="7" s="1"/>
  <c r="AA2011" i="7"/>
  <c r="Z2011" i="7" s="1"/>
  <c r="V2011" i="7"/>
  <c r="U2011" i="7"/>
  <c r="T2011" i="7" s="1"/>
  <c r="N2011" i="7"/>
  <c r="M2011" i="7"/>
  <c r="F2011" i="7"/>
  <c r="E2011" i="7"/>
  <c r="C2011" i="7" s="1"/>
  <c r="AT2010" i="7"/>
  <c r="AS2010" i="7"/>
  <c r="AL2010" i="7"/>
  <c r="AK2010" i="7"/>
  <c r="AI2010" i="7" s="1"/>
  <c r="AD2010" i="7"/>
  <c r="AC2010" i="7"/>
  <c r="V2010" i="7"/>
  <c r="U2010" i="7"/>
  <c r="N2010" i="7"/>
  <c r="M2010" i="7"/>
  <c r="L2010" i="7" s="1"/>
  <c r="F2010" i="7"/>
  <c r="E2010" i="7"/>
  <c r="C2010" i="7" s="1"/>
  <c r="AT2009" i="7"/>
  <c r="AS2009" i="7"/>
  <c r="AR2009" i="7" s="1"/>
  <c r="AL2009" i="7"/>
  <c r="AK2009" i="7"/>
  <c r="AD2009" i="7"/>
  <c r="AC2009" i="7"/>
  <c r="V2009" i="7"/>
  <c r="U2009" i="7"/>
  <c r="T2009" i="7" s="1"/>
  <c r="N2009" i="7"/>
  <c r="M2009" i="7"/>
  <c r="L2009" i="7" s="1"/>
  <c r="F2009" i="7"/>
  <c r="E2009" i="7"/>
  <c r="C2009" i="7" s="1"/>
  <c r="AT2008" i="7"/>
  <c r="AS2008" i="7"/>
  <c r="AL2008" i="7"/>
  <c r="AK2008" i="7"/>
  <c r="AI2008" i="7" s="1"/>
  <c r="AD2008" i="7"/>
  <c r="AC2008" i="7"/>
  <c r="V2008" i="7"/>
  <c r="U2008" i="7"/>
  <c r="N2008" i="7"/>
  <c r="M2008" i="7"/>
  <c r="L2008" i="7" s="1"/>
  <c r="F2008" i="7"/>
  <c r="E2008" i="7"/>
  <c r="C2008" i="7" s="1"/>
  <c r="AT2007" i="7"/>
  <c r="AS2007" i="7"/>
  <c r="AR2007" i="7" s="1"/>
  <c r="AL2007" i="7"/>
  <c r="AK2007" i="7"/>
  <c r="AD2007" i="7"/>
  <c r="AC2007" i="7"/>
  <c r="AB2007" i="7" s="1"/>
  <c r="V2007" i="7"/>
  <c r="U2007" i="7"/>
  <c r="T2007" i="7" s="1"/>
  <c r="N2007" i="7"/>
  <c r="M2007" i="7"/>
  <c r="L2007" i="7" s="1"/>
  <c r="F2007" i="7"/>
  <c r="E2007" i="7"/>
  <c r="C2007" i="7" s="1"/>
  <c r="AT2006" i="7"/>
  <c r="AS2006" i="7"/>
  <c r="AL2006" i="7"/>
  <c r="AK2006" i="7"/>
  <c r="AI2006" i="7" s="1"/>
  <c r="AD2006" i="7"/>
  <c r="AC2006" i="7"/>
  <c r="V2006" i="7"/>
  <c r="U2006" i="7"/>
  <c r="N2006" i="7"/>
  <c r="M2006" i="7"/>
  <c r="L2006" i="7" s="1"/>
  <c r="F2006" i="7"/>
  <c r="E2006" i="7"/>
  <c r="C2006" i="7" s="1"/>
  <c r="AT2005" i="7"/>
  <c r="AS2005" i="7"/>
  <c r="AR2005" i="7" s="1"/>
  <c r="AL2005" i="7"/>
  <c r="AK2005" i="7"/>
  <c r="AD2005" i="7"/>
  <c r="AC2005" i="7"/>
  <c r="AB2005" i="7" s="1"/>
  <c r="V2005" i="7"/>
  <c r="U2005" i="7"/>
  <c r="T2005" i="7" s="1"/>
  <c r="N2005" i="7"/>
  <c r="M2005" i="7"/>
  <c r="F2005" i="7"/>
  <c r="E2005" i="7"/>
  <c r="C2005" i="7" s="1"/>
  <c r="AT2004" i="7"/>
  <c r="AS2004" i="7"/>
  <c r="AL2004" i="7"/>
  <c r="AK2004" i="7"/>
  <c r="AI2004" i="7" s="1"/>
  <c r="AD2004" i="7"/>
  <c r="AC2004" i="7"/>
  <c r="V2004" i="7"/>
  <c r="U2004" i="7"/>
  <c r="N2004" i="7"/>
  <c r="M2004" i="7"/>
  <c r="L2004" i="7" s="1"/>
  <c r="F2004" i="7"/>
  <c r="E2004" i="7"/>
  <c r="C2004" i="7" s="1"/>
  <c r="AT2003" i="7"/>
  <c r="AS2003" i="7"/>
  <c r="AR2003" i="7" s="1"/>
  <c r="AL2003" i="7"/>
  <c r="AK2003" i="7"/>
  <c r="AD2003" i="7"/>
  <c r="AC2003" i="7"/>
  <c r="V2003" i="7"/>
  <c r="U2003" i="7"/>
  <c r="T2003" i="7" s="1"/>
  <c r="N2003" i="7"/>
  <c r="M2003" i="7"/>
  <c r="L2003" i="7" s="1"/>
  <c r="F2003" i="7"/>
  <c r="E2003" i="7"/>
  <c r="C2003" i="7" s="1"/>
  <c r="AT2002" i="7"/>
  <c r="AS2002" i="7"/>
  <c r="AL2002" i="7"/>
  <c r="AK2002" i="7"/>
  <c r="AI2002" i="7" s="1"/>
  <c r="AD2002" i="7"/>
  <c r="AC2002" i="7"/>
  <c r="V2002" i="7"/>
  <c r="U2002" i="7"/>
  <c r="T2002" i="7" s="1"/>
  <c r="S2002" i="7"/>
  <c r="R2002" i="7" s="1"/>
  <c r="N2002" i="7"/>
  <c r="M2002" i="7"/>
  <c r="L2002" i="7" s="1"/>
  <c r="F2002" i="7"/>
  <c r="E2002" i="7"/>
  <c r="C2002" i="7" s="1"/>
  <c r="AT2001" i="7"/>
  <c r="AS2001" i="7"/>
  <c r="AR2001" i="7" s="1"/>
  <c r="AL2001" i="7"/>
  <c r="AK2001" i="7"/>
  <c r="AD2001" i="7"/>
  <c r="AC2001" i="7"/>
  <c r="V2001" i="7"/>
  <c r="U2001" i="7"/>
  <c r="T2001" i="7" s="1"/>
  <c r="N2001" i="7"/>
  <c r="M2001" i="7"/>
  <c r="F2001" i="7"/>
  <c r="E2001" i="7"/>
  <c r="C2001" i="7" s="1"/>
  <c r="AT2000" i="7"/>
  <c r="AS2000" i="7"/>
  <c r="AL2000" i="7"/>
  <c r="AK2000" i="7"/>
  <c r="AI2000" i="7" s="1"/>
  <c r="AD2000" i="7"/>
  <c r="AC2000" i="7"/>
  <c r="V2000" i="7"/>
  <c r="U2000" i="7"/>
  <c r="N2000" i="7"/>
  <c r="M2000" i="7"/>
  <c r="L2000" i="7" s="1"/>
  <c r="F2000" i="7"/>
  <c r="E2000" i="7"/>
  <c r="C2000" i="7" s="1"/>
  <c r="AT1999" i="7"/>
  <c r="AS1999" i="7"/>
  <c r="AR1999" i="7" s="1"/>
  <c r="AL1999" i="7"/>
  <c r="AK1999" i="7"/>
  <c r="AD1999" i="7"/>
  <c r="AC1999" i="7"/>
  <c r="V1999" i="7"/>
  <c r="U1999" i="7"/>
  <c r="T1999" i="7" s="1"/>
  <c r="N1999" i="7"/>
  <c r="M1999" i="7"/>
  <c r="F1999" i="7"/>
  <c r="E1999" i="7"/>
  <c r="C1999" i="7" s="1"/>
  <c r="AT1998" i="7"/>
  <c r="AS1998" i="7"/>
  <c r="AL1998" i="7"/>
  <c r="AK1998" i="7"/>
  <c r="AI1998" i="7" s="1"/>
  <c r="AD1998" i="7"/>
  <c r="AC1998" i="7"/>
  <c r="V1998" i="7"/>
  <c r="U1998" i="7"/>
  <c r="S1998" i="7" s="1"/>
  <c r="N1998" i="7"/>
  <c r="M1998" i="7"/>
  <c r="L1998" i="7" s="1"/>
  <c r="F1998" i="7"/>
  <c r="E1998" i="7"/>
  <c r="C1998" i="7" s="1"/>
  <c r="AT1997" i="7"/>
  <c r="AS1997" i="7"/>
  <c r="AR1997" i="7" s="1"/>
  <c r="AL1997" i="7"/>
  <c r="AK1997" i="7"/>
  <c r="AD1997" i="7"/>
  <c r="AC1997" i="7"/>
  <c r="V1997" i="7"/>
  <c r="U1997" i="7"/>
  <c r="T1997" i="7" s="1"/>
  <c r="N1997" i="7"/>
  <c r="M1997" i="7"/>
  <c r="F1997" i="7"/>
  <c r="E1997" i="7"/>
  <c r="C1997" i="7" s="1"/>
  <c r="AT1996" i="7"/>
  <c r="AS1996" i="7"/>
  <c r="AL1996" i="7"/>
  <c r="AK1996" i="7"/>
  <c r="AI1996" i="7" s="1"/>
  <c r="AD1996" i="7"/>
  <c r="AC1996" i="7"/>
  <c r="V1996" i="7"/>
  <c r="U1996" i="7"/>
  <c r="N1996" i="7"/>
  <c r="M1996" i="7"/>
  <c r="L1996" i="7" s="1"/>
  <c r="F1996" i="7"/>
  <c r="E1996" i="7"/>
  <c r="C1996" i="7" s="1"/>
  <c r="AT1995" i="7"/>
  <c r="AS1995" i="7"/>
  <c r="AR1995" i="7" s="1"/>
  <c r="AL1995" i="7"/>
  <c r="AK1995" i="7"/>
  <c r="AD1995" i="7"/>
  <c r="AC1995" i="7"/>
  <c r="AB1995" i="7" s="1"/>
  <c r="V1995" i="7"/>
  <c r="U1995" i="7"/>
  <c r="T1995" i="7" s="1"/>
  <c r="N1995" i="7"/>
  <c r="M1995" i="7"/>
  <c r="L1995" i="7" s="1"/>
  <c r="F1995" i="7"/>
  <c r="E1995" i="7"/>
  <c r="C1995" i="7" s="1"/>
  <c r="AT1994" i="7"/>
  <c r="AS1994" i="7"/>
  <c r="AL1994" i="7"/>
  <c r="AK1994" i="7"/>
  <c r="AI1994" i="7" s="1"/>
  <c r="AD1994" i="7"/>
  <c r="AC1994" i="7"/>
  <c r="V1994" i="7"/>
  <c r="U1994" i="7"/>
  <c r="N1994" i="7"/>
  <c r="M1994" i="7"/>
  <c r="L1994" i="7" s="1"/>
  <c r="F1994" i="7"/>
  <c r="E1994" i="7"/>
  <c r="C1994" i="7" s="1"/>
  <c r="AT1993" i="7"/>
  <c r="AS1993" i="7"/>
  <c r="AR1993" i="7" s="1"/>
  <c r="AL1993" i="7"/>
  <c r="AK1993" i="7"/>
  <c r="AD1993" i="7"/>
  <c r="AC1993" i="7"/>
  <c r="AB1993" i="7" s="1"/>
  <c r="V1993" i="7"/>
  <c r="U1993" i="7"/>
  <c r="T1993" i="7" s="1"/>
  <c r="N1993" i="7"/>
  <c r="M1993" i="7"/>
  <c r="L1993" i="7" s="1"/>
  <c r="F1993" i="7"/>
  <c r="E1993" i="7"/>
  <c r="C1993" i="7" s="1"/>
  <c r="AT1992" i="7"/>
  <c r="AS1992" i="7"/>
  <c r="AL1992" i="7"/>
  <c r="AK1992" i="7"/>
  <c r="AI1992" i="7" s="1"/>
  <c r="AD1992" i="7"/>
  <c r="AC1992" i="7"/>
  <c r="V1992" i="7"/>
  <c r="U1992" i="7"/>
  <c r="N1992" i="7"/>
  <c r="M1992" i="7"/>
  <c r="L1992" i="7" s="1"/>
  <c r="F1992" i="7"/>
  <c r="E1992" i="7"/>
  <c r="C1992" i="7" s="1"/>
  <c r="AT1991" i="7"/>
  <c r="AS1991" i="7"/>
  <c r="AR1991" i="7" s="1"/>
  <c r="AL1991" i="7"/>
  <c r="AK1991" i="7"/>
  <c r="AD1991" i="7"/>
  <c r="AC1991" i="7"/>
  <c r="V1991" i="7"/>
  <c r="U1991" i="7"/>
  <c r="T1991" i="7" s="1"/>
  <c r="N1991" i="7"/>
  <c r="M1991" i="7"/>
  <c r="F1991" i="7"/>
  <c r="E1991" i="7"/>
  <c r="C1991" i="7" s="1"/>
  <c r="AT1990" i="7"/>
  <c r="AS1990" i="7"/>
  <c r="AL1990" i="7"/>
  <c r="AK1990" i="7"/>
  <c r="AI1990" i="7" s="1"/>
  <c r="AD1990" i="7"/>
  <c r="AC1990" i="7"/>
  <c r="V1990" i="7"/>
  <c r="U1990" i="7"/>
  <c r="S1990" i="7" s="1"/>
  <c r="N1990" i="7"/>
  <c r="M1990" i="7"/>
  <c r="L1990" i="7" s="1"/>
  <c r="F1990" i="7"/>
  <c r="E1990" i="7"/>
  <c r="C1990" i="7" s="1"/>
  <c r="AT1989" i="7"/>
  <c r="AS1989" i="7"/>
  <c r="AR1989" i="7" s="1"/>
  <c r="AL1989" i="7"/>
  <c r="AK1989" i="7"/>
  <c r="AD1989" i="7"/>
  <c r="AC1989" i="7"/>
  <c r="V1989" i="7"/>
  <c r="U1989" i="7"/>
  <c r="T1989" i="7" s="1"/>
  <c r="N1989" i="7"/>
  <c r="M1989" i="7"/>
  <c r="L1989" i="7" s="1"/>
  <c r="F1989" i="7"/>
  <c r="E1989" i="7"/>
  <c r="C1989" i="7" s="1"/>
  <c r="AT1988" i="7"/>
  <c r="AS1988" i="7"/>
  <c r="AL1988" i="7"/>
  <c r="AK1988" i="7"/>
  <c r="AD1988" i="7"/>
  <c r="AC1988" i="7"/>
  <c r="V1988" i="7"/>
  <c r="U1988" i="7"/>
  <c r="N1988" i="7"/>
  <c r="M1988" i="7"/>
  <c r="L1988" i="7" s="1"/>
  <c r="F1988" i="7"/>
  <c r="E1988" i="7"/>
  <c r="C1988" i="7" s="1"/>
  <c r="AT1987" i="7"/>
  <c r="AS1987" i="7"/>
  <c r="AR1987" i="7" s="1"/>
  <c r="AL1987" i="7"/>
  <c r="AK1987" i="7"/>
  <c r="AD1987" i="7"/>
  <c r="AC1987" i="7"/>
  <c r="AB1987" i="7" s="1"/>
  <c r="V1987" i="7"/>
  <c r="U1987" i="7"/>
  <c r="T1987" i="7" s="1"/>
  <c r="N1987" i="7"/>
  <c r="M1987" i="7"/>
  <c r="F1987" i="7"/>
  <c r="E1987" i="7"/>
  <c r="C1987" i="7" s="1"/>
  <c r="AT1986" i="7"/>
  <c r="AS1986" i="7"/>
  <c r="AL1986" i="7"/>
  <c r="AK1986" i="7"/>
  <c r="AD1986" i="7"/>
  <c r="AC1986" i="7"/>
  <c r="V1986" i="7"/>
  <c r="U1986" i="7"/>
  <c r="T1986" i="7" s="1"/>
  <c r="N1986" i="7"/>
  <c r="M1986" i="7"/>
  <c r="F1986" i="7"/>
  <c r="E1986" i="7"/>
  <c r="C1986" i="7" s="1"/>
  <c r="AT1985" i="7"/>
  <c r="AS1985" i="7"/>
  <c r="AR1985" i="7" s="1"/>
  <c r="AL1985" i="7"/>
  <c r="AK1985" i="7"/>
  <c r="AD1985" i="7"/>
  <c r="AC1985" i="7"/>
  <c r="AB1985" i="7" s="1"/>
  <c r="V1985" i="7"/>
  <c r="U1985" i="7"/>
  <c r="T1985" i="7" s="1"/>
  <c r="N1985" i="7"/>
  <c r="M1985" i="7"/>
  <c r="F1985" i="7"/>
  <c r="E1985" i="7"/>
  <c r="C1985" i="7" s="1"/>
  <c r="AT1984" i="7"/>
  <c r="AS1984" i="7"/>
  <c r="AL1984" i="7"/>
  <c r="AK1984" i="7"/>
  <c r="AD1984" i="7"/>
  <c r="AC1984" i="7"/>
  <c r="V1984" i="7"/>
  <c r="U1984" i="7"/>
  <c r="S1984" i="7" s="1"/>
  <c r="N1984" i="7"/>
  <c r="M1984" i="7"/>
  <c r="F1984" i="7"/>
  <c r="E1984" i="7"/>
  <c r="C1984" i="7" s="1"/>
  <c r="AT1983" i="7"/>
  <c r="AS1983" i="7"/>
  <c r="AR1983" i="7" s="1"/>
  <c r="AL1983" i="7"/>
  <c r="AK1983" i="7"/>
  <c r="AD1983" i="7"/>
  <c r="AC1983" i="7"/>
  <c r="V1983" i="7"/>
  <c r="U1983" i="7"/>
  <c r="T1983" i="7" s="1"/>
  <c r="N1983" i="7"/>
  <c r="M1983" i="7"/>
  <c r="F1983" i="7"/>
  <c r="E1983" i="7"/>
  <c r="C1983" i="7" s="1"/>
  <c r="AT1982" i="7"/>
  <c r="AS1982" i="7"/>
  <c r="AL1982" i="7"/>
  <c r="AK1982" i="7"/>
  <c r="AD1982" i="7"/>
  <c r="AC1982" i="7"/>
  <c r="V1982" i="7"/>
  <c r="U1982" i="7"/>
  <c r="N1982" i="7"/>
  <c r="M1982" i="7"/>
  <c r="F1982" i="7"/>
  <c r="E1982" i="7"/>
  <c r="C1982" i="7" s="1"/>
  <c r="AT1981" i="7"/>
  <c r="AS1981" i="7"/>
  <c r="AR1981" i="7" s="1"/>
  <c r="AL1981" i="7"/>
  <c r="AK1981" i="7"/>
  <c r="AD1981" i="7"/>
  <c r="AC1981" i="7"/>
  <c r="V1981" i="7"/>
  <c r="U1981" i="7"/>
  <c r="T1981" i="7" s="1"/>
  <c r="N1981" i="7"/>
  <c r="M1981" i="7"/>
  <c r="F1981" i="7"/>
  <c r="E1981" i="7"/>
  <c r="C1981" i="7" s="1"/>
  <c r="AT1980" i="7"/>
  <c r="AS1980" i="7"/>
  <c r="AL1980" i="7"/>
  <c r="AK1980" i="7"/>
  <c r="AD1980" i="7"/>
  <c r="AC1980" i="7"/>
  <c r="V1980" i="7"/>
  <c r="U1980" i="7"/>
  <c r="N1980" i="7"/>
  <c r="M1980" i="7"/>
  <c r="F1980" i="7"/>
  <c r="E1980" i="7"/>
  <c r="C1980" i="7" s="1"/>
  <c r="AT1979" i="7"/>
  <c r="AS1979" i="7"/>
  <c r="AL1979" i="7"/>
  <c r="AK1979" i="7"/>
  <c r="AD1979" i="7"/>
  <c r="AC1979" i="7"/>
  <c r="AB1979" i="7" s="1"/>
  <c r="AA1979" i="7"/>
  <c r="Z1979" i="7" s="1"/>
  <c r="V1979" i="7"/>
  <c r="U1979" i="7"/>
  <c r="N1979" i="7"/>
  <c r="M1979" i="7"/>
  <c r="F1979" i="7"/>
  <c r="E1979" i="7"/>
  <c r="AT1978" i="7"/>
  <c r="AS1978" i="7"/>
  <c r="AL1978" i="7"/>
  <c r="AK1978" i="7"/>
  <c r="AD1978" i="7"/>
  <c r="AC1978" i="7"/>
  <c r="AB1978" i="7" s="1"/>
  <c r="V1978" i="7"/>
  <c r="U1978" i="7"/>
  <c r="N1978" i="7"/>
  <c r="M1978" i="7"/>
  <c r="F1978" i="7"/>
  <c r="E1978" i="7"/>
  <c r="AT1977" i="7"/>
  <c r="AS1977" i="7"/>
  <c r="AQ1977" i="7" s="1"/>
  <c r="AR1977" i="7"/>
  <c r="AL1977" i="7"/>
  <c r="AK1977" i="7"/>
  <c r="AJ1977" i="7" s="1"/>
  <c r="AD1977" i="7"/>
  <c r="AC1977" i="7"/>
  <c r="AB1977" i="7" s="1"/>
  <c r="V1977" i="7"/>
  <c r="U1977" i="7"/>
  <c r="N1977" i="7"/>
  <c r="M1977" i="7"/>
  <c r="L1977" i="7" s="1"/>
  <c r="F1977" i="7"/>
  <c r="E1977" i="7"/>
  <c r="D1977" i="7" s="1"/>
  <c r="AT1976" i="7"/>
  <c r="AS1976" i="7"/>
  <c r="AL1976" i="7"/>
  <c r="AK1976" i="7"/>
  <c r="AD1976" i="7"/>
  <c r="AC1976" i="7"/>
  <c r="AB1976" i="7" s="1"/>
  <c r="V1976" i="7"/>
  <c r="U1976" i="7"/>
  <c r="N1976" i="7"/>
  <c r="M1976" i="7"/>
  <c r="F1976" i="7"/>
  <c r="E1976" i="7"/>
  <c r="AT1975" i="7"/>
  <c r="AS1975" i="7"/>
  <c r="AL1975" i="7"/>
  <c r="AK1975" i="7"/>
  <c r="AD1975" i="7"/>
  <c r="AC1975" i="7"/>
  <c r="AB1975" i="7" s="1"/>
  <c r="V1975" i="7"/>
  <c r="U1975" i="7"/>
  <c r="S1975" i="7" s="1"/>
  <c r="N1975" i="7"/>
  <c r="M1975" i="7"/>
  <c r="F1975" i="7"/>
  <c r="E1975" i="7"/>
  <c r="AT1974" i="7"/>
  <c r="AS1974" i="7"/>
  <c r="AL1974" i="7"/>
  <c r="AK1974" i="7"/>
  <c r="AJ1974" i="7" s="1"/>
  <c r="AD1974" i="7"/>
  <c r="AC1974" i="7"/>
  <c r="AB1974" i="7" s="1"/>
  <c r="V1974" i="7"/>
  <c r="U1974" i="7"/>
  <c r="S1974" i="7" s="1"/>
  <c r="N1974" i="7"/>
  <c r="M1974" i="7"/>
  <c r="K1974" i="7" s="1"/>
  <c r="F1974" i="7"/>
  <c r="E1974" i="7"/>
  <c r="D1974" i="7" s="1"/>
  <c r="AT1973" i="7"/>
  <c r="AS1973" i="7"/>
  <c r="AL1973" i="7"/>
  <c r="AK1973" i="7"/>
  <c r="AD1973" i="7"/>
  <c r="AC1973" i="7"/>
  <c r="AB1973" i="7" s="1"/>
  <c r="V1973" i="7"/>
  <c r="U1973" i="7"/>
  <c r="N1973" i="7"/>
  <c r="M1973" i="7"/>
  <c r="F1973" i="7"/>
  <c r="E1973" i="7"/>
  <c r="AT1972" i="7"/>
  <c r="AS1972" i="7"/>
  <c r="AL1972" i="7"/>
  <c r="AK1972" i="7"/>
  <c r="AD1972" i="7"/>
  <c r="AC1972" i="7"/>
  <c r="AB1972" i="7" s="1"/>
  <c r="V1972" i="7"/>
  <c r="U1972" i="7"/>
  <c r="N1972" i="7"/>
  <c r="M1972" i="7"/>
  <c r="L1972" i="7" s="1"/>
  <c r="F1972" i="7"/>
  <c r="E1972" i="7"/>
  <c r="AT1971" i="7"/>
  <c r="AS1971" i="7"/>
  <c r="AL1971" i="7"/>
  <c r="AK1971" i="7"/>
  <c r="AJ1971" i="7" s="1"/>
  <c r="AD1971" i="7"/>
  <c r="AC1971" i="7"/>
  <c r="AB1971" i="7" s="1"/>
  <c r="V1971" i="7"/>
  <c r="U1971" i="7"/>
  <c r="N1971" i="7"/>
  <c r="M1971" i="7"/>
  <c r="L1971" i="7" s="1"/>
  <c r="K1971" i="7"/>
  <c r="F1971" i="7"/>
  <c r="E1971" i="7"/>
  <c r="D1971" i="7" s="1"/>
  <c r="AT1970" i="7"/>
  <c r="AS1970" i="7"/>
  <c r="AQ1970" i="7" s="1"/>
  <c r="AL1970" i="7"/>
  <c r="AK1970" i="7"/>
  <c r="AD1970" i="7"/>
  <c r="AC1970" i="7"/>
  <c r="AB1970" i="7" s="1"/>
  <c r="V1970" i="7"/>
  <c r="U1970" i="7"/>
  <c r="S1970" i="7" s="1"/>
  <c r="N1970" i="7"/>
  <c r="M1970" i="7"/>
  <c r="F1970" i="7"/>
  <c r="E1970" i="7"/>
  <c r="D1970" i="7" s="1"/>
  <c r="AT1969" i="7"/>
  <c r="AS1969" i="7"/>
  <c r="AL1969" i="7"/>
  <c r="AK1969" i="7"/>
  <c r="AD1969" i="7"/>
  <c r="AC1969" i="7"/>
  <c r="AB1969" i="7" s="1"/>
  <c r="V1969" i="7"/>
  <c r="U1969" i="7"/>
  <c r="S1969" i="7" s="1"/>
  <c r="N1969" i="7"/>
  <c r="M1969" i="7"/>
  <c r="L1969" i="7" s="1"/>
  <c r="F1969" i="7"/>
  <c r="E1969" i="7"/>
  <c r="AT1968" i="7"/>
  <c r="AS1968" i="7"/>
  <c r="AL1968" i="7"/>
  <c r="AK1968" i="7"/>
  <c r="AJ1968" i="7" s="1"/>
  <c r="AD1968" i="7"/>
  <c r="AC1968" i="7"/>
  <c r="AB1968" i="7" s="1"/>
  <c r="V1968" i="7"/>
  <c r="U1968" i="7"/>
  <c r="N1968" i="7"/>
  <c r="M1968" i="7"/>
  <c r="K1968" i="7" s="1"/>
  <c r="F1968" i="7"/>
  <c r="E1968" i="7"/>
  <c r="D1968" i="7" s="1"/>
  <c r="AT1967" i="7"/>
  <c r="AS1967" i="7"/>
  <c r="AL1967" i="7"/>
  <c r="AK1967" i="7"/>
  <c r="AD1967" i="7"/>
  <c r="AC1967" i="7"/>
  <c r="AB1967" i="7" s="1"/>
  <c r="V1967" i="7"/>
  <c r="U1967" i="7"/>
  <c r="S1967" i="7" s="1"/>
  <c r="N1967" i="7"/>
  <c r="M1967" i="7"/>
  <c r="F1967" i="7"/>
  <c r="E1967" i="7"/>
  <c r="AT1966" i="7"/>
  <c r="AS1966" i="7"/>
  <c r="AR1966" i="7" s="1"/>
  <c r="AL1966" i="7"/>
  <c r="AK1966" i="7"/>
  <c r="AD1966" i="7"/>
  <c r="AC1966" i="7"/>
  <c r="AB1966" i="7" s="1"/>
  <c r="V1966" i="7"/>
  <c r="U1966" i="7"/>
  <c r="S1966" i="7" s="1"/>
  <c r="N1966" i="7"/>
  <c r="M1966" i="7"/>
  <c r="F1966" i="7"/>
  <c r="E1966" i="7"/>
  <c r="AT1965" i="7"/>
  <c r="AS1965" i="7"/>
  <c r="AL1965" i="7"/>
  <c r="AK1965" i="7"/>
  <c r="AJ1965" i="7" s="1"/>
  <c r="AD1965" i="7"/>
  <c r="AC1965" i="7"/>
  <c r="AB1965" i="7" s="1"/>
  <c r="V1965" i="7"/>
  <c r="U1965" i="7"/>
  <c r="N1965" i="7"/>
  <c r="M1965" i="7"/>
  <c r="L1965" i="7" s="1"/>
  <c r="F1965" i="7"/>
  <c r="E1965" i="7"/>
  <c r="D1965" i="7" s="1"/>
  <c r="AT1964" i="7"/>
  <c r="AS1964" i="7"/>
  <c r="AQ1964" i="7" s="1"/>
  <c r="AL1964" i="7"/>
  <c r="AK1964" i="7"/>
  <c r="AD1964" i="7"/>
  <c r="AC1964" i="7"/>
  <c r="AB1964" i="7" s="1"/>
  <c r="V1964" i="7"/>
  <c r="U1964" i="7"/>
  <c r="N1964" i="7"/>
  <c r="M1964" i="7"/>
  <c r="F1964" i="7"/>
  <c r="E1964" i="7"/>
  <c r="D1964" i="7" s="1"/>
  <c r="AT1963" i="7"/>
  <c r="AS1963" i="7"/>
  <c r="AQ1963" i="7" s="1"/>
  <c r="AL1963" i="7"/>
  <c r="AK1963" i="7"/>
  <c r="AD1963" i="7"/>
  <c r="AC1963" i="7"/>
  <c r="AB1963" i="7" s="1"/>
  <c r="V1963" i="7"/>
  <c r="U1963" i="7"/>
  <c r="S1963" i="7" s="1"/>
  <c r="N1963" i="7"/>
  <c r="M1963" i="7"/>
  <c r="F1963" i="7"/>
  <c r="E1963" i="7"/>
  <c r="AT1962" i="7"/>
  <c r="AS1962" i="7"/>
  <c r="AL1962" i="7"/>
  <c r="AK1962" i="7"/>
  <c r="AJ1962" i="7" s="1"/>
  <c r="AD1962" i="7"/>
  <c r="AC1962" i="7"/>
  <c r="AB1962" i="7" s="1"/>
  <c r="V1962" i="7"/>
  <c r="U1962" i="7"/>
  <c r="S1962" i="7" s="1"/>
  <c r="N1962" i="7"/>
  <c r="M1962" i="7"/>
  <c r="L1962" i="7" s="1"/>
  <c r="F1962" i="7"/>
  <c r="E1962" i="7"/>
  <c r="D1962" i="7" s="1"/>
  <c r="AT1961" i="7"/>
  <c r="AS1961" i="7"/>
  <c r="AQ1961" i="7" s="1"/>
  <c r="AL1961" i="7"/>
  <c r="AK1961" i="7"/>
  <c r="AJ1961" i="7" s="1"/>
  <c r="AD1961" i="7"/>
  <c r="AC1961" i="7"/>
  <c r="AB1961" i="7" s="1"/>
  <c r="V1961" i="7"/>
  <c r="U1961" i="7"/>
  <c r="T1961" i="7" s="1"/>
  <c r="N1961" i="7"/>
  <c r="M1961" i="7"/>
  <c r="K1961" i="7" s="1"/>
  <c r="F1961" i="7"/>
  <c r="E1961" i="7"/>
  <c r="AT1960" i="7"/>
  <c r="AS1960" i="7"/>
  <c r="AL1960" i="7"/>
  <c r="AK1960" i="7"/>
  <c r="AD1960" i="7"/>
  <c r="AC1960" i="7"/>
  <c r="AB1960" i="7" s="1"/>
  <c r="V1960" i="7"/>
  <c r="U1960" i="7"/>
  <c r="T1960" i="7" s="1"/>
  <c r="N1960" i="7"/>
  <c r="M1960" i="7"/>
  <c r="F1960" i="7"/>
  <c r="E1960" i="7"/>
  <c r="AT1959" i="7"/>
  <c r="AS1959" i="7"/>
  <c r="AR1959" i="7" s="1"/>
  <c r="AL1959" i="7"/>
  <c r="AK1959" i="7"/>
  <c r="AD1959" i="7"/>
  <c r="AC1959" i="7"/>
  <c r="AB1959" i="7" s="1"/>
  <c r="V1959" i="7"/>
  <c r="U1959" i="7"/>
  <c r="T1959" i="7" s="1"/>
  <c r="N1959" i="7"/>
  <c r="M1959" i="7"/>
  <c r="F1959" i="7"/>
  <c r="E1959" i="7"/>
  <c r="D1959" i="7" s="1"/>
  <c r="AT1958" i="7"/>
  <c r="AS1958" i="7"/>
  <c r="AL1958" i="7"/>
  <c r="AK1958" i="7"/>
  <c r="AD1958" i="7"/>
  <c r="AC1958" i="7"/>
  <c r="AB1958" i="7" s="1"/>
  <c r="V1958" i="7"/>
  <c r="U1958" i="7"/>
  <c r="T1958" i="7" s="1"/>
  <c r="N1958" i="7"/>
  <c r="M1958" i="7"/>
  <c r="F1958" i="7"/>
  <c r="E1958" i="7"/>
  <c r="AT1957" i="7"/>
  <c r="AS1957" i="7"/>
  <c r="AQ1957" i="7" s="1"/>
  <c r="AL1957" i="7"/>
  <c r="AK1957" i="7"/>
  <c r="AJ1957" i="7" s="1"/>
  <c r="AD1957" i="7"/>
  <c r="AC1957" i="7"/>
  <c r="AB1957" i="7" s="1"/>
  <c r="V1957" i="7"/>
  <c r="U1957" i="7"/>
  <c r="T1957" i="7" s="1"/>
  <c r="N1957" i="7"/>
  <c r="M1957" i="7"/>
  <c r="L1957" i="7" s="1"/>
  <c r="F1957" i="7"/>
  <c r="E1957" i="7"/>
  <c r="D1957" i="7" s="1"/>
  <c r="AT1956" i="7"/>
  <c r="AS1956" i="7"/>
  <c r="AQ1956" i="7" s="1"/>
  <c r="AL1956" i="7"/>
  <c r="AK1956" i="7"/>
  <c r="AJ1956" i="7" s="1"/>
  <c r="AD1956" i="7"/>
  <c r="AC1956" i="7"/>
  <c r="AB1956" i="7" s="1"/>
  <c r="V1956" i="7"/>
  <c r="U1956" i="7"/>
  <c r="T1956" i="7" s="1"/>
  <c r="N1956" i="7"/>
  <c r="M1956" i="7"/>
  <c r="F1956" i="7"/>
  <c r="E1956" i="7"/>
  <c r="D1956" i="7" s="1"/>
  <c r="AT1955" i="7"/>
  <c r="AS1955" i="7"/>
  <c r="AL1955" i="7"/>
  <c r="AK1955" i="7"/>
  <c r="AD1955" i="7"/>
  <c r="AC1955" i="7"/>
  <c r="AB1955" i="7" s="1"/>
  <c r="V1955" i="7"/>
  <c r="U1955" i="7"/>
  <c r="T1955" i="7" s="1"/>
  <c r="N1955" i="7"/>
  <c r="M1955" i="7"/>
  <c r="K1955" i="7" s="1"/>
  <c r="F1955" i="7"/>
  <c r="E1955" i="7"/>
  <c r="D1955" i="7" s="1"/>
  <c r="AT1954" i="7"/>
  <c r="AS1954" i="7"/>
  <c r="AL1954" i="7"/>
  <c r="AK1954" i="7"/>
  <c r="AD1954" i="7"/>
  <c r="AC1954" i="7"/>
  <c r="AB1954" i="7" s="1"/>
  <c r="V1954" i="7"/>
  <c r="U1954" i="7"/>
  <c r="T1954" i="7" s="1"/>
  <c r="N1954" i="7"/>
  <c r="M1954" i="7"/>
  <c r="F1954" i="7"/>
  <c r="E1954" i="7"/>
  <c r="AT1953" i="7"/>
  <c r="AS1953" i="7"/>
  <c r="AL1953" i="7"/>
  <c r="AK1953" i="7"/>
  <c r="AD1953" i="7"/>
  <c r="AC1953" i="7"/>
  <c r="AB1953" i="7" s="1"/>
  <c r="V1953" i="7"/>
  <c r="U1953" i="7"/>
  <c r="T1953" i="7" s="1"/>
  <c r="N1953" i="7"/>
  <c r="M1953" i="7"/>
  <c r="K1953" i="7" s="1"/>
  <c r="L1953" i="7"/>
  <c r="F1953" i="7"/>
  <c r="E1953" i="7"/>
  <c r="D1953" i="7" s="1"/>
  <c r="AT1952" i="7"/>
  <c r="AS1952" i="7"/>
  <c r="AR1952" i="7" s="1"/>
  <c r="AL1952" i="7"/>
  <c r="AK1952" i="7"/>
  <c r="AD1952" i="7"/>
  <c r="AC1952" i="7"/>
  <c r="AB1952" i="7" s="1"/>
  <c r="V1952" i="7"/>
  <c r="U1952" i="7"/>
  <c r="T1952" i="7" s="1"/>
  <c r="N1952" i="7"/>
  <c r="M1952" i="7"/>
  <c r="L1952" i="7" s="1"/>
  <c r="F1952" i="7"/>
  <c r="E1952" i="7"/>
  <c r="AT1951" i="7"/>
  <c r="AS1951" i="7"/>
  <c r="AL1951" i="7"/>
  <c r="AK1951" i="7"/>
  <c r="AJ1951" i="7" s="1"/>
  <c r="AD1951" i="7"/>
  <c r="AC1951" i="7"/>
  <c r="AB1951" i="7" s="1"/>
  <c r="V1951" i="7"/>
  <c r="U1951" i="7"/>
  <c r="T1951" i="7" s="1"/>
  <c r="N1951" i="7"/>
  <c r="M1951" i="7"/>
  <c r="F1951" i="7"/>
  <c r="E1951" i="7"/>
  <c r="D1951" i="7" s="1"/>
  <c r="AT1950" i="7"/>
  <c r="AS1950" i="7"/>
  <c r="AL1950" i="7"/>
  <c r="AK1950" i="7"/>
  <c r="AD1950" i="7"/>
  <c r="AC1950" i="7"/>
  <c r="AB1950" i="7" s="1"/>
  <c r="V1950" i="7"/>
  <c r="U1950" i="7"/>
  <c r="T1950" i="7" s="1"/>
  <c r="N1950" i="7"/>
  <c r="M1950" i="7"/>
  <c r="F1950" i="7"/>
  <c r="E1950" i="7"/>
  <c r="D1950" i="7" s="1"/>
  <c r="AT1949" i="7"/>
  <c r="AS1949" i="7"/>
  <c r="AQ1949" i="7" s="1"/>
  <c r="AL1949" i="7"/>
  <c r="AK1949" i="7"/>
  <c r="AD1949" i="7"/>
  <c r="AC1949" i="7"/>
  <c r="AB1949" i="7" s="1"/>
  <c r="V1949" i="7"/>
  <c r="U1949" i="7"/>
  <c r="T1949" i="7" s="1"/>
  <c r="N1949" i="7"/>
  <c r="M1949" i="7"/>
  <c r="F1949" i="7"/>
  <c r="E1949" i="7"/>
  <c r="D1949" i="7" s="1"/>
  <c r="AT1948" i="7"/>
  <c r="AS1948" i="7"/>
  <c r="AL1948" i="7"/>
  <c r="AK1948" i="7"/>
  <c r="AJ1948" i="7" s="1"/>
  <c r="AD1948" i="7"/>
  <c r="AC1948" i="7"/>
  <c r="AB1948" i="7" s="1"/>
  <c r="V1948" i="7"/>
  <c r="U1948" i="7"/>
  <c r="T1948" i="7" s="1"/>
  <c r="N1948" i="7"/>
  <c r="M1948" i="7"/>
  <c r="L1948" i="7" s="1"/>
  <c r="F1948" i="7"/>
  <c r="E1948" i="7"/>
  <c r="D1948" i="7" s="1"/>
  <c r="AT1947" i="7"/>
  <c r="AS1947" i="7"/>
  <c r="AL1947" i="7"/>
  <c r="AK1947" i="7"/>
  <c r="AD1947" i="7"/>
  <c r="AC1947" i="7"/>
  <c r="AB1947" i="7" s="1"/>
  <c r="V1947" i="7"/>
  <c r="U1947" i="7"/>
  <c r="T1947" i="7" s="1"/>
  <c r="N1947" i="7"/>
  <c r="M1947" i="7"/>
  <c r="L1947" i="7" s="1"/>
  <c r="F1947" i="7"/>
  <c r="E1947" i="7"/>
  <c r="D1947" i="7" s="1"/>
  <c r="AT1946" i="7"/>
  <c r="AS1946" i="7"/>
  <c r="AL1946" i="7"/>
  <c r="AK1946" i="7"/>
  <c r="AD1946" i="7"/>
  <c r="AC1946" i="7"/>
  <c r="AB1946" i="7" s="1"/>
  <c r="V1946" i="7"/>
  <c r="U1946" i="7"/>
  <c r="T1946" i="7" s="1"/>
  <c r="N1946" i="7"/>
  <c r="M1946" i="7"/>
  <c r="F1946" i="7"/>
  <c r="E1946" i="7"/>
  <c r="AT1945" i="7"/>
  <c r="AS1945" i="7"/>
  <c r="AL1945" i="7"/>
  <c r="AK1945" i="7"/>
  <c r="AD1945" i="7"/>
  <c r="AC1945" i="7"/>
  <c r="AB1945" i="7" s="1"/>
  <c r="V1945" i="7"/>
  <c r="U1945" i="7"/>
  <c r="T1945" i="7" s="1"/>
  <c r="N1945" i="7"/>
  <c r="M1945" i="7"/>
  <c r="F1945" i="7"/>
  <c r="E1945" i="7"/>
  <c r="AT1944" i="7"/>
  <c r="AS1944" i="7"/>
  <c r="AQ1944" i="7" s="1"/>
  <c r="AL1944" i="7"/>
  <c r="AK1944" i="7"/>
  <c r="AJ1944" i="7" s="1"/>
  <c r="AD1944" i="7"/>
  <c r="AC1944" i="7"/>
  <c r="AB1944" i="7" s="1"/>
  <c r="V1944" i="7"/>
  <c r="U1944" i="7"/>
  <c r="T1944" i="7" s="1"/>
  <c r="N1944" i="7"/>
  <c r="M1944" i="7"/>
  <c r="F1944" i="7"/>
  <c r="E1944" i="7"/>
  <c r="AT1943" i="7"/>
  <c r="AS1943" i="7"/>
  <c r="AQ1943" i="7" s="1"/>
  <c r="AL1943" i="7"/>
  <c r="AK1943" i="7"/>
  <c r="AD1943" i="7"/>
  <c r="AC1943" i="7"/>
  <c r="AB1943" i="7" s="1"/>
  <c r="V1943" i="7"/>
  <c r="U1943" i="7"/>
  <c r="T1943" i="7" s="1"/>
  <c r="N1943" i="7"/>
  <c r="M1943" i="7"/>
  <c r="K1943" i="7" s="1"/>
  <c r="F1943" i="7"/>
  <c r="E1943" i="7"/>
  <c r="AT1942" i="7"/>
  <c r="AS1942" i="7"/>
  <c r="AR1942" i="7" s="1"/>
  <c r="AL1942" i="7"/>
  <c r="AK1942" i="7"/>
  <c r="AD1942" i="7"/>
  <c r="AC1942" i="7"/>
  <c r="AB1942" i="7" s="1"/>
  <c r="V1942" i="7"/>
  <c r="U1942" i="7"/>
  <c r="T1942" i="7" s="1"/>
  <c r="N1942" i="7"/>
  <c r="M1942" i="7"/>
  <c r="F1942" i="7"/>
  <c r="E1942" i="7"/>
  <c r="D1942" i="7" s="1"/>
  <c r="AT1941" i="7"/>
  <c r="AS1941" i="7"/>
  <c r="AL1941" i="7"/>
  <c r="AK1941" i="7"/>
  <c r="AD1941" i="7"/>
  <c r="AC1941" i="7"/>
  <c r="AB1941" i="7" s="1"/>
  <c r="V1941" i="7"/>
  <c r="U1941" i="7"/>
  <c r="T1941" i="7" s="1"/>
  <c r="N1941" i="7"/>
  <c r="M1941" i="7"/>
  <c r="F1941" i="7"/>
  <c r="E1941" i="7"/>
  <c r="D1941" i="7" s="1"/>
  <c r="AT1940" i="7"/>
  <c r="AS1940" i="7"/>
  <c r="AL1940" i="7"/>
  <c r="AK1940" i="7"/>
  <c r="AD1940" i="7"/>
  <c r="AC1940" i="7"/>
  <c r="AB1940" i="7" s="1"/>
  <c r="V1940" i="7"/>
  <c r="U1940" i="7"/>
  <c r="T1940" i="7" s="1"/>
  <c r="N1940" i="7"/>
  <c r="M1940" i="7"/>
  <c r="L1940" i="7" s="1"/>
  <c r="F1940" i="7"/>
  <c r="E1940" i="7"/>
  <c r="AT1939" i="7"/>
  <c r="AS1939" i="7"/>
  <c r="AL1939" i="7"/>
  <c r="AK1939" i="7"/>
  <c r="AD1939" i="7"/>
  <c r="AC1939" i="7"/>
  <c r="AB1939" i="7" s="1"/>
  <c r="V1939" i="7"/>
  <c r="U1939" i="7"/>
  <c r="T1939" i="7" s="1"/>
  <c r="N1939" i="7"/>
  <c r="M1939" i="7"/>
  <c r="F1939" i="7"/>
  <c r="E1939" i="7"/>
  <c r="AT1938" i="7"/>
  <c r="AS1938" i="7"/>
  <c r="AQ1938" i="7" s="1"/>
  <c r="AL1938" i="7"/>
  <c r="AK1938" i="7"/>
  <c r="AJ1938" i="7" s="1"/>
  <c r="AI1938" i="7"/>
  <c r="AD1938" i="7"/>
  <c r="AC1938" i="7"/>
  <c r="AB1938" i="7" s="1"/>
  <c r="V1938" i="7"/>
  <c r="U1938" i="7"/>
  <c r="T1938" i="7" s="1"/>
  <c r="N1938" i="7"/>
  <c r="M1938" i="7"/>
  <c r="F1938" i="7"/>
  <c r="E1938" i="7"/>
  <c r="D1938" i="7" s="1"/>
  <c r="AT1937" i="7"/>
  <c r="AS1937" i="7"/>
  <c r="AL1937" i="7"/>
  <c r="AK1937" i="7"/>
  <c r="AJ1937" i="7" s="1"/>
  <c r="AD1937" i="7"/>
  <c r="AC1937" i="7"/>
  <c r="AB1937" i="7" s="1"/>
  <c r="V1937" i="7"/>
  <c r="U1937" i="7"/>
  <c r="T1937" i="7" s="1"/>
  <c r="N1937" i="7"/>
  <c r="M1937" i="7"/>
  <c r="L1937" i="7" s="1"/>
  <c r="F1937" i="7"/>
  <c r="E1937" i="7"/>
  <c r="D1937" i="7" s="1"/>
  <c r="AT1936" i="7"/>
  <c r="AS1936" i="7"/>
  <c r="AL1936" i="7"/>
  <c r="AK1936" i="7"/>
  <c r="AD1936" i="7"/>
  <c r="AC1936" i="7"/>
  <c r="AB1936" i="7" s="1"/>
  <c r="V1936" i="7"/>
  <c r="U1936" i="7"/>
  <c r="T1936" i="7" s="1"/>
  <c r="N1936" i="7"/>
  <c r="M1936" i="7"/>
  <c r="F1936" i="7"/>
  <c r="E1936" i="7"/>
  <c r="D1936" i="7" s="1"/>
  <c r="AT1935" i="7"/>
  <c r="AS1935" i="7"/>
  <c r="AL1935" i="7"/>
  <c r="AK1935" i="7"/>
  <c r="AD1935" i="7"/>
  <c r="AC1935" i="7"/>
  <c r="AB1935" i="7" s="1"/>
  <c r="V1935" i="7"/>
  <c r="U1935" i="7"/>
  <c r="T1935" i="7" s="1"/>
  <c r="N1935" i="7"/>
  <c r="M1935" i="7"/>
  <c r="F1935" i="7"/>
  <c r="E1935" i="7"/>
  <c r="D1935" i="7" s="1"/>
  <c r="AT1934" i="7"/>
  <c r="AS1934" i="7"/>
  <c r="AQ1934" i="7" s="1"/>
  <c r="AL1934" i="7"/>
  <c r="AK1934" i="7"/>
  <c r="AD1934" i="7"/>
  <c r="AC1934" i="7"/>
  <c r="AB1934" i="7" s="1"/>
  <c r="V1934" i="7"/>
  <c r="U1934" i="7"/>
  <c r="T1934" i="7" s="1"/>
  <c r="N1934" i="7"/>
  <c r="M1934" i="7"/>
  <c r="K1934" i="7" s="1"/>
  <c r="L1934" i="7"/>
  <c r="F1934" i="7"/>
  <c r="E1934" i="7"/>
  <c r="D1934" i="7" s="1"/>
  <c r="AT1933" i="7"/>
  <c r="AS1933" i="7"/>
  <c r="AR1933" i="7" s="1"/>
  <c r="AL1933" i="7"/>
  <c r="AK1933" i="7"/>
  <c r="AJ1933" i="7" s="1"/>
  <c r="AD1933" i="7"/>
  <c r="AC1933" i="7"/>
  <c r="AB1933" i="7" s="1"/>
  <c r="V1933" i="7"/>
  <c r="U1933" i="7"/>
  <c r="T1933" i="7" s="1"/>
  <c r="N1933" i="7"/>
  <c r="M1933" i="7"/>
  <c r="L1933" i="7" s="1"/>
  <c r="F1933" i="7"/>
  <c r="E1933" i="7"/>
  <c r="AT1932" i="7"/>
  <c r="AS1932" i="7"/>
  <c r="AL1932" i="7"/>
  <c r="AK1932" i="7"/>
  <c r="AJ1932" i="7" s="1"/>
  <c r="AD1932" i="7"/>
  <c r="AC1932" i="7"/>
  <c r="AB1932" i="7" s="1"/>
  <c r="V1932" i="7"/>
  <c r="U1932" i="7"/>
  <c r="T1932" i="7" s="1"/>
  <c r="N1932" i="7"/>
  <c r="M1932" i="7"/>
  <c r="L1932" i="7" s="1"/>
  <c r="K1932" i="7"/>
  <c r="F1932" i="7"/>
  <c r="E1932" i="7"/>
  <c r="AT1931" i="7"/>
  <c r="AS1931" i="7"/>
  <c r="AQ1931" i="7" s="1"/>
  <c r="AL1931" i="7"/>
  <c r="AK1931" i="7"/>
  <c r="AJ1931" i="7" s="1"/>
  <c r="AD1931" i="7"/>
  <c r="AC1931" i="7"/>
  <c r="AB1931" i="7" s="1"/>
  <c r="V1931" i="7"/>
  <c r="U1931" i="7"/>
  <c r="T1931" i="7" s="1"/>
  <c r="N1931" i="7"/>
  <c r="M1931" i="7"/>
  <c r="F1931" i="7"/>
  <c r="E1931" i="7"/>
  <c r="D1931" i="7" s="1"/>
  <c r="AT1930" i="7"/>
  <c r="AS1930" i="7"/>
  <c r="AQ1930" i="7" s="1"/>
  <c r="AL1930" i="7"/>
  <c r="AK1930" i="7"/>
  <c r="AJ1930" i="7" s="1"/>
  <c r="AD1930" i="7"/>
  <c r="AC1930" i="7"/>
  <c r="AB1930" i="7" s="1"/>
  <c r="V1930" i="7"/>
  <c r="U1930" i="7"/>
  <c r="T1930" i="7" s="1"/>
  <c r="N1930" i="7"/>
  <c r="M1930" i="7"/>
  <c r="F1930" i="7"/>
  <c r="E1930" i="7"/>
  <c r="D1930" i="7" s="1"/>
  <c r="AT1929" i="7"/>
  <c r="AS1929" i="7"/>
  <c r="AL1929" i="7"/>
  <c r="AK1929" i="7"/>
  <c r="AD1929" i="7"/>
  <c r="AC1929" i="7"/>
  <c r="AB1929" i="7" s="1"/>
  <c r="V1929" i="7"/>
  <c r="U1929" i="7"/>
  <c r="T1929" i="7" s="1"/>
  <c r="N1929" i="7"/>
  <c r="M1929" i="7"/>
  <c r="F1929" i="7"/>
  <c r="E1929" i="7"/>
  <c r="D1929" i="7" s="1"/>
  <c r="AT1928" i="7"/>
  <c r="AS1928" i="7"/>
  <c r="AL1928" i="7"/>
  <c r="AK1928" i="7"/>
  <c r="AD1928" i="7"/>
  <c r="AC1928" i="7"/>
  <c r="AB1928" i="7" s="1"/>
  <c r="V1928" i="7"/>
  <c r="U1928" i="7"/>
  <c r="T1928" i="7" s="1"/>
  <c r="N1928" i="7"/>
  <c r="M1928" i="7"/>
  <c r="L1928" i="7" s="1"/>
  <c r="F1928" i="7"/>
  <c r="E1928" i="7"/>
  <c r="AT1927" i="7"/>
  <c r="AS1927" i="7"/>
  <c r="AR1927" i="7" s="1"/>
  <c r="AL1927" i="7"/>
  <c r="AK1927" i="7"/>
  <c r="AJ1927" i="7" s="1"/>
  <c r="AD1927" i="7"/>
  <c r="AC1927" i="7"/>
  <c r="AB1927" i="7" s="1"/>
  <c r="V1927" i="7"/>
  <c r="U1927" i="7"/>
  <c r="T1927" i="7" s="1"/>
  <c r="N1927" i="7"/>
  <c r="M1927" i="7"/>
  <c r="L1927" i="7" s="1"/>
  <c r="F1927" i="7"/>
  <c r="E1927" i="7"/>
  <c r="AT1926" i="7"/>
  <c r="AS1926" i="7"/>
  <c r="AL1926" i="7"/>
  <c r="AK1926" i="7"/>
  <c r="AJ1926" i="7" s="1"/>
  <c r="AD1926" i="7"/>
  <c r="AC1926" i="7"/>
  <c r="AB1926" i="7" s="1"/>
  <c r="V1926" i="7"/>
  <c r="U1926" i="7"/>
  <c r="T1926" i="7" s="1"/>
  <c r="N1926" i="7"/>
  <c r="M1926" i="7"/>
  <c r="L1926" i="7" s="1"/>
  <c r="F1926" i="7"/>
  <c r="E1926" i="7"/>
  <c r="D1926" i="7" s="1"/>
  <c r="AT1925" i="7"/>
  <c r="AS1925" i="7"/>
  <c r="AQ1925" i="7" s="1"/>
  <c r="AL1925" i="7"/>
  <c r="AK1925" i="7"/>
  <c r="AJ1925" i="7" s="1"/>
  <c r="AD1925" i="7"/>
  <c r="AC1925" i="7"/>
  <c r="AB1925" i="7" s="1"/>
  <c r="V1925" i="7"/>
  <c r="U1925" i="7"/>
  <c r="T1925" i="7" s="1"/>
  <c r="N1925" i="7"/>
  <c r="M1925" i="7"/>
  <c r="F1925" i="7"/>
  <c r="E1925" i="7"/>
  <c r="D1925" i="7" s="1"/>
  <c r="AT1924" i="7"/>
  <c r="AS1924" i="7"/>
  <c r="AL1924" i="7"/>
  <c r="AK1924" i="7"/>
  <c r="AD1924" i="7"/>
  <c r="AC1924" i="7"/>
  <c r="AB1924" i="7" s="1"/>
  <c r="V1924" i="7"/>
  <c r="U1924" i="7"/>
  <c r="T1924" i="7" s="1"/>
  <c r="N1924" i="7"/>
  <c r="M1924" i="7"/>
  <c r="F1924" i="7"/>
  <c r="E1924" i="7"/>
  <c r="D1924" i="7" s="1"/>
  <c r="AT1923" i="7"/>
  <c r="AS1923" i="7"/>
  <c r="AL1923" i="7"/>
  <c r="AK1923" i="7"/>
  <c r="AD1923" i="7"/>
  <c r="AC1923" i="7"/>
  <c r="AB1923" i="7" s="1"/>
  <c r="V1923" i="7"/>
  <c r="U1923" i="7"/>
  <c r="T1923" i="7" s="1"/>
  <c r="N1923" i="7"/>
  <c r="M1923" i="7"/>
  <c r="F1923" i="7"/>
  <c r="E1923" i="7"/>
  <c r="D1923" i="7" s="1"/>
  <c r="AT1922" i="7"/>
  <c r="AS1922" i="7"/>
  <c r="AL1922" i="7"/>
  <c r="AK1922" i="7"/>
  <c r="AD1922" i="7"/>
  <c r="AC1922" i="7"/>
  <c r="AB1922" i="7" s="1"/>
  <c r="V1922" i="7"/>
  <c r="U1922" i="7"/>
  <c r="T1922" i="7" s="1"/>
  <c r="N1922" i="7"/>
  <c r="M1922" i="7"/>
  <c r="K1922" i="7" s="1"/>
  <c r="L1922" i="7"/>
  <c r="F1922" i="7"/>
  <c r="E1922" i="7"/>
  <c r="AT1921" i="7"/>
  <c r="AS1921" i="7"/>
  <c r="AR1921" i="7" s="1"/>
  <c r="AL1921" i="7"/>
  <c r="AK1921" i="7"/>
  <c r="AD1921" i="7"/>
  <c r="AC1921" i="7"/>
  <c r="AB1921" i="7" s="1"/>
  <c r="V1921" i="7"/>
  <c r="U1921" i="7"/>
  <c r="T1921" i="7" s="1"/>
  <c r="N1921" i="7"/>
  <c r="M1921" i="7"/>
  <c r="L1921" i="7" s="1"/>
  <c r="F1921" i="7"/>
  <c r="E1921" i="7"/>
  <c r="AT1920" i="7"/>
  <c r="AS1920" i="7"/>
  <c r="AR1920" i="7" s="1"/>
  <c r="AQ1920" i="7"/>
  <c r="AL1920" i="7"/>
  <c r="AK1920" i="7"/>
  <c r="AJ1920" i="7" s="1"/>
  <c r="AD1920" i="7"/>
  <c r="AC1920" i="7"/>
  <c r="AB1920" i="7" s="1"/>
  <c r="V1920" i="7"/>
  <c r="U1920" i="7"/>
  <c r="T1920" i="7" s="1"/>
  <c r="N1920" i="7"/>
  <c r="M1920" i="7"/>
  <c r="L1920" i="7" s="1"/>
  <c r="F1920" i="7"/>
  <c r="E1920" i="7"/>
  <c r="AT1919" i="7"/>
  <c r="AS1919" i="7"/>
  <c r="AL1919" i="7"/>
  <c r="AK1919" i="7"/>
  <c r="AJ1919" i="7" s="1"/>
  <c r="AD1919" i="7"/>
  <c r="AC1919" i="7"/>
  <c r="AB1919" i="7" s="1"/>
  <c r="V1919" i="7"/>
  <c r="U1919" i="7"/>
  <c r="T1919" i="7" s="1"/>
  <c r="N1919" i="7"/>
  <c r="M1919" i="7"/>
  <c r="L1919" i="7" s="1"/>
  <c r="K1919" i="7"/>
  <c r="F1919" i="7"/>
  <c r="E1919" i="7"/>
  <c r="D1919" i="7" s="1"/>
  <c r="AT1918" i="7"/>
  <c r="AS1918" i="7"/>
  <c r="AQ1918" i="7" s="1"/>
  <c r="AL1918" i="7"/>
  <c r="AK1918" i="7"/>
  <c r="AD1918" i="7"/>
  <c r="AC1918" i="7"/>
  <c r="AB1918" i="7" s="1"/>
  <c r="V1918" i="7"/>
  <c r="U1918" i="7"/>
  <c r="T1918" i="7" s="1"/>
  <c r="N1918" i="7"/>
  <c r="M1918" i="7"/>
  <c r="F1918" i="7"/>
  <c r="E1918" i="7"/>
  <c r="D1918" i="7" s="1"/>
  <c r="AT1917" i="7"/>
  <c r="AS1917" i="7"/>
  <c r="AL1917" i="7"/>
  <c r="AK1917" i="7"/>
  <c r="AJ1917" i="7" s="1"/>
  <c r="AD1917" i="7"/>
  <c r="AC1917" i="7"/>
  <c r="AB1917" i="7" s="1"/>
  <c r="V1917" i="7"/>
  <c r="U1917" i="7"/>
  <c r="T1917" i="7" s="1"/>
  <c r="N1917" i="7"/>
  <c r="M1917" i="7"/>
  <c r="F1917" i="7"/>
  <c r="E1917" i="7"/>
  <c r="AT1916" i="7"/>
  <c r="AS1916" i="7"/>
  <c r="AR1916" i="7" s="1"/>
  <c r="AL1916" i="7"/>
  <c r="AK1916" i="7"/>
  <c r="AD1916" i="7"/>
  <c r="AC1916" i="7"/>
  <c r="AB1916" i="7" s="1"/>
  <c r="V1916" i="7"/>
  <c r="U1916" i="7"/>
  <c r="N1916" i="7"/>
  <c r="M1916" i="7"/>
  <c r="K1916" i="7" s="1"/>
  <c r="F1916" i="7"/>
  <c r="E1916" i="7"/>
  <c r="AT1915" i="7"/>
  <c r="AS1915" i="7"/>
  <c r="AR1915" i="7" s="1"/>
  <c r="AL1915" i="7"/>
  <c r="AK1915" i="7"/>
  <c r="AD1915" i="7"/>
  <c r="AC1915" i="7"/>
  <c r="AB1915" i="7" s="1"/>
  <c r="V1915" i="7"/>
  <c r="U1915" i="7"/>
  <c r="N1915" i="7"/>
  <c r="M1915" i="7"/>
  <c r="L1915" i="7" s="1"/>
  <c r="F1915" i="7"/>
  <c r="E1915" i="7"/>
  <c r="AT1914" i="7"/>
  <c r="AS1914" i="7"/>
  <c r="AL1914" i="7"/>
  <c r="AK1914" i="7"/>
  <c r="AJ1914" i="7" s="1"/>
  <c r="AD1914" i="7"/>
  <c r="AC1914" i="7"/>
  <c r="AB1914" i="7" s="1"/>
  <c r="V1914" i="7"/>
  <c r="U1914" i="7"/>
  <c r="N1914" i="7"/>
  <c r="M1914" i="7"/>
  <c r="L1914" i="7" s="1"/>
  <c r="F1914" i="7"/>
  <c r="E1914" i="7"/>
  <c r="AT1913" i="7"/>
  <c r="AS1913" i="7"/>
  <c r="AQ1913" i="7" s="1"/>
  <c r="AL1913" i="7"/>
  <c r="AK1913" i="7"/>
  <c r="AJ1913" i="7" s="1"/>
  <c r="AD1913" i="7"/>
  <c r="AC1913" i="7"/>
  <c r="AB1913" i="7" s="1"/>
  <c r="V1913" i="7"/>
  <c r="U1913" i="7"/>
  <c r="N1913" i="7"/>
  <c r="M1913" i="7"/>
  <c r="F1913" i="7"/>
  <c r="E1913" i="7"/>
  <c r="D1913" i="7" s="1"/>
  <c r="AT1912" i="7"/>
  <c r="AS1912" i="7"/>
  <c r="AL1912" i="7"/>
  <c r="AK1912" i="7"/>
  <c r="AD1912" i="7"/>
  <c r="AC1912" i="7"/>
  <c r="AB1912" i="7" s="1"/>
  <c r="V1912" i="7"/>
  <c r="U1912" i="7"/>
  <c r="N1912" i="7"/>
  <c r="M1912" i="7"/>
  <c r="F1912" i="7"/>
  <c r="E1912" i="7"/>
  <c r="D1912" i="7" s="1"/>
  <c r="AT1911" i="7"/>
  <c r="AS1911" i="7"/>
  <c r="AL1911" i="7"/>
  <c r="AK1911" i="7"/>
  <c r="AD1911" i="7"/>
  <c r="AC1911" i="7"/>
  <c r="AB1911" i="7" s="1"/>
  <c r="V1911" i="7"/>
  <c r="U1911" i="7"/>
  <c r="N1911" i="7"/>
  <c r="M1911" i="7"/>
  <c r="F1911" i="7"/>
  <c r="E1911" i="7"/>
  <c r="D1911" i="7" s="1"/>
  <c r="AT1910" i="7"/>
  <c r="AS1910" i="7"/>
  <c r="AL1910" i="7"/>
  <c r="AK1910" i="7"/>
  <c r="AD1910" i="7"/>
  <c r="AC1910" i="7"/>
  <c r="AB1910" i="7" s="1"/>
  <c r="V1910" i="7"/>
  <c r="U1910" i="7"/>
  <c r="N1910" i="7"/>
  <c r="M1910" i="7"/>
  <c r="L1910" i="7" s="1"/>
  <c r="F1910" i="7"/>
  <c r="E1910" i="7"/>
  <c r="AT1909" i="7"/>
  <c r="AS1909" i="7"/>
  <c r="AR1909" i="7" s="1"/>
  <c r="AL1909" i="7"/>
  <c r="AK1909" i="7"/>
  <c r="AD1909" i="7"/>
  <c r="AC1909" i="7"/>
  <c r="AB1909" i="7" s="1"/>
  <c r="V1909" i="7"/>
  <c r="U1909" i="7"/>
  <c r="N1909" i="7"/>
  <c r="M1909" i="7"/>
  <c r="L1909" i="7" s="1"/>
  <c r="F1909" i="7"/>
  <c r="E1909" i="7"/>
  <c r="AT1908" i="7"/>
  <c r="AS1908" i="7"/>
  <c r="AQ1908" i="7" s="1"/>
  <c r="AL1908" i="7"/>
  <c r="AK1908" i="7"/>
  <c r="AJ1908" i="7" s="1"/>
  <c r="AD1908" i="7"/>
  <c r="AC1908" i="7"/>
  <c r="AB1908" i="7" s="1"/>
  <c r="V1908" i="7"/>
  <c r="U1908" i="7"/>
  <c r="N1908" i="7"/>
  <c r="M1908" i="7"/>
  <c r="L1908" i="7" s="1"/>
  <c r="F1908" i="7"/>
  <c r="E1908" i="7"/>
  <c r="AT1907" i="7"/>
  <c r="AS1907" i="7"/>
  <c r="AR1907" i="7" s="1"/>
  <c r="AQ1907" i="7"/>
  <c r="AL1907" i="7"/>
  <c r="AK1907" i="7"/>
  <c r="AJ1907" i="7" s="1"/>
  <c r="AD1907" i="7"/>
  <c r="AC1907" i="7"/>
  <c r="AB1907" i="7" s="1"/>
  <c r="V1907" i="7"/>
  <c r="U1907" i="7"/>
  <c r="N1907" i="7"/>
  <c r="M1907" i="7"/>
  <c r="F1907" i="7"/>
  <c r="E1907" i="7"/>
  <c r="D1907" i="7" s="1"/>
  <c r="AT1906" i="7"/>
  <c r="AS1906" i="7"/>
  <c r="AL1906" i="7"/>
  <c r="AK1906" i="7"/>
  <c r="AJ1906" i="7" s="1"/>
  <c r="AD1906" i="7"/>
  <c r="AC1906" i="7"/>
  <c r="AB1906" i="7" s="1"/>
  <c r="V1906" i="7"/>
  <c r="U1906" i="7"/>
  <c r="N1906" i="7"/>
  <c r="M1906" i="7"/>
  <c r="K1906" i="7" s="1"/>
  <c r="F1906" i="7"/>
  <c r="E1906" i="7"/>
  <c r="D1906" i="7" s="1"/>
  <c r="AT1905" i="7"/>
  <c r="AS1905" i="7"/>
  <c r="AL1905" i="7"/>
  <c r="AK1905" i="7"/>
  <c r="AD1905" i="7"/>
  <c r="AC1905" i="7"/>
  <c r="AB1905" i="7" s="1"/>
  <c r="V1905" i="7"/>
  <c r="U1905" i="7"/>
  <c r="N1905" i="7"/>
  <c r="M1905" i="7"/>
  <c r="F1905" i="7"/>
  <c r="E1905" i="7"/>
  <c r="D1905" i="7" s="1"/>
  <c r="AT1904" i="7"/>
  <c r="AS1904" i="7"/>
  <c r="AL1904" i="7"/>
  <c r="AK1904" i="7"/>
  <c r="AD1904" i="7"/>
  <c r="AC1904" i="7"/>
  <c r="AB1904" i="7" s="1"/>
  <c r="V1904" i="7"/>
  <c r="U1904" i="7"/>
  <c r="N1904" i="7"/>
  <c r="M1904" i="7"/>
  <c r="L1904" i="7" s="1"/>
  <c r="F1904" i="7"/>
  <c r="E1904" i="7"/>
  <c r="AT1903" i="7"/>
  <c r="AS1903" i="7"/>
  <c r="AL1903" i="7"/>
  <c r="AK1903" i="7"/>
  <c r="AJ1903" i="7" s="1"/>
  <c r="AD1903" i="7"/>
  <c r="AC1903" i="7"/>
  <c r="AB1903" i="7" s="1"/>
  <c r="V1903" i="7"/>
  <c r="U1903" i="7"/>
  <c r="N1903" i="7"/>
  <c r="M1903" i="7"/>
  <c r="F1903" i="7"/>
  <c r="E1903" i="7"/>
  <c r="D1903" i="7" s="1"/>
  <c r="AT1902" i="7"/>
  <c r="AS1902" i="7"/>
  <c r="AQ1902" i="7" s="1"/>
  <c r="AL1902" i="7"/>
  <c r="AK1902" i="7"/>
  <c r="AI1902" i="7" s="1"/>
  <c r="AD1902" i="7"/>
  <c r="AC1902" i="7"/>
  <c r="AB1902" i="7" s="1"/>
  <c r="V1902" i="7"/>
  <c r="U1902" i="7"/>
  <c r="N1902" i="7"/>
  <c r="M1902" i="7"/>
  <c r="F1902" i="7"/>
  <c r="E1902" i="7"/>
  <c r="D1902" i="7" s="1"/>
  <c r="AT1901" i="7"/>
  <c r="AS1901" i="7"/>
  <c r="AL1901" i="7"/>
  <c r="AK1901" i="7"/>
  <c r="AD1901" i="7"/>
  <c r="AC1901" i="7"/>
  <c r="AB1901" i="7" s="1"/>
  <c r="V1901" i="7"/>
  <c r="U1901" i="7"/>
  <c r="N1901" i="7"/>
  <c r="M1901" i="7"/>
  <c r="L1901" i="7" s="1"/>
  <c r="F1901" i="7"/>
  <c r="E1901" i="7"/>
  <c r="AT1900" i="7"/>
  <c r="AS1900" i="7"/>
  <c r="AL1900" i="7"/>
  <c r="AK1900" i="7"/>
  <c r="AJ1900" i="7" s="1"/>
  <c r="AD1900" i="7"/>
  <c r="AC1900" i="7"/>
  <c r="AB1900" i="7" s="1"/>
  <c r="V1900" i="7"/>
  <c r="U1900" i="7"/>
  <c r="N1900" i="7"/>
  <c r="M1900" i="7"/>
  <c r="F1900" i="7"/>
  <c r="E1900" i="7"/>
  <c r="AT1899" i="7"/>
  <c r="AS1899" i="7"/>
  <c r="AQ1899" i="7" s="1"/>
  <c r="AL1899" i="7"/>
  <c r="AK1899" i="7"/>
  <c r="AI1899" i="7" s="1"/>
  <c r="AD1899" i="7"/>
  <c r="AC1899" i="7"/>
  <c r="AB1899" i="7" s="1"/>
  <c r="V1899" i="7"/>
  <c r="U1899" i="7"/>
  <c r="N1899" i="7"/>
  <c r="M1899" i="7"/>
  <c r="F1899" i="7"/>
  <c r="E1899" i="7"/>
  <c r="D1899" i="7" s="1"/>
  <c r="AT1898" i="7"/>
  <c r="AS1898" i="7"/>
  <c r="AL1898" i="7"/>
  <c r="AK1898" i="7"/>
  <c r="AD1898" i="7"/>
  <c r="AC1898" i="7"/>
  <c r="AB1898" i="7" s="1"/>
  <c r="V1898" i="7"/>
  <c r="U1898" i="7"/>
  <c r="N1898" i="7"/>
  <c r="M1898" i="7"/>
  <c r="L1898" i="7" s="1"/>
  <c r="F1898" i="7"/>
  <c r="E1898" i="7"/>
  <c r="AT1897" i="7"/>
  <c r="AS1897" i="7"/>
  <c r="AR1897" i="7" s="1"/>
  <c r="AL1897" i="7"/>
  <c r="AK1897" i="7"/>
  <c r="AD1897" i="7"/>
  <c r="AC1897" i="7"/>
  <c r="AB1897" i="7" s="1"/>
  <c r="V1897" i="7"/>
  <c r="U1897" i="7"/>
  <c r="S1897" i="7" s="1"/>
  <c r="N1897" i="7"/>
  <c r="M1897" i="7"/>
  <c r="F1897" i="7"/>
  <c r="E1897" i="7"/>
  <c r="D1897" i="7" s="1"/>
  <c r="AT1896" i="7"/>
  <c r="AS1896" i="7"/>
  <c r="AL1896" i="7"/>
  <c r="AK1896" i="7"/>
  <c r="AI1896" i="7" s="1"/>
  <c r="AD1896" i="7"/>
  <c r="AC1896" i="7"/>
  <c r="V1896" i="7"/>
  <c r="U1896" i="7"/>
  <c r="S1896" i="7" s="1"/>
  <c r="N1896" i="7"/>
  <c r="M1896" i="7"/>
  <c r="F1896" i="7"/>
  <c r="E1896" i="7"/>
  <c r="AT1895" i="7"/>
  <c r="AS1895" i="7"/>
  <c r="AR1895" i="7" s="1"/>
  <c r="AL1895" i="7"/>
  <c r="AK1895" i="7"/>
  <c r="AJ1895" i="7" s="1"/>
  <c r="AI1895" i="7"/>
  <c r="AD1895" i="7"/>
  <c r="AC1895" i="7"/>
  <c r="V1895" i="7"/>
  <c r="U1895" i="7"/>
  <c r="S1895" i="7" s="1"/>
  <c r="N1895" i="7"/>
  <c r="M1895" i="7"/>
  <c r="F1895" i="7"/>
  <c r="E1895" i="7"/>
  <c r="D1895" i="7" s="1"/>
  <c r="C1895" i="7"/>
  <c r="B1895" i="7" s="1"/>
  <c r="AT1894" i="7"/>
  <c r="AS1894" i="7"/>
  <c r="AQ1894" i="7" s="1"/>
  <c r="AL1894" i="7"/>
  <c r="AK1894" i="7"/>
  <c r="AI1894" i="7" s="1"/>
  <c r="AJ1894" i="7"/>
  <c r="AD1894" i="7"/>
  <c r="AC1894" i="7"/>
  <c r="V1894" i="7"/>
  <c r="U1894" i="7"/>
  <c r="S1894" i="7" s="1"/>
  <c r="N1894" i="7"/>
  <c r="M1894" i="7"/>
  <c r="F1894" i="7"/>
  <c r="E1894" i="7"/>
  <c r="AT1893" i="7"/>
  <c r="AS1893" i="7"/>
  <c r="AR1893" i="7" s="1"/>
  <c r="AL1893" i="7"/>
  <c r="AK1893" i="7"/>
  <c r="AJ1893" i="7" s="1"/>
  <c r="AD1893" i="7"/>
  <c r="AC1893" i="7"/>
  <c r="V1893" i="7"/>
  <c r="U1893" i="7"/>
  <c r="S1893" i="7" s="1"/>
  <c r="N1893" i="7"/>
  <c r="M1893" i="7"/>
  <c r="K1893" i="7" s="1"/>
  <c r="F1893" i="7"/>
  <c r="E1893" i="7"/>
  <c r="D1893" i="7" s="1"/>
  <c r="AT1892" i="7"/>
  <c r="AS1892" i="7"/>
  <c r="AL1892" i="7"/>
  <c r="AK1892" i="7"/>
  <c r="AI1892" i="7" s="1"/>
  <c r="AD1892" i="7"/>
  <c r="AC1892" i="7"/>
  <c r="V1892" i="7"/>
  <c r="U1892" i="7"/>
  <c r="N1892" i="7"/>
  <c r="M1892" i="7"/>
  <c r="F1892" i="7"/>
  <c r="E1892" i="7"/>
  <c r="D1892" i="7" s="1"/>
  <c r="AT1891" i="7"/>
  <c r="AS1891" i="7"/>
  <c r="AR1891" i="7" s="1"/>
  <c r="AL1891" i="7"/>
  <c r="AK1891" i="7"/>
  <c r="AD1891" i="7"/>
  <c r="AC1891" i="7"/>
  <c r="V1891" i="7"/>
  <c r="U1891" i="7"/>
  <c r="S1891" i="7" s="1"/>
  <c r="N1891" i="7"/>
  <c r="M1891" i="7"/>
  <c r="F1891" i="7"/>
  <c r="E1891" i="7"/>
  <c r="AT1890" i="7"/>
  <c r="AS1890" i="7"/>
  <c r="AL1890" i="7"/>
  <c r="AK1890" i="7"/>
  <c r="AD1890" i="7"/>
  <c r="AC1890" i="7"/>
  <c r="V1890" i="7"/>
  <c r="U1890" i="7"/>
  <c r="S1890" i="7" s="1"/>
  <c r="N1890" i="7"/>
  <c r="M1890" i="7"/>
  <c r="L1890" i="7" s="1"/>
  <c r="F1890" i="7"/>
  <c r="E1890" i="7"/>
  <c r="D1890" i="7" s="1"/>
  <c r="AT1889" i="7"/>
  <c r="AS1889" i="7"/>
  <c r="AL1889" i="7"/>
  <c r="AK1889" i="7"/>
  <c r="AD1889" i="7"/>
  <c r="AC1889" i="7"/>
  <c r="V1889" i="7"/>
  <c r="U1889" i="7"/>
  <c r="S1889" i="7" s="1"/>
  <c r="N1889" i="7"/>
  <c r="M1889" i="7"/>
  <c r="K1889" i="7" s="1"/>
  <c r="F1889" i="7"/>
  <c r="E1889" i="7"/>
  <c r="D1889" i="7" s="1"/>
  <c r="AT1888" i="7"/>
  <c r="AS1888" i="7"/>
  <c r="AL1888" i="7"/>
  <c r="AK1888" i="7"/>
  <c r="AD1888" i="7"/>
  <c r="AC1888" i="7"/>
  <c r="V1888" i="7"/>
  <c r="U1888" i="7"/>
  <c r="S1888" i="7" s="1"/>
  <c r="N1888" i="7"/>
  <c r="M1888" i="7"/>
  <c r="K1888" i="7" s="1"/>
  <c r="L1888" i="7"/>
  <c r="F1888" i="7"/>
  <c r="E1888" i="7"/>
  <c r="AT1887" i="7"/>
  <c r="AS1887" i="7"/>
  <c r="AL1887" i="7"/>
  <c r="AK1887" i="7"/>
  <c r="AI1887" i="7" s="1"/>
  <c r="AD1887" i="7"/>
  <c r="AC1887" i="7"/>
  <c r="V1887" i="7"/>
  <c r="U1887" i="7"/>
  <c r="S1887" i="7" s="1"/>
  <c r="N1887" i="7"/>
  <c r="M1887" i="7"/>
  <c r="L1887" i="7" s="1"/>
  <c r="F1887" i="7"/>
  <c r="E1887" i="7"/>
  <c r="D1887" i="7" s="1"/>
  <c r="AT1886" i="7"/>
  <c r="AS1886" i="7"/>
  <c r="AR1886" i="7" s="1"/>
  <c r="AL1886" i="7"/>
  <c r="AK1886" i="7"/>
  <c r="AD1886" i="7"/>
  <c r="AC1886" i="7"/>
  <c r="V1886" i="7"/>
  <c r="U1886" i="7"/>
  <c r="S1886" i="7" s="1"/>
  <c r="T1886" i="7"/>
  <c r="N1886" i="7"/>
  <c r="M1886" i="7"/>
  <c r="L1886" i="7" s="1"/>
  <c r="F1886" i="7"/>
  <c r="E1886" i="7"/>
  <c r="D1886" i="7" s="1"/>
  <c r="AT1885" i="7"/>
  <c r="AS1885" i="7"/>
  <c r="AL1885" i="7"/>
  <c r="AK1885" i="7"/>
  <c r="AD1885" i="7"/>
  <c r="AC1885" i="7"/>
  <c r="V1885" i="7"/>
  <c r="U1885" i="7"/>
  <c r="S1885" i="7" s="1"/>
  <c r="N1885" i="7"/>
  <c r="M1885" i="7"/>
  <c r="L1885" i="7" s="1"/>
  <c r="F1885" i="7"/>
  <c r="E1885" i="7"/>
  <c r="AT1884" i="7"/>
  <c r="AS1884" i="7"/>
  <c r="AR1884" i="7" s="1"/>
  <c r="AL1884" i="7"/>
  <c r="AK1884" i="7"/>
  <c r="AD1884" i="7"/>
  <c r="AC1884" i="7"/>
  <c r="V1884" i="7"/>
  <c r="U1884" i="7"/>
  <c r="S1884" i="7" s="1"/>
  <c r="N1884" i="7"/>
  <c r="M1884" i="7"/>
  <c r="K1884" i="7" s="1"/>
  <c r="F1884" i="7"/>
  <c r="E1884" i="7"/>
  <c r="D1884" i="7" s="1"/>
  <c r="AT1883" i="7"/>
  <c r="AS1883" i="7"/>
  <c r="AL1883" i="7"/>
  <c r="AK1883" i="7"/>
  <c r="AI1883" i="7" s="1"/>
  <c r="AD1883" i="7"/>
  <c r="AC1883" i="7"/>
  <c r="V1883" i="7"/>
  <c r="U1883" i="7"/>
  <c r="S1883" i="7" s="1"/>
  <c r="N1883" i="7"/>
  <c r="M1883" i="7"/>
  <c r="F1883" i="7"/>
  <c r="E1883" i="7"/>
  <c r="D1883" i="7" s="1"/>
  <c r="AT1882" i="7"/>
  <c r="AS1882" i="7"/>
  <c r="AL1882" i="7"/>
  <c r="AK1882" i="7"/>
  <c r="AD1882" i="7"/>
  <c r="AC1882" i="7"/>
  <c r="V1882" i="7"/>
  <c r="U1882" i="7"/>
  <c r="S1882" i="7" s="1"/>
  <c r="N1882" i="7"/>
  <c r="M1882" i="7"/>
  <c r="F1882" i="7"/>
  <c r="E1882" i="7"/>
  <c r="AT1881" i="7"/>
  <c r="AS1881" i="7"/>
  <c r="AR1881" i="7" s="1"/>
  <c r="AL1881" i="7"/>
  <c r="AK1881" i="7"/>
  <c r="AD1881" i="7"/>
  <c r="AC1881" i="7"/>
  <c r="V1881" i="7"/>
  <c r="U1881" i="7"/>
  <c r="S1881" i="7" s="1"/>
  <c r="N1881" i="7"/>
  <c r="M1881" i="7"/>
  <c r="F1881" i="7"/>
  <c r="E1881" i="7"/>
  <c r="D1881" i="7" s="1"/>
  <c r="AT1880" i="7"/>
  <c r="AS1880" i="7"/>
  <c r="AL1880" i="7"/>
  <c r="AK1880" i="7"/>
  <c r="AD1880" i="7"/>
  <c r="AC1880" i="7"/>
  <c r="V1880" i="7"/>
  <c r="U1880" i="7"/>
  <c r="N1880" i="7"/>
  <c r="M1880" i="7"/>
  <c r="F1880" i="7"/>
  <c r="E1880" i="7"/>
  <c r="D1880" i="7" s="1"/>
  <c r="AT1879" i="7"/>
  <c r="AS1879" i="7"/>
  <c r="AL1879" i="7"/>
  <c r="AK1879" i="7"/>
  <c r="AJ1879" i="7" s="1"/>
  <c r="AD1879" i="7"/>
  <c r="AC1879" i="7"/>
  <c r="V1879" i="7"/>
  <c r="U1879" i="7"/>
  <c r="S1879" i="7" s="1"/>
  <c r="N1879" i="7"/>
  <c r="M1879" i="7"/>
  <c r="K1879" i="7" s="1"/>
  <c r="F1879" i="7"/>
  <c r="E1879" i="7"/>
  <c r="D1879" i="7" s="1"/>
  <c r="AT1878" i="7"/>
  <c r="AS1878" i="7"/>
  <c r="AL1878" i="7"/>
  <c r="AK1878" i="7"/>
  <c r="AD1878" i="7"/>
  <c r="AC1878" i="7"/>
  <c r="V1878" i="7"/>
  <c r="U1878" i="7"/>
  <c r="S1878" i="7" s="1"/>
  <c r="N1878" i="7"/>
  <c r="M1878" i="7"/>
  <c r="F1878" i="7"/>
  <c r="E1878" i="7"/>
  <c r="D1878" i="7" s="1"/>
  <c r="AT1877" i="7"/>
  <c r="AS1877" i="7"/>
  <c r="AL1877" i="7"/>
  <c r="AK1877" i="7"/>
  <c r="AI1877" i="7" s="1"/>
  <c r="AD1877" i="7"/>
  <c r="AC1877" i="7"/>
  <c r="V1877" i="7"/>
  <c r="U1877" i="7"/>
  <c r="N1877" i="7"/>
  <c r="M1877" i="7"/>
  <c r="F1877" i="7"/>
  <c r="E1877" i="7"/>
  <c r="D1877" i="7" s="1"/>
  <c r="AT1876" i="7"/>
  <c r="AS1876" i="7"/>
  <c r="AL1876" i="7"/>
  <c r="AK1876" i="7"/>
  <c r="AD1876" i="7"/>
  <c r="AC1876" i="7"/>
  <c r="V1876" i="7"/>
  <c r="U1876" i="7"/>
  <c r="S1876" i="7" s="1"/>
  <c r="N1876" i="7"/>
  <c r="M1876" i="7"/>
  <c r="L1876" i="7" s="1"/>
  <c r="F1876" i="7"/>
  <c r="E1876" i="7"/>
  <c r="D1876" i="7" s="1"/>
  <c r="C1876" i="7"/>
  <c r="B1876" i="7" s="1"/>
  <c r="AT1875" i="7"/>
  <c r="AS1875" i="7"/>
  <c r="AR1875" i="7" s="1"/>
  <c r="AL1875" i="7"/>
  <c r="AK1875" i="7"/>
  <c r="AD1875" i="7"/>
  <c r="AC1875" i="7"/>
  <c r="V1875" i="7"/>
  <c r="U1875" i="7"/>
  <c r="S1875" i="7" s="1"/>
  <c r="N1875" i="7"/>
  <c r="M1875" i="7"/>
  <c r="L1875" i="7" s="1"/>
  <c r="F1875" i="7"/>
  <c r="E1875" i="7"/>
  <c r="D1875" i="7" s="1"/>
  <c r="AT1874" i="7"/>
  <c r="AS1874" i="7"/>
  <c r="AL1874" i="7"/>
  <c r="AK1874" i="7"/>
  <c r="AJ1874" i="7" s="1"/>
  <c r="AD1874" i="7"/>
  <c r="AC1874" i="7"/>
  <c r="V1874" i="7"/>
  <c r="U1874" i="7"/>
  <c r="S1874" i="7" s="1"/>
  <c r="N1874" i="7"/>
  <c r="M1874" i="7"/>
  <c r="L1874" i="7" s="1"/>
  <c r="F1874" i="7"/>
  <c r="E1874" i="7"/>
  <c r="D1874" i="7" s="1"/>
  <c r="AT1873" i="7"/>
  <c r="AS1873" i="7"/>
  <c r="AQ1873" i="7" s="1"/>
  <c r="AR1873" i="7"/>
  <c r="AL1873" i="7"/>
  <c r="AK1873" i="7"/>
  <c r="AD1873" i="7"/>
  <c r="AC1873" i="7"/>
  <c r="V1873" i="7"/>
  <c r="U1873" i="7"/>
  <c r="S1873" i="7" s="1"/>
  <c r="N1873" i="7"/>
  <c r="M1873" i="7"/>
  <c r="K1873" i="7" s="1"/>
  <c r="F1873" i="7"/>
  <c r="E1873" i="7"/>
  <c r="D1873" i="7" s="1"/>
  <c r="AT1872" i="7"/>
  <c r="AS1872" i="7"/>
  <c r="AL1872" i="7"/>
  <c r="AK1872" i="7"/>
  <c r="AD1872" i="7"/>
  <c r="AC1872" i="7"/>
  <c r="V1872" i="7"/>
  <c r="U1872" i="7"/>
  <c r="S1872" i="7" s="1"/>
  <c r="N1872" i="7"/>
  <c r="M1872" i="7"/>
  <c r="L1872" i="7" s="1"/>
  <c r="F1872" i="7"/>
  <c r="E1872" i="7"/>
  <c r="D1872" i="7" s="1"/>
  <c r="AT1871" i="7"/>
  <c r="AS1871" i="7"/>
  <c r="AL1871" i="7"/>
  <c r="AK1871" i="7"/>
  <c r="AD1871" i="7"/>
  <c r="AC1871" i="7"/>
  <c r="V1871" i="7"/>
  <c r="U1871" i="7"/>
  <c r="N1871" i="7"/>
  <c r="M1871" i="7"/>
  <c r="L1871" i="7" s="1"/>
  <c r="F1871" i="7"/>
  <c r="E1871" i="7"/>
  <c r="D1871" i="7" s="1"/>
  <c r="AT1870" i="7"/>
  <c r="AS1870" i="7"/>
  <c r="AL1870" i="7"/>
  <c r="AK1870" i="7"/>
  <c r="AD1870" i="7"/>
  <c r="AC1870" i="7"/>
  <c r="V1870" i="7"/>
  <c r="U1870" i="7"/>
  <c r="S1870" i="7" s="1"/>
  <c r="N1870" i="7"/>
  <c r="M1870" i="7"/>
  <c r="K1870" i="7" s="1"/>
  <c r="F1870" i="7"/>
  <c r="E1870" i="7"/>
  <c r="AT1869" i="7"/>
  <c r="AS1869" i="7"/>
  <c r="AR1869" i="7" s="1"/>
  <c r="AL1869" i="7"/>
  <c r="AK1869" i="7"/>
  <c r="AD1869" i="7"/>
  <c r="AC1869" i="7"/>
  <c r="V1869" i="7"/>
  <c r="U1869" i="7"/>
  <c r="S1869" i="7" s="1"/>
  <c r="N1869" i="7"/>
  <c r="M1869" i="7"/>
  <c r="L1869" i="7" s="1"/>
  <c r="F1869" i="7"/>
  <c r="E1869" i="7"/>
  <c r="D1869" i="7" s="1"/>
  <c r="AT1868" i="7"/>
  <c r="AS1868" i="7"/>
  <c r="AL1868" i="7"/>
  <c r="AK1868" i="7"/>
  <c r="AI1868" i="7" s="1"/>
  <c r="AD1868" i="7"/>
  <c r="AC1868" i="7"/>
  <c r="V1868" i="7"/>
  <c r="U1868" i="7"/>
  <c r="N1868" i="7"/>
  <c r="M1868" i="7"/>
  <c r="F1868" i="7"/>
  <c r="E1868" i="7"/>
  <c r="D1868" i="7" s="1"/>
  <c r="AT1867" i="7"/>
  <c r="AS1867" i="7"/>
  <c r="AL1867" i="7"/>
  <c r="AK1867" i="7"/>
  <c r="AD1867" i="7"/>
  <c r="AC1867" i="7"/>
  <c r="V1867" i="7"/>
  <c r="U1867" i="7"/>
  <c r="S1867" i="7" s="1"/>
  <c r="N1867" i="7"/>
  <c r="M1867" i="7"/>
  <c r="F1867" i="7"/>
  <c r="E1867" i="7"/>
  <c r="D1867" i="7" s="1"/>
  <c r="AT1866" i="7"/>
  <c r="AS1866" i="7"/>
  <c r="AL1866" i="7"/>
  <c r="AK1866" i="7"/>
  <c r="AD1866" i="7"/>
  <c r="AC1866" i="7"/>
  <c r="V1866" i="7"/>
  <c r="U1866" i="7"/>
  <c r="S1866" i="7" s="1"/>
  <c r="N1866" i="7"/>
  <c r="M1866" i="7"/>
  <c r="L1866" i="7" s="1"/>
  <c r="F1866" i="7"/>
  <c r="E1866" i="7"/>
  <c r="D1866" i="7" s="1"/>
  <c r="AT1865" i="7"/>
  <c r="AS1865" i="7"/>
  <c r="AL1865" i="7"/>
  <c r="AK1865" i="7"/>
  <c r="AD1865" i="7"/>
  <c r="AC1865" i="7"/>
  <c r="V1865" i="7"/>
  <c r="U1865" i="7"/>
  <c r="N1865" i="7"/>
  <c r="M1865" i="7"/>
  <c r="K1865" i="7" s="1"/>
  <c r="F1865" i="7"/>
  <c r="E1865" i="7"/>
  <c r="D1865" i="7" s="1"/>
  <c r="AT1864" i="7"/>
  <c r="AS1864" i="7"/>
  <c r="AQ1864" i="7" s="1"/>
  <c r="AL1864" i="7"/>
  <c r="AK1864" i="7"/>
  <c r="AJ1864" i="7" s="1"/>
  <c r="AI1864" i="7"/>
  <c r="AD1864" i="7"/>
  <c r="AC1864" i="7"/>
  <c r="V1864" i="7"/>
  <c r="U1864" i="7"/>
  <c r="S1864" i="7" s="1"/>
  <c r="N1864" i="7"/>
  <c r="M1864" i="7"/>
  <c r="L1864" i="7" s="1"/>
  <c r="F1864" i="7"/>
  <c r="E1864" i="7"/>
  <c r="D1864" i="7" s="1"/>
  <c r="AT1863" i="7"/>
  <c r="AS1863" i="7"/>
  <c r="AR1863" i="7" s="1"/>
  <c r="AL1863" i="7"/>
  <c r="AK1863" i="7"/>
  <c r="AJ1863" i="7" s="1"/>
  <c r="AD1863" i="7"/>
  <c r="AC1863" i="7"/>
  <c r="V1863" i="7"/>
  <c r="U1863" i="7"/>
  <c r="S1863" i="7" s="1"/>
  <c r="N1863" i="7"/>
  <c r="M1863" i="7"/>
  <c r="F1863" i="7"/>
  <c r="E1863" i="7"/>
  <c r="D1863" i="7" s="1"/>
  <c r="AT1862" i="7"/>
  <c r="AS1862" i="7"/>
  <c r="AR1862" i="7" s="1"/>
  <c r="AL1862" i="7"/>
  <c r="AK1862" i="7"/>
  <c r="AJ1862" i="7" s="1"/>
  <c r="AD1862" i="7"/>
  <c r="AC1862" i="7"/>
  <c r="V1862" i="7"/>
  <c r="U1862" i="7"/>
  <c r="S1862" i="7" s="1"/>
  <c r="N1862" i="7"/>
  <c r="M1862" i="7"/>
  <c r="F1862" i="7"/>
  <c r="E1862" i="7"/>
  <c r="D1862" i="7" s="1"/>
  <c r="AT1861" i="7"/>
  <c r="AS1861" i="7"/>
  <c r="AL1861" i="7"/>
  <c r="AK1861" i="7"/>
  <c r="AI1861" i="7" s="1"/>
  <c r="AD1861" i="7"/>
  <c r="AC1861" i="7"/>
  <c r="V1861" i="7"/>
  <c r="U1861" i="7"/>
  <c r="S1861" i="7" s="1"/>
  <c r="N1861" i="7"/>
  <c r="M1861" i="7"/>
  <c r="L1861" i="7" s="1"/>
  <c r="F1861" i="7"/>
  <c r="E1861" i="7"/>
  <c r="AT1860" i="7"/>
  <c r="AS1860" i="7"/>
  <c r="AQ1860" i="7" s="1"/>
  <c r="AL1860" i="7"/>
  <c r="AK1860" i="7"/>
  <c r="AD1860" i="7"/>
  <c r="AC1860" i="7"/>
  <c r="V1860" i="7"/>
  <c r="U1860" i="7"/>
  <c r="S1860" i="7" s="1"/>
  <c r="N1860" i="7"/>
  <c r="M1860" i="7"/>
  <c r="L1860" i="7" s="1"/>
  <c r="F1860" i="7"/>
  <c r="E1860" i="7"/>
  <c r="D1860" i="7" s="1"/>
  <c r="AT1859" i="7"/>
  <c r="AS1859" i="7"/>
  <c r="AR1859" i="7" s="1"/>
  <c r="AL1859" i="7"/>
  <c r="AK1859" i="7"/>
  <c r="AJ1859" i="7" s="1"/>
  <c r="AD1859" i="7"/>
  <c r="AC1859" i="7"/>
  <c r="V1859" i="7"/>
  <c r="U1859" i="7"/>
  <c r="S1859" i="7" s="1"/>
  <c r="N1859" i="7"/>
  <c r="M1859" i="7"/>
  <c r="F1859" i="7"/>
  <c r="E1859" i="7"/>
  <c r="D1859" i="7" s="1"/>
  <c r="AT1858" i="7"/>
  <c r="AS1858" i="7"/>
  <c r="AL1858" i="7"/>
  <c r="AK1858" i="7"/>
  <c r="AJ1858" i="7" s="1"/>
  <c r="AD1858" i="7"/>
  <c r="AC1858" i="7"/>
  <c r="V1858" i="7"/>
  <c r="U1858" i="7"/>
  <c r="S1858" i="7" s="1"/>
  <c r="N1858" i="7"/>
  <c r="M1858" i="7"/>
  <c r="F1858" i="7"/>
  <c r="E1858" i="7"/>
  <c r="D1858" i="7" s="1"/>
  <c r="AT1857" i="7"/>
  <c r="AS1857" i="7"/>
  <c r="AL1857" i="7"/>
  <c r="AK1857" i="7"/>
  <c r="AJ1857" i="7" s="1"/>
  <c r="AD1857" i="7"/>
  <c r="AC1857" i="7"/>
  <c r="V1857" i="7"/>
  <c r="U1857" i="7"/>
  <c r="S1857" i="7" s="1"/>
  <c r="N1857" i="7"/>
  <c r="M1857" i="7"/>
  <c r="F1857" i="7"/>
  <c r="E1857" i="7"/>
  <c r="D1857" i="7" s="1"/>
  <c r="AT1856" i="7"/>
  <c r="AS1856" i="7"/>
  <c r="AL1856" i="7"/>
  <c r="AK1856" i="7"/>
  <c r="AD1856" i="7"/>
  <c r="AC1856" i="7"/>
  <c r="V1856" i="7"/>
  <c r="U1856" i="7"/>
  <c r="N1856" i="7"/>
  <c r="M1856" i="7"/>
  <c r="F1856" i="7"/>
  <c r="E1856" i="7"/>
  <c r="D1856" i="7" s="1"/>
  <c r="AT1855" i="7"/>
  <c r="AS1855" i="7"/>
  <c r="AQ1855" i="7" s="1"/>
  <c r="AR1855" i="7"/>
  <c r="AL1855" i="7"/>
  <c r="AK1855" i="7"/>
  <c r="AD1855" i="7"/>
  <c r="AC1855" i="7"/>
  <c r="V1855" i="7"/>
  <c r="U1855" i="7"/>
  <c r="S1855" i="7" s="1"/>
  <c r="N1855" i="7"/>
  <c r="M1855" i="7"/>
  <c r="L1855" i="7" s="1"/>
  <c r="F1855" i="7"/>
  <c r="E1855" i="7"/>
  <c r="D1855" i="7" s="1"/>
  <c r="AT1854" i="7"/>
  <c r="AS1854" i="7"/>
  <c r="AL1854" i="7"/>
  <c r="AK1854" i="7"/>
  <c r="AJ1854" i="7" s="1"/>
  <c r="AD1854" i="7"/>
  <c r="AC1854" i="7"/>
  <c r="V1854" i="7"/>
  <c r="U1854" i="7"/>
  <c r="S1854" i="7" s="1"/>
  <c r="N1854" i="7"/>
  <c r="M1854" i="7"/>
  <c r="L1854" i="7" s="1"/>
  <c r="K1854" i="7"/>
  <c r="F1854" i="7"/>
  <c r="E1854" i="7"/>
  <c r="AT1853" i="7"/>
  <c r="AS1853" i="7"/>
  <c r="AQ1853" i="7" s="1"/>
  <c r="AL1853" i="7"/>
  <c r="AK1853" i="7"/>
  <c r="AD1853" i="7"/>
  <c r="AC1853" i="7"/>
  <c r="V1853" i="7"/>
  <c r="U1853" i="7"/>
  <c r="N1853" i="7"/>
  <c r="M1853" i="7"/>
  <c r="K1853" i="7" s="1"/>
  <c r="F1853" i="7"/>
  <c r="E1853" i="7"/>
  <c r="D1853" i="7" s="1"/>
  <c r="AT1852" i="7"/>
  <c r="AS1852" i="7"/>
  <c r="AQ1852" i="7" s="1"/>
  <c r="AL1852" i="7"/>
  <c r="AK1852" i="7"/>
  <c r="AI1852" i="7" s="1"/>
  <c r="AJ1852" i="7"/>
  <c r="AD1852" i="7"/>
  <c r="AC1852" i="7"/>
  <c r="V1852" i="7"/>
  <c r="U1852" i="7"/>
  <c r="S1852" i="7" s="1"/>
  <c r="N1852" i="7"/>
  <c r="M1852" i="7"/>
  <c r="L1852" i="7" s="1"/>
  <c r="F1852" i="7"/>
  <c r="E1852" i="7"/>
  <c r="D1852" i="7" s="1"/>
  <c r="AT1851" i="7"/>
  <c r="AS1851" i="7"/>
  <c r="AR1851" i="7" s="1"/>
  <c r="AL1851" i="7"/>
  <c r="AK1851" i="7"/>
  <c r="AI1851" i="7" s="1"/>
  <c r="AD1851" i="7"/>
  <c r="AC1851" i="7"/>
  <c r="V1851" i="7"/>
  <c r="U1851" i="7"/>
  <c r="S1851" i="7" s="1"/>
  <c r="N1851" i="7"/>
  <c r="M1851" i="7"/>
  <c r="L1851" i="7" s="1"/>
  <c r="F1851" i="7"/>
  <c r="E1851" i="7"/>
  <c r="AT1850" i="7"/>
  <c r="AS1850" i="7"/>
  <c r="AL1850" i="7"/>
  <c r="AK1850" i="7"/>
  <c r="AD1850" i="7"/>
  <c r="AC1850" i="7"/>
  <c r="V1850" i="7"/>
  <c r="U1850" i="7"/>
  <c r="N1850" i="7"/>
  <c r="M1850" i="7"/>
  <c r="K1850" i="7" s="1"/>
  <c r="F1850" i="7"/>
  <c r="E1850" i="7"/>
  <c r="D1850" i="7" s="1"/>
  <c r="AT1849" i="7"/>
  <c r="AS1849" i="7"/>
  <c r="AQ1849" i="7" s="1"/>
  <c r="AL1849" i="7"/>
  <c r="AK1849" i="7"/>
  <c r="AD1849" i="7"/>
  <c r="AC1849" i="7"/>
  <c r="V1849" i="7"/>
  <c r="U1849" i="7"/>
  <c r="S1849" i="7" s="1"/>
  <c r="N1849" i="7"/>
  <c r="M1849" i="7"/>
  <c r="L1849" i="7" s="1"/>
  <c r="F1849" i="7"/>
  <c r="E1849" i="7"/>
  <c r="D1849" i="7" s="1"/>
  <c r="AT1848" i="7"/>
  <c r="AS1848" i="7"/>
  <c r="AL1848" i="7"/>
  <c r="AK1848" i="7"/>
  <c r="AD1848" i="7"/>
  <c r="AC1848" i="7"/>
  <c r="V1848" i="7"/>
  <c r="U1848" i="7"/>
  <c r="S1848" i="7" s="1"/>
  <c r="N1848" i="7"/>
  <c r="M1848" i="7"/>
  <c r="L1848" i="7" s="1"/>
  <c r="F1848" i="7"/>
  <c r="E1848" i="7"/>
  <c r="AT1847" i="7"/>
  <c r="AS1847" i="7"/>
  <c r="AQ1847" i="7" s="1"/>
  <c r="AL1847" i="7"/>
  <c r="AK1847" i="7"/>
  <c r="AD1847" i="7"/>
  <c r="AC1847" i="7"/>
  <c r="V1847" i="7"/>
  <c r="U1847" i="7"/>
  <c r="N1847" i="7"/>
  <c r="M1847" i="7"/>
  <c r="K1847" i="7" s="1"/>
  <c r="F1847" i="7"/>
  <c r="E1847" i="7"/>
  <c r="D1847" i="7" s="1"/>
  <c r="AT1846" i="7"/>
  <c r="AS1846" i="7"/>
  <c r="AL1846" i="7"/>
  <c r="AK1846" i="7"/>
  <c r="AJ1846" i="7" s="1"/>
  <c r="AD1846" i="7"/>
  <c r="AC1846" i="7"/>
  <c r="V1846" i="7"/>
  <c r="U1846" i="7"/>
  <c r="S1846" i="7" s="1"/>
  <c r="N1846" i="7"/>
  <c r="M1846" i="7"/>
  <c r="L1846" i="7" s="1"/>
  <c r="F1846" i="7"/>
  <c r="E1846" i="7"/>
  <c r="AT1845" i="7"/>
  <c r="AS1845" i="7"/>
  <c r="AL1845" i="7"/>
  <c r="AK1845" i="7"/>
  <c r="AD1845" i="7"/>
  <c r="AC1845" i="7"/>
  <c r="V1845" i="7"/>
  <c r="U1845" i="7"/>
  <c r="S1845" i="7" s="1"/>
  <c r="N1845" i="7"/>
  <c r="M1845" i="7"/>
  <c r="L1845" i="7" s="1"/>
  <c r="F1845" i="7"/>
  <c r="E1845" i="7"/>
  <c r="AT1844" i="7"/>
  <c r="AS1844" i="7"/>
  <c r="AR1844" i="7" s="1"/>
  <c r="AL1844" i="7"/>
  <c r="AK1844" i="7"/>
  <c r="AI1844" i="7" s="1"/>
  <c r="AD1844" i="7"/>
  <c r="AC1844" i="7"/>
  <c r="V1844" i="7"/>
  <c r="U1844" i="7"/>
  <c r="S1844" i="7" s="1"/>
  <c r="N1844" i="7"/>
  <c r="M1844" i="7"/>
  <c r="F1844" i="7"/>
  <c r="E1844" i="7"/>
  <c r="D1844" i="7" s="1"/>
  <c r="AT1843" i="7"/>
  <c r="AS1843" i="7"/>
  <c r="AL1843" i="7"/>
  <c r="AK1843" i="7"/>
  <c r="AI1843" i="7" s="1"/>
  <c r="AD1843" i="7"/>
  <c r="AC1843" i="7"/>
  <c r="V1843" i="7"/>
  <c r="U1843" i="7"/>
  <c r="S1843" i="7" s="1"/>
  <c r="N1843" i="7"/>
  <c r="M1843" i="7"/>
  <c r="L1843" i="7" s="1"/>
  <c r="F1843" i="7"/>
  <c r="E1843" i="7"/>
  <c r="AT1842" i="7"/>
  <c r="AS1842" i="7"/>
  <c r="AR1842" i="7" s="1"/>
  <c r="AL1842" i="7"/>
  <c r="AK1842" i="7"/>
  <c r="AD1842" i="7"/>
  <c r="AC1842" i="7"/>
  <c r="AB1842" i="7" s="1"/>
  <c r="V1842" i="7"/>
  <c r="U1842" i="7"/>
  <c r="N1842" i="7"/>
  <c r="M1842" i="7"/>
  <c r="L1842" i="7" s="1"/>
  <c r="F1842" i="7"/>
  <c r="E1842" i="7"/>
  <c r="D1842" i="7" s="1"/>
  <c r="AT1841" i="7"/>
  <c r="AS1841" i="7"/>
  <c r="AR1841" i="7" s="1"/>
  <c r="AL1841" i="7"/>
  <c r="AK1841" i="7"/>
  <c r="AD1841" i="7"/>
  <c r="AC1841" i="7"/>
  <c r="AB1841" i="7" s="1"/>
  <c r="V1841" i="7"/>
  <c r="U1841" i="7"/>
  <c r="N1841" i="7"/>
  <c r="M1841" i="7"/>
  <c r="L1841" i="7" s="1"/>
  <c r="F1841" i="7"/>
  <c r="E1841" i="7"/>
  <c r="D1841" i="7" s="1"/>
  <c r="AT1840" i="7"/>
  <c r="AS1840" i="7"/>
  <c r="AR1840" i="7" s="1"/>
  <c r="AL1840" i="7"/>
  <c r="AK1840" i="7"/>
  <c r="AI1840" i="7" s="1"/>
  <c r="AD1840" i="7"/>
  <c r="AC1840" i="7"/>
  <c r="AB1840" i="7" s="1"/>
  <c r="V1840" i="7"/>
  <c r="U1840" i="7"/>
  <c r="N1840" i="7"/>
  <c r="M1840" i="7"/>
  <c r="L1840" i="7" s="1"/>
  <c r="F1840" i="7"/>
  <c r="E1840" i="7"/>
  <c r="D1840" i="7" s="1"/>
  <c r="AT1839" i="7"/>
  <c r="AS1839" i="7"/>
  <c r="AR1839" i="7" s="1"/>
  <c r="AL1839" i="7"/>
  <c r="AK1839" i="7"/>
  <c r="AD1839" i="7"/>
  <c r="AC1839" i="7"/>
  <c r="AB1839" i="7" s="1"/>
  <c r="V1839" i="7"/>
  <c r="U1839" i="7"/>
  <c r="N1839" i="7"/>
  <c r="M1839" i="7"/>
  <c r="L1839" i="7" s="1"/>
  <c r="F1839" i="7"/>
  <c r="E1839" i="7"/>
  <c r="D1839" i="7" s="1"/>
  <c r="AT1838" i="7"/>
  <c r="AS1838" i="7"/>
  <c r="AR1838" i="7" s="1"/>
  <c r="AL1838" i="7"/>
  <c r="AK1838" i="7"/>
  <c r="AJ1838" i="7" s="1"/>
  <c r="AD1838" i="7"/>
  <c r="AC1838" i="7"/>
  <c r="AB1838" i="7" s="1"/>
  <c r="V1838" i="7"/>
  <c r="U1838" i="7"/>
  <c r="N1838" i="7"/>
  <c r="M1838" i="7"/>
  <c r="L1838" i="7" s="1"/>
  <c r="F1838" i="7"/>
  <c r="E1838" i="7"/>
  <c r="D1838" i="7" s="1"/>
  <c r="AT1837" i="7"/>
  <c r="AS1837" i="7"/>
  <c r="AR1837" i="7" s="1"/>
  <c r="AL1837" i="7"/>
  <c r="AK1837" i="7"/>
  <c r="AD1837" i="7"/>
  <c r="AC1837" i="7"/>
  <c r="AB1837" i="7" s="1"/>
  <c r="V1837" i="7"/>
  <c r="U1837" i="7"/>
  <c r="S1837" i="7" s="1"/>
  <c r="N1837" i="7"/>
  <c r="M1837" i="7"/>
  <c r="L1837" i="7" s="1"/>
  <c r="F1837" i="7"/>
  <c r="E1837" i="7"/>
  <c r="D1837" i="7" s="1"/>
  <c r="AT1836" i="7"/>
  <c r="AS1836" i="7"/>
  <c r="AR1836" i="7" s="1"/>
  <c r="AL1836" i="7"/>
  <c r="AK1836" i="7"/>
  <c r="AD1836" i="7"/>
  <c r="AC1836" i="7"/>
  <c r="AB1836" i="7" s="1"/>
  <c r="V1836" i="7"/>
  <c r="U1836" i="7"/>
  <c r="N1836" i="7"/>
  <c r="M1836" i="7"/>
  <c r="L1836" i="7" s="1"/>
  <c r="F1836" i="7"/>
  <c r="E1836" i="7"/>
  <c r="D1836" i="7" s="1"/>
  <c r="AT1835" i="7"/>
  <c r="AS1835" i="7"/>
  <c r="AR1835" i="7" s="1"/>
  <c r="AL1835" i="7"/>
  <c r="AK1835" i="7"/>
  <c r="AJ1835" i="7" s="1"/>
  <c r="AD1835" i="7"/>
  <c r="AC1835" i="7"/>
  <c r="AB1835" i="7" s="1"/>
  <c r="V1835" i="7"/>
  <c r="U1835" i="7"/>
  <c r="N1835" i="7"/>
  <c r="M1835" i="7"/>
  <c r="L1835" i="7" s="1"/>
  <c r="F1835" i="7"/>
  <c r="E1835" i="7"/>
  <c r="D1835" i="7" s="1"/>
  <c r="AT1834" i="7"/>
  <c r="AS1834" i="7"/>
  <c r="AR1834" i="7" s="1"/>
  <c r="AL1834" i="7"/>
  <c r="AK1834" i="7"/>
  <c r="AI1834" i="7" s="1"/>
  <c r="AD1834" i="7"/>
  <c r="AC1834" i="7"/>
  <c r="AB1834" i="7" s="1"/>
  <c r="V1834" i="7"/>
  <c r="U1834" i="7"/>
  <c r="N1834" i="7"/>
  <c r="M1834" i="7"/>
  <c r="L1834" i="7" s="1"/>
  <c r="F1834" i="7"/>
  <c r="E1834" i="7"/>
  <c r="D1834" i="7" s="1"/>
  <c r="AT1833" i="7"/>
  <c r="AS1833" i="7"/>
  <c r="AR1833" i="7" s="1"/>
  <c r="AL1833" i="7"/>
  <c r="AK1833" i="7"/>
  <c r="AD1833" i="7"/>
  <c r="AC1833" i="7"/>
  <c r="V1833" i="7"/>
  <c r="U1833" i="7"/>
  <c r="T1833" i="7" s="1"/>
  <c r="N1833" i="7"/>
  <c r="M1833" i="7"/>
  <c r="K1833" i="7" s="1"/>
  <c r="F1833" i="7"/>
  <c r="E1833" i="7"/>
  <c r="AT1832" i="7"/>
  <c r="AS1832" i="7"/>
  <c r="AR1832" i="7" s="1"/>
  <c r="AL1832" i="7"/>
  <c r="AK1832" i="7"/>
  <c r="AI1832" i="7" s="1"/>
  <c r="AD1832" i="7"/>
  <c r="AC1832" i="7"/>
  <c r="V1832" i="7"/>
  <c r="U1832" i="7"/>
  <c r="T1832" i="7" s="1"/>
  <c r="N1832" i="7"/>
  <c r="M1832" i="7"/>
  <c r="K1832" i="7" s="1"/>
  <c r="F1832" i="7"/>
  <c r="E1832" i="7"/>
  <c r="D1832" i="7" s="1"/>
  <c r="AT1831" i="7"/>
  <c r="AS1831" i="7"/>
  <c r="AR1831" i="7" s="1"/>
  <c r="AL1831" i="7"/>
  <c r="AK1831" i="7"/>
  <c r="AD1831" i="7"/>
  <c r="AC1831" i="7"/>
  <c r="V1831" i="7"/>
  <c r="U1831" i="7"/>
  <c r="T1831" i="7" s="1"/>
  <c r="N1831" i="7"/>
  <c r="M1831" i="7"/>
  <c r="F1831" i="7"/>
  <c r="E1831" i="7"/>
  <c r="AT1830" i="7"/>
  <c r="AS1830" i="7"/>
  <c r="AR1830" i="7" s="1"/>
  <c r="AL1830" i="7"/>
  <c r="AK1830" i="7"/>
  <c r="AI1830" i="7" s="1"/>
  <c r="AD1830" i="7"/>
  <c r="AC1830" i="7"/>
  <c r="V1830" i="7"/>
  <c r="U1830" i="7"/>
  <c r="T1830" i="7" s="1"/>
  <c r="N1830" i="7"/>
  <c r="M1830" i="7"/>
  <c r="K1830" i="7" s="1"/>
  <c r="F1830" i="7"/>
  <c r="E1830" i="7"/>
  <c r="AT1829" i="7"/>
  <c r="AS1829" i="7"/>
  <c r="AR1829" i="7" s="1"/>
  <c r="AL1829" i="7"/>
  <c r="AK1829" i="7"/>
  <c r="AD1829" i="7"/>
  <c r="AC1829" i="7"/>
  <c r="AB1829" i="7" s="1"/>
  <c r="V1829" i="7"/>
  <c r="U1829" i="7"/>
  <c r="T1829" i="7" s="1"/>
  <c r="N1829" i="7"/>
  <c r="M1829" i="7"/>
  <c r="L1829" i="7" s="1"/>
  <c r="F1829" i="7"/>
  <c r="E1829" i="7"/>
  <c r="D1829" i="7" s="1"/>
  <c r="AT1828" i="7"/>
  <c r="AS1828" i="7"/>
  <c r="AR1828" i="7" s="1"/>
  <c r="AL1828" i="7"/>
  <c r="AK1828" i="7"/>
  <c r="AD1828" i="7"/>
  <c r="AC1828" i="7"/>
  <c r="V1828" i="7"/>
  <c r="U1828" i="7"/>
  <c r="T1828" i="7" s="1"/>
  <c r="N1828" i="7"/>
  <c r="M1828" i="7"/>
  <c r="K1828" i="7" s="1"/>
  <c r="F1828" i="7"/>
  <c r="E1828" i="7"/>
  <c r="D1828" i="7" s="1"/>
  <c r="AT1827" i="7"/>
  <c r="AS1827" i="7"/>
  <c r="AR1827" i="7" s="1"/>
  <c r="AL1827" i="7"/>
  <c r="AK1827" i="7"/>
  <c r="AD1827" i="7"/>
  <c r="AC1827" i="7"/>
  <c r="AB1827" i="7" s="1"/>
  <c r="V1827" i="7"/>
  <c r="U1827" i="7"/>
  <c r="T1827" i="7" s="1"/>
  <c r="N1827" i="7"/>
  <c r="M1827" i="7"/>
  <c r="K1827" i="7" s="1"/>
  <c r="F1827" i="7"/>
  <c r="E1827" i="7"/>
  <c r="AT1826" i="7"/>
  <c r="AS1826" i="7"/>
  <c r="AR1826" i="7" s="1"/>
  <c r="AL1826" i="7"/>
  <c r="AK1826" i="7"/>
  <c r="AI1826" i="7" s="1"/>
  <c r="AD1826" i="7"/>
  <c r="AC1826" i="7"/>
  <c r="AB1826" i="7" s="1"/>
  <c r="V1826" i="7"/>
  <c r="U1826" i="7"/>
  <c r="T1826" i="7" s="1"/>
  <c r="N1826" i="7"/>
  <c r="M1826" i="7"/>
  <c r="F1826" i="7"/>
  <c r="E1826" i="7"/>
  <c r="AT1825" i="7"/>
  <c r="AS1825" i="7"/>
  <c r="AR1825" i="7" s="1"/>
  <c r="AL1825" i="7"/>
  <c r="AK1825" i="7"/>
  <c r="AD1825" i="7"/>
  <c r="AC1825" i="7"/>
  <c r="AB1825" i="7" s="1"/>
  <c r="V1825" i="7"/>
  <c r="U1825" i="7"/>
  <c r="T1825" i="7" s="1"/>
  <c r="N1825" i="7"/>
  <c r="M1825" i="7"/>
  <c r="F1825" i="7"/>
  <c r="E1825" i="7"/>
  <c r="AT1824" i="7"/>
  <c r="AS1824" i="7"/>
  <c r="AR1824" i="7" s="1"/>
  <c r="AL1824" i="7"/>
  <c r="AK1824" i="7"/>
  <c r="AD1824" i="7"/>
  <c r="AC1824" i="7"/>
  <c r="V1824" i="7"/>
  <c r="U1824" i="7"/>
  <c r="T1824" i="7" s="1"/>
  <c r="N1824" i="7"/>
  <c r="M1824" i="7"/>
  <c r="K1824" i="7" s="1"/>
  <c r="F1824" i="7"/>
  <c r="E1824" i="7"/>
  <c r="D1824" i="7" s="1"/>
  <c r="AT1823" i="7"/>
  <c r="AS1823" i="7"/>
  <c r="AR1823" i="7" s="1"/>
  <c r="AL1823" i="7"/>
  <c r="AK1823" i="7"/>
  <c r="AI1823" i="7" s="1"/>
  <c r="AD1823" i="7"/>
  <c r="AC1823" i="7"/>
  <c r="AB1823" i="7" s="1"/>
  <c r="V1823" i="7"/>
  <c r="U1823" i="7"/>
  <c r="T1823" i="7" s="1"/>
  <c r="N1823" i="7"/>
  <c r="M1823" i="7"/>
  <c r="L1823" i="7" s="1"/>
  <c r="K1823" i="7"/>
  <c r="J1823" i="7" s="1"/>
  <c r="F1823" i="7"/>
  <c r="E1823" i="7"/>
  <c r="D1823" i="7" s="1"/>
  <c r="AT1822" i="7"/>
  <c r="AS1822" i="7"/>
  <c r="AR1822" i="7" s="1"/>
  <c r="AL1822" i="7"/>
  <c r="AK1822" i="7"/>
  <c r="AD1822" i="7"/>
  <c r="AC1822" i="7"/>
  <c r="V1822" i="7"/>
  <c r="U1822" i="7"/>
  <c r="T1822" i="7" s="1"/>
  <c r="N1822" i="7"/>
  <c r="M1822" i="7"/>
  <c r="F1822" i="7"/>
  <c r="E1822" i="7"/>
  <c r="AT1821" i="7"/>
  <c r="AS1821" i="7"/>
  <c r="AR1821" i="7" s="1"/>
  <c r="AL1821" i="7"/>
  <c r="AK1821" i="7"/>
  <c r="AD1821" i="7"/>
  <c r="AC1821" i="7"/>
  <c r="AB1821" i="7" s="1"/>
  <c r="AA1821" i="7"/>
  <c r="V1821" i="7"/>
  <c r="U1821" i="7"/>
  <c r="T1821" i="7" s="1"/>
  <c r="N1821" i="7"/>
  <c r="M1821" i="7"/>
  <c r="F1821" i="7"/>
  <c r="E1821" i="7"/>
  <c r="AT1820" i="7"/>
  <c r="AS1820" i="7"/>
  <c r="AL1820" i="7"/>
  <c r="AK1820" i="7"/>
  <c r="AD1820" i="7"/>
  <c r="AC1820" i="7"/>
  <c r="AB1820" i="7" s="1"/>
  <c r="V1820" i="7"/>
  <c r="U1820" i="7"/>
  <c r="T1820" i="7" s="1"/>
  <c r="N1820" i="7"/>
  <c r="M1820" i="7"/>
  <c r="K1820" i="7" s="1"/>
  <c r="F1820" i="7"/>
  <c r="E1820" i="7"/>
  <c r="AT1819" i="7"/>
  <c r="AS1819" i="7"/>
  <c r="AL1819" i="7"/>
  <c r="AK1819" i="7"/>
  <c r="AD1819" i="7"/>
  <c r="AC1819" i="7"/>
  <c r="AB1819" i="7" s="1"/>
  <c r="V1819" i="7"/>
  <c r="U1819" i="7"/>
  <c r="T1819" i="7" s="1"/>
  <c r="N1819" i="7"/>
  <c r="M1819" i="7"/>
  <c r="F1819" i="7"/>
  <c r="E1819" i="7"/>
  <c r="AT1818" i="7"/>
  <c r="AS1818" i="7"/>
  <c r="AL1818" i="7"/>
  <c r="AK1818" i="7"/>
  <c r="AD1818" i="7"/>
  <c r="AC1818" i="7"/>
  <c r="V1818" i="7"/>
  <c r="U1818" i="7"/>
  <c r="T1818" i="7" s="1"/>
  <c r="N1818" i="7"/>
  <c r="M1818" i="7"/>
  <c r="K1818" i="7" s="1"/>
  <c r="L1818" i="7"/>
  <c r="F1818" i="7"/>
  <c r="E1818" i="7"/>
  <c r="D1818" i="7" s="1"/>
  <c r="C1818" i="7"/>
  <c r="B1818" i="7" s="1"/>
  <c r="AT1817" i="7"/>
  <c r="AS1817" i="7"/>
  <c r="AL1817" i="7"/>
  <c r="AK1817" i="7"/>
  <c r="AI1817" i="7" s="1"/>
  <c r="AD1817" i="7"/>
  <c r="AC1817" i="7"/>
  <c r="V1817" i="7"/>
  <c r="U1817" i="7"/>
  <c r="T1817" i="7" s="1"/>
  <c r="N1817" i="7"/>
  <c r="M1817" i="7"/>
  <c r="L1817" i="7" s="1"/>
  <c r="F1817" i="7"/>
  <c r="E1817" i="7"/>
  <c r="D1817" i="7" s="1"/>
  <c r="AT1816" i="7"/>
  <c r="AS1816" i="7"/>
  <c r="AL1816" i="7"/>
  <c r="AK1816" i="7"/>
  <c r="AD1816" i="7"/>
  <c r="AC1816" i="7"/>
  <c r="V1816" i="7"/>
  <c r="U1816" i="7"/>
  <c r="T1816" i="7" s="1"/>
  <c r="N1816" i="7"/>
  <c r="M1816" i="7"/>
  <c r="K1816" i="7" s="1"/>
  <c r="F1816" i="7"/>
  <c r="E1816" i="7"/>
  <c r="D1816" i="7" s="1"/>
  <c r="AT1815" i="7"/>
  <c r="AS1815" i="7"/>
  <c r="AL1815" i="7"/>
  <c r="AK1815" i="7"/>
  <c r="AD1815" i="7"/>
  <c r="AC1815" i="7"/>
  <c r="V1815" i="7"/>
  <c r="U1815" i="7"/>
  <c r="N1815" i="7"/>
  <c r="M1815" i="7"/>
  <c r="L1815" i="7" s="1"/>
  <c r="F1815" i="7"/>
  <c r="E1815" i="7"/>
  <c r="AT1814" i="7"/>
  <c r="AS1814" i="7"/>
  <c r="AL1814" i="7"/>
  <c r="AK1814" i="7"/>
  <c r="AD1814" i="7"/>
  <c r="AC1814" i="7"/>
  <c r="AB1814" i="7" s="1"/>
  <c r="V1814" i="7"/>
  <c r="U1814" i="7"/>
  <c r="N1814" i="7"/>
  <c r="M1814" i="7"/>
  <c r="K1814" i="7" s="1"/>
  <c r="L1814" i="7"/>
  <c r="F1814" i="7"/>
  <c r="E1814" i="7"/>
  <c r="AT1813" i="7"/>
  <c r="AS1813" i="7"/>
  <c r="AL1813" i="7"/>
  <c r="AK1813" i="7"/>
  <c r="AD1813" i="7"/>
  <c r="AC1813" i="7"/>
  <c r="AB1813" i="7" s="1"/>
  <c r="V1813" i="7"/>
  <c r="U1813" i="7"/>
  <c r="N1813" i="7"/>
  <c r="M1813" i="7"/>
  <c r="F1813" i="7"/>
  <c r="E1813" i="7"/>
  <c r="AT1812" i="7"/>
  <c r="AS1812" i="7"/>
  <c r="AL1812" i="7"/>
  <c r="AK1812" i="7"/>
  <c r="AD1812" i="7"/>
  <c r="AC1812" i="7"/>
  <c r="V1812" i="7"/>
  <c r="U1812" i="7"/>
  <c r="N1812" i="7"/>
  <c r="M1812" i="7"/>
  <c r="F1812" i="7"/>
  <c r="E1812" i="7"/>
  <c r="D1812" i="7" s="1"/>
  <c r="AT1811" i="7"/>
  <c r="AS1811" i="7"/>
  <c r="AL1811" i="7"/>
  <c r="AK1811" i="7"/>
  <c r="AI1811" i="7" s="1"/>
  <c r="AD1811" i="7"/>
  <c r="AC1811" i="7"/>
  <c r="V1811" i="7"/>
  <c r="U1811" i="7"/>
  <c r="N1811" i="7"/>
  <c r="M1811" i="7"/>
  <c r="L1811" i="7" s="1"/>
  <c r="F1811" i="7"/>
  <c r="E1811" i="7"/>
  <c r="D1811" i="7" s="1"/>
  <c r="AT1810" i="7"/>
  <c r="AS1810" i="7"/>
  <c r="AL1810" i="7"/>
  <c r="AK1810" i="7"/>
  <c r="AD1810" i="7"/>
  <c r="AC1810" i="7"/>
  <c r="V1810" i="7"/>
  <c r="U1810" i="7"/>
  <c r="N1810" i="7"/>
  <c r="M1810" i="7"/>
  <c r="K1810" i="7" s="1"/>
  <c r="F1810" i="7"/>
  <c r="E1810" i="7"/>
  <c r="D1810" i="7" s="1"/>
  <c r="AT1809" i="7"/>
  <c r="AS1809" i="7"/>
  <c r="AL1809" i="7"/>
  <c r="AK1809" i="7"/>
  <c r="AD1809" i="7"/>
  <c r="AC1809" i="7"/>
  <c r="AB1809" i="7" s="1"/>
  <c r="V1809" i="7"/>
  <c r="U1809" i="7"/>
  <c r="N1809" i="7"/>
  <c r="M1809" i="7"/>
  <c r="L1809" i="7" s="1"/>
  <c r="F1809" i="7"/>
  <c r="E1809" i="7"/>
  <c r="AT1808" i="7"/>
  <c r="AS1808" i="7"/>
  <c r="AL1808" i="7"/>
  <c r="AK1808" i="7"/>
  <c r="AI1808" i="7" s="1"/>
  <c r="AD1808" i="7"/>
  <c r="AC1808" i="7"/>
  <c r="AB1808" i="7" s="1"/>
  <c r="V1808" i="7"/>
  <c r="U1808" i="7"/>
  <c r="N1808" i="7"/>
  <c r="M1808" i="7"/>
  <c r="F1808" i="7"/>
  <c r="E1808" i="7"/>
  <c r="AT1807" i="7"/>
  <c r="AS1807" i="7"/>
  <c r="AL1807" i="7"/>
  <c r="AK1807" i="7"/>
  <c r="AD1807" i="7"/>
  <c r="AC1807" i="7"/>
  <c r="V1807" i="7"/>
  <c r="U1807" i="7"/>
  <c r="N1807" i="7"/>
  <c r="M1807" i="7"/>
  <c r="F1807" i="7"/>
  <c r="E1807" i="7"/>
  <c r="AT1806" i="7"/>
  <c r="AS1806" i="7"/>
  <c r="AL1806" i="7"/>
  <c r="AK1806" i="7"/>
  <c r="AI1806" i="7" s="1"/>
  <c r="AD1806" i="7"/>
  <c r="AC1806" i="7"/>
  <c r="V1806" i="7"/>
  <c r="U1806" i="7"/>
  <c r="N1806" i="7"/>
  <c r="M1806" i="7"/>
  <c r="F1806" i="7"/>
  <c r="E1806" i="7"/>
  <c r="D1806" i="7" s="1"/>
  <c r="AT1805" i="7"/>
  <c r="AS1805" i="7"/>
  <c r="AL1805" i="7"/>
  <c r="AK1805" i="7"/>
  <c r="AD1805" i="7"/>
  <c r="AC1805" i="7"/>
  <c r="AB1805" i="7" s="1"/>
  <c r="V1805" i="7"/>
  <c r="U1805" i="7"/>
  <c r="N1805" i="7"/>
  <c r="M1805" i="7"/>
  <c r="L1805" i="7" s="1"/>
  <c r="F1805" i="7"/>
  <c r="E1805" i="7"/>
  <c r="AT1804" i="7"/>
  <c r="AS1804" i="7"/>
  <c r="AL1804" i="7"/>
  <c r="AK1804" i="7"/>
  <c r="AD1804" i="7"/>
  <c r="AC1804" i="7"/>
  <c r="V1804" i="7"/>
  <c r="U1804" i="7"/>
  <c r="N1804" i="7"/>
  <c r="M1804" i="7"/>
  <c r="F1804" i="7"/>
  <c r="E1804" i="7"/>
  <c r="D1804" i="7" s="1"/>
  <c r="AT1803" i="7"/>
  <c r="AS1803" i="7"/>
  <c r="AL1803" i="7"/>
  <c r="AK1803" i="7"/>
  <c r="AD1803" i="7"/>
  <c r="AC1803" i="7"/>
  <c r="AB1803" i="7" s="1"/>
  <c r="V1803" i="7"/>
  <c r="U1803" i="7"/>
  <c r="N1803" i="7"/>
  <c r="M1803" i="7"/>
  <c r="F1803" i="7"/>
  <c r="E1803" i="7"/>
  <c r="AT1802" i="7"/>
  <c r="AS1802" i="7"/>
  <c r="AL1802" i="7"/>
  <c r="AK1802" i="7"/>
  <c r="AI1802" i="7" s="1"/>
  <c r="AD1802" i="7"/>
  <c r="AC1802" i="7"/>
  <c r="AB1802" i="7" s="1"/>
  <c r="V1802" i="7"/>
  <c r="U1802" i="7"/>
  <c r="N1802" i="7"/>
  <c r="M1802" i="7"/>
  <c r="F1802" i="7"/>
  <c r="E1802" i="7"/>
  <c r="D1802" i="7" s="1"/>
  <c r="C1802" i="7"/>
  <c r="AT1801" i="7"/>
  <c r="AS1801" i="7"/>
  <c r="AL1801" i="7"/>
  <c r="AK1801" i="7"/>
  <c r="AD1801" i="7"/>
  <c r="AC1801" i="7"/>
  <c r="V1801" i="7"/>
  <c r="U1801" i="7"/>
  <c r="N1801" i="7"/>
  <c r="M1801" i="7"/>
  <c r="F1801" i="7"/>
  <c r="E1801" i="7"/>
  <c r="AT1800" i="7"/>
  <c r="AS1800" i="7"/>
  <c r="AL1800" i="7"/>
  <c r="AK1800" i="7"/>
  <c r="AI1800" i="7" s="1"/>
  <c r="AD1800" i="7"/>
  <c r="AC1800" i="7"/>
  <c r="V1800" i="7"/>
  <c r="U1800" i="7"/>
  <c r="N1800" i="7"/>
  <c r="M1800" i="7"/>
  <c r="F1800" i="7"/>
  <c r="E1800" i="7"/>
  <c r="D1800" i="7" s="1"/>
  <c r="AT1799" i="7"/>
  <c r="AS1799" i="7"/>
  <c r="AL1799" i="7"/>
  <c r="AK1799" i="7"/>
  <c r="AI1799" i="7" s="1"/>
  <c r="AJ1799" i="7"/>
  <c r="AD1799" i="7"/>
  <c r="AC1799" i="7"/>
  <c r="AB1799" i="7" s="1"/>
  <c r="V1799" i="7"/>
  <c r="U1799" i="7"/>
  <c r="S1799" i="7" s="1"/>
  <c r="N1799" i="7"/>
  <c r="M1799" i="7"/>
  <c r="F1799" i="7"/>
  <c r="E1799" i="7"/>
  <c r="AT1798" i="7"/>
  <c r="AS1798" i="7"/>
  <c r="AL1798" i="7"/>
  <c r="AK1798" i="7"/>
  <c r="AD1798" i="7"/>
  <c r="AC1798" i="7"/>
  <c r="AB1798" i="7" s="1"/>
  <c r="V1798" i="7"/>
  <c r="U1798" i="7"/>
  <c r="N1798" i="7"/>
  <c r="M1798" i="7"/>
  <c r="L1798" i="7" s="1"/>
  <c r="F1798" i="7"/>
  <c r="E1798" i="7"/>
  <c r="AT1797" i="7"/>
  <c r="AS1797" i="7"/>
  <c r="AL1797" i="7"/>
  <c r="AK1797" i="7"/>
  <c r="AI1797" i="7" s="1"/>
  <c r="AD1797" i="7"/>
  <c r="AC1797" i="7"/>
  <c r="V1797" i="7"/>
  <c r="U1797" i="7"/>
  <c r="S1797" i="7" s="1"/>
  <c r="N1797" i="7"/>
  <c r="M1797" i="7"/>
  <c r="F1797" i="7"/>
  <c r="E1797" i="7"/>
  <c r="D1797" i="7" s="1"/>
  <c r="AT1796" i="7"/>
  <c r="AS1796" i="7"/>
  <c r="AL1796" i="7"/>
  <c r="AK1796" i="7"/>
  <c r="AI1796" i="7" s="1"/>
  <c r="AD1796" i="7"/>
  <c r="AC1796" i="7"/>
  <c r="AB1796" i="7" s="1"/>
  <c r="V1796" i="7"/>
  <c r="U1796" i="7"/>
  <c r="N1796" i="7"/>
  <c r="M1796" i="7"/>
  <c r="F1796" i="7"/>
  <c r="E1796" i="7"/>
  <c r="D1796" i="7" s="1"/>
  <c r="AT1795" i="7"/>
  <c r="AS1795" i="7"/>
  <c r="AL1795" i="7"/>
  <c r="AK1795" i="7"/>
  <c r="AD1795" i="7"/>
  <c r="AC1795" i="7"/>
  <c r="AB1795" i="7" s="1"/>
  <c r="V1795" i="7"/>
  <c r="U1795" i="7"/>
  <c r="S1795" i="7" s="1"/>
  <c r="N1795" i="7"/>
  <c r="M1795" i="7"/>
  <c r="K1795" i="7" s="1"/>
  <c r="F1795" i="7"/>
  <c r="E1795" i="7"/>
  <c r="AT1794" i="7"/>
  <c r="AS1794" i="7"/>
  <c r="AL1794" i="7"/>
  <c r="AK1794" i="7"/>
  <c r="AD1794" i="7"/>
  <c r="AC1794" i="7"/>
  <c r="AB1794" i="7" s="1"/>
  <c r="V1794" i="7"/>
  <c r="U1794" i="7"/>
  <c r="N1794" i="7"/>
  <c r="M1794" i="7"/>
  <c r="K1794" i="7" s="1"/>
  <c r="F1794" i="7"/>
  <c r="E1794" i="7"/>
  <c r="AT1793" i="7"/>
  <c r="AS1793" i="7"/>
  <c r="AL1793" i="7"/>
  <c r="AK1793" i="7"/>
  <c r="AD1793" i="7"/>
  <c r="AC1793" i="7"/>
  <c r="V1793" i="7"/>
  <c r="U1793" i="7"/>
  <c r="S1793" i="7" s="1"/>
  <c r="N1793" i="7"/>
  <c r="M1793" i="7"/>
  <c r="F1793" i="7"/>
  <c r="E1793" i="7"/>
  <c r="D1793" i="7" s="1"/>
  <c r="AT1792" i="7"/>
  <c r="AS1792" i="7"/>
  <c r="AL1792" i="7"/>
  <c r="AK1792" i="7"/>
  <c r="AD1792" i="7"/>
  <c r="AC1792" i="7"/>
  <c r="AB1792" i="7" s="1"/>
  <c r="V1792" i="7"/>
  <c r="U1792" i="7"/>
  <c r="N1792" i="7"/>
  <c r="M1792" i="7"/>
  <c r="L1792" i="7" s="1"/>
  <c r="K1792" i="7"/>
  <c r="F1792" i="7"/>
  <c r="E1792" i="7"/>
  <c r="AT1791" i="7"/>
  <c r="AS1791" i="7"/>
  <c r="AL1791" i="7"/>
  <c r="AK1791" i="7"/>
  <c r="AD1791" i="7"/>
  <c r="AC1791" i="7"/>
  <c r="V1791" i="7"/>
  <c r="U1791" i="7"/>
  <c r="S1791" i="7" s="1"/>
  <c r="N1791" i="7"/>
  <c r="M1791" i="7"/>
  <c r="F1791" i="7"/>
  <c r="E1791" i="7"/>
  <c r="AT1790" i="7"/>
  <c r="AS1790" i="7"/>
  <c r="AL1790" i="7"/>
  <c r="AK1790" i="7"/>
  <c r="AD1790" i="7"/>
  <c r="AC1790" i="7"/>
  <c r="AB1790" i="7" s="1"/>
  <c r="V1790" i="7"/>
  <c r="U1790" i="7"/>
  <c r="S1790" i="7" s="1"/>
  <c r="N1790" i="7"/>
  <c r="M1790" i="7"/>
  <c r="F1790" i="7"/>
  <c r="E1790" i="7"/>
  <c r="AT1789" i="7"/>
  <c r="AS1789" i="7"/>
  <c r="AL1789" i="7"/>
  <c r="AK1789" i="7"/>
  <c r="AD1789" i="7"/>
  <c r="AC1789" i="7"/>
  <c r="V1789" i="7"/>
  <c r="U1789" i="7"/>
  <c r="S1789" i="7" s="1"/>
  <c r="N1789" i="7"/>
  <c r="M1789" i="7"/>
  <c r="K1789" i="7" s="1"/>
  <c r="F1789" i="7"/>
  <c r="E1789" i="7"/>
  <c r="AT1788" i="7"/>
  <c r="AS1788" i="7"/>
  <c r="AL1788" i="7"/>
  <c r="AK1788" i="7"/>
  <c r="AI1788" i="7" s="1"/>
  <c r="AD1788" i="7"/>
  <c r="AC1788" i="7"/>
  <c r="AB1788" i="7" s="1"/>
  <c r="V1788" i="7"/>
  <c r="U1788" i="7"/>
  <c r="S1788" i="7" s="1"/>
  <c r="N1788" i="7"/>
  <c r="M1788" i="7"/>
  <c r="K1788" i="7" s="1"/>
  <c r="F1788" i="7"/>
  <c r="E1788" i="7"/>
  <c r="D1788" i="7" s="1"/>
  <c r="AT1787" i="7"/>
  <c r="AS1787" i="7"/>
  <c r="AL1787" i="7"/>
  <c r="AK1787" i="7"/>
  <c r="AI1787" i="7" s="1"/>
  <c r="AD1787" i="7"/>
  <c r="AC1787" i="7"/>
  <c r="AB1787" i="7" s="1"/>
  <c r="V1787" i="7"/>
  <c r="U1787" i="7"/>
  <c r="S1787" i="7" s="1"/>
  <c r="N1787" i="7"/>
  <c r="M1787" i="7"/>
  <c r="L1787" i="7" s="1"/>
  <c r="F1787" i="7"/>
  <c r="E1787" i="7"/>
  <c r="AT1786" i="7"/>
  <c r="AS1786" i="7"/>
  <c r="AL1786" i="7"/>
  <c r="AK1786" i="7"/>
  <c r="AD1786" i="7"/>
  <c r="AC1786" i="7"/>
  <c r="AB1786" i="7" s="1"/>
  <c r="V1786" i="7"/>
  <c r="U1786" i="7"/>
  <c r="S1786" i="7" s="1"/>
  <c r="N1786" i="7"/>
  <c r="M1786" i="7"/>
  <c r="L1786" i="7" s="1"/>
  <c r="F1786" i="7"/>
  <c r="E1786" i="7"/>
  <c r="D1786" i="7" s="1"/>
  <c r="AT1785" i="7"/>
  <c r="AS1785" i="7"/>
  <c r="AL1785" i="7"/>
  <c r="AK1785" i="7"/>
  <c r="AI1785" i="7" s="1"/>
  <c r="AD1785" i="7"/>
  <c r="AC1785" i="7"/>
  <c r="V1785" i="7"/>
  <c r="U1785" i="7"/>
  <c r="S1785" i="7" s="1"/>
  <c r="N1785" i="7"/>
  <c r="M1785" i="7"/>
  <c r="K1785" i="7" s="1"/>
  <c r="F1785" i="7"/>
  <c r="E1785" i="7"/>
  <c r="D1785" i="7" s="1"/>
  <c r="AT1784" i="7"/>
  <c r="AS1784" i="7"/>
  <c r="AL1784" i="7"/>
  <c r="AK1784" i="7"/>
  <c r="AI1784" i="7" s="1"/>
  <c r="AD1784" i="7"/>
  <c r="AC1784" i="7"/>
  <c r="AB1784" i="7" s="1"/>
  <c r="V1784" i="7"/>
  <c r="U1784" i="7"/>
  <c r="N1784" i="7"/>
  <c r="M1784" i="7"/>
  <c r="F1784" i="7"/>
  <c r="E1784" i="7"/>
  <c r="D1784" i="7" s="1"/>
  <c r="AT1783" i="7"/>
  <c r="AS1783" i="7"/>
  <c r="AL1783" i="7"/>
  <c r="AK1783" i="7"/>
  <c r="AD1783" i="7"/>
  <c r="AC1783" i="7"/>
  <c r="AB1783" i="7" s="1"/>
  <c r="V1783" i="7"/>
  <c r="U1783" i="7"/>
  <c r="S1783" i="7" s="1"/>
  <c r="N1783" i="7"/>
  <c r="M1783" i="7"/>
  <c r="L1783" i="7" s="1"/>
  <c r="F1783" i="7"/>
  <c r="E1783" i="7"/>
  <c r="AT1782" i="7"/>
  <c r="AS1782" i="7"/>
  <c r="AL1782" i="7"/>
  <c r="AK1782" i="7"/>
  <c r="AD1782" i="7"/>
  <c r="AC1782" i="7"/>
  <c r="AB1782" i="7" s="1"/>
  <c r="V1782" i="7"/>
  <c r="U1782" i="7"/>
  <c r="S1782" i="7" s="1"/>
  <c r="N1782" i="7"/>
  <c r="M1782" i="7"/>
  <c r="L1782" i="7" s="1"/>
  <c r="F1782" i="7"/>
  <c r="E1782" i="7"/>
  <c r="D1782" i="7" s="1"/>
  <c r="AT1781" i="7"/>
  <c r="AS1781" i="7"/>
  <c r="AL1781" i="7"/>
  <c r="AK1781" i="7"/>
  <c r="AD1781" i="7"/>
  <c r="AC1781" i="7"/>
  <c r="AB1781" i="7" s="1"/>
  <c r="V1781" i="7"/>
  <c r="U1781" i="7"/>
  <c r="S1781" i="7" s="1"/>
  <c r="N1781" i="7"/>
  <c r="M1781" i="7"/>
  <c r="K1781" i="7" s="1"/>
  <c r="L1781" i="7"/>
  <c r="F1781" i="7"/>
  <c r="E1781" i="7"/>
  <c r="D1781" i="7" s="1"/>
  <c r="AT1780" i="7"/>
  <c r="AS1780" i="7"/>
  <c r="AL1780" i="7"/>
  <c r="AK1780" i="7"/>
  <c r="AD1780" i="7"/>
  <c r="AC1780" i="7"/>
  <c r="AB1780" i="7" s="1"/>
  <c r="V1780" i="7"/>
  <c r="U1780" i="7"/>
  <c r="S1780" i="7" s="1"/>
  <c r="N1780" i="7"/>
  <c r="M1780" i="7"/>
  <c r="L1780" i="7" s="1"/>
  <c r="F1780" i="7"/>
  <c r="E1780" i="7"/>
  <c r="AT1779" i="7"/>
  <c r="AS1779" i="7"/>
  <c r="AL1779" i="7"/>
  <c r="AK1779" i="7"/>
  <c r="AD1779" i="7"/>
  <c r="AC1779" i="7"/>
  <c r="AB1779" i="7" s="1"/>
  <c r="V1779" i="7"/>
  <c r="U1779" i="7"/>
  <c r="S1779" i="7" s="1"/>
  <c r="N1779" i="7"/>
  <c r="M1779" i="7"/>
  <c r="L1779" i="7" s="1"/>
  <c r="F1779" i="7"/>
  <c r="E1779" i="7"/>
  <c r="D1779" i="7" s="1"/>
  <c r="AT1778" i="7"/>
  <c r="AS1778" i="7"/>
  <c r="AL1778" i="7"/>
  <c r="AK1778" i="7"/>
  <c r="AD1778" i="7"/>
  <c r="AC1778" i="7"/>
  <c r="AB1778" i="7" s="1"/>
  <c r="V1778" i="7"/>
  <c r="U1778" i="7"/>
  <c r="S1778" i="7" s="1"/>
  <c r="N1778" i="7"/>
  <c r="M1778" i="7"/>
  <c r="K1778" i="7" s="1"/>
  <c r="F1778" i="7"/>
  <c r="E1778" i="7"/>
  <c r="D1778" i="7" s="1"/>
  <c r="AT1777" i="7"/>
  <c r="AS1777" i="7"/>
  <c r="AL1777" i="7"/>
  <c r="AK1777" i="7"/>
  <c r="AD1777" i="7"/>
  <c r="AC1777" i="7"/>
  <c r="AB1777" i="7" s="1"/>
  <c r="V1777" i="7"/>
  <c r="U1777" i="7"/>
  <c r="S1777" i="7" s="1"/>
  <c r="N1777" i="7"/>
  <c r="M1777" i="7"/>
  <c r="L1777" i="7" s="1"/>
  <c r="F1777" i="7"/>
  <c r="E1777" i="7"/>
  <c r="AT1776" i="7"/>
  <c r="AS1776" i="7"/>
  <c r="AL1776" i="7"/>
  <c r="AK1776" i="7"/>
  <c r="AD1776" i="7"/>
  <c r="AC1776" i="7"/>
  <c r="AB1776" i="7" s="1"/>
  <c r="V1776" i="7"/>
  <c r="U1776" i="7"/>
  <c r="S1776" i="7" s="1"/>
  <c r="N1776" i="7"/>
  <c r="M1776" i="7"/>
  <c r="K1776" i="7" s="1"/>
  <c r="F1776" i="7"/>
  <c r="E1776" i="7"/>
  <c r="D1776" i="7" s="1"/>
  <c r="AT1775" i="7"/>
  <c r="AS1775" i="7"/>
  <c r="AL1775" i="7"/>
  <c r="AK1775" i="7"/>
  <c r="AD1775" i="7"/>
  <c r="AC1775" i="7"/>
  <c r="AB1775" i="7" s="1"/>
  <c r="V1775" i="7"/>
  <c r="U1775" i="7"/>
  <c r="S1775" i="7" s="1"/>
  <c r="N1775" i="7"/>
  <c r="M1775" i="7"/>
  <c r="K1775" i="7" s="1"/>
  <c r="F1775" i="7"/>
  <c r="E1775" i="7"/>
  <c r="AT1774" i="7"/>
  <c r="AS1774" i="7"/>
  <c r="AL1774" i="7"/>
  <c r="AK1774" i="7"/>
  <c r="AD1774" i="7"/>
  <c r="AC1774" i="7"/>
  <c r="AB1774" i="7" s="1"/>
  <c r="V1774" i="7"/>
  <c r="U1774" i="7"/>
  <c r="S1774" i="7" s="1"/>
  <c r="N1774" i="7"/>
  <c r="M1774" i="7"/>
  <c r="F1774" i="7"/>
  <c r="E1774" i="7"/>
  <c r="AT1773" i="7"/>
  <c r="AS1773" i="7"/>
  <c r="AL1773" i="7"/>
  <c r="AK1773" i="7"/>
  <c r="AD1773" i="7"/>
  <c r="AC1773" i="7"/>
  <c r="AB1773" i="7" s="1"/>
  <c r="V1773" i="7"/>
  <c r="U1773" i="7"/>
  <c r="S1773" i="7" s="1"/>
  <c r="N1773" i="7"/>
  <c r="M1773" i="7"/>
  <c r="L1773" i="7" s="1"/>
  <c r="F1773" i="7"/>
  <c r="E1773" i="7"/>
  <c r="AT1772" i="7"/>
  <c r="AS1772" i="7"/>
  <c r="AL1772" i="7"/>
  <c r="AK1772" i="7"/>
  <c r="AI1772" i="7" s="1"/>
  <c r="AD1772" i="7"/>
  <c r="AC1772" i="7"/>
  <c r="AB1772" i="7" s="1"/>
  <c r="V1772" i="7"/>
  <c r="U1772" i="7"/>
  <c r="S1772" i="7" s="1"/>
  <c r="N1772" i="7"/>
  <c r="M1772" i="7"/>
  <c r="F1772" i="7"/>
  <c r="E1772" i="7"/>
  <c r="D1772" i="7" s="1"/>
  <c r="AT1771" i="7"/>
  <c r="AS1771" i="7"/>
  <c r="AL1771" i="7"/>
  <c r="AK1771" i="7"/>
  <c r="AD1771" i="7"/>
  <c r="AC1771" i="7"/>
  <c r="AB1771" i="7" s="1"/>
  <c r="V1771" i="7"/>
  <c r="U1771" i="7"/>
  <c r="S1771" i="7" s="1"/>
  <c r="N1771" i="7"/>
  <c r="M1771" i="7"/>
  <c r="F1771" i="7"/>
  <c r="E1771" i="7"/>
  <c r="D1771" i="7" s="1"/>
  <c r="AT1770" i="7"/>
  <c r="AS1770" i="7"/>
  <c r="AL1770" i="7"/>
  <c r="AK1770" i="7"/>
  <c r="AD1770" i="7"/>
  <c r="AC1770" i="7"/>
  <c r="AB1770" i="7" s="1"/>
  <c r="V1770" i="7"/>
  <c r="U1770" i="7"/>
  <c r="S1770" i="7" s="1"/>
  <c r="N1770" i="7"/>
  <c r="M1770" i="7"/>
  <c r="F1770" i="7"/>
  <c r="E1770" i="7"/>
  <c r="AT1769" i="7"/>
  <c r="AS1769" i="7"/>
  <c r="AL1769" i="7"/>
  <c r="AK1769" i="7"/>
  <c r="AD1769" i="7"/>
  <c r="AC1769" i="7"/>
  <c r="AB1769" i="7" s="1"/>
  <c r="V1769" i="7"/>
  <c r="U1769" i="7"/>
  <c r="T1769" i="7" s="1"/>
  <c r="N1769" i="7"/>
  <c r="M1769" i="7"/>
  <c r="L1769" i="7" s="1"/>
  <c r="F1769" i="7"/>
  <c r="E1769" i="7"/>
  <c r="AT1768" i="7"/>
  <c r="AS1768" i="7"/>
  <c r="AL1768" i="7"/>
  <c r="AK1768" i="7"/>
  <c r="AI1768" i="7" s="1"/>
  <c r="AD1768" i="7"/>
  <c r="AC1768" i="7"/>
  <c r="AB1768" i="7" s="1"/>
  <c r="V1768" i="7"/>
  <c r="U1768" i="7"/>
  <c r="N1768" i="7"/>
  <c r="M1768" i="7"/>
  <c r="F1768" i="7"/>
  <c r="E1768" i="7"/>
  <c r="D1768" i="7" s="1"/>
  <c r="AT1767" i="7"/>
  <c r="AS1767" i="7"/>
  <c r="AL1767" i="7"/>
  <c r="AK1767" i="7"/>
  <c r="AI1767" i="7" s="1"/>
  <c r="AD1767" i="7"/>
  <c r="AC1767" i="7"/>
  <c r="AB1767" i="7" s="1"/>
  <c r="V1767" i="7"/>
  <c r="U1767" i="7"/>
  <c r="N1767" i="7"/>
  <c r="M1767" i="7"/>
  <c r="K1767" i="7" s="1"/>
  <c r="F1767" i="7"/>
  <c r="E1767" i="7"/>
  <c r="D1767" i="7" s="1"/>
  <c r="AT1766" i="7"/>
  <c r="AS1766" i="7"/>
  <c r="AL1766" i="7"/>
  <c r="AK1766" i="7"/>
  <c r="AI1766" i="7" s="1"/>
  <c r="AD1766" i="7"/>
  <c r="AC1766" i="7"/>
  <c r="AB1766" i="7" s="1"/>
  <c r="V1766" i="7"/>
  <c r="U1766" i="7"/>
  <c r="N1766" i="7"/>
  <c r="M1766" i="7"/>
  <c r="L1766" i="7" s="1"/>
  <c r="F1766" i="7"/>
  <c r="E1766" i="7"/>
  <c r="AT1765" i="7"/>
  <c r="AS1765" i="7"/>
  <c r="AL1765" i="7"/>
  <c r="AK1765" i="7"/>
  <c r="AI1765" i="7" s="1"/>
  <c r="AD1765" i="7"/>
  <c r="AC1765" i="7"/>
  <c r="AB1765" i="7" s="1"/>
  <c r="V1765" i="7"/>
  <c r="U1765" i="7"/>
  <c r="T1765" i="7" s="1"/>
  <c r="N1765" i="7"/>
  <c r="M1765" i="7"/>
  <c r="F1765" i="7"/>
  <c r="E1765" i="7"/>
  <c r="AT1764" i="7"/>
  <c r="AS1764" i="7"/>
  <c r="AL1764" i="7"/>
  <c r="AK1764" i="7"/>
  <c r="AI1764" i="7" s="1"/>
  <c r="AD1764" i="7"/>
  <c r="AC1764" i="7"/>
  <c r="AB1764" i="7" s="1"/>
  <c r="V1764" i="7"/>
  <c r="U1764" i="7"/>
  <c r="T1764" i="7" s="1"/>
  <c r="N1764" i="7"/>
  <c r="M1764" i="7"/>
  <c r="F1764" i="7"/>
  <c r="E1764" i="7"/>
  <c r="AT1763" i="7"/>
  <c r="AS1763" i="7"/>
  <c r="AL1763" i="7"/>
  <c r="AK1763" i="7"/>
  <c r="AI1763" i="7" s="1"/>
  <c r="AD1763" i="7"/>
  <c r="AC1763" i="7"/>
  <c r="AB1763" i="7" s="1"/>
  <c r="V1763" i="7"/>
  <c r="U1763" i="7"/>
  <c r="T1763" i="7" s="1"/>
  <c r="N1763" i="7"/>
  <c r="M1763" i="7"/>
  <c r="F1763" i="7"/>
  <c r="E1763" i="7"/>
  <c r="D1763" i="7" s="1"/>
  <c r="AT1762" i="7"/>
  <c r="AS1762" i="7"/>
  <c r="AL1762" i="7"/>
  <c r="AK1762" i="7"/>
  <c r="AI1762" i="7" s="1"/>
  <c r="AD1762" i="7"/>
  <c r="AC1762" i="7"/>
  <c r="AB1762" i="7" s="1"/>
  <c r="V1762" i="7"/>
  <c r="U1762" i="7"/>
  <c r="N1762" i="7"/>
  <c r="M1762" i="7"/>
  <c r="F1762" i="7"/>
  <c r="E1762" i="7"/>
  <c r="D1762" i="7" s="1"/>
  <c r="AT1761" i="7"/>
  <c r="AS1761" i="7"/>
  <c r="AL1761" i="7"/>
  <c r="AK1761" i="7"/>
  <c r="AI1761" i="7" s="1"/>
  <c r="AD1761" i="7"/>
  <c r="AC1761" i="7"/>
  <c r="AB1761" i="7" s="1"/>
  <c r="V1761" i="7"/>
  <c r="U1761" i="7"/>
  <c r="T1761" i="7" s="1"/>
  <c r="N1761" i="7"/>
  <c r="M1761" i="7"/>
  <c r="F1761" i="7"/>
  <c r="E1761" i="7"/>
  <c r="D1761" i="7" s="1"/>
  <c r="AT1760" i="7"/>
  <c r="AS1760" i="7"/>
  <c r="AL1760" i="7"/>
  <c r="AK1760" i="7"/>
  <c r="AI1760" i="7" s="1"/>
  <c r="AD1760" i="7"/>
  <c r="AC1760" i="7"/>
  <c r="AB1760" i="7" s="1"/>
  <c r="V1760" i="7"/>
  <c r="U1760" i="7"/>
  <c r="N1760" i="7"/>
  <c r="M1760" i="7"/>
  <c r="F1760" i="7"/>
  <c r="E1760" i="7"/>
  <c r="AT1759" i="7"/>
  <c r="AS1759" i="7"/>
  <c r="AL1759" i="7"/>
  <c r="AK1759" i="7"/>
  <c r="AI1759" i="7" s="1"/>
  <c r="AD1759" i="7"/>
  <c r="AC1759" i="7"/>
  <c r="AB1759" i="7" s="1"/>
  <c r="V1759" i="7"/>
  <c r="U1759" i="7"/>
  <c r="N1759" i="7"/>
  <c r="M1759" i="7"/>
  <c r="F1759" i="7"/>
  <c r="E1759" i="7"/>
  <c r="D1759" i="7" s="1"/>
  <c r="AT1758" i="7"/>
  <c r="AS1758" i="7"/>
  <c r="AL1758" i="7"/>
  <c r="AK1758" i="7"/>
  <c r="AI1758" i="7" s="1"/>
  <c r="AD1758" i="7"/>
  <c r="AC1758" i="7"/>
  <c r="AB1758" i="7" s="1"/>
  <c r="V1758" i="7"/>
  <c r="U1758" i="7"/>
  <c r="N1758" i="7"/>
  <c r="M1758" i="7"/>
  <c r="F1758" i="7"/>
  <c r="E1758" i="7"/>
  <c r="D1758" i="7" s="1"/>
  <c r="AT1757" i="7"/>
  <c r="AS1757" i="7"/>
  <c r="AQ1757" i="7" s="1"/>
  <c r="AL1757" i="7"/>
  <c r="AK1757" i="7"/>
  <c r="AJ1757" i="7" s="1"/>
  <c r="AD1757" i="7"/>
  <c r="AC1757" i="7"/>
  <c r="AB1757" i="7" s="1"/>
  <c r="V1757" i="7"/>
  <c r="U1757" i="7"/>
  <c r="N1757" i="7"/>
  <c r="M1757" i="7"/>
  <c r="F1757" i="7"/>
  <c r="E1757" i="7"/>
  <c r="D1757" i="7" s="1"/>
  <c r="AT1756" i="7"/>
  <c r="AS1756" i="7"/>
  <c r="AQ1756" i="7" s="1"/>
  <c r="AL1756" i="7"/>
  <c r="AK1756" i="7"/>
  <c r="AD1756" i="7"/>
  <c r="AC1756" i="7"/>
  <c r="AB1756" i="7" s="1"/>
  <c r="V1756" i="7"/>
  <c r="U1756" i="7"/>
  <c r="N1756" i="7"/>
  <c r="M1756" i="7"/>
  <c r="F1756" i="7"/>
  <c r="E1756" i="7"/>
  <c r="D1756" i="7" s="1"/>
  <c r="AT1755" i="7"/>
  <c r="AS1755" i="7"/>
  <c r="AL1755" i="7"/>
  <c r="AK1755" i="7"/>
  <c r="AJ1755" i="7" s="1"/>
  <c r="AD1755" i="7"/>
  <c r="AC1755" i="7"/>
  <c r="AB1755" i="7" s="1"/>
  <c r="V1755" i="7"/>
  <c r="U1755" i="7"/>
  <c r="N1755" i="7"/>
  <c r="M1755" i="7"/>
  <c r="F1755" i="7"/>
  <c r="E1755" i="7"/>
  <c r="D1755" i="7" s="1"/>
  <c r="AT1754" i="7"/>
  <c r="AS1754" i="7"/>
  <c r="AL1754" i="7"/>
  <c r="AK1754" i="7"/>
  <c r="AD1754" i="7"/>
  <c r="AC1754" i="7"/>
  <c r="AB1754" i="7" s="1"/>
  <c r="V1754" i="7"/>
  <c r="U1754" i="7"/>
  <c r="S1754" i="7" s="1"/>
  <c r="N1754" i="7"/>
  <c r="M1754" i="7"/>
  <c r="F1754" i="7"/>
  <c r="E1754" i="7"/>
  <c r="D1754" i="7" s="1"/>
  <c r="AT1753" i="7"/>
  <c r="AS1753" i="7"/>
  <c r="AQ1753" i="7" s="1"/>
  <c r="AL1753" i="7"/>
  <c r="AK1753" i="7"/>
  <c r="AD1753" i="7"/>
  <c r="AC1753" i="7"/>
  <c r="AB1753" i="7" s="1"/>
  <c r="V1753" i="7"/>
  <c r="U1753" i="7"/>
  <c r="S1753" i="7" s="1"/>
  <c r="N1753" i="7"/>
  <c r="M1753" i="7"/>
  <c r="F1753" i="7"/>
  <c r="E1753" i="7"/>
  <c r="D1753" i="7" s="1"/>
  <c r="AT1752" i="7"/>
  <c r="AS1752" i="7"/>
  <c r="AQ1752" i="7" s="1"/>
  <c r="AL1752" i="7"/>
  <c r="AK1752" i="7"/>
  <c r="AJ1752" i="7" s="1"/>
  <c r="AD1752" i="7"/>
  <c r="AC1752" i="7"/>
  <c r="AB1752" i="7" s="1"/>
  <c r="V1752" i="7"/>
  <c r="U1752" i="7"/>
  <c r="N1752" i="7"/>
  <c r="M1752" i="7"/>
  <c r="F1752" i="7"/>
  <c r="E1752" i="7"/>
  <c r="D1752" i="7" s="1"/>
  <c r="AT1751" i="7"/>
  <c r="AS1751" i="7"/>
  <c r="AR1751" i="7" s="1"/>
  <c r="AL1751" i="7"/>
  <c r="AK1751" i="7"/>
  <c r="AD1751" i="7"/>
  <c r="AC1751" i="7"/>
  <c r="AB1751" i="7" s="1"/>
  <c r="V1751" i="7"/>
  <c r="U1751" i="7"/>
  <c r="S1751" i="7" s="1"/>
  <c r="N1751" i="7"/>
  <c r="M1751" i="7"/>
  <c r="F1751" i="7"/>
  <c r="E1751" i="7"/>
  <c r="D1751" i="7" s="1"/>
  <c r="AT1750" i="7"/>
  <c r="AS1750" i="7"/>
  <c r="AQ1750" i="7" s="1"/>
  <c r="AL1750" i="7"/>
  <c r="AK1750" i="7"/>
  <c r="AJ1750" i="7" s="1"/>
  <c r="AD1750" i="7"/>
  <c r="AC1750" i="7"/>
  <c r="AB1750" i="7" s="1"/>
  <c r="V1750" i="7"/>
  <c r="U1750" i="7"/>
  <c r="N1750" i="7"/>
  <c r="M1750" i="7"/>
  <c r="F1750" i="7"/>
  <c r="E1750" i="7"/>
  <c r="D1750" i="7" s="1"/>
  <c r="AT1749" i="7"/>
  <c r="AS1749" i="7"/>
  <c r="AQ1749" i="7" s="1"/>
  <c r="AR1749" i="7"/>
  <c r="AL1749" i="7"/>
  <c r="AK1749" i="7"/>
  <c r="AD1749" i="7"/>
  <c r="AC1749" i="7"/>
  <c r="AB1749" i="7" s="1"/>
  <c r="V1749" i="7"/>
  <c r="U1749" i="7"/>
  <c r="N1749" i="7"/>
  <c r="M1749" i="7"/>
  <c r="F1749" i="7"/>
  <c r="E1749" i="7"/>
  <c r="D1749" i="7" s="1"/>
  <c r="AT1748" i="7"/>
  <c r="AS1748" i="7"/>
  <c r="AL1748" i="7"/>
  <c r="AK1748" i="7"/>
  <c r="AD1748" i="7"/>
  <c r="AC1748" i="7"/>
  <c r="AB1748" i="7" s="1"/>
  <c r="V1748" i="7"/>
  <c r="U1748" i="7"/>
  <c r="N1748" i="7"/>
  <c r="M1748" i="7"/>
  <c r="F1748" i="7"/>
  <c r="E1748" i="7"/>
  <c r="D1748" i="7" s="1"/>
  <c r="AT1747" i="7"/>
  <c r="AS1747" i="7"/>
  <c r="AL1747" i="7"/>
  <c r="AK1747" i="7"/>
  <c r="AJ1747" i="7" s="1"/>
  <c r="AD1747" i="7"/>
  <c r="AC1747" i="7"/>
  <c r="AB1747" i="7" s="1"/>
  <c r="V1747" i="7"/>
  <c r="U1747" i="7"/>
  <c r="N1747" i="7"/>
  <c r="M1747" i="7"/>
  <c r="F1747" i="7"/>
  <c r="E1747" i="7"/>
  <c r="D1747" i="7" s="1"/>
  <c r="AT1746" i="7"/>
  <c r="AS1746" i="7"/>
  <c r="AL1746" i="7"/>
  <c r="AK1746" i="7"/>
  <c r="AD1746" i="7"/>
  <c r="AC1746" i="7"/>
  <c r="AB1746" i="7" s="1"/>
  <c r="V1746" i="7"/>
  <c r="U1746" i="7"/>
  <c r="T1746" i="7" s="1"/>
  <c r="N1746" i="7"/>
  <c r="M1746" i="7"/>
  <c r="F1746" i="7"/>
  <c r="E1746" i="7"/>
  <c r="D1746" i="7" s="1"/>
  <c r="AT1745" i="7"/>
  <c r="AS1745" i="7"/>
  <c r="AL1745" i="7"/>
  <c r="AK1745" i="7"/>
  <c r="AJ1745" i="7" s="1"/>
  <c r="AD1745" i="7"/>
  <c r="AC1745" i="7"/>
  <c r="AB1745" i="7" s="1"/>
  <c r="V1745" i="7"/>
  <c r="U1745" i="7"/>
  <c r="T1745" i="7" s="1"/>
  <c r="N1745" i="7"/>
  <c r="M1745" i="7"/>
  <c r="F1745" i="7"/>
  <c r="E1745" i="7"/>
  <c r="D1745" i="7" s="1"/>
  <c r="AT1744" i="7"/>
  <c r="AS1744" i="7"/>
  <c r="AL1744" i="7"/>
  <c r="AK1744" i="7"/>
  <c r="AJ1744" i="7" s="1"/>
  <c r="AD1744" i="7"/>
  <c r="AC1744" i="7"/>
  <c r="AB1744" i="7" s="1"/>
  <c r="V1744" i="7"/>
  <c r="U1744" i="7"/>
  <c r="T1744" i="7" s="1"/>
  <c r="N1744" i="7"/>
  <c r="M1744" i="7"/>
  <c r="F1744" i="7"/>
  <c r="E1744" i="7"/>
  <c r="D1744" i="7" s="1"/>
  <c r="AT1743" i="7"/>
  <c r="AS1743" i="7"/>
  <c r="AL1743" i="7"/>
  <c r="AK1743" i="7"/>
  <c r="AD1743" i="7"/>
  <c r="AC1743" i="7"/>
  <c r="AB1743" i="7" s="1"/>
  <c r="V1743" i="7"/>
  <c r="U1743" i="7"/>
  <c r="S1743" i="7" s="1"/>
  <c r="N1743" i="7"/>
  <c r="M1743" i="7"/>
  <c r="F1743" i="7"/>
  <c r="E1743" i="7"/>
  <c r="D1743" i="7" s="1"/>
  <c r="AT1742" i="7"/>
  <c r="AS1742" i="7"/>
  <c r="AL1742" i="7"/>
  <c r="AK1742" i="7"/>
  <c r="AD1742" i="7"/>
  <c r="AC1742" i="7"/>
  <c r="AB1742" i="7" s="1"/>
  <c r="V1742" i="7"/>
  <c r="U1742" i="7"/>
  <c r="N1742" i="7"/>
  <c r="M1742" i="7"/>
  <c r="F1742" i="7"/>
  <c r="E1742" i="7"/>
  <c r="D1742" i="7" s="1"/>
  <c r="AT1741" i="7"/>
  <c r="AS1741" i="7"/>
  <c r="AQ1741" i="7" s="1"/>
  <c r="AR1741" i="7"/>
  <c r="AL1741" i="7"/>
  <c r="AK1741" i="7"/>
  <c r="AD1741" i="7"/>
  <c r="AC1741" i="7"/>
  <c r="AB1741" i="7" s="1"/>
  <c r="V1741" i="7"/>
  <c r="U1741" i="7"/>
  <c r="S1741" i="7" s="1"/>
  <c r="N1741" i="7"/>
  <c r="M1741" i="7"/>
  <c r="F1741" i="7"/>
  <c r="E1741" i="7"/>
  <c r="D1741" i="7" s="1"/>
  <c r="AT1740" i="7"/>
  <c r="AS1740" i="7"/>
  <c r="AQ1740" i="7" s="1"/>
  <c r="AL1740" i="7"/>
  <c r="AK1740" i="7"/>
  <c r="AD1740" i="7"/>
  <c r="AC1740" i="7"/>
  <c r="AB1740" i="7" s="1"/>
  <c r="V1740" i="7"/>
  <c r="U1740" i="7"/>
  <c r="N1740" i="7"/>
  <c r="M1740" i="7"/>
  <c r="F1740" i="7"/>
  <c r="E1740" i="7"/>
  <c r="D1740" i="7" s="1"/>
  <c r="AT1739" i="7"/>
  <c r="AS1739" i="7"/>
  <c r="AQ1739" i="7" s="1"/>
  <c r="AL1739" i="7"/>
  <c r="AK1739" i="7"/>
  <c r="AD1739" i="7"/>
  <c r="AC1739" i="7"/>
  <c r="AB1739" i="7" s="1"/>
  <c r="V1739" i="7"/>
  <c r="U1739" i="7"/>
  <c r="N1739" i="7"/>
  <c r="M1739" i="7"/>
  <c r="F1739" i="7"/>
  <c r="E1739" i="7"/>
  <c r="D1739" i="7" s="1"/>
  <c r="AT1738" i="7"/>
  <c r="AS1738" i="7"/>
  <c r="AQ1738" i="7" s="1"/>
  <c r="AL1738" i="7"/>
  <c r="AK1738" i="7"/>
  <c r="AD1738" i="7"/>
  <c r="AC1738" i="7"/>
  <c r="AB1738" i="7" s="1"/>
  <c r="V1738" i="7"/>
  <c r="U1738" i="7"/>
  <c r="T1738" i="7" s="1"/>
  <c r="N1738" i="7"/>
  <c r="M1738" i="7"/>
  <c r="F1738" i="7"/>
  <c r="E1738" i="7"/>
  <c r="D1738" i="7" s="1"/>
  <c r="AT1737" i="7"/>
  <c r="AS1737" i="7"/>
  <c r="AL1737" i="7"/>
  <c r="AK1737" i="7"/>
  <c r="AD1737" i="7"/>
  <c r="AC1737" i="7"/>
  <c r="AB1737" i="7" s="1"/>
  <c r="V1737" i="7"/>
  <c r="U1737" i="7"/>
  <c r="N1737" i="7"/>
  <c r="M1737" i="7"/>
  <c r="F1737" i="7"/>
  <c r="E1737" i="7"/>
  <c r="D1737" i="7" s="1"/>
  <c r="AT1736" i="7"/>
  <c r="AS1736" i="7"/>
  <c r="AR1736" i="7" s="1"/>
  <c r="AL1736" i="7"/>
  <c r="AK1736" i="7"/>
  <c r="AD1736" i="7"/>
  <c r="AC1736" i="7"/>
  <c r="AB1736" i="7" s="1"/>
  <c r="V1736" i="7"/>
  <c r="U1736" i="7"/>
  <c r="T1736" i="7" s="1"/>
  <c r="N1736" i="7"/>
  <c r="M1736" i="7"/>
  <c r="F1736" i="7"/>
  <c r="E1736" i="7"/>
  <c r="D1736" i="7" s="1"/>
  <c r="AT1735" i="7"/>
  <c r="AS1735" i="7"/>
  <c r="AL1735" i="7"/>
  <c r="AK1735" i="7"/>
  <c r="AD1735" i="7"/>
  <c r="AC1735" i="7"/>
  <c r="AB1735" i="7" s="1"/>
  <c r="V1735" i="7"/>
  <c r="U1735" i="7"/>
  <c r="N1735" i="7"/>
  <c r="M1735" i="7"/>
  <c r="F1735" i="7"/>
  <c r="E1735" i="7"/>
  <c r="D1735" i="7" s="1"/>
  <c r="AT1734" i="7"/>
  <c r="AS1734" i="7"/>
  <c r="AQ1734" i="7" s="1"/>
  <c r="AR1734" i="7"/>
  <c r="AL1734" i="7"/>
  <c r="AK1734" i="7"/>
  <c r="AJ1734" i="7" s="1"/>
  <c r="AI1734" i="7"/>
  <c r="AD1734" i="7"/>
  <c r="AC1734" i="7"/>
  <c r="AB1734" i="7" s="1"/>
  <c r="V1734" i="7"/>
  <c r="U1734" i="7"/>
  <c r="N1734" i="7"/>
  <c r="M1734" i="7"/>
  <c r="F1734" i="7"/>
  <c r="E1734" i="7"/>
  <c r="D1734" i="7" s="1"/>
  <c r="AT1733" i="7"/>
  <c r="AS1733" i="7"/>
  <c r="AQ1733" i="7" s="1"/>
  <c r="AL1733" i="7"/>
  <c r="AK1733" i="7"/>
  <c r="AJ1733" i="7" s="1"/>
  <c r="AD1733" i="7"/>
  <c r="AC1733" i="7"/>
  <c r="AB1733" i="7" s="1"/>
  <c r="V1733" i="7"/>
  <c r="U1733" i="7"/>
  <c r="N1733" i="7"/>
  <c r="M1733" i="7"/>
  <c r="F1733" i="7"/>
  <c r="E1733" i="7"/>
  <c r="D1733" i="7" s="1"/>
  <c r="AT1732" i="7"/>
  <c r="AS1732" i="7"/>
  <c r="AR1732" i="7" s="1"/>
  <c r="AL1732" i="7"/>
  <c r="AK1732" i="7"/>
  <c r="AD1732" i="7"/>
  <c r="AC1732" i="7"/>
  <c r="AB1732" i="7" s="1"/>
  <c r="V1732" i="7"/>
  <c r="U1732" i="7"/>
  <c r="N1732" i="7"/>
  <c r="M1732" i="7"/>
  <c r="F1732" i="7"/>
  <c r="E1732" i="7"/>
  <c r="D1732" i="7" s="1"/>
  <c r="AT1731" i="7"/>
  <c r="AS1731" i="7"/>
  <c r="AL1731" i="7"/>
  <c r="AK1731" i="7"/>
  <c r="AD1731" i="7"/>
  <c r="AC1731" i="7"/>
  <c r="AB1731" i="7" s="1"/>
  <c r="V1731" i="7"/>
  <c r="U1731" i="7"/>
  <c r="T1731" i="7" s="1"/>
  <c r="N1731" i="7"/>
  <c r="M1731" i="7"/>
  <c r="F1731" i="7"/>
  <c r="E1731" i="7"/>
  <c r="D1731" i="7" s="1"/>
  <c r="AT1730" i="7"/>
  <c r="AS1730" i="7"/>
  <c r="AL1730" i="7"/>
  <c r="AK1730" i="7"/>
  <c r="AD1730" i="7"/>
  <c r="AC1730" i="7"/>
  <c r="AB1730" i="7" s="1"/>
  <c r="V1730" i="7"/>
  <c r="U1730" i="7"/>
  <c r="N1730" i="7"/>
  <c r="M1730" i="7"/>
  <c r="F1730" i="7"/>
  <c r="E1730" i="7"/>
  <c r="D1730" i="7" s="1"/>
  <c r="AT1729" i="7"/>
  <c r="AS1729" i="7"/>
  <c r="AQ1729" i="7" s="1"/>
  <c r="AL1729" i="7"/>
  <c r="AK1729" i="7"/>
  <c r="AD1729" i="7"/>
  <c r="AC1729" i="7"/>
  <c r="AB1729" i="7" s="1"/>
  <c r="V1729" i="7"/>
  <c r="U1729" i="7"/>
  <c r="S1729" i="7" s="1"/>
  <c r="N1729" i="7"/>
  <c r="M1729" i="7"/>
  <c r="F1729" i="7"/>
  <c r="E1729" i="7"/>
  <c r="D1729" i="7" s="1"/>
  <c r="AT1728" i="7"/>
  <c r="AS1728" i="7"/>
  <c r="AL1728" i="7"/>
  <c r="AK1728" i="7"/>
  <c r="AJ1728" i="7" s="1"/>
  <c r="AD1728" i="7"/>
  <c r="AC1728" i="7"/>
  <c r="AB1728" i="7" s="1"/>
  <c r="V1728" i="7"/>
  <c r="U1728" i="7"/>
  <c r="N1728" i="7"/>
  <c r="M1728" i="7"/>
  <c r="F1728" i="7"/>
  <c r="E1728" i="7"/>
  <c r="D1728" i="7" s="1"/>
  <c r="AT1727" i="7"/>
  <c r="AS1727" i="7"/>
  <c r="AR1727" i="7" s="1"/>
  <c r="AL1727" i="7"/>
  <c r="AK1727" i="7"/>
  <c r="AD1727" i="7"/>
  <c r="AC1727" i="7"/>
  <c r="AB1727" i="7" s="1"/>
  <c r="V1727" i="7"/>
  <c r="U1727" i="7"/>
  <c r="S1727" i="7" s="1"/>
  <c r="N1727" i="7"/>
  <c r="M1727" i="7"/>
  <c r="F1727" i="7"/>
  <c r="E1727" i="7"/>
  <c r="D1727" i="7" s="1"/>
  <c r="AT1726" i="7"/>
  <c r="AS1726" i="7"/>
  <c r="AL1726" i="7"/>
  <c r="AK1726" i="7"/>
  <c r="AJ1726" i="7" s="1"/>
  <c r="AD1726" i="7"/>
  <c r="AC1726" i="7"/>
  <c r="AB1726" i="7" s="1"/>
  <c r="V1726" i="7"/>
  <c r="U1726" i="7"/>
  <c r="N1726" i="7"/>
  <c r="M1726" i="7"/>
  <c r="F1726" i="7"/>
  <c r="E1726" i="7"/>
  <c r="D1726" i="7" s="1"/>
  <c r="AT1725" i="7"/>
  <c r="AS1725" i="7"/>
  <c r="AL1725" i="7"/>
  <c r="AK1725" i="7"/>
  <c r="AD1725" i="7"/>
  <c r="AC1725" i="7"/>
  <c r="AB1725" i="7" s="1"/>
  <c r="V1725" i="7"/>
  <c r="U1725" i="7"/>
  <c r="S1725" i="7" s="1"/>
  <c r="N1725" i="7"/>
  <c r="M1725" i="7"/>
  <c r="F1725" i="7"/>
  <c r="E1725" i="7"/>
  <c r="D1725" i="7" s="1"/>
  <c r="AT1724" i="7"/>
  <c r="AS1724" i="7"/>
  <c r="AQ1724" i="7" s="1"/>
  <c r="AL1724" i="7"/>
  <c r="AK1724" i="7"/>
  <c r="AD1724" i="7"/>
  <c r="AC1724" i="7"/>
  <c r="AB1724" i="7" s="1"/>
  <c r="V1724" i="7"/>
  <c r="U1724" i="7"/>
  <c r="N1724" i="7"/>
  <c r="M1724" i="7"/>
  <c r="F1724" i="7"/>
  <c r="E1724" i="7"/>
  <c r="D1724" i="7" s="1"/>
  <c r="AT1723" i="7"/>
  <c r="AS1723" i="7"/>
  <c r="AL1723" i="7"/>
  <c r="AK1723" i="7"/>
  <c r="AJ1723" i="7" s="1"/>
  <c r="AD1723" i="7"/>
  <c r="AC1723" i="7"/>
  <c r="AB1723" i="7" s="1"/>
  <c r="V1723" i="7"/>
  <c r="U1723" i="7"/>
  <c r="N1723" i="7"/>
  <c r="M1723" i="7"/>
  <c r="F1723" i="7"/>
  <c r="E1723" i="7"/>
  <c r="D1723" i="7" s="1"/>
  <c r="AT1722" i="7"/>
  <c r="AS1722" i="7"/>
  <c r="AR1722" i="7" s="1"/>
  <c r="AL1722" i="7"/>
  <c r="AK1722" i="7"/>
  <c r="AJ1722" i="7" s="1"/>
  <c r="AD1722" i="7"/>
  <c r="AC1722" i="7"/>
  <c r="AB1722" i="7" s="1"/>
  <c r="V1722" i="7"/>
  <c r="U1722" i="7"/>
  <c r="T1722" i="7" s="1"/>
  <c r="N1722" i="7"/>
  <c r="M1722" i="7"/>
  <c r="F1722" i="7"/>
  <c r="E1722" i="7"/>
  <c r="D1722" i="7" s="1"/>
  <c r="AT1721" i="7"/>
  <c r="AS1721" i="7"/>
  <c r="AL1721" i="7"/>
  <c r="AK1721" i="7"/>
  <c r="AD1721" i="7"/>
  <c r="AC1721" i="7"/>
  <c r="AB1721" i="7" s="1"/>
  <c r="V1721" i="7"/>
  <c r="U1721" i="7"/>
  <c r="S1721" i="7" s="1"/>
  <c r="N1721" i="7"/>
  <c r="M1721" i="7"/>
  <c r="L1721" i="7" s="1"/>
  <c r="F1721" i="7"/>
  <c r="E1721" i="7"/>
  <c r="D1721" i="7" s="1"/>
  <c r="AT1720" i="7"/>
  <c r="AS1720" i="7"/>
  <c r="AQ1720" i="7" s="1"/>
  <c r="AR1720" i="7"/>
  <c r="AL1720" i="7"/>
  <c r="AK1720" i="7"/>
  <c r="AJ1720" i="7" s="1"/>
  <c r="AD1720" i="7"/>
  <c r="AC1720" i="7"/>
  <c r="AB1720" i="7" s="1"/>
  <c r="V1720" i="7"/>
  <c r="U1720" i="7"/>
  <c r="T1720" i="7" s="1"/>
  <c r="N1720" i="7"/>
  <c r="M1720" i="7"/>
  <c r="L1720" i="7" s="1"/>
  <c r="F1720" i="7"/>
  <c r="E1720" i="7"/>
  <c r="D1720" i="7" s="1"/>
  <c r="AT1719" i="7"/>
  <c r="AS1719" i="7"/>
  <c r="AR1719" i="7" s="1"/>
  <c r="AL1719" i="7"/>
  <c r="AK1719" i="7"/>
  <c r="AD1719" i="7"/>
  <c r="AC1719" i="7"/>
  <c r="AB1719" i="7" s="1"/>
  <c r="V1719" i="7"/>
  <c r="U1719" i="7"/>
  <c r="N1719" i="7"/>
  <c r="M1719" i="7"/>
  <c r="L1719" i="7" s="1"/>
  <c r="F1719" i="7"/>
  <c r="E1719" i="7"/>
  <c r="D1719" i="7" s="1"/>
  <c r="AT1718" i="7"/>
  <c r="AS1718" i="7"/>
  <c r="AL1718" i="7"/>
  <c r="AK1718" i="7"/>
  <c r="AJ1718" i="7" s="1"/>
  <c r="AD1718" i="7"/>
  <c r="AC1718" i="7"/>
  <c r="AB1718" i="7" s="1"/>
  <c r="V1718" i="7"/>
  <c r="U1718" i="7"/>
  <c r="N1718" i="7"/>
  <c r="M1718" i="7"/>
  <c r="L1718" i="7" s="1"/>
  <c r="F1718" i="7"/>
  <c r="E1718" i="7"/>
  <c r="D1718" i="7" s="1"/>
  <c r="AT1717" i="7"/>
  <c r="AS1717" i="7"/>
  <c r="AR1717" i="7" s="1"/>
  <c r="AL1717" i="7"/>
  <c r="AK1717" i="7"/>
  <c r="AD1717" i="7"/>
  <c r="AC1717" i="7"/>
  <c r="AB1717" i="7" s="1"/>
  <c r="V1717" i="7"/>
  <c r="U1717" i="7"/>
  <c r="T1717" i="7" s="1"/>
  <c r="N1717" i="7"/>
  <c r="M1717" i="7"/>
  <c r="L1717" i="7" s="1"/>
  <c r="F1717" i="7"/>
  <c r="E1717" i="7"/>
  <c r="D1717" i="7" s="1"/>
  <c r="AT1716" i="7"/>
  <c r="AS1716" i="7"/>
  <c r="AL1716" i="7"/>
  <c r="AK1716" i="7"/>
  <c r="AJ1716" i="7" s="1"/>
  <c r="AD1716" i="7"/>
  <c r="AC1716" i="7"/>
  <c r="AB1716" i="7" s="1"/>
  <c r="V1716" i="7"/>
  <c r="U1716" i="7"/>
  <c r="T1716" i="7" s="1"/>
  <c r="N1716" i="7"/>
  <c r="M1716" i="7"/>
  <c r="L1716" i="7" s="1"/>
  <c r="F1716" i="7"/>
  <c r="E1716" i="7"/>
  <c r="D1716" i="7" s="1"/>
  <c r="AT1715" i="7"/>
  <c r="AS1715" i="7"/>
  <c r="AL1715" i="7"/>
  <c r="AK1715" i="7"/>
  <c r="AD1715" i="7"/>
  <c r="AC1715" i="7"/>
  <c r="AB1715" i="7" s="1"/>
  <c r="V1715" i="7"/>
  <c r="U1715" i="7"/>
  <c r="S1715" i="7" s="1"/>
  <c r="N1715" i="7"/>
  <c r="M1715" i="7"/>
  <c r="L1715" i="7" s="1"/>
  <c r="F1715" i="7"/>
  <c r="E1715" i="7"/>
  <c r="D1715" i="7" s="1"/>
  <c r="AT1714" i="7"/>
  <c r="AS1714" i="7"/>
  <c r="AR1714" i="7" s="1"/>
  <c r="AL1714" i="7"/>
  <c r="AK1714" i="7"/>
  <c r="AD1714" i="7"/>
  <c r="AC1714" i="7"/>
  <c r="AB1714" i="7" s="1"/>
  <c r="V1714" i="7"/>
  <c r="U1714" i="7"/>
  <c r="N1714" i="7"/>
  <c r="M1714" i="7"/>
  <c r="L1714" i="7" s="1"/>
  <c r="F1714" i="7"/>
  <c r="E1714" i="7"/>
  <c r="D1714" i="7" s="1"/>
  <c r="AT1713" i="7"/>
  <c r="AS1713" i="7"/>
  <c r="AR1713" i="7" s="1"/>
  <c r="AL1713" i="7"/>
  <c r="AK1713" i="7"/>
  <c r="AJ1713" i="7" s="1"/>
  <c r="AD1713" i="7"/>
  <c r="AC1713" i="7"/>
  <c r="AB1713" i="7" s="1"/>
  <c r="V1713" i="7"/>
  <c r="U1713" i="7"/>
  <c r="N1713" i="7"/>
  <c r="M1713" i="7"/>
  <c r="L1713" i="7" s="1"/>
  <c r="F1713" i="7"/>
  <c r="E1713" i="7"/>
  <c r="D1713" i="7" s="1"/>
  <c r="AT1712" i="7"/>
  <c r="AS1712" i="7"/>
  <c r="AL1712" i="7"/>
  <c r="AK1712" i="7"/>
  <c r="AJ1712" i="7" s="1"/>
  <c r="AD1712" i="7"/>
  <c r="AC1712" i="7"/>
  <c r="AB1712" i="7" s="1"/>
  <c r="V1712" i="7"/>
  <c r="U1712" i="7"/>
  <c r="N1712" i="7"/>
  <c r="M1712" i="7"/>
  <c r="L1712" i="7" s="1"/>
  <c r="F1712" i="7"/>
  <c r="E1712" i="7"/>
  <c r="D1712" i="7" s="1"/>
  <c r="AT1711" i="7"/>
  <c r="AS1711" i="7"/>
  <c r="AR1711" i="7"/>
  <c r="AQ1711" i="7"/>
  <c r="AL1711" i="7"/>
  <c r="AK1711" i="7"/>
  <c r="AD1711" i="7"/>
  <c r="AC1711" i="7"/>
  <c r="AB1711" i="7" s="1"/>
  <c r="V1711" i="7"/>
  <c r="U1711" i="7"/>
  <c r="S1711" i="7" s="1"/>
  <c r="N1711" i="7"/>
  <c r="M1711" i="7"/>
  <c r="L1711" i="7" s="1"/>
  <c r="F1711" i="7"/>
  <c r="E1711" i="7"/>
  <c r="D1711" i="7" s="1"/>
  <c r="AT1710" i="7"/>
  <c r="AS1710" i="7"/>
  <c r="AL1710" i="7"/>
  <c r="AK1710" i="7"/>
  <c r="AD1710" i="7"/>
  <c r="AC1710" i="7"/>
  <c r="AB1710" i="7" s="1"/>
  <c r="V1710" i="7"/>
  <c r="U1710" i="7"/>
  <c r="N1710" i="7"/>
  <c r="M1710" i="7"/>
  <c r="L1710" i="7" s="1"/>
  <c r="F1710" i="7"/>
  <c r="E1710" i="7"/>
  <c r="D1710" i="7" s="1"/>
  <c r="AT1709" i="7"/>
  <c r="AS1709" i="7"/>
  <c r="AL1709" i="7"/>
  <c r="AK1709" i="7"/>
  <c r="AD1709" i="7"/>
  <c r="AC1709" i="7"/>
  <c r="AB1709" i="7" s="1"/>
  <c r="V1709" i="7"/>
  <c r="U1709" i="7"/>
  <c r="S1709" i="7" s="1"/>
  <c r="N1709" i="7"/>
  <c r="M1709" i="7"/>
  <c r="L1709" i="7" s="1"/>
  <c r="F1709" i="7"/>
  <c r="E1709" i="7"/>
  <c r="D1709" i="7" s="1"/>
  <c r="AT1708" i="7"/>
  <c r="AS1708" i="7"/>
  <c r="AR1708" i="7"/>
  <c r="AQ1708" i="7"/>
  <c r="AL1708" i="7"/>
  <c r="AK1708" i="7"/>
  <c r="AD1708" i="7"/>
  <c r="AC1708" i="7"/>
  <c r="AB1708" i="7" s="1"/>
  <c r="V1708" i="7"/>
  <c r="U1708" i="7"/>
  <c r="N1708" i="7"/>
  <c r="M1708" i="7"/>
  <c r="L1708" i="7" s="1"/>
  <c r="F1708" i="7"/>
  <c r="E1708" i="7"/>
  <c r="D1708" i="7" s="1"/>
  <c r="AT1707" i="7"/>
  <c r="AS1707" i="7"/>
  <c r="AR1707" i="7" s="1"/>
  <c r="AL1707" i="7"/>
  <c r="AK1707" i="7"/>
  <c r="AJ1707" i="7" s="1"/>
  <c r="AD1707" i="7"/>
  <c r="AC1707" i="7"/>
  <c r="AB1707" i="7" s="1"/>
  <c r="V1707" i="7"/>
  <c r="U1707" i="7"/>
  <c r="N1707" i="7"/>
  <c r="M1707" i="7"/>
  <c r="L1707" i="7" s="1"/>
  <c r="F1707" i="7"/>
  <c r="E1707" i="7"/>
  <c r="D1707" i="7" s="1"/>
  <c r="AT1706" i="7"/>
  <c r="AS1706" i="7"/>
  <c r="AQ1706" i="7" s="1"/>
  <c r="AL1706" i="7"/>
  <c r="AK1706" i="7"/>
  <c r="AJ1706" i="7" s="1"/>
  <c r="AD1706" i="7"/>
  <c r="AC1706" i="7"/>
  <c r="AB1706" i="7" s="1"/>
  <c r="V1706" i="7"/>
  <c r="U1706" i="7"/>
  <c r="N1706" i="7"/>
  <c r="M1706" i="7"/>
  <c r="L1706" i="7" s="1"/>
  <c r="F1706" i="7"/>
  <c r="E1706" i="7"/>
  <c r="D1706" i="7" s="1"/>
  <c r="AT1705" i="7"/>
  <c r="AS1705" i="7"/>
  <c r="AR1705" i="7" s="1"/>
  <c r="AL1705" i="7"/>
  <c r="AK1705" i="7"/>
  <c r="AD1705" i="7"/>
  <c r="AC1705" i="7"/>
  <c r="AB1705" i="7" s="1"/>
  <c r="V1705" i="7"/>
  <c r="U1705" i="7"/>
  <c r="N1705" i="7"/>
  <c r="M1705" i="7"/>
  <c r="L1705" i="7" s="1"/>
  <c r="F1705" i="7"/>
  <c r="E1705" i="7"/>
  <c r="D1705" i="7" s="1"/>
  <c r="AT1704" i="7"/>
  <c r="AS1704" i="7"/>
  <c r="AR1704" i="7" s="1"/>
  <c r="AL1704" i="7"/>
  <c r="AK1704" i="7"/>
  <c r="AD1704" i="7"/>
  <c r="AC1704" i="7"/>
  <c r="AB1704" i="7" s="1"/>
  <c r="V1704" i="7"/>
  <c r="U1704" i="7"/>
  <c r="T1704" i="7" s="1"/>
  <c r="N1704" i="7"/>
  <c r="M1704" i="7"/>
  <c r="L1704" i="7" s="1"/>
  <c r="F1704" i="7"/>
  <c r="E1704" i="7"/>
  <c r="D1704" i="7" s="1"/>
  <c r="AT1703" i="7"/>
  <c r="AS1703" i="7"/>
  <c r="AL1703" i="7"/>
  <c r="AK1703" i="7"/>
  <c r="AD1703" i="7"/>
  <c r="AC1703" i="7"/>
  <c r="AB1703" i="7" s="1"/>
  <c r="V1703" i="7"/>
  <c r="U1703" i="7"/>
  <c r="S1703" i="7" s="1"/>
  <c r="N1703" i="7"/>
  <c r="M1703" i="7"/>
  <c r="L1703" i="7" s="1"/>
  <c r="F1703" i="7"/>
  <c r="E1703" i="7"/>
  <c r="D1703" i="7" s="1"/>
  <c r="AT1702" i="7"/>
  <c r="AS1702" i="7"/>
  <c r="AL1702" i="7"/>
  <c r="AK1702" i="7"/>
  <c r="AJ1702" i="7" s="1"/>
  <c r="AD1702" i="7"/>
  <c r="AC1702" i="7"/>
  <c r="AB1702" i="7" s="1"/>
  <c r="V1702" i="7"/>
  <c r="U1702" i="7"/>
  <c r="T1702" i="7" s="1"/>
  <c r="N1702" i="7"/>
  <c r="M1702" i="7"/>
  <c r="L1702" i="7" s="1"/>
  <c r="F1702" i="7"/>
  <c r="E1702" i="7"/>
  <c r="D1702" i="7" s="1"/>
  <c r="AT1701" i="7"/>
  <c r="AS1701" i="7"/>
  <c r="AR1701" i="7" s="1"/>
  <c r="AL1701" i="7"/>
  <c r="AK1701" i="7"/>
  <c r="AD1701" i="7"/>
  <c r="AC1701" i="7"/>
  <c r="AB1701" i="7" s="1"/>
  <c r="V1701" i="7"/>
  <c r="U1701" i="7"/>
  <c r="S1701" i="7" s="1"/>
  <c r="N1701" i="7"/>
  <c r="M1701" i="7"/>
  <c r="L1701" i="7" s="1"/>
  <c r="F1701" i="7"/>
  <c r="E1701" i="7"/>
  <c r="D1701" i="7" s="1"/>
  <c r="AT1700" i="7"/>
  <c r="AS1700" i="7"/>
  <c r="AL1700" i="7"/>
  <c r="AK1700" i="7"/>
  <c r="AJ1700" i="7" s="1"/>
  <c r="AD1700" i="7"/>
  <c r="AC1700" i="7"/>
  <c r="AB1700" i="7" s="1"/>
  <c r="V1700" i="7"/>
  <c r="U1700" i="7"/>
  <c r="N1700" i="7"/>
  <c r="M1700" i="7"/>
  <c r="L1700" i="7" s="1"/>
  <c r="F1700" i="7"/>
  <c r="E1700" i="7"/>
  <c r="D1700" i="7" s="1"/>
  <c r="AT1699" i="7"/>
  <c r="AS1699" i="7"/>
  <c r="AR1699" i="7" s="1"/>
  <c r="AL1699" i="7"/>
  <c r="AK1699" i="7"/>
  <c r="AD1699" i="7"/>
  <c r="AC1699" i="7"/>
  <c r="AB1699" i="7" s="1"/>
  <c r="V1699" i="7"/>
  <c r="U1699" i="7"/>
  <c r="S1699" i="7" s="1"/>
  <c r="N1699" i="7"/>
  <c r="M1699" i="7"/>
  <c r="L1699" i="7" s="1"/>
  <c r="F1699" i="7"/>
  <c r="E1699" i="7"/>
  <c r="D1699" i="7" s="1"/>
  <c r="AT1698" i="7"/>
  <c r="AS1698" i="7"/>
  <c r="AQ1698" i="7" s="1"/>
  <c r="AL1698" i="7"/>
  <c r="AK1698" i="7"/>
  <c r="AJ1698" i="7" s="1"/>
  <c r="AD1698" i="7"/>
  <c r="AC1698" i="7"/>
  <c r="AB1698" i="7" s="1"/>
  <c r="V1698" i="7"/>
  <c r="U1698" i="7"/>
  <c r="T1698" i="7" s="1"/>
  <c r="N1698" i="7"/>
  <c r="M1698" i="7"/>
  <c r="L1698" i="7" s="1"/>
  <c r="F1698" i="7"/>
  <c r="E1698" i="7"/>
  <c r="D1698" i="7" s="1"/>
  <c r="AT1697" i="7"/>
  <c r="AS1697" i="7"/>
  <c r="AL1697" i="7"/>
  <c r="AK1697" i="7"/>
  <c r="AD1697" i="7"/>
  <c r="AC1697" i="7"/>
  <c r="AB1697" i="7" s="1"/>
  <c r="V1697" i="7"/>
  <c r="U1697" i="7"/>
  <c r="S1697" i="7" s="1"/>
  <c r="N1697" i="7"/>
  <c r="M1697" i="7"/>
  <c r="L1697" i="7" s="1"/>
  <c r="F1697" i="7"/>
  <c r="E1697" i="7"/>
  <c r="D1697" i="7" s="1"/>
  <c r="AT1696" i="7"/>
  <c r="AS1696" i="7"/>
  <c r="AL1696" i="7"/>
  <c r="AK1696" i="7"/>
  <c r="AD1696" i="7"/>
  <c r="AC1696" i="7"/>
  <c r="AB1696" i="7" s="1"/>
  <c r="V1696" i="7"/>
  <c r="U1696" i="7"/>
  <c r="N1696" i="7"/>
  <c r="M1696" i="7"/>
  <c r="L1696" i="7" s="1"/>
  <c r="F1696" i="7"/>
  <c r="E1696" i="7"/>
  <c r="D1696" i="7" s="1"/>
  <c r="AT1695" i="7"/>
  <c r="AS1695" i="7"/>
  <c r="AR1695" i="7" s="1"/>
  <c r="AL1695" i="7"/>
  <c r="AK1695" i="7"/>
  <c r="AJ1695" i="7" s="1"/>
  <c r="AI1695" i="7"/>
  <c r="AD1695" i="7"/>
  <c r="AC1695" i="7"/>
  <c r="AB1695" i="7" s="1"/>
  <c r="V1695" i="7"/>
  <c r="U1695" i="7"/>
  <c r="N1695" i="7"/>
  <c r="M1695" i="7"/>
  <c r="L1695" i="7" s="1"/>
  <c r="F1695" i="7"/>
  <c r="E1695" i="7"/>
  <c r="D1695" i="7" s="1"/>
  <c r="AT1694" i="7"/>
  <c r="AS1694" i="7"/>
  <c r="AQ1694" i="7" s="1"/>
  <c r="AR1694" i="7"/>
  <c r="AL1694" i="7"/>
  <c r="AK1694" i="7"/>
  <c r="AJ1694" i="7" s="1"/>
  <c r="AD1694" i="7"/>
  <c r="AC1694" i="7"/>
  <c r="AB1694" i="7" s="1"/>
  <c r="V1694" i="7"/>
  <c r="U1694" i="7"/>
  <c r="N1694" i="7"/>
  <c r="M1694" i="7"/>
  <c r="L1694" i="7" s="1"/>
  <c r="F1694" i="7"/>
  <c r="E1694" i="7"/>
  <c r="D1694" i="7" s="1"/>
  <c r="AT1693" i="7"/>
  <c r="AS1693" i="7"/>
  <c r="AL1693" i="7"/>
  <c r="AK1693" i="7"/>
  <c r="AD1693" i="7"/>
  <c r="AC1693" i="7"/>
  <c r="AB1693" i="7" s="1"/>
  <c r="V1693" i="7"/>
  <c r="U1693" i="7"/>
  <c r="S1693" i="7" s="1"/>
  <c r="N1693" i="7"/>
  <c r="M1693" i="7"/>
  <c r="L1693" i="7" s="1"/>
  <c r="F1693" i="7"/>
  <c r="E1693" i="7"/>
  <c r="D1693" i="7" s="1"/>
  <c r="AT1692" i="7"/>
  <c r="AS1692" i="7"/>
  <c r="AR1692" i="7" s="1"/>
  <c r="AQ1692" i="7"/>
  <c r="AL1692" i="7"/>
  <c r="AK1692" i="7"/>
  <c r="AJ1692" i="7" s="1"/>
  <c r="AD1692" i="7"/>
  <c r="AC1692" i="7"/>
  <c r="AB1692" i="7" s="1"/>
  <c r="V1692" i="7"/>
  <c r="U1692" i="7"/>
  <c r="N1692" i="7"/>
  <c r="M1692" i="7"/>
  <c r="L1692" i="7" s="1"/>
  <c r="F1692" i="7"/>
  <c r="E1692" i="7"/>
  <c r="D1692" i="7" s="1"/>
  <c r="AT1691" i="7"/>
  <c r="AS1691" i="7"/>
  <c r="AL1691" i="7"/>
  <c r="AK1691" i="7"/>
  <c r="AD1691" i="7"/>
  <c r="AC1691" i="7"/>
  <c r="AB1691" i="7" s="1"/>
  <c r="V1691" i="7"/>
  <c r="U1691" i="7"/>
  <c r="S1691" i="7" s="1"/>
  <c r="N1691" i="7"/>
  <c r="M1691" i="7"/>
  <c r="L1691" i="7" s="1"/>
  <c r="F1691" i="7"/>
  <c r="E1691" i="7"/>
  <c r="D1691" i="7" s="1"/>
  <c r="AT1690" i="7"/>
  <c r="AS1690" i="7"/>
  <c r="AL1690" i="7"/>
  <c r="AK1690" i="7"/>
  <c r="AD1690" i="7"/>
  <c r="AC1690" i="7"/>
  <c r="AB1690" i="7" s="1"/>
  <c r="V1690" i="7"/>
  <c r="U1690" i="7"/>
  <c r="N1690" i="7"/>
  <c r="M1690" i="7"/>
  <c r="L1690" i="7" s="1"/>
  <c r="F1690" i="7"/>
  <c r="E1690" i="7"/>
  <c r="D1690" i="7" s="1"/>
  <c r="AT1689" i="7"/>
  <c r="AS1689" i="7"/>
  <c r="AL1689" i="7"/>
  <c r="AK1689" i="7"/>
  <c r="AJ1689" i="7" s="1"/>
  <c r="AD1689" i="7"/>
  <c r="AC1689" i="7"/>
  <c r="AB1689" i="7" s="1"/>
  <c r="V1689" i="7"/>
  <c r="U1689" i="7"/>
  <c r="N1689" i="7"/>
  <c r="M1689" i="7"/>
  <c r="L1689" i="7" s="1"/>
  <c r="F1689" i="7"/>
  <c r="E1689" i="7"/>
  <c r="D1689" i="7" s="1"/>
  <c r="AT1688" i="7"/>
  <c r="AS1688" i="7"/>
  <c r="AQ1688" i="7" s="1"/>
  <c r="AR1688" i="7"/>
  <c r="AL1688" i="7"/>
  <c r="AK1688" i="7"/>
  <c r="AJ1688" i="7" s="1"/>
  <c r="AD1688" i="7"/>
  <c r="AC1688" i="7"/>
  <c r="AB1688" i="7" s="1"/>
  <c r="V1688" i="7"/>
  <c r="U1688" i="7"/>
  <c r="N1688" i="7"/>
  <c r="M1688" i="7"/>
  <c r="L1688" i="7" s="1"/>
  <c r="F1688" i="7"/>
  <c r="E1688" i="7"/>
  <c r="D1688" i="7" s="1"/>
  <c r="AT1687" i="7"/>
  <c r="AS1687" i="7"/>
  <c r="AL1687" i="7"/>
  <c r="AK1687" i="7"/>
  <c r="AD1687" i="7"/>
  <c r="AC1687" i="7"/>
  <c r="AB1687" i="7" s="1"/>
  <c r="V1687" i="7"/>
  <c r="U1687" i="7"/>
  <c r="N1687" i="7"/>
  <c r="M1687" i="7"/>
  <c r="L1687" i="7" s="1"/>
  <c r="F1687" i="7"/>
  <c r="E1687" i="7"/>
  <c r="D1687" i="7" s="1"/>
  <c r="AT1686" i="7"/>
  <c r="AS1686" i="7"/>
  <c r="AR1686" i="7" s="1"/>
  <c r="AL1686" i="7"/>
  <c r="AK1686" i="7"/>
  <c r="AJ1686" i="7" s="1"/>
  <c r="AD1686" i="7"/>
  <c r="AC1686" i="7"/>
  <c r="AB1686" i="7" s="1"/>
  <c r="V1686" i="7"/>
  <c r="U1686" i="7"/>
  <c r="T1686" i="7" s="1"/>
  <c r="N1686" i="7"/>
  <c r="M1686" i="7"/>
  <c r="L1686" i="7" s="1"/>
  <c r="F1686" i="7"/>
  <c r="E1686" i="7"/>
  <c r="D1686" i="7" s="1"/>
  <c r="AT1685" i="7"/>
  <c r="AS1685" i="7"/>
  <c r="AL1685" i="7"/>
  <c r="AK1685" i="7"/>
  <c r="AD1685" i="7"/>
  <c r="AC1685" i="7"/>
  <c r="AB1685" i="7" s="1"/>
  <c r="V1685" i="7"/>
  <c r="U1685" i="7"/>
  <c r="S1685" i="7" s="1"/>
  <c r="N1685" i="7"/>
  <c r="M1685" i="7"/>
  <c r="L1685" i="7" s="1"/>
  <c r="F1685" i="7"/>
  <c r="E1685" i="7"/>
  <c r="D1685" i="7" s="1"/>
  <c r="AT1684" i="7"/>
  <c r="AS1684" i="7"/>
  <c r="AL1684" i="7"/>
  <c r="AK1684" i="7"/>
  <c r="AJ1684" i="7" s="1"/>
  <c r="AI1684" i="7"/>
  <c r="AD1684" i="7"/>
  <c r="AC1684" i="7"/>
  <c r="AB1684" i="7" s="1"/>
  <c r="V1684" i="7"/>
  <c r="U1684" i="7"/>
  <c r="N1684" i="7"/>
  <c r="M1684" i="7"/>
  <c r="L1684" i="7" s="1"/>
  <c r="F1684" i="7"/>
  <c r="E1684" i="7"/>
  <c r="D1684" i="7" s="1"/>
  <c r="AT1683" i="7"/>
  <c r="AS1683" i="7"/>
  <c r="AL1683" i="7"/>
  <c r="AK1683" i="7"/>
  <c r="AJ1683" i="7" s="1"/>
  <c r="AD1683" i="7"/>
  <c r="AC1683" i="7"/>
  <c r="AB1683" i="7" s="1"/>
  <c r="V1683" i="7"/>
  <c r="U1683" i="7"/>
  <c r="S1683" i="7" s="1"/>
  <c r="R1683" i="7" s="1"/>
  <c r="T1683" i="7"/>
  <c r="N1683" i="7"/>
  <c r="M1683" i="7"/>
  <c r="L1683" i="7" s="1"/>
  <c r="F1683" i="7"/>
  <c r="E1683" i="7"/>
  <c r="D1683" i="7" s="1"/>
  <c r="AT1682" i="7"/>
  <c r="AS1682" i="7"/>
  <c r="AQ1682" i="7" s="1"/>
  <c r="AR1682" i="7"/>
  <c r="AL1682" i="7"/>
  <c r="AK1682" i="7"/>
  <c r="AJ1682" i="7" s="1"/>
  <c r="AD1682" i="7"/>
  <c r="AC1682" i="7"/>
  <c r="AB1682" i="7" s="1"/>
  <c r="V1682" i="7"/>
  <c r="U1682" i="7"/>
  <c r="N1682" i="7"/>
  <c r="M1682" i="7"/>
  <c r="L1682" i="7" s="1"/>
  <c r="F1682" i="7"/>
  <c r="E1682" i="7"/>
  <c r="D1682" i="7" s="1"/>
  <c r="AT1681" i="7"/>
  <c r="AS1681" i="7"/>
  <c r="AL1681" i="7"/>
  <c r="AK1681" i="7"/>
  <c r="AD1681" i="7"/>
  <c r="AC1681" i="7"/>
  <c r="AB1681" i="7" s="1"/>
  <c r="V1681" i="7"/>
  <c r="U1681" i="7"/>
  <c r="N1681" i="7"/>
  <c r="M1681" i="7"/>
  <c r="L1681" i="7" s="1"/>
  <c r="F1681" i="7"/>
  <c r="E1681" i="7"/>
  <c r="D1681" i="7" s="1"/>
  <c r="AT1680" i="7"/>
  <c r="AS1680" i="7"/>
  <c r="AL1680" i="7"/>
  <c r="AK1680" i="7"/>
  <c r="AD1680" i="7"/>
  <c r="AC1680" i="7"/>
  <c r="AB1680" i="7" s="1"/>
  <c r="V1680" i="7"/>
  <c r="U1680" i="7"/>
  <c r="T1680" i="7" s="1"/>
  <c r="S1680" i="7"/>
  <c r="R1680" i="7" s="1"/>
  <c r="N1680" i="7"/>
  <c r="M1680" i="7"/>
  <c r="L1680" i="7" s="1"/>
  <c r="F1680" i="7"/>
  <c r="E1680" i="7"/>
  <c r="D1680" i="7" s="1"/>
  <c r="AT1679" i="7"/>
  <c r="AS1679" i="7"/>
  <c r="AL1679" i="7"/>
  <c r="AK1679" i="7"/>
  <c r="AD1679" i="7"/>
  <c r="AC1679" i="7"/>
  <c r="AB1679" i="7" s="1"/>
  <c r="V1679" i="7"/>
  <c r="U1679" i="7"/>
  <c r="N1679" i="7"/>
  <c r="M1679" i="7"/>
  <c r="L1679" i="7" s="1"/>
  <c r="F1679" i="7"/>
  <c r="E1679" i="7"/>
  <c r="D1679" i="7" s="1"/>
  <c r="AT1678" i="7"/>
  <c r="AS1678" i="7"/>
  <c r="AL1678" i="7"/>
  <c r="AK1678" i="7"/>
  <c r="AD1678" i="7"/>
  <c r="AC1678" i="7"/>
  <c r="AB1678" i="7" s="1"/>
  <c r="V1678" i="7"/>
  <c r="U1678" i="7"/>
  <c r="N1678" i="7"/>
  <c r="M1678" i="7"/>
  <c r="L1678" i="7" s="1"/>
  <c r="F1678" i="7"/>
  <c r="E1678" i="7"/>
  <c r="D1678" i="7" s="1"/>
  <c r="AT1677" i="7"/>
  <c r="AS1677" i="7"/>
  <c r="AL1677" i="7"/>
  <c r="AK1677" i="7"/>
  <c r="AJ1677" i="7" s="1"/>
  <c r="AD1677" i="7"/>
  <c r="AC1677" i="7"/>
  <c r="AB1677" i="7" s="1"/>
  <c r="V1677" i="7"/>
  <c r="U1677" i="7"/>
  <c r="S1677" i="7" s="1"/>
  <c r="T1677" i="7"/>
  <c r="N1677" i="7"/>
  <c r="M1677" i="7"/>
  <c r="L1677" i="7" s="1"/>
  <c r="F1677" i="7"/>
  <c r="E1677" i="7"/>
  <c r="D1677" i="7" s="1"/>
  <c r="AT1676" i="7"/>
  <c r="AS1676" i="7"/>
  <c r="AQ1676" i="7" s="1"/>
  <c r="AL1676" i="7"/>
  <c r="AK1676" i="7"/>
  <c r="AD1676" i="7"/>
  <c r="AC1676" i="7"/>
  <c r="AB1676" i="7" s="1"/>
  <c r="V1676" i="7"/>
  <c r="U1676" i="7"/>
  <c r="N1676" i="7"/>
  <c r="M1676" i="7"/>
  <c r="L1676" i="7" s="1"/>
  <c r="F1676" i="7"/>
  <c r="E1676" i="7"/>
  <c r="D1676" i="7" s="1"/>
  <c r="AT1675" i="7"/>
  <c r="AS1675" i="7"/>
  <c r="AL1675" i="7"/>
  <c r="AK1675" i="7"/>
  <c r="AD1675" i="7"/>
  <c r="AC1675" i="7"/>
  <c r="AB1675" i="7" s="1"/>
  <c r="V1675" i="7"/>
  <c r="U1675" i="7"/>
  <c r="S1675" i="7" s="1"/>
  <c r="T1675" i="7"/>
  <c r="N1675" i="7"/>
  <c r="M1675" i="7"/>
  <c r="L1675" i="7" s="1"/>
  <c r="F1675" i="7"/>
  <c r="E1675" i="7"/>
  <c r="D1675" i="7" s="1"/>
  <c r="AT1674" i="7"/>
  <c r="AS1674" i="7"/>
  <c r="AR1674" i="7" s="1"/>
  <c r="AL1674" i="7"/>
  <c r="AK1674" i="7"/>
  <c r="AD1674" i="7"/>
  <c r="AC1674" i="7"/>
  <c r="AB1674" i="7" s="1"/>
  <c r="V1674" i="7"/>
  <c r="U1674" i="7"/>
  <c r="T1674" i="7" s="1"/>
  <c r="S1674" i="7"/>
  <c r="R1674" i="7" s="1"/>
  <c r="N1674" i="7"/>
  <c r="M1674" i="7"/>
  <c r="L1674" i="7" s="1"/>
  <c r="F1674" i="7"/>
  <c r="E1674" i="7"/>
  <c r="D1674" i="7" s="1"/>
  <c r="AT1673" i="7"/>
  <c r="AS1673" i="7"/>
  <c r="AL1673" i="7"/>
  <c r="AK1673" i="7"/>
  <c r="AD1673" i="7"/>
  <c r="AC1673" i="7"/>
  <c r="AB1673" i="7" s="1"/>
  <c r="V1673" i="7"/>
  <c r="U1673" i="7"/>
  <c r="S1673" i="7" s="1"/>
  <c r="N1673" i="7"/>
  <c r="M1673" i="7"/>
  <c r="L1673" i="7" s="1"/>
  <c r="F1673" i="7"/>
  <c r="E1673" i="7"/>
  <c r="D1673" i="7" s="1"/>
  <c r="AT1672" i="7"/>
  <c r="AS1672" i="7"/>
  <c r="AL1672" i="7"/>
  <c r="AK1672" i="7"/>
  <c r="AJ1672" i="7" s="1"/>
  <c r="AD1672" i="7"/>
  <c r="AC1672" i="7"/>
  <c r="AB1672" i="7" s="1"/>
  <c r="V1672" i="7"/>
  <c r="U1672" i="7"/>
  <c r="N1672" i="7"/>
  <c r="M1672" i="7"/>
  <c r="L1672" i="7" s="1"/>
  <c r="F1672" i="7"/>
  <c r="E1672" i="7"/>
  <c r="D1672" i="7" s="1"/>
  <c r="AT1671" i="7"/>
  <c r="AS1671" i="7"/>
  <c r="AR1671" i="7" s="1"/>
  <c r="AL1671" i="7"/>
  <c r="AK1671" i="7"/>
  <c r="AJ1671" i="7" s="1"/>
  <c r="AD1671" i="7"/>
  <c r="AC1671" i="7"/>
  <c r="AB1671" i="7" s="1"/>
  <c r="V1671" i="7"/>
  <c r="U1671" i="7"/>
  <c r="N1671" i="7"/>
  <c r="M1671" i="7"/>
  <c r="L1671" i="7" s="1"/>
  <c r="F1671" i="7"/>
  <c r="E1671" i="7"/>
  <c r="D1671" i="7" s="1"/>
  <c r="AT1670" i="7"/>
  <c r="AS1670" i="7"/>
  <c r="AQ1670" i="7" s="1"/>
  <c r="AL1670" i="7"/>
  <c r="AK1670" i="7"/>
  <c r="AJ1670" i="7" s="1"/>
  <c r="AD1670" i="7"/>
  <c r="AC1670" i="7"/>
  <c r="AB1670" i="7" s="1"/>
  <c r="V1670" i="7"/>
  <c r="U1670" i="7"/>
  <c r="N1670" i="7"/>
  <c r="M1670" i="7"/>
  <c r="L1670" i="7" s="1"/>
  <c r="F1670" i="7"/>
  <c r="E1670" i="7"/>
  <c r="D1670" i="7" s="1"/>
  <c r="AT1669" i="7"/>
  <c r="AS1669" i="7"/>
  <c r="AL1669" i="7"/>
  <c r="AK1669" i="7"/>
  <c r="AD1669" i="7"/>
  <c r="AC1669" i="7"/>
  <c r="AB1669" i="7" s="1"/>
  <c r="V1669" i="7"/>
  <c r="U1669" i="7"/>
  <c r="N1669" i="7"/>
  <c r="M1669" i="7"/>
  <c r="L1669" i="7" s="1"/>
  <c r="F1669" i="7"/>
  <c r="E1669" i="7"/>
  <c r="D1669" i="7" s="1"/>
  <c r="AT1668" i="7"/>
  <c r="AS1668" i="7"/>
  <c r="AL1668" i="7"/>
  <c r="AK1668" i="7"/>
  <c r="AD1668" i="7"/>
  <c r="AC1668" i="7"/>
  <c r="AB1668" i="7" s="1"/>
  <c r="V1668" i="7"/>
  <c r="U1668" i="7"/>
  <c r="T1668" i="7" s="1"/>
  <c r="N1668" i="7"/>
  <c r="M1668" i="7"/>
  <c r="L1668" i="7" s="1"/>
  <c r="F1668" i="7"/>
  <c r="E1668" i="7"/>
  <c r="D1668" i="7" s="1"/>
  <c r="AT1667" i="7"/>
  <c r="AS1667" i="7"/>
  <c r="AL1667" i="7"/>
  <c r="AK1667" i="7"/>
  <c r="AD1667" i="7"/>
  <c r="AC1667" i="7"/>
  <c r="AB1667" i="7" s="1"/>
  <c r="V1667" i="7"/>
  <c r="U1667" i="7"/>
  <c r="S1667" i="7" s="1"/>
  <c r="N1667" i="7"/>
  <c r="M1667" i="7"/>
  <c r="L1667" i="7" s="1"/>
  <c r="F1667" i="7"/>
  <c r="E1667" i="7"/>
  <c r="D1667" i="7" s="1"/>
  <c r="AT1666" i="7"/>
  <c r="AS1666" i="7"/>
  <c r="AL1666" i="7"/>
  <c r="AK1666" i="7"/>
  <c r="AJ1666" i="7" s="1"/>
  <c r="AD1666" i="7"/>
  <c r="AC1666" i="7"/>
  <c r="AB1666" i="7" s="1"/>
  <c r="V1666" i="7"/>
  <c r="U1666" i="7"/>
  <c r="S1666" i="7" s="1"/>
  <c r="N1666" i="7"/>
  <c r="M1666" i="7"/>
  <c r="L1666" i="7" s="1"/>
  <c r="F1666" i="7"/>
  <c r="E1666" i="7"/>
  <c r="D1666" i="7" s="1"/>
  <c r="AT1665" i="7"/>
  <c r="AS1665" i="7"/>
  <c r="AR1665" i="7" s="1"/>
  <c r="AL1665" i="7"/>
  <c r="AK1665" i="7"/>
  <c r="AD1665" i="7"/>
  <c r="AC1665" i="7"/>
  <c r="AB1665" i="7" s="1"/>
  <c r="V1665" i="7"/>
  <c r="U1665" i="7"/>
  <c r="T1665" i="7" s="1"/>
  <c r="N1665" i="7"/>
  <c r="M1665" i="7"/>
  <c r="L1665" i="7" s="1"/>
  <c r="F1665" i="7"/>
  <c r="E1665" i="7"/>
  <c r="D1665" i="7" s="1"/>
  <c r="AT1664" i="7"/>
  <c r="AS1664" i="7"/>
  <c r="AL1664" i="7"/>
  <c r="AK1664" i="7"/>
  <c r="AJ1664" i="7" s="1"/>
  <c r="AD1664" i="7"/>
  <c r="AC1664" i="7"/>
  <c r="AB1664" i="7" s="1"/>
  <c r="V1664" i="7"/>
  <c r="U1664" i="7"/>
  <c r="N1664" i="7"/>
  <c r="M1664" i="7"/>
  <c r="L1664" i="7" s="1"/>
  <c r="F1664" i="7"/>
  <c r="E1664" i="7"/>
  <c r="D1664" i="7" s="1"/>
  <c r="AT1663" i="7"/>
  <c r="AS1663" i="7"/>
  <c r="AL1663" i="7"/>
  <c r="AK1663" i="7"/>
  <c r="AD1663" i="7"/>
  <c r="AC1663" i="7"/>
  <c r="AB1663" i="7" s="1"/>
  <c r="V1663" i="7"/>
  <c r="U1663" i="7"/>
  <c r="T1663" i="7" s="1"/>
  <c r="N1663" i="7"/>
  <c r="M1663" i="7"/>
  <c r="L1663" i="7" s="1"/>
  <c r="F1663" i="7"/>
  <c r="E1663" i="7"/>
  <c r="D1663" i="7" s="1"/>
  <c r="AT1662" i="7"/>
  <c r="AS1662" i="7"/>
  <c r="AR1662" i="7" s="1"/>
  <c r="AL1662" i="7"/>
  <c r="AK1662" i="7"/>
  <c r="AD1662" i="7"/>
  <c r="AC1662" i="7"/>
  <c r="AB1662" i="7" s="1"/>
  <c r="V1662" i="7"/>
  <c r="U1662" i="7"/>
  <c r="N1662" i="7"/>
  <c r="M1662" i="7"/>
  <c r="L1662" i="7" s="1"/>
  <c r="F1662" i="7"/>
  <c r="E1662" i="7"/>
  <c r="D1662" i="7" s="1"/>
  <c r="AT1661" i="7"/>
  <c r="AS1661" i="7"/>
  <c r="AL1661" i="7"/>
  <c r="AK1661" i="7"/>
  <c r="AD1661" i="7"/>
  <c r="AC1661" i="7"/>
  <c r="AB1661" i="7" s="1"/>
  <c r="V1661" i="7"/>
  <c r="U1661" i="7"/>
  <c r="N1661" i="7"/>
  <c r="M1661" i="7"/>
  <c r="L1661" i="7" s="1"/>
  <c r="F1661" i="7"/>
  <c r="E1661" i="7"/>
  <c r="D1661" i="7" s="1"/>
  <c r="AT1660" i="7"/>
  <c r="AS1660" i="7"/>
  <c r="AR1660" i="7" s="1"/>
  <c r="AL1660" i="7"/>
  <c r="AK1660" i="7"/>
  <c r="AD1660" i="7"/>
  <c r="AC1660" i="7"/>
  <c r="AB1660" i="7" s="1"/>
  <c r="V1660" i="7"/>
  <c r="U1660" i="7"/>
  <c r="S1660" i="7" s="1"/>
  <c r="N1660" i="7"/>
  <c r="M1660" i="7"/>
  <c r="L1660" i="7" s="1"/>
  <c r="F1660" i="7"/>
  <c r="E1660" i="7"/>
  <c r="D1660" i="7" s="1"/>
  <c r="AT1659" i="7"/>
  <c r="AS1659" i="7"/>
  <c r="AR1659" i="7" s="1"/>
  <c r="AL1659" i="7"/>
  <c r="AK1659" i="7"/>
  <c r="AJ1659" i="7" s="1"/>
  <c r="AD1659" i="7"/>
  <c r="AC1659" i="7"/>
  <c r="AB1659" i="7" s="1"/>
  <c r="V1659" i="7"/>
  <c r="U1659" i="7"/>
  <c r="T1659" i="7" s="1"/>
  <c r="N1659" i="7"/>
  <c r="M1659" i="7"/>
  <c r="L1659" i="7" s="1"/>
  <c r="F1659" i="7"/>
  <c r="E1659" i="7"/>
  <c r="D1659" i="7" s="1"/>
  <c r="AT1658" i="7"/>
  <c r="AS1658" i="7"/>
  <c r="AQ1658" i="7" s="1"/>
  <c r="AL1658" i="7"/>
  <c r="AK1658" i="7"/>
  <c r="AJ1658" i="7" s="1"/>
  <c r="AD1658" i="7"/>
  <c r="AC1658" i="7"/>
  <c r="AB1658" i="7" s="1"/>
  <c r="V1658" i="7"/>
  <c r="U1658" i="7"/>
  <c r="N1658" i="7"/>
  <c r="M1658" i="7"/>
  <c r="L1658" i="7" s="1"/>
  <c r="F1658" i="7"/>
  <c r="E1658" i="7"/>
  <c r="D1658" i="7" s="1"/>
  <c r="AT1657" i="7"/>
  <c r="AS1657" i="7"/>
  <c r="AL1657" i="7"/>
  <c r="AK1657" i="7"/>
  <c r="AD1657" i="7"/>
  <c r="AC1657" i="7"/>
  <c r="AB1657" i="7" s="1"/>
  <c r="V1657" i="7"/>
  <c r="U1657" i="7"/>
  <c r="N1657" i="7"/>
  <c r="M1657" i="7"/>
  <c r="L1657" i="7" s="1"/>
  <c r="F1657" i="7"/>
  <c r="E1657" i="7"/>
  <c r="D1657" i="7" s="1"/>
  <c r="AT1656" i="7"/>
  <c r="AS1656" i="7"/>
  <c r="AR1656" i="7" s="1"/>
  <c r="AL1656" i="7"/>
  <c r="AK1656" i="7"/>
  <c r="AD1656" i="7"/>
  <c r="AC1656" i="7"/>
  <c r="AB1656" i="7" s="1"/>
  <c r="V1656" i="7"/>
  <c r="U1656" i="7"/>
  <c r="T1656" i="7" s="1"/>
  <c r="N1656" i="7"/>
  <c r="M1656" i="7"/>
  <c r="L1656" i="7" s="1"/>
  <c r="F1656" i="7"/>
  <c r="E1656" i="7"/>
  <c r="D1656" i="7" s="1"/>
  <c r="AT1655" i="7"/>
  <c r="AS1655" i="7"/>
  <c r="AL1655" i="7"/>
  <c r="AK1655" i="7"/>
  <c r="AD1655" i="7"/>
  <c r="AC1655" i="7"/>
  <c r="AB1655" i="7" s="1"/>
  <c r="V1655" i="7"/>
  <c r="U1655" i="7"/>
  <c r="S1655" i="7" s="1"/>
  <c r="N1655" i="7"/>
  <c r="M1655" i="7"/>
  <c r="L1655" i="7" s="1"/>
  <c r="F1655" i="7"/>
  <c r="E1655" i="7"/>
  <c r="D1655" i="7" s="1"/>
  <c r="AT1654" i="7"/>
  <c r="AS1654" i="7"/>
  <c r="AL1654" i="7"/>
  <c r="AK1654" i="7"/>
  <c r="AJ1654" i="7" s="1"/>
  <c r="AD1654" i="7"/>
  <c r="AC1654" i="7"/>
  <c r="AB1654" i="7" s="1"/>
  <c r="V1654" i="7"/>
  <c r="U1654" i="7"/>
  <c r="T1654" i="7"/>
  <c r="S1654" i="7"/>
  <c r="N1654" i="7"/>
  <c r="M1654" i="7"/>
  <c r="L1654" i="7" s="1"/>
  <c r="F1654" i="7"/>
  <c r="E1654" i="7"/>
  <c r="D1654" i="7" s="1"/>
  <c r="AT1653" i="7"/>
  <c r="AS1653" i="7"/>
  <c r="AR1653" i="7" s="1"/>
  <c r="AL1653" i="7"/>
  <c r="AK1653" i="7"/>
  <c r="AJ1653" i="7" s="1"/>
  <c r="AD1653" i="7"/>
  <c r="AC1653" i="7"/>
  <c r="AB1653" i="7" s="1"/>
  <c r="V1653" i="7"/>
  <c r="U1653" i="7"/>
  <c r="N1653" i="7"/>
  <c r="M1653" i="7"/>
  <c r="L1653" i="7" s="1"/>
  <c r="F1653" i="7"/>
  <c r="E1653" i="7"/>
  <c r="D1653" i="7" s="1"/>
  <c r="AT1652" i="7"/>
  <c r="AS1652" i="7"/>
  <c r="AQ1652" i="7" s="1"/>
  <c r="AL1652" i="7"/>
  <c r="AK1652" i="7"/>
  <c r="AJ1652" i="7" s="1"/>
  <c r="AD1652" i="7"/>
  <c r="AC1652" i="7"/>
  <c r="AB1652" i="7" s="1"/>
  <c r="V1652" i="7"/>
  <c r="U1652" i="7"/>
  <c r="N1652" i="7"/>
  <c r="M1652" i="7"/>
  <c r="L1652" i="7" s="1"/>
  <c r="F1652" i="7"/>
  <c r="E1652" i="7"/>
  <c r="D1652" i="7" s="1"/>
  <c r="AT1651" i="7"/>
  <c r="AS1651" i="7"/>
  <c r="AL1651" i="7"/>
  <c r="AK1651" i="7"/>
  <c r="AD1651" i="7"/>
  <c r="AC1651" i="7"/>
  <c r="AB1651" i="7" s="1"/>
  <c r="V1651" i="7"/>
  <c r="U1651" i="7"/>
  <c r="N1651" i="7"/>
  <c r="M1651" i="7"/>
  <c r="L1651" i="7" s="1"/>
  <c r="F1651" i="7"/>
  <c r="E1651" i="7"/>
  <c r="D1651" i="7" s="1"/>
  <c r="AT1650" i="7"/>
  <c r="AS1650" i="7"/>
  <c r="AR1650" i="7" s="1"/>
  <c r="AL1650" i="7"/>
  <c r="AK1650" i="7"/>
  <c r="AJ1650" i="7" s="1"/>
  <c r="AD1650" i="7"/>
  <c r="AC1650" i="7"/>
  <c r="AB1650" i="7" s="1"/>
  <c r="V1650" i="7"/>
  <c r="U1650" i="7"/>
  <c r="N1650" i="7"/>
  <c r="M1650" i="7"/>
  <c r="L1650" i="7" s="1"/>
  <c r="F1650" i="7"/>
  <c r="E1650" i="7"/>
  <c r="D1650" i="7" s="1"/>
  <c r="AT1649" i="7"/>
  <c r="AS1649" i="7"/>
  <c r="AL1649" i="7"/>
  <c r="AK1649" i="7"/>
  <c r="AD1649" i="7"/>
  <c r="AC1649" i="7"/>
  <c r="AB1649" i="7" s="1"/>
  <c r="V1649" i="7"/>
  <c r="U1649" i="7"/>
  <c r="T1649" i="7" s="1"/>
  <c r="N1649" i="7"/>
  <c r="M1649" i="7"/>
  <c r="L1649" i="7" s="1"/>
  <c r="F1649" i="7"/>
  <c r="E1649" i="7"/>
  <c r="D1649" i="7" s="1"/>
  <c r="AT1648" i="7"/>
  <c r="AS1648" i="7"/>
  <c r="AQ1648" i="7" s="1"/>
  <c r="AR1648" i="7"/>
  <c r="AL1648" i="7"/>
  <c r="AK1648" i="7"/>
  <c r="AJ1648" i="7" s="1"/>
  <c r="AD1648" i="7"/>
  <c r="AC1648" i="7"/>
  <c r="AB1648" i="7" s="1"/>
  <c r="V1648" i="7"/>
  <c r="U1648" i="7"/>
  <c r="S1648" i="7" s="1"/>
  <c r="N1648" i="7"/>
  <c r="M1648" i="7"/>
  <c r="L1648" i="7" s="1"/>
  <c r="F1648" i="7"/>
  <c r="E1648" i="7"/>
  <c r="D1648" i="7" s="1"/>
  <c r="AT1647" i="7"/>
  <c r="AS1647" i="7"/>
  <c r="AR1647" i="7" s="1"/>
  <c r="AL1647" i="7"/>
  <c r="AK1647" i="7"/>
  <c r="AJ1647" i="7" s="1"/>
  <c r="AD1647" i="7"/>
  <c r="AC1647" i="7"/>
  <c r="V1647" i="7"/>
  <c r="U1647" i="7"/>
  <c r="N1647" i="7"/>
  <c r="M1647" i="7"/>
  <c r="L1647" i="7" s="1"/>
  <c r="F1647" i="7"/>
  <c r="E1647" i="7"/>
  <c r="D1647" i="7" s="1"/>
  <c r="AT1646" i="7"/>
  <c r="AS1646" i="7"/>
  <c r="AR1646" i="7" s="1"/>
  <c r="AL1646" i="7"/>
  <c r="AK1646" i="7"/>
  <c r="AJ1646" i="7" s="1"/>
  <c r="AD1646" i="7"/>
  <c r="AC1646" i="7"/>
  <c r="V1646" i="7"/>
  <c r="U1646" i="7"/>
  <c r="N1646" i="7"/>
  <c r="M1646" i="7"/>
  <c r="L1646" i="7" s="1"/>
  <c r="F1646" i="7"/>
  <c r="E1646" i="7"/>
  <c r="D1646" i="7" s="1"/>
  <c r="AT1645" i="7"/>
  <c r="AS1645" i="7"/>
  <c r="AL1645" i="7"/>
  <c r="AK1645" i="7"/>
  <c r="AD1645" i="7"/>
  <c r="AC1645" i="7"/>
  <c r="V1645" i="7"/>
  <c r="U1645" i="7"/>
  <c r="S1645" i="7" s="1"/>
  <c r="N1645" i="7"/>
  <c r="M1645" i="7"/>
  <c r="L1645" i="7" s="1"/>
  <c r="F1645" i="7"/>
  <c r="E1645" i="7"/>
  <c r="D1645" i="7" s="1"/>
  <c r="AT1644" i="7"/>
  <c r="AS1644" i="7"/>
  <c r="AR1644" i="7" s="1"/>
  <c r="AL1644" i="7"/>
  <c r="AK1644" i="7"/>
  <c r="AJ1644" i="7" s="1"/>
  <c r="AD1644" i="7"/>
  <c r="AC1644" i="7"/>
  <c r="V1644" i="7"/>
  <c r="U1644" i="7"/>
  <c r="N1644" i="7"/>
  <c r="M1644" i="7"/>
  <c r="L1644" i="7" s="1"/>
  <c r="F1644" i="7"/>
  <c r="E1644" i="7"/>
  <c r="D1644" i="7" s="1"/>
  <c r="AT1643" i="7"/>
  <c r="AS1643" i="7"/>
  <c r="AL1643" i="7"/>
  <c r="AK1643" i="7"/>
  <c r="AJ1643" i="7" s="1"/>
  <c r="AD1643" i="7"/>
  <c r="AC1643" i="7"/>
  <c r="V1643" i="7"/>
  <c r="U1643" i="7"/>
  <c r="T1643" i="7" s="1"/>
  <c r="N1643" i="7"/>
  <c r="M1643" i="7"/>
  <c r="L1643" i="7" s="1"/>
  <c r="F1643" i="7"/>
  <c r="E1643" i="7"/>
  <c r="D1643" i="7" s="1"/>
  <c r="AT1642" i="7"/>
  <c r="AS1642" i="7"/>
  <c r="AR1642" i="7" s="1"/>
  <c r="AL1642" i="7"/>
  <c r="AK1642" i="7"/>
  <c r="AJ1642" i="7" s="1"/>
  <c r="AD1642" i="7"/>
  <c r="AC1642" i="7"/>
  <c r="V1642" i="7"/>
  <c r="U1642" i="7"/>
  <c r="N1642" i="7"/>
  <c r="M1642" i="7"/>
  <c r="L1642" i="7" s="1"/>
  <c r="F1642" i="7"/>
  <c r="E1642" i="7"/>
  <c r="D1642" i="7" s="1"/>
  <c r="AT1641" i="7"/>
  <c r="AS1641" i="7"/>
  <c r="AQ1641" i="7" s="1"/>
  <c r="AL1641" i="7"/>
  <c r="AK1641" i="7"/>
  <c r="AJ1641" i="7" s="1"/>
  <c r="AD1641" i="7"/>
  <c r="AC1641" i="7"/>
  <c r="V1641" i="7"/>
  <c r="U1641" i="7"/>
  <c r="N1641" i="7"/>
  <c r="M1641" i="7"/>
  <c r="L1641" i="7" s="1"/>
  <c r="F1641" i="7"/>
  <c r="E1641" i="7"/>
  <c r="D1641" i="7" s="1"/>
  <c r="AT1640" i="7"/>
  <c r="AS1640" i="7"/>
  <c r="AL1640" i="7"/>
  <c r="AK1640" i="7"/>
  <c r="AD1640" i="7"/>
  <c r="AC1640" i="7"/>
  <c r="V1640" i="7"/>
  <c r="U1640" i="7"/>
  <c r="N1640" i="7"/>
  <c r="M1640" i="7"/>
  <c r="L1640" i="7" s="1"/>
  <c r="F1640" i="7"/>
  <c r="E1640" i="7"/>
  <c r="AT1639" i="7"/>
  <c r="AS1639" i="7"/>
  <c r="AQ1639" i="7" s="1"/>
  <c r="AL1639" i="7"/>
  <c r="AK1639" i="7"/>
  <c r="AJ1639" i="7" s="1"/>
  <c r="AD1639" i="7"/>
  <c r="AC1639" i="7"/>
  <c r="V1639" i="7"/>
  <c r="U1639" i="7"/>
  <c r="T1639" i="7" s="1"/>
  <c r="N1639" i="7"/>
  <c r="M1639" i="7"/>
  <c r="L1639" i="7" s="1"/>
  <c r="F1639" i="7"/>
  <c r="E1639" i="7"/>
  <c r="AT1638" i="7"/>
  <c r="AS1638" i="7"/>
  <c r="AL1638" i="7"/>
  <c r="AK1638" i="7"/>
  <c r="AJ1638" i="7" s="1"/>
  <c r="AD1638" i="7"/>
  <c r="AC1638" i="7"/>
  <c r="V1638" i="7"/>
  <c r="U1638" i="7"/>
  <c r="S1638" i="7" s="1"/>
  <c r="N1638" i="7"/>
  <c r="M1638" i="7"/>
  <c r="L1638" i="7" s="1"/>
  <c r="F1638" i="7"/>
  <c r="E1638" i="7"/>
  <c r="AT1637" i="7"/>
  <c r="AS1637" i="7"/>
  <c r="AR1637" i="7" s="1"/>
  <c r="AQ1637" i="7"/>
  <c r="AL1637" i="7"/>
  <c r="AK1637" i="7"/>
  <c r="AJ1637" i="7" s="1"/>
  <c r="AD1637" i="7"/>
  <c r="AC1637" i="7"/>
  <c r="V1637" i="7"/>
  <c r="U1637" i="7"/>
  <c r="S1637" i="7" s="1"/>
  <c r="N1637" i="7"/>
  <c r="M1637" i="7"/>
  <c r="L1637" i="7" s="1"/>
  <c r="F1637" i="7"/>
  <c r="E1637" i="7"/>
  <c r="AT1636" i="7"/>
  <c r="AS1636" i="7"/>
  <c r="AQ1636" i="7" s="1"/>
  <c r="AL1636" i="7"/>
  <c r="AK1636" i="7"/>
  <c r="AD1636" i="7"/>
  <c r="AC1636" i="7"/>
  <c r="V1636" i="7"/>
  <c r="U1636" i="7"/>
  <c r="N1636" i="7"/>
  <c r="M1636" i="7"/>
  <c r="L1636" i="7" s="1"/>
  <c r="F1636" i="7"/>
  <c r="E1636" i="7"/>
  <c r="AT1635" i="7"/>
  <c r="AS1635" i="7"/>
  <c r="AQ1635" i="7" s="1"/>
  <c r="AL1635" i="7"/>
  <c r="AK1635" i="7"/>
  <c r="AJ1635" i="7" s="1"/>
  <c r="AD1635" i="7"/>
  <c r="AC1635" i="7"/>
  <c r="V1635" i="7"/>
  <c r="U1635" i="7"/>
  <c r="T1635" i="7" s="1"/>
  <c r="N1635" i="7"/>
  <c r="M1635" i="7"/>
  <c r="L1635" i="7" s="1"/>
  <c r="F1635" i="7"/>
  <c r="E1635" i="7"/>
  <c r="AT1634" i="7"/>
  <c r="AS1634" i="7"/>
  <c r="AQ1634" i="7" s="1"/>
  <c r="AL1634" i="7"/>
  <c r="AK1634" i="7"/>
  <c r="AJ1634" i="7" s="1"/>
  <c r="AD1634" i="7"/>
  <c r="AC1634" i="7"/>
  <c r="V1634" i="7"/>
  <c r="U1634" i="7"/>
  <c r="N1634" i="7"/>
  <c r="M1634" i="7"/>
  <c r="L1634" i="7" s="1"/>
  <c r="F1634" i="7"/>
  <c r="E1634" i="7"/>
  <c r="AT1633" i="7"/>
  <c r="AS1633" i="7"/>
  <c r="AR1633" i="7" s="1"/>
  <c r="AL1633" i="7"/>
  <c r="AK1633" i="7"/>
  <c r="AJ1633" i="7" s="1"/>
  <c r="AD1633" i="7"/>
  <c r="AC1633" i="7"/>
  <c r="V1633" i="7"/>
  <c r="U1633" i="7"/>
  <c r="N1633" i="7"/>
  <c r="M1633" i="7"/>
  <c r="L1633" i="7" s="1"/>
  <c r="F1633" i="7"/>
  <c r="E1633" i="7"/>
  <c r="AT1632" i="7"/>
  <c r="AS1632" i="7"/>
  <c r="AR1632" i="7" s="1"/>
  <c r="AL1632" i="7"/>
  <c r="AK1632" i="7"/>
  <c r="AD1632" i="7"/>
  <c r="AC1632" i="7"/>
  <c r="V1632" i="7"/>
  <c r="U1632" i="7"/>
  <c r="S1632" i="7" s="1"/>
  <c r="N1632" i="7"/>
  <c r="M1632" i="7"/>
  <c r="L1632" i="7" s="1"/>
  <c r="F1632" i="7"/>
  <c r="E1632" i="7"/>
  <c r="AT1631" i="7"/>
  <c r="AS1631" i="7"/>
  <c r="AR1631" i="7" s="1"/>
  <c r="AL1631" i="7"/>
  <c r="AK1631" i="7"/>
  <c r="AJ1631" i="7" s="1"/>
  <c r="AD1631" i="7"/>
  <c r="AC1631" i="7"/>
  <c r="V1631" i="7"/>
  <c r="U1631" i="7"/>
  <c r="T1631" i="7" s="1"/>
  <c r="N1631" i="7"/>
  <c r="M1631" i="7"/>
  <c r="L1631" i="7" s="1"/>
  <c r="F1631" i="7"/>
  <c r="E1631" i="7"/>
  <c r="AT1630" i="7"/>
  <c r="AS1630" i="7"/>
  <c r="AL1630" i="7"/>
  <c r="AK1630" i="7"/>
  <c r="AJ1630" i="7" s="1"/>
  <c r="AD1630" i="7"/>
  <c r="AC1630" i="7"/>
  <c r="V1630" i="7"/>
  <c r="U1630" i="7"/>
  <c r="S1630" i="7" s="1"/>
  <c r="N1630" i="7"/>
  <c r="M1630" i="7"/>
  <c r="L1630" i="7" s="1"/>
  <c r="F1630" i="7"/>
  <c r="E1630" i="7"/>
  <c r="AT1629" i="7"/>
  <c r="AS1629" i="7"/>
  <c r="AQ1629" i="7" s="1"/>
  <c r="AL1629" i="7"/>
  <c r="AK1629" i="7"/>
  <c r="AJ1629" i="7" s="1"/>
  <c r="AD1629" i="7"/>
  <c r="AC1629" i="7"/>
  <c r="V1629" i="7"/>
  <c r="U1629" i="7"/>
  <c r="N1629" i="7"/>
  <c r="M1629" i="7"/>
  <c r="L1629" i="7" s="1"/>
  <c r="F1629" i="7"/>
  <c r="E1629" i="7"/>
  <c r="AT1628" i="7"/>
  <c r="AS1628" i="7"/>
  <c r="AL1628" i="7"/>
  <c r="AK1628" i="7"/>
  <c r="AD1628" i="7"/>
  <c r="AC1628" i="7"/>
  <c r="V1628" i="7"/>
  <c r="U1628" i="7"/>
  <c r="S1628" i="7" s="1"/>
  <c r="N1628" i="7"/>
  <c r="M1628" i="7"/>
  <c r="L1628" i="7" s="1"/>
  <c r="F1628" i="7"/>
  <c r="E1628" i="7"/>
  <c r="AT1627" i="7"/>
  <c r="AS1627" i="7"/>
  <c r="AQ1627" i="7" s="1"/>
  <c r="AL1627" i="7"/>
  <c r="AK1627" i="7"/>
  <c r="AJ1627" i="7" s="1"/>
  <c r="AD1627" i="7"/>
  <c r="AC1627" i="7"/>
  <c r="V1627" i="7"/>
  <c r="U1627" i="7"/>
  <c r="N1627" i="7"/>
  <c r="M1627" i="7"/>
  <c r="L1627" i="7" s="1"/>
  <c r="F1627" i="7"/>
  <c r="E1627" i="7"/>
  <c r="AT1626" i="7"/>
  <c r="AS1626" i="7"/>
  <c r="AL1626" i="7"/>
  <c r="AK1626" i="7"/>
  <c r="AJ1626" i="7" s="1"/>
  <c r="AD1626" i="7"/>
  <c r="AC1626" i="7"/>
  <c r="V1626" i="7"/>
  <c r="U1626" i="7"/>
  <c r="N1626" i="7"/>
  <c r="M1626" i="7"/>
  <c r="L1626" i="7" s="1"/>
  <c r="F1626" i="7"/>
  <c r="E1626" i="7"/>
  <c r="AT1625" i="7"/>
  <c r="AS1625" i="7"/>
  <c r="AQ1625" i="7" s="1"/>
  <c r="AL1625" i="7"/>
  <c r="AK1625" i="7"/>
  <c r="AJ1625" i="7" s="1"/>
  <c r="AD1625" i="7"/>
  <c r="AC1625" i="7"/>
  <c r="V1625" i="7"/>
  <c r="U1625" i="7"/>
  <c r="N1625" i="7"/>
  <c r="M1625" i="7"/>
  <c r="L1625" i="7" s="1"/>
  <c r="F1625" i="7"/>
  <c r="E1625" i="7"/>
  <c r="AT1624" i="7"/>
  <c r="AS1624" i="7"/>
  <c r="AQ1624" i="7" s="1"/>
  <c r="AL1624" i="7"/>
  <c r="AK1624" i="7"/>
  <c r="AD1624" i="7"/>
  <c r="AC1624" i="7"/>
  <c r="V1624" i="7"/>
  <c r="U1624" i="7"/>
  <c r="T1624" i="7" s="1"/>
  <c r="N1624" i="7"/>
  <c r="M1624" i="7"/>
  <c r="L1624" i="7" s="1"/>
  <c r="F1624" i="7"/>
  <c r="E1624" i="7"/>
  <c r="AT1623" i="7"/>
  <c r="AS1623" i="7"/>
  <c r="AL1623" i="7"/>
  <c r="AK1623" i="7"/>
  <c r="AJ1623" i="7" s="1"/>
  <c r="AD1623" i="7"/>
  <c r="AC1623" i="7"/>
  <c r="V1623" i="7"/>
  <c r="U1623" i="7"/>
  <c r="T1623" i="7" s="1"/>
  <c r="N1623" i="7"/>
  <c r="M1623" i="7"/>
  <c r="L1623" i="7" s="1"/>
  <c r="F1623" i="7"/>
  <c r="E1623" i="7"/>
  <c r="AT1622" i="7"/>
  <c r="AS1622" i="7"/>
  <c r="AL1622" i="7"/>
  <c r="AK1622" i="7"/>
  <c r="AJ1622" i="7" s="1"/>
  <c r="AD1622" i="7"/>
  <c r="AC1622" i="7"/>
  <c r="V1622" i="7"/>
  <c r="U1622" i="7"/>
  <c r="S1622" i="7" s="1"/>
  <c r="N1622" i="7"/>
  <c r="M1622" i="7"/>
  <c r="L1622" i="7" s="1"/>
  <c r="F1622" i="7"/>
  <c r="E1622" i="7"/>
  <c r="AT1621" i="7"/>
  <c r="AS1621" i="7"/>
  <c r="AR1621" i="7" s="1"/>
  <c r="AL1621" i="7"/>
  <c r="AK1621" i="7"/>
  <c r="AJ1621" i="7" s="1"/>
  <c r="AD1621" i="7"/>
  <c r="AC1621" i="7"/>
  <c r="V1621" i="7"/>
  <c r="U1621" i="7"/>
  <c r="N1621" i="7"/>
  <c r="M1621" i="7"/>
  <c r="L1621" i="7" s="1"/>
  <c r="F1621" i="7"/>
  <c r="E1621" i="7"/>
  <c r="AT1620" i="7"/>
  <c r="AS1620" i="7"/>
  <c r="AR1620" i="7" s="1"/>
  <c r="AL1620" i="7"/>
  <c r="AK1620" i="7"/>
  <c r="AD1620" i="7"/>
  <c r="AC1620" i="7"/>
  <c r="V1620" i="7"/>
  <c r="U1620" i="7"/>
  <c r="N1620" i="7"/>
  <c r="M1620" i="7"/>
  <c r="L1620" i="7" s="1"/>
  <c r="F1620" i="7"/>
  <c r="E1620" i="7"/>
  <c r="AT1619" i="7"/>
  <c r="AS1619" i="7"/>
  <c r="AR1619" i="7" s="1"/>
  <c r="AL1619" i="7"/>
  <c r="AK1619" i="7"/>
  <c r="AJ1619" i="7" s="1"/>
  <c r="AD1619" i="7"/>
  <c r="AC1619" i="7"/>
  <c r="V1619" i="7"/>
  <c r="U1619" i="7"/>
  <c r="N1619" i="7"/>
  <c r="M1619" i="7"/>
  <c r="L1619" i="7" s="1"/>
  <c r="F1619" i="7"/>
  <c r="E1619" i="7"/>
  <c r="AT1618" i="7"/>
  <c r="AS1618" i="7"/>
  <c r="AL1618" i="7"/>
  <c r="AK1618" i="7"/>
  <c r="AJ1618" i="7" s="1"/>
  <c r="AD1618" i="7"/>
  <c r="AC1618" i="7"/>
  <c r="V1618" i="7"/>
  <c r="U1618" i="7"/>
  <c r="T1618" i="7" s="1"/>
  <c r="N1618" i="7"/>
  <c r="M1618" i="7"/>
  <c r="L1618" i="7" s="1"/>
  <c r="F1618" i="7"/>
  <c r="E1618" i="7"/>
  <c r="AT1617" i="7"/>
  <c r="AS1617" i="7"/>
  <c r="AL1617" i="7"/>
  <c r="AK1617" i="7"/>
  <c r="AJ1617" i="7" s="1"/>
  <c r="AD1617" i="7"/>
  <c r="AC1617" i="7"/>
  <c r="V1617" i="7"/>
  <c r="U1617" i="7"/>
  <c r="N1617" i="7"/>
  <c r="M1617" i="7"/>
  <c r="L1617" i="7" s="1"/>
  <c r="F1617" i="7"/>
  <c r="E1617" i="7"/>
  <c r="AT1616" i="7"/>
  <c r="AS1616" i="7"/>
  <c r="AR1616" i="7"/>
  <c r="AQ1616" i="7"/>
  <c r="AL1616" i="7"/>
  <c r="AK1616" i="7"/>
  <c r="AD1616" i="7"/>
  <c r="AC1616" i="7"/>
  <c r="V1616" i="7"/>
  <c r="U1616" i="7"/>
  <c r="T1616" i="7" s="1"/>
  <c r="N1616" i="7"/>
  <c r="M1616" i="7"/>
  <c r="L1616" i="7" s="1"/>
  <c r="F1616" i="7"/>
  <c r="E1616" i="7"/>
  <c r="AT1615" i="7"/>
  <c r="AS1615" i="7"/>
  <c r="AR1615" i="7" s="1"/>
  <c r="AL1615" i="7"/>
  <c r="AK1615" i="7"/>
  <c r="AJ1615" i="7" s="1"/>
  <c r="AD1615" i="7"/>
  <c r="AC1615" i="7"/>
  <c r="V1615" i="7"/>
  <c r="U1615" i="7"/>
  <c r="N1615" i="7"/>
  <c r="M1615" i="7"/>
  <c r="L1615" i="7" s="1"/>
  <c r="F1615" i="7"/>
  <c r="E1615" i="7"/>
  <c r="AT1614" i="7"/>
  <c r="AS1614" i="7"/>
  <c r="AL1614" i="7"/>
  <c r="AK1614" i="7"/>
  <c r="AD1614" i="7"/>
  <c r="AC1614" i="7"/>
  <c r="V1614" i="7"/>
  <c r="U1614" i="7"/>
  <c r="S1614" i="7" s="1"/>
  <c r="N1614" i="7"/>
  <c r="M1614" i="7"/>
  <c r="L1614" i="7" s="1"/>
  <c r="F1614" i="7"/>
  <c r="E1614" i="7"/>
  <c r="AT1613" i="7"/>
  <c r="AS1613" i="7"/>
  <c r="AR1613" i="7" s="1"/>
  <c r="AL1613" i="7"/>
  <c r="AK1613" i="7"/>
  <c r="AD1613" i="7"/>
  <c r="AC1613" i="7"/>
  <c r="V1613" i="7"/>
  <c r="U1613" i="7"/>
  <c r="T1613" i="7" s="1"/>
  <c r="N1613" i="7"/>
  <c r="M1613" i="7"/>
  <c r="L1613" i="7" s="1"/>
  <c r="F1613" i="7"/>
  <c r="E1613" i="7"/>
  <c r="AT1612" i="7"/>
  <c r="AS1612" i="7"/>
  <c r="AL1612" i="7"/>
  <c r="AK1612" i="7"/>
  <c r="AJ1612" i="7" s="1"/>
  <c r="AD1612" i="7"/>
  <c r="AC1612" i="7"/>
  <c r="V1612" i="7"/>
  <c r="U1612" i="7"/>
  <c r="N1612" i="7"/>
  <c r="M1612" i="7"/>
  <c r="L1612" i="7" s="1"/>
  <c r="F1612" i="7"/>
  <c r="E1612" i="7"/>
  <c r="AT1611" i="7"/>
  <c r="AS1611" i="7"/>
  <c r="AL1611" i="7"/>
  <c r="AK1611" i="7"/>
  <c r="AJ1611" i="7" s="1"/>
  <c r="AD1611" i="7"/>
  <c r="AC1611" i="7"/>
  <c r="V1611" i="7"/>
  <c r="U1611" i="7"/>
  <c r="T1611" i="7" s="1"/>
  <c r="N1611" i="7"/>
  <c r="M1611" i="7"/>
  <c r="L1611" i="7" s="1"/>
  <c r="F1611" i="7"/>
  <c r="E1611" i="7"/>
  <c r="AT1610" i="7"/>
  <c r="AS1610" i="7"/>
  <c r="AR1610" i="7" s="1"/>
  <c r="AL1610" i="7"/>
  <c r="AK1610" i="7"/>
  <c r="AJ1610" i="7" s="1"/>
  <c r="AD1610" i="7"/>
  <c r="AC1610" i="7"/>
  <c r="V1610" i="7"/>
  <c r="U1610" i="7"/>
  <c r="N1610" i="7"/>
  <c r="M1610" i="7"/>
  <c r="L1610" i="7" s="1"/>
  <c r="F1610" i="7"/>
  <c r="E1610" i="7"/>
  <c r="AT1609" i="7"/>
  <c r="AS1609" i="7"/>
  <c r="AQ1609" i="7" s="1"/>
  <c r="AL1609" i="7"/>
  <c r="AK1609" i="7"/>
  <c r="AD1609" i="7"/>
  <c r="AC1609" i="7"/>
  <c r="V1609" i="7"/>
  <c r="U1609" i="7"/>
  <c r="N1609" i="7"/>
  <c r="M1609" i="7"/>
  <c r="L1609" i="7" s="1"/>
  <c r="F1609" i="7"/>
  <c r="E1609" i="7"/>
  <c r="AT1608" i="7"/>
  <c r="AS1608" i="7"/>
  <c r="AL1608" i="7"/>
  <c r="AK1608" i="7"/>
  <c r="AJ1608" i="7" s="1"/>
  <c r="AD1608" i="7"/>
  <c r="AC1608" i="7"/>
  <c r="V1608" i="7"/>
  <c r="U1608" i="7"/>
  <c r="T1608" i="7" s="1"/>
  <c r="N1608" i="7"/>
  <c r="M1608" i="7"/>
  <c r="L1608" i="7" s="1"/>
  <c r="F1608" i="7"/>
  <c r="E1608" i="7"/>
  <c r="AT1607" i="7"/>
  <c r="AS1607" i="7"/>
  <c r="AQ1607" i="7" s="1"/>
  <c r="AL1607" i="7"/>
  <c r="AK1607" i="7"/>
  <c r="AJ1607" i="7" s="1"/>
  <c r="AD1607" i="7"/>
  <c r="AC1607" i="7"/>
  <c r="V1607" i="7"/>
  <c r="U1607" i="7"/>
  <c r="N1607" i="7"/>
  <c r="M1607" i="7"/>
  <c r="L1607" i="7" s="1"/>
  <c r="F1607" i="7"/>
  <c r="E1607" i="7"/>
  <c r="AT1606" i="7"/>
  <c r="AS1606" i="7"/>
  <c r="AQ1606" i="7" s="1"/>
  <c r="AL1606" i="7"/>
  <c r="AK1606" i="7"/>
  <c r="AD1606" i="7"/>
  <c r="AC1606" i="7"/>
  <c r="V1606" i="7"/>
  <c r="U1606" i="7"/>
  <c r="T1606" i="7" s="1"/>
  <c r="N1606" i="7"/>
  <c r="M1606" i="7"/>
  <c r="L1606" i="7" s="1"/>
  <c r="F1606" i="7"/>
  <c r="E1606" i="7"/>
  <c r="AT1605" i="7"/>
  <c r="AS1605" i="7"/>
  <c r="AL1605" i="7"/>
  <c r="AK1605" i="7"/>
  <c r="AJ1605" i="7" s="1"/>
  <c r="AD1605" i="7"/>
  <c r="AC1605" i="7"/>
  <c r="V1605" i="7"/>
  <c r="U1605" i="7"/>
  <c r="T1605" i="7" s="1"/>
  <c r="N1605" i="7"/>
  <c r="M1605" i="7"/>
  <c r="L1605" i="7" s="1"/>
  <c r="F1605" i="7"/>
  <c r="E1605" i="7"/>
  <c r="AT1604" i="7"/>
  <c r="AS1604" i="7"/>
  <c r="AQ1604" i="7" s="1"/>
  <c r="AL1604" i="7"/>
  <c r="AK1604" i="7"/>
  <c r="AJ1604" i="7" s="1"/>
  <c r="AD1604" i="7"/>
  <c r="AC1604" i="7"/>
  <c r="V1604" i="7"/>
  <c r="U1604" i="7"/>
  <c r="N1604" i="7"/>
  <c r="M1604" i="7"/>
  <c r="L1604" i="7" s="1"/>
  <c r="F1604" i="7"/>
  <c r="E1604" i="7"/>
  <c r="AT1603" i="7"/>
  <c r="AS1603" i="7"/>
  <c r="AR1603" i="7" s="1"/>
  <c r="AL1603" i="7"/>
  <c r="AK1603" i="7"/>
  <c r="AD1603" i="7"/>
  <c r="AC1603" i="7"/>
  <c r="V1603" i="7"/>
  <c r="U1603" i="7"/>
  <c r="N1603" i="7"/>
  <c r="M1603" i="7"/>
  <c r="L1603" i="7" s="1"/>
  <c r="F1603" i="7"/>
  <c r="E1603" i="7"/>
  <c r="AT1602" i="7"/>
  <c r="AS1602" i="7"/>
  <c r="AQ1602" i="7" s="1"/>
  <c r="AL1602" i="7"/>
  <c r="AK1602" i="7"/>
  <c r="AJ1602" i="7" s="1"/>
  <c r="AD1602" i="7"/>
  <c r="AC1602" i="7"/>
  <c r="V1602" i="7"/>
  <c r="U1602" i="7"/>
  <c r="S1602" i="7" s="1"/>
  <c r="N1602" i="7"/>
  <c r="M1602" i="7"/>
  <c r="L1602" i="7" s="1"/>
  <c r="F1602" i="7"/>
  <c r="E1602" i="7"/>
  <c r="AT1601" i="7"/>
  <c r="AS1601" i="7"/>
  <c r="AL1601" i="7"/>
  <c r="AK1601" i="7"/>
  <c r="AJ1601" i="7" s="1"/>
  <c r="AD1601" i="7"/>
  <c r="AC1601" i="7"/>
  <c r="V1601" i="7"/>
  <c r="U1601" i="7"/>
  <c r="N1601" i="7"/>
  <c r="M1601" i="7"/>
  <c r="L1601" i="7" s="1"/>
  <c r="F1601" i="7"/>
  <c r="E1601" i="7"/>
  <c r="AT1600" i="7"/>
  <c r="AS1600" i="7"/>
  <c r="AR1600" i="7" s="1"/>
  <c r="AL1600" i="7"/>
  <c r="AK1600" i="7"/>
  <c r="AJ1600" i="7" s="1"/>
  <c r="AD1600" i="7"/>
  <c r="AC1600" i="7"/>
  <c r="V1600" i="7"/>
  <c r="U1600" i="7"/>
  <c r="S1600" i="7" s="1"/>
  <c r="T1600" i="7"/>
  <c r="N1600" i="7"/>
  <c r="M1600" i="7"/>
  <c r="L1600" i="7" s="1"/>
  <c r="F1600" i="7"/>
  <c r="E1600" i="7"/>
  <c r="AT1599" i="7"/>
  <c r="AS1599" i="7"/>
  <c r="AL1599" i="7"/>
  <c r="AK1599" i="7"/>
  <c r="AD1599" i="7"/>
  <c r="AC1599" i="7"/>
  <c r="V1599" i="7"/>
  <c r="U1599" i="7"/>
  <c r="N1599" i="7"/>
  <c r="M1599" i="7"/>
  <c r="L1599" i="7" s="1"/>
  <c r="F1599" i="7"/>
  <c r="E1599" i="7"/>
  <c r="AT1598" i="7"/>
  <c r="AS1598" i="7"/>
  <c r="AL1598" i="7"/>
  <c r="AK1598" i="7"/>
  <c r="AD1598" i="7"/>
  <c r="AC1598" i="7"/>
  <c r="V1598" i="7"/>
  <c r="U1598" i="7"/>
  <c r="N1598" i="7"/>
  <c r="M1598" i="7"/>
  <c r="L1598" i="7" s="1"/>
  <c r="F1598" i="7"/>
  <c r="E1598" i="7"/>
  <c r="AT1597" i="7"/>
  <c r="AS1597" i="7"/>
  <c r="AR1597" i="7" s="1"/>
  <c r="AL1597" i="7"/>
  <c r="AK1597" i="7"/>
  <c r="AD1597" i="7"/>
  <c r="AC1597" i="7"/>
  <c r="V1597" i="7"/>
  <c r="U1597" i="7"/>
  <c r="T1597" i="7" s="1"/>
  <c r="N1597" i="7"/>
  <c r="M1597" i="7"/>
  <c r="L1597" i="7" s="1"/>
  <c r="F1597" i="7"/>
  <c r="E1597" i="7"/>
  <c r="AT1596" i="7"/>
  <c r="AS1596" i="7"/>
  <c r="AL1596" i="7"/>
  <c r="AK1596" i="7"/>
  <c r="AJ1596" i="7" s="1"/>
  <c r="AD1596" i="7"/>
  <c r="AC1596" i="7"/>
  <c r="V1596" i="7"/>
  <c r="U1596" i="7"/>
  <c r="N1596" i="7"/>
  <c r="M1596" i="7"/>
  <c r="L1596" i="7" s="1"/>
  <c r="F1596" i="7"/>
  <c r="E1596" i="7"/>
  <c r="AT1595" i="7"/>
  <c r="AS1595" i="7"/>
  <c r="AR1595" i="7" s="1"/>
  <c r="AL1595" i="7"/>
  <c r="AK1595" i="7"/>
  <c r="AJ1595" i="7" s="1"/>
  <c r="AD1595" i="7"/>
  <c r="AC1595" i="7"/>
  <c r="V1595" i="7"/>
  <c r="U1595" i="7"/>
  <c r="N1595" i="7"/>
  <c r="M1595" i="7"/>
  <c r="L1595" i="7" s="1"/>
  <c r="F1595" i="7"/>
  <c r="E1595" i="7"/>
  <c r="C1595" i="7" s="1"/>
  <c r="AT1594" i="7"/>
  <c r="AS1594" i="7"/>
  <c r="AQ1594" i="7" s="1"/>
  <c r="AL1594" i="7"/>
  <c r="AK1594" i="7"/>
  <c r="AD1594" i="7"/>
  <c r="AC1594" i="7"/>
  <c r="V1594" i="7"/>
  <c r="U1594" i="7"/>
  <c r="N1594" i="7"/>
  <c r="M1594" i="7"/>
  <c r="L1594" i="7" s="1"/>
  <c r="F1594" i="7"/>
  <c r="E1594" i="7"/>
  <c r="C1594" i="7" s="1"/>
  <c r="AT1593" i="7"/>
  <c r="AS1593" i="7"/>
  <c r="AR1593" i="7" s="1"/>
  <c r="AL1593" i="7"/>
  <c r="AK1593" i="7"/>
  <c r="AJ1593" i="7" s="1"/>
  <c r="AD1593" i="7"/>
  <c r="AC1593" i="7"/>
  <c r="V1593" i="7"/>
  <c r="U1593" i="7"/>
  <c r="T1593" i="7" s="1"/>
  <c r="N1593" i="7"/>
  <c r="M1593" i="7"/>
  <c r="L1593" i="7" s="1"/>
  <c r="F1593" i="7"/>
  <c r="E1593" i="7"/>
  <c r="AT1592" i="7"/>
  <c r="AS1592" i="7"/>
  <c r="AQ1592" i="7" s="1"/>
  <c r="AL1592" i="7"/>
  <c r="AK1592" i="7"/>
  <c r="AD1592" i="7"/>
  <c r="AC1592" i="7"/>
  <c r="V1592" i="7"/>
  <c r="U1592" i="7"/>
  <c r="S1592" i="7" s="1"/>
  <c r="N1592" i="7"/>
  <c r="M1592" i="7"/>
  <c r="L1592" i="7" s="1"/>
  <c r="F1592" i="7"/>
  <c r="E1592" i="7"/>
  <c r="C1592" i="7" s="1"/>
  <c r="AT1591" i="7"/>
  <c r="AS1591" i="7"/>
  <c r="AQ1591" i="7" s="1"/>
  <c r="AL1591" i="7"/>
  <c r="AK1591" i="7"/>
  <c r="AJ1591" i="7" s="1"/>
  <c r="AD1591" i="7"/>
  <c r="AC1591" i="7"/>
  <c r="V1591" i="7"/>
  <c r="U1591" i="7"/>
  <c r="N1591" i="7"/>
  <c r="M1591" i="7"/>
  <c r="L1591" i="7" s="1"/>
  <c r="F1591" i="7"/>
  <c r="E1591" i="7"/>
  <c r="C1591" i="7" s="1"/>
  <c r="AT1590" i="7"/>
  <c r="AS1590" i="7"/>
  <c r="AR1590" i="7" s="1"/>
  <c r="AL1590" i="7"/>
  <c r="AK1590" i="7"/>
  <c r="AD1590" i="7"/>
  <c r="AC1590" i="7"/>
  <c r="V1590" i="7"/>
  <c r="U1590" i="7"/>
  <c r="N1590" i="7"/>
  <c r="M1590" i="7"/>
  <c r="L1590" i="7" s="1"/>
  <c r="F1590" i="7"/>
  <c r="E1590" i="7"/>
  <c r="AT1589" i="7"/>
  <c r="AS1589" i="7"/>
  <c r="AQ1589" i="7" s="1"/>
  <c r="AL1589" i="7"/>
  <c r="AK1589" i="7"/>
  <c r="AJ1589" i="7" s="1"/>
  <c r="AI1589" i="7"/>
  <c r="AH1589" i="7" s="1"/>
  <c r="AD1589" i="7"/>
  <c r="AC1589" i="7"/>
  <c r="V1589" i="7"/>
  <c r="U1589" i="7"/>
  <c r="N1589" i="7"/>
  <c r="M1589" i="7"/>
  <c r="L1589" i="7" s="1"/>
  <c r="F1589" i="7"/>
  <c r="E1589" i="7"/>
  <c r="C1589" i="7" s="1"/>
  <c r="AT1588" i="7"/>
  <c r="AS1588" i="7"/>
  <c r="AL1588" i="7"/>
  <c r="AK1588" i="7"/>
  <c r="AD1588" i="7"/>
  <c r="AC1588" i="7"/>
  <c r="V1588" i="7"/>
  <c r="U1588" i="7"/>
  <c r="T1588" i="7" s="1"/>
  <c r="S1588" i="7"/>
  <c r="N1588" i="7"/>
  <c r="M1588" i="7"/>
  <c r="L1588" i="7" s="1"/>
  <c r="F1588" i="7"/>
  <c r="E1588" i="7"/>
  <c r="C1588" i="7" s="1"/>
  <c r="AT1587" i="7"/>
  <c r="AS1587" i="7"/>
  <c r="AL1587" i="7"/>
  <c r="AK1587" i="7"/>
  <c r="AD1587" i="7"/>
  <c r="AC1587" i="7"/>
  <c r="V1587" i="7"/>
  <c r="U1587" i="7"/>
  <c r="T1587" i="7" s="1"/>
  <c r="N1587" i="7"/>
  <c r="M1587" i="7"/>
  <c r="F1587" i="7"/>
  <c r="E1587" i="7"/>
  <c r="C1587" i="7" s="1"/>
  <c r="AT1586" i="7"/>
  <c r="AS1586" i="7"/>
  <c r="AL1586" i="7"/>
  <c r="AK1586" i="7"/>
  <c r="AD1586" i="7"/>
  <c r="AC1586" i="7"/>
  <c r="V1586" i="7"/>
  <c r="U1586" i="7"/>
  <c r="S1586" i="7" s="1"/>
  <c r="N1586" i="7"/>
  <c r="M1586" i="7"/>
  <c r="L1586" i="7" s="1"/>
  <c r="F1586" i="7"/>
  <c r="E1586" i="7"/>
  <c r="C1586" i="7" s="1"/>
  <c r="AT1585" i="7"/>
  <c r="AS1585" i="7"/>
  <c r="AQ1585" i="7" s="1"/>
  <c r="AL1585" i="7"/>
  <c r="AK1585" i="7"/>
  <c r="AJ1585" i="7" s="1"/>
  <c r="AD1585" i="7"/>
  <c r="AC1585" i="7"/>
  <c r="V1585" i="7"/>
  <c r="U1585" i="7"/>
  <c r="N1585" i="7"/>
  <c r="M1585" i="7"/>
  <c r="L1585" i="7" s="1"/>
  <c r="F1585" i="7"/>
  <c r="E1585" i="7"/>
  <c r="C1585" i="7" s="1"/>
  <c r="AT1584" i="7"/>
  <c r="AS1584" i="7"/>
  <c r="AR1584" i="7" s="1"/>
  <c r="AL1584" i="7"/>
  <c r="AK1584" i="7"/>
  <c r="AJ1584" i="7" s="1"/>
  <c r="AD1584" i="7"/>
  <c r="AC1584" i="7"/>
  <c r="V1584" i="7"/>
  <c r="U1584" i="7"/>
  <c r="T1584" i="7" s="1"/>
  <c r="N1584" i="7"/>
  <c r="M1584" i="7"/>
  <c r="L1584" i="7" s="1"/>
  <c r="F1584" i="7"/>
  <c r="E1584" i="7"/>
  <c r="AT1583" i="7"/>
  <c r="AS1583" i="7"/>
  <c r="AQ1583" i="7" s="1"/>
  <c r="AL1583" i="7"/>
  <c r="AK1583" i="7"/>
  <c r="AJ1583" i="7" s="1"/>
  <c r="AD1583" i="7"/>
  <c r="AC1583" i="7"/>
  <c r="V1583" i="7"/>
  <c r="U1583" i="7"/>
  <c r="S1583" i="7" s="1"/>
  <c r="N1583" i="7"/>
  <c r="M1583" i="7"/>
  <c r="L1583" i="7" s="1"/>
  <c r="F1583" i="7"/>
  <c r="E1583" i="7"/>
  <c r="C1583" i="7" s="1"/>
  <c r="AT1582" i="7"/>
  <c r="AS1582" i="7"/>
  <c r="AQ1582" i="7" s="1"/>
  <c r="AL1582" i="7"/>
  <c r="AK1582" i="7"/>
  <c r="AJ1582" i="7" s="1"/>
  <c r="AD1582" i="7"/>
  <c r="AC1582" i="7"/>
  <c r="V1582" i="7"/>
  <c r="U1582" i="7"/>
  <c r="N1582" i="7"/>
  <c r="M1582" i="7"/>
  <c r="L1582" i="7" s="1"/>
  <c r="F1582" i="7"/>
  <c r="E1582" i="7"/>
  <c r="C1582" i="7" s="1"/>
  <c r="AT1581" i="7"/>
  <c r="AS1581" i="7"/>
  <c r="AR1581" i="7" s="1"/>
  <c r="AL1581" i="7"/>
  <c r="AK1581" i="7"/>
  <c r="AD1581" i="7"/>
  <c r="AC1581" i="7"/>
  <c r="AA1581" i="7" s="1"/>
  <c r="V1581" i="7"/>
  <c r="U1581" i="7"/>
  <c r="N1581" i="7"/>
  <c r="M1581" i="7"/>
  <c r="L1581" i="7" s="1"/>
  <c r="F1581" i="7"/>
  <c r="E1581" i="7"/>
  <c r="C1581" i="7" s="1"/>
  <c r="AT1580" i="7"/>
  <c r="AS1580" i="7"/>
  <c r="AQ1580" i="7" s="1"/>
  <c r="AL1580" i="7"/>
  <c r="AK1580" i="7"/>
  <c r="AJ1580" i="7" s="1"/>
  <c r="AD1580" i="7"/>
  <c r="AC1580" i="7"/>
  <c r="AA1580" i="7" s="1"/>
  <c r="V1580" i="7"/>
  <c r="U1580" i="7"/>
  <c r="N1580" i="7"/>
  <c r="M1580" i="7"/>
  <c r="L1580" i="7" s="1"/>
  <c r="F1580" i="7"/>
  <c r="E1580" i="7"/>
  <c r="C1580" i="7" s="1"/>
  <c r="AT1579" i="7"/>
  <c r="AS1579" i="7"/>
  <c r="AR1579" i="7" s="1"/>
  <c r="AL1579" i="7"/>
  <c r="AK1579" i="7"/>
  <c r="AJ1579" i="7" s="1"/>
  <c r="AD1579" i="7"/>
  <c r="AC1579" i="7"/>
  <c r="AA1579" i="7" s="1"/>
  <c r="V1579" i="7"/>
  <c r="U1579" i="7"/>
  <c r="N1579" i="7"/>
  <c r="M1579" i="7"/>
  <c r="L1579" i="7" s="1"/>
  <c r="F1579" i="7"/>
  <c r="E1579" i="7"/>
  <c r="C1579" i="7" s="1"/>
  <c r="AT1578" i="7"/>
  <c r="AS1578" i="7"/>
  <c r="AL1578" i="7"/>
  <c r="AK1578" i="7"/>
  <c r="AJ1578" i="7" s="1"/>
  <c r="AD1578" i="7"/>
  <c r="AC1578" i="7"/>
  <c r="AA1578" i="7" s="1"/>
  <c r="V1578" i="7"/>
  <c r="U1578" i="7"/>
  <c r="T1578" i="7" s="1"/>
  <c r="N1578" i="7"/>
  <c r="M1578" i="7"/>
  <c r="L1578" i="7" s="1"/>
  <c r="F1578" i="7"/>
  <c r="E1578" i="7"/>
  <c r="C1578" i="7" s="1"/>
  <c r="AT1577" i="7"/>
  <c r="AS1577" i="7"/>
  <c r="AQ1577" i="7" s="1"/>
  <c r="AL1577" i="7"/>
  <c r="AK1577" i="7"/>
  <c r="AJ1577" i="7" s="1"/>
  <c r="AD1577" i="7"/>
  <c r="AC1577" i="7"/>
  <c r="AA1577" i="7" s="1"/>
  <c r="V1577" i="7"/>
  <c r="U1577" i="7"/>
  <c r="N1577" i="7"/>
  <c r="M1577" i="7"/>
  <c r="L1577" i="7" s="1"/>
  <c r="F1577" i="7"/>
  <c r="E1577" i="7"/>
  <c r="C1577" i="7" s="1"/>
  <c r="AT1576" i="7"/>
  <c r="AS1576" i="7"/>
  <c r="AR1576" i="7" s="1"/>
  <c r="AL1576" i="7"/>
  <c r="AK1576" i="7"/>
  <c r="AJ1576" i="7" s="1"/>
  <c r="AD1576" i="7"/>
  <c r="AC1576" i="7"/>
  <c r="AA1576" i="7" s="1"/>
  <c r="V1576" i="7"/>
  <c r="U1576" i="7"/>
  <c r="S1576" i="7" s="1"/>
  <c r="N1576" i="7"/>
  <c r="M1576" i="7"/>
  <c r="L1576" i="7" s="1"/>
  <c r="F1576" i="7"/>
  <c r="E1576" i="7"/>
  <c r="C1576" i="7" s="1"/>
  <c r="AT1575" i="7"/>
  <c r="AS1575" i="7"/>
  <c r="AL1575" i="7"/>
  <c r="AK1575" i="7"/>
  <c r="AJ1575" i="7" s="1"/>
  <c r="AD1575" i="7"/>
  <c r="AC1575" i="7"/>
  <c r="AA1575" i="7" s="1"/>
  <c r="V1575" i="7"/>
  <c r="U1575" i="7"/>
  <c r="T1575" i="7" s="1"/>
  <c r="N1575" i="7"/>
  <c r="M1575" i="7"/>
  <c r="L1575" i="7" s="1"/>
  <c r="F1575" i="7"/>
  <c r="E1575" i="7"/>
  <c r="C1575" i="7" s="1"/>
  <c r="AT1574" i="7"/>
  <c r="AS1574" i="7"/>
  <c r="AL1574" i="7"/>
  <c r="AK1574" i="7"/>
  <c r="AJ1574" i="7" s="1"/>
  <c r="AD1574" i="7"/>
  <c r="AC1574" i="7"/>
  <c r="AA1574" i="7" s="1"/>
  <c r="V1574" i="7"/>
  <c r="U1574" i="7"/>
  <c r="S1574" i="7" s="1"/>
  <c r="N1574" i="7"/>
  <c r="M1574" i="7"/>
  <c r="L1574" i="7" s="1"/>
  <c r="F1574" i="7"/>
  <c r="E1574" i="7"/>
  <c r="C1574" i="7" s="1"/>
  <c r="AT1573" i="7"/>
  <c r="AS1573" i="7"/>
  <c r="AR1573" i="7" s="1"/>
  <c r="AL1573" i="7"/>
  <c r="AK1573" i="7"/>
  <c r="AJ1573" i="7" s="1"/>
  <c r="AD1573" i="7"/>
  <c r="AC1573" i="7"/>
  <c r="AA1573" i="7" s="1"/>
  <c r="V1573" i="7"/>
  <c r="U1573" i="7"/>
  <c r="S1573" i="7" s="1"/>
  <c r="N1573" i="7"/>
  <c r="M1573" i="7"/>
  <c r="L1573" i="7" s="1"/>
  <c r="F1573" i="7"/>
  <c r="E1573" i="7"/>
  <c r="C1573" i="7" s="1"/>
  <c r="AT1572" i="7"/>
  <c r="AS1572" i="7"/>
  <c r="AL1572" i="7"/>
  <c r="AK1572" i="7"/>
  <c r="AJ1572" i="7" s="1"/>
  <c r="AD1572" i="7"/>
  <c r="AC1572" i="7"/>
  <c r="AA1572" i="7" s="1"/>
  <c r="V1572" i="7"/>
  <c r="U1572" i="7"/>
  <c r="T1572" i="7" s="1"/>
  <c r="N1572" i="7"/>
  <c r="M1572" i="7"/>
  <c r="L1572" i="7" s="1"/>
  <c r="F1572" i="7"/>
  <c r="E1572" i="7"/>
  <c r="C1572" i="7" s="1"/>
  <c r="AT1571" i="7"/>
  <c r="AS1571" i="7"/>
  <c r="AL1571" i="7"/>
  <c r="AK1571" i="7"/>
  <c r="AJ1571" i="7" s="1"/>
  <c r="AD1571" i="7"/>
  <c r="AC1571" i="7"/>
  <c r="AA1571" i="7" s="1"/>
  <c r="V1571" i="7"/>
  <c r="U1571" i="7"/>
  <c r="N1571" i="7"/>
  <c r="M1571" i="7"/>
  <c r="L1571" i="7" s="1"/>
  <c r="F1571" i="7"/>
  <c r="E1571" i="7"/>
  <c r="C1571" i="7" s="1"/>
  <c r="AT1570" i="7"/>
  <c r="AS1570" i="7"/>
  <c r="AR1570" i="7" s="1"/>
  <c r="AL1570" i="7"/>
  <c r="AK1570" i="7"/>
  <c r="AJ1570" i="7" s="1"/>
  <c r="AD1570" i="7"/>
  <c r="AC1570" i="7"/>
  <c r="AA1570" i="7" s="1"/>
  <c r="V1570" i="7"/>
  <c r="U1570" i="7"/>
  <c r="N1570" i="7"/>
  <c r="M1570" i="7"/>
  <c r="L1570" i="7" s="1"/>
  <c r="F1570" i="7"/>
  <c r="E1570" i="7"/>
  <c r="C1570" i="7" s="1"/>
  <c r="AT1569" i="7"/>
  <c r="AS1569" i="7"/>
  <c r="AR1569" i="7" s="1"/>
  <c r="AQ1569" i="7"/>
  <c r="AL1569" i="7"/>
  <c r="AK1569" i="7"/>
  <c r="AJ1569" i="7" s="1"/>
  <c r="AD1569" i="7"/>
  <c r="AC1569" i="7"/>
  <c r="AA1569" i="7" s="1"/>
  <c r="V1569" i="7"/>
  <c r="U1569" i="7"/>
  <c r="T1569" i="7" s="1"/>
  <c r="N1569" i="7"/>
  <c r="M1569" i="7"/>
  <c r="L1569" i="7" s="1"/>
  <c r="F1569" i="7"/>
  <c r="E1569" i="7"/>
  <c r="C1569" i="7" s="1"/>
  <c r="AT1568" i="7"/>
  <c r="AS1568" i="7"/>
  <c r="AL1568" i="7"/>
  <c r="AK1568" i="7"/>
  <c r="AJ1568" i="7" s="1"/>
  <c r="AD1568" i="7"/>
  <c r="AC1568" i="7"/>
  <c r="AA1568" i="7" s="1"/>
  <c r="V1568" i="7"/>
  <c r="U1568" i="7"/>
  <c r="T1568" i="7" s="1"/>
  <c r="S1568" i="7"/>
  <c r="N1568" i="7"/>
  <c r="M1568" i="7"/>
  <c r="L1568" i="7" s="1"/>
  <c r="F1568" i="7"/>
  <c r="E1568" i="7"/>
  <c r="C1568" i="7" s="1"/>
  <c r="AT1567" i="7"/>
  <c r="AS1567" i="7"/>
  <c r="AR1567" i="7" s="1"/>
  <c r="AL1567" i="7"/>
  <c r="AK1567" i="7"/>
  <c r="AJ1567" i="7" s="1"/>
  <c r="AD1567" i="7"/>
  <c r="AC1567" i="7"/>
  <c r="AA1567" i="7" s="1"/>
  <c r="V1567" i="7"/>
  <c r="U1567" i="7"/>
  <c r="N1567" i="7"/>
  <c r="M1567" i="7"/>
  <c r="L1567" i="7" s="1"/>
  <c r="F1567" i="7"/>
  <c r="E1567" i="7"/>
  <c r="C1567" i="7" s="1"/>
  <c r="AT1566" i="7"/>
  <c r="AS1566" i="7"/>
  <c r="AR1566" i="7" s="1"/>
  <c r="AL1566" i="7"/>
  <c r="AK1566" i="7"/>
  <c r="AJ1566" i="7" s="1"/>
  <c r="AD1566" i="7"/>
  <c r="AC1566" i="7"/>
  <c r="AA1566" i="7" s="1"/>
  <c r="V1566" i="7"/>
  <c r="U1566" i="7"/>
  <c r="N1566" i="7"/>
  <c r="M1566" i="7"/>
  <c r="L1566" i="7" s="1"/>
  <c r="F1566" i="7"/>
  <c r="E1566" i="7"/>
  <c r="C1566" i="7" s="1"/>
  <c r="AT1565" i="7"/>
  <c r="AS1565" i="7"/>
  <c r="AL1565" i="7"/>
  <c r="AK1565" i="7"/>
  <c r="AJ1565" i="7" s="1"/>
  <c r="AD1565" i="7"/>
  <c r="AC1565" i="7"/>
  <c r="AA1565" i="7" s="1"/>
  <c r="V1565" i="7"/>
  <c r="U1565" i="7"/>
  <c r="N1565" i="7"/>
  <c r="M1565" i="7"/>
  <c r="L1565" i="7" s="1"/>
  <c r="F1565" i="7"/>
  <c r="E1565" i="7"/>
  <c r="C1565" i="7" s="1"/>
  <c r="AT1564" i="7"/>
  <c r="AS1564" i="7"/>
  <c r="AR1564" i="7" s="1"/>
  <c r="AL1564" i="7"/>
  <c r="AK1564" i="7"/>
  <c r="AJ1564" i="7" s="1"/>
  <c r="AD1564" i="7"/>
  <c r="AC1564" i="7"/>
  <c r="AA1564" i="7" s="1"/>
  <c r="V1564" i="7"/>
  <c r="U1564" i="7"/>
  <c r="N1564" i="7"/>
  <c r="M1564" i="7"/>
  <c r="L1564" i="7" s="1"/>
  <c r="F1564" i="7"/>
  <c r="E1564" i="7"/>
  <c r="C1564" i="7" s="1"/>
  <c r="AT1563" i="7"/>
  <c r="AS1563" i="7"/>
  <c r="AL1563" i="7"/>
  <c r="AK1563" i="7"/>
  <c r="AJ1563" i="7" s="1"/>
  <c r="AD1563" i="7"/>
  <c r="AC1563" i="7"/>
  <c r="AA1563" i="7" s="1"/>
  <c r="V1563" i="7"/>
  <c r="U1563" i="7"/>
  <c r="T1563" i="7" s="1"/>
  <c r="N1563" i="7"/>
  <c r="M1563" i="7"/>
  <c r="L1563" i="7" s="1"/>
  <c r="F1563" i="7"/>
  <c r="E1563" i="7"/>
  <c r="C1563" i="7" s="1"/>
  <c r="AT1562" i="7"/>
  <c r="AS1562" i="7"/>
  <c r="AQ1562" i="7" s="1"/>
  <c r="AL1562" i="7"/>
  <c r="AK1562" i="7"/>
  <c r="AJ1562" i="7" s="1"/>
  <c r="AD1562" i="7"/>
  <c r="AC1562" i="7"/>
  <c r="AA1562" i="7" s="1"/>
  <c r="V1562" i="7"/>
  <c r="U1562" i="7"/>
  <c r="T1562" i="7" s="1"/>
  <c r="N1562" i="7"/>
  <c r="M1562" i="7"/>
  <c r="L1562" i="7" s="1"/>
  <c r="F1562" i="7"/>
  <c r="E1562" i="7"/>
  <c r="C1562" i="7" s="1"/>
  <c r="AT1561" i="7"/>
  <c r="AS1561" i="7"/>
  <c r="AR1561" i="7" s="1"/>
  <c r="AL1561" i="7"/>
  <c r="AK1561" i="7"/>
  <c r="AJ1561" i="7" s="1"/>
  <c r="AD1561" i="7"/>
  <c r="AC1561" i="7"/>
  <c r="AA1561" i="7" s="1"/>
  <c r="V1561" i="7"/>
  <c r="U1561" i="7"/>
  <c r="N1561" i="7"/>
  <c r="M1561" i="7"/>
  <c r="L1561" i="7" s="1"/>
  <c r="F1561" i="7"/>
  <c r="E1561" i="7"/>
  <c r="C1561" i="7" s="1"/>
  <c r="AT1560" i="7"/>
  <c r="AS1560" i="7"/>
  <c r="AQ1560" i="7" s="1"/>
  <c r="AL1560" i="7"/>
  <c r="AK1560" i="7"/>
  <c r="AJ1560" i="7" s="1"/>
  <c r="AD1560" i="7"/>
  <c r="AC1560" i="7"/>
  <c r="AA1560" i="7" s="1"/>
  <c r="V1560" i="7"/>
  <c r="U1560" i="7"/>
  <c r="T1560" i="7" s="1"/>
  <c r="N1560" i="7"/>
  <c r="M1560" i="7"/>
  <c r="L1560" i="7" s="1"/>
  <c r="F1560" i="7"/>
  <c r="E1560" i="7"/>
  <c r="C1560" i="7" s="1"/>
  <c r="AT1559" i="7"/>
  <c r="AS1559" i="7"/>
  <c r="AR1559" i="7" s="1"/>
  <c r="AL1559" i="7"/>
  <c r="AK1559" i="7"/>
  <c r="AJ1559" i="7" s="1"/>
  <c r="AD1559" i="7"/>
  <c r="AC1559" i="7"/>
  <c r="AA1559" i="7" s="1"/>
  <c r="V1559" i="7"/>
  <c r="U1559" i="7"/>
  <c r="T1559" i="7" s="1"/>
  <c r="N1559" i="7"/>
  <c r="M1559" i="7"/>
  <c r="L1559" i="7" s="1"/>
  <c r="F1559" i="7"/>
  <c r="E1559" i="7"/>
  <c r="C1559" i="7" s="1"/>
  <c r="AT1558" i="7"/>
  <c r="AS1558" i="7"/>
  <c r="AL1558" i="7"/>
  <c r="AK1558" i="7"/>
  <c r="AJ1558" i="7" s="1"/>
  <c r="AD1558" i="7"/>
  <c r="AC1558" i="7"/>
  <c r="AA1558" i="7" s="1"/>
  <c r="V1558" i="7"/>
  <c r="U1558" i="7"/>
  <c r="T1558" i="7" s="1"/>
  <c r="N1558" i="7"/>
  <c r="M1558" i="7"/>
  <c r="L1558" i="7" s="1"/>
  <c r="F1558" i="7"/>
  <c r="E1558" i="7"/>
  <c r="C1558" i="7" s="1"/>
  <c r="AT1557" i="7"/>
  <c r="AS1557" i="7"/>
  <c r="AR1557" i="7" s="1"/>
  <c r="AL1557" i="7"/>
  <c r="AK1557" i="7"/>
  <c r="AJ1557" i="7" s="1"/>
  <c r="AD1557" i="7"/>
  <c r="AC1557" i="7"/>
  <c r="AA1557" i="7" s="1"/>
  <c r="V1557" i="7"/>
  <c r="U1557" i="7"/>
  <c r="T1557" i="7" s="1"/>
  <c r="N1557" i="7"/>
  <c r="M1557" i="7"/>
  <c r="L1557" i="7" s="1"/>
  <c r="F1557" i="7"/>
  <c r="E1557" i="7"/>
  <c r="C1557" i="7" s="1"/>
  <c r="AT1556" i="7"/>
  <c r="AS1556" i="7"/>
  <c r="AR1556" i="7" s="1"/>
  <c r="AL1556" i="7"/>
  <c r="AK1556" i="7"/>
  <c r="AJ1556" i="7" s="1"/>
  <c r="AD1556" i="7"/>
  <c r="AC1556" i="7"/>
  <c r="AA1556" i="7" s="1"/>
  <c r="V1556" i="7"/>
  <c r="U1556" i="7"/>
  <c r="T1556" i="7" s="1"/>
  <c r="N1556" i="7"/>
  <c r="M1556" i="7"/>
  <c r="L1556" i="7" s="1"/>
  <c r="F1556" i="7"/>
  <c r="E1556" i="7"/>
  <c r="C1556" i="7" s="1"/>
  <c r="AT1555" i="7"/>
  <c r="AS1555" i="7"/>
  <c r="AL1555" i="7"/>
  <c r="AK1555" i="7"/>
  <c r="AJ1555" i="7" s="1"/>
  <c r="AD1555" i="7"/>
  <c r="AC1555" i="7"/>
  <c r="AA1555" i="7" s="1"/>
  <c r="V1555" i="7"/>
  <c r="U1555" i="7"/>
  <c r="T1555" i="7" s="1"/>
  <c r="N1555" i="7"/>
  <c r="M1555" i="7"/>
  <c r="L1555" i="7" s="1"/>
  <c r="F1555" i="7"/>
  <c r="E1555" i="7"/>
  <c r="C1555" i="7" s="1"/>
  <c r="AT1554" i="7"/>
  <c r="AS1554" i="7"/>
  <c r="AL1554" i="7"/>
  <c r="AK1554" i="7"/>
  <c r="AJ1554" i="7" s="1"/>
  <c r="AD1554" i="7"/>
  <c r="AC1554" i="7"/>
  <c r="AA1554" i="7" s="1"/>
  <c r="V1554" i="7"/>
  <c r="U1554" i="7"/>
  <c r="T1554" i="7" s="1"/>
  <c r="N1554" i="7"/>
  <c r="M1554" i="7"/>
  <c r="L1554" i="7" s="1"/>
  <c r="F1554" i="7"/>
  <c r="E1554" i="7"/>
  <c r="C1554" i="7" s="1"/>
  <c r="AT1553" i="7"/>
  <c r="AS1553" i="7"/>
  <c r="AR1553" i="7" s="1"/>
  <c r="AL1553" i="7"/>
  <c r="AK1553" i="7"/>
  <c r="AJ1553" i="7" s="1"/>
  <c r="AD1553" i="7"/>
  <c r="AC1553" i="7"/>
  <c r="AA1553" i="7" s="1"/>
  <c r="V1553" i="7"/>
  <c r="U1553" i="7"/>
  <c r="N1553" i="7"/>
  <c r="M1553" i="7"/>
  <c r="L1553" i="7" s="1"/>
  <c r="F1553" i="7"/>
  <c r="E1553" i="7"/>
  <c r="C1553" i="7" s="1"/>
  <c r="AT1552" i="7"/>
  <c r="AS1552" i="7"/>
  <c r="AL1552" i="7"/>
  <c r="AK1552" i="7"/>
  <c r="AJ1552" i="7" s="1"/>
  <c r="AD1552" i="7"/>
  <c r="AC1552" i="7"/>
  <c r="AA1552" i="7" s="1"/>
  <c r="V1552" i="7"/>
  <c r="U1552" i="7"/>
  <c r="T1552" i="7" s="1"/>
  <c r="N1552" i="7"/>
  <c r="M1552" i="7"/>
  <c r="L1552" i="7" s="1"/>
  <c r="F1552" i="7"/>
  <c r="E1552" i="7"/>
  <c r="C1552" i="7" s="1"/>
  <c r="AT1551" i="7"/>
  <c r="AS1551" i="7"/>
  <c r="AR1551" i="7" s="1"/>
  <c r="AL1551" i="7"/>
  <c r="AK1551" i="7"/>
  <c r="AJ1551" i="7" s="1"/>
  <c r="AD1551" i="7"/>
  <c r="AC1551" i="7"/>
  <c r="AA1551" i="7" s="1"/>
  <c r="V1551" i="7"/>
  <c r="U1551" i="7"/>
  <c r="T1551" i="7" s="1"/>
  <c r="N1551" i="7"/>
  <c r="M1551" i="7"/>
  <c r="L1551" i="7" s="1"/>
  <c r="F1551" i="7"/>
  <c r="E1551" i="7"/>
  <c r="C1551" i="7" s="1"/>
  <c r="AT1550" i="7"/>
  <c r="AS1550" i="7"/>
  <c r="AR1550" i="7" s="1"/>
  <c r="AL1550" i="7"/>
  <c r="AK1550" i="7"/>
  <c r="AI1550" i="7" s="1"/>
  <c r="AD1550" i="7"/>
  <c r="AC1550" i="7"/>
  <c r="AB1550" i="7" s="1"/>
  <c r="V1550" i="7"/>
  <c r="U1550" i="7"/>
  <c r="T1550" i="7" s="1"/>
  <c r="N1550" i="7"/>
  <c r="M1550" i="7"/>
  <c r="K1550" i="7" s="1"/>
  <c r="F1550" i="7"/>
  <c r="E1550" i="7"/>
  <c r="D1550" i="7" s="1"/>
  <c r="AT1549" i="7"/>
  <c r="AS1549" i="7"/>
  <c r="AR1549" i="7" s="1"/>
  <c r="AL1549" i="7"/>
  <c r="AK1549" i="7"/>
  <c r="AI1549" i="7" s="1"/>
  <c r="AD1549" i="7"/>
  <c r="AC1549" i="7"/>
  <c r="AB1549" i="7" s="1"/>
  <c r="V1549" i="7"/>
  <c r="U1549" i="7"/>
  <c r="T1549" i="7" s="1"/>
  <c r="N1549" i="7"/>
  <c r="M1549" i="7"/>
  <c r="F1549" i="7"/>
  <c r="E1549" i="7"/>
  <c r="D1549" i="7" s="1"/>
  <c r="AT1548" i="7"/>
  <c r="AS1548" i="7"/>
  <c r="AR1548" i="7" s="1"/>
  <c r="AL1548" i="7"/>
  <c r="AK1548" i="7"/>
  <c r="AI1548" i="7" s="1"/>
  <c r="AD1548" i="7"/>
  <c r="AC1548" i="7"/>
  <c r="V1548" i="7"/>
  <c r="U1548" i="7"/>
  <c r="T1548" i="7" s="1"/>
  <c r="N1548" i="7"/>
  <c r="M1548" i="7"/>
  <c r="K1548" i="7" s="1"/>
  <c r="F1548" i="7"/>
  <c r="E1548" i="7"/>
  <c r="D1548" i="7" s="1"/>
  <c r="AT1547" i="7"/>
  <c r="AS1547" i="7"/>
  <c r="AR1547" i="7" s="1"/>
  <c r="AL1547" i="7"/>
  <c r="AK1547" i="7"/>
  <c r="AI1547" i="7" s="1"/>
  <c r="AD1547" i="7"/>
  <c r="AC1547" i="7"/>
  <c r="AB1547" i="7" s="1"/>
  <c r="V1547" i="7"/>
  <c r="U1547" i="7"/>
  <c r="T1547" i="7" s="1"/>
  <c r="N1547" i="7"/>
  <c r="M1547" i="7"/>
  <c r="K1547" i="7" s="1"/>
  <c r="F1547" i="7"/>
  <c r="E1547" i="7"/>
  <c r="AT1546" i="7"/>
  <c r="AS1546" i="7"/>
  <c r="AR1546" i="7" s="1"/>
  <c r="AL1546" i="7"/>
  <c r="AK1546" i="7"/>
  <c r="AI1546" i="7" s="1"/>
  <c r="AD1546" i="7"/>
  <c r="AC1546" i="7"/>
  <c r="AB1546" i="7" s="1"/>
  <c r="V1546" i="7"/>
  <c r="U1546" i="7"/>
  <c r="N1546" i="7"/>
  <c r="M1546" i="7"/>
  <c r="F1546" i="7"/>
  <c r="E1546" i="7"/>
  <c r="AT1545" i="7"/>
  <c r="AS1545" i="7"/>
  <c r="AR1545" i="7" s="1"/>
  <c r="AL1545" i="7"/>
  <c r="AK1545" i="7"/>
  <c r="AI1545" i="7" s="1"/>
  <c r="AD1545" i="7"/>
  <c r="AC1545" i="7"/>
  <c r="AB1545" i="7" s="1"/>
  <c r="V1545" i="7"/>
  <c r="U1545" i="7"/>
  <c r="T1545" i="7" s="1"/>
  <c r="N1545" i="7"/>
  <c r="M1545" i="7"/>
  <c r="K1545" i="7" s="1"/>
  <c r="F1545" i="7"/>
  <c r="E1545" i="7"/>
  <c r="D1545" i="7" s="1"/>
  <c r="AT1544" i="7"/>
  <c r="AS1544" i="7"/>
  <c r="AR1544" i="7" s="1"/>
  <c r="AL1544" i="7"/>
  <c r="AK1544" i="7"/>
  <c r="AI1544" i="7" s="1"/>
  <c r="AD1544" i="7"/>
  <c r="AC1544" i="7"/>
  <c r="AB1544" i="7" s="1"/>
  <c r="V1544" i="7"/>
  <c r="U1544" i="7"/>
  <c r="T1544" i="7" s="1"/>
  <c r="N1544" i="7"/>
  <c r="M1544" i="7"/>
  <c r="K1544" i="7" s="1"/>
  <c r="F1544" i="7"/>
  <c r="E1544" i="7"/>
  <c r="D1544" i="7" s="1"/>
  <c r="AT1543" i="7"/>
  <c r="AS1543" i="7"/>
  <c r="AR1543" i="7" s="1"/>
  <c r="AL1543" i="7"/>
  <c r="AK1543" i="7"/>
  <c r="AI1543" i="7" s="1"/>
  <c r="AD1543" i="7"/>
  <c r="AC1543" i="7"/>
  <c r="AB1543" i="7" s="1"/>
  <c r="V1543" i="7"/>
  <c r="U1543" i="7"/>
  <c r="T1543" i="7" s="1"/>
  <c r="N1543" i="7"/>
  <c r="M1543" i="7"/>
  <c r="K1543" i="7" s="1"/>
  <c r="F1543" i="7"/>
  <c r="E1543" i="7"/>
  <c r="AT1542" i="7"/>
  <c r="AS1542" i="7"/>
  <c r="AR1542" i="7" s="1"/>
  <c r="AL1542" i="7"/>
  <c r="AK1542" i="7"/>
  <c r="AI1542" i="7" s="1"/>
  <c r="AD1542" i="7"/>
  <c r="AC1542" i="7"/>
  <c r="AB1542" i="7" s="1"/>
  <c r="V1542" i="7"/>
  <c r="U1542" i="7"/>
  <c r="T1542" i="7" s="1"/>
  <c r="N1542" i="7"/>
  <c r="M1542" i="7"/>
  <c r="K1542" i="7" s="1"/>
  <c r="F1542" i="7"/>
  <c r="E1542" i="7"/>
  <c r="D1542" i="7" s="1"/>
  <c r="AT1541" i="7"/>
  <c r="AS1541" i="7"/>
  <c r="AR1541" i="7" s="1"/>
  <c r="AL1541" i="7"/>
  <c r="AK1541" i="7"/>
  <c r="AI1541" i="7" s="1"/>
  <c r="AD1541" i="7"/>
  <c r="AC1541" i="7"/>
  <c r="AB1541" i="7" s="1"/>
  <c r="V1541" i="7"/>
  <c r="U1541" i="7"/>
  <c r="T1541" i="7" s="1"/>
  <c r="N1541" i="7"/>
  <c r="M1541" i="7"/>
  <c r="K1541" i="7" s="1"/>
  <c r="F1541" i="7"/>
  <c r="E1541" i="7"/>
  <c r="D1541" i="7" s="1"/>
  <c r="AT1540" i="7"/>
  <c r="AS1540" i="7"/>
  <c r="AL1540" i="7"/>
  <c r="AK1540" i="7"/>
  <c r="AI1540" i="7" s="1"/>
  <c r="AD1540" i="7"/>
  <c r="AC1540" i="7"/>
  <c r="AB1540" i="7" s="1"/>
  <c r="V1540" i="7"/>
  <c r="U1540" i="7"/>
  <c r="T1540" i="7" s="1"/>
  <c r="N1540" i="7"/>
  <c r="M1540" i="7"/>
  <c r="K1540" i="7" s="1"/>
  <c r="F1540" i="7"/>
  <c r="E1540" i="7"/>
  <c r="D1540" i="7" s="1"/>
  <c r="AT1539" i="7"/>
  <c r="AS1539" i="7"/>
  <c r="AR1539" i="7" s="1"/>
  <c r="AL1539" i="7"/>
  <c r="AK1539" i="7"/>
  <c r="AI1539" i="7" s="1"/>
  <c r="AD1539" i="7"/>
  <c r="AC1539" i="7"/>
  <c r="V1539" i="7"/>
  <c r="U1539" i="7"/>
  <c r="T1539" i="7" s="1"/>
  <c r="N1539" i="7"/>
  <c r="M1539" i="7"/>
  <c r="K1539" i="7" s="1"/>
  <c r="F1539" i="7"/>
  <c r="E1539" i="7"/>
  <c r="D1539" i="7" s="1"/>
  <c r="AT1538" i="7"/>
  <c r="AS1538" i="7"/>
  <c r="AR1538" i="7" s="1"/>
  <c r="AL1538" i="7"/>
  <c r="AK1538" i="7"/>
  <c r="AI1538" i="7" s="1"/>
  <c r="AD1538" i="7"/>
  <c r="AC1538" i="7"/>
  <c r="AB1538" i="7" s="1"/>
  <c r="V1538" i="7"/>
  <c r="U1538" i="7"/>
  <c r="T1538" i="7" s="1"/>
  <c r="N1538" i="7"/>
  <c r="M1538" i="7"/>
  <c r="K1538" i="7" s="1"/>
  <c r="F1538" i="7"/>
  <c r="E1538" i="7"/>
  <c r="D1538" i="7" s="1"/>
  <c r="AT1537" i="7"/>
  <c r="AS1537" i="7"/>
  <c r="AR1537" i="7" s="1"/>
  <c r="AL1537" i="7"/>
  <c r="AK1537" i="7"/>
  <c r="AI1537" i="7" s="1"/>
  <c r="AD1537" i="7"/>
  <c r="AC1537" i="7"/>
  <c r="V1537" i="7"/>
  <c r="U1537" i="7"/>
  <c r="T1537" i="7" s="1"/>
  <c r="N1537" i="7"/>
  <c r="M1537" i="7"/>
  <c r="F1537" i="7"/>
  <c r="E1537" i="7"/>
  <c r="D1537" i="7" s="1"/>
  <c r="C1537" i="7"/>
  <c r="AT1536" i="7"/>
  <c r="AS1536" i="7"/>
  <c r="AR1536" i="7" s="1"/>
  <c r="AL1536" i="7"/>
  <c r="AK1536" i="7"/>
  <c r="AI1536" i="7" s="1"/>
  <c r="AD1536" i="7"/>
  <c r="AC1536" i="7"/>
  <c r="V1536" i="7"/>
  <c r="U1536" i="7"/>
  <c r="T1536" i="7" s="1"/>
  <c r="N1536" i="7"/>
  <c r="M1536" i="7"/>
  <c r="K1536" i="7" s="1"/>
  <c r="F1536" i="7"/>
  <c r="E1536" i="7"/>
  <c r="D1536" i="7" s="1"/>
  <c r="AT1535" i="7"/>
  <c r="AS1535" i="7"/>
  <c r="AR1535" i="7" s="1"/>
  <c r="AL1535" i="7"/>
  <c r="AK1535" i="7"/>
  <c r="AI1535" i="7" s="1"/>
  <c r="AD1535" i="7"/>
  <c r="AC1535" i="7"/>
  <c r="AB1535" i="7" s="1"/>
  <c r="V1535" i="7"/>
  <c r="U1535" i="7"/>
  <c r="T1535" i="7" s="1"/>
  <c r="N1535" i="7"/>
  <c r="M1535" i="7"/>
  <c r="K1535" i="7" s="1"/>
  <c r="F1535" i="7"/>
  <c r="E1535" i="7"/>
  <c r="D1535" i="7" s="1"/>
  <c r="AT1534" i="7"/>
  <c r="AS1534" i="7"/>
  <c r="AL1534" i="7"/>
  <c r="AK1534" i="7"/>
  <c r="AI1534" i="7" s="1"/>
  <c r="AD1534" i="7"/>
  <c r="AC1534" i="7"/>
  <c r="AB1534" i="7" s="1"/>
  <c r="V1534" i="7"/>
  <c r="U1534" i="7"/>
  <c r="T1534" i="7" s="1"/>
  <c r="S1534" i="7"/>
  <c r="N1534" i="7"/>
  <c r="M1534" i="7"/>
  <c r="K1534" i="7" s="1"/>
  <c r="F1534" i="7"/>
  <c r="E1534" i="7"/>
  <c r="AT1533" i="7"/>
  <c r="AS1533" i="7"/>
  <c r="AR1533" i="7" s="1"/>
  <c r="AL1533" i="7"/>
  <c r="AK1533" i="7"/>
  <c r="AI1533" i="7" s="1"/>
  <c r="AD1533" i="7"/>
  <c r="AC1533" i="7"/>
  <c r="AA1533" i="7" s="1"/>
  <c r="V1533" i="7"/>
  <c r="U1533" i="7"/>
  <c r="T1533" i="7" s="1"/>
  <c r="N1533" i="7"/>
  <c r="M1533" i="7"/>
  <c r="K1533" i="7" s="1"/>
  <c r="F1533" i="7"/>
  <c r="E1533" i="7"/>
  <c r="D1533" i="7" s="1"/>
  <c r="AT1532" i="7"/>
  <c r="AS1532" i="7"/>
  <c r="AR1532" i="7" s="1"/>
  <c r="AL1532" i="7"/>
  <c r="AK1532" i="7"/>
  <c r="AI1532" i="7" s="1"/>
  <c r="AD1532" i="7"/>
  <c r="AC1532" i="7"/>
  <c r="AB1532" i="7" s="1"/>
  <c r="V1532" i="7"/>
  <c r="U1532" i="7"/>
  <c r="T1532" i="7" s="1"/>
  <c r="N1532" i="7"/>
  <c r="M1532" i="7"/>
  <c r="K1532" i="7" s="1"/>
  <c r="F1532" i="7"/>
  <c r="E1532" i="7"/>
  <c r="D1532" i="7" s="1"/>
  <c r="AT1531" i="7"/>
  <c r="AS1531" i="7"/>
  <c r="AR1531" i="7" s="1"/>
  <c r="AL1531" i="7"/>
  <c r="AK1531" i="7"/>
  <c r="AI1531" i="7" s="1"/>
  <c r="AD1531" i="7"/>
  <c r="AC1531" i="7"/>
  <c r="AB1531" i="7" s="1"/>
  <c r="V1531" i="7"/>
  <c r="U1531" i="7"/>
  <c r="T1531" i="7" s="1"/>
  <c r="N1531" i="7"/>
  <c r="M1531" i="7"/>
  <c r="K1531" i="7" s="1"/>
  <c r="F1531" i="7"/>
  <c r="E1531" i="7"/>
  <c r="C1531" i="7" s="1"/>
  <c r="AT1530" i="7"/>
  <c r="AS1530" i="7"/>
  <c r="AR1530" i="7" s="1"/>
  <c r="AL1530" i="7"/>
  <c r="AK1530" i="7"/>
  <c r="AI1530" i="7" s="1"/>
  <c r="AD1530" i="7"/>
  <c r="AC1530" i="7"/>
  <c r="AA1530" i="7" s="1"/>
  <c r="V1530" i="7"/>
  <c r="U1530" i="7"/>
  <c r="T1530" i="7" s="1"/>
  <c r="N1530" i="7"/>
  <c r="M1530" i="7"/>
  <c r="K1530" i="7" s="1"/>
  <c r="F1530" i="7"/>
  <c r="E1530" i="7"/>
  <c r="D1530" i="7" s="1"/>
  <c r="AT1529" i="7"/>
  <c r="AS1529" i="7"/>
  <c r="AL1529" i="7"/>
  <c r="AK1529" i="7"/>
  <c r="AI1529" i="7" s="1"/>
  <c r="AD1529" i="7"/>
  <c r="AC1529" i="7"/>
  <c r="AB1529" i="7" s="1"/>
  <c r="V1529" i="7"/>
  <c r="U1529" i="7"/>
  <c r="T1529" i="7" s="1"/>
  <c r="N1529" i="7"/>
  <c r="M1529" i="7"/>
  <c r="K1529" i="7" s="1"/>
  <c r="F1529" i="7"/>
  <c r="E1529" i="7"/>
  <c r="D1529" i="7" s="1"/>
  <c r="AT1528" i="7"/>
  <c r="AS1528" i="7"/>
  <c r="AR1528" i="7" s="1"/>
  <c r="AL1528" i="7"/>
  <c r="AK1528" i="7"/>
  <c r="AI1528" i="7" s="1"/>
  <c r="AD1528" i="7"/>
  <c r="AC1528" i="7"/>
  <c r="V1528" i="7"/>
  <c r="U1528" i="7"/>
  <c r="N1528" i="7"/>
  <c r="M1528" i="7"/>
  <c r="K1528" i="7" s="1"/>
  <c r="F1528" i="7"/>
  <c r="E1528" i="7"/>
  <c r="D1528" i="7" s="1"/>
  <c r="C1528" i="7"/>
  <c r="AT1527" i="7"/>
  <c r="AS1527" i="7"/>
  <c r="AL1527" i="7"/>
  <c r="AK1527" i="7"/>
  <c r="AI1527" i="7" s="1"/>
  <c r="AD1527" i="7"/>
  <c r="AC1527" i="7"/>
  <c r="AB1527" i="7" s="1"/>
  <c r="V1527" i="7"/>
  <c r="U1527" i="7"/>
  <c r="T1527" i="7" s="1"/>
  <c r="N1527" i="7"/>
  <c r="M1527" i="7"/>
  <c r="K1527" i="7" s="1"/>
  <c r="F1527" i="7"/>
  <c r="E1527" i="7"/>
  <c r="D1527" i="7" s="1"/>
  <c r="AT1526" i="7"/>
  <c r="AS1526" i="7"/>
  <c r="AR1526" i="7" s="1"/>
  <c r="AL1526" i="7"/>
  <c r="AK1526" i="7"/>
  <c r="AI1526" i="7" s="1"/>
  <c r="AD1526" i="7"/>
  <c r="AC1526" i="7"/>
  <c r="AB1526" i="7" s="1"/>
  <c r="V1526" i="7"/>
  <c r="U1526" i="7"/>
  <c r="T1526" i="7" s="1"/>
  <c r="N1526" i="7"/>
  <c r="M1526" i="7"/>
  <c r="K1526" i="7" s="1"/>
  <c r="F1526" i="7"/>
  <c r="E1526" i="7"/>
  <c r="AT1525" i="7"/>
  <c r="AS1525" i="7"/>
  <c r="AR1525" i="7" s="1"/>
  <c r="AL1525" i="7"/>
  <c r="AK1525" i="7"/>
  <c r="AI1525" i="7" s="1"/>
  <c r="AD1525" i="7"/>
  <c r="AC1525" i="7"/>
  <c r="AB1525" i="7" s="1"/>
  <c r="V1525" i="7"/>
  <c r="U1525" i="7"/>
  <c r="T1525" i="7" s="1"/>
  <c r="N1525" i="7"/>
  <c r="M1525" i="7"/>
  <c r="K1525" i="7" s="1"/>
  <c r="F1525" i="7"/>
  <c r="E1525" i="7"/>
  <c r="D1525" i="7" s="1"/>
  <c r="AT1524" i="7"/>
  <c r="AS1524" i="7"/>
  <c r="AR1524" i="7" s="1"/>
  <c r="AL1524" i="7"/>
  <c r="AK1524" i="7"/>
  <c r="AI1524" i="7" s="1"/>
  <c r="AD1524" i="7"/>
  <c r="AC1524" i="7"/>
  <c r="AA1524" i="7" s="1"/>
  <c r="V1524" i="7"/>
  <c r="U1524" i="7"/>
  <c r="T1524" i="7" s="1"/>
  <c r="N1524" i="7"/>
  <c r="M1524" i="7"/>
  <c r="K1524" i="7" s="1"/>
  <c r="F1524" i="7"/>
  <c r="E1524" i="7"/>
  <c r="D1524" i="7" s="1"/>
  <c r="AT1523" i="7"/>
  <c r="AS1523" i="7"/>
  <c r="AR1523" i="7" s="1"/>
  <c r="AL1523" i="7"/>
  <c r="AK1523" i="7"/>
  <c r="AI1523" i="7" s="1"/>
  <c r="AD1523" i="7"/>
  <c r="AC1523" i="7"/>
  <c r="AB1523" i="7" s="1"/>
  <c r="V1523" i="7"/>
  <c r="U1523" i="7"/>
  <c r="T1523" i="7" s="1"/>
  <c r="N1523" i="7"/>
  <c r="M1523" i="7"/>
  <c r="K1523" i="7" s="1"/>
  <c r="F1523" i="7"/>
  <c r="E1523" i="7"/>
  <c r="D1523" i="7" s="1"/>
  <c r="AT1522" i="7"/>
  <c r="AS1522" i="7"/>
  <c r="AL1522" i="7"/>
  <c r="AK1522" i="7"/>
  <c r="AI1522" i="7" s="1"/>
  <c r="AD1522" i="7"/>
  <c r="AC1522" i="7"/>
  <c r="V1522" i="7"/>
  <c r="U1522" i="7"/>
  <c r="N1522" i="7"/>
  <c r="M1522" i="7"/>
  <c r="K1522" i="7" s="1"/>
  <c r="F1522" i="7"/>
  <c r="E1522" i="7"/>
  <c r="AT1521" i="7"/>
  <c r="AS1521" i="7"/>
  <c r="AR1521" i="7" s="1"/>
  <c r="AL1521" i="7"/>
  <c r="AK1521" i="7"/>
  <c r="AI1521" i="7" s="1"/>
  <c r="AD1521" i="7"/>
  <c r="AC1521" i="7"/>
  <c r="AB1521" i="7" s="1"/>
  <c r="V1521" i="7"/>
  <c r="U1521" i="7"/>
  <c r="T1521" i="7" s="1"/>
  <c r="N1521" i="7"/>
  <c r="M1521" i="7"/>
  <c r="K1521" i="7" s="1"/>
  <c r="F1521" i="7"/>
  <c r="E1521" i="7"/>
  <c r="D1521" i="7" s="1"/>
  <c r="AT1520" i="7"/>
  <c r="AS1520" i="7"/>
  <c r="AR1520" i="7" s="1"/>
  <c r="AL1520" i="7"/>
  <c r="AK1520" i="7"/>
  <c r="AI1520" i="7" s="1"/>
  <c r="AD1520" i="7"/>
  <c r="AC1520" i="7"/>
  <c r="AB1520" i="7" s="1"/>
  <c r="V1520" i="7"/>
  <c r="U1520" i="7"/>
  <c r="T1520" i="7" s="1"/>
  <c r="N1520" i="7"/>
  <c r="M1520" i="7"/>
  <c r="K1520" i="7" s="1"/>
  <c r="F1520" i="7"/>
  <c r="E1520" i="7"/>
  <c r="D1520" i="7" s="1"/>
  <c r="AT1519" i="7"/>
  <c r="AS1519" i="7"/>
  <c r="AR1519" i="7" s="1"/>
  <c r="AL1519" i="7"/>
  <c r="AK1519" i="7"/>
  <c r="AI1519" i="7" s="1"/>
  <c r="AD1519" i="7"/>
  <c r="AC1519" i="7"/>
  <c r="AB1519" i="7" s="1"/>
  <c r="V1519" i="7"/>
  <c r="U1519" i="7"/>
  <c r="T1519" i="7" s="1"/>
  <c r="N1519" i="7"/>
  <c r="M1519" i="7"/>
  <c r="K1519" i="7" s="1"/>
  <c r="F1519" i="7"/>
  <c r="E1519" i="7"/>
  <c r="D1519" i="7" s="1"/>
  <c r="AT1518" i="7"/>
  <c r="AS1518" i="7"/>
  <c r="AR1518" i="7" s="1"/>
  <c r="AL1518" i="7"/>
  <c r="AK1518" i="7"/>
  <c r="AI1518" i="7" s="1"/>
  <c r="AD1518" i="7"/>
  <c r="AC1518" i="7"/>
  <c r="V1518" i="7"/>
  <c r="U1518" i="7"/>
  <c r="T1518" i="7" s="1"/>
  <c r="N1518" i="7"/>
  <c r="M1518" i="7"/>
  <c r="K1518" i="7" s="1"/>
  <c r="F1518" i="7"/>
  <c r="E1518" i="7"/>
  <c r="AT1517" i="7"/>
  <c r="AS1517" i="7"/>
  <c r="AR1517" i="7" s="1"/>
  <c r="AL1517" i="7"/>
  <c r="AK1517" i="7"/>
  <c r="AI1517" i="7" s="1"/>
  <c r="AD1517" i="7"/>
  <c r="AC1517" i="7"/>
  <c r="AB1517" i="7" s="1"/>
  <c r="V1517" i="7"/>
  <c r="U1517" i="7"/>
  <c r="T1517" i="7" s="1"/>
  <c r="N1517" i="7"/>
  <c r="M1517" i="7"/>
  <c r="K1517" i="7" s="1"/>
  <c r="F1517" i="7"/>
  <c r="E1517" i="7"/>
  <c r="D1517" i="7" s="1"/>
  <c r="AT1516" i="7"/>
  <c r="AS1516" i="7"/>
  <c r="AR1516" i="7" s="1"/>
  <c r="AL1516" i="7"/>
  <c r="AK1516" i="7"/>
  <c r="AI1516" i="7" s="1"/>
  <c r="AD1516" i="7"/>
  <c r="AC1516" i="7"/>
  <c r="V1516" i="7"/>
  <c r="U1516" i="7"/>
  <c r="T1516" i="7" s="1"/>
  <c r="N1516" i="7"/>
  <c r="M1516" i="7"/>
  <c r="K1516" i="7" s="1"/>
  <c r="F1516" i="7"/>
  <c r="E1516" i="7"/>
  <c r="C1516" i="7" s="1"/>
  <c r="AT1515" i="7"/>
  <c r="AS1515" i="7"/>
  <c r="AR1515" i="7" s="1"/>
  <c r="AL1515" i="7"/>
  <c r="AK1515" i="7"/>
  <c r="AI1515" i="7" s="1"/>
  <c r="AD1515" i="7"/>
  <c r="AC1515" i="7"/>
  <c r="AB1515" i="7" s="1"/>
  <c r="V1515" i="7"/>
  <c r="U1515" i="7"/>
  <c r="T1515" i="7" s="1"/>
  <c r="N1515" i="7"/>
  <c r="M1515" i="7"/>
  <c r="K1515" i="7" s="1"/>
  <c r="F1515" i="7"/>
  <c r="E1515" i="7"/>
  <c r="D1515" i="7" s="1"/>
  <c r="AT1514" i="7"/>
  <c r="AS1514" i="7"/>
  <c r="AR1514" i="7" s="1"/>
  <c r="AL1514" i="7"/>
  <c r="AK1514" i="7"/>
  <c r="AI1514" i="7" s="1"/>
  <c r="AD1514" i="7"/>
  <c r="AC1514" i="7"/>
  <c r="AB1514" i="7" s="1"/>
  <c r="V1514" i="7"/>
  <c r="U1514" i="7"/>
  <c r="T1514" i="7" s="1"/>
  <c r="N1514" i="7"/>
  <c r="M1514" i="7"/>
  <c r="K1514" i="7" s="1"/>
  <c r="F1514" i="7"/>
  <c r="E1514" i="7"/>
  <c r="C1514" i="7" s="1"/>
  <c r="AT1513" i="7"/>
  <c r="AS1513" i="7"/>
  <c r="AL1513" i="7"/>
  <c r="AK1513" i="7"/>
  <c r="AI1513" i="7" s="1"/>
  <c r="AD1513" i="7"/>
  <c r="AC1513" i="7"/>
  <c r="AB1513" i="7" s="1"/>
  <c r="AA1513" i="7"/>
  <c r="V1513" i="7"/>
  <c r="U1513" i="7"/>
  <c r="T1513" i="7" s="1"/>
  <c r="N1513" i="7"/>
  <c r="M1513" i="7"/>
  <c r="K1513" i="7" s="1"/>
  <c r="F1513" i="7"/>
  <c r="E1513" i="7"/>
  <c r="D1513" i="7" s="1"/>
  <c r="AT1512" i="7"/>
  <c r="AS1512" i="7"/>
  <c r="AR1512" i="7" s="1"/>
  <c r="AL1512" i="7"/>
  <c r="AK1512" i="7"/>
  <c r="AI1512" i="7" s="1"/>
  <c r="AD1512" i="7"/>
  <c r="AC1512" i="7"/>
  <c r="V1512" i="7"/>
  <c r="U1512" i="7"/>
  <c r="T1512" i="7" s="1"/>
  <c r="N1512" i="7"/>
  <c r="M1512" i="7"/>
  <c r="K1512" i="7" s="1"/>
  <c r="F1512" i="7"/>
  <c r="E1512" i="7"/>
  <c r="D1512" i="7" s="1"/>
  <c r="AT1511" i="7"/>
  <c r="AS1511" i="7"/>
  <c r="AL1511" i="7"/>
  <c r="AK1511" i="7"/>
  <c r="AI1511" i="7" s="1"/>
  <c r="AD1511" i="7"/>
  <c r="AC1511" i="7"/>
  <c r="AB1511" i="7" s="1"/>
  <c r="V1511" i="7"/>
  <c r="U1511" i="7"/>
  <c r="T1511" i="7" s="1"/>
  <c r="N1511" i="7"/>
  <c r="M1511" i="7"/>
  <c r="K1511" i="7" s="1"/>
  <c r="F1511" i="7"/>
  <c r="E1511" i="7"/>
  <c r="AT1510" i="7"/>
  <c r="AS1510" i="7"/>
  <c r="AR1510" i="7" s="1"/>
  <c r="AL1510" i="7"/>
  <c r="AK1510" i="7"/>
  <c r="AI1510" i="7" s="1"/>
  <c r="AD1510" i="7"/>
  <c r="AC1510" i="7"/>
  <c r="AA1510" i="7" s="1"/>
  <c r="V1510" i="7"/>
  <c r="U1510" i="7"/>
  <c r="T1510" i="7" s="1"/>
  <c r="S1510" i="7"/>
  <c r="N1510" i="7"/>
  <c r="M1510" i="7"/>
  <c r="K1510" i="7" s="1"/>
  <c r="F1510" i="7"/>
  <c r="E1510" i="7"/>
  <c r="C1510" i="7" s="1"/>
  <c r="AT1509" i="7"/>
  <c r="AS1509" i="7"/>
  <c r="AL1509" i="7"/>
  <c r="AK1509" i="7"/>
  <c r="AI1509" i="7" s="1"/>
  <c r="AD1509" i="7"/>
  <c r="AC1509" i="7"/>
  <c r="AB1509" i="7" s="1"/>
  <c r="V1509" i="7"/>
  <c r="U1509" i="7"/>
  <c r="T1509" i="7" s="1"/>
  <c r="N1509" i="7"/>
  <c r="M1509" i="7"/>
  <c r="K1509" i="7" s="1"/>
  <c r="F1509" i="7"/>
  <c r="E1509" i="7"/>
  <c r="D1509" i="7" s="1"/>
  <c r="AT1508" i="7"/>
  <c r="AS1508" i="7"/>
  <c r="AR1508" i="7" s="1"/>
  <c r="AL1508" i="7"/>
  <c r="AK1508" i="7"/>
  <c r="AI1508" i="7" s="1"/>
  <c r="AD1508" i="7"/>
  <c r="AC1508" i="7"/>
  <c r="V1508" i="7"/>
  <c r="U1508" i="7"/>
  <c r="N1508" i="7"/>
  <c r="M1508" i="7"/>
  <c r="K1508" i="7" s="1"/>
  <c r="F1508" i="7"/>
  <c r="E1508" i="7"/>
  <c r="C1508" i="7" s="1"/>
  <c r="AT1507" i="7"/>
  <c r="AS1507" i="7"/>
  <c r="AL1507" i="7"/>
  <c r="AK1507" i="7"/>
  <c r="AI1507" i="7" s="1"/>
  <c r="AD1507" i="7"/>
  <c r="AC1507" i="7"/>
  <c r="V1507" i="7"/>
  <c r="U1507" i="7"/>
  <c r="T1507" i="7" s="1"/>
  <c r="N1507" i="7"/>
  <c r="M1507" i="7"/>
  <c r="K1507" i="7" s="1"/>
  <c r="F1507" i="7"/>
  <c r="E1507" i="7"/>
  <c r="AT1506" i="7"/>
  <c r="AS1506" i="7"/>
  <c r="AL1506" i="7"/>
  <c r="AK1506" i="7"/>
  <c r="AI1506" i="7" s="1"/>
  <c r="AD1506" i="7"/>
  <c r="AC1506" i="7"/>
  <c r="V1506" i="7"/>
  <c r="U1506" i="7"/>
  <c r="N1506" i="7"/>
  <c r="M1506" i="7"/>
  <c r="F1506" i="7"/>
  <c r="E1506" i="7"/>
  <c r="C1506" i="7" s="1"/>
  <c r="AT1505" i="7"/>
  <c r="AS1505" i="7"/>
  <c r="AL1505" i="7"/>
  <c r="AK1505" i="7"/>
  <c r="AI1505" i="7" s="1"/>
  <c r="AD1505" i="7"/>
  <c r="AC1505" i="7"/>
  <c r="V1505" i="7"/>
  <c r="U1505" i="7"/>
  <c r="T1505" i="7" s="1"/>
  <c r="N1505" i="7"/>
  <c r="M1505" i="7"/>
  <c r="F1505" i="7"/>
  <c r="E1505" i="7"/>
  <c r="D1505" i="7" s="1"/>
  <c r="AT1504" i="7"/>
  <c r="AS1504" i="7"/>
  <c r="AL1504" i="7"/>
  <c r="AK1504" i="7"/>
  <c r="AI1504" i="7" s="1"/>
  <c r="AD1504" i="7"/>
  <c r="AC1504" i="7"/>
  <c r="AA1504" i="7" s="1"/>
  <c r="V1504" i="7"/>
  <c r="U1504" i="7"/>
  <c r="T1504" i="7" s="1"/>
  <c r="N1504" i="7"/>
  <c r="M1504" i="7"/>
  <c r="F1504" i="7"/>
  <c r="E1504" i="7"/>
  <c r="AT1503" i="7"/>
  <c r="AS1503" i="7"/>
  <c r="AR1503" i="7" s="1"/>
  <c r="AL1503" i="7"/>
  <c r="AK1503" i="7"/>
  <c r="AI1503" i="7" s="1"/>
  <c r="AD1503" i="7"/>
  <c r="AC1503" i="7"/>
  <c r="V1503" i="7"/>
  <c r="U1503" i="7"/>
  <c r="T1503" i="7" s="1"/>
  <c r="N1503" i="7"/>
  <c r="M1503" i="7"/>
  <c r="K1503" i="7" s="1"/>
  <c r="F1503" i="7"/>
  <c r="E1503" i="7"/>
  <c r="D1503" i="7" s="1"/>
  <c r="AT1502" i="7"/>
  <c r="AS1502" i="7"/>
  <c r="AR1502" i="7" s="1"/>
  <c r="AL1502" i="7"/>
  <c r="AK1502" i="7"/>
  <c r="AI1502" i="7" s="1"/>
  <c r="AD1502" i="7"/>
  <c r="AC1502" i="7"/>
  <c r="AB1502" i="7" s="1"/>
  <c r="V1502" i="7"/>
  <c r="U1502" i="7"/>
  <c r="T1502" i="7" s="1"/>
  <c r="N1502" i="7"/>
  <c r="M1502" i="7"/>
  <c r="K1502" i="7" s="1"/>
  <c r="F1502" i="7"/>
  <c r="E1502" i="7"/>
  <c r="C1502" i="7" s="1"/>
  <c r="AT1501" i="7"/>
  <c r="AS1501" i="7"/>
  <c r="AR1501" i="7" s="1"/>
  <c r="AL1501" i="7"/>
  <c r="AK1501" i="7"/>
  <c r="AI1501" i="7" s="1"/>
  <c r="AD1501" i="7"/>
  <c r="AC1501" i="7"/>
  <c r="AB1501" i="7" s="1"/>
  <c r="V1501" i="7"/>
  <c r="U1501" i="7"/>
  <c r="N1501" i="7"/>
  <c r="M1501" i="7"/>
  <c r="K1501" i="7" s="1"/>
  <c r="F1501" i="7"/>
  <c r="E1501" i="7"/>
  <c r="AT1500" i="7"/>
  <c r="AS1500" i="7"/>
  <c r="AL1500" i="7"/>
  <c r="AK1500" i="7"/>
  <c r="AI1500" i="7" s="1"/>
  <c r="AD1500" i="7"/>
  <c r="AC1500" i="7"/>
  <c r="AB1500" i="7" s="1"/>
  <c r="AA1500" i="7"/>
  <c r="V1500" i="7"/>
  <c r="U1500" i="7"/>
  <c r="N1500" i="7"/>
  <c r="M1500" i="7"/>
  <c r="F1500" i="7"/>
  <c r="E1500" i="7"/>
  <c r="AT1499" i="7"/>
  <c r="AS1499" i="7"/>
  <c r="AL1499" i="7"/>
  <c r="AK1499" i="7"/>
  <c r="AI1499" i="7" s="1"/>
  <c r="AD1499" i="7"/>
  <c r="AC1499" i="7"/>
  <c r="V1499" i="7"/>
  <c r="U1499" i="7"/>
  <c r="T1499" i="7" s="1"/>
  <c r="N1499" i="7"/>
  <c r="M1499" i="7"/>
  <c r="F1499" i="7"/>
  <c r="E1499" i="7"/>
  <c r="D1499" i="7" s="1"/>
  <c r="AT1498" i="7"/>
  <c r="AS1498" i="7"/>
  <c r="AL1498" i="7"/>
  <c r="AK1498" i="7"/>
  <c r="AI1498" i="7" s="1"/>
  <c r="AD1498" i="7"/>
  <c r="AC1498" i="7"/>
  <c r="V1498" i="7"/>
  <c r="U1498" i="7"/>
  <c r="T1498" i="7" s="1"/>
  <c r="N1498" i="7"/>
  <c r="M1498" i="7"/>
  <c r="F1498" i="7"/>
  <c r="E1498" i="7"/>
  <c r="AT1497" i="7"/>
  <c r="AS1497" i="7"/>
  <c r="AL1497" i="7"/>
  <c r="AK1497" i="7"/>
  <c r="AI1497" i="7" s="1"/>
  <c r="AD1497" i="7"/>
  <c r="AC1497" i="7"/>
  <c r="V1497" i="7"/>
  <c r="U1497" i="7"/>
  <c r="N1497" i="7"/>
  <c r="M1497" i="7"/>
  <c r="K1497" i="7" s="1"/>
  <c r="F1497" i="7"/>
  <c r="E1497" i="7"/>
  <c r="C1497" i="7" s="1"/>
  <c r="AT1496" i="7"/>
  <c r="AS1496" i="7"/>
  <c r="AR1496" i="7" s="1"/>
  <c r="AL1496" i="7"/>
  <c r="AK1496" i="7"/>
  <c r="AI1496" i="7" s="1"/>
  <c r="AD1496" i="7"/>
  <c r="AC1496" i="7"/>
  <c r="V1496" i="7"/>
  <c r="U1496" i="7"/>
  <c r="N1496" i="7"/>
  <c r="M1496" i="7"/>
  <c r="K1496" i="7" s="1"/>
  <c r="F1496" i="7"/>
  <c r="E1496" i="7"/>
  <c r="AT1495" i="7"/>
  <c r="AS1495" i="7"/>
  <c r="AR1495" i="7" s="1"/>
  <c r="AL1495" i="7"/>
  <c r="AK1495" i="7"/>
  <c r="AI1495" i="7" s="1"/>
  <c r="AD1495" i="7"/>
  <c r="AC1495" i="7"/>
  <c r="AB1495" i="7" s="1"/>
  <c r="V1495" i="7"/>
  <c r="U1495" i="7"/>
  <c r="N1495" i="7"/>
  <c r="M1495" i="7"/>
  <c r="K1495" i="7" s="1"/>
  <c r="F1495" i="7"/>
  <c r="E1495" i="7"/>
  <c r="AT1494" i="7"/>
  <c r="AS1494" i="7"/>
  <c r="AR1494" i="7" s="1"/>
  <c r="AL1494" i="7"/>
  <c r="AK1494" i="7"/>
  <c r="AI1494" i="7" s="1"/>
  <c r="AD1494" i="7"/>
  <c r="AC1494" i="7"/>
  <c r="V1494" i="7"/>
  <c r="U1494" i="7"/>
  <c r="N1494" i="7"/>
  <c r="M1494" i="7"/>
  <c r="F1494" i="7"/>
  <c r="E1494" i="7"/>
  <c r="C1494" i="7" s="1"/>
  <c r="AT1493" i="7"/>
  <c r="AS1493" i="7"/>
  <c r="AR1493" i="7" s="1"/>
  <c r="AL1493" i="7"/>
  <c r="AK1493" i="7"/>
  <c r="AI1493" i="7" s="1"/>
  <c r="AD1493" i="7"/>
  <c r="AC1493" i="7"/>
  <c r="V1493" i="7"/>
  <c r="U1493" i="7"/>
  <c r="T1493" i="7" s="1"/>
  <c r="N1493" i="7"/>
  <c r="M1493" i="7"/>
  <c r="F1493" i="7"/>
  <c r="E1493" i="7"/>
  <c r="D1493" i="7" s="1"/>
  <c r="AT1492" i="7"/>
  <c r="AS1492" i="7"/>
  <c r="AL1492" i="7"/>
  <c r="AK1492" i="7"/>
  <c r="AI1492" i="7" s="1"/>
  <c r="AD1492" i="7"/>
  <c r="AC1492" i="7"/>
  <c r="V1492" i="7"/>
  <c r="U1492" i="7"/>
  <c r="T1492" i="7" s="1"/>
  <c r="N1492" i="7"/>
  <c r="M1492" i="7"/>
  <c r="F1492" i="7"/>
  <c r="E1492" i="7"/>
  <c r="AT1491" i="7"/>
  <c r="AS1491" i="7"/>
  <c r="AL1491" i="7"/>
  <c r="AK1491" i="7"/>
  <c r="AI1491" i="7" s="1"/>
  <c r="AD1491" i="7"/>
  <c r="AC1491" i="7"/>
  <c r="V1491" i="7"/>
  <c r="U1491" i="7"/>
  <c r="T1491" i="7" s="1"/>
  <c r="N1491" i="7"/>
  <c r="M1491" i="7"/>
  <c r="K1491" i="7" s="1"/>
  <c r="F1491" i="7"/>
  <c r="E1491" i="7"/>
  <c r="AT1490" i="7"/>
  <c r="AS1490" i="7"/>
  <c r="AR1490" i="7" s="1"/>
  <c r="AL1490" i="7"/>
  <c r="AK1490" i="7"/>
  <c r="AI1490" i="7" s="1"/>
  <c r="AD1490" i="7"/>
  <c r="AC1490" i="7"/>
  <c r="V1490" i="7"/>
  <c r="U1490" i="7"/>
  <c r="T1490" i="7" s="1"/>
  <c r="N1490" i="7"/>
  <c r="M1490" i="7"/>
  <c r="K1490" i="7" s="1"/>
  <c r="F1490" i="7"/>
  <c r="E1490" i="7"/>
  <c r="C1490" i="7" s="1"/>
  <c r="AT1489" i="7"/>
  <c r="AS1489" i="7"/>
  <c r="AR1489" i="7" s="1"/>
  <c r="AL1489" i="7"/>
  <c r="AK1489" i="7"/>
  <c r="AI1489" i="7" s="1"/>
  <c r="AD1489" i="7"/>
  <c r="AC1489" i="7"/>
  <c r="AB1489" i="7" s="1"/>
  <c r="V1489" i="7"/>
  <c r="U1489" i="7"/>
  <c r="N1489" i="7"/>
  <c r="M1489" i="7"/>
  <c r="K1489" i="7" s="1"/>
  <c r="F1489" i="7"/>
  <c r="E1489" i="7"/>
  <c r="AT1488" i="7"/>
  <c r="AS1488" i="7"/>
  <c r="AL1488" i="7"/>
  <c r="AK1488" i="7"/>
  <c r="AI1488" i="7" s="1"/>
  <c r="AD1488" i="7"/>
  <c r="AC1488" i="7"/>
  <c r="AB1488" i="7" s="1"/>
  <c r="V1488" i="7"/>
  <c r="U1488" i="7"/>
  <c r="N1488" i="7"/>
  <c r="M1488" i="7"/>
  <c r="K1488" i="7" s="1"/>
  <c r="F1488" i="7"/>
  <c r="E1488" i="7"/>
  <c r="AT1487" i="7"/>
  <c r="AS1487" i="7"/>
  <c r="AL1487" i="7"/>
  <c r="AK1487" i="7"/>
  <c r="AI1487" i="7" s="1"/>
  <c r="AD1487" i="7"/>
  <c r="AC1487" i="7"/>
  <c r="AA1487" i="7" s="1"/>
  <c r="V1487" i="7"/>
  <c r="U1487" i="7"/>
  <c r="T1487" i="7" s="1"/>
  <c r="N1487" i="7"/>
  <c r="M1487" i="7"/>
  <c r="K1487" i="7" s="1"/>
  <c r="L1487" i="7"/>
  <c r="F1487" i="7"/>
  <c r="E1487" i="7"/>
  <c r="D1487" i="7" s="1"/>
  <c r="AT1486" i="7"/>
  <c r="AS1486" i="7"/>
  <c r="AL1486" i="7"/>
  <c r="AK1486" i="7"/>
  <c r="AI1486" i="7" s="1"/>
  <c r="AD1486" i="7"/>
  <c r="AC1486" i="7"/>
  <c r="V1486" i="7"/>
  <c r="U1486" i="7"/>
  <c r="T1486" i="7" s="1"/>
  <c r="N1486" i="7"/>
  <c r="M1486" i="7"/>
  <c r="F1486" i="7"/>
  <c r="E1486" i="7"/>
  <c r="D1486" i="7" s="1"/>
  <c r="AT1485" i="7"/>
  <c r="AS1485" i="7"/>
  <c r="AL1485" i="7"/>
  <c r="AK1485" i="7"/>
  <c r="AI1485" i="7" s="1"/>
  <c r="AD1485" i="7"/>
  <c r="AC1485" i="7"/>
  <c r="V1485" i="7"/>
  <c r="U1485" i="7"/>
  <c r="N1485" i="7"/>
  <c r="M1485" i="7"/>
  <c r="K1485" i="7" s="1"/>
  <c r="F1485" i="7"/>
  <c r="E1485" i="7"/>
  <c r="C1485" i="7" s="1"/>
  <c r="AT1484" i="7"/>
  <c r="AS1484" i="7"/>
  <c r="AR1484" i="7" s="1"/>
  <c r="AL1484" i="7"/>
  <c r="AK1484" i="7"/>
  <c r="AI1484" i="7" s="1"/>
  <c r="AD1484" i="7"/>
  <c r="AC1484" i="7"/>
  <c r="V1484" i="7"/>
  <c r="U1484" i="7"/>
  <c r="N1484" i="7"/>
  <c r="M1484" i="7"/>
  <c r="K1484" i="7" s="1"/>
  <c r="F1484" i="7"/>
  <c r="E1484" i="7"/>
  <c r="AT1483" i="7"/>
  <c r="AS1483" i="7"/>
  <c r="AL1483" i="7"/>
  <c r="AK1483" i="7"/>
  <c r="AI1483" i="7" s="1"/>
  <c r="AD1483" i="7"/>
  <c r="AC1483" i="7"/>
  <c r="AB1483" i="7" s="1"/>
  <c r="V1483" i="7"/>
  <c r="U1483" i="7"/>
  <c r="N1483" i="7"/>
  <c r="M1483" i="7"/>
  <c r="K1483" i="7" s="1"/>
  <c r="F1483" i="7"/>
  <c r="E1483" i="7"/>
  <c r="AT1482" i="7"/>
  <c r="AS1482" i="7"/>
  <c r="AR1482" i="7" s="1"/>
  <c r="AL1482" i="7"/>
  <c r="AK1482" i="7"/>
  <c r="AI1482" i="7" s="1"/>
  <c r="AD1482" i="7"/>
  <c r="AC1482" i="7"/>
  <c r="V1482" i="7"/>
  <c r="U1482" i="7"/>
  <c r="N1482" i="7"/>
  <c r="M1482" i="7"/>
  <c r="K1482" i="7" s="1"/>
  <c r="F1482" i="7"/>
  <c r="E1482" i="7"/>
  <c r="AT1481" i="7"/>
  <c r="AS1481" i="7"/>
  <c r="AR1481" i="7" s="1"/>
  <c r="AL1481" i="7"/>
  <c r="AK1481" i="7"/>
  <c r="AD1481" i="7"/>
  <c r="AC1481" i="7"/>
  <c r="V1481" i="7"/>
  <c r="U1481" i="7"/>
  <c r="T1481" i="7" s="1"/>
  <c r="N1481" i="7"/>
  <c r="M1481" i="7"/>
  <c r="F1481" i="7"/>
  <c r="E1481" i="7"/>
  <c r="D1481" i="7" s="1"/>
  <c r="AT1480" i="7"/>
  <c r="AS1480" i="7"/>
  <c r="AL1480" i="7"/>
  <c r="AK1480" i="7"/>
  <c r="AD1480" i="7"/>
  <c r="AC1480" i="7"/>
  <c r="AA1480" i="7" s="1"/>
  <c r="V1480" i="7"/>
  <c r="U1480" i="7"/>
  <c r="N1480" i="7"/>
  <c r="M1480" i="7"/>
  <c r="F1480" i="7"/>
  <c r="E1480" i="7"/>
  <c r="AT1479" i="7"/>
  <c r="AS1479" i="7"/>
  <c r="AR1479" i="7" s="1"/>
  <c r="AL1479" i="7"/>
  <c r="AK1479" i="7"/>
  <c r="AD1479" i="7"/>
  <c r="AC1479" i="7"/>
  <c r="AA1479" i="7" s="1"/>
  <c r="V1479" i="7"/>
  <c r="U1479" i="7"/>
  <c r="N1479" i="7"/>
  <c r="M1479" i="7"/>
  <c r="K1479" i="7" s="1"/>
  <c r="F1479" i="7"/>
  <c r="E1479" i="7"/>
  <c r="AT1478" i="7"/>
  <c r="AS1478" i="7"/>
  <c r="AL1478" i="7"/>
  <c r="AK1478" i="7"/>
  <c r="AD1478" i="7"/>
  <c r="AC1478" i="7"/>
  <c r="AB1478" i="7" s="1"/>
  <c r="V1478" i="7"/>
  <c r="U1478" i="7"/>
  <c r="N1478" i="7"/>
  <c r="M1478" i="7"/>
  <c r="F1478" i="7"/>
  <c r="E1478" i="7"/>
  <c r="AT1477" i="7"/>
  <c r="AS1477" i="7"/>
  <c r="AL1477" i="7"/>
  <c r="AK1477" i="7"/>
  <c r="AD1477" i="7"/>
  <c r="AC1477" i="7"/>
  <c r="V1477" i="7"/>
  <c r="U1477" i="7"/>
  <c r="N1477" i="7"/>
  <c r="M1477" i="7"/>
  <c r="F1477" i="7"/>
  <c r="E1477" i="7"/>
  <c r="D1477" i="7" s="1"/>
  <c r="AT1476" i="7"/>
  <c r="AS1476" i="7"/>
  <c r="AL1476" i="7"/>
  <c r="AK1476" i="7"/>
  <c r="AD1476" i="7"/>
  <c r="AC1476" i="7"/>
  <c r="V1476" i="7"/>
  <c r="U1476" i="7"/>
  <c r="N1476" i="7"/>
  <c r="M1476" i="7"/>
  <c r="F1476" i="7"/>
  <c r="E1476" i="7"/>
  <c r="AT1475" i="7"/>
  <c r="AS1475" i="7"/>
  <c r="AR1475" i="7" s="1"/>
  <c r="AL1475" i="7"/>
  <c r="AK1475" i="7"/>
  <c r="AD1475" i="7"/>
  <c r="AC1475" i="7"/>
  <c r="V1475" i="7"/>
  <c r="U1475" i="7"/>
  <c r="T1475" i="7" s="1"/>
  <c r="N1475" i="7"/>
  <c r="M1475" i="7"/>
  <c r="F1475" i="7"/>
  <c r="E1475" i="7"/>
  <c r="D1475" i="7" s="1"/>
  <c r="AT1474" i="7"/>
  <c r="AS1474" i="7"/>
  <c r="AR1474" i="7" s="1"/>
  <c r="AL1474" i="7"/>
  <c r="AK1474" i="7"/>
  <c r="AD1474" i="7"/>
  <c r="AC1474" i="7"/>
  <c r="AA1474" i="7" s="1"/>
  <c r="V1474" i="7"/>
  <c r="U1474" i="7"/>
  <c r="T1474" i="7" s="1"/>
  <c r="N1474" i="7"/>
  <c r="M1474" i="7"/>
  <c r="K1474" i="7" s="1"/>
  <c r="F1474" i="7"/>
  <c r="E1474" i="7"/>
  <c r="AT1473" i="7"/>
  <c r="AS1473" i="7"/>
  <c r="AL1473" i="7"/>
  <c r="AK1473" i="7"/>
  <c r="AD1473" i="7"/>
  <c r="AC1473" i="7"/>
  <c r="V1473" i="7"/>
  <c r="U1473" i="7"/>
  <c r="N1473" i="7"/>
  <c r="M1473" i="7"/>
  <c r="F1473" i="7"/>
  <c r="E1473" i="7"/>
  <c r="C1473" i="7" s="1"/>
  <c r="AT1472" i="7"/>
  <c r="AS1472" i="7"/>
  <c r="AL1472" i="7"/>
  <c r="AK1472" i="7"/>
  <c r="AD1472" i="7"/>
  <c r="AC1472" i="7"/>
  <c r="V1472" i="7"/>
  <c r="U1472" i="7"/>
  <c r="T1472" i="7" s="1"/>
  <c r="N1472" i="7"/>
  <c r="M1472" i="7"/>
  <c r="F1472" i="7"/>
  <c r="E1472" i="7"/>
  <c r="AT1471" i="7"/>
  <c r="AS1471" i="7"/>
  <c r="AL1471" i="7"/>
  <c r="AK1471" i="7"/>
  <c r="AD1471" i="7"/>
  <c r="AC1471" i="7"/>
  <c r="AB1471" i="7" s="1"/>
  <c r="V1471" i="7"/>
  <c r="U1471" i="7"/>
  <c r="T1471" i="7" s="1"/>
  <c r="N1471" i="7"/>
  <c r="M1471" i="7"/>
  <c r="F1471" i="7"/>
  <c r="E1471" i="7"/>
  <c r="AT1470" i="7"/>
  <c r="AS1470" i="7"/>
  <c r="AL1470" i="7"/>
  <c r="AK1470" i="7"/>
  <c r="AD1470" i="7"/>
  <c r="AC1470" i="7"/>
  <c r="V1470" i="7"/>
  <c r="U1470" i="7"/>
  <c r="T1470" i="7" s="1"/>
  <c r="N1470" i="7"/>
  <c r="M1470" i="7"/>
  <c r="F1470" i="7"/>
  <c r="E1470" i="7"/>
  <c r="AT1469" i="7"/>
  <c r="AS1469" i="7"/>
  <c r="AL1469" i="7"/>
  <c r="AK1469" i="7"/>
  <c r="AD1469" i="7"/>
  <c r="AC1469" i="7"/>
  <c r="V1469" i="7"/>
  <c r="U1469" i="7"/>
  <c r="T1469" i="7" s="1"/>
  <c r="N1469" i="7"/>
  <c r="M1469" i="7"/>
  <c r="F1469" i="7"/>
  <c r="E1469" i="7"/>
  <c r="AT1468" i="7"/>
  <c r="AS1468" i="7"/>
  <c r="AL1468" i="7"/>
  <c r="AK1468" i="7"/>
  <c r="AD1468" i="7"/>
  <c r="AC1468" i="7"/>
  <c r="V1468" i="7"/>
  <c r="U1468" i="7"/>
  <c r="T1468" i="7" s="1"/>
  <c r="N1468" i="7"/>
  <c r="M1468" i="7"/>
  <c r="F1468" i="7"/>
  <c r="E1468" i="7"/>
  <c r="AT1467" i="7"/>
  <c r="AS1467" i="7"/>
  <c r="AL1467" i="7"/>
  <c r="AK1467" i="7"/>
  <c r="AD1467" i="7"/>
  <c r="AC1467" i="7"/>
  <c r="AB1467" i="7" s="1"/>
  <c r="AA1467" i="7"/>
  <c r="V1467" i="7"/>
  <c r="U1467" i="7"/>
  <c r="T1467" i="7" s="1"/>
  <c r="N1467" i="7"/>
  <c r="M1467" i="7"/>
  <c r="F1467" i="7"/>
  <c r="E1467" i="7"/>
  <c r="AT1466" i="7"/>
  <c r="AS1466" i="7"/>
  <c r="AL1466" i="7"/>
  <c r="AK1466" i="7"/>
  <c r="AD1466" i="7"/>
  <c r="AC1466" i="7"/>
  <c r="V1466" i="7"/>
  <c r="U1466" i="7"/>
  <c r="T1466" i="7" s="1"/>
  <c r="N1466" i="7"/>
  <c r="M1466" i="7"/>
  <c r="F1466" i="7"/>
  <c r="E1466" i="7"/>
  <c r="AT1465" i="7"/>
  <c r="AS1465" i="7"/>
  <c r="AL1465" i="7"/>
  <c r="AK1465" i="7"/>
  <c r="AD1465" i="7"/>
  <c r="AC1465" i="7"/>
  <c r="V1465" i="7"/>
  <c r="U1465" i="7"/>
  <c r="T1465" i="7" s="1"/>
  <c r="N1465" i="7"/>
  <c r="M1465" i="7"/>
  <c r="F1465" i="7"/>
  <c r="E1465" i="7"/>
  <c r="AT1464" i="7"/>
  <c r="AS1464" i="7"/>
  <c r="AL1464" i="7"/>
  <c r="AK1464" i="7"/>
  <c r="AD1464" i="7"/>
  <c r="AC1464" i="7"/>
  <c r="V1464" i="7"/>
  <c r="U1464" i="7"/>
  <c r="T1464" i="7" s="1"/>
  <c r="N1464" i="7"/>
  <c r="M1464" i="7"/>
  <c r="F1464" i="7"/>
  <c r="E1464" i="7"/>
  <c r="AT1463" i="7"/>
  <c r="AS1463" i="7"/>
  <c r="AL1463" i="7"/>
  <c r="AK1463" i="7"/>
  <c r="AD1463" i="7"/>
  <c r="AC1463" i="7"/>
  <c r="AB1463" i="7" s="1"/>
  <c r="V1463" i="7"/>
  <c r="U1463" i="7"/>
  <c r="T1463" i="7" s="1"/>
  <c r="N1463" i="7"/>
  <c r="M1463" i="7"/>
  <c r="F1463" i="7"/>
  <c r="E1463" i="7"/>
  <c r="AT1462" i="7"/>
  <c r="AS1462" i="7"/>
  <c r="AL1462" i="7"/>
  <c r="AK1462" i="7"/>
  <c r="AD1462" i="7"/>
  <c r="AC1462" i="7"/>
  <c r="AB1462" i="7" s="1"/>
  <c r="V1462" i="7"/>
  <c r="U1462" i="7"/>
  <c r="T1462" i="7" s="1"/>
  <c r="N1462" i="7"/>
  <c r="M1462" i="7"/>
  <c r="K1462" i="7" s="1"/>
  <c r="F1462" i="7"/>
  <c r="E1462" i="7"/>
  <c r="AT1461" i="7"/>
  <c r="AS1461" i="7"/>
  <c r="AL1461" i="7"/>
  <c r="AK1461" i="7"/>
  <c r="AD1461" i="7"/>
  <c r="AC1461" i="7"/>
  <c r="AA1461" i="7" s="1"/>
  <c r="AB1461" i="7"/>
  <c r="V1461" i="7"/>
  <c r="U1461" i="7"/>
  <c r="T1461" i="7" s="1"/>
  <c r="N1461" i="7"/>
  <c r="M1461" i="7"/>
  <c r="K1461" i="7" s="1"/>
  <c r="L1461" i="7"/>
  <c r="F1461" i="7"/>
  <c r="E1461" i="7"/>
  <c r="AT1460" i="7"/>
  <c r="AS1460" i="7"/>
  <c r="AL1460" i="7"/>
  <c r="AK1460" i="7"/>
  <c r="AD1460" i="7"/>
  <c r="AC1460" i="7"/>
  <c r="AA1460" i="7" s="1"/>
  <c r="V1460" i="7"/>
  <c r="U1460" i="7"/>
  <c r="T1460" i="7" s="1"/>
  <c r="N1460" i="7"/>
  <c r="M1460" i="7"/>
  <c r="K1460" i="7" s="1"/>
  <c r="F1460" i="7"/>
  <c r="E1460" i="7"/>
  <c r="C1460" i="7" s="1"/>
  <c r="AT1459" i="7"/>
  <c r="AS1459" i="7"/>
  <c r="AR1459" i="7" s="1"/>
  <c r="AL1459" i="7"/>
  <c r="AK1459" i="7"/>
  <c r="AD1459" i="7"/>
  <c r="AC1459" i="7"/>
  <c r="AB1459" i="7" s="1"/>
  <c r="AA1459" i="7"/>
  <c r="V1459" i="7"/>
  <c r="U1459" i="7"/>
  <c r="T1459" i="7" s="1"/>
  <c r="N1459" i="7"/>
  <c r="M1459" i="7"/>
  <c r="K1459" i="7" s="1"/>
  <c r="F1459" i="7"/>
  <c r="E1459" i="7"/>
  <c r="AT1458" i="7"/>
  <c r="AS1458" i="7"/>
  <c r="AR1458" i="7" s="1"/>
  <c r="AL1458" i="7"/>
  <c r="AK1458" i="7"/>
  <c r="AD1458" i="7"/>
  <c r="AC1458" i="7"/>
  <c r="V1458" i="7"/>
  <c r="U1458" i="7"/>
  <c r="T1458" i="7" s="1"/>
  <c r="N1458" i="7"/>
  <c r="M1458" i="7"/>
  <c r="F1458" i="7"/>
  <c r="E1458" i="7"/>
  <c r="D1458" i="7" s="1"/>
  <c r="AT1457" i="7"/>
  <c r="AS1457" i="7"/>
  <c r="AR1457" i="7" s="1"/>
  <c r="AL1457" i="7"/>
  <c r="AK1457" i="7"/>
  <c r="AD1457" i="7"/>
  <c r="AC1457" i="7"/>
  <c r="AB1457" i="7" s="1"/>
  <c r="V1457" i="7"/>
  <c r="U1457" i="7"/>
  <c r="T1457" i="7" s="1"/>
  <c r="N1457" i="7"/>
  <c r="M1457" i="7"/>
  <c r="F1457" i="7"/>
  <c r="E1457" i="7"/>
  <c r="C1457" i="7" s="1"/>
  <c r="AT1456" i="7"/>
  <c r="AS1456" i="7"/>
  <c r="AL1456" i="7"/>
  <c r="AK1456" i="7"/>
  <c r="AD1456" i="7"/>
  <c r="AC1456" i="7"/>
  <c r="AB1456" i="7" s="1"/>
  <c r="V1456" i="7"/>
  <c r="U1456" i="7"/>
  <c r="T1456" i="7" s="1"/>
  <c r="N1456" i="7"/>
  <c r="M1456" i="7"/>
  <c r="K1456" i="7" s="1"/>
  <c r="F1456" i="7"/>
  <c r="E1456" i="7"/>
  <c r="AT1455" i="7"/>
  <c r="AS1455" i="7"/>
  <c r="AL1455" i="7"/>
  <c r="AK1455" i="7"/>
  <c r="AD1455" i="7"/>
  <c r="AC1455" i="7"/>
  <c r="V1455" i="7"/>
  <c r="U1455" i="7"/>
  <c r="T1455" i="7" s="1"/>
  <c r="N1455" i="7"/>
  <c r="M1455" i="7"/>
  <c r="F1455" i="7"/>
  <c r="E1455" i="7"/>
  <c r="AT1454" i="7"/>
  <c r="AS1454" i="7"/>
  <c r="AL1454" i="7"/>
  <c r="AK1454" i="7"/>
  <c r="AD1454" i="7"/>
  <c r="AC1454" i="7"/>
  <c r="V1454" i="7"/>
  <c r="U1454" i="7"/>
  <c r="T1454" i="7" s="1"/>
  <c r="N1454" i="7"/>
  <c r="M1454" i="7"/>
  <c r="K1454" i="7" s="1"/>
  <c r="F1454" i="7"/>
  <c r="E1454" i="7"/>
  <c r="AT1453" i="7"/>
  <c r="AS1453" i="7"/>
  <c r="AL1453" i="7"/>
  <c r="AK1453" i="7"/>
  <c r="AD1453" i="7"/>
  <c r="AC1453" i="7"/>
  <c r="V1453" i="7"/>
  <c r="U1453" i="7"/>
  <c r="T1453" i="7" s="1"/>
  <c r="N1453" i="7"/>
  <c r="M1453" i="7"/>
  <c r="F1453" i="7"/>
  <c r="E1453" i="7"/>
  <c r="C1453" i="7" s="1"/>
  <c r="AT1452" i="7"/>
  <c r="AS1452" i="7"/>
  <c r="AL1452" i="7"/>
  <c r="AK1452" i="7"/>
  <c r="AD1452" i="7"/>
  <c r="AC1452" i="7"/>
  <c r="V1452" i="7"/>
  <c r="U1452" i="7"/>
  <c r="T1452" i="7" s="1"/>
  <c r="N1452" i="7"/>
  <c r="M1452" i="7"/>
  <c r="F1452" i="7"/>
  <c r="E1452" i="7"/>
  <c r="C1452" i="7" s="1"/>
  <c r="AT1451" i="7"/>
  <c r="AS1451" i="7"/>
  <c r="AL1451" i="7"/>
  <c r="AK1451" i="7"/>
  <c r="AD1451" i="7"/>
  <c r="AC1451" i="7"/>
  <c r="V1451" i="7"/>
  <c r="U1451" i="7"/>
  <c r="T1451" i="7" s="1"/>
  <c r="N1451" i="7"/>
  <c r="M1451" i="7"/>
  <c r="F1451" i="7"/>
  <c r="E1451" i="7"/>
  <c r="D1451" i="7" s="1"/>
  <c r="AT1450" i="7"/>
  <c r="AS1450" i="7"/>
  <c r="AR1450" i="7" s="1"/>
  <c r="AL1450" i="7"/>
  <c r="AK1450" i="7"/>
  <c r="AD1450" i="7"/>
  <c r="AC1450" i="7"/>
  <c r="AB1450" i="7" s="1"/>
  <c r="V1450" i="7"/>
  <c r="U1450" i="7"/>
  <c r="T1450" i="7" s="1"/>
  <c r="N1450" i="7"/>
  <c r="M1450" i="7"/>
  <c r="K1450" i="7" s="1"/>
  <c r="F1450" i="7"/>
  <c r="E1450" i="7"/>
  <c r="AT1449" i="7"/>
  <c r="AS1449" i="7"/>
  <c r="AR1449" i="7" s="1"/>
  <c r="AL1449" i="7"/>
  <c r="AK1449" i="7"/>
  <c r="AD1449" i="7"/>
  <c r="AC1449" i="7"/>
  <c r="AB1449" i="7" s="1"/>
  <c r="V1449" i="7"/>
  <c r="U1449" i="7"/>
  <c r="T1449" i="7" s="1"/>
  <c r="N1449" i="7"/>
  <c r="M1449" i="7"/>
  <c r="K1449" i="7" s="1"/>
  <c r="F1449" i="7"/>
  <c r="E1449" i="7"/>
  <c r="AT1448" i="7"/>
  <c r="AS1448" i="7"/>
  <c r="AR1448" i="7" s="1"/>
  <c r="AL1448" i="7"/>
  <c r="AK1448" i="7"/>
  <c r="AD1448" i="7"/>
  <c r="AC1448" i="7"/>
  <c r="AB1448" i="7" s="1"/>
  <c r="V1448" i="7"/>
  <c r="U1448" i="7"/>
  <c r="T1448" i="7" s="1"/>
  <c r="N1448" i="7"/>
  <c r="M1448" i="7"/>
  <c r="K1448" i="7" s="1"/>
  <c r="F1448" i="7"/>
  <c r="E1448" i="7"/>
  <c r="C1448" i="7" s="1"/>
  <c r="AT1447" i="7"/>
  <c r="AS1447" i="7"/>
  <c r="AL1447" i="7"/>
  <c r="AK1447" i="7"/>
  <c r="AD1447" i="7"/>
  <c r="AC1447" i="7"/>
  <c r="AB1447" i="7" s="1"/>
  <c r="V1447" i="7"/>
  <c r="U1447" i="7"/>
  <c r="T1447" i="7" s="1"/>
  <c r="N1447" i="7"/>
  <c r="M1447" i="7"/>
  <c r="K1447" i="7" s="1"/>
  <c r="F1447" i="7"/>
  <c r="E1447" i="7"/>
  <c r="AT1446" i="7"/>
  <c r="AS1446" i="7"/>
  <c r="AL1446" i="7"/>
  <c r="AK1446" i="7"/>
  <c r="AD1446" i="7"/>
  <c r="AC1446" i="7"/>
  <c r="V1446" i="7"/>
  <c r="U1446" i="7"/>
  <c r="T1446" i="7" s="1"/>
  <c r="N1446" i="7"/>
  <c r="M1446" i="7"/>
  <c r="K1446" i="7" s="1"/>
  <c r="F1446" i="7"/>
  <c r="E1446" i="7"/>
  <c r="AT1445" i="7"/>
  <c r="AS1445" i="7"/>
  <c r="AR1445" i="7" s="1"/>
  <c r="AQ1445" i="7"/>
  <c r="AL1445" i="7"/>
  <c r="AK1445" i="7"/>
  <c r="AD1445" i="7"/>
  <c r="AC1445" i="7"/>
  <c r="AA1445" i="7" s="1"/>
  <c r="V1445" i="7"/>
  <c r="U1445" i="7"/>
  <c r="T1445" i="7" s="1"/>
  <c r="N1445" i="7"/>
  <c r="M1445" i="7"/>
  <c r="K1445" i="7" s="1"/>
  <c r="F1445" i="7"/>
  <c r="E1445" i="7"/>
  <c r="AT1444" i="7"/>
  <c r="AS1444" i="7"/>
  <c r="AL1444" i="7"/>
  <c r="AK1444" i="7"/>
  <c r="AD1444" i="7"/>
  <c r="AC1444" i="7"/>
  <c r="V1444" i="7"/>
  <c r="U1444" i="7"/>
  <c r="T1444" i="7" s="1"/>
  <c r="N1444" i="7"/>
  <c r="M1444" i="7"/>
  <c r="F1444" i="7"/>
  <c r="E1444" i="7"/>
  <c r="D1444" i="7" s="1"/>
  <c r="AT1443" i="7"/>
  <c r="AS1443" i="7"/>
  <c r="AR1443" i="7" s="1"/>
  <c r="AL1443" i="7"/>
  <c r="AK1443" i="7"/>
  <c r="AD1443" i="7"/>
  <c r="AC1443" i="7"/>
  <c r="V1443" i="7"/>
  <c r="U1443" i="7"/>
  <c r="T1443" i="7" s="1"/>
  <c r="N1443" i="7"/>
  <c r="M1443" i="7"/>
  <c r="F1443" i="7"/>
  <c r="E1443" i="7"/>
  <c r="C1443" i="7" s="1"/>
  <c r="AT1442" i="7"/>
  <c r="AS1442" i="7"/>
  <c r="AL1442" i="7"/>
  <c r="AK1442" i="7"/>
  <c r="AD1442" i="7"/>
  <c r="AC1442" i="7"/>
  <c r="AA1442" i="7" s="1"/>
  <c r="V1442" i="7"/>
  <c r="U1442" i="7"/>
  <c r="T1442" i="7" s="1"/>
  <c r="N1442" i="7"/>
  <c r="M1442" i="7"/>
  <c r="K1442" i="7" s="1"/>
  <c r="F1442" i="7"/>
  <c r="E1442" i="7"/>
  <c r="D1442" i="7" s="1"/>
  <c r="AT1441" i="7"/>
  <c r="AS1441" i="7"/>
  <c r="AL1441" i="7"/>
  <c r="AK1441" i="7"/>
  <c r="AD1441" i="7"/>
  <c r="AC1441" i="7"/>
  <c r="V1441" i="7"/>
  <c r="U1441" i="7"/>
  <c r="T1441" i="7" s="1"/>
  <c r="N1441" i="7"/>
  <c r="M1441" i="7"/>
  <c r="K1441" i="7" s="1"/>
  <c r="F1441" i="7"/>
  <c r="E1441" i="7"/>
  <c r="D1441" i="7" s="1"/>
  <c r="AT1440" i="7"/>
  <c r="AS1440" i="7"/>
  <c r="AL1440" i="7"/>
  <c r="AK1440" i="7"/>
  <c r="AD1440" i="7"/>
  <c r="AC1440" i="7"/>
  <c r="V1440" i="7"/>
  <c r="U1440" i="7"/>
  <c r="T1440" i="7" s="1"/>
  <c r="N1440" i="7"/>
  <c r="M1440" i="7"/>
  <c r="F1440" i="7"/>
  <c r="E1440" i="7"/>
  <c r="AT1439" i="7"/>
  <c r="AS1439" i="7"/>
  <c r="AR1439" i="7" s="1"/>
  <c r="AL1439" i="7"/>
  <c r="AK1439" i="7"/>
  <c r="AD1439" i="7"/>
  <c r="AC1439" i="7"/>
  <c r="V1439" i="7"/>
  <c r="U1439" i="7"/>
  <c r="T1439" i="7" s="1"/>
  <c r="N1439" i="7"/>
  <c r="M1439" i="7"/>
  <c r="F1439" i="7"/>
  <c r="E1439" i="7"/>
  <c r="AT1438" i="7"/>
  <c r="AS1438" i="7"/>
  <c r="AR1438" i="7" s="1"/>
  <c r="AL1438" i="7"/>
  <c r="AK1438" i="7"/>
  <c r="AD1438" i="7"/>
  <c r="AC1438" i="7"/>
  <c r="AB1438" i="7" s="1"/>
  <c r="V1438" i="7"/>
  <c r="U1438" i="7"/>
  <c r="T1438" i="7" s="1"/>
  <c r="N1438" i="7"/>
  <c r="M1438" i="7"/>
  <c r="K1438" i="7" s="1"/>
  <c r="F1438" i="7"/>
  <c r="E1438" i="7"/>
  <c r="D1438" i="7" s="1"/>
  <c r="AT1437" i="7"/>
  <c r="AS1437" i="7"/>
  <c r="AR1437" i="7" s="1"/>
  <c r="AL1437" i="7"/>
  <c r="AK1437" i="7"/>
  <c r="AD1437" i="7"/>
  <c r="AC1437" i="7"/>
  <c r="V1437" i="7"/>
  <c r="U1437" i="7"/>
  <c r="T1437" i="7" s="1"/>
  <c r="N1437" i="7"/>
  <c r="M1437" i="7"/>
  <c r="K1437" i="7" s="1"/>
  <c r="F1437" i="7"/>
  <c r="E1437" i="7"/>
  <c r="AT1436" i="7"/>
  <c r="AS1436" i="7"/>
  <c r="AR1436" i="7" s="1"/>
  <c r="AL1436" i="7"/>
  <c r="AK1436" i="7"/>
  <c r="AD1436" i="7"/>
  <c r="AC1436" i="7"/>
  <c r="AB1436" i="7" s="1"/>
  <c r="V1436" i="7"/>
  <c r="U1436" i="7"/>
  <c r="T1436" i="7" s="1"/>
  <c r="N1436" i="7"/>
  <c r="M1436" i="7"/>
  <c r="K1436" i="7" s="1"/>
  <c r="F1436" i="7"/>
  <c r="E1436" i="7"/>
  <c r="C1436" i="7" s="1"/>
  <c r="AT1435" i="7"/>
  <c r="AS1435" i="7"/>
  <c r="AL1435" i="7"/>
  <c r="AK1435" i="7"/>
  <c r="AD1435" i="7"/>
  <c r="AC1435" i="7"/>
  <c r="AB1435" i="7" s="1"/>
  <c r="V1435" i="7"/>
  <c r="U1435" i="7"/>
  <c r="T1435" i="7" s="1"/>
  <c r="N1435" i="7"/>
  <c r="M1435" i="7"/>
  <c r="K1435" i="7" s="1"/>
  <c r="F1435" i="7"/>
  <c r="E1435" i="7"/>
  <c r="AT1434" i="7"/>
  <c r="AS1434" i="7"/>
  <c r="AR1434" i="7" s="1"/>
  <c r="AL1434" i="7"/>
  <c r="AK1434" i="7"/>
  <c r="AD1434" i="7"/>
  <c r="AC1434" i="7"/>
  <c r="V1434" i="7"/>
  <c r="U1434" i="7"/>
  <c r="T1434" i="7" s="1"/>
  <c r="N1434" i="7"/>
  <c r="M1434" i="7"/>
  <c r="K1434" i="7" s="1"/>
  <c r="F1434" i="7"/>
  <c r="E1434" i="7"/>
  <c r="AT1433" i="7"/>
  <c r="AS1433" i="7"/>
  <c r="AR1433" i="7" s="1"/>
  <c r="AL1433" i="7"/>
  <c r="AK1433" i="7"/>
  <c r="AD1433" i="7"/>
  <c r="AC1433" i="7"/>
  <c r="AB1433" i="7" s="1"/>
  <c r="AA1433" i="7"/>
  <c r="V1433" i="7"/>
  <c r="U1433" i="7"/>
  <c r="T1433" i="7" s="1"/>
  <c r="N1433" i="7"/>
  <c r="M1433" i="7"/>
  <c r="K1433" i="7" s="1"/>
  <c r="F1433" i="7"/>
  <c r="E1433" i="7"/>
  <c r="D1433" i="7" s="1"/>
  <c r="AT1432" i="7"/>
  <c r="AS1432" i="7"/>
  <c r="AR1432" i="7" s="1"/>
  <c r="AQ1432" i="7"/>
  <c r="AP1432" i="7" s="1"/>
  <c r="AL1432" i="7"/>
  <c r="AK1432" i="7"/>
  <c r="AD1432" i="7"/>
  <c r="AC1432" i="7"/>
  <c r="AB1432" i="7" s="1"/>
  <c r="V1432" i="7"/>
  <c r="U1432" i="7"/>
  <c r="N1432" i="7"/>
  <c r="M1432" i="7"/>
  <c r="K1432" i="7" s="1"/>
  <c r="L1432" i="7"/>
  <c r="F1432" i="7"/>
  <c r="E1432" i="7"/>
  <c r="AT1431" i="7"/>
  <c r="AS1431" i="7"/>
  <c r="AL1431" i="7"/>
  <c r="AK1431" i="7"/>
  <c r="AD1431" i="7"/>
  <c r="AC1431" i="7"/>
  <c r="V1431" i="7"/>
  <c r="U1431" i="7"/>
  <c r="T1431" i="7" s="1"/>
  <c r="N1431" i="7"/>
  <c r="M1431" i="7"/>
  <c r="K1431" i="7" s="1"/>
  <c r="F1431" i="7"/>
  <c r="E1431" i="7"/>
  <c r="D1431" i="7" s="1"/>
  <c r="AT1430" i="7"/>
  <c r="AS1430" i="7"/>
  <c r="AL1430" i="7"/>
  <c r="AK1430" i="7"/>
  <c r="AD1430" i="7"/>
  <c r="AC1430" i="7"/>
  <c r="V1430" i="7"/>
  <c r="U1430" i="7"/>
  <c r="T1430" i="7" s="1"/>
  <c r="N1430" i="7"/>
  <c r="M1430" i="7"/>
  <c r="F1430" i="7"/>
  <c r="E1430" i="7"/>
  <c r="D1430" i="7"/>
  <c r="C1430" i="7"/>
  <c r="AT1429" i="7"/>
  <c r="AS1429" i="7"/>
  <c r="AR1429" i="7" s="1"/>
  <c r="AL1429" i="7"/>
  <c r="AK1429" i="7"/>
  <c r="AD1429" i="7"/>
  <c r="AC1429" i="7"/>
  <c r="V1429" i="7"/>
  <c r="U1429" i="7"/>
  <c r="T1429" i="7" s="1"/>
  <c r="N1429" i="7"/>
  <c r="M1429" i="7"/>
  <c r="K1429" i="7" s="1"/>
  <c r="L1429" i="7"/>
  <c r="F1429" i="7"/>
  <c r="E1429" i="7"/>
  <c r="C1429" i="7" s="1"/>
  <c r="AT1428" i="7"/>
  <c r="AS1428" i="7"/>
  <c r="AR1428" i="7" s="1"/>
  <c r="AL1428" i="7"/>
  <c r="AK1428" i="7"/>
  <c r="AD1428" i="7"/>
  <c r="AC1428" i="7"/>
  <c r="AB1428" i="7" s="1"/>
  <c r="V1428" i="7"/>
  <c r="U1428" i="7"/>
  <c r="T1428" i="7" s="1"/>
  <c r="N1428" i="7"/>
  <c r="M1428" i="7"/>
  <c r="K1428" i="7" s="1"/>
  <c r="F1428" i="7"/>
  <c r="E1428" i="7"/>
  <c r="C1428" i="7" s="1"/>
  <c r="AT1427" i="7"/>
  <c r="AS1427" i="7"/>
  <c r="AR1427" i="7" s="1"/>
  <c r="AL1427" i="7"/>
  <c r="AK1427" i="7"/>
  <c r="AD1427" i="7"/>
  <c r="AC1427" i="7"/>
  <c r="V1427" i="7"/>
  <c r="U1427" i="7"/>
  <c r="N1427" i="7"/>
  <c r="M1427" i="7"/>
  <c r="K1427" i="7" s="1"/>
  <c r="F1427" i="7"/>
  <c r="E1427" i="7"/>
  <c r="C1427" i="7" s="1"/>
  <c r="AT1426" i="7"/>
  <c r="AS1426" i="7"/>
  <c r="AR1426" i="7" s="1"/>
  <c r="AL1426" i="7"/>
  <c r="AK1426" i="7"/>
  <c r="AD1426" i="7"/>
  <c r="AC1426" i="7"/>
  <c r="AA1426" i="7" s="1"/>
  <c r="Z1426" i="7" s="1"/>
  <c r="AB1426" i="7"/>
  <c r="V1426" i="7"/>
  <c r="U1426" i="7"/>
  <c r="N1426" i="7"/>
  <c r="M1426" i="7"/>
  <c r="K1426" i="7" s="1"/>
  <c r="L1426" i="7"/>
  <c r="F1426" i="7"/>
  <c r="E1426" i="7"/>
  <c r="AT1425" i="7"/>
  <c r="AS1425" i="7"/>
  <c r="AL1425" i="7"/>
  <c r="AK1425" i="7"/>
  <c r="AD1425" i="7"/>
  <c r="AC1425" i="7"/>
  <c r="V1425" i="7"/>
  <c r="U1425" i="7"/>
  <c r="T1425" i="7" s="1"/>
  <c r="N1425" i="7"/>
  <c r="M1425" i="7"/>
  <c r="K1425" i="7" s="1"/>
  <c r="F1425" i="7"/>
  <c r="E1425" i="7"/>
  <c r="AT1424" i="7"/>
  <c r="AS1424" i="7"/>
  <c r="AL1424" i="7"/>
  <c r="AK1424" i="7"/>
  <c r="AD1424" i="7"/>
  <c r="AC1424" i="7"/>
  <c r="AA1424" i="7" s="1"/>
  <c r="V1424" i="7"/>
  <c r="U1424" i="7"/>
  <c r="T1424" i="7" s="1"/>
  <c r="N1424" i="7"/>
  <c r="M1424" i="7"/>
  <c r="F1424" i="7"/>
  <c r="E1424" i="7"/>
  <c r="D1424" i="7" s="1"/>
  <c r="AT1423" i="7"/>
  <c r="AS1423" i="7"/>
  <c r="AL1423" i="7"/>
  <c r="AK1423" i="7"/>
  <c r="AD1423" i="7"/>
  <c r="AC1423" i="7"/>
  <c r="AB1423" i="7" s="1"/>
  <c r="V1423" i="7"/>
  <c r="U1423" i="7"/>
  <c r="T1423" i="7" s="1"/>
  <c r="N1423" i="7"/>
  <c r="M1423" i="7"/>
  <c r="K1423" i="7" s="1"/>
  <c r="F1423" i="7"/>
  <c r="E1423" i="7"/>
  <c r="AT1422" i="7"/>
  <c r="AS1422" i="7"/>
  <c r="AR1422" i="7" s="1"/>
  <c r="AL1422" i="7"/>
  <c r="AK1422" i="7"/>
  <c r="AD1422" i="7"/>
  <c r="AC1422" i="7"/>
  <c r="AB1422" i="7" s="1"/>
  <c r="V1422" i="7"/>
  <c r="U1422" i="7"/>
  <c r="T1422" i="7" s="1"/>
  <c r="N1422" i="7"/>
  <c r="M1422" i="7"/>
  <c r="K1422" i="7" s="1"/>
  <c r="F1422" i="7"/>
  <c r="E1422" i="7"/>
  <c r="AT1421" i="7"/>
  <c r="AS1421" i="7"/>
  <c r="AR1421" i="7" s="1"/>
  <c r="AL1421" i="7"/>
  <c r="AK1421" i="7"/>
  <c r="AD1421" i="7"/>
  <c r="AC1421" i="7"/>
  <c r="AA1421" i="7" s="1"/>
  <c r="V1421" i="7"/>
  <c r="U1421" i="7"/>
  <c r="N1421" i="7"/>
  <c r="M1421" i="7"/>
  <c r="K1421" i="7" s="1"/>
  <c r="F1421" i="7"/>
  <c r="E1421" i="7"/>
  <c r="D1421" i="7" s="1"/>
  <c r="AT1420" i="7"/>
  <c r="AS1420" i="7"/>
  <c r="AL1420" i="7"/>
  <c r="AK1420" i="7"/>
  <c r="AD1420" i="7"/>
  <c r="AC1420" i="7"/>
  <c r="AA1420" i="7" s="1"/>
  <c r="V1420" i="7"/>
  <c r="U1420" i="7"/>
  <c r="N1420" i="7"/>
  <c r="M1420" i="7"/>
  <c r="F1420" i="7"/>
  <c r="E1420" i="7"/>
  <c r="C1420" i="7" s="1"/>
  <c r="AT1419" i="7"/>
  <c r="AS1419" i="7"/>
  <c r="AL1419" i="7"/>
  <c r="AK1419" i="7"/>
  <c r="AD1419" i="7"/>
  <c r="AC1419" i="7"/>
  <c r="V1419" i="7"/>
  <c r="U1419" i="7"/>
  <c r="T1419" i="7" s="1"/>
  <c r="N1419" i="7"/>
  <c r="M1419" i="7"/>
  <c r="K1419" i="7" s="1"/>
  <c r="F1419" i="7"/>
  <c r="E1419" i="7"/>
  <c r="D1419" i="7" s="1"/>
  <c r="AT1418" i="7"/>
  <c r="AS1418" i="7"/>
  <c r="AL1418" i="7"/>
  <c r="AK1418" i="7"/>
  <c r="AD1418" i="7"/>
  <c r="AC1418" i="7"/>
  <c r="V1418" i="7"/>
  <c r="U1418" i="7"/>
  <c r="T1418" i="7" s="1"/>
  <c r="N1418" i="7"/>
  <c r="M1418" i="7"/>
  <c r="F1418" i="7"/>
  <c r="E1418" i="7"/>
  <c r="AT1417" i="7"/>
  <c r="AS1417" i="7"/>
  <c r="AR1417" i="7" s="1"/>
  <c r="AL1417" i="7"/>
  <c r="AK1417" i="7"/>
  <c r="AD1417" i="7"/>
  <c r="AC1417" i="7"/>
  <c r="V1417" i="7"/>
  <c r="U1417" i="7"/>
  <c r="N1417" i="7"/>
  <c r="M1417" i="7"/>
  <c r="K1417" i="7" s="1"/>
  <c r="F1417" i="7"/>
  <c r="E1417" i="7"/>
  <c r="AT1416" i="7"/>
  <c r="AS1416" i="7"/>
  <c r="AR1416" i="7" s="1"/>
  <c r="AL1416" i="7"/>
  <c r="AK1416" i="7"/>
  <c r="AD1416" i="7"/>
  <c r="AC1416" i="7"/>
  <c r="AB1416" i="7" s="1"/>
  <c r="V1416" i="7"/>
  <c r="U1416" i="7"/>
  <c r="T1416" i="7" s="1"/>
  <c r="N1416" i="7"/>
  <c r="M1416" i="7"/>
  <c r="K1416" i="7" s="1"/>
  <c r="F1416" i="7"/>
  <c r="E1416" i="7"/>
  <c r="C1416" i="7" s="1"/>
  <c r="AT1415" i="7"/>
  <c r="AS1415" i="7"/>
  <c r="AR1415" i="7" s="1"/>
  <c r="AL1415" i="7"/>
  <c r="AK1415" i="7"/>
  <c r="AD1415" i="7"/>
  <c r="AC1415" i="7"/>
  <c r="V1415" i="7"/>
  <c r="U1415" i="7"/>
  <c r="N1415" i="7"/>
  <c r="M1415" i="7"/>
  <c r="K1415" i="7" s="1"/>
  <c r="F1415" i="7"/>
  <c r="E1415" i="7"/>
  <c r="C1415" i="7" s="1"/>
  <c r="AT1414" i="7"/>
  <c r="AS1414" i="7"/>
  <c r="AR1414" i="7" s="1"/>
  <c r="AL1414" i="7"/>
  <c r="AK1414" i="7"/>
  <c r="AD1414" i="7"/>
  <c r="AC1414" i="7"/>
  <c r="AB1414" i="7"/>
  <c r="AA1414" i="7"/>
  <c r="V1414" i="7"/>
  <c r="U1414" i="7"/>
  <c r="N1414" i="7"/>
  <c r="M1414" i="7"/>
  <c r="K1414" i="7" s="1"/>
  <c r="L1414" i="7"/>
  <c r="F1414" i="7"/>
  <c r="E1414" i="7"/>
  <c r="AT1413" i="7"/>
  <c r="AS1413" i="7"/>
  <c r="AL1413" i="7"/>
  <c r="AK1413" i="7"/>
  <c r="AD1413" i="7"/>
  <c r="AC1413" i="7"/>
  <c r="V1413" i="7"/>
  <c r="U1413" i="7"/>
  <c r="T1413" i="7" s="1"/>
  <c r="N1413" i="7"/>
  <c r="M1413" i="7"/>
  <c r="K1413" i="7" s="1"/>
  <c r="F1413" i="7"/>
  <c r="E1413" i="7"/>
  <c r="AT1412" i="7"/>
  <c r="AS1412" i="7"/>
  <c r="AL1412" i="7"/>
  <c r="AK1412" i="7"/>
  <c r="AD1412" i="7"/>
  <c r="AC1412" i="7"/>
  <c r="AA1412" i="7" s="1"/>
  <c r="V1412" i="7"/>
  <c r="U1412" i="7"/>
  <c r="T1412" i="7" s="1"/>
  <c r="N1412" i="7"/>
  <c r="M1412" i="7"/>
  <c r="F1412" i="7"/>
  <c r="E1412" i="7"/>
  <c r="AT1411" i="7"/>
  <c r="AS1411" i="7"/>
  <c r="AL1411" i="7"/>
  <c r="AK1411" i="7"/>
  <c r="AD1411" i="7"/>
  <c r="AC1411" i="7"/>
  <c r="AB1411" i="7" s="1"/>
  <c r="V1411" i="7"/>
  <c r="U1411" i="7"/>
  <c r="T1411" i="7" s="1"/>
  <c r="S1411" i="7"/>
  <c r="R1411" i="7" s="1"/>
  <c r="N1411" i="7"/>
  <c r="M1411" i="7"/>
  <c r="K1411" i="7" s="1"/>
  <c r="F1411" i="7"/>
  <c r="E1411" i="7"/>
  <c r="C1411" i="7" s="1"/>
  <c r="D1411" i="7"/>
  <c r="AT1410" i="7"/>
  <c r="AS1410" i="7"/>
  <c r="AR1410" i="7" s="1"/>
  <c r="AL1410" i="7"/>
  <c r="AK1410" i="7"/>
  <c r="AD1410" i="7"/>
  <c r="AC1410" i="7"/>
  <c r="AB1410" i="7" s="1"/>
  <c r="V1410" i="7"/>
  <c r="U1410" i="7"/>
  <c r="T1410" i="7" s="1"/>
  <c r="N1410" i="7"/>
  <c r="M1410" i="7"/>
  <c r="K1410" i="7" s="1"/>
  <c r="F1410" i="7"/>
  <c r="E1410" i="7"/>
  <c r="AT1409" i="7"/>
  <c r="AS1409" i="7"/>
  <c r="AR1409" i="7" s="1"/>
  <c r="AL1409" i="7"/>
  <c r="AK1409" i="7"/>
  <c r="AD1409" i="7"/>
  <c r="AC1409" i="7"/>
  <c r="AA1409" i="7" s="1"/>
  <c r="V1409" i="7"/>
  <c r="U1409" i="7"/>
  <c r="N1409" i="7"/>
  <c r="M1409" i="7"/>
  <c r="K1409" i="7" s="1"/>
  <c r="F1409" i="7"/>
  <c r="E1409" i="7"/>
  <c r="D1409" i="7" s="1"/>
  <c r="AT1408" i="7"/>
  <c r="AS1408" i="7"/>
  <c r="AR1408" i="7" s="1"/>
  <c r="AL1408" i="7"/>
  <c r="AK1408" i="7"/>
  <c r="AD1408" i="7"/>
  <c r="AC1408" i="7"/>
  <c r="AB1408" i="7" s="1"/>
  <c r="V1408" i="7"/>
  <c r="U1408" i="7"/>
  <c r="N1408" i="7"/>
  <c r="M1408" i="7"/>
  <c r="K1408" i="7" s="1"/>
  <c r="F1408" i="7"/>
  <c r="E1408" i="7"/>
  <c r="AT1407" i="7"/>
  <c r="AS1407" i="7"/>
  <c r="AL1407" i="7"/>
  <c r="AK1407" i="7"/>
  <c r="AD1407" i="7"/>
  <c r="AC1407" i="7"/>
  <c r="V1407" i="7"/>
  <c r="U1407" i="7"/>
  <c r="T1407" i="7" s="1"/>
  <c r="N1407" i="7"/>
  <c r="M1407" i="7"/>
  <c r="K1407" i="7" s="1"/>
  <c r="F1407" i="7"/>
  <c r="E1407" i="7"/>
  <c r="D1407" i="7" s="1"/>
  <c r="AT1406" i="7"/>
  <c r="AS1406" i="7"/>
  <c r="AL1406" i="7"/>
  <c r="AK1406" i="7"/>
  <c r="AD1406" i="7"/>
  <c r="AC1406" i="7"/>
  <c r="AA1406" i="7" s="1"/>
  <c r="V1406" i="7"/>
  <c r="U1406" i="7"/>
  <c r="T1406" i="7" s="1"/>
  <c r="N1406" i="7"/>
  <c r="M1406" i="7"/>
  <c r="F1406" i="7"/>
  <c r="E1406" i="7"/>
  <c r="AT1405" i="7"/>
  <c r="AS1405" i="7"/>
  <c r="AL1405" i="7"/>
  <c r="AK1405" i="7"/>
  <c r="AD1405" i="7"/>
  <c r="AC1405" i="7"/>
  <c r="AA1405" i="7" s="1"/>
  <c r="V1405" i="7"/>
  <c r="U1405" i="7"/>
  <c r="T1405" i="7" s="1"/>
  <c r="N1405" i="7"/>
  <c r="M1405" i="7"/>
  <c r="F1405" i="7"/>
  <c r="E1405" i="7"/>
  <c r="C1405" i="7" s="1"/>
  <c r="AT1404" i="7"/>
  <c r="AS1404" i="7"/>
  <c r="AR1404" i="7" s="1"/>
  <c r="AL1404" i="7"/>
  <c r="AK1404" i="7"/>
  <c r="AD1404" i="7"/>
  <c r="AC1404" i="7"/>
  <c r="AB1404" i="7" s="1"/>
  <c r="V1404" i="7"/>
  <c r="U1404" i="7"/>
  <c r="T1404" i="7" s="1"/>
  <c r="N1404" i="7"/>
  <c r="M1404" i="7"/>
  <c r="K1404" i="7" s="1"/>
  <c r="F1404" i="7"/>
  <c r="E1404" i="7"/>
  <c r="C1404" i="7" s="1"/>
  <c r="AT1403" i="7"/>
  <c r="AS1403" i="7"/>
  <c r="AR1403" i="7" s="1"/>
  <c r="AL1403" i="7"/>
  <c r="AK1403" i="7"/>
  <c r="AD1403" i="7"/>
  <c r="AC1403" i="7"/>
  <c r="AA1403" i="7" s="1"/>
  <c r="V1403" i="7"/>
  <c r="U1403" i="7"/>
  <c r="N1403" i="7"/>
  <c r="M1403" i="7"/>
  <c r="K1403" i="7" s="1"/>
  <c r="F1403" i="7"/>
  <c r="E1403" i="7"/>
  <c r="AT1402" i="7"/>
  <c r="AS1402" i="7"/>
  <c r="AR1402" i="7" s="1"/>
  <c r="AL1402" i="7"/>
  <c r="AK1402" i="7"/>
  <c r="AD1402" i="7"/>
  <c r="AC1402" i="7"/>
  <c r="V1402" i="7"/>
  <c r="U1402" i="7"/>
  <c r="N1402" i="7"/>
  <c r="M1402" i="7"/>
  <c r="K1402" i="7" s="1"/>
  <c r="F1402" i="7"/>
  <c r="E1402" i="7"/>
  <c r="AT1401" i="7"/>
  <c r="AS1401" i="7"/>
  <c r="AL1401" i="7"/>
  <c r="AK1401" i="7"/>
  <c r="AD1401" i="7"/>
  <c r="AC1401" i="7"/>
  <c r="V1401" i="7"/>
  <c r="U1401" i="7"/>
  <c r="T1401" i="7" s="1"/>
  <c r="N1401" i="7"/>
  <c r="M1401" i="7"/>
  <c r="K1401" i="7" s="1"/>
  <c r="F1401" i="7"/>
  <c r="E1401" i="7"/>
  <c r="C1401" i="7" s="1"/>
  <c r="D1401" i="7"/>
  <c r="AT1400" i="7"/>
  <c r="AS1400" i="7"/>
  <c r="AL1400" i="7"/>
  <c r="AK1400" i="7"/>
  <c r="AD1400" i="7"/>
  <c r="AC1400" i="7"/>
  <c r="AA1400" i="7" s="1"/>
  <c r="V1400" i="7"/>
  <c r="U1400" i="7"/>
  <c r="T1400" i="7" s="1"/>
  <c r="N1400" i="7"/>
  <c r="M1400" i="7"/>
  <c r="F1400" i="7"/>
  <c r="E1400" i="7"/>
  <c r="AT1399" i="7"/>
  <c r="AS1399" i="7"/>
  <c r="AL1399" i="7"/>
  <c r="AK1399" i="7"/>
  <c r="AD1399" i="7"/>
  <c r="AC1399" i="7"/>
  <c r="AB1399" i="7" s="1"/>
  <c r="V1399" i="7"/>
  <c r="U1399" i="7"/>
  <c r="T1399" i="7" s="1"/>
  <c r="N1399" i="7"/>
  <c r="M1399" i="7"/>
  <c r="K1399" i="7" s="1"/>
  <c r="F1399" i="7"/>
  <c r="E1399" i="7"/>
  <c r="AT1398" i="7"/>
  <c r="AS1398" i="7"/>
  <c r="AR1398" i="7" s="1"/>
  <c r="AL1398" i="7"/>
  <c r="AK1398" i="7"/>
  <c r="AD1398" i="7"/>
  <c r="AC1398" i="7"/>
  <c r="AB1398" i="7" s="1"/>
  <c r="V1398" i="7"/>
  <c r="U1398" i="7"/>
  <c r="T1398" i="7" s="1"/>
  <c r="N1398" i="7"/>
  <c r="M1398" i="7"/>
  <c r="K1398" i="7" s="1"/>
  <c r="F1398" i="7"/>
  <c r="E1398" i="7"/>
  <c r="AT1397" i="7"/>
  <c r="AS1397" i="7"/>
  <c r="AR1397" i="7" s="1"/>
  <c r="AL1397" i="7"/>
  <c r="AK1397" i="7"/>
  <c r="AD1397" i="7"/>
  <c r="AC1397" i="7"/>
  <c r="V1397" i="7"/>
  <c r="U1397" i="7"/>
  <c r="N1397" i="7"/>
  <c r="M1397" i="7"/>
  <c r="K1397" i="7" s="1"/>
  <c r="F1397" i="7"/>
  <c r="E1397" i="7"/>
  <c r="C1397" i="7" s="1"/>
  <c r="AT1396" i="7"/>
  <c r="AS1396" i="7"/>
  <c r="AR1396" i="7" s="1"/>
  <c r="AL1396" i="7"/>
  <c r="AK1396" i="7"/>
  <c r="AD1396" i="7"/>
  <c r="AC1396" i="7"/>
  <c r="AB1396" i="7" s="1"/>
  <c r="V1396" i="7"/>
  <c r="U1396" i="7"/>
  <c r="N1396" i="7"/>
  <c r="M1396" i="7"/>
  <c r="K1396" i="7" s="1"/>
  <c r="F1396" i="7"/>
  <c r="E1396" i="7"/>
  <c r="AT1395" i="7"/>
  <c r="AS1395" i="7"/>
  <c r="AL1395" i="7"/>
  <c r="AK1395" i="7"/>
  <c r="AD1395" i="7"/>
  <c r="AC1395" i="7"/>
  <c r="V1395" i="7"/>
  <c r="U1395" i="7"/>
  <c r="T1395" i="7" s="1"/>
  <c r="N1395" i="7"/>
  <c r="M1395" i="7"/>
  <c r="K1395" i="7" s="1"/>
  <c r="F1395" i="7"/>
  <c r="E1395" i="7"/>
  <c r="AT1394" i="7"/>
  <c r="AS1394" i="7"/>
  <c r="AL1394" i="7"/>
  <c r="AK1394" i="7"/>
  <c r="AD1394" i="7"/>
  <c r="AC1394" i="7"/>
  <c r="AA1394" i="7" s="1"/>
  <c r="V1394" i="7"/>
  <c r="U1394" i="7"/>
  <c r="T1394" i="7" s="1"/>
  <c r="N1394" i="7"/>
  <c r="M1394" i="7"/>
  <c r="F1394" i="7"/>
  <c r="E1394" i="7"/>
  <c r="D1394" i="7" s="1"/>
  <c r="AT1393" i="7"/>
  <c r="AS1393" i="7"/>
  <c r="AR1393" i="7" s="1"/>
  <c r="AL1393" i="7"/>
  <c r="AK1393" i="7"/>
  <c r="AD1393" i="7"/>
  <c r="AC1393" i="7"/>
  <c r="V1393" i="7"/>
  <c r="U1393" i="7"/>
  <c r="T1393" i="7" s="1"/>
  <c r="N1393" i="7"/>
  <c r="M1393" i="7"/>
  <c r="F1393" i="7"/>
  <c r="E1393" i="7"/>
  <c r="C1393" i="7" s="1"/>
  <c r="AT1392" i="7"/>
  <c r="AS1392" i="7"/>
  <c r="AR1392" i="7" s="1"/>
  <c r="AL1392" i="7"/>
  <c r="AK1392" i="7"/>
  <c r="AD1392" i="7"/>
  <c r="AC1392" i="7"/>
  <c r="AB1392" i="7" s="1"/>
  <c r="V1392" i="7"/>
  <c r="U1392" i="7"/>
  <c r="T1392" i="7" s="1"/>
  <c r="N1392" i="7"/>
  <c r="M1392" i="7"/>
  <c r="K1392" i="7" s="1"/>
  <c r="F1392" i="7"/>
  <c r="E1392" i="7"/>
  <c r="AT1391" i="7"/>
  <c r="AS1391" i="7"/>
  <c r="AR1391" i="7" s="1"/>
  <c r="AL1391" i="7"/>
  <c r="AK1391" i="7"/>
  <c r="AD1391" i="7"/>
  <c r="AC1391" i="7"/>
  <c r="AA1391" i="7" s="1"/>
  <c r="V1391" i="7"/>
  <c r="U1391" i="7"/>
  <c r="N1391" i="7"/>
  <c r="M1391" i="7"/>
  <c r="K1391" i="7" s="1"/>
  <c r="F1391" i="7"/>
  <c r="E1391" i="7"/>
  <c r="D1391" i="7" s="1"/>
  <c r="AT1390" i="7"/>
  <c r="AS1390" i="7"/>
  <c r="AL1390" i="7"/>
  <c r="AK1390" i="7"/>
  <c r="AD1390" i="7"/>
  <c r="AC1390" i="7"/>
  <c r="V1390" i="7"/>
  <c r="U1390" i="7"/>
  <c r="T1390" i="7" s="1"/>
  <c r="N1390" i="7"/>
  <c r="M1390" i="7"/>
  <c r="F1390" i="7"/>
  <c r="E1390" i="7"/>
  <c r="C1390" i="7" s="1"/>
  <c r="AT1389" i="7"/>
  <c r="AS1389" i="7"/>
  <c r="AL1389" i="7"/>
  <c r="AK1389" i="7"/>
  <c r="AD1389" i="7"/>
  <c r="AC1389" i="7"/>
  <c r="V1389" i="7"/>
  <c r="U1389" i="7"/>
  <c r="T1389" i="7" s="1"/>
  <c r="N1389" i="7"/>
  <c r="M1389" i="7"/>
  <c r="K1389" i="7" s="1"/>
  <c r="F1389" i="7"/>
  <c r="E1389" i="7"/>
  <c r="D1389" i="7" s="1"/>
  <c r="AT1388" i="7"/>
  <c r="AS1388" i="7"/>
  <c r="AL1388" i="7"/>
  <c r="AK1388" i="7"/>
  <c r="AD1388" i="7"/>
  <c r="AC1388" i="7"/>
  <c r="V1388" i="7"/>
  <c r="U1388" i="7"/>
  <c r="T1388" i="7" s="1"/>
  <c r="N1388" i="7"/>
  <c r="M1388" i="7"/>
  <c r="F1388" i="7"/>
  <c r="E1388" i="7"/>
  <c r="D1388" i="7" s="1"/>
  <c r="AT1387" i="7"/>
  <c r="AS1387" i="7"/>
  <c r="AL1387" i="7"/>
  <c r="AK1387" i="7"/>
  <c r="AD1387" i="7"/>
  <c r="AC1387" i="7"/>
  <c r="V1387" i="7"/>
  <c r="U1387" i="7"/>
  <c r="T1387" i="7" s="1"/>
  <c r="N1387" i="7"/>
  <c r="M1387" i="7"/>
  <c r="F1387" i="7"/>
  <c r="E1387" i="7"/>
  <c r="C1387" i="7" s="1"/>
  <c r="AT1386" i="7"/>
  <c r="AS1386" i="7"/>
  <c r="AR1386" i="7" s="1"/>
  <c r="AL1386" i="7"/>
  <c r="AK1386" i="7"/>
  <c r="AD1386" i="7"/>
  <c r="AC1386" i="7"/>
  <c r="AB1386" i="7" s="1"/>
  <c r="V1386" i="7"/>
  <c r="U1386" i="7"/>
  <c r="T1386" i="7" s="1"/>
  <c r="N1386" i="7"/>
  <c r="M1386" i="7"/>
  <c r="K1386" i="7" s="1"/>
  <c r="F1386" i="7"/>
  <c r="E1386" i="7"/>
  <c r="C1386" i="7" s="1"/>
  <c r="AT1385" i="7"/>
  <c r="AS1385" i="7"/>
  <c r="AR1385" i="7" s="1"/>
  <c r="AL1385" i="7"/>
  <c r="AK1385" i="7"/>
  <c r="AD1385" i="7"/>
  <c r="AC1385" i="7"/>
  <c r="AA1385" i="7" s="1"/>
  <c r="V1385" i="7"/>
  <c r="U1385" i="7"/>
  <c r="N1385" i="7"/>
  <c r="M1385" i="7"/>
  <c r="K1385" i="7" s="1"/>
  <c r="F1385" i="7"/>
  <c r="E1385" i="7"/>
  <c r="AT1384" i="7"/>
  <c r="AS1384" i="7"/>
  <c r="AR1384" i="7" s="1"/>
  <c r="AL1384" i="7"/>
  <c r="AK1384" i="7"/>
  <c r="AD1384" i="7"/>
  <c r="AC1384" i="7"/>
  <c r="V1384" i="7"/>
  <c r="U1384" i="7"/>
  <c r="N1384" i="7"/>
  <c r="M1384" i="7"/>
  <c r="K1384" i="7" s="1"/>
  <c r="F1384" i="7"/>
  <c r="E1384" i="7"/>
  <c r="AT1383" i="7"/>
  <c r="AS1383" i="7"/>
  <c r="AL1383" i="7"/>
  <c r="AK1383" i="7"/>
  <c r="AD1383" i="7"/>
  <c r="AC1383" i="7"/>
  <c r="V1383" i="7"/>
  <c r="U1383" i="7"/>
  <c r="T1383" i="7" s="1"/>
  <c r="N1383" i="7"/>
  <c r="M1383" i="7"/>
  <c r="K1383" i="7" s="1"/>
  <c r="F1383" i="7"/>
  <c r="E1383" i="7"/>
  <c r="AT1382" i="7"/>
  <c r="AS1382" i="7"/>
  <c r="AL1382" i="7"/>
  <c r="AK1382" i="7"/>
  <c r="AD1382" i="7"/>
  <c r="AC1382" i="7"/>
  <c r="AA1382" i="7" s="1"/>
  <c r="V1382" i="7"/>
  <c r="U1382" i="7"/>
  <c r="T1382" i="7" s="1"/>
  <c r="N1382" i="7"/>
  <c r="M1382" i="7"/>
  <c r="F1382" i="7"/>
  <c r="E1382" i="7"/>
  <c r="C1382" i="7" s="1"/>
  <c r="AT1381" i="7"/>
  <c r="AS1381" i="7"/>
  <c r="AL1381" i="7"/>
  <c r="AK1381" i="7"/>
  <c r="AD1381" i="7"/>
  <c r="AC1381" i="7"/>
  <c r="AA1381" i="7" s="1"/>
  <c r="V1381" i="7"/>
  <c r="U1381" i="7"/>
  <c r="N1381" i="7"/>
  <c r="M1381" i="7"/>
  <c r="F1381" i="7"/>
  <c r="E1381" i="7"/>
  <c r="C1381" i="7" s="1"/>
  <c r="AT1380" i="7"/>
  <c r="AS1380" i="7"/>
  <c r="AR1380" i="7" s="1"/>
  <c r="AL1380" i="7"/>
  <c r="AK1380" i="7"/>
  <c r="AD1380" i="7"/>
  <c r="AC1380" i="7"/>
  <c r="AB1380" i="7" s="1"/>
  <c r="V1380" i="7"/>
  <c r="U1380" i="7"/>
  <c r="T1380" i="7" s="1"/>
  <c r="N1380" i="7"/>
  <c r="M1380" i="7"/>
  <c r="K1380" i="7" s="1"/>
  <c r="F1380" i="7"/>
  <c r="E1380" i="7"/>
  <c r="AT1379" i="7"/>
  <c r="AS1379" i="7"/>
  <c r="AR1379" i="7" s="1"/>
  <c r="AL1379" i="7"/>
  <c r="AK1379" i="7"/>
  <c r="AD1379" i="7"/>
  <c r="AC1379" i="7"/>
  <c r="V1379" i="7"/>
  <c r="U1379" i="7"/>
  <c r="N1379" i="7"/>
  <c r="M1379" i="7"/>
  <c r="F1379" i="7"/>
  <c r="E1379" i="7"/>
  <c r="AT1378" i="7"/>
  <c r="AS1378" i="7"/>
  <c r="AR1378" i="7" s="1"/>
  <c r="AL1378" i="7"/>
  <c r="AK1378" i="7"/>
  <c r="AI1378" i="7" s="1"/>
  <c r="AD1378" i="7"/>
  <c r="AC1378" i="7"/>
  <c r="V1378" i="7"/>
  <c r="U1378" i="7"/>
  <c r="N1378" i="7"/>
  <c r="M1378" i="7"/>
  <c r="F1378" i="7"/>
  <c r="E1378" i="7"/>
  <c r="C1378" i="7" s="1"/>
  <c r="AT1377" i="7"/>
  <c r="AS1377" i="7"/>
  <c r="AR1377" i="7" s="1"/>
  <c r="AL1377" i="7"/>
  <c r="AK1377" i="7"/>
  <c r="AD1377" i="7"/>
  <c r="AC1377" i="7"/>
  <c r="AB1377" i="7" s="1"/>
  <c r="V1377" i="7"/>
  <c r="U1377" i="7"/>
  <c r="N1377" i="7"/>
  <c r="M1377" i="7"/>
  <c r="F1377" i="7"/>
  <c r="E1377" i="7"/>
  <c r="D1377" i="7" s="1"/>
  <c r="AT1376" i="7"/>
  <c r="AS1376" i="7"/>
  <c r="AR1376" i="7" s="1"/>
  <c r="AL1376" i="7"/>
  <c r="AK1376" i="7"/>
  <c r="AI1376" i="7" s="1"/>
  <c r="AD1376" i="7"/>
  <c r="AC1376" i="7"/>
  <c r="AA1376" i="7" s="1"/>
  <c r="V1376" i="7"/>
  <c r="U1376" i="7"/>
  <c r="N1376" i="7"/>
  <c r="M1376" i="7"/>
  <c r="F1376" i="7"/>
  <c r="E1376" i="7"/>
  <c r="AT1375" i="7"/>
  <c r="AS1375" i="7"/>
  <c r="AR1375" i="7" s="1"/>
  <c r="AL1375" i="7"/>
  <c r="AK1375" i="7"/>
  <c r="AI1375" i="7" s="1"/>
  <c r="AD1375" i="7"/>
  <c r="AC1375" i="7"/>
  <c r="V1375" i="7"/>
  <c r="U1375" i="7"/>
  <c r="T1375" i="7" s="1"/>
  <c r="N1375" i="7"/>
  <c r="M1375" i="7"/>
  <c r="F1375" i="7"/>
  <c r="E1375" i="7"/>
  <c r="C1375" i="7" s="1"/>
  <c r="D1375" i="7"/>
  <c r="AT1374" i="7"/>
  <c r="AS1374" i="7"/>
  <c r="AR1374" i="7" s="1"/>
  <c r="AL1374" i="7"/>
  <c r="AK1374" i="7"/>
  <c r="AI1374" i="7" s="1"/>
  <c r="AD1374" i="7"/>
  <c r="AC1374" i="7"/>
  <c r="AB1374" i="7" s="1"/>
  <c r="V1374" i="7"/>
  <c r="U1374" i="7"/>
  <c r="T1374" i="7" s="1"/>
  <c r="N1374" i="7"/>
  <c r="M1374" i="7"/>
  <c r="F1374" i="7"/>
  <c r="E1374" i="7"/>
  <c r="D1374" i="7" s="1"/>
  <c r="AT1373" i="7"/>
  <c r="AS1373" i="7"/>
  <c r="AR1373" i="7" s="1"/>
  <c r="AL1373" i="7"/>
  <c r="AK1373" i="7"/>
  <c r="AI1373" i="7" s="1"/>
  <c r="AD1373" i="7"/>
  <c r="AC1373" i="7"/>
  <c r="AA1373" i="7" s="1"/>
  <c r="V1373" i="7"/>
  <c r="U1373" i="7"/>
  <c r="N1373" i="7"/>
  <c r="M1373" i="7"/>
  <c r="K1373" i="7" s="1"/>
  <c r="F1373" i="7"/>
  <c r="E1373" i="7"/>
  <c r="AT1372" i="7"/>
  <c r="AS1372" i="7"/>
  <c r="AL1372" i="7"/>
  <c r="AK1372" i="7"/>
  <c r="AJ1372" i="7" s="1"/>
  <c r="AD1372" i="7"/>
  <c r="AC1372" i="7"/>
  <c r="AA1372" i="7" s="1"/>
  <c r="AB1372" i="7"/>
  <c r="V1372" i="7"/>
  <c r="U1372" i="7"/>
  <c r="S1372" i="7" s="1"/>
  <c r="N1372" i="7"/>
  <c r="M1372" i="7"/>
  <c r="K1372" i="7" s="1"/>
  <c r="F1372" i="7"/>
  <c r="E1372" i="7"/>
  <c r="AT1371" i="7"/>
  <c r="AS1371" i="7"/>
  <c r="AL1371" i="7"/>
  <c r="AK1371" i="7"/>
  <c r="AJ1371" i="7" s="1"/>
  <c r="AD1371" i="7"/>
  <c r="AC1371" i="7"/>
  <c r="AA1371" i="7" s="1"/>
  <c r="V1371" i="7"/>
  <c r="U1371" i="7"/>
  <c r="N1371" i="7"/>
  <c r="M1371" i="7"/>
  <c r="K1371" i="7" s="1"/>
  <c r="F1371" i="7"/>
  <c r="E1371" i="7"/>
  <c r="C1371" i="7" s="1"/>
  <c r="AT1370" i="7"/>
  <c r="AS1370" i="7"/>
  <c r="AQ1370" i="7" s="1"/>
  <c r="AL1370" i="7"/>
  <c r="AK1370" i="7"/>
  <c r="AJ1370" i="7" s="1"/>
  <c r="AD1370" i="7"/>
  <c r="AC1370" i="7"/>
  <c r="V1370" i="7"/>
  <c r="U1370" i="7"/>
  <c r="N1370" i="7"/>
  <c r="M1370" i="7"/>
  <c r="K1370" i="7" s="1"/>
  <c r="F1370" i="7"/>
  <c r="E1370" i="7"/>
  <c r="C1370" i="7" s="1"/>
  <c r="AT1369" i="7"/>
  <c r="AS1369" i="7"/>
  <c r="AL1369" i="7"/>
  <c r="AK1369" i="7"/>
  <c r="AJ1369" i="7" s="1"/>
  <c r="AD1369" i="7"/>
  <c r="AC1369" i="7"/>
  <c r="V1369" i="7"/>
  <c r="U1369" i="7"/>
  <c r="S1369" i="7" s="1"/>
  <c r="N1369" i="7"/>
  <c r="M1369" i="7"/>
  <c r="K1369" i="7" s="1"/>
  <c r="F1369" i="7"/>
  <c r="E1369" i="7"/>
  <c r="C1369" i="7" s="1"/>
  <c r="AT1368" i="7"/>
  <c r="AS1368" i="7"/>
  <c r="AL1368" i="7"/>
  <c r="AK1368" i="7"/>
  <c r="AJ1368" i="7" s="1"/>
  <c r="AD1368" i="7"/>
  <c r="AC1368" i="7"/>
  <c r="AA1368" i="7" s="1"/>
  <c r="V1368" i="7"/>
  <c r="U1368" i="7"/>
  <c r="S1368" i="7" s="1"/>
  <c r="N1368" i="7"/>
  <c r="M1368" i="7"/>
  <c r="K1368" i="7" s="1"/>
  <c r="F1368" i="7"/>
  <c r="E1368" i="7"/>
  <c r="C1368" i="7" s="1"/>
  <c r="AT1367" i="7"/>
  <c r="AS1367" i="7"/>
  <c r="AQ1367" i="7" s="1"/>
  <c r="AL1367" i="7"/>
  <c r="AK1367" i="7"/>
  <c r="AJ1367" i="7" s="1"/>
  <c r="AD1367" i="7"/>
  <c r="AC1367" i="7"/>
  <c r="V1367" i="7"/>
  <c r="U1367" i="7"/>
  <c r="N1367" i="7"/>
  <c r="M1367" i="7"/>
  <c r="K1367" i="7" s="1"/>
  <c r="F1367" i="7"/>
  <c r="E1367" i="7"/>
  <c r="AT1366" i="7"/>
  <c r="AS1366" i="7"/>
  <c r="AR1366" i="7" s="1"/>
  <c r="AL1366" i="7"/>
  <c r="AK1366" i="7"/>
  <c r="AJ1366" i="7" s="1"/>
  <c r="AD1366" i="7"/>
  <c r="AC1366" i="7"/>
  <c r="AA1366" i="7" s="1"/>
  <c r="V1366" i="7"/>
  <c r="U1366" i="7"/>
  <c r="N1366" i="7"/>
  <c r="M1366" i="7"/>
  <c r="K1366" i="7" s="1"/>
  <c r="F1366" i="7"/>
  <c r="E1366" i="7"/>
  <c r="C1366" i="7" s="1"/>
  <c r="AT1365" i="7"/>
  <c r="AS1365" i="7"/>
  <c r="AQ1365" i="7" s="1"/>
  <c r="AL1365" i="7"/>
  <c r="AK1365" i="7"/>
  <c r="AJ1365" i="7" s="1"/>
  <c r="AD1365" i="7"/>
  <c r="AC1365" i="7"/>
  <c r="AA1365" i="7" s="1"/>
  <c r="AB1365" i="7"/>
  <c r="V1365" i="7"/>
  <c r="U1365" i="7"/>
  <c r="S1365" i="7" s="1"/>
  <c r="N1365" i="7"/>
  <c r="M1365" i="7"/>
  <c r="K1365" i="7" s="1"/>
  <c r="F1365" i="7"/>
  <c r="E1365" i="7"/>
  <c r="AT1364" i="7"/>
  <c r="AS1364" i="7"/>
  <c r="AR1364" i="7" s="1"/>
  <c r="AL1364" i="7"/>
  <c r="AK1364" i="7"/>
  <c r="AJ1364" i="7" s="1"/>
  <c r="AD1364" i="7"/>
  <c r="AC1364" i="7"/>
  <c r="AA1364" i="7" s="1"/>
  <c r="V1364" i="7"/>
  <c r="U1364" i="7"/>
  <c r="N1364" i="7"/>
  <c r="M1364" i="7"/>
  <c r="K1364" i="7" s="1"/>
  <c r="F1364" i="7"/>
  <c r="E1364" i="7"/>
  <c r="C1364" i="7" s="1"/>
  <c r="AT1363" i="7"/>
  <c r="AS1363" i="7"/>
  <c r="AL1363" i="7"/>
  <c r="AK1363" i="7"/>
  <c r="AJ1363" i="7" s="1"/>
  <c r="AD1363" i="7"/>
  <c r="AC1363" i="7"/>
  <c r="V1363" i="7"/>
  <c r="U1363" i="7"/>
  <c r="N1363" i="7"/>
  <c r="M1363" i="7"/>
  <c r="K1363" i="7" s="1"/>
  <c r="F1363" i="7"/>
  <c r="E1363" i="7"/>
  <c r="C1363" i="7" s="1"/>
  <c r="AT1362" i="7"/>
  <c r="AS1362" i="7"/>
  <c r="AQ1362" i="7" s="1"/>
  <c r="AL1362" i="7"/>
  <c r="AK1362" i="7"/>
  <c r="AJ1362" i="7" s="1"/>
  <c r="AD1362" i="7"/>
  <c r="AC1362" i="7"/>
  <c r="V1362" i="7"/>
  <c r="U1362" i="7"/>
  <c r="S1362" i="7" s="1"/>
  <c r="T1362" i="7"/>
  <c r="N1362" i="7"/>
  <c r="M1362" i="7"/>
  <c r="K1362" i="7" s="1"/>
  <c r="F1362" i="7"/>
  <c r="E1362" i="7"/>
  <c r="C1362" i="7" s="1"/>
  <c r="AT1361" i="7"/>
  <c r="AS1361" i="7"/>
  <c r="AL1361" i="7"/>
  <c r="AK1361" i="7"/>
  <c r="AJ1361" i="7" s="1"/>
  <c r="AD1361" i="7"/>
  <c r="AC1361" i="7"/>
  <c r="V1361" i="7"/>
  <c r="U1361" i="7"/>
  <c r="N1361" i="7"/>
  <c r="M1361" i="7"/>
  <c r="K1361" i="7" s="1"/>
  <c r="F1361" i="7"/>
  <c r="E1361" i="7"/>
  <c r="AT1360" i="7"/>
  <c r="AS1360" i="7"/>
  <c r="AQ1360" i="7" s="1"/>
  <c r="AL1360" i="7"/>
  <c r="AK1360" i="7"/>
  <c r="AJ1360" i="7" s="1"/>
  <c r="AD1360" i="7"/>
  <c r="AC1360" i="7"/>
  <c r="AA1360" i="7" s="1"/>
  <c r="AB1360" i="7"/>
  <c r="V1360" i="7"/>
  <c r="U1360" i="7"/>
  <c r="N1360" i="7"/>
  <c r="M1360" i="7"/>
  <c r="K1360" i="7" s="1"/>
  <c r="F1360" i="7"/>
  <c r="E1360" i="7"/>
  <c r="C1360" i="7" s="1"/>
  <c r="AT1359" i="7"/>
  <c r="AS1359" i="7"/>
  <c r="AR1359" i="7" s="1"/>
  <c r="AL1359" i="7"/>
  <c r="AK1359" i="7"/>
  <c r="AJ1359" i="7" s="1"/>
  <c r="AD1359" i="7"/>
  <c r="AC1359" i="7"/>
  <c r="AA1359" i="7" s="1"/>
  <c r="V1359" i="7"/>
  <c r="U1359" i="7"/>
  <c r="S1359" i="7" s="1"/>
  <c r="N1359" i="7"/>
  <c r="M1359" i="7"/>
  <c r="K1359" i="7" s="1"/>
  <c r="F1359" i="7"/>
  <c r="E1359" i="7"/>
  <c r="AT1358" i="7"/>
  <c r="AS1358" i="7"/>
  <c r="AR1358" i="7" s="1"/>
  <c r="AL1358" i="7"/>
  <c r="AK1358" i="7"/>
  <c r="AJ1358" i="7" s="1"/>
  <c r="AD1358" i="7"/>
  <c r="AC1358" i="7"/>
  <c r="AA1358" i="7" s="1"/>
  <c r="V1358" i="7"/>
  <c r="U1358" i="7"/>
  <c r="N1358" i="7"/>
  <c r="M1358" i="7"/>
  <c r="K1358" i="7" s="1"/>
  <c r="F1358" i="7"/>
  <c r="E1358" i="7"/>
  <c r="C1358" i="7" s="1"/>
  <c r="D1358" i="7"/>
  <c r="AT1357" i="7"/>
  <c r="AS1357" i="7"/>
  <c r="AL1357" i="7"/>
  <c r="AK1357" i="7"/>
  <c r="AJ1357" i="7" s="1"/>
  <c r="AD1357" i="7"/>
  <c r="AC1357" i="7"/>
  <c r="V1357" i="7"/>
  <c r="U1357" i="7"/>
  <c r="N1357" i="7"/>
  <c r="M1357" i="7"/>
  <c r="K1357" i="7" s="1"/>
  <c r="F1357" i="7"/>
  <c r="E1357" i="7"/>
  <c r="C1357" i="7" s="1"/>
  <c r="AT1356" i="7"/>
  <c r="AS1356" i="7"/>
  <c r="AQ1356" i="7" s="1"/>
  <c r="AL1356" i="7"/>
  <c r="AK1356" i="7"/>
  <c r="AJ1356" i="7" s="1"/>
  <c r="AD1356" i="7"/>
  <c r="AC1356" i="7"/>
  <c r="V1356" i="7"/>
  <c r="U1356" i="7"/>
  <c r="S1356" i="7" s="1"/>
  <c r="N1356" i="7"/>
  <c r="M1356" i="7"/>
  <c r="K1356" i="7" s="1"/>
  <c r="F1356" i="7"/>
  <c r="E1356" i="7"/>
  <c r="AT1355" i="7"/>
  <c r="AS1355" i="7"/>
  <c r="AR1355" i="7" s="1"/>
  <c r="AL1355" i="7"/>
  <c r="AK1355" i="7"/>
  <c r="AJ1355" i="7" s="1"/>
  <c r="AD1355" i="7"/>
  <c r="AC1355" i="7"/>
  <c r="V1355" i="7"/>
  <c r="U1355" i="7"/>
  <c r="S1355" i="7" s="1"/>
  <c r="N1355" i="7"/>
  <c r="M1355" i="7"/>
  <c r="K1355" i="7" s="1"/>
  <c r="F1355" i="7"/>
  <c r="E1355" i="7"/>
  <c r="AT1354" i="7"/>
  <c r="AS1354" i="7"/>
  <c r="AL1354" i="7"/>
  <c r="AK1354" i="7"/>
  <c r="AJ1354" i="7" s="1"/>
  <c r="AD1354" i="7"/>
  <c r="AC1354" i="7"/>
  <c r="V1354" i="7"/>
  <c r="U1354" i="7"/>
  <c r="N1354" i="7"/>
  <c r="M1354" i="7"/>
  <c r="K1354" i="7" s="1"/>
  <c r="F1354" i="7"/>
  <c r="E1354" i="7"/>
  <c r="C1354" i="7" s="1"/>
  <c r="AT1353" i="7"/>
  <c r="AS1353" i="7"/>
  <c r="AR1353" i="7"/>
  <c r="AQ1353" i="7"/>
  <c r="AL1353" i="7"/>
  <c r="AK1353" i="7"/>
  <c r="AJ1353" i="7" s="1"/>
  <c r="AD1353" i="7"/>
  <c r="AC1353" i="7"/>
  <c r="AA1353" i="7" s="1"/>
  <c r="AB1353" i="7"/>
  <c r="V1353" i="7"/>
  <c r="U1353" i="7"/>
  <c r="S1353" i="7" s="1"/>
  <c r="T1353" i="7"/>
  <c r="N1353" i="7"/>
  <c r="M1353" i="7"/>
  <c r="K1353" i="7" s="1"/>
  <c r="F1353" i="7"/>
  <c r="E1353" i="7"/>
  <c r="AT1352" i="7"/>
  <c r="AS1352" i="7"/>
  <c r="AR1352" i="7" s="1"/>
  <c r="AL1352" i="7"/>
  <c r="AK1352" i="7"/>
  <c r="AJ1352" i="7" s="1"/>
  <c r="AD1352" i="7"/>
  <c r="AC1352" i="7"/>
  <c r="AA1352" i="7" s="1"/>
  <c r="V1352" i="7"/>
  <c r="U1352" i="7"/>
  <c r="N1352" i="7"/>
  <c r="M1352" i="7"/>
  <c r="K1352" i="7" s="1"/>
  <c r="F1352" i="7"/>
  <c r="E1352" i="7"/>
  <c r="AT1351" i="7"/>
  <c r="AS1351" i="7"/>
  <c r="AL1351" i="7"/>
  <c r="AK1351" i="7"/>
  <c r="AJ1351" i="7" s="1"/>
  <c r="AD1351" i="7"/>
  <c r="AC1351" i="7"/>
  <c r="V1351" i="7"/>
  <c r="U1351" i="7"/>
  <c r="N1351" i="7"/>
  <c r="M1351" i="7"/>
  <c r="K1351" i="7" s="1"/>
  <c r="F1351" i="7"/>
  <c r="E1351" i="7"/>
  <c r="C1351" i="7" s="1"/>
  <c r="AT1350" i="7"/>
  <c r="AS1350" i="7"/>
  <c r="AQ1350" i="7" s="1"/>
  <c r="AL1350" i="7"/>
  <c r="AK1350" i="7"/>
  <c r="AJ1350" i="7" s="1"/>
  <c r="AD1350" i="7"/>
  <c r="AC1350" i="7"/>
  <c r="AA1350" i="7" s="1"/>
  <c r="V1350" i="7"/>
  <c r="U1350" i="7"/>
  <c r="S1350" i="7" s="1"/>
  <c r="N1350" i="7"/>
  <c r="M1350" i="7"/>
  <c r="K1350" i="7" s="1"/>
  <c r="F1350" i="7"/>
  <c r="E1350" i="7"/>
  <c r="AT1349" i="7"/>
  <c r="AS1349" i="7"/>
  <c r="AL1349" i="7"/>
  <c r="AK1349" i="7"/>
  <c r="AJ1349" i="7" s="1"/>
  <c r="AD1349" i="7"/>
  <c r="AC1349" i="7"/>
  <c r="V1349" i="7"/>
  <c r="U1349" i="7"/>
  <c r="S1349" i="7" s="1"/>
  <c r="N1349" i="7"/>
  <c r="M1349" i="7"/>
  <c r="K1349" i="7" s="1"/>
  <c r="F1349" i="7"/>
  <c r="E1349" i="7"/>
  <c r="AT1348" i="7"/>
  <c r="AS1348" i="7"/>
  <c r="AR1348" i="7" s="1"/>
  <c r="AL1348" i="7"/>
  <c r="AK1348" i="7"/>
  <c r="AJ1348" i="7" s="1"/>
  <c r="AD1348" i="7"/>
  <c r="AC1348" i="7"/>
  <c r="AA1348" i="7" s="1"/>
  <c r="V1348" i="7"/>
  <c r="U1348" i="7"/>
  <c r="N1348" i="7"/>
  <c r="M1348" i="7"/>
  <c r="K1348" i="7" s="1"/>
  <c r="F1348" i="7"/>
  <c r="E1348" i="7"/>
  <c r="AT1347" i="7"/>
  <c r="AS1347" i="7"/>
  <c r="AL1347" i="7"/>
  <c r="AK1347" i="7"/>
  <c r="AJ1347" i="7" s="1"/>
  <c r="AD1347" i="7"/>
  <c r="AC1347" i="7"/>
  <c r="V1347" i="7"/>
  <c r="U1347" i="7"/>
  <c r="S1347" i="7" s="1"/>
  <c r="N1347" i="7"/>
  <c r="M1347" i="7"/>
  <c r="K1347" i="7" s="1"/>
  <c r="F1347" i="7"/>
  <c r="E1347" i="7"/>
  <c r="AT1346" i="7"/>
  <c r="AS1346" i="7"/>
  <c r="AR1346" i="7" s="1"/>
  <c r="AL1346" i="7"/>
  <c r="AK1346" i="7"/>
  <c r="AJ1346" i="7" s="1"/>
  <c r="AD1346" i="7"/>
  <c r="AC1346" i="7"/>
  <c r="AA1346" i="7" s="1"/>
  <c r="V1346" i="7"/>
  <c r="U1346" i="7"/>
  <c r="N1346" i="7"/>
  <c r="M1346" i="7"/>
  <c r="K1346" i="7" s="1"/>
  <c r="F1346" i="7"/>
  <c r="E1346" i="7"/>
  <c r="C1346" i="7" s="1"/>
  <c r="AT1345" i="7"/>
  <c r="AS1345" i="7"/>
  <c r="AL1345" i="7"/>
  <c r="AK1345" i="7"/>
  <c r="AJ1345" i="7" s="1"/>
  <c r="AD1345" i="7"/>
  <c r="AC1345" i="7"/>
  <c r="V1345" i="7"/>
  <c r="U1345" i="7"/>
  <c r="S1345" i="7" s="1"/>
  <c r="N1345" i="7"/>
  <c r="M1345" i="7"/>
  <c r="K1345" i="7" s="1"/>
  <c r="F1345" i="7"/>
  <c r="E1345" i="7"/>
  <c r="C1345" i="7" s="1"/>
  <c r="D1345" i="7"/>
  <c r="AT1344" i="7"/>
  <c r="AS1344" i="7"/>
  <c r="AQ1344" i="7" s="1"/>
  <c r="AR1344" i="7"/>
  <c r="AL1344" i="7"/>
  <c r="AK1344" i="7"/>
  <c r="AJ1344" i="7" s="1"/>
  <c r="AD1344" i="7"/>
  <c r="AC1344" i="7"/>
  <c r="V1344" i="7"/>
  <c r="U1344" i="7"/>
  <c r="N1344" i="7"/>
  <c r="M1344" i="7"/>
  <c r="K1344" i="7" s="1"/>
  <c r="F1344" i="7"/>
  <c r="E1344" i="7"/>
  <c r="C1344" i="7" s="1"/>
  <c r="D1344" i="7"/>
  <c r="AT1343" i="7"/>
  <c r="AS1343" i="7"/>
  <c r="AR1343" i="7" s="1"/>
  <c r="AL1343" i="7"/>
  <c r="AK1343" i="7"/>
  <c r="AJ1343" i="7" s="1"/>
  <c r="AD1343" i="7"/>
  <c r="AC1343" i="7"/>
  <c r="V1343" i="7"/>
  <c r="U1343" i="7"/>
  <c r="S1343" i="7" s="1"/>
  <c r="N1343" i="7"/>
  <c r="M1343" i="7"/>
  <c r="K1343" i="7" s="1"/>
  <c r="F1343" i="7"/>
  <c r="E1343" i="7"/>
  <c r="AT1342" i="7"/>
  <c r="AS1342" i="7"/>
  <c r="AR1342" i="7" s="1"/>
  <c r="AQ1342" i="7"/>
  <c r="AL1342" i="7"/>
  <c r="AK1342" i="7"/>
  <c r="AJ1342" i="7" s="1"/>
  <c r="AD1342" i="7"/>
  <c r="AC1342" i="7"/>
  <c r="AA1342" i="7" s="1"/>
  <c r="V1342" i="7"/>
  <c r="U1342" i="7"/>
  <c r="N1342" i="7"/>
  <c r="M1342" i="7"/>
  <c r="K1342" i="7" s="1"/>
  <c r="F1342" i="7"/>
  <c r="E1342" i="7"/>
  <c r="AT1341" i="7"/>
  <c r="AS1341" i="7"/>
  <c r="AR1341" i="7" s="1"/>
  <c r="AL1341" i="7"/>
  <c r="AK1341" i="7"/>
  <c r="AJ1341" i="7" s="1"/>
  <c r="AD1341" i="7"/>
  <c r="AC1341" i="7"/>
  <c r="AA1341" i="7" s="1"/>
  <c r="V1341" i="7"/>
  <c r="U1341" i="7"/>
  <c r="S1341" i="7" s="1"/>
  <c r="N1341" i="7"/>
  <c r="M1341" i="7"/>
  <c r="K1341" i="7" s="1"/>
  <c r="F1341" i="7"/>
  <c r="E1341" i="7"/>
  <c r="AT1340" i="7"/>
  <c r="AS1340" i="7"/>
  <c r="AL1340" i="7"/>
  <c r="AK1340" i="7"/>
  <c r="AJ1340" i="7" s="1"/>
  <c r="AD1340" i="7"/>
  <c r="AC1340" i="7"/>
  <c r="V1340" i="7"/>
  <c r="U1340" i="7"/>
  <c r="N1340" i="7"/>
  <c r="M1340" i="7"/>
  <c r="K1340" i="7" s="1"/>
  <c r="F1340" i="7"/>
  <c r="E1340" i="7"/>
  <c r="C1340" i="7" s="1"/>
  <c r="AT1339" i="7"/>
  <c r="AS1339" i="7"/>
  <c r="AL1339" i="7"/>
  <c r="AK1339" i="7"/>
  <c r="AJ1339" i="7" s="1"/>
  <c r="AD1339" i="7"/>
  <c r="AC1339" i="7"/>
  <c r="V1339" i="7"/>
  <c r="U1339" i="7"/>
  <c r="S1339" i="7" s="1"/>
  <c r="N1339" i="7"/>
  <c r="M1339" i="7"/>
  <c r="K1339" i="7" s="1"/>
  <c r="F1339" i="7"/>
  <c r="E1339" i="7"/>
  <c r="C1339" i="7" s="1"/>
  <c r="AT1338" i="7"/>
  <c r="AS1338" i="7"/>
  <c r="AL1338" i="7"/>
  <c r="AK1338" i="7"/>
  <c r="AJ1338" i="7" s="1"/>
  <c r="AD1338" i="7"/>
  <c r="AC1338" i="7"/>
  <c r="V1338" i="7"/>
  <c r="U1338" i="7"/>
  <c r="T1338" i="7" s="1"/>
  <c r="N1338" i="7"/>
  <c r="M1338" i="7"/>
  <c r="K1338" i="7" s="1"/>
  <c r="F1338" i="7"/>
  <c r="E1338" i="7"/>
  <c r="C1338" i="7" s="1"/>
  <c r="AT1337" i="7"/>
  <c r="AS1337" i="7"/>
  <c r="AL1337" i="7"/>
  <c r="AK1337" i="7"/>
  <c r="AJ1337" i="7" s="1"/>
  <c r="AD1337" i="7"/>
  <c r="AC1337" i="7"/>
  <c r="AA1337" i="7" s="1"/>
  <c r="V1337" i="7"/>
  <c r="U1337" i="7"/>
  <c r="T1337" i="7" s="1"/>
  <c r="N1337" i="7"/>
  <c r="M1337" i="7"/>
  <c r="K1337" i="7" s="1"/>
  <c r="F1337" i="7"/>
  <c r="E1337" i="7"/>
  <c r="C1337" i="7" s="1"/>
  <c r="AT1336" i="7"/>
  <c r="AS1336" i="7"/>
  <c r="AL1336" i="7"/>
  <c r="AK1336" i="7"/>
  <c r="AJ1336" i="7" s="1"/>
  <c r="AD1336" i="7"/>
  <c r="AC1336" i="7"/>
  <c r="V1336" i="7"/>
  <c r="U1336" i="7"/>
  <c r="T1336" i="7" s="1"/>
  <c r="N1336" i="7"/>
  <c r="M1336" i="7"/>
  <c r="K1336" i="7" s="1"/>
  <c r="F1336" i="7"/>
  <c r="E1336" i="7"/>
  <c r="C1336" i="7" s="1"/>
  <c r="AT1335" i="7"/>
  <c r="AS1335" i="7"/>
  <c r="AQ1335" i="7" s="1"/>
  <c r="AL1335" i="7"/>
  <c r="AK1335" i="7"/>
  <c r="AJ1335" i="7" s="1"/>
  <c r="AD1335" i="7"/>
  <c r="AC1335" i="7"/>
  <c r="AA1335" i="7" s="1"/>
  <c r="V1335" i="7"/>
  <c r="U1335" i="7"/>
  <c r="T1335" i="7" s="1"/>
  <c r="N1335" i="7"/>
  <c r="M1335" i="7"/>
  <c r="K1335" i="7" s="1"/>
  <c r="F1335" i="7"/>
  <c r="E1335" i="7"/>
  <c r="C1335" i="7" s="1"/>
  <c r="AT1334" i="7"/>
  <c r="AS1334" i="7"/>
  <c r="AL1334" i="7"/>
  <c r="AK1334" i="7"/>
  <c r="AJ1334" i="7" s="1"/>
  <c r="AD1334" i="7"/>
  <c r="AC1334" i="7"/>
  <c r="AA1334" i="7" s="1"/>
  <c r="V1334" i="7"/>
  <c r="U1334" i="7"/>
  <c r="T1334" i="7" s="1"/>
  <c r="N1334" i="7"/>
  <c r="M1334" i="7"/>
  <c r="K1334" i="7" s="1"/>
  <c r="F1334" i="7"/>
  <c r="E1334" i="7"/>
  <c r="C1334" i="7" s="1"/>
  <c r="AT1333" i="7"/>
  <c r="AS1333" i="7"/>
  <c r="AL1333" i="7"/>
  <c r="AK1333" i="7"/>
  <c r="AJ1333" i="7" s="1"/>
  <c r="AD1333" i="7"/>
  <c r="AC1333" i="7"/>
  <c r="AA1333" i="7" s="1"/>
  <c r="V1333" i="7"/>
  <c r="U1333" i="7"/>
  <c r="T1333" i="7" s="1"/>
  <c r="N1333" i="7"/>
  <c r="M1333" i="7"/>
  <c r="K1333" i="7" s="1"/>
  <c r="F1333" i="7"/>
  <c r="E1333" i="7"/>
  <c r="C1333" i="7" s="1"/>
  <c r="AT1332" i="7"/>
  <c r="AS1332" i="7"/>
  <c r="AQ1332" i="7" s="1"/>
  <c r="AL1332" i="7"/>
  <c r="AK1332" i="7"/>
  <c r="AJ1332" i="7" s="1"/>
  <c r="AD1332" i="7"/>
  <c r="AC1332" i="7"/>
  <c r="V1332" i="7"/>
  <c r="U1332" i="7"/>
  <c r="T1332" i="7" s="1"/>
  <c r="N1332" i="7"/>
  <c r="M1332" i="7"/>
  <c r="K1332" i="7" s="1"/>
  <c r="F1332" i="7"/>
  <c r="E1332" i="7"/>
  <c r="C1332" i="7" s="1"/>
  <c r="AT1331" i="7"/>
  <c r="AS1331" i="7"/>
  <c r="AL1331" i="7"/>
  <c r="AK1331" i="7"/>
  <c r="AJ1331" i="7" s="1"/>
  <c r="AD1331" i="7"/>
  <c r="AC1331" i="7"/>
  <c r="AA1331" i="7" s="1"/>
  <c r="V1331" i="7"/>
  <c r="U1331" i="7"/>
  <c r="T1331" i="7" s="1"/>
  <c r="N1331" i="7"/>
  <c r="M1331" i="7"/>
  <c r="K1331" i="7" s="1"/>
  <c r="F1331" i="7"/>
  <c r="E1331" i="7"/>
  <c r="C1331" i="7" s="1"/>
  <c r="AT1330" i="7"/>
  <c r="AS1330" i="7"/>
  <c r="AL1330" i="7"/>
  <c r="AK1330" i="7"/>
  <c r="AJ1330" i="7" s="1"/>
  <c r="AD1330" i="7"/>
  <c r="AC1330" i="7"/>
  <c r="V1330" i="7"/>
  <c r="U1330" i="7"/>
  <c r="T1330" i="7" s="1"/>
  <c r="N1330" i="7"/>
  <c r="M1330" i="7"/>
  <c r="K1330" i="7" s="1"/>
  <c r="F1330" i="7"/>
  <c r="E1330" i="7"/>
  <c r="C1330" i="7" s="1"/>
  <c r="AT1329" i="7"/>
  <c r="AS1329" i="7"/>
  <c r="AQ1329" i="7" s="1"/>
  <c r="AL1329" i="7"/>
  <c r="AK1329" i="7"/>
  <c r="AJ1329" i="7" s="1"/>
  <c r="AD1329" i="7"/>
  <c r="AC1329" i="7"/>
  <c r="AA1329" i="7" s="1"/>
  <c r="V1329" i="7"/>
  <c r="U1329" i="7"/>
  <c r="T1329" i="7" s="1"/>
  <c r="N1329" i="7"/>
  <c r="M1329" i="7"/>
  <c r="K1329" i="7" s="1"/>
  <c r="F1329" i="7"/>
  <c r="E1329" i="7"/>
  <c r="C1329" i="7" s="1"/>
  <c r="AT1328" i="7"/>
  <c r="AS1328" i="7"/>
  <c r="AL1328" i="7"/>
  <c r="AK1328" i="7"/>
  <c r="AJ1328" i="7" s="1"/>
  <c r="AD1328" i="7"/>
  <c r="AC1328" i="7"/>
  <c r="AA1328" i="7" s="1"/>
  <c r="V1328" i="7"/>
  <c r="U1328" i="7"/>
  <c r="T1328" i="7" s="1"/>
  <c r="N1328" i="7"/>
  <c r="M1328" i="7"/>
  <c r="K1328" i="7" s="1"/>
  <c r="F1328" i="7"/>
  <c r="E1328" i="7"/>
  <c r="C1328" i="7" s="1"/>
  <c r="AT1327" i="7"/>
  <c r="AS1327" i="7"/>
  <c r="AL1327" i="7"/>
  <c r="AK1327" i="7"/>
  <c r="AJ1327" i="7" s="1"/>
  <c r="AD1327" i="7"/>
  <c r="AC1327" i="7"/>
  <c r="AA1327" i="7" s="1"/>
  <c r="V1327" i="7"/>
  <c r="U1327" i="7"/>
  <c r="T1327" i="7" s="1"/>
  <c r="N1327" i="7"/>
  <c r="M1327" i="7"/>
  <c r="K1327" i="7" s="1"/>
  <c r="F1327" i="7"/>
  <c r="E1327" i="7"/>
  <c r="C1327" i="7" s="1"/>
  <c r="AT1326" i="7"/>
  <c r="AS1326" i="7"/>
  <c r="AQ1326" i="7" s="1"/>
  <c r="AL1326" i="7"/>
  <c r="AK1326" i="7"/>
  <c r="AJ1326" i="7" s="1"/>
  <c r="AD1326" i="7"/>
  <c r="AC1326" i="7"/>
  <c r="AA1326" i="7" s="1"/>
  <c r="V1326" i="7"/>
  <c r="U1326" i="7"/>
  <c r="T1326" i="7" s="1"/>
  <c r="N1326" i="7"/>
  <c r="M1326" i="7"/>
  <c r="K1326" i="7" s="1"/>
  <c r="F1326" i="7"/>
  <c r="E1326" i="7"/>
  <c r="C1326" i="7" s="1"/>
  <c r="AT1325" i="7"/>
  <c r="AS1325" i="7"/>
  <c r="AL1325" i="7"/>
  <c r="AK1325" i="7"/>
  <c r="AJ1325" i="7" s="1"/>
  <c r="AD1325" i="7"/>
  <c r="AC1325" i="7"/>
  <c r="AA1325" i="7" s="1"/>
  <c r="V1325" i="7"/>
  <c r="U1325" i="7"/>
  <c r="T1325" i="7" s="1"/>
  <c r="N1325" i="7"/>
  <c r="M1325" i="7"/>
  <c r="K1325" i="7" s="1"/>
  <c r="F1325" i="7"/>
  <c r="E1325" i="7"/>
  <c r="C1325" i="7" s="1"/>
  <c r="AT1324" i="7"/>
  <c r="AS1324" i="7"/>
  <c r="AL1324" i="7"/>
  <c r="AK1324" i="7"/>
  <c r="AJ1324" i="7" s="1"/>
  <c r="AD1324" i="7"/>
  <c r="AC1324" i="7"/>
  <c r="V1324" i="7"/>
  <c r="U1324" i="7"/>
  <c r="T1324" i="7" s="1"/>
  <c r="N1324" i="7"/>
  <c r="M1324" i="7"/>
  <c r="K1324" i="7" s="1"/>
  <c r="F1324" i="7"/>
  <c r="E1324" i="7"/>
  <c r="C1324" i="7" s="1"/>
  <c r="AT1323" i="7"/>
  <c r="AS1323" i="7"/>
  <c r="AQ1323" i="7" s="1"/>
  <c r="AL1323" i="7"/>
  <c r="AK1323" i="7"/>
  <c r="AJ1323" i="7" s="1"/>
  <c r="AD1323" i="7"/>
  <c r="AC1323" i="7"/>
  <c r="AA1323" i="7" s="1"/>
  <c r="V1323" i="7"/>
  <c r="U1323" i="7"/>
  <c r="T1323" i="7" s="1"/>
  <c r="N1323" i="7"/>
  <c r="M1323" i="7"/>
  <c r="K1323" i="7" s="1"/>
  <c r="F1323" i="7"/>
  <c r="E1323" i="7"/>
  <c r="C1323" i="7" s="1"/>
  <c r="AT1322" i="7"/>
  <c r="AS1322" i="7"/>
  <c r="AL1322" i="7"/>
  <c r="AK1322" i="7"/>
  <c r="AJ1322" i="7" s="1"/>
  <c r="AD1322" i="7"/>
  <c r="AC1322" i="7"/>
  <c r="AA1322" i="7" s="1"/>
  <c r="V1322" i="7"/>
  <c r="U1322" i="7"/>
  <c r="T1322" i="7" s="1"/>
  <c r="N1322" i="7"/>
  <c r="M1322" i="7"/>
  <c r="K1322" i="7" s="1"/>
  <c r="F1322" i="7"/>
  <c r="E1322" i="7"/>
  <c r="C1322" i="7" s="1"/>
  <c r="AT1321" i="7"/>
  <c r="AS1321" i="7"/>
  <c r="AL1321" i="7"/>
  <c r="AK1321" i="7"/>
  <c r="AJ1321" i="7" s="1"/>
  <c r="AD1321" i="7"/>
  <c r="AC1321" i="7"/>
  <c r="V1321" i="7"/>
  <c r="U1321" i="7"/>
  <c r="T1321" i="7" s="1"/>
  <c r="N1321" i="7"/>
  <c r="M1321" i="7"/>
  <c r="K1321" i="7" s="1"/>
  <c r="F1321" i="7"/>
  <c r="E1321" i="7"/>
  <c r="C1321" i="7" s="1"/>
  <c r="AT1320" i="7"/>
  <c r="AS1320" i="7"/>
  <c r="AQ1320" i="7" s="1"/>
  <c r="AL1320" i="7"/>
  <c r="AK1320" i="7"/>
  <c r="AJ1320" i="7" s="1"/>
  <c r="AD1320" i="7"/>
  <c r="AC1320" i="7"/>
  <c r="AA1320" i="7" s="1"/>
  <c r="V1320" i="7"/>
  <c r="U1320" i="7"/>
  <c r="T1320" i="7" s="1"/>
  <c r="N1320" i="7"/>
  <c r="M1320" i="7"/>
  <c r="K1320" i="7" s="1"/>
  <c r="F1320" i="7"/>
  <c r="E1320" i="7"/>
  <c r="C1320" i="7" s="1"/>
  <c r="AT1319" i="7"/>
  <c r="AS1319" i="7"/>
  <c r="AL1319" i="7"/>
  <c r="AK1319" i="7"/>
  <c r="AJ1319" i="7" s="1"/>
  <c r="AD1319" i="7"/>
  <c r="AC1319" i="7"/>
  <c r="AA1319" i="7" s="1"/>
  <c r="V1319" i="7"/>
  <c r="U1319" i="7"/>
  <c r="T1319" i="7" s="1"/>
  <c r="N1319" i="7"/>
  <c r="M1319" i="7"/>
  <c r="K1319" i="7" s="1"/>
  <c r="F1319" i="7"/>
  <c r="E1319" i="7"/>
  <c r="C1319" i="7" s="1"/>
  <c r="AT1318" i="7"/>
  <c r="AS1318" i="7"/>
  <c r="AL1318" i="7"/>
  <c r="AK1318" i="7"/>
  <c r="AJ1318" i="7" s="1"/>
  <c r="AD1318" i="7"/>
  <c r="AC1318" i="7"/>
  <c r="V1318" i="7"/>
  <c r="U1318" i="7"/>
  <c r="T1318" i="7" s="1"/>
  <c r="N1318" i="7"/>
  <c r="M1318" i="7"/>
  <c r="K1318" i="7" s="1"/>
  <c r="F1318" i="7"/>
  <c r="E1318" i="7"/>
  <c r="C1318" i="7" s="1"/>
  <c r="AT1317" i="7"/>
  <c r="AS1317" i="7"/>
  <c r="AQ1317" i="7" s="1"/>
  <c r="AL1317" i="7"/>
  <c r="AK1317" i="7"/>
  <c r="AD1317" i="7"/>
  <c r="AC1317" i="7"/>
  <c r="AA1317" i="7" s="1"/>
  <c r="V1317" i="7"/>
  <c r="U1317" i="7"/>
  <c r="T1317" i="7" s="1"/>
  <c r="N1317" i="7"/>
  <c r="M1317" i="7"/>
  <c r="K1317" i="7" s="1"/>
  <c r="F1317" i="7"/>
  <c r="E1317" i="7"/>
  <c r="C1317" i="7" s="1"/>
  <c r="AT1316" i="7"/>
  <c r="AS1316" i="7"/>
  <c r="AL1316" i="7"/>
  <c r="AK1316" i="7"/>
  <c r="AD1316" i="7"/>
  <c r="AC1316" i="7"/>
  <c r="AA1316" i="7" s="1"/>
  <c r="V1316" i="7"/>
  <c r="U1316" i="7"/>
  <c r="T1316" i="7" s="1"/>
  <c r="N1316" i="7"/>
  <c r="M1316" i="7"/>
  <c r="K1316" i="7" s="1"/>
  <c r="F1316" i="7"/>
  <c r="E1316" i="7"/>
  <c r="C1316" i="7" s="1"/>
  <c r="AT1315" i="7"/>
  <c r="AS1315" i="7"/>
  <c r="AL1315" i="7"/>
  <c r="AK1315" i="7"/>
  <c r="AD1315" i="7"/>
  <c r="AC1315" i="7"/>
  <c r="AA1315" i="7" s="1"/>
  <c r="V1315" i="7"/>
  <c r="U1315" i="7"/>
  <c r="T1315" i="7" s="1"/>
  <c r="N1315" i="7"/>
  <c r="M1315" i="7"/>
  <c r="K1315" i="7" s="1"/>
  <c r="F1315" i="7"/>
  <c r="E1315" i="7"/>
  <c r="C1315" i="7" s="1"/>
  <c r="AT1314" i="7"/>
  <c r="AS1314" i="7"/>
  <c r="AQ1314" i="7" s="1"/>
  <c r="AL1314" i="7"/>
  <c r="AK1314" i="7"/>
  <c r="AD1314" i="7"/>
  <c r="AC1314" i="7"/>
  <c r="AA1314" i="7" s="1"/>
  <c r="V1314" i="7"/>
  <c r="U1314" i="7"/>
  <c r="T1314" i="7" s="1"/>
  <c r="N1314" i="7"/>
  <c r="M1314" i="7"/>
  <c r="K1314" i="7" s="1"/>
  <c r="F1314" i="7"/>
  <c r="E1314" i="7"/>
  <c r="C1314" i="7" s="1"/>
  <c r="AT1313" i="7"/>
  <c r="AS1313" i="7"/>
  <c r="AL1313" i="7"/>
  <c r="AK1313" i="7"/>
  <c r="AD1313" i="7"/>
  <c r="AC1313" i="7"/>
  <c r="AA1313" i="7" s="1"/>
  <c r="V1313" i="7"/>
  <c r="U1313" i="7"/>
  <c r="T1313" i="7" s="1"/>
  <c r="N1313" i="7"/>
  <c r="M1313" i="7"/>
  <c r="K1313" i="7" s="1"/>
  <c r="F1313" i="7"/>
  <c r="E1313" i="7"/>
  <c r="C1313" i="7" s="1"/>
  <c r="AT1312" i="7"/>
  <c r="AS1312" i="7"/>
  <c r="AL1312" i="7"/>
  <c r="AK1312" i="7"/>
  <c r="AD1312" i="7"/>
  <c r="AC1312" i="7"/>
  <c r="V1312" i="7"/>
  <c r="U1312" i="7"/>
  <c r="T1312" i="7" s="1"/>
  <c r="N1312" i="7"/>
  <c r="M1312" i="7"/>
  <c r="K1312" i="7" s="1"/>
  <c r="F1312" i="7"/>
  <c r="E1312" i="7"/>
  <c r="C1312" i="7" s="1"/>
  <c r="AT1311" i="7"/>
  <c r="AS1311" i="7"/>
  <c r="AQ1311" i="7" s="1"/>
  <c r="AL1311" i="7"/>
  <c r="AK1311" i="7"/>
  <c r="AD1311" i="7"/>
  <c r="AC1311" i="7"/>
  <c r="AA1311" i="7" s="1"/>
  <c r="V1311" i="7"/>
  <c r="U1311" i="7"/>
  <c r="T1311" i="7" s="1"/>
  <c r="N1311" i="7"/>
  <c r="M1311" i="7"/>
  <c r="K1311" i="7" s="1"/>
  <c r="F1311" i="7"/>
  <c r="E1311" i="7"/>
  <c r="C1311" i="7" s="1"/>
  <c r="AT1310" i="7"/>
  <c r="AS1310" i="7"/>
  <c r="AL1310" i="7"/>
  <c r="AK1310" i="7"/>
  <c r="AD1310" i="7"/>
  <c r="AC1310" i="7"/>
  <c r="AA1310" i="7" s="1"/>
  <c r="V1310" i="7"/>
  <c r="U1310" i="7"/>
  <c r="T1310" i="7" s="1"/>
  <c r="N1310" i="7"/>
  <c r="M1310" i="7"/>
  <c r="K1310" i="7" s="1"/>
  <c r="F1310" i="7"/>
  <c r="E1310" i="7"/>
  <c r="C1310" i="7" s="1"/>
  <c r="AT1309" i="7"/>
  <c r="AS1309" i="7"/>
  <c r="AL1309" i="7"/>
  <c r="AK1309" i="7"/>
  <c r="AD1309" i="7"/>
  <c r="AC1309" i="7"/>
  <c r="AA1309" i="7" s="1"/>
  <c r="V1309" i="7"/>
  <c r="U1309" i="7"/>
  <c r="T1309" i="7" s="1"/>
  <c r="N1309" i="7"/>
  <c r="M1309" i="7"/>
  <c r="K1309" i="7" s="1"/>
  <c r="F1309" i="7"/>
  <c r="E1309" i="7"/>
  <c r="C1309" i="7" s="1"/>
  <c r="AT1308" i="7"/>
  <c r="AS1308" i="7"/>
  <c r="AQ1308" i="7" s="1"/>
  <c r="AL1308" i="7"/>
  <c r="AK1308" i="7"/>
  <c r="AD1308" i="7"/>
  <c r="AC1308" i="7"/>
  <c r="AA1308" i="7" s="1"/>
  <c r="V1308" i="7"/>
  <c r="U1308" i="7"/>
  <c r="T1308" i="7" s="1"/>
  <c r="N1308" i="7"/>
  <c r="M1308" i="7"/>
  <c r="K1308" i="7" s="1"/>
  <c r="F1308" i="7"/>
  <c r="E1308" i="7"/>
  <c r="C1308" i="7" s="1"/>
  <c r="AT1307" i="7"/>
  <c r="AS1307" i="7"/>
  <c r="AL1307" i="7"/>
  <c r="AK1307" i="7"/>
  <c r="AD1307" i="7"/>
  <c r="AC1307" i="7"/>
  <c r="AA1307" i="7" s="1"/>
  <c r="V1307" i="7"/>
  <c r="U1307" i="7"/>
  <c r="T1307" i="7" s="1"/>
  <c r="N1307" i="7"/>
  <c r="M1307" i="7"/>
  <c r="K1307" i="7" s="1"/>
  <c r="F1307" i="7"/>
  <c r="E1307" i="7"/>
  <c r="C1307" i="7" s="1"/>
  <c r="AT1306" i="7"/>
  <c r="AS1306" i="7"/>
  <c r="AL1306" i="7"/>
  <c r="AK1306" i="7"/>
  <c r="AD1306" i="7"/>
  <c r="AC1306" i="7"/>
  <c r="V1306" i="7"/>
  <c r="U1306" i="7"/>
  <c r="T1306" i="7" s="1"/>
  <c r="N1306" i="7"/>
  <c r="M1306" i="7"/>
  <c r="K1306" i="7" s="1"/>
  <c r="F1306" i="7"/>
  <c r="E1306" i="7"/>
  <c r="C1306" i="7" s="1"/>
  <c r="AT1305" i="7"/>
  <c r="AS1305" i="7"/>
  <c r="AQ1305" i="7" s="1"/>
  <c r="AL1305" i="7"/>
  <c r="AK1305" i="7"/>
  <c r="AD1305" i="7"/>
  <c r="AC1305" i="7"/>
  <c r="V1305" i="7"/>
  <c r="U1305" i="7"/>
  <c r="T1305" i="7" s="1"/>
  <c r="N1305" i="7"/>
  <c r="M1305" i="7"/>
  <c r="K1305" i="7" s="1"/>
  <c r="F1305" i="7"/>
  <c r="E1305" i="7"/>
  <c r="C1305" i="7" s="1"/>
  <c r="AT1304" i="7"/>
  <c r="AS1304" i="7"/>
  <c r="AL1304" i="7"/>
  <c r="AK1304" i="7"/>
  <c r="AD1304" i="7"/>
  <c r="AC1304" i="7"/>
  <c r="AA1304" i="7" s="1"/>
  <c r="V1304" i="7"/>
  <c r="U1304" i="7"/>
  <c r="T1304" i="7" s="1"/>
  <c r="N1304" i="7"/>
  <c r="M1304" i="7"/>
  <c r="K1304" i="7" s="1"/>
  <c r="F1304" i="7"/>
  <c r="E1304" i="7"/>
  <c r="C1304" i="7" s="1"/>
  <c r="AT1303" i="7"/>
  <c r="AS1303" i="7"/>
  <c r="AL1303" i="7"/>
  <c r="AK1303" i="7"/>
  <c r="AD1303" i="7"/>
  <c r="AC1303" i="7"/>
  <c r="AA1303" i="7" s="1"/>
  <c r="V1303" i="7"/>
  <c r="U1303" i="7"/>
  <c r="T1303" i="7" s="1"/>
  <c r="N1303" i="7"/>
  <c r="M1303" i="7"/>
  <c r="K1303" i="7" s="1"/>
  <c r="F1303" i="7"/>
  <c r="E1303" i="7"/>
  <c r="C1303" i="7" s="1"/>
  <c r="AT1302" i="7"/>
  <c r="AS1302" i="7"/>
  <c r="AL1302" i="7"/>
  <c r="AK1302" i="7"/>
  <c r="AD1302" i="7"/>
  <c r="AC1302" i="7"/>
  <c r="AA1302" i="7" s="1"/>
  <c r="V1302" i="7"/>
  <c r="U1302" i="7"/>
  <c r="T1302" i="7" s="1"/>
  <c r="N1302" i="7"/>
  <c r="M1302" i="7"/>
  <c r="K1302" i="7" s="1"/>
  <c r="F1302" i="7"/>
  <c r="E1302" i="7"/>
  <c r="C1302" i="7" s="1"/>
  <c r="AT1301" i="7"/>
  <c r="AS1301" i="7"/>
  <c r="AL1301" i="7"/>
  <c r="AK1301" i="7"/>
  <c r="AD1301" i="7"/>
  <c r="AC1301" i="7"/>
  <c r="AA1301" i="7" s="1"/>
  <c r="AB1301" i="7"/>
  <c r="V1301" i="7"/>
  <c r="U1301" i="7"/>
  <c r="T1301" i="7" s="1"/>
  <c r="N1301" i="7"/>
  <c r="M1301" i="7"/>
  <c r="K1301" i="7" s="1"/>
  <c r="F1301" i="7"/>
  <c r="E1301" i="7"/>
  <c r="C1301" i="7" s="1"/>
  <c r="AT1300" i="7"/>
  <c r="AS1300" i="7"/>
  <c r="AL1300" i="7"/>
  <c r="AK1300" i="7"/>
  <c r="AD1300" i="7"/>
  <c r="AC1300" i="7"/>
  <c r="V1300" i="7"/>
  <c r="U1300" i="7"/>
  <c r="T1300" i="7" s="1"/>
  <c r="N1300" i="7"/>
  <c r="M1300" i="7"/>
  <c r="K1300" i="7" s="1"/>
  <c r="F1300" i="7"/>
  <c r="E1300" i="7"/>
  <c r="C1300" i="7" s="1"/>
  <c r="AT1299" i="7"/>
  <c r="AS1299" i="7"/>
  <c r="AQ1299" i="7" s="1"/>
  <c r="AL1299" i="7"/>
  <c r="AK1299" i="7"/>
  <c r="AD1299" i="7"/>
  <c r="AC1299" i="7"/>
  <c r="AA1299" i="7" s="1"/>
  <c r="V1299" i="7"/>
  <c r="U1299" i="7"/>
  <c r="T1299" i="7" s="1"/>
  <c r="N1299" i="7"/>
  <c r="M1299" i="7"/>
  <c r="F1299" i="7"/>
  <c r="E1299" i="7"/>
  <c r="C1299" i="7" s="1"/>
  <c r="AT1298" i="7"/>
  <c r="AS1298" i="7"/>
  <c r="AL1298" i="7"/>
  <c r="AK1298" i="7"/>
  <c r="AD1298" i="7"/>
  <c r="AC1298" i="7"/>
  <c r="AA1298" i="7" s="1"/>
  <c r="V1298" i="7"/>
  <c r="U1298" i="7"/>
  <c r="T1298" i="7" s="1"/>
  <c r="N1298" i="7"/>
  <c r="M1298" i="7"/>
  <c r="F1298" i="7"/>
  <c r="E1298" i="7"/>
  <c r="C1298" i="7" s="1"/>
  <c r="AT1297" i="7"/>
  <c r="AS1297" i="7"/>
  <c r="AL1297" i="7"/>
  <c r="AK1297" i="7"/>
  <c r="AD1297" i="7"/>
  <c r="AC1297" i="7"/>
  <c r="AA1297" i="7" s="1"/>
  <c r="V1297" i="7"/>
  <c r="U1297" i="7"/>
  <c r="T1297" i="7" s="1"/>
  <c r="N1297" i="7"/>
  <c r="M1297" i="7"/>
  <c r="F1297" i="7"/>
  <c r="E1297" i="7"/>
  <c r="C1297" i="7" s="1"/>
  <c r="AT1296" i="7"/>
  <c r="AS1296" i="7"/>
  <c r="AL1296" i="7"/>
  <c r="AK1296" i="7"/>
  <c r="AD1296" i="7"/>
  <c r="AC1296" i="7"/>
  <c r="V1296" i="7"/>
  <c r="U1296" i="7"/>
  <c r="T1296" i="7" s="1"/>
  <c r="N1296" i="7"/>
  <c r="M1296" i="7"/>
  <c r="F1296" i="7"/>
  <c r="E1296" i="7"/>
  <c r="C1296" i="7" s="1"/>
  <c r="AT1295" i="7"/>
  <c r="AS1295" i="7"/>
  <c r="AL1295" i="7"/>
  <c r="AK1295" i="7"/>
  <c r="AD1295" i="7"/>
  <c r="AC1295" i="7"/>
  <c r="V1295" i="7"/>
  <c r="U1295" i="7"/>
  <c r="T1295" i="7" s="1"/>
  <c r="N1295" i="7"/>
  <c r="M1295" i="7"/>
  <c r="F1295" i="7"/>
  <c r="E1295" i="7"/>
  <c r="C1295" i="7" s="1"/>
  <c r="AT1294" i="7"/>
  <c r="AS1294" i="7"/>
  <c r="AL1294" i="7"/>
  <c r="AK1294" i="7"/>
  <c r="AD1294" i="7"/>
  <c r="AC1294" i="7"/>
  <c r="AA1294" i="7" s="1"/>
  <c r="V1294" i="7"/>
  <c r="U1294" i="7"/>
  <c r="T1294" i="7" s="1"/>
  <c r="N1294" i="7"/>
  <c r="M1294" i="7"/>
  <c r="F1294" i="7"/>
  <c r="E1294" i="7"/>
  <c r="C1294" i="7" s="1"/>
  <c r="AT1293" i="7"/>
  <c r="AS1293" i="7"/>
  <c r="AQ1293" i="7" s="1"/>
  <c r="AL1293" i="7"/>
  <c r="AK1293" i="7"/>
  <c r="AD1293" i="7"/>
  <c r="AC1293" i="7"/>
  <c r="AA1293" i="7" s="1"/>
  <c r="V1293" i="7"/>
  <c r="U1293" i="7"/>
  <c r="T1293" i="7" s="1"/>
  <c r="N1293" i="7"/>
  <c r="M1293" i="7"/>
  <c r="F1293" i="7"/>
  <c r="E1293" i="7"/>
  <c r="C1293" i="7" s="1"/>
  <c r="AT1292" i="7"/>
  <c r="AS1292" i="7"/>
  <c r="AL1292" i="7"/>
  <c r="AK1292" i="7"/>
  <c r="AD1292" i="7"/>
  <c r="AC1292" i="7"/>
  <c r="AA1292" i="7" s="1"/>
  <c r="V1292" i="7"/>
  <c r="U1292" i="7"/>
  <c r="T1292" i="7" s="1"/>
  <c r="N1292" i="7"/>
  <c r="M1292" i="7"/>
  <c r="F1292" i="7"/>
  <c r="E1292" i="7"/>
  <c r="C1292" i="7" s="1"/>
  <c r="AT1291" i="7"/>
  <c r="AS1291" i="7"/>
  <c r="AL1291" i="7"/>
  <c r="AK1291" i="7"/>
  <c r="AD1291" i="7"/>
  <c r="AC1291" i="7"/>
  <c r="AA1291" i="7" s="1"/>
  <c r="V1291" i="7"/>
  <c r="U1291" i="7"/>
  <c r="T1291" i="7" s="1"/>
  <c r="N1291" i="7"/>
  <c r="M1291" i="7"/>
  <c r="F1291" i="7"/>
  <c r="E1291" i="7"/>
  <c r="C1291" i="7" s="1"/>
  <c r="AT1290" i="7"/>
  <c r="AS1290" i="7"/>
  <c r="AQ1290" i="7" s="1"/>
  <c r="AL1290" i="7"/>
  <c r="AK1290" i="7"/>
  <c r="AD1290" i="7"/>
  <c r="AC1290" i="7"/>
  <c r="V1290" i="7"/>
  <c r="U1290" i="7"/>
  <c r="T1290" i="7" s="1"/>
  <c r="N1290" i="7"/>
  <c r="M1290" i="7"/>
  <c r="F1290" i="7"/>
  <c r="E1290" i="7"/>
  <c r="C1290" i="7" s="1"/>
  <c r="AT1289" i="7"/>
  <c r="AS1289" i="7"/>
  <c r="AL1289" i="7"/>
  <c r="AK1289" i="7"/>
  <c r="AD1289" i="7"/>
  <c r="AC1289" i="7"/>
  <c r="AA1289" i="7" s="1"/>
  <c r="V1289" i="7"/>
  <c r="U1289" i="7"/>
  <c r="T1289" i="7" s="1"/>
  <c r="N1289" i="7"/>
  <c r="M1289" i="7"/>
  <c r="F1289" i="7"/>
  <c r="E1289" i="7"/>
  <c r="C1289" i="7" s="1"/>
  <c r="AT1288" i="7"/>
  <c r="AS1288" i="7"/>
  <c r="AL1288" i="7"/>
  <c r="AK1288" i="7"/>
  <c r="AD1288" i="7"/>
  <c r="AC1288" i="7"/>
  <c r="V1288" i="7"/>
  <c r="U1288" i="7"/>
  <c r="T1288" i="7" s="1"/>
  <c r="N1288" i="7"/>
  <c r="M1288" i="7"/>
  <c r="F1288" i="7"/>
  <c r="E1288" i="7"/>
  <c r="C1288" i="7" s="1"/>
  <c r="AT1287" i="7"/>
  <c r="AS1287" i="7"/>
  <c r="AR1287" i="7" s="1"/>
  <c r="AL1287" i="7"/>
  <c r="AK1287" i="7"/>
  <c r="AD1287" i="7"/>
  <c r="AC1287" i="7"/>
  <c r="AA1287" i="7" s="1"/>
  <c r="V1287" i="7"/>
  <c r="U1287" i="7"/>
  <c r="T1287" i="7" s="1"/>
  <c r="N1287" i="7"/>
  <c r="M1287" i="7"/>
  <c r="F1287" i="7"/>
  <c r="E1287" i="7"/>
  <c r="C1287" i="7" s="1"/>
  <c r="AT1286" i="7"/>
  <c r="AS1286" i="7"/>
  <c r="AR1286" i="7" s="1"/>
  <c r="AL1286" i="7"/>
  <c r="AK1286" i="7"/>
  <c r="AD1286" i="7"/>
  <c r="AC1286" i="7"/>
  <c r="AA1286" i="7" s="1"/>
  <c r="V1286" i="7"/>
  <c r="U1286" i="7"/>
  <c r="T1286" i="7" s="1"/>
  <c r="N1286" i="7"/>
  <c r="M1286" i="7"/>
  <c r="F1286" i="7"/>
  <c r="E1286" i="7"/>
  <c r="C1286" i="7" s="1"/>
  <c r="AT1285" i="7"/>
  <c r="AS1285" i="7"/>
  <c r="AR1285" i="7" s="1"/>
  <c r="AL1285" i="7"/>
  <c r="AK1285" i="7"/>
  <c r="AD1285" i="7"/>
  <c r="AC1285" i="7"/>
  <c r="AA1285" i="7" s="1"/>
  <c r="V1285" i="7"/>
  <c r="U1285" i="7"/>
  <c r="T1285" i="7" s="1"/>
  <c r="N1285" i="7"/>
  <c r="M1285" i="7"/>
  <c r="F1285" i="7"/>
  <c r="E1285" i="7"/>
  <c r="C1285" i="7" s="1"/>
  <c r="AT1284" i="7"/>
  <c r="AS1284" i="7"/>
  <c r="AR1284" i="7" s="1"/>
  <c r="AL1284" i="7"/>
  <c r="AK1284" i="7"/>
  <c r="AJ1284" i="7" s="1"/>
  <c r="AD1284" i="7"/>
  <c r="AC1284" i="7"/>
  <c r="AA1284" i="7" s="1"/>
  <c r="V1284" i="7"/>
  <c r="U1284" i="7"/>
  <c r="T1284" i="7" s="1"/>
  <c r="N1284" i="7"/>
  <c r="M1284" i="7"/>
  <c r="F1284" i="7"/>
  <c r="E1284" i="7"/>
  <c r="C1284" i="7" s="1"/>
  <c r="AT1283" i="7"/>
  <c r="AS1283" i="7"/>
  <c r="AL1283" i="7"/>
  <c r="AK1283" i="7"/>
  <c r="AJ1283" i="7" s="1"/>
  <c r="AD1283" i="7"/>
  <c r="AC1283" i="7"/>
  <c r="AA1283" i="7" s="1"/>
  <c r="V1283" i="7"/>
  <c r="U1283" i="7"/>
  <c r="T1283" i="7" s="1"/>
  <c r="N1283" i="7"/>
  <c r="M1283" i="7"/>
  <c r="F1283" i="7"/>
  <c r="E1283" i="7"/>
  <c r="C1283" i="7" s="1"/>
  <c r="AT1282" i="7"/>
  <c r="AS1282" i="7"/>
  <c r="AL1282" i="7"/>
  <c r="AK1282" i="7"/>
  <c r="AJ1282" i="7" s="1"/>
  <c r="AD1282" i="7"/>
  <c r="AC1282" i="7"/>
  <c r="AA1282" i="7" s="1"/>
  <c r="V1282" i="7"/>
  <c r="U1282" i="7"/>
  <c r="T1282" i="7" s="1"/>
  <c r="N1282" i="7"/>
  <c r="M1282" i="7"/>
  <c r="F1282" i="7"/>
  <c r="E1282" i="7"/>
  <c r="C1282" i="7" s="1"/>
  <c r="AT1281" i="7"/>
  <c r="AS1281" i="7"/>
  <c r="AR1281" i="7" s="1"/>
  <c r="AL1281" i="7"/>
  <c r="AK1281" i="7"/>
  <c r="AJ1281" i="7" s="1"/>
  <c r="AD1281" i="7"/>
  <c r="AC1281" i="7"/>
  <c r="AA1281" i="7" s="1"/>
  <c r="V1281" i="7"/>
  <c r="U1281" i="7"/>
  <c r="T1281" i="7" s="1"/>
  <c r="N1281" i="7"/>
  <c r="M1281" i="7"/>
  <c r="F1281" i="7"/>
  <c r="E1281" i="7"/>
  <c r="C1281" i="7" s="1"/>
  <c r="AT1280" i="7"/>
  <c r="AS1280" i="7"/>
  <c r="AR1280" i="7" s="1"/>
  <c r="AL1280" i="7"/>
  <c r="AK1280" i="7"/>
  <c r="AJ1280" i="7" s="1"/>
  <c r="AD1280" i="7"/>
  <c r="AC1280" i="7"/>
  <c r="AA1280" i="7" s="1"/>
  <c r="V1280" i="7"/>
  <c r="U1280" i="7"/>
  <c r="S1280" i="7" s="1"/>
  <c r="N1280" i="7"/>
  <c r="M1280" i="7"/>
  <c r="F1280" i="7"/>
  <c r="E1280" i="7"/>
  <c r="C1280" i="7" s="1"/>
  <c r="AT1279" i="7"/>
  <c r="AS1279" i="7"/>
  <c r="AL1279" i="7"/>
  <c r="AK1279" i="7"/>
  <c r="AD1279" i="7"/>
  <c r="AC1279" i="7"/>
  <c r="AA1279" i="7" s="1"/>
  <c r="V1279" i="7"/>
  <c r="U1279" i="7"/>
  <c r="T1279" i="7" s="1"/>
  <c r="N1279" i="7"/>
  <c r="M1279" i="7"/>
  <c r="F1279" i="7"/>
  <c r="E1279" i="7"/>
  <c r="C1279" i="7" s="1"/>
  <c r="AT1278" i="7"/>
  <c r="AS1278" i="7"/>
  <c r="AR1278" i="7" s="1"/>
  <c r="AL1278" i="7"/>
  <c r="AK1278" i="7"/>
  <c r="AJ1278" i="7" s="1"/>
  <c r="AD1278" i="7"/>
  <c r="AC1278" i="7"/>
  <c r="AA1278" i="7" s="1"/>
  <c r="V1278" i="7"/>
  <c r="U1278" i="7"/>
  <c r="T1278" i="7" s="1"/>
  <c r="N1278" i="7"/>
  <c r="M1278" i="7"/>
  <c r="F1278" i="7"/>
  <c r="E1278" i="7"/>
  <c r="C1278" i="7" s="1"/>
  <c r="AT1277" i="7"/>
  <c r="AS1277" i="7"/>
  <c r="AL1277" i="7"/>
  <c r="AK1277" i="7"/>
  <c r="AJ1277" i="7" s="1"/>
  <c r="AD1277" i="7"/>
  <c r="AC1277" i="7"/>
  <c r="AA1277" i="7" s="1"/>
  <c r="V1277" i="7"/>
  <c r="U1277" i="7"/>
  <c r="T1277" i="7" s="1"/>
  <c r="N1277" i="7"/>
  <c r="M1277" i="7"/>
  <c r="F1277" i="7"/>
  <c r="E1277" i="7"/>
  <c r="C1277" i="7" s="1"/>
  <c r="AT1276" i="7"/>
  <c r="AS1276" i="7"/>
  <c r="AR1276" i="7" s="1"/>
  <c r="AL1276" i="7"/>
  <c r="AK1276" i="7"/>
  <c r="AD1276" i="7"/>
  <c r="AC1276" i="7"/>
  <c r="AA1276" i="7" s="1"/>
  <c r="V1276" i="7"/>
  <c r="U1276" i="7"/>
  <c r="T1276" i="7" s="1"/>
  <c r="N1276" i="7"/>
  <c r="M1276" i="7"/>
  <c r="F1276" i="7"/>
  <c r="E1276" i="7"/>
  <c r="C1276" i="7" s="1"/>
  <c r="AT1275" i="7"/>
  <c r="AS1275" i="7"/>
  <c r="AR1275" i="7" s="1"/>
  <c r="AL1275" i="7"/>
  <c r="AK1275" i="7"/>
  <c r="AJ1275" i="7" s="1"/>
  <c r="AD1275" i="7"/>
  <c r="AC1275" i="7"/>
  <c r="AA1275" i="7" s="1"/>
  <c r="V1275" i="7"/>
  <c r="U1275" i="7"/>
  <c r="T1275" i="7" s="1"/>
  <c r="N1275" i="7"/>
  <c r="M1275" i="7"/>
  <c r="F1275" i="7"/>
  <c r="E1275" i="7"/>
  <c r="C1275" i="7" s="1"/>
  <c r="AT1274" i="7"/>
  <c r="AS1274" i="7"/>
  <c r="AL1274" i="7"/>
  <c r="AK1274" i="7"/>
  <c r="AJ1274" i="7" s="1"/>
  <c r="AD1274" i="7"/>
  <c r="AC1274" i="7"/>
  <c r="V1274" i="7"/>
  <c r="U1274" i="7"/>
  <c r="N1274" i="7"/>
  <c r="M1274" i="7"/>
  <c r="F1274" i="7"/>
  <c r="E1274" i="7"/>
  <c r="C1274" i="7" s="1"/>
  <c r="AT1273" i="7"/>
  <c r="AS1273" i="7"/>
  <c r="AR1273" i="7" s="1"/>
  <c r="AL1273" i="7"/>
  <c r="AK1273" i="7"/>
  <c r="AJ1273" i="7" s="1"/>
  <c r="AD1273" i="7"/>
  <c r="AC1273" i="7"/>
  <c r="AA1273" i="7" s="1"/>
  <c r="V1273" i="7"/>
  <c r="U1273" i="7"/>
  <c r="T1273" i="7" s="1"/>
  <c r="N1273" i="7"/>
  <c r="M1273" i="7"/>
  <c r="F1273" i="7"/>
  <c r="E1273" i="7"/>
  <c r="C1273" i="7" s="1"/>
  <c r="AT1272" i="7"/>
  <c r="AS1272" i="7"/>
  <c r="AR1272" i="7" s="1"/>
  <c r="AL1272" i="7"/>
  <c r="AK1272" i="7"/>
  <c r="AJ1272" i="7" s="1"/>
  <c r="AD1272" i="7"/>
  <c r="AC1272" i="7"/>
  <c r="AA1272" i="7" s="1"/>
  <c r="V1272" i="7"/>
  <c r="U1272" i="7"/>
  <c r="T1272" i="7" s="1"/>
  <c r="N1272" i="7"/>
  <c r="M1272" i="7"/>
  <c r="F1272" i="7"/>
  <c r="E1272" i="7"/>
  <c r="C1272" i="7" s="1"/>
  <c r="AT1271" i="7"/>
  <c r="AS1271" i="7"/>
  <c r="AR1271" i="7" s="1"/>
  <c r="AL1271" i="7"/>
  <c r="AK1271" i="7"/>
  <c r="AJ1271" i="7" s="1"/>
  <c r="AD1271" i="7"/>
  <c r="AC1271" i="7"/>
  <c r="AA1271" i="7" s="1"/>
  <c r="V1271" i="7"/>
  <c r="U1271" i="7"/>
  <c r="S1271" i="7" s="1"/>
  <c r="N1271" i="7"/>
  <c r="M1271" i="7"/>
  <c r="F1271" i="7"/>
  <c r="E1271" i="7"/>
  <c r="C1271" i="7" s="1"/>
  <c r="AT1270" i="7"/>
  <c r="AS1270" i="7"/>
  <c r="AR1270" i="7" s="1"/>
  <c r="AL1270" i="7"/>
  <c r="AK1270" i="7"/>
  <c r="AD1270" i="7"/>
  <c r="AC1270" i="7"/>
  <c r="AA1270" i="7" s="1"/>
  <c r="V1270" i="7"/>
  <c r="U1270" i="7"/>
  <c r="T1270" i="7" s="1"/>
  <c r="N1270" i="7"/>
  <c r="M1270" i="7"/>
  <c r="F1270" i="7"/>
  <c r="E1270" i="7"/>
  <c r="C1270" i="7" s="1"/>
  <c r="AT1269" i="7"/>
  <c r="AS1269" i="7"/>
  <c r="AR1269" i="7" s="1"/>
  <c r="AL1269" i="7"/>
  <c r="AK1269" i="7"/>
  <c r="AJ1269" i="7" s="1"/>
  <c r="AD1269" i="7"/>
  <c r="AC1269" i="7"/>
  <c r="AA1269" i="7" s="1"/>
  <c r="V1269" i="7"/>
  <c r="U1269" i="7"/>
  <c r="T1269" i="7" s="1"/>
  <c r="N1269" i="7"/>
  <c r="M1269" i="7"/>
  <c r="F1269" i="7"/>
  <c r="E1269" i="7"/>
  <c r="C1269" i="7" s="1"/>
  <c r="AT1268" i="7"/>
  <c r="AS1268" i="7"/>
  <c r="AR1268" i="7" s="1"/>
  <c r="AQ1268" i="7"/>
  <c r="AL1268" i="7"/>
  <c r="AK1268" i="7"/>
  <c r="AJ1268" i="7" s="1"/>
  <c r="AD1268" i="7"/>
  <c r="AC1268" i="7"/>
  <c r="AA1268" i="7" s="1"/>
  <c r="V1268" i="7"/>
  <c r="U1268" i="7"/>
  <c r="N1268" i="7"/>
  <c r="M1268" i="7"/>
  <c r="F1268" i="7"/>
  <c r="E1268" i="7"/>
  <c r="C1268" i="7" s="1"/>
  <c r="AT1267" i="7"/>
  <c r="AS1267" i="7"/>
  <c r="AR1267" i="7" s="1"/>
  <c r="AL1267" i="7"/>
  <c r="AK1267" i="7"/>
  <c r="AD1267" i="7"/>
  <c r="AC1267" i="7"/>
  <c r="AA1267" i="7" s="1"/>
  <c r="V1267" i="7"/>
  <c r="U1267" i="7"/>
  <c r="T1267" i="7" s="1"/>
  <c r="N1267" i="7"/>
  <c r="M1267" i="7"/>
  <c r="F1267" i="7"/>
  <c r="E1267" i="7"/>
  <c r="C1267" i="7" s="1"/>
  <c r="AT1266" i="7"/>
  <c r="AS1266" i="7"/>
  <c r="AR1266" i="7" s="1"/>
  <c r="AL1266" i="7"/>
  <c r="AK1266" i="7"/>
  <c r="AJ1266" i="7" s="1"/>
  <c r="AD1266" i="7"/>
  <c r="AC1266" i="7"/>
  <c r="AA1266" i="7" s="1"/>
  <c r="V1266" i="7"/>
  <c r="U1266" i="7"/>
  <c r="N1266" i="7"/>
  <c r="M1266" i="7"/>
  <c r="F1266" i="7"/>
  <c r="E1266" i="7"/>
  <c r="C1266" i="7" s="1"/>
  <c r="AT1265" i="7"/>
  <c r="AS1265" i="7"/>
  <c r="AL1265" i="7"/>
  <c r="AK1265" i="7"/>
  <c r="AJ1265" i="7" s="1"/>
  <c r="AD1265" i="7"/>
  <c r="AC1265" i="7"/>
  <c r="AA1265" i="7" s="1"/>
  <c r="V1265" i="7"/>
  <c r="U1265" i="7"/>
  <c r="T1265" i="7" s="1"/>
  <c r="N1265" i="7"/>
  <c r="M1265" i="7"/>
  <c r="F1265" i="7"/>
  <c r="E1265" i="7"/>
  <c r="C1265" i="7" s="1"/>
  <c r="AT1264" i="7"/>
  <c r="AS1264" i="7"/>
  <c r="AR1264" i="7" s="1"/>
  <c r="AL1264" i="7"/>
  <c r="AK1264" i="7"/>
  <c r="AD1264" i="7"/>
  <c r="AC1264" i="7"/>
  <c r="AA1264" i="7" s="1"/>
  <c r="V1264" i="7"/>
  <c r="U1264" i="7"/>
  <c r="T1264" i="7" s="1"/>
  <c r="N1264" i="7"/>
  <c r="M1264" i="7"/>
  <c r="F1264" i="7"/>
  <c r="E1264" i="7"/>
  <c r="C1264" i="7" s="1"/>
  <c r="AT1263" i="7"/>
  <c r="AS1263" i="7"/>
  <c r="AR1263" i="7" s="1"/>
  <c r="AL1263" i="7"/>
  <c r="AK1263" i="7"/>
  <c r="AJ1263" i="7" s="1"/>
  <c r="AD1263" i="7"/>
  <c r="AC1263" i="7"/>
  <c r="AA1263" i="7" s="1"/>
  <c r="V1263" i="7"/>
  <c r="U1263" i="7"/>
  <c r="T1263" i="7" s="1"/>
  <c r="N1263" i="7"/>
  <c r="M1263" i="7"/>
  <c r="F1263" i="7"/>
  <c r="E1263" i="7"/>
  <c r="C1263" i="7" s="1"/>
  <c r="AT1262" i="7"/>
  <c r="AS1262" i="7"/>
  <c r="AR1262" i="7" s="1"/>
  <c r="AL1262" i="7"/>
  <c r="AK1262" i="7"/>
  <c r="AJ1262" i="7" s="1"/>
  <c r="AD1262" i="7"/>
  <c r="AC1262" i="7"/>
  <c r="V1262" i="7"/>
  <c r="U1262" i="7"/>
  <c r="S1262" i="7" s="1"/>
  <c r="N1262" i="7"/>
  <c r="M1262" i="7"/>
  <c r="F1262" i="7"/>
  <c r="E1262" i="7"/>
  <c r="C1262" i="7" s="1"/>
  <c r="AT1261" i="7"/>
  <c r="AS1261" i="7"/>
  <c r="AL1261" i="7"/>
  <c r="AK1261" i="7"/>
  <c r="AJ1261" i="7" s="1"/>
  <c r="AD1261" i="7"/>
  <c r="AC1261" i="7"/>
  <c r="AA1261" i="7" s="1"/>
  <c r="V1261" i="7"/>
  <c r="U1261" i="7"/>
  <c r="T1261" i="7" s="1"/>
  <c r="N1261" i="7"/>
  <c r="M1261" i="7"/>
  <c r="F1261" i="7"/>
  <c r="E1261" i="7"/>
  <c r="C1261" i="7" s="1"/>
  <c r="AT1260" i="7"/>
  <c r="AS1260" i="7"/>
  <c r="AR1260" i="7" s="1"/>
  <c r="AL1260" i="7"/>
  <c r="AK1260" i="7"/>
  <c r="AJ1260" i="7" s="1"/>
  <c r="AD1260" i="7"/>
  <c r="AC1260" i="7"/>
  <c r="AA1260" i="7" s="1"/>
  <c r="V1260" i="7"/>
  <c r="U1260" i="7"/>
  <c r="T1260" i="7" s="1"/>
  <c r="N1260" i="7"/>
  <c r="M1260" i="7"/>
  <c r="F1260" i="7"/>
  <c r="E1260" i="7"/>
  <c r="AT1259" i="7"/>
  <c r="AS1259" i="7"/>
  <c r="AR1259" i="7" s="1"/>
  <c r="AL1259" i="7"/>
  <c r="AK1259" i="7"/>
  <c r="AJ1259" i="7" s="1"/>
  <c r="AD1259" i="7"/>
  <c r="AC1259" i="7"/>
  <c r="AA1259" i="7" s="1"/>
  <c r="V1259" i="7"/>
  <c r="U1259" i="7"/>
  <c r="N1259" i="7"/>
  <c r="M1259" i="7"/>
  <c r="F1259" i="7"/>
  <c r="E1259" i="7"/>
  <c r="C1259" i="7" s="1"/>
  <c r="AT1258" i="7"/>
  <c r="AS1258" i="7"/>
  <c r="AR1258" i="7" s="1"/>
  <c r="AQ1258" i="7"/>
  <c r="AL1258" i="7"/>
  <c r="AK1258" i="7"/>
  <c r="AD1258" i="7"/>
  <c r="AC1258" i="7"/>
  <c r="AA1258" i="7" s="1"/>
  <c r="V1258" i="7"/>
  <c r="U1258" i="7"/>
  <c r="T1258" i="7" s="1"/>
  <c r="N1258" i="7"/>
  <c r="M1258" i="7"/>
  <c r="F1258" i="7"/>
  <c r="E1258" i="7"/>
  <c r="C1258" i="7" s="1"/>
  <c r="AT1257" i="7"/>
  <c r="AS1257" i="7"/>
  <c r="AR1257" i="7" s="1"/>
  <c r="AL1257" i="7"/>
  <c r="AK1257" i="7"/>
  <c r="AJ1257" i="7" s="1"/>
  <c r="AD1257" i="7"/>
  <c r="AC1257" i="7"/>
  <c r="AA1257" i="7" s="1"/>
  <c r="V1257" i="7"/>
  <c r="U1257" i="7"/>
  <c r="T1257" i="7" s="1"/>
  <c r="N1257" i="7"/>
  <c r="M1257" i="7"/>
  <c r="F1257" i="7"/>
  <c r="E1257" i="7"/>
  <c r="C1257" i="7" s="1"/>
  <c r="AT1256" i="7"/>
  <c r="AS1256" i="7"/>
  <c r="AR1256" i="7" s="1"/>
  <c r="AL1256" i="7"/>
  <c r="AK1256" i="7"/>
  <c r="AJ1256" i="7" s="1"/>
  <c r="AD1256" i="7"/>
  <c r="AC1256" i="7"/>
  <c r="AA1256" i="7" s="1"/>
  <c r="V1256" i="7"/>
  <c r="U1256" i="7"/>
  <c r="N1256" i="7"/>
  <c r="M1256" i="7"/>
  <c r="F1256" i="7"/>
  <c r="E1256" i="7"/>
  <c r="C1256" i="7" s="1"/>
  <c r="AT1255" i="7"/>
  <c r="AS1255" i="7"/>
  <c r="AL1255" i="7"/>
  <c r="AK1255" i="7"/>
  <c r="AJ1255" i="7" s="1"/>
  <c r="AD1255" i="7"/>
  <c r="AC1255" i="7"/>
  <c r="AA1255" i="7" s="1"/>
  <c r="V1255" i="7"/>
  <c r="U1255" i="7"/>
  <c r="T1255" i="7" s="1"/>
  <c r="N1255" i="7"/>
  <c r="M1255" i="7"/>
  <c r="F1255" i="7"/>
  <c r="E1255" i="7"/>
  <c r="C1255" i="7" s="1"/>
  <c r="AT1254" i="7"/>
  <c r="AS1254" i="7"/>
  <c r="AR1254" i="7" s="1"/>
  <c r="AL1254" i="7"/>
  <c r="AK1254" i="7"/>
  <c r="AJ1254" i="7" s="1"/>
  <c r="AD1254" i="7"/>
  <c r="AC1254" i="7"/>
  <c r="AA1254" i="7" s="1"/>
  <c r="V1254" i="7"/>
  <c r="U1254" i="7"/>
  <c r="T1254" i="7" s="1"/>
  <c r="N1254" i="7"/>
  <c r="M1254" i="7"/>
  <c r="F1254" i="7"/>
  <c r="E1254" i="7"/>
  <c r="C1254" i="7" s="1"/>
  <c r="AT1253" i="7"/>
  <c r="AS1253" i="7"/>
  <c r="AR1253" i="7" s="1"/>
  <c r="AL1253" i="7"/>
  <c r="AK1253" i="7"/>
  <c r="AJ1253" i="7" s="1"/>
  <c r="AD1253" i="7"/>
  <c r="AC1253" i="7"/>
  <c r="AA1253" i="7" s="1"/>
  <c r="V1253" i="7"/>
  <c r="U1253" i="7"/>
  <c r="N1253" i="7"/>
  <c r="M1253" i="7"/>
  <c r="F1253" i="7"/>
  <c r="E1253" i="7"/>
  <c r="C1253" i="7" s="1"/>
  <c r="AT1252" i="7"/>
  <c r="AS1252" i="7"/>
  <c r="AR1252" i="7" s="1"/>
  <c r="AL1252" i="7"/>
  <c r="AK1252" i="7"/>
  <c r="AJ1252" i="7" s="1"/>
  <c r="AD1252" i="7"/>
  <c r="AC1252" i="7"/>
  <c r="AA1252" i="7" s="1"/>
  <c r="V1252" i="7"/>
  <c r="U1252" i="7"/>
  <c r="T1252" i="7" s="1"/>
  <c r="N1252" i="7"/>
  <c r="M1252" i="7"/>
  <c r="F1252" i="7"/>
  <c r="E1252" i="7"/>
  <c r="C1252" i="7" s="1"/>
  <c r="AT1251" i="7"/>
  <c r="AS1251" i="7"/>
  <c r="AR1251" i="7" s="1"/>
  <c r="AL1251" i="7"/>
  <c r="AK1251" i="7"/>
  <c r="AJ1251" i="7" s="1"/>
  <c r="AD1251" i="7"/>
  <c r="AC1251" i="7"/>
  <c r="AA1251" i="7" s="1"/>
  <c r="V1251" i="7"/>
  <c r="U1251" i="7"/>
  <c r="T1251" i="7" s="1"/>
  <c r="N1251" i="7"/>
  <c r="M1251" i="7"/>
  <c r="F1251" i="7"/>
  <c r="E1251" i="7"/>
  <c r="C1251" i="7" s="1"/>
  <c r="AT1250" i="7"/>
  <c r="AS1250" i="7"/>
  <c r="AL1250" i="7"/>
  <c r="AK1250" i="7"/>
  <c r="AJ1250" i="7" s="1"/>
  <c r="AD1250" i="7"/>
  <c r="AC1250" i="7"/>
  <c r="AA1250" i="7" s="1"/>
  <c r="V1250" i="7"/>
  <c r="U1250" i="7"/>
  <c r="N1250" i="7"/>
  <c r="M1250" i="7"/>
  <c r="L1250" i="7" s="1"/>
  <c r="F1250" i="7"/>
  <c r="E1250" i="7"/>
  <c r="AT1249" i="7"/>
  <c r="AS1249" i="7"/>
  <c r="AR1249" i="7" s="1"/>
  <c r="AL1249" i="7"/>
  <c r="AK1249" i="7"/>
  <c r="AJ1249" i="7" s="1"/>
  <c r="AD1249" i="7"/>
  <c r="AC1249" i="7"/>
  <c r="AA1249" i="7" s="1"/>
  <c r="V1249" i="7"/>
  <c r="U1249" i="7"/>
  <c r="T1249" i="7" s="1"/>
  <c r="N1249" i="7"/>
  <c r="M1249" i="7"/>
  <c r="L1249" i="7" s="1"/>
  <c r="F1249" i="7"/>
  <c r="E1249" i="7"/>
  <c r="C1249" i="7" s="1"/>
  <c r="AT1248" i="7"/>
  <c r="AS1248" i="7"/>
  <c r="AR1248" i="7" s="1"/>
  <c r="AQ1248" i="7"/>
  <c r="AL1248" i="7"/>
  <c r="AK1248" i="7"/>
  <c r="AJ1248" i="7" s="1"/>
  <c r="AD1248" i="7"/>
  <c r="AC1248" i="7"/>
  <c r="AA1248" i="7" s="1"/>
  <c r="V1248" i="7"/>
  <c r="U1248" i="7"/>
  <c r="T1248" i="7" s="1"/>
  <c r="N1248" i="7"/>
  <c r="M1248" i="7"/>
  <c r="L1248" i="7" s="1"/>
  <c r="F1248" i="7"/>
  <c r="E1248" i="7"/>
  <c r="C1248" i="7" s="1"/>
  <c r="AT1247" i="7"/>
  <c r="AS1247" i="7"/>
  <c r="AL1247" i="7"/>
  <c r="AK1247" i="7"/>
  <c r="AJ1247" i="7" s="1"/>
  <c r="AD1247" i="7"/>
  <c r="AC1247" i="7"/>
  <c r="AA1247" i="7" s="1"/>
  <c r="V1247" i="7"/>
  <c r="U1247" i="7"/>
  <c r="T1247" i="7" s="1"/>
  <c r="N1247" i="7"/>
  <c r="M1247" i="7"/>
  <c r="L1247" i="7" s="1"/>
  <c r="F1247" i="7"/>
  <c r="E1247" i="7"/>
  <c r="C1247" i="7" s="1"/>
  <c r="AT1246" i="7"/>
  <c r="AS1246" i="7"/>
  <c r="AR1246" i="7" s="1"/>
  <c r="AL1246" i="7"/>
  <c r="AK1246" i="7"/>
  <c r="AJ1246" i="7" s="1"/>
  <c r="AD1246" i="7"/>
  <c r="AC1246" i="7"/>
  <c r="AA1246" i="7" s="1"/>
  <c r="V1246" i="7"/>
  <c r="U1246" i="7"/>
  <c r="T1246" i="7" s="1"/>
  <c r="N1246" i="7"/>
  <c r="M1246" i="7"/>
  <c r="L1246" i="7" s="1"/>
  <c r="F1246" i="7"/>
  <c r="E1246" i="7"/>
  <c r="C1246" i="7" s="1"/>
  <c r="AT1245" i="7"/>
  <c r="AS1245" i="7"/>
  <c r="AR1245" i="7" s="1"/>
  <c r="AL1245" i="7"/>
  <c r="AK1245" i="7"/>
  <c r="AJ1245" i="7" s="1"/>
  <c r="AD1245" i="7"/>
  <c r="AC1245" i="7"/>
  <c r="AA1245" i="7" s="1"/>
  <c r="V1245" i="7"/>
  <c r="U1245" i="7"/>
  <c r="T1245" i="7" s="1"/>
  <c r="N1245" i="7"/>
  <c r="M1245" i="7"/>
  <c r="L1245" i="7" s="1"/>
  <c r="F1245" i="7"/>
  <c r="E1245" i="7"/>
  <c r="C1245" i="7" s="1"/>
  <c r="AT1244" i="7"/>
  <c r="AS1244" i="7"/>
  <c r="AR1244" i="7" s="1"/>
  <c r="AL1244" i="7"/>
  <c r="AK1244" i="7"/>
  <c r="AJ1244" i="7" s="1"/>
  <c r="AD1244" i="7"/>
  <c r="AC1244" i="7"/>
  <c r="AA1244" i="7" s="1"/>
  <c r="V1244" i="7"/>
  <c r="U1244" i="7"/>
  <c r="T1244" i="7" s="1"/>
  <c r="N1244" i="7"/>
  <c r="M1244" i="7"/>
  <c r="L1244" i="7" s="1"/>
  <c r="F1244" i="7"/>
  <c r="E1244" i="7"/>
  <c r="C1244" i="7" s="1"/>
  <c r="AT1243" i="7"/>
  <c r="AS1243" i="7"/>
  <c r="AR1243" i="7" s="1"/>
  <c r="AL1243" i="7"/>
  <c r="AK1243" i="7"/>
  <c r="AJ1243" i="7" s="1"/>
  <c r="AD1243" i="7"/>
  <c r="AC1243" i="7"/>
  <c r="AA1243" i="7" s="1"/>
  <c r="V1243" i="7"/>
  <c r="U1243" i="7"/>
  <c r="N1243" i="7"/>
  <c r="M1243" i="7"/>
  <c r="L1243" i="7" s="1"/>
  <c r="F1243" i="7"/>
  <c r="E1243" i="7"/>
  <c r="C1243" i="7" s="1"/>
  <c r="AT1242" i="7"/>
  <c r="AS1242" i="7"/>
  <c r="AR1242" i="7" s="1"/>
  <c r="AL1242" i="7"/>
  <c r="AK1242" i="7"/>
  <c r="AJ1242" i="7" s="1"/>
  <c r="AD1242" i="7"/>
  <c r="AC1242" i="7"/>
  <c r="AA1242" i="7" s="1"/>
  <c r="V1242" i="7"/>
  <c r="U1242" i="7"/>
  <c r="T1242" i="7" s="1"/>
  <c r="N1242" i="7"/>
  <c r="M1242" i="7"/>
  <c r="L1242" i="7" s="1"/>
  <c r="F1242" i="7"/>
  <c r="E1242" i="7"/>
  <c r="C1242" i="7" s="1"/>
  <c r="AT1241" i="7"/>
  <c r="AS1241" i="7"/>
  <c r="AL1241" i="7"/>
  <c r="AK1241" i="7"/>
  <c r="AJ1241" i="7" s="1"/>
  <c r="AD1241" i="7"/>
  <c r="AC1241" i="7"/>
  <c r="AA1241" i="7" s="1"/>
  <c r="V1241" i="7"/>
  <c r="U1241" i="7"/>
  <c r="T1241" i="7" s="1"/>
  <c r="N1241" i="7"/>
  <c r="M1241" i="7"/>
  <c r="L1241" i="7" s="1"/>
  <c r="F1241" i="7"/>
  <c r="E1241" i="7"/>
  <c r="C1241" i="7" s="1"/>
  <c r="AT1240" i="7"/>
  <c r="AS1240" i="7"/>
  <c r="AR1240" i="7" s="1"/>
  <c r="AL1240" i="7"/>
  <c r="AK1240" i="7"/>
  <c r="AJ1240" i="7" s="1"/>
  <c r="AD1240" i="7"/>
  <c r="AC1240" i="7"/>
  <c r="AA1240" i="7" s="1"/>
  <c r="V1240" i="7"/>
  <c r="U1240" i="7"/>
  <c r="T1240" i="7" s="1"/>
  <c r="N1240" i="7"/>
  <c r="M1240" i="7"/>
  <c r="L1240" i="7" s="1"/>
  <c r="F1240" i="7"/>
  <c r="E1240" i="7"/>
  <c r="C1240" i="7" s="1"/>
  <c r="AT1239" i="7"/>
  <c r="AS1239" i="7"/>
  <c r="AR1239" i="7" s="1"/>
  <c r="AL1239" i="7"/>
  <c r="AK1239" i="7"/>
  <c r="AJ1239" i="7" s="1"/>
  <c r="AD1239" i="7"/>
  <c r="AC1239" i="7"/>
  <c r="AA1239" i="7" s="1"/>
  <c r="V1239" i="7"/>
  <c r="U1239" i="7"/>
  <c r="T1239" i="7" s="1"/>
  <c r="N1239" i="7"/>
  <c r="M1239" i="7"/>
  <c r="L1239" i="7" s="1"/>
  <c r="F1239" i="7"/>
  <c r="E1239" i="7"/>
  <c r="C1239" i="7" s="1"/>
  <c r="AT1238" i="7"/>
  <c r="AS1238" i="7"/>
  <c r="AL1238" i="7"/>
  <c r="AK1238" i="7"/>
  <c r="AJ1238" i="7" s="1"/>
  <c r="AD1238" i="7"/>
  <c r="AC1238" i="7"/>
  <c r="AA1238" i="7" s="1"/>
  <c r="V1238" i="7"/>
  <c r="U1238" i="7"/>
  <c r="T1238" i="7" s="1"/>
  <c r="N1238" i="7"/>
  <c r="M1238" i="7"/>
  <c r="L1238" i="7" s="1"/>
  <c r="F1238" i="7"/>
  <c r="E1238" i="7"/>
  <c r="C1238" i="7" s="1"/>
  <c r="AT1237" i="7"/>
  <c r="AS1237" i="7"/>
  <c r="AR1237" i="7" s="1"/>
  <c r="AL1237" i="7"/>
  <c r="AK1237" i="7"/>
  <c r="AJ1237" i="7" s="1"/>
  <c r="AD1237" i="7"/>
  <c r="AC1237" i="7"/>
  <c r="AA1237" i="7" s="1"/>
  <c r="V1237" i="7"/>
  <c r="U1237" i="7"/>
  <c r="T1237" i="7" s="1"/>
  <c r="N1237" i="7"/>
  <c r="M1237" i="7"/>
  <c r="L1237" i="7" s="1"/>
  <c r="F1237" i="7"/>
  <c r="E1237" i="7"/>
  <c r="C1237" i="7" s="1"/>
  <c r="AT1236" i="7"/>
  <c r="AS1236" i="7"/>
  <c r="AR1236" i="7" s="1"/>
  <c r="AL1236" i="7"/>
  <c r="AK1236" i="7"/>
  <c r="AJ1236" i="7" s="1"/>
  <c r="AD1236" i="7"/>
  <c r="AC1236" i="7"/>
  <c r="AA1236" i="7" s="1"/>
  <c r="V1236" i="7"/>
  <c r="U1236" i="7"/>
  <c r="T1236" i="7" s="1"/>
  <c r="N1236" i="7"/>
  <c r="M1236" i="7"/>
  <c r="L1236" i="7" s="1"/>
  <c r="F1236" i="7"/>
  <c r="E1236" i="7"/>
  <c r="C1236" i="7" s="1"/>
  <c r="AT1235" i="7"/>
  <c r="AS1235" i="7"/>
  <c r="AR1235" i="7" s="1"/>
  <c r="AQ1235" i="7"/>
  <c r="AL1235" i="7"/>
  <c r="AK1235" i="7"/>
  <c r="AJ1235" i="7" s="1"/>
  <c r="AD1235" i="7"/>
  <c r="AC1235" i="7"/>
  <c r="AA1235" i="7" s="1"/>
  <c r="V1235" i="7"/>
  <c r="U1235" i="7"/>
  <c r="N1235" i="7"/>
  <c r="M1235" i="7"/>
  <c r="L1235" i="7" s="1"/>
  <c r="F1235" i="7"/>
  <c r="E1235" i="7"/>
  <c r="C1235" i="7" s="1"/>
  <c r="AT1234" i="7"/>
  <c r="AS1234" i="7"/>
  <c r="AR1234" i="7" s="1"/>
  <c r="AL1234" i="7"/>
  <c r="AK1234" i="7"/>
  <c r="AJ1234" i="7" s="1"/>
  <c r="AD1234" i="7"/>
  <c r="AC1234" i="7"/>
  <c r="AA1234" i="7" s="1"/>
  <c r="V1234" i="7"/>
  <c r="U1234" i="7"/>
  <c r="N1234" i="7"/>
  <c r="M1234" i="7"/>
  <c r="L1234" i="7" s="1"/>
  <c r="F1234" i="7"/>
  <c r="E1234" i="7"/>
  <c r="C1234" i="7" s="1"/>
  <c r="AT1233" i="7"/>
  <c r="AS1233" i="7"/>
  <c r="AR1233" i="7" s="1"/>
  <c r="AL1233" i="7"/>
  <c r="AK1233" i="7"/>
  <c r="AJ1233" i="7" s="1"/>
  <c r="AD1233" i="7"/>
  <c r="AC1233" i="7"/>
  <c r="AA1233" i="7" s="1"/>
  <c r="V1233" i="7"/>
  <c r="U1233" i="7"/>
  <c r="T1233" i="7" s="1"/>
  <c r="N1233" i="7"/>
  <c r="M1233" i="7"/>
  <c r="L1233" i="7" s="1"/>
  <c r="F1233" i="7"/>
  <c r="E1233" i="7"/>
  <c r="C1233" i="7" s="1"/>
  <c r="AT1232" i="7"/>
  <c r="AS1232" i="7"/>
  <c r="AL1232" i="7"/>
  <c r="AK1232" i="7"/>
  <c r="AJ1232" i="7" s="1"/>
  <c r="AD1232" i="7"/>
  <c r="AC1232" i="7"/>
  <c r="AA1232" i="7" s="1"/>
  <c r="V1232" i="7"/>
  <c r="U1232" i="7"/>
  <c r="T1232" i="7" s="1"/>
  <c r="N1232" i="7"/>
  <c r="M1232" i="7"/>
  <c r="L1232" i="7" s="1"/>
  <c r="F1232" i="7"/>
  <c r="E1232" i="7"/>
  <c r="C1232" i="7" s="1"/>
  <c r="AT1231" i="7"/>
  <c r="AS1231" i="7"/>
  <c r="AR1231" i="7" s="1"/>
  <c r="AL1231" i="7"/>
  <c r="AK1231" i="7"/>
  <c r="AJ1231" i="7" s="1"/>
  <c r="AD1231" i="7"/>
  <c r="AC1231" i="7"/>
  <c r="AA1231" i="7" s="1"/>
  <c r="V1231" i="7"/>
  <c r="U1231" i="7"/>
  <c r="T1231" i="7" s="1"/>
  <c r="N1231" i="7"/>
  <c r="M1231" i="7"/>
  <c r="L1231" i="7" s="1"/>
  <c r="F1231" i="7"/>
  <c r="E1231" i="7"/>
  <c r="C1231" i="7" s="1"/>
  <c r="AT1230" i="7"/>
  <c r="AS1230" i="7"/>
  <c r="AR1230" i="7" s="1"/>
  <c r="AL1230" i="7"/>
  <c r="AK1230" i="7"/>
  <c r="AJ1230" i="7" s="1"/>
  <c r="AD1230" i="7"/>
  <c r="AC1230" i="7"/>
  <c r="AA1230" i="7" s="1"/>
  <c r="V1230" i="7"/>
  <c r="U1230" i="7"/>
  <c r="T1230" i="7" s="1"/>
  <c r="N1230" i="7"/>
  <c r="M1230" i="7"/>
  <c r="L1230" i="7" s="1"/>
  <c r="F1230" i="7"/>
  <c r="E1230" i="7"/>
  <c r="C1230" i="7" s="1"/>
  <c r="AT1229" i="7"/>
  <c r="AS1229" i="7"/>
  <c r="AL1229" i="7"/>
  <c r="AK1229" i="7"/>
  <c r="AJ1229" i="7" s="1"/>
  <c r="AD1229" i="7"/>
  <c r="AC1229" i="7"/>
  <c r="AA1229" i="7" s="1"/>
  <c r="V1229" i="7"/>
  <c r="U1229" i="7"/>
  <c r="T1229" i="7" s="1"/>
  <c r="N1229" i="7"/>
  <c r="M1229" i="7"/>
  <c r="L1229" i="7" s="1"/>
  <c r="F1229" i="7"/>
  <c r="E1229" i="7"/>
  <c r="C1229" i="7" s="1"/>
  <c r="AT1228" i="7"/>
  <c r="AS1228" i="7"/>
  <c r="AL1228" i="7"/>
  <c r="AK1228" i="7"/>
  <c r="AJ1228" i="7" s="1"/>
  <c r="AD1228" i="7"/>
  <c r="AC1228" i="7"/>
  <c r="V1228" i="7"/>
  <c r="U1228" i="7"/>
  <c r="T1228" i="7" s="1"/>
  <c r="N1228" i="7"/>
  <c r="M1228" i="7"/>
  <c r="L1228" i="7" s="1"/>
  <c r="F1228" i="7"/>
  <c r="E1228" i="7"/>
  <c r="AT1227" i="7"/>
  <c r="AS1227" i="7"/>
  <c r="AL1227" i="7"/>
  <c r="AK1227" i="7"/>
  <c r="AJ1227" i="7" s="1"/>
  <c r="AD1227" i="7"/>
  <c r="AC1227" i="7"/>
  <c r="AA1227" i="7" s="1"/>
  <c r="V1227" i="7"/>
  <c r="U1227" i="7"/>
  <c r="N1227" i="7"/>
  <c r="M1227" i="7"/>
  <c r="L1227" i="7" s="1"/>
  <c r="F1227" i="7"/>
  <c r="E1227" i="7"/>
  <c r="AT1226" i="7"/>
  <c r="AS1226" i="7"/>
  <c r="AR1226" i="7" s="1"/>
  <c r="AQ1226" i="7"/>
  <c r="AP1226" i="7" s="1"/>
  <c r="AL1226" i="7"/>
  <c r="AK1226" i="7"/>
  <c r="AJ1226" i="7" s="1"/>
  <c r="AD1226" i="7"/>
  <c r="AC1226" i="7"/>
  <c r="V1226" i="7"/>
  <c r="U1226" i="7"/>
  <c r="T1226" i="7" s="1"/>
  <c r="N1226" i="7"/>
  <c r="M1226" i="7"/>
  <c r="L1226" i="7" s="1"/>
  <c r="F1226" i="7"/>
  <c r="E1226" i="7"/>
  <c r="C1226" i="7" s="1"/>
  <c r="AT1225" i="7"/>
  <c r="AS1225" i="7"/>
  <c r="AQ1225" i="7" s="1"/>
  <c r="AL1225" i="7"/>
  <c r="AK1225" i="7"/>
  <c r="AJ1225" i="7" s="1"/>
  <c r="AD1225" i="7"/>
  <c r="AC1225" i="7"/>
  <c r="V1225" i="7"/>
  <c r="U1225" i="7"/>
  <c r="T1225" i="7" s="1"/>
  <c r="N1225" i="7"/>
  <c r="M1225" i="7"/>
  <c r="L1225" i="7" s="1"/>
  <c r="F1225" i="7"/>
  <c r="E1225" i="7"/>
  <c r="C1225" i="7" s="1"/>
  <c r="AT1224" i="7"/>
  <c r="AS1224" i="7"/>
  <c r="AQ1224" i="7" s="1"/>
  <c r="AL1224" i="7"/>
  <c r="AK1224" i="7"/>
  <c r="AJ1224" i="7" s="1"/>
  <c r="AD1224" i="7"/>
  <c r="AC1224" i="7"/>
  <c r="AA1224" i="7" s="1"/>
  <c r="V1224" i="7"/>
  <c r="U1224" i="7"/>
  <c r="T1224" i="7" s="1"/>
  <c r="N1224" i="7"/>
  <c r="M1224" i="7"/>
  <c r="L1224" i="7" s="1"/>
  <c r="F1224" i="7"/>
  <c r="E1224" i="7"/>
  <c r="C1224" i="7" s="1"/>
  <c r="AT1223" i="7"/>
  <c r="AS1223" i="7"/>
  <c r="AR1223" i="7" s="1"/>
  <c r="AL1223" i="7"/>
  <c r="AK1223" i="7"/>
  <c r="AJ1223" i="7" s="1"/>
  <c r="AD1223" i="7"/>
  <c r="AC1223" i="7"/>
  <c r="AA1223" i="7" s="1"/>
  <c r="V1223" i="7"/>
  <c r="U1223" i="7"/>
  <c r="S1223" i="7" s="1"/>
  <c r="N1223" i="7"/>
  <c r="M1223" i="7"/>
  <c r="L1223" i="7" s="1"/>
  <c r="F1223" i="7"/>
  <c r="E1223" i="7"/>
  <c r="C1223" i="7" s="1"/>
  <c r="AT1222" i="7"/>
  <c r="AS1222" i="7"/>
  <c r="AR1222" i="7" s="1"/>
  <c r="AL1222" i="7"/>
  <c r="AK1222" i="7"/>
  <c r="AJ1222" i="7" s="1"/>
  <c r="AD1222" i="7"/>
  <c r="AC1222" i="7"/>
  <c r="AA1222" i="7" s="1"/>
  <c r="V1222" i="7"/>
  <c r="U1222" i="7"/>
  <c r="N1222" i="7"/>
  <c r="M1222" i="7"/>
  <c r="L1222" i="7" s="1"/>
  <c r="F1222" i="7"/>
  <c r="E1222" i="7"/>
  <c r="C1222" i="7" s="1"/>
  <c r="AT1221" i="7"/>
  <c r="AS1221" i="7"/>
  <c r="AR1221" i="7" s="1"/>
  <c r="AL1221" i="7"/>
  <c r="AK1221" i="7"/>
  <c r="AJ1221" i="7" s="1"/>
  <c r="AD1221" i="7"/>
  <c r="AC1221" i="7"/>
  <c r="AA1221" i="7" s="1"/>
  <c r="V1221" i="7"/>
  <c r="U1221" i="7"/>
  <c r="T1221" i="7" s="1"/>
  <c r="N1221" i="7"/>
  <c r="M1221" i="7"/>
  <c r="L1221" i="7" s="1"/>
  <c r="F1221" i="7"/>
  <c r="E1221" i="7"/>
  <c r="C1221" i="7" s="1"/>
  <c r="AT1220" i="7"/>
  <c r="AS1220" i="7"/>
  <c r="AR1220" i="7" s="1"/>
  <c r="AL1220" i="7"/>
  <c r="AK1220" i="7"/>
  <c r="AJ1220" i="7" s="1"/>
  <c r="AD1220" i="7"/>
  <c r="AC1220" i="7"/>
  <c r="AA1220" i="7" s="1"/>
  <c r="V1220" i="7"/>
  <c r="U1220" i="7"/>
  <c r="S1220" i="7" s="1"/>
  <c r="N1220" i="7"/>
  <c r="M1220" i="7"/>
  <c r="L1220" i="7" s="1"/>
  <c r="F1220" i="7"/>
  <c r="E1220" i="7"/>
  <c r="C1220" i="7" s="1"/>
  <c r="AT1219" i="7"/>
  <c r="AS1219" i="7"/>
  <c r="AR1219" i="7" s="1"/>
  <c r="AL1219" i="7"/>
  <c r="AK1219" i="7"/>
  <c r="AJ1219" i="7" s="1"/>
  <c r="AD1219" i="7"/>
  <c r="AC1219" i="7"/>
  <c r="AA1219" i="7" s="1"/>
  <c r="V1219" i="7"/>
  <c r="U1219" i="7"/>
  <c r="T1219" i="7" s="1"/>
  <c r="N1219" i="7"/>
  <c r="M1219" i="7"/>
  <c r="L1219" i="7" s="1"/>
  <c r="F1219" i="7"/>
  <c r="E1219" i="7"/>
  <c r="C1219" i="7" s="1"/>
  <c r="AT1218" i="7"/>
  <c r="AS1218" i="7"/>
  <c r="AR1218" i="7" s="1"/>
  <c r="AL1218" i="7"/>
  <c r="AK1218" i="7"/>
  <c r="AJ1218" i="7" s="1"/>
  <c r="AD1218" i="7"/>
  <c r="AC1218" i="7"/>
  <c r="AA1218" i="7" s="1"/>
  <c r="V1218" i="7"/>
  <c r="U1218" i="7"/>
  <c r="T1218" i="7" s="1"/>
  <c r="N1218" i="7"/>
  <c r="M1218" i="7"/>
  <c r="L1218" i="7" s="1"/>
  <c r="F1218" i="7"/>
  <c r="E1218" i="7"/>
  <c r="C1218" i="7" s="1"/>
  <c r="AT1217" i="7"/>
  <c r="AS1217" i="7"/>
  <c r="AQ1217" i="7" s="1"/>
  <c r="AL1217" i="7"/>
  <c r="AK1217" i="7"/>
  <c r="AJ1217" i="7" s="1"/>
  <c r="AD1217" i="7"/>
  <c r="AC1217" i="7"/>
  <c r="AA1217" i="7" s="1"/>
  <c r="V1217" i="7"/>
  <c r="U1217" i="7"/>
  <c r="T1217" i="7" s="1"/>
  <c r="N1217" i="7"/>
  <c r="M1217" i="7"/>
  <c r="L1217" i="7" s="1"/>
  <c r="F1217" i="7"/>
  <c r="E1217" i="7"/>
  <c r="C1217" i="7" s="1"/>
  <c r="AT1216" i="7"/>
  <c r="AS1216" i="7"/>
  <c r="AR1216" i="7" s="1"/>
  <c r="AL1216" i="7"/>
  <c r="AK1216" i="7"/>
  <c r="AJ1216" i="7" s="1"/>
  <c r="AD1216" i="7"/>
  <c r="AC1216" i="7"/>
  <c r="AB1216" i="7" s="1"/>
  <c r="V1216" i="7"/>
  <c r="U1216" i="7"/>
  <c r="N1216" i="7"/>
  <c r="M1216" i="7"/>
  <c r="L1216" i="7" s="1"/>
  <c r="F1216" i="7"/>
  <c r="E1216" i="7"/>
  <c r="C1216" i="7" s="1"/>
  <c r="AT1215" i="7"/>
  <c r="AS1215" i="7"/>
  <c r="AL1215" i="7"/>
  <c r="AK1215" i="7"/>
  <c r="AI1215" i="7" s="1"/>
  <c r="AD1215" i="7"/>
  <c r="AC1215" i="7"/>
  <c r="V1215" i="7"/>
  <c r="U1215" i="7"/>
  <c r="N1215" i="7"/>
  <c r="M1215" i="7"/>
  <c r="L1215" i="7" s="1"/>
  <c r="F1215" i="7"/>
  <c r="E1215" i="7"/>
  <c r="C1215" i="7" s="1"/>
  <c r="AT1214" i="7"/>
  <c r="AS1214" i="7"/>
  <c r="AR1214" i="7" s="1"/>
  <c r="AL1214" i="7"/>
  <c r="AK1214" i="7"/>
  <c r="AI1214" i="7" s="1"/>
  <c r="AD1214" i="7"/>
  <c r="AC1214" i="7"/>
  <c r="AB1214" i="7" s="1"/>
  <c r="AA1214" i="7"/>
  <c r="V1214" i="7"/>
  <c r="U1214" i="7"/>
  <c r="S1214" i="7" s="1"/>
  <c r="N1214" i="7"/>
  <c r="M1214" i="7"/>
  <c r="L1214" i="7" s="1"/>
  <c r="F1214" i="7"/>
  <c r="E1214" i="7"/>
  <c r="C1214" i="7" s="1"/>
  <c r="AT1213" i="7"/>
  <c r="AS1213" i="7"/>
  <c r="AR1213" i="7" s="1"/>
  <c r="AL1213" i="7"/>
  <c r="AK1213" i="7"/>
  <c r="AJ1213" i="7" s="1"/>
  <c r="AD1213" i="7"/>
  <c r="AC1213" i="7"/>
  <c r="V1213" i="7"/>
  <c r="U1213" i="7"/>
  <c r="S1213" i="7" s="1"/>
  <c r="N1213" i="7"/>
  <c r="M1213" i="7"/>
  <c r="F1213" i="7"/>
  <c r="E1213" i="7"/>
  <c r="C1213" i="7" s="1"/>
  <c r="AT1212" i="7"/>
  <c r="AS1212" i="7"/>
  <c r="AL1212" i="7"/>
  <c r="AK1212" i="7"/>
  <c r="AI1212" i="7" s="1"/>
  <c r="AD1212" i="7"/>
  <c r="AC1212" i="7"/>
  <c r="AB1212" i="7" s="1"/>
  <c r="V1212" i="7"/>
  <c r="U1212" i="7"/>
  <c r="T1212" i="7" s="1"/>
  <c r="N1212" i="7"/>
  <c r="M1212" i="7"/>
  <c r="L1212" i="7" s="1"/>
  <c r="F1212" i="7"/>
  <c r="E1212" i="7"/>
  <c r="C1212" i="7" s="1"/>
  <c r="AT1211" i="7"/>
  <c r="AS1211" i="7"/>
  <c r="AR1211" i="7" s="1"/>
  <c r="AL1211" i="7"/>
  <c r="AK1211" i="7"/>
  <c r="AD1211" i="7"/>
  <c r="AC1211" i="7"/>
  <c r="AB1211" i="7" s="1"/>
  <c r="V1211" i="7"/>
  <c r="U1211" i="7"/>
  <c r="T1211" i="7" s="1"/>
  <c r="N1211" i="7"/>
  <c r="M1211" i="7"/>
  <c r="F1211" i="7"/>
  <c r="E1211" i="7"/>
  <c r="C1211" i="7" s="1"/>
  <c r="D1211" i="7"/>
  <c r="B1211" i="7" s="1"/>
  <c r="AT1210" i="7"/>
  <c r="AS1210" i="7"/>
  <c r="AL1210" i="7"/>
  <c r="AK1210" i="7"/>
  <c r="AD1210" i="7"/>
  <c r="AC1210" i="7"/>
  <c r="AB1210" i="7" s="1"/>
  <c r="V1210" i="7"/>
  <c r="U1210" i="7"/>
  <c r="N1210" i="7"/>
  <c r="M1210" i="7"/>
  <c r="L1210" i="7" s="1"/>
  <c r="F1210" i="7"/>
  <c r="E1210" i="7"/>
  <c r="C1210" i="7" s="1"/>
  <c r="AT1209" i="7"/>
  <c r="AS1209" i="7"/>
  <c r="AR1209" i="7" s="1"/>
  <c r="AL1209" i="7"/>
  <c r="AK1209" i="7"/>
  <c r="AD1209" i="7"/>
  <c r="AC1209" i="7"/>
  <c r="V1209" i="7"/>
  <c r="U1209" i="7"/>
  <c r="S1209" i="7" s="1"/>
  <c r="N1209" i="7"/>
  <c r="M1209" i="7"/>
  <c r="L1209" i="7" s="1"/>
  <c r="F1209" i="7"/>
  <c r="E1209" i="7"/>
  <c r="C1209" i="7" s="1"/>
  <c r="AT1208" i="7"/>
  <c r="AS1208" i="7"/>
  <c r="AR1208" i="7" s="1"/>
  <c r="AL1208" i="7"/>
  <c r="AK1208" i="7"/>
  <c r="AD1208" i="7"/>
  <c r="AC1208" i="7"/>
  <c r="AB1208" i="7" s="1"/>
  <c r="V1208" i="7"/>
  <c r="U1208" i="7"/>
  <c r="S1208" i="7" s="1"/>
  <c r="T1208" i="7"/>
  <c r="N1208" i="7"/>
  <c r="M1208" i="7"/>
  <c r="L1208" i="7" s="1"/>
  <c r="F1208" i="7"/>
  <c r="E1208" i="7"/>
  <c r="C1208" i="7" s="1"/>
  <c r="AT1207" i="7"/>
  <c r="AS1207" i="7"/>
  <c r="AR1207" i="7" s="1"/>
  <c r="AL1207" i="7"/>
  <c r="AK1207" i="7"/>
  <c r="AI1207" i="7" s="1"/>
  <c r="AD1207" i="7"/>
  <c r="AC1207" i="7"/>
  <c r="AA1207" i="7" s="1"/>
  <c r="V1207" i="7"/>
  <c r="U1207" i="7"/>
  <c r="N1207" i="7"/>
  <c r="M1207" i="7"/>
  <c r="F1207" i="7"/>
  <c r="E1207" i="7"/>
  <c r="C1207" i="7" s="1"/>
  <c r="AT1206" i="7"/>
  <c r="AS1206" i="7"/>
  <c r="AL1206" i="7"/>
  <c r="AK1206" i="7"/>
  <c r="AI1206" i="7" s="1"/>
  <c r="AD1206" i="7"/>
  <c r="AC1206" i="7"/>
  <c r="AB1206" i="7" s="1"/>
  <c r="V1206" i="7"/>
  <c r="U1206" i="7"/>
  <c r="N1206" i="7"/>
  <c r="M1206" i="7"/>
  <c r="L1206" i="7" s="1"/>
  <c r="F1206" i="7"/>
  <c r="E1206" i="7"/>
  <c r="C1206" i="7" s="1"/>
  <c r="AT1205" i="7"/>
  <c r="AS1205" i="7"/>
  <c r="AR1205" i="7" s="1"/>
  <c r="AL1205" i="7"/>
  <c r="AK1205" i="7"/>
  <c r="AD1205" i="7"/>
  <c r="AC1205" i="7"/>
  <c r="V1205" i="7"/>
  <c r="U1205" i="7"/>
  <c r="T1205" i="7" s="1"/>
  <c r="N1205" i="7"/>
  <c r="M1205" i="7"/>
  <c r="F1205" i="7"/>
  <c r="E1205" i="7"/>
  <c r="C1205" i="7" s="1"/>
  <c r="AT1204" i="7"/>
  <c r="AS1204" i="7"/>
  <c r="AQ1204" i="7" s="1"/>
  <c r="AL1204" i="7"/>
  <c r="AK1204" i="7"/>
  <c r="AD1204" i="7"/>
  <c r="AC1204" i="7"/>
  <c r="AB1204" i="7" s="1"/>
  <c r="V1204" i="7"/>
  <c r="U1204" i="7"/>
  <c r="N1204" i="7"/>
  <c r="M1204" i="7"/>
  <c r="L1204" i="7" s="1"/>
  <c r="F1204" i="7"/>
  <c r="E1204" i="7"/>
  <c r="C1204" i="7" s="1"/>
  <c r="AT1203" i="7"/>
  <c r="AS1203" i="7"/>
  <c r="AL1203" i="7"/>
  <c r="AK1203" i="7"/>
  <c r="AI1203" i="7" s="1"/>
  <c r="AD1203" i="7"/>
  <c r="AC1203" i="7"/>
  <c r="V1203" i="7"/>
  <c r="U1203" i="7"/>
  <c r="N1203" i="7"/>
  <c r="M1203" i="7"/>
  <c r="L1203" i="7" s="1"/>
  <c r="F1203" i="7"/>
  <c r="E1203" i="7"/>
  <c r="AT1202" i="7"/>
  <c r="AS1202" i="7"/>
  <c r="AQ1202" i="7" s="1"/>
  <c r="AL1202" i="7"/>
  <c r="AK1202" i="7"/>
  <c r="AD1202" i="7"/>
  <c r="AC1202" i="7"/>
  <c r="V1202" i="7"/>
  <c r="U1202" i="7"/>
  <c r="N1202" i="7"/>
  <c r="M1202" i="7"/>
  <c r="F1202" i="7"/>
  <c r="E1202" i="7"/>
  <c r="C1202" i="7" s="1"/>
  <c r="AT1201" i="7"/>
  <c r="AS1201" i="7"/>
  <c r="AL1201" i="7"/>
  <c r="AK1201" i="7"/>
  <c r="AJ1201" i="7" s="1"/>
  <c r="AD1201" i="7"/>
  <c r="AC1201" i="7"/>
  <c r="AA1201" i="7" s="1"/>
  <c r="V1201" i="7"/>
  <c r="U1201" i="7"/>
  <c r="T1201" i="7" s="1"/>
  <c r="N1201" i="7"/>
  <c r="M1201" i="7"/>
  <c r="F1201" i="7"/>
  <c r="E1201" i="7"/>
  <c r="C1201" i="7" s="1"/>
  <c r="AT1200" i="7"/>
  <c r="AS1200" i="7"/>
  <c r="AL1200" i="7"/>
  <c r="AK1200" i="7"/>
  <c r="AI1200" i="7" s="1"/>
  <c r="AD1200" i="7"/>
  <c r="AC1200" i="7"/>
  <c r="AB1200" i="7" s="1"/>
  <c r="V1200" i="7"/>
  <c r="U1200" i="7"/>
  <c r="T1200" i="7" s="1"/>
  <c r="N1200" i="7"/>
  <c r="M1200" i="7"/>
  <c r="L1200" i="7" s="1"/>
  <c r="F1200" i="7"/>
  <c r="E1200" i="7"/>
  <c r="D1200" i="7" s="1"/>
  <c r="AT1199" i="7"/>
  <c r="AS1199" i="7"/>
  <c r="AQ1199" i="7" s="1"/>
  <c r="AL1199" i="7"/>
  <c r="AK1199" i="7"/>
  <c r="AD1199" i="7"/>
  <c r="AC1199" i="7"/>
  <c r="AB1199" i="7" s="1"/>
  <c r="V1199" i="7"/>
  <c r="U1199" i="7"/>
  <c r="N1199" i="7"/>
  <c r="M1199" i="7"/>
  <c r="F1199" i="7"/>
  <c r="E1199" i="7"/>
  <c r="D1199" i="7" s="1"/>
  <c r="AT1198" i="7"/>
  <c r="AS1198" i="7"/>
  <c r="AQ1198" i="7" s="1"/>
  <c r="AL1198" i="7"/>
  <c r="AK1198" i="7"/>
  <c r="AD1198" i="7"/>
  <c r="AC1198" i="7"/>
  <c r="AA1198" i="7" s="1"/>
  <c r="V1198" i="7"/>
  <c r="U1198" i="7"/>
  <c r="N1198" i="7"/>
  <c r="M1198" i="7"/>
  <c r="F1198" i="7"/>
  <c r="E1198" i="7"/>
  <c r="D1198" i="7" s="1"/>
  <c r="AT1197" i="7"/>
  <c r="AS1197" i="7"/>
  <c r="AQ1197" i="7" s="1"/>
  <c r="AL1197" i="7"/>
  <c r="AK1197" i="7"/>
  <c r="AJ1197" i="7" s="1"/>
  <c r="AI1197" i="7"/>
  <c r="AH1197" i="7" s="1"/>
  <c r="AD1197" i="7"/>
  <c r="AC1197" i="7"/>
  <c r="AA1197" i="7" s="1"/>
  <c r="V1197" i="7"/>
  <c r="U1197" i="7"/>
  <c r="N1197" i="7"/>
  <c r="M1197" i="7"/>
  <c r="F1197" i="7"/>
  <c r="E1197" i="7"/>
  <c r="D1197" i="7" s="1"/>
  <c r="AT1196" i="7"/>
  <c r="AS1196" i="7"/>
  <c r="AQ1196" i="7" s="1"/>
  <c r="AL1196" i="7"/>
  <c r="AK1196" i="7"/>
  <c r="AD1196" i="7"/>
  <c r="AC1196" i="7"/>
  <c r="AB1196" i="7" s="1"/>
  <c r="V1196" i="7"/>
  <c r="U1196" i="7"/>
  <c r="S1196" i="7" s="1"/>
  <c r="N1196" i="7"/>
  <c r="M1196" i="7"/>
  <c r="F1196" i="7"/>
  <c r="E1196" i="7"/>
  <c r="D1196" i="7" s="1"/>
  <c r="AT1195" i="7"/>
  <c r="AS1195" i="7"/>
  <c r="AL1195" i="7"/>
  <c r="AK1195" i="7"/>
  <c r="AJ1195" i="7" s="1"/>
  <c r="AD1195" i="7"/>
  <c r="AC1195" i="7"/>
  <c r="V1195" i="7"/>
  <c r="U1195" i="7"/>
  <c r="N1195" i="7"/>
  <c r="M1195" i="7"/>
  <c r="F1195" i="7"/>
  <c r="E1195" i="7"/>
  <c r="D1195" i="7" s="1"/>
  <c r="AT1194" i="7"/>
  <c r="AS1194" i="7"/>
  <c r="AL1194" i="7"/>
  <c r="AK1194" i="7"/>
  <c r="AD1194" i="7"/>
  <c r="AC1194" i="7"/>
  <c r="V1194" i="7"/>
  <c r="U1194" i="7"/>
  <c r="T1194" i="7" s="1"/>
  <c r="N1194" i="7"/>
  <c r="M1194" i="7"/>
  <c r="K1194" i="7" s="1"/>
  <c r="F1194" i="7"/>
  <c r="E1194" i="7"/>
  <c r="D1194" i="7" s="1"/>
  <c r="AT1193" i="7"/>
  <c r="AS1193" i="7"/>
  <c r="AQ1193" i="7" s="1"/>
  <c r="AL1193" i="7"/>
  <c r="AK1193" i="7"/>
  <c r="AD1193" i="7"/>
  <c r="AC1193" i="7"/>
  <c r="AB1193" i="7" s="1"/>
  <c r="V1193" i="7"/>
  <c r="U1193" i="7"/>
  <c r="N1193" i="7"/>
  <c r="M1193" i="7"/>
  <c r="F1193" i="7"/>
  <c r="E1193" i="7"/>
  <c r="D1193" i="7" s="1"/>
  <c r="AT1192" i="7"/>
  <c r="AS1192" i="7"/>
  <c r="AQ1192" i="7" s="1"/>
  <c r="AL1192" i="7"/>
  <c r="AK1192" i="7"/>
  <c r="AD1192" i="7"/>
  <c r="AC1192" i="7"/>
  <c r="AB1192" i="7" s="1"/>
  <c r="V1192" i="7"/>
  <c r="U1192" i="7"/>
  <c r="N1192" i="7"/>
  <c r="M1192" i="7"/>
  <c r="L1192" i="7" s="1"/>
  <c r="F1192" i="7"/>
  <c r="E1192" i="7"/>
  <c r="D1192" i="7" s="1"/>
  <c r="AT1191" i="7"/>
  <c r="AS1191" i="7"/>
  <c r="AQ1191" i="7" s="1"/>
  <c r="AL1191" i="7"/>
  <c r="AK1191" i="7"/>
  <c r="AJ1191" i="7" s="1"/>
  <c r="AD1191" i="7"/>
  <c r="AC1191" i="7"/>
  <c r="AA1191" i="7" s="1"/>
  <c r="V1191" i="7"/>
  <c r="U1191" i="7"/>
  <c r="S1191" i="7" s="1"/>
  <c r="N1191" i="7"/>
  <c r="M1191" i="7"/>
  <c r="K1191" i="7" s="1"/>
  <c r="F1191" i="7"/>
  <c r="E1191" i="7"/>
  <c r="D1191" i="7" s="1"/>
  <c r="AT1190" i="7"/>
  <c r="AS1190" i="7"/>
  <c r="AQ1190" i="7" s="1"/>
  <c r="AL1190" i="7"/>
  <c r="AK1190" i="7"/>
  <c r="AD1190" i="7"/>
  <c r="AC1190" i="7"/>
  <c r="AB1190" i="7" s="1"/>
  <c r="V1190" i="7"/>
  <c r="U1190" i="7"/>
  <c r="S1190" i="7" s="1"/>
  <c r="N1190" i="7"/>
  <c r="M1190" i="7"/>
  <c r="F1190" i="7"/>
  <c r="E1190" i="7"/>
  <c r="D1190" i="7" s="1"/>
  <c r="AT1189" i="7"/>
  <c r="AS1189" i="7"/>
  <c r="AQ1189" i="7" s="1"/>
  <c r="AL1189" i="7"/>
  <c r="AK1189" i="7"/>
  <c r="AD1189" i="7"/>
  <c r="AC1189" i="7"/>
  <c r="AB1189" i="7" s="1"/>
  <c r="V1189" i="7"/>
  <c r="U1189" i="7"/>
  <c r="N1189" i="7"/>
  <c r="M1189" i="7"/>
  <c r="F1189" i="7"/>
  <c r="E1189" i="7"/>
  <c r="D1189" i="7" s="1"/>
  <c r="AT1188" i="7"/>
  <c r="AS1188" i="7"/>
  <c r="AL1188" i="7"/>
  <c r="AK1188" i="7"/>
  <c r="AJ1188" i="7" s="1"/>
  <c r="AD1188" i="7"/>
  <c r="AC1188" i="7"/>
  <c r="V1188" i="7"/>
  <c r="U1188" i="7"/>
  <c r="N1188" i="7"/>
  <c r="M1188" i="7"/>
  <c r="K1188" i="7" s="1"/>
  <c r="F1188" i="7"/>
  <c r="E1188" i="7"/>
  <c r="D1188" i="7" s="1"/>
  <c r="AT1187" i="7"/>
  <c r="AS1187" i="7"/>
  <c r="AQ1187" i="7" s="1"/>
  <c r="AL1187" i="7"/>
  <c r="AK1187" i="7"/>
  <c r="AD1187" i="7"/>
  <c r="AC1187" i="7"/>
  <c r="AB1187" i="7" s="1"/>
  <c r="V1187" i="7"/>
  <c r="U1187" i="7"/>
  <c r="N1187" i="7"/>
  <c r="M1187" i="7"/>
  <c r="F1187" i="7"/>
  <c r="E1187" i="7"/>
  <c r="D1187" i="7" s="1"/>
  <c r="AT1186" i="7"/>
  <c r="AS1186" i="7"/>
  <c r="AQ1186" i="7" s="1"/>
  <c r="AL1186" i="7"/>
  <c r="AK1186" i="7"/>
  <c r="AD1186" i="7"/>
  <c r="AC1186" i="7"/>
  <c r="V1186" i="7"/>
  <c r="U1186" i="7"/>
  <c r="N1186" i="7"/>
  <c r="M1186" i="7"/>
  <c r="K1186" i="7" s="1"/>
  <c r="F1186" i="7"/>
  <c r="E1186" i="7"/>
  <c r="D1186" i="7" s="1"/>
  <c r="AT1185" i="7"/>
  <c r="AS1185" i="7"/>
  <c r="AL1185" i="7"/>
  <c r="AK1185" i="7"/>
  <c r="AD1185" i="7"/>
  <c r="AC1185" i="7"/>
  <c r="V1185" i="7"/>
  <c r="U1185" i="7"/>
  <c r="S1185" i="7" s="1"/>
  <c r="N1185" i="7"/>
  <c r="M1185" i="7"/>
  <c r="F1185" i="7"/>
  <c r="E1185" i="7"/>
  <c r="D1185" i="7" s="1"/>
  <c r="AT1184" i="7"/>
  <c r="AS1184" i="7"/>
  <c r="AQ1184" i="7" s="1"/>
  <c r="AL1184" i="7"/>
  <c r="AK1184" i="7"/>
  <c r="AD1184" i="7"/>
  <c r="AC1184" i="7"/>
  <c r="AB1184" i="7" s="1"/>
  <c r="V1184" i="7"/>
  <c r="U1184" i="7"/>
  <c r="S1184" i="7" s="1"/>
  <c r="N1184" i="7"/>
  <c r="M1184" i="7"/>
  <c r="F1184" i="7"/>
  <c r="E1184" i="7"/>
  <c r="D1184" i="7" s="1"/>
  <c r="AT1183" i="7"/>
  <c r="AS1183" i="7"/>
  <c r="AQ1183" i="7" s="1"/>
  <c r="AL1183" i="7"/>
  <c r="AK1183" i="7"/>
  <c r="AJ1183" i="7" s="1"/>
  <c r="AD1183" i="7"/>
  <c r="AC1183" i="7"/>
  <c r="AB1183" i="7" s="1"/>
  <c r="V1183" i="7"/>
  <c r="U1183" i="7"/>
  <c r="N1183" i="7"/>
  <c r="M1183" i="7"/>
  <c r="F1183" i="7"/>
  <c r="E1183" i="7"/>
  <c r="D1183" i="7" s="1"/>
  <c r="AT1182" i="7"/>
  <c r="AS1182" i="7"/>
  <c r="AL1182" i="7"/>
  <c r="AK1182" i="7"/>
  <c r="AJ1182" i="7" s="1"/>
  <c r="AD1182" i="7"/>
  <c r="AC1182" i="7"/>
  <c r="AA1182" i="7" s="1"/>
  <c r="V1182" i="7"/>
  <c r="U1182" i="7"/>
  <c r="T1182" i="7" s="1"/>
  <c r="N1182" i="7"/>
  <c r="M1182" i="7"/>
  <c r="K1182" i="7" s="1"/>
  <c r="F1182" i="7"/>
  <c r="E1182" i="7"/>
  <c r="D1182" i="7" s="1"/>
  <c r="AT1181" i="7"/>
  <c r="AS1181" i="7"/>
  <c r="AQ1181" i="7" s="1"/>
  <c r="AL1181" i="7"/>
  <c r="AK1181" i="7"/>
  <c r="AD1181" i="7"/>
  <c r="AC1181" i="7"/>
  <c r="AB1181" i="7" s="1"/>
  <c r="V1181" i="7"/>
  <c r="U1181" i="7"/>
  <c r="S1181" i="7" s="1"/>
  <c r="N1181" i="7"/>
  <c r="M1181" i="7"/>
  <c r="F1181" i="7"/>
  <c r="E1181" i="7"/>
  <c r="D1181" i="7" s="1"/>
  <c r="AT1180" i="7"/>
  <c r="AS1180" i="7"/>
  <c r="AQ1180" i="7" s="1"/>
  <c r="AL1180" i="7"/>
  <c r="AK1180" i="7"/>
  <c r="AJ1180" i="7" s="1"/>
  <c r="AD1180" i="7"/>
  <c r="AC1180" i="7"/>
  <c r="AB1180" i="7" s="1"/>
  <c r="V1180" i="7"/>
  <c r="U1180" i="7"/>
  <c r="N1180" i="7"/>
  <c r="M1180" i="7"/>
  <c r="F1180" i="7"/>
  <c r="E1180" i="7"/>
  <c r="D1180" i="7" s="1"/>
  <c r="AT1179" i="7"/>
  <c r="AS1179" i="7"/>
  <c r="AL1179" i="7"/>
  <c r="AK1179" i="7"/>
  <c r="AD1179" i="7"/>
  <c r="AC1179" i="7"/>
  <c r="V1179" i="7"/>
  <c r="U1179" i="7"/>
  <c r="N1179" i="7"/>
  <c r="M1179" i="7"/>
  <c r="F1179" i="7"/>
  <c r="E1179" i="7"/>
  <c r="D1179" i="7" s="1"/>
  <c r="AT1178" i="7"/>
  <c r="AS1178" i="7"/>
  <c r="AQ1178" i="7" s="1"/>
  <c r="AL1178" i="7"/>
  <c r="AK1178" i="7"/>
  <c r="AD1178" i="7"/>
  <c r="AC1178" i="7"/>
  <c r="AB1178" i="7" s="1"/>
  <c r="V1178" i="7"/>
  <c r="U1178" i="7"/>
  <c r="S1178" i="7" s="1"/>
  <c r="N1178" i="7"/>
  <c r="M1178" i="7"/>
  <c r="F1178" i="7"/>
  <c r="E1178" i="7"/>
  <c r="D1178" i="7" s="1"/>
  <c r="AT1177" i="7"/>
  <c r="AS1177" i="7"/>
  <c r="AQ1177" i="7" s="1"/>
  <c r="AL1177" i="7"/>
  <c r="AK1177" i="7"/>
  <c r="AD1177" i="7"/>
  <c r="AC1177" i="7"/>
  <c r="AB1177" i="7" s="1"/>
  <c r="V1177" i="7"/>
  <c r="U1177" i="7"/>
  <c r="N1177" i="7"/>
  <c r="M1177" i="7"/>
  <c r="K1177" i="7" s="1"/>
  <c r="L1177" i="7"/>
  <c r="F1177" i="7"/>
  <c r="E1177" i="7"/>
  <c r="D1177" i="7" s="1"/>
  <c r="AT1176" i="7"/>
  <c r="AS1176" i="7"/>
  <c r="AQ1176" i="7" s="1"/>
  <c r="AL1176" i="7"/>
  <c r="AK1176" i="7"/>
  <c r="AD1176" i="7"/>
  <c r="AC1176" i="7"/>
  <c r="AA1176" i="7" s="1"/>
  <c r="V1176" i="7"/>
  <c r="U1176" i="7"/>
  <c r="N1176" i="7"/>
  <c r="M1176" i="7"/>
  <c r="L1176" i="7" s="1"/>
  <c r="F1176" i="7"/>
  <c r="E1176" i="7"/>
  <c r="D1176" i="7" s="1"/>
  <c r="AT1175" i="7"/>
  <c r="AS1175" i="7"/>
  <c r="AQ1175" i="7" s="1"/>
  <c r="AL1175" i="7"/>
  <c r="AK1175" i="7"/>
  <c r="AD1175" i="7"/>
  <c r="AC1175" i="7"/>
  <c r="AA1175" i="7" s="1"/>
  <c r="V1175" i="7"/>
  <c r="U1175" i="7"/>
  <c r="N1175" i="7"/>
  <c r="M1175" i="7"/>
  <c r="K1175" i="7" s="1"/>
  <c r="F1175" i="7"/>
  <c r="E1175" i="7"/>
  <c r="D1175" i="7" s="1"/>
  <c r="AT1174" i="7"/>
  <c r="AS1174" i="7"/>
  <c r="AQ1174" i="7" s="1"/>
  <c r="AL1174" i="7"/>
  <c r="AK1174" i="7"/>
  <c r="AD1174" i="7"/>
  <c r="AC1174" i="7"/>
  <c r="AA1174" i="7" s="1"/>
  <c r="V1174" i="7"/>
  <c r="U1174" i="7"/>
  <c r="N1174" i="7"/>
  <c r="M1174" i="7"/>
  <c r="F1174" i="7"/>
  <c r="E1174" i="7"/>
  <c r="D1174" i="7" s="1"/>
  <c r="AT1173" i="7"/>
  <c r="AS1173" i="7"/>
  <c r="AQ1173" i="7" s="1"/>
  <c r="AL1173" i="7"/>
  <c r="AK1173" i="7"/>
  <c r="AD1173" i="7"/>
  <c r="AC1173" i="7"/>
  <c r="V1173" i="7"/>
  <c r="U1173" i="7"/>
  <c r="N1173" i="7"/>
  <c r="M1173" i="7"/>
  <c r="K1173" i="7" s="1"/>
  <c r="F1173" i="7"/>
  <c r="E1173" i="7"/>
  <c r="D1173" i="7" s="1"/>
  <c r="AT1172" i="7"/>
  <c r="AS1172" i="7"/>
  <c r="AQ1172" i="7" s="1"/>
  <c r="AL1172" i="7"/>
  <c r="AK1172" i="7"/>
  <c r="AD1172" i="7"/>
  <c r="AC1172" i="7"/>
  <c r="AA1172" i="7" s="1"/>
  <c r="V1172" i="7"/>
  <c r="U1172" i="7"/>
  <c r="N1172" i="7"/>
  <c r="M1172" i="7"/>
  <c r="F1172" i="7"/>
  <c r="E1172" i="7"/>
  <c r="D1172" i="7" s="1"/>
  <c r="AT1171" i="7"/>
  <c r="AS1171" i="7"/>
  <c r="AQ1171" i="7" s="1"/>
  <c r="AL1171" i="7"/>
  <c r="AK1171" i="7"/>
  <c r="AD1171" i="7"/>
  <c r="AC1171" i="7"/>
  <c r="AA1171" i="7" s="1"/>
  <c r="V1171" i="7"/>
  <c r="U1171" i="7"/>
  <c r="S1171" i="7" s="1"/>
  <c r="N1171" i="7"/>
  <c r="M1171" i="7"/>
  <c r="F1171" i="7"/>
  <c r="E1171" i="7"/>
  <c r="D1171" i="7" s="1"/>
  <c r="AT1170" i="7"/>
  <c r="AS1170" i="7"/>
  <c r="AL1170" i="7"/>
  <c r="AK1170" i="7"/>
  <c r="AD1170" i="7"/>
  <c r="AC1170" i="7"/>
  <c r="AA1170" i="7" s="1"/>
  <c r="AB1170" i="7"/>
  <c r="V1170" i="7"/>
  <c r="U1170" i="7"/>
  <c r="N1170" i="7"/>
  <c r="M1170" i="7"/>
  <c r="F1170" i="7"/>
  <c r="E1170" i="7"/>
  <c r="D1170" i="7" s="1"/>
  <c r="AT1169" i="7"/>
  <c r="AS1169" i="7"/>
  <c r="AQ1169" i="7" s="1"/>
  <c r="AL1169" i="7"/>
  <c r="AK1169" i="7"/>
  <c r="AD1169" i="7"/>
  <c r="AC1169" i="7"/>
  <c r="AA1169" i="7" s="1"/>
  <c r="V1169" i="7"/>
  <c r="U1169" i="7"/>
  <c r="N1169" i="7"/>
  <c r="M1169" i="7"/>
  <c r="K1169" i="7" s="1"/>
  <c r="F1169" i="7"/>
  <c r="E1169" i="7"/>
  <c r="D1169" i="7" s="1"/>
  <c r="AT1168" i="7"/>
  <c r="AS1168" i="7"/>
  <c r="AQ1168" i="7" s="1"/>
  <c r="AL1168" i="7"/>
  <c r="AK1168" i="7"/>
  <c r="AD1168" i="7"/>
  <c r="AC1168" i="7"/>
  <c r="AA1168" i="7" s="1"/>
  <c r="V1168" i="7"/>
  <c r="U1168" i="7"/>
  <c r="S1168" i="7" s="1"/>
  <c r="N1168" i="7"/>
  <c r="M1168" i="7"/>
  <c r="F1168" i="7"/>
  <c r="E1168" i="7"/>
  <c r="D1168" i="7" s="1"/>
  <c r="AT1167" i="7"/>
  <c r="AS1167" i="7"/>
  <c r="AL1167" i="7"/>
  <c r="AK1167" i="7"/>
  <c r="AD1167" i="7"/>
  <c r="AC1167" i="7"/>
  <c r="AA1167" i="7" s="1"/>
  <c r="V1167" i="7"/>
  <c r="U1167" i="7"/>
  <c r="N1167" i="7"/>
  <c r="M1167" i="7"/>
  <c r="F1167" i="7"/>
  <c r="E1167" i="7"/>
  <c r="D1167" i="7" s="1"/>
  <c r="AT1166" i="7"/>
  <c r="AS1166" i="7"/>
  <c r="AQ1166" i="7" s="1"/>
  <c r="AL1166" i="7"/>
  <c r="AK1166" i="7"/>
  <c r="AD1166" i="7"/>
  <c r="AC1166" i="7"/>
  <c r="AA1166" i="7" s="1"/>
  <c r="V1166" i="7"/>
  <c r="U1166" i="7"/>
  <c r="N1166" i="7"/>
  <c r="M1166" i="7"/>
  <c r="K1166" i="7" s="1"/>
  <c r="F1166" i="7"/>
  <c r="E1166" i="7"/>
  <c r="D1166" i="7" s="1"/>
  <c r="AT1165" i="7"/>
  <c r="AS1165" i="7"/>
  <c r="AQ1165" i="7" s="1"/>
  <c r="AL1165" i="7"/>
  <c r="AK1165" i="7"/>
  <c r="AD1165" i="7"/>
  <c r="AC1165" i="7"/>
  <c r="AA1165" i="7" s="1"/>
  <c r="V1165" i="7"/>
  <c r="U1165" i="7"/>
  <c r="N1165" i="7"/>
  <c r="M1165" i="7"/>
  <c r="F1165" i="7"/>
  <c r="E1165" i="7"/>
  <c r="D1165" i="7" s="1"/>
  <c r="AT1164" i="7"/>
  <c r="AS1164" i="7"/>
  <c r="AQ1164" i="7" s="1"/>
  <c r="AL1164" i="7"/>
  <c r="AK1164" i="7"/>
  <c r="AD1164" i="7"/>
  <c r="AC1164" i="7"/>
  <c r="V1164" i="7"/>
  <c r="U1164" i="7"/>
  <c r="N1164" i="7"/>
  <c r="M1164" i="7"/>
  <c r="K1164" i="7" s="1"/>
  <c r="F1164" i="7"/>
  <c r="E1164" i="7"/>
  <c r="D1164" i="7" s="1"/>
  <c r="AT1163" i="7"/>
  <c r="AS1163" i="7"/>
  <c r="AQ1163" i="7" s="1"/>
  <c r="AL1163" i="7"/>
  <c r="AK1163" i="7"/>
  <c r="AD1163" i="7"/>
  <c r="AC1163" i="7"/>
  <c r="AA1163" i="7" s="1"/>
  <c r="V1163" i="7"/>
  <c r="U1163" i="7"/>
  <c r="N1163" i="7"/>
  <c r="M1163" i="7"/>
  <c r="F1163" i="7"/>
  <c r="E1163" i="7"/>
  <c r="D1163" i="7" s="1"/>
  <c r="AT1162" i="7"/>
  <c r="AS1162" i="7"/>
  <c r="AL1162" i="7"/>
  <c r="AK1162" i="7"/>
  <c r="AJ1162" i="7" s="1"/>
  <c r="AI1162" i="7"/>
  <c r="AH1162" i="7" s="1"/>
  <c r="AD1162" i="7"/>
  <c r="AC1162" i="7"/>
  <c r="V1162" i="7"/>
  <c r="U1162" i="7"/>
  <c r="S1162" i="7" s="1"/>
  <c r="N1162" i="7"/>
  <c r="M1162" i="7"/>
  <c r="F1162" i="7"/>
  <c r="E1162" i="7"/>
  <c r="D1162" i="7" s="1"/>
  <c r="AT1161" i="7"/>
  <c r="AS1161" i="7"/>
  <c r="AQ1161" i="7" s="1"/>
  <c r="AL1161" i="7"/>
  <c r="AK1161" i="7"/>
  <c r="AD1161" i="7"/>
  <c r="AC1161" i="7"/>
  <c r="AA1161" i="7" s="1"/>
  <c r="V1161" i="7"/>
  <c r="U1161" i="7"/>
  <c r="N1161" i="7"/>
  <c r="M1161" i="7"/>
  <c r="F1161" i="7"/>
  <c r="E1161" i="7"/>
  <c r="D1161" i="7" s="1"/>
  <c r="AT1160" i="7"/>
  <c r="AS1160" i="7"/>
  <c r="AQ1160" i="7" s="1"/>
  <c r="AL1160" i="7"/>
  <c r="AK1160" i="7"/>
  <c r="AD1160" i="7"/>
  <c r="AC1160" i="7"/>
  <c r="AA1160" i="7" s="1"/>
  <c r="V1160" i="7"/>
  <c r="U1160" i="7"/>
  <c r="N1160" i="7"/>
  <c r="M1160" i="7"/>
  <c r="K1160" i="7" s="1"/>
  <c r="F1160" i="7"/>
  <c r="E1160" i="7"/>
  <c r="D1160" i="7" s="1"/>
  <c r="AT1159" i="7"/>
  <c r="AS1159" i="7"/>
  <c r="AQ1159" i="7" s="1"/>
  <c r="AL1159" i="7"/>
  <c r="AK1159" i="7"/>
  <c r="AJ1159" i="7" s="1"/>
  <c r="AD1159" i="7"/>
  <c r="AC1159" i="7"/>
  <c r="AA1159" i="7" s="1"/>
  <c r="V1159" i="7"/>
  <c r="U1159" i="7"/>
  <c r="S1159" i="7" s="1"/>
  <c r="T1159" i="7"/>
  <c r="N1159" i="7"/>
  <c r="M1159" i="7"/>
  <c r="F1159" i="7"/>
  <c r="E1159" i="7"/>
  <c r="D1159" i="7" s="1"/>
  <c r="AT1158" i="7"/>
  <c r="AS1158" i="7"/>
  <c r="AQ1158" i="7" s="1"/>
  <c r="AL1158" i="7"/>
  <c r="AK1158" i="7"/>
  <c r="AD1158" i="7"/>
  <c r="AC1158" i="7"/>
  <c r="AA1158" i="7" s="1"/>
  <c r="AB1158" i="7"/>
  <c r="V1158" i="7"/>
  <c r="U1158" i="7"/>
  <c r="N1158" i="7"/>
  <c r="M1158" i="7"/>
  <c r="F1158" i="7"/>
  <c r="E1158" i="7"/>
  <c r="D1158" i="7" s="1"/>
  <c r="AT1157" i="7"/>
  <c r="AS1157" i="7"/>
  <c r="AQ1157" i="7" s="1"/>
  <c r="AL1157" i="7"/>
  <c r="AK1157" i="7"/>
  <c r="AD1157" i="7"/>
  <c r="AC1157" i="7"/>
  <c r="AA1157" i="7" s="1"/>
  <c r="V1157" i="7"/>
  <c r="U1157" i="7"/>
  <c r="N1157" i="7"/>
  <c r="M1157" i="7"/>
  <c r="K1157" i="7" s="1"/>
  <c r="F1157" i="7"/>
  <c r="E1157" i="7"/>
  <c r="D1157" i="7" s="1"/>
  <c r="AT1156" i="7"/>
  <c r="AS1156" i="7"/>
  <c r="AQ1156" i="7" s="1"/>
  <c r="AL1156" i="7"/>
  <c r="AK1156" i="7"/>
  <c r="AJ1156" i="7" s="1"/>
  <c r="AD1156" i="7"/>
  <c r="AC1156" i="7"/>
  <c r="AA1156" i="7" s="1"/>
  <c r="V1156" i="7"/>
  <c r="U1156" i="7"/>
  <c r="N1156" i="7"/>
  <c r="M1156" i="7"/>
  <c r="F1156" i="7"/>
  <c r="E1156" i="7"/>
  <c r="D1156" i="7" s="1"/>
  <c r="AT1155" i="7"/>
  <c r="AS1155" i="7"/>
  <c r="AQ1155" i="7" s="1"/>
  <c r="AL1155" i="7"/>
  <c r="AK1155" i="7"/>
  <c r="AD1155" i="7"/>
  <c r="AC1155" i="7"/>
  <c r="AA1155" i="7" s="1"/>
  <c r="AB1155" i="7"/>
  <c r="V1155" i="7"/>
  <c r="U1155" i="7"/>
  <c r="N1155" i="7"/>
  <c r="M1155" i="7"/>
  <c r="K1155" i="7" s="1"/>
  <c r="F1155" i="7"/>
  <c r="E1155" i="7"/>
  <c r="D1155" i="7" s="1"/>
  <c r="AT1154" i="7"/>
  <c r="AS1154" i="7"/>
  <c r="AQ1154" i="7" s="1"/>
  <c r="AL1154" i="7"/>
  <c r="AK1154" i="7"/>
  <c r="AD1154" i="7"/>
  <c r="AC1154" i="7"/>
  <c r="AA1154" i="7" s="1"/>
  <c r="V1154" i="7"/>
  <c r="U1154" i="7"/>
  <c r="N1154" i="7"/>
  <c r="M1154" i="7"/>
  <c r="F1154" i="7"/>
  <c r="E1154" i="7"/>
  <c r="D1154" i="7" s="1"/>
  <c r="AT1153" i="7"/>
  <c r="AS1153" i="7"/>
  <c r="AQ1153" i="7" s="1"/>
  <c r="AL1153" i="7"/>
  <c r="AK1153" i="7"/>
  <c r="AJ1153" i="7" s="1"/>
  <c r="AD1153" i="7"/>
  <c r="AC1153" i="7"/>
  <c r="AA1153" i="7" s="1"/>
  <c r="V1153" i="7"/>
  <c r="U1153" i="7"/>
  <c r="S1153" i="7" s="1"/>
  <c r="N1153" i="7"/>
  <c r="M1153" i="7"/>
  <c r="F1153" i="7"/>
  <c r="E1153" i="7"/>
  <c r="D1153" i="7" s="1"/>
  <c r="AT1152" i="7"/>
  <c r="AS1152" i="7"/>
  <c r="AQ1152" i="7" s="1"/>
  <c r="AL1152" i="7"/>
  <c r="AK1152" i="7"/>
  <c r="AD1152" i="7"/>
  <c r="AC1152" i="7"/>
  <c r="AA1152" i="7" s="1"/>
  <c r="V1152" i="7"/>
  <c r="U1152" i="7"/>
  <c r="N1152" i="7"/>
  <c r="M1152" i="7"/>
  <c r="K1152" i="7" s="1"/>
  <c r="F1152" i="7"/>
  <c r="E1152" i="7"/>
  <c r="D1152" i="7" s="1"/>
  <c r="AT1151" i="7"/>
  <c r="AS1151" i="7"/>
  <c r="AQ1151" i="7" s="1"/>
  <c r="AL1151" i="7"/>
  <c r="AK1151" i="7"/>
  <c r="AD1151" i="7"/>
  <c r="AC1151" i="7"/>
  <c r="AA1151" i="7" s="1"/>
  <c r="V1151" i="7"/>
  <c r="U1151" i="7"/>
  <c r="N1151" i="7"/>
  <c r="M1151" i="7"/>
  <c r="K1151" i="7" s="1"/>
  <c r="F1151" i="7"/>
  <c r="E1151" i="7"/>
  <c r="D1151" i="7" s="1"/>
  <c r="AT1150" i="7"/>
  <c r="AS1150" i="7"/>
  <c r="AQ1150" i="7" s="1"/>
  <c r="AL1150" i="7"/>
  <c r="AK1150" i="7"/>
  <c r="AD1150" i="7"/>
  <c r="AC1150" i="7"/>
  <c r="AA1150" i="7" s="1"/>
  <c r="V1150" i="7"/>
  <c r="U1150" i="7"/>
  <c r="S1150" i="7" s="1"/>
  <c r="T1150" i="7"/>
  <c r="N1150" i="7"/>
  <c r="M1150" i="7"/>
  <c r="F1150" i="7"/>
  <c r="E1150" i="7"/>
  <c r="D1150" i="7" s="1"/>
  <c r="AT1149" i="7"/>
  <c r="AS1149" i="7"/>
  <c r="AL1149" i="7"/>
  <c r="AK1149" i="7"/>
  <c r="AD1149" i="7"/>
  <c r="AC1149" i="7"/>
  <c r="AA1149" i="7" s="1"/>
  <c r="V1149" i="7"/>
  <c r="U1149" i="7"/>
  <c r="N1149" i="7"/>
  <c r="M1149" i="7"/>
  <c r="K1149" i="7" s="1"/>
  <c r="F1149" i="7"/>
  <c r="E1149" i="7"/>
  <c r="D1149" i="7" s="1"/>
  <c r="AT1148" i="7"/>
  <c r="AS1148" i="7"/>
  <c r="AQ1148" i="7" s="1"/>
  <c r="AL1148" i="7"/>
  <c r="AK1148" i="7"/>
  <c r="AD1148" i="7"/>
  <c r="AC1148" i="7"/>
  <c r="AA1148" i="7" s="1"/>
  <c r="V1148" i="7"/>
  <c r="U1148" i="7"/>
  <c r="N1148" i="7"/>
  <c r="M1148" i="7"/>
  <c r="F1148" i="7"/>
  <c r="E1148" i="7"/>
  <c r="D1148" i="7" s="1"/>
  <c r="AT1147" i="7"/>
  <c r="AS1147" i="7"/>
  <c r="AL1147" i="7"/>
  <c r="AK1147" i="7"/>
  <c r="AJ1147" i="7" s="1"/>
  <c r="AD1147" i="7"/>
  <c r="AC1147" i="7"/>
  <c r="V1147" i="7"/>
  <c r="U1147" i="7"/>
  <c r="S1147" i="7" s="1"/>
  <c r="N1147" i="7"/>
  <c r="M1147" i="7"/>
  <c r="F1147" i="7"/>
  <c r="E1147" i="7"/>
  <c r="D1147" i="7" s="1"/>
  <c r="AT1146" i="7"/>
  <c r="AS1146" i="7"/>
  <c r="AQ1146" i="7" s="1"/>
  <c r="AL1146" i="7"/>
  <c r="AK1146" i="7"/>
  <c r="AJ1146" i="7" s="1"/>
  <c r="AD1146" i="7"/>
  <c r="AC1146" i="7"/>
  <c r="AA1146" i="7" s="1"/>
  <c r="V1146" i="7"/>
  <c r="U1146" i="7"/>
  <c r="T1146" i="7" s="1"/>
  <c r="N1146" i="7"/>
  <c r="M1146" i="7"/>
  <c r="K1146" i="7" s="1"/>
  <c r="F1146" i="7"/>
  <c r="E1146" i="7"/>
  <c r="D1146" i="7" s="1"/>
  <c r="AT1145" i="7"/>
  <c r="AS1145" i="7"/>
  <c r="AQ1145" i="7" s="1"/>
  <c r="AL1145" i="7"/>
  <c r="AK1145" i="7"/>
  <c r="AD1145" i="7"/>
  <c r="AC1145" i="7"/>
  <c r="AA1145" i="7" s="1"/>
  <c r="V1145" i="7"/>
  <c r="U1145" i="7"/>
  <c r="N1145" i="7"/>
  <c r="M1145" i="7"/>
  <c r="L1145" i="7" s="1"/>
  <c r="F1145" i="7"/>
  <c r="E1145" i="7"/>
  <c r="D1145" i="7" s="1"/>
  <c r="AT1144" i="7"/>
  <c r="AS1144" i="7"/>
  <c r="AL1144" i="7"/>
  <c r="AK1144" i="7"/>
  <c r="AJ1144" i="7" s="1"/>
  <c r="AD1144" i="7"/>
  <c r="AC1144" i="7"/>
  <c r="V1144" i="7"/>
  <c r="U1144" i="7"/>
  <c r="S1144" i="7" s="1"/>
  <c r="N1144" i="7"/>
  <c r="M1144" i="7"/>
  <c r="F1144" i="7"/>
  <c r="E1144" i="7"/>
  <c r="D1144" i="7" s="1"/>
  <c r="AT1143" i="7"/>
  <c r="AS1143" i="7"/>
  <c r="AQ1143" i="7" s="1"/>
  <c r="AL1143" i="7"/>
  <c r="AK1143" i="7"/>
  <c r="AD1143" i="7"/>
  <c r="AC1143" i="7"/>
  <c r="AA1143" i="7" s="1"/>
  <c r="V1143" i="7"/>
  <c r="U1143" i="7"/>
  <c r="N1143" i="7"/>
  <c r="M1143" i="7"/>
  <c r="F1143" i="7"/>
  <c r="E1143" i="7"/>
  <c r="D1143" i="7" s="1"/>
  <c r="AT1142" i="7"/>
  <c r="AS1142" i="7"/>
  <c r="AQ1142" i="7" s="1"/>
  <c r="AL1142" i="7"/>
  <c r="AK1142" i="7"/>
  <c r="AD1142" i="7"/>
  <c r="AC1142" i="7"/>
  <c r="AA1142" i="7" s="1"/>
  <c r="V1142" i="7"/>
  <c r="U1142" i="7"/>
  <c r="N1142" i="7"/>
  <c r="M1142" i="7"/>
  <c r="K1142" i="7" s="1"/>
  <c r="F1142" i="7"/>
  <c r="E1142" i="7"/>
  <c r="D1142" i="7" s="1"/>
  <c r="AT1141" i="7"/>
  <c r="AS1141" i="7"/>
  <c r="AQ1141" i="7" s="1"/>
  <c r="AL1141" i="7"/>
  <c r="AK1141" i="7"/>
  <c r="AJ1141" i="7" s="1"/>
  <c r="AD1141" i="7"/>
  <c r="AC1141" i="7"/>
  <c r="AA1141" i="7" s="1"/>
  <c r="V1141" i="7"/>
  <c r="U1141" i="7"/>
  <c r="N1141" i="7"/>
  <c r="M1141" i="7"/>
  <c r="F1141" i="7"/>
  <c r="E1141" i="7"/>
  <c r="D1141" i="7" s="1"/>
  <c r="AT1140" i="7"/>
  <c r="AS1140" i="7"/>
  <c r="AQ1140" i="7" s="1"/>
  <c r="AL1140" i="7"/>
  <c r="AK1140" i="7"/>
  <c r="AJ1140" i="7" s="1"/>
  <c r="AD1140" i="7"/>
  <c r="AC1140" i="7"/>
  <c r="AA1140" i="7" s="1"/>
  <c r="V1140" i="7"/>
  <c r="U1140" i="7"/>
  <c r="S1140" i="7" s="1"/>
  <c r="N1140" i="7"/>
  <c r="M1140" i="7"/>
  <c r="F1140" i="7"/>
  <c r="E1140" i="7"/>
  <c r="D1140" i="7" s="1"/>
  <c r="AT1139" i="7"/>
  <c r="AS1139" i="7"/>
  <c r="AQ1139" i="7" s="1"/>
  <c r="AL1139" i="7"/>
  <c r="AK1139" i="7"/>
  <c r="AD1139" i="7"/>
  <c r="AC1139" i="7"/>
  <c r="AA1139" i="7" s="1"/>
  <c r="V1139" i="7"/>
  <c r="U1139" i="7"/>
  <c r="N1139" i="7"/>
  <c r="M1139" i="7"/>
  <c r="F1139" i="7"/>
  <c r="E1139" i="7"/>
  <c r="D1139" i="7" s="1"/>
  <c r="AT1138" i="7"/>
  <c r="AS1138" i="7"/>
  <c r="AL1138" i="7"/>
  <c r="AK1138" i="7"/>
  <c r="AD1138" i="7"/>
  <c r="AC1138" i="7"/>
  <c r="AA1138" i="7" s="1"/>
  <c r="V1138" i="7"/>
  <c r="U1138" i="7"/>
  <c r="N1138" i="7"/>
  <c r="M1138" i="7"/>
  <c r="F1138" i="7"/>
  <c r="E1138" i="7"/>
  <c r="D1138" i="7" s="1"/>
  <c r="AT1137" i="7"/>
  <c r="AS1137" i="7"/>
  <c r="AQ1137" i="7" s="1"/>
  <c r="AL1137" i="7"/>
  <c r="AK1137" i="7"/>
  <c r="AD1137" i="7"/>
  <c r="AC1137" i="7"/>
  <c r="AA1137" i="7" s="1"/>
  <c r="V1137" i="7"/>
  <c r="U1137" i="7"/>
  <c r="S1137" i="7" s="1"/>
  <c r="T1137" i="7"/>
  <c r="N1137" i="7"/>
  <c r="M1137" i="7"/>
  <c r="K1137" i="7" s="1"/>
  <c r="F1137" i="7"/>
  <c r="E1137" i="7"/>
  <c r="D1137" i="7" s="1"/>
  <c r="AT1136" i="7"/>
  <c r="AS1136" i="7"/>
  <c r="AQ1136" i="7" s="1"/>
  <c r="AL1136" i="7"/>
  <c r="AK1136" i="7"/>
  <c r="AD1136" i="7"/>
  <c r="AC1136" i="7"/>
  <c r="AA1136" i="7" s="1"/>
  <c r="V1136" i="7"/>
  <c r="U1136" i="7"/>
  <c r="N1136" i="7"/>
  <c r="M1136" i="7"/>
  <c r="L1136" i="7" s="1"/>
  <c r="F1136" i="7"/>
  <c r="E1136" i="7"/>
  <c r="D1136" i="7" s="1"/>
  <c r="AT1135" i="7"/>
  <c r="AS1135" i="7"/>
  <c r="AQ1135" i="7" s="1"/>
  <c r="AL1135" i="7"/>
  <c r="AK1135" i="7"/>
  <c r="AD1135" i="7"/>
  <c r="AC1135" i="7"/>
  <c r="AA1135" i="7" s="1"/>
  <c r="V1135" i="7"/>
  <c r="U1135" i="7"/>
  <c r="S1135" i="7" s="1"/>
  <c r="N1135" i="7"/>
  <c r="M1135" i="7"/>
  <c r="F1135" i="7"/>
  <c r="E1135" i="7"/>
  <c r="D1135" i="7" s="1"/>
  <c r="AT1134" i="7"/>
  <c r="AS1134" i="7"/>
  <c r="AL1134" i="7"/>
  <c r="AK1134" i="7"/>
  <c r="AD1134" i="7"/>
  <c r="AC1134" i="7"/>
  <c r="V1134" i="7"/>
  <c r="U1134" i="7"/>
  <c r="N1134" i="7"/>
  <c r="M1134" i="7"/>
  <c r="K1134" i="7" s="1"/>
  <c r="F1134" i="7"/>
  <c r="E1134" i="7"/>
  <c r="D1134" i="7" s="1"/>
  <c r="AT1133" i="7"/>
  <c r="AS1133" i="7"/>
  <c r="AQ1133" i="7" s="1"/>
  <c r="AL1133" i="7"/>
  <c r="AK1133" i="7"/>
  <c r="AD1133" i="7"/>
  <c r="AC1133" i="7"/>
  <c r="AA1133" i="7" s="1"/>
  <c r="V1133" i="7"/>
  <c r="U1133" i="7"/>
  <c r="N1133" i="7"/>
  <c r="M1133" i="7"/>
  <c r="K1133" i="7" s="1"/>
  <c r="F1133" i="7"/>
  <c r="E1133" i="7"/>
  <c r="D1133" i="7" s="1"/>
  <c r="AT1132" i="7"/>
  <c r="AS1132" i="7"/>
  <c r="AQ1132" i="7" s="1"/>
  <c r="AL1132" i="7"/>
  <c r="AK1132" i="7"/>
  <c r="AD1132" i="7"/>
  <c r="AC1132" i="7"/>
  <c r="V1132" i="7"/>
  <c r="U1132" i="7"/>
  <c r="N1132" i="7"/>
  <c r="M1132" i="7"/>
  <c r="F1132" i="7"/>
  <c r="E1132" i="7"/>
  <c r="D1132" i="7" s="1"/>
  <c r="AT1131" i="7"/>
  <c r="AS1131" i="7"/>
  <c r="AQ1131" i="7" s="1"/>
  <c r="AL1131" i="7"/>
  <c r="AK1131" i="7"/>
  <c r="AJ1131" i="7" s="1"/>
  <c r="AD1131" i="7"/>
  <c r="AC1131" i="7"/>
  <c r="AA1131" i="7" s="1"/>
  <c r="V1131" i="7"/>
  <c r="U1131" i="7"/>
  <c r="N1131" i="7"/>
  <c r="M1131" i="7"/>
  <c r="F1131" i="7"/>
  <c r="E1131" i="7"/>
  <c r="D1131" i="7" s="1"/>
  <c r="AT1130" i="7"/>
  <c r="AS1130" i="7"/>
  <c r="AQ1130" i="7" s="1"/>
  <c r="AL1130" i="7"/>
  <c r="AK1130" i="7"/>
  <c r="AD1130" i="7"/>
  <c r="AC1130" i="7"/>
  <c r="AA1130" i="7" s="1"/>
  <c r="V1130" i="7"/>
  <c r="U1130" i="7"/>
  <c r="N1130" i="7"/>
  <c r="M1130" i="7"/>
  <c r="F1130" i="7"/>
  <c r="E1130" i="7"/>
  <c r="D1130" i="7" s="1"/>
  <c r="AT1129" i="7"/>
  <c r="AS1129" i="7"/>
  <c r="AL1129" i="7"/>
  <c r="AK1129" i="7"/>
  <c r="AJ1129" i="7" s="1"/>
  <c r="AD1129" i="7"/>
  <c r="AC1129" i="7"/>
  <c r="AA1129" i="7" s="1"/>
  <c r="V1129" i="7"/>
  <c r="U1129" i="7"/>
  <c r="S1129" i="7" s="1"/>
  <c r="N1129" i="7"/>
  <c r="M1129" i="7"/>
  <c r="F1129" i="7"/>
  <c r="E1129" i="7"/>
  <c r="D1129" i="7" s="1"/>
  <c r="AT1128" i="7"/>
  <c r="AS1128" i="7"/>
  <c r="AQ1128" i="7" s="1"/>
  <c r="AL1128" i="7"/>
  <c r="AK1128" i="7"/>
  <c r="AJ1128" i="7" s="1"/>
  <c r="AD1128" i="7"/>
  <c r="AC1128" i="7"/>
  <c r="AA1128" i="7" s="1"/>
  <c r="V1128" i="7"/>
  <c r="U1128" i="7"/>
  <c r="S1128" i="7" s="1"/>
  <c r="N1128" i="7"/>
  <c r="M1128" i="7"/>
  <c r="F1128" i="7"/>
  <c r="E1128" i="7"/>
  <c r="D1128" i="7" s="1"/>
  <c r="AT1127" i="7"/>
  <c r="AS1127" i="7"/>
  <c r="AQ1127" i="7" s="1"/>
  <c r="AL1127" i="7"/>
  <c r="AK1127" i="7"/>
  <c r="AD1127" i="7"/>
  <c r="AC1127" i="7"/>
  <c r="AA1127" i="7" s="1"/>
  <c r="V1127" i="7"/>
  <c r="U1127" i="7"/>
  <c r="N1127" i="7"/>
  <c r="M1127" i="7"/>
  <c r="F1127" i="7"/>
  <c r="E1127" i="7"/>
  <c r="D1127" i="7" s="1"/>
  <c r="AT1126" i="7"/>
  <c r="AS1126" i="7"/>
  <c r="AL1126" i="7"/>
  <c r="AK1126" i="7"/>
  <c r="AJ1126" i="7" s="1"/>
  <c r="AD1126" i="7"/>
  <c r="AC1126" i="7"/>
  <c r="V1126" i="7"/>
  <c r="U1126" i="7"/>
  <c r="N1126" i="7"/>
  <c r="M1126" i="7"/>
  <c r="F1126" i="7"/>
  <c r="E1126" i="7"/>
  <c r="D1126" i="7" s="1"/>
  <c r="AT1125" i="7"/>
  <c r="AS1125" i="7"/>
  <c r="AQ1125" i="7" s="1"/>
  <c r="AL1125" i="7"/>
  <c r="AK1125" i="7"/>
  <c r="AJ1125" i="7" s="1"/>
  <c r="AD1125" i="7"/>
  <c r="AC1125" i="7"/>
  <c r="AA1125" i="7" s="1"/>
  <c r="V1125" i="7"/>
  <c r="U1125" i="7"/>
  <c r="S1125" i="7" s="1"/>
  <c r="N1125" i="7"/>
  <c r="M1125" i="7"/>
  <c r="K1125" i="7" s="1"/>
  <c r="F1125" i="7"/>
  <c r="E1125" i="7"/>
  <c r="D1125" i="7" s="1"/>
  <c r="AT1124" i="7"/>
  <c r="AS1124" i="7"/>
  <c r="AQ1124" i="7" s="1"/>
  <c r="AL1124" i="7"/>
  <c r="AK1124" i="7"/>
  <c r="AD1124" i="7"/>
  <c r="AC1124" i="7"/>
  <c r="AA1124" i="7" s="1"/>
  <c r="V1124" i="7"/>
  <c r="U1124" i="7"/>
  <c r="N1124" i="7"/>
  <c r="M1124" i="7"/>
  <c r="F1124" i="7"/>
  <c r="E1124" i="7"/>
  <c r="D1124" i="7" s="1"/>
  <c r="AT1123" i="7"/>
  <c r="AS1123" i="7"/>
  <c r="AQ1123" i="7" s="1"/>
  <c r="AL1123" i="7"/>
  <c r="AK1123" i="7"/>
  <c r="AJ1123" i="7" s="1"/>
  <c r="AD1123" i="7"/>
  <c r="AC1123" i="7"/>
  <c r="AA1123" i="7" s="1"/>
  <c r="V1123" i="7"/>
  <c r="U1123" i="7"/>
  <c r="S1123" i="7" s="1"/>
  <c r="N1123" i="7"/>
  <c r="M1123" i="7"/>
  <c r="F1123" i="7"/>
  <c r="E1123" i="7"/>
  <c r="D1123" i="7" s="1"/>
  <c r="AT1122" i="7"/>
  <c r="AS1122" i="7"/>
  <c r="AQ1122" i="7" s="1"/>
  <c r="AL1122" i="7"/>
  <c r="AK1122" i="7"/>
  <c r="AJ1122" i="7" s="1"/>
  <c r="AD1122" i="7"/>
  <c r="AC1122" i="7"/>
  <c r="AA1122" i="7" s="1"/>
  <c r="V1122" i="7"/>
  <c r="U1122" i="7"/>
  <c r="T1122" i="7" s="1"/>
  <c r="N1122" i="7"/>
  <c r="M1122" i="7"/>
  <c r="F1122" i="7"/>
  <c r="E1122" i="7"/>
  <c r="D1122" i="7" s="1"/>
  <c r="AT1121" i="7"/>
  <c r="AS1121" i="7"/>
  <c r="AQ1121" i="7" s="1"/>
  <c r="AL1121" i="7"/>
  <c r="AK1121" i="7"/>
  <c r="AD1121" i="7"/>
  <c r="AC1121" i="7"/>
  <c r="AA1121" i="7" s="1"/>
  <c r="V1121" i="7"/>
  <c r="U1121" i="7"/>
  <c r="N1121" i="7"/>
  <c r="M1121" i="7"/>
  <c r="L1121" i="7" s="1"/>
  <c r="F1121" i="7"/>
  <c r="E1121" i="7"/>
  <c r="D1121" i="7" s="1"/>
  <c r="AT1120" i="7"/>
  <c r="AS1120" i="7"/>
  <c r="AQ1120" i="7" s="1"/>
  <c r="AL1120" i="7"/>
  <c r="AK1120" i="7"/>
  <c r="AJ1120" i="7" s="1"/>
  <c r="AD1120" i="7"/>
  <c r="AC1120" i="7"/>
  <c r="AA1120" i="7" s="1"/>
  <c r="V1120" i="7"/>
  <c r="U1120" i="7"/>
  <c r="S1120" i="7" s="1"/>
  <c r="N1120" i="7"/>
  <c r="M1120" i="7"/>
  <c r="F1120" i="7"/>
  <c r="E1120" i="7"/>
  <c r="D1120" i="7" s="1"/>
  <c r="AT1119" i="7"/>
  <c r="AS1119" i="7"/>
  <c r="AQ1119" i="7" s="1"/>
  <c r="AL1119" i="7"/>
  <c r="AK1119" i="7"/>
  <c r="AJ1119" i="7" s="1"/>
  <c r="AI1119" i="7"/>
  <c r="AH1119" i="7" s="1"/>
  <c r="AD1119" i="7"/>
  <c r="AC1119" i="7"/>
  <c r="AA1119" i="7" s="1"/>
  <c r="V1119" i="7"/>
  <c r="U1119" i="7"/>
  <c r="N1119" i="7"/>
  <c r="M1119" i="7"/>
  <c r="F1119" i="7"/>
  <c r="E1119" i="7"/>
  <c r="D1119" i="7" s="1"/>
  <c r="AT1118" i="7"/>
  <c r="AS1118" i="7"/>
  <c r="AQ1118" i="7" s="1"/>
  <c r="AL1118" i="7"/>
  <c r="AK1118" i="7"/>
  <c r="AD1118" i="7"/>
  <c r="AC1118" i="7"/>
  <c r="AA1118" i="7" s="1"/>
  <c r="V1118" i="7"/>
  <c r="U1118" i="7"/>
  <c r="N1118" i="7"/>
  <c r="M1118" i="7"/>
  <c r="F1118" i="7"/>
  <c r="E1118" i="7"/>
  <c r="D1118" i="7" s="1"/>
  <c r="AT1117" i="7"/>
  <c r="AS1117" i="7"/>
  <c r="AQ1117" i="7" s="1"/>
  <c r="AL1117" i="7"/>
  <c r="AK1117" i="7"/>
  <c r="AJ1117" i="7" s="1"/>
  <c r="AD1117" i="7"/>
  <c r="AC1117" i="7"/>
  <c r="V1117" i="7"/>
  <c r="U1117" i="7"/>
  <c r="T1117" i="7" s="1"/>
  <c r="N1117" i="7"/>
  <c r="M1117" i="7"/>
  <c r="K1117" i="7" s="1"/>
  <c r="F1117" i="7"/>
  <c r="E1117" i="7"/>
  <c r="D1117" i="7" s="1"/>
  <c r="AT1116" i="7"/>
  <c r="AS1116" i="7"/>
  <c r="AL1116" i="7"/>
  <c r="AK1116" i="7"/>
  <c r="AJ1116" i="7" s="1"/>
  <c r="AD1116" i="7"/>
  <c r="AC1116" i="7"/>
  <c r="V1116" i="7"/>
  <c r="U1116" i="7"/>
  <c r="S1116" i="7" s="1"/>
  <c r="N1116" i="7"/>
  <c r="M1116" i="7"/>
  <c r="F1116" i="7"/>
  <c r="E1116" i="7"/>
  <c r="D1116" i="7" s="1"/>
  <c r="AT1115" i="7"/>
  <c r="AS1115" i="7"/>
  <c r="AL1115" i="7"/>
  <c r="AK1115" i="7"/>
  <c r="AJ1115" i="7" s="1"/>
  <c r="AD1115" i="7"/>
  <c r="AC1115" i="7"/>
  <c r="V1115" i="7"/>
  <c r="U1115" i="7"/>
  <c r="T1115" i="7" s="1"/>
  <c r="N1115" i="7"/>
  <c r="M1115" i="7"/>
  <c r="L1115" i="7" s="1"/>
  <c r="F1115" i="7"/>
  <c r="E1115" i="7"/>
  <c r="D1115" i="7" s="1"/>
  <c r="AT1114" i="7"/>
  <c r="AS1114" i="7"/>
  <c r="AQ1114" i="7" s="1"/>
  <c r="AL1114" i="7"/>
  <c r="AK1114" i="7"/>
  <c r="AJ1114" i="7" s="1"/>
  <c r="AD1114" i="7"/>
  <c r="AC1114" i="7"/>
  <c r="AA1114" i="7" s="1"/>
  <c r="AB1114" i="7"/>
  <c r="V1114" i="7"/>
  <c r="U1114" i="7"/>
  <c r="N1114" i="7"/>
  <c r="M1114" i="7"/>
  <c r="K1114" i="7" s="1"/>
  <c r="F1114" i="7"/>
  <c r="E1114" i="7"/>
  <c r="D1114" i="7" s="1"/>
  <c r="AT1113" i="7"/>
  <c r="AS1113" i="7"/>
  <c r="AQ1113" i="7" s="1"/>
  <c r="AL1113" i="7"/>
  <c r="AK1113" i="7"/>
  <c r="AJ1113" i="7" s="1"/>
  <c r="AD1113" i="7"/>
  <c r="AC1113" i="7"/>
  <c r="AA1113" i="7" s="1"/>
  <c r="V1113" i="7"/>
  <c r="U1113" i="7"/>
  <c r="S1113" i="7" s="1"/>
  <c r="N1113" i="7"/>
  <c r="M1113" i="7"/>
  <c r="L1113" i="7" s="1"/>
  <c r="F1113" i="7"/>
  <c r="E1113" i="7"/>
  <c r="D1113" i="7" s="1"/>
  <c r="AT1112" i="7"/>
  <c r="AS1112" i="7"/>
  <c r="AL1112" i="7"/>
  <c r="AK1112" i="7"/>
  <c r="AJ1112" i="7" s="1"/>
  <c r="AD1112" i="7"/>
  <c r="AC1112" i="7"/>
  <c r="AA1112" i="7" s="1"/>
  <c r="V1112" i="7"/>
  <c r="U1112" i="7"/>
  <c r="N1112" i="7"/>
  <c r="M1112" i="7"/>
  <c r="L1112" i="7" s="1"/>
  <c r="F1112" i="7"/>
  <c r="E1112" i="7"/>
  <c r="D1112" i="7" s="1"/>
  <c r="AT1111" i="7"/>
  <c r="AS1111" i="7"/>
  <c r="AQ1111" i="7" s="1"/>
  <c r="AL1111" i="7"/>
  <c r="AK1111" i="7"/>
  <c r="AJ1111" i="7" s="1"/>
  <c r="AD1111" i="7"/>
  <c r="AC1111" i="7"/>
  <c r="AA1111" i="7" s="1"/>
  <c r="V1111" i="7"/>
  <c r="U1111" i="7"/>
  <c r="T1111" i="7" s="1"/>
  <c r="N1111" i="7"/>
  <c r="M1111" i="7"/>
  <c r="K1111" i="7" s="1"/>
  <c r="F1111" i="7"/>
  <c r="E1111" i="7"/>
  <c r="D1111" i="7" s="1"/>
  <c r="AT1110" i="7"/>
  <c r="AS1110" i="7"/>
  <c r="AL1110" i="7"/>
  <c r="AK1110" i="7"/>
  <c r="AJ1110" i="7" s="1"/>
  <c r="AD1110" i="7"/>
  <c r="AC1110" i="7"/>
  <c r="V1110" i="7"/>
  <c r="U1110" i="7"/>
  <c r="N1110" i="7"/>
  <c r="M1110" i="7"/>
  <c r="F1110" i="7"/>
  <c r="E1110" i="7"/>
  <c r="D1110" i="7" s="1"/>
  <c r="AT1109" i="7"/>
  <c r="AS1109" i="7"/>
  <c r="AQ1109" i="7" s="1"/>
  <c r="AL1109" i="7"/>
  <c r="AK1109" i="7"/>
  <c r="AJ1109" i="7" s="1"/>
  <c r="AD1109" i="7"/>
  <c r="AC1109" i="7"/>
  <c r="V1109" i="7"/>
  <c r="U1109" i="7"/>
  <c r="T1109" i="7" s="1"/>
  <c r="N1109" i="7"/>
  <c r="M1109" i="7"/>
  <c r="K1109" i="7" s="1"/>
  <c r="F1109" i="7"/>
  <c r="E1109" i="7"/>
  <c r="D1109" i="7" s="1"/>
  <c r="AT1108" i="7"/>
  <c r="AS1108" i="7"/>
  <c r="AQ1108" i="7" s="1"/>
  <c r="AL1108" i="7"/>
  <c r="AK1108" i="7"/>
  <c r="AJ1108" i="7" s="1"/>
  <c r="AD1108" i="7"/>
  <c r="AC1108" i="7"/>
  <c r="AA1108" i="7" s="1"/>
  <c r="V1108" i="7"/>
  <c r="U1108" i="7"/>
  <c r="T1108" i="7" s="1"/>
  <c r="N1108" i="7"/>
  <c r="M1108" i="7"/>
  <c r="K1108" i="7" s="1"/>
  <c r="F1108" i="7"/>
  <c r="E1108" i="7"/>
  <c r="D1108" i="7" s="1"/>
  <c r="AT1107" i="7"/>
  <c r="AS1107" i="7"/>
  <c r="AQ1107" i="7" s="1"/>
  <c r="AL1107" i="7"/>
  <c r="AK1107" i="7"/>
  <c r="AJ1107" i="7" s="1"/>
  <c r="AD1107" i="7"/>
  <c r="AC1107" i="7"/>
  <c r="AA1107" i="7" s="1"/>
  <c r="V1107" i="7"/>
  <c r="U1107" i="7"/>
  <c r="S1107" i="7" s="1"/>
  <c r="N1107" i="7"/>
  <c r="M1107" i="7"/>
  <c r="F1107" i="7"/>
  <c r="E1107" i="7"/>
  <c r="D1107" i="7" s="1"/>
  <c r="AT1106" i="7"/>
  <c r="AS1106" i="7"/>
  <c r="AQ1106" i="7" s="1"/>
  <c r="AL1106" i="7"/>
  <c r="AK1106" i="7"/>
  <c r="AJ1106" i="7" s="1"/>
  <c r="AD1106" i="7"/>
  <c r="AC1106" i="7"/>
  <c r="AA1106" i="7" s="1"/>
  <c r="V1106" i="7"/>
  <c r="U1106" i="7"/>
  <c r="N1106" i="7"/>
  <c r="M1106" i="7"/>
  <c r="L1106" i="7" s="1"/>
  <c r="F1106" i="7"/>
  <c r="E1106" i="7"/>
  <c r="D1106" i="7" s="1"/>
  <c r="AT1105" i="7"/>
  <c r="AS1105" i="7"/>
  <c r="AQ1105" i="7" s="1"/>
  <c r="AL1105" i="7"/>
  <c r="AK1105" i="7"/>
  <c r="AJ1105" i="7" s="1"/>
  <c r="AD1105" i="7"/>
  <c r="AC1105" i="7"/>
  <c r="AA1105" i="7" s="1"/>
  <c r="V1105" i="7"/>
  <c r="U1105" i="7"/>
  <c r="N1105" i="7"/>
  <c r="M1105" i="7"/>
  <c r="K1105" i="7" s="1"/>
  <c r="F1105" i="7"/>
  <c r="E1105" i="7"/>
  <c r="D1105" i="7" s="1"/>
  <c r="AT1104" i="7"/>
  <c r="AS1104" i="7"/>
  <c r="AL1104" i="7"/>
  <c r="AK1104" i="7"/>
  <c r="AJ1104" i="7" s="1"/>
  <c r="AD1104" i="7"/>
  <c r="AC1104" i="7"/>
  <c r="V1104" i="7"/>
  <c r="U1104" i="7"/>
  <c r="S1104" i="7" s="1"/>
  <c r="N1104" i="7"/>
  <c r="M1104" i="7"/>
  <c r="F1104" i="7"/>
  <c r="E1104" i="7"/>
  <c r="D1104" i="7" s="1"/>
  <c r="AT1103" i="7"/>
  <c r="AS1103" i="7"/>
  <c r="AQ1103" i="7" s="1"/>
  <c r="AL1103" i="7"/>
  <c r="AK1103" i="7"/>
  <c r="AJ1103" i="7" s="1"/>
  <c r="AD1103" i="7"/>
  <c r="AC1103" i="7"/>
  <c r="V1103" i="7"/>
  <c r="U1103" i="7"/>
  <c r="T1103" i="7" s="1"/>
  <c r="N1103" i="7"/>
  <c r="M1103" i="7"/>
  <c r="F1103" i="7"/>
  <c r="E1103" i="7"/>
  <c r="D1103" i="7" s="1"/>
  <c r="AT1102" i="7"/>
  <c r="AS1102" i="7"/>
  <c r="AL1102" i="7"/>
  <c r="AK1102" i="7"/>
  <c r="AJ1102" i="7" s="1"/>
  <c r="AD1102" i="7"/>
  <c r="AC1102" i="7"/>
  <c r="AA1102" i="7" s="1"/>
  <c r="V1102" i="7"/>
  <c r="U1102" i="7"/>
  <c r="N1102" i="7"/>
  <c r="M1102" i="7"/>
  <c r="F1102" i="7"/>
  <c r="E1102" i="7"/>
  <c r="D1102" i="7" s="1"/>
  <c r="AT1101" i="7"/>
  <c r="AS1101" i="7"/>
  <c r="AQ1101" i="7" s="1"/>
  <c r="AL1101" i="7"/>
  <c r="AK1101" i="7"/>
  <c r="AJ1101" i="7" s="1"/>
  <c r="AD1101" i="7"/>
  <c r="AC1101" i="7"/>
  <c r="AA1101" i="7" s="1"/>
  <c r="V1101" i="7"/>
  <c r="U1101" i="7"/>
  <c r="S1101" i="7" s="1"/>
  <c r="N1101" i="7"/>
  <c r="M1101" i="7"/>
  <c r="L1101" i="7" s="1"/>
  <c r="K1101" i="7"/>
  <c r="F1101" i="7"/>
  <c r="E1101" i="7"/>
  <c r="D1101" i="7" s="1"/>
  <c r="AT1100" i="7"/>
  <c r="AS1100" i="7"/>
  <c r="AQ1100" i="7" s="1"/>
  <c r="AL1100" i="7"/>
  <c r="AK1100" i="7"/>
  <c r="AJ1100" i="7" s="1"/>
  <c r="AD1100" i="7"/>
  <c r="AC1100" i="7"/>
  <c r="AA1100" i="7" s="1"/>
  <c r="V1100" i="7"/>
  <c r="U1100" i="7"/>
  <c r="N1100" i="7"/>
  <c r="M1100" i="7"/>
  <c r="F1100" i="7"/>
  <c r="E1100" i="7"/>
  <c r="D1100" i="7" s="1"/>
  <c r="AT1099" i="7"/>
  <c r="AS1099" i="7"/>
  <c r="AQ1099" i="7" s="1"/>
  <c r="AL1099" i="7"/>
  <c r="AK1099" i="7"/>
  <c r="AJ1099" i="7" s="1"/>
  <c r="AD1099" i="7"/>
  <c r="AC1099" i="7"/>
  <c r="AA1099" i="7" s="1"/>
  <c r="V1099" i="7"/>
  <c r="U1099" i="7"/>
  <c r="N1099" i="7"/>
  <c r="M1099" i="7"/>
  <c r="K1099" i="7" s="1"/>
  <c r="F1099" i="7"/>
  <c r="E1099" i="7"/>
  <c r="D1099" i="7" s="1"/>
  <c r="AT1098" i="7"/>
  <c r="AS1098" i="7"/>
  <c r="AL1098" i="7"/>
  <c r="AK1098" i="7"/>
  <c r="AJ1098" i="7" s="1"/>
  <c r="AD1098" i="7"/>
  <c r="AC1098" i="7"/>
  <c r="V1098" i="7"/>
  <c r="U1098" i="7"/>
  <c r="S1098" i="7" s="1"/>
  <c r="N1098" i="7"/>
  <c r="M1098" i="7"/>
  <c r="F1098" i="7"/>
  <c r="E1098" i="7"/>
  <c r="D1098" i="7" s="1"/>
  <c r="AT1097" i="7"/>
  <c r="AS1097" i="7"/>
  <c r="AQ1097" i="7" s="1"/>
  <c r="AL1097" i="7"/>
  <c r="AK1097" i="7"/>
  <c r="AJ1097" i="7" s="1"/>
  <c r="AD1097" i="7"/>
  <c r="AC1097" i="7"/>
  <c r="V1097" i="7"/>
  <c r="U1097" i="7"/>
  <c r="N1097" i="7"/>
  <c r="M1097" i="7"/>
  <c r="L1097" i="7" s="1"/>
  <c r="F1097" i="7"/>
  <c r="E1097" i="7"/>
  <c r="D1097" i="7" s="1"/>
  <c r="AT1096" i="7"/>
  <c r="AS1096" i="7"/>
  <c r="AQ1096" i="7" s="1"/>
  <c r="AL1096" i="7"/>
  <c r="AK1096" i="7"/>
  <c r="AJ1096" i="7" s="1"/>
  <c r="AD1096" i="7"/>
  <c r="AC1096" i="7"/>
  <c r="V1096" i="7"/>
  <c r="U1096" i="7"/>
  <c r="T1096" i="7" s="1"/>
  <c r="N1096" i="7"/>
  <c r="M1096" i="7"/>
  <c r="K1096" i="7" s="1"/>
  <c r="F1096" i="7"/>
  <c r="E1096" i="7"/>
  <c r="D1096" i="7" s="1"/>
  <c r="AT1095" i="7"/>
  <c r="AS1095" i="7"/>
  <c r="AQ1095" i="7" s="1"/>
  <c r="AL1095" i="7"/>
  <c r="AK1095" i="7"/>
  <c r="AJ1095" i="7" s="1"/>
  <c r="AD1095" i="7"/>
  <c r="AC1095" i="7"/>
  <c r="AA1095" i="7" s="1"/>
  <c r="V1095" i="7"/>
  <c r="U1095" i="7"/>
  <c r="S1095" i="7" s="1"/>
  <c r="N1095" i="7"/>
  <c r="M1095" i="7"/>
  <c r="L1095" i="7" s="1"/>
  <c r="F1095" i="7"/>
  <c r="E1095" i="7"/>
  <c r="D1095" i="7" s="1"/>
  <c r="AT1094" i="7"/>
  <c r="AS1094" i="7"/>
  <c r="AQ1094" i="7" s="1"/>
  <c r="AL1094" i="7"/>
  <c r="AK1094" i="7"/>
  <c r="AJ1094" i="7" s="1"/>
  <c r="AD1094" i="7"/>
  <c r="AC1094" i="7"/>
  <c r="AA1094" i="7" s="1"/>
  <c r="V1094" i="7"/>
  <c r="U1094" i="7"/>
  <c r="N1094" i="7"/>
  <c r="M1094" i="7"/>
  <c r="F1094" i="7"/>
  <c r="E1094" i="7"/>
  <c r="D1094" i="7" s="1"/>
  <c r="AT1093" i="7"/>
  <c r="AS1093" i="7"/>
  <c r="AQ1093" i="7" s="1"/>
  <c r="AL1093" i="7"/>
  <c r="AK1093" i="7"/>
  <c r="AJ1093" i="7" s="1"/>
  <c r="AD1093" i="7"/>
  <c r="AC1093" i="7"/>
  <c r="V1093" i="7"/>
  <c r="U1093" i="7"/>
  <c r="T1093" i="7" s="1"/>
  <c r="N1093" i="7"/>
  <c r="M1093" i="7"/>
  <c r="K1093" i="7" s="1"/>
  <c r="F1093" i="7"/>
  <c r="E1093" i="7"/>
  <c r="D1093" i="7" s="1"/>
  <c r="AT1092" i="7"/>
  <c r="AS1092" i="7"/>
  <c r="AL1092" i="7"/>
  <c r="AK1092" i="7"/>
  <c r="AD1092" i="7"/>
  <c r="AC1092" i="7"/>
  <c r="V1092" i="7"/>
  <c r="U1092" i="7"/>
  <c r="S1092" i="7" s="1"/>
  <c r="N1092" i="7"/>
  <c r="M1092" i="7"/>
  <c r="F1092" i="7"/>
  <c r="E1092" i="7"/>
  <c r="D1092" i="7" s="1"/>
  <c r="AT1091" i="7"/>
  <c r="AS1091" i="7"/>
  <c r="AQ1091" i="7" s="1"/>
  <c r="AL1091" i="7"/>
  <c r="AK1091" i="7"/>
  <c r="AD1091" i="7"/>
  <c r="AC1091" i="7"/>
  <c r="V1091" i="7"/>
  <c r="U1091" i="7"/>
  <c r="T1091" i="7" s="1"/>
  <c r="N1091" i="7"/>
  <c r="M1091" i="7"/>
  <c r="L1091" i="7" s="1"/>
  <c r="F1091" i="7"/>
  <c r="E1091" i="7"/>
  <c r="D1091" i="7" s="1"/>
  <c r="AT1090" i="7"/>
  <c r="AS1090" i="7"/>
  <c r="AQ1090" i="7" s="1"/>
  <c r="AL1090" i="7"/>
  <c r="AK1090" i="7"/>
  <c r="AD1090" i="7"/>
  <c r="AC1090" i="7"/>
  <c r="AA1090" i="7" s="1"/>
  <c r="V1090" i="7"/>
  <c r="U1090" i="7"/>
  <c r="S1090" i="7" s="1"/>
  <c r="N1090" i="7"/>
  <c r="M1090" i="7"/>
  <c r="K1090" i="7" s="1"/>
  <c r="F1090" i="7"/>
  <c r="E1090" i="7"/>
  <c r="D1090" i="7" s="1"/>
  <c r="AT1089" i="7"/>
  <c r="AS1089" i="7"/>
  <c r="AQ1089" i="7" s="1"/>
  <c r="AL1089" i="7"/>
  <c r="AK1089" i="7"/>
  <c r="AD1089" i="7"/>
  <c r="AC1089" i="7"/>
  <c r="V1089" i="7"/>
  <c r="U1089" i="7"/>
  <c r="S1089" i="7" s="1"/>
  <c r="N1089" i="7"/>
  <c r="M1089" i="7"/>
  <c r="L1089" i="7" s="1"/>
  <c r="F1089" i="7"/>
  <c r="E1089" i="7"/>
  <c r="D1089" i="7" s="1"/>
  <c r="AT1088" i="7"/>
  <c r="AS1088" i="7"/>
  <c r="AQ1088" i="7" s="1"/>
  <c r="AL1088" i="7"/>
  <c r="AK1088" i="7"/>
  <c r="AD1088" i="7"/>
  <c r="AC1088" i="7"/>
  <c r="AA1088" i="7" s="1"/>
  <c r="V1088" i="7"/>
  <c r="U1088" i="7"/>
  <c r="N1088" i="7"/>
  <c r="M1088" i="7"/>
  <c r="L1088" i="7" s="1"/>
  <c r="F1088" i="7"/>
  <c r="E1088" i="7"/>
  <c r="D1088" i="7" s="1"/>
  <c r="AT1087" i="7"/>
  <c r="AS1087" i="7"/>
  <c r="AQ1087" i="7" s="1"/>
  <c r="AL1087" i="7"/>
  <c r="AK1087" i="7"/>
  <c r="AD1087" i="7"/>
  <c r="AC1087" i="7"/>
  <c r="AA1087" i="7" s="1"/>
  <c r="V1087" i="7"/>
  <c r="U1087" i="7"/>
  <c r="T1087" i="7" s="1"/>
  <c r="N1087" i="7"/>
  <c r="M1087" i="7"/>
  <c r="K1087" i="7" s="1"/>
  <c r="F1087" i="7"/>
  <c r="E1087" i="7"/>
  <c r="D1087" i="7" s="1"/>
  <c r="AT1086" i="7"/>
  <c r="AS1086" i="7"/>
  <c r="AL1086" i="7"/>
  <c r="AK1086" i="7"/>
  <c r="AD1086" i="7"/>
  <c r="AC1086" i="7"/>
  <c r="V1086" i="7"/>
  <c r="U1086" i="7"/>
  <c r="N1086" i="7"/>
  <c r="M1086" i="7"/>
  <c r="F1086" i="7"/>
  <c r="E1086" i="7"/>
  <c r="D1086" i="7" s="1"/>
  <c r="AT1085" i="7"/>
  <c r="AS1085" i="7"/>
  <c r="AQ1085" i="7" s="1"/>
  <c r="AL1085" i="7"/>
  <c r="AK1085" i="7"/>
  <c r="AD1085" i="7"/>
  <c r="AC1085" i="7"/>
  <c r="V1085" i="7"/>
  <c r="U1085" i="7"/>
  <c r="N1085" i="7"/>
  <c r="M1085" i="7"/>
  <c r="K1085" i="7" s="1"/>
  <c r="L1085" i="7"/>
  <c r="F1085" i="7"/>
  <c r="E1085" i="7"/>
  <c r="D1085" i="7" s="1"/>
  <c r="AT1084" i="7"/>
  <c r="AS1084" i="7"/>
  <c r="AQ1084" i="7" s="1"/>
  <c r="AL1084" i="7"/>
  <c r="AK1084" i="7"/>
  <c r="AD1084" i="7"/>
  <c r="AC1084" i="7"/>
  <c r="AA1084" i="7" s="1"/>
  <c r="V1084" i="7"/>
  <c r="U1084" i="7"/>
  <c r="S1084" i="7" s="1"/>
  <c r="N1084" i="7"/>
  <c r="M1084" i="7"/>
  <c r="F1084" i="7"/>
  <c r="E1084" i="7"/>
  <c r="D1084" i="7" s="1"/>
  <c r="AT1083" i="7"/>
  <c r="AS1083" i="7"/>
  <c r="AL1083" i="7"/>
  <c r="AK1083" i="7"/>
  <c r="AD1083" i="7"/>
  <c r="AC1083" i="7"/>
  <c r="V1083" i="7"/>
  <c r="U1083" i="7"/>
  <c r="S1083" i="7" s="1"/>
  <c r="N1083" i="7"/>
  <c r="M1083" i="7"/>
  <c r="F1083" i="7"/>
  <c r="E1083" i="7"/>
  <c r="D1083" i="7" s="1"/>
  <c r="AT1082" i="7"/>
  <c r="AS1082" i="7"/>
  <c r="AQ1082" i="7" s="1"/>
  <c r="AL1082" i="7"/>
  <c r="AK1082" i="7"/>
  <c r="AJ1082" i="7" s="1"/>
  <c r="AD1082" i="7"/>
  <c r="AC1082" i="7"/>
  <c r="V1082" i="7"/>
  <c r="U1082" i="7"/>
  <c r="N1082" i="7"/>
  <c r="M1082" i="7"/>
  <c r="F1082" i="7"/>
  <c r="E1082" i="7"/>
  <c r="AT1081" i="7"/>
  <c r="AS1081" i="7"/>
  <c r="AQ1081" i="7" s="1"/>
  <c r="AL1081" i="7"/>
  <c r="AK1081" i="7"/>
  <c r="AJ1081" i="7" s="1"/>
  <c r="AD1081" i="7"/>
  <c r="AC1081" i="7"/>
  <c r="AA1081" i="7" s="1"/>
  <c r="V1081" i="7"/>
  <c r="U1081" i="7"/>
  <c r="N1081" i="7"/>
  <c r="M1081" i="7"/>
  <c r="L1081" i="7" s="1"/>
  <c r="F1081" i="7"/>
  <c r="E1081" i="7"/>
  <c r="AT1080" i="7"/>
  <c r="AS1080" i="7"/>
  <c r="AQ1080" i="7" s="1"/>
  <c r="AL1080" i="7"/>
  <c r="AK1080" i="7"/>
  <c r="AJ1080" i="7" s="1"/>
  <c r="AD1080" i="7"/>
  <c r="AC1080" i="7"/>
  <c r="V1080" i="7"/>
  <c r="U1080" i="7"/>
  <c r="N1080" i="7"/>
  <c r="M1080" i="7"/>
  <c r="K1080" i="7" s="1"/>
  <c r="F1080" i="7"/>
  <c r="E1080" i="7"/>
  <c r="AT1079" i="7"/>
  <c r="AS1079" i="7"/>
  <c r="AL1079" i="7"/>
  <c r="AK1079" i="7"/>
  <c r="AD1079" i="7"/>
  <c r="AC1079" i="7"/>
  <c r="V1079" i="7"/>
  <c r="U1079" i="7"/>
  <c r="T1079" i="7" s="1"/>
  <c r="S1079" i="7"/>
  <c r="N1079" i="7"/>
  <c r="M1079" i="7"/>
  <c r="K1079" i="7" s="1"/>
  <c r="F1079" i="7"/>
  <c r="E1079" i="7"/>
  <c r="AT1078" i="7"/>
  <c r="AS1078" i="7"/>
  <c r="AL1078" i="7"/>
  <c r="AK1078" i="7"/>
  <c r="AJ1078" i="7" s="1"/>
  <c r="AD1078" i="7"/>
  <c r="AC1078" i="7"/>
  <c r="AA1078" i="7" s="1"/>
  <c r="V1078" i="7"/>
  <c r="U1078" i="7"/>
  <c r="S1078" i="7" s="1"/>
  <c r="N1078" i="7"/>
  <c r="M1078" i="7"/>
  <c r="F1078" i="7"/>
  <c r="E1078" i="7"/>
  <c r="AT1077" i="7"/>
  <c r="AS1077" i="7"/>
  <c r="AL1077" i="7"/>
  <c r="AK1077" i="7"/>
  <c r="AJ1077" i="7" s="1"/>
  <c r="AD1077" i="7"/>
  <c r="AC1077" i="7"/>
  <c r="AA1077" i="7" s="1"/>
  <c r="V1077" i="7"/>
  <c r="U1077" i="7"/>
  <c r="N1077" i="7"/>
  <c r="M1077" i="7"/>
  <c r="L1077" i="7" s="1"/>
  <c r="F1077" i="7"/>
  <c r="E1077" i="7"/>
  <c r="AT1076" i="7"/>
  <c r="AS1076" i="7"/>
  <c r="AQ1076" i="7" s="1"/>
  <c r="AL1076" i="7"/>
  <c r="AK1076" i="7"/>
  <c r="AJ1076" i="7" s="1"/>
  <c r="AD1076" i="7"/>
  <c r="AC1076" i="7"/>
  <c r="V1076" i="7"/>
  <c r="U1076" i="7"/>
  <c r="N1076" i="7"/>
  <c r="M1076" i="7"/>
  <c r="K1076" i="7" s="1"/>
  <c r="F1076" i="7"/>
  <c r="E1076" i="7"/>
  <c r="AT1075" i="7"/>
  <c r="AS1075" i="7"/>
  <c r="AL1075" i="7"/>
  <c r="AK1075" i="7"/>
  <c r="AJ1075" i="7" s="1"/>
  <c r="AD1075" i="7"/>
  <c r="AC1075" i="7"/>
  <c r="AA1075" i="7" s="1"/>
  <c r="V1075" i="7"/>
  <c r="U1075" i="7"/>
  <c r="T1075" i="7" s="1"/>
  <c r="N1075" i="7"/>
  <c r="M1075" i="7"/>
  <c r="K1075" i="7" s="1"/>
  <c r="F1075" i="7"/>
  <c r="E1075" i="7"/>
  <c r="AT1074" i="7"/>
  <c r="AS1074" i="7"/>
  <c r="AL1074" i="7"/>
  <c r="AK1074" i="7"/>
  <c r="AJ1074" i="7" s="1"/>
  <c r="AD1074" i="7"/>
  <c r="AC1074" i="7"/>
  <c r="AA1074" i="7" s="1"/>
  <c r="V1074" i="7"/>
  <c r="U1074" i="7"/>
  <c r="T1074" i="7" s="1"/>
  <c r="N1074" i="7"/>
  <c r="M1074" i="7"/>
  <c r="K1074" i="7" s="1"/>
  <c r="F1074" i="7"/>
  <c r="E1074" i="7"/>
  <c r="AT1073" i="7"/>
  <c r="AS1073" i="7"/>
  <c r="AL1073" i="7"/>
  <c r="AK1073" i="7"/>
  <c r="AD1073" i="7"/>
  <c r="AC1073" i="7"/>
  <c r="V1073" i="7"/>
  <c r="U1073" i="7"/>
  <c r="T1073" i="7" s="1"/>
  <c r="N1073" i="7"/>
  <c r="M1073" i="7"/>
  <c r="K1073" i="7" s="1"/>
  <c r="F1073" i="7"/>
  <c r="E1073" i="7"/>
  <c r="AT1072" i="7"/>
  <c r="AS1072" i="7"/>
  <c r="AL1072" i="7"/>
  <c r="AK1072" i="7"/>
  <c r="AJ1072" i="7" s="1"/>
  <c r="AD1072" i="7"/>
  <c r="AC1072" i="7"/>
  <c r="V1072" i="7"/>
  <c r="U1072" i="7"/>
  <c r="S1072" i="7" s="1"/>
  <c r="N1072" i="7"/>
  <c r="M1072" i="7"/>
  <c r="F1072" i="7"/>
  <c r="E1072" i="7"/>
  <c r="AT1071" i="7"/>
  <c r="AS1071" i="7"/>
  <c r="AQ1071" i="7" s="1"/>
  <c r="AL1071" i="7"/>
  <c r="AK1071" i="7"/>
  <c r="AD1071" i="7"/>
  <c r="AC1071" i="7"/>
  <c r="AA1071" i="7" s="1"/>
  <c r="V1071" i="7"/>
  <c r="U1071" i="7"/>
  <c r="N1071" i="7"/>
  <c r="M1071" i="7"/>
  <c r="L1071" i="7" s="1"/>
  <c r="F1071" i="7"/>
  <c r="E1071" i="7"/>
  <c r="AT1070" i="7"/>
  <c r="AS1070" i="7"/>
  <c r="AQ1070" i="7" s="1"/>
  <c r="AL1070" i="7"/>
  <c r="AK1070" i="7"/>
  <c r="AJ1070" i="7" s="1"/>
  <c r="AD1070" i="7"/>
  <c r="AC1070" i="7"/>
  <c r="V1070" i="7"/>
  <c r="U1070" i="7"/>
  <c r="N1070" i="7"/>
  <c r="M1070" i="7"/>
  <c r="L1070" i="7" s="1"/>
  <c r="F1070" i="7"/>
  <c r="E1070" i="7"/>
  <c r="AT1069" i="7"/>
  <c r="AS1069" i="7"/>
  <c r="AL1069" i="7"/>
  <c r="AK1069" i="7"/>
  <c r="AJ1069" i="7" s="1"/>
  <c r="AD1069" i="7"/>
  <c r="AC1069" i="7"/>
  <c r="V1069" i="7"/>
  <c r="U1069" i="7"/>
  <c r="T1069" i="7" s="1"/>
  <c r="N1069" i="7"/>
  <c r="M1069" i="7"/>
  <c r="F1069" i="7"/>
  <c r="E1069" i="7"/>
  <c r="AT1068" i="7"/>
  <c r="AS1068" i="7"/>
  <c r="AQ1068" i="7" s="1"/>
  <c r="AR1068" i="7"/>
  <c r="AL1068" i="7"/>
  <c r="AK1068" i="7"/>
  <c r="AJ1068" i="7" s="1"/>
  <c r="AD1068" i="7"/>
  <c r="AC1068" i="7"/>
  <c r="AA1068" i="7" s="1"/>
  <c r="V1068" i="7"/>
  <c r="U1068" i="7"/>
  <c r="T1068" i="7" s="1"/>
  <c r="N1068" i="7"/>
  <c r="M1068" i="7"/>
  <c r="F1068" i="7"/>
  <c r="E1068" i="7"/>
  <c r="AT1067" i="7"/>
  <c r="AS1067" i="7"/>
  <c r="AL1067" i="7"/>
  <c r="AK1067" i="7"/>
  <c r="AD1067" i="7"/>
  <c r="AC1067" i="7"/>
  <c r="V1067" i="7"/>
  <c r="U1067" i="7"/>
  <c r="T1067" i="7" s="1"/>
  <c r="N1067" i="7"/>
  <c r="M1067" i="7"/>
  <c r="K1067" i="7" s="1"/>
  <c r="F1067" i="7"/>
  <c r="E1067" i="7"/>
  <c r="AT1066" i="7"/>
  <c r="AS1066" i="7"/>
  <c r="AL1066" i="7"/>
  <c r="AK1066" i="7"/>
  <c r="AJ1066" i="7" s="1"/>
  <c r="AD1066" i="7"/>
  <c r="AC1066" i="7"/>
  <c r="AA1066" i="7" s="1"/>
  <c r="V1066" i="7"/>
  <c r="U1066" i="7"/>
  <c r="T1066" i="7" s="1"/>
  <c r="N1066" i="7"/>
  <c r="M1066" i="7"/>
  <c r="F1066" i="7"/>
  <c r="E1066" i="7"/>
  <c r="AT1065" i="7"/>
  <c r="AS1065" i="7"/>
  <c r="AQ1065" i="7" s="1"/>
  <c r="AL1065" i="7"/>
  <c r="AK1065" i="7"/>
  <c r="AD1065" i="7"/>
  <c r="AC1065" i="7"/>
  <c r="AA1065" i="7" s="1"/>
  <c r="V1065" i="7"/>
  <c r="U1065" i="7"/>
  <c r="S1065" i="7" s="1"/>
  <c r="N1065" i="7"/>
  <c r="M1065" i="7"/>
  <c r="L1065" i="7" s="1"/>
  <c r="F1065" i="7"/>
  <c r="E1065" i="7"/>
  <c r="AT1064" i="7"/>
  <c r="AS1064" i="7"/>
  <c r="AQ1064" i="7" s="1"/>
  <c r="AL1064" i="7"/>
  <c r="AK1064" i="7"/>
  <c r="AJ1064" i="7" s="1"/>
  <c r="AD1064" i="7"/>
  <c r="AC1064" i="7"/>
  <c r="V1064" i="7"/>
  <c r="U1064" i="7"/>
  <c r="N1064" i="7"/>
  <c r="M1064" i="7"/>
  <c r="K1064" i="7" s="1"/>
  <c r="F1064" i="7"/>
  <c r="E1064" i="7"/>
  <c r="AT1063" i="7"/>
  <c r="AS1063" i="7"/>
  <c r="AQ1063" i="7" s="1"/>
  <c r="AL1063" i="7"/>
  <c r="AK1063" i="7"/>
  <c r="AJ1063" i="7" s="1"/>
  <c r="AD1063" i="7"/>
  <c r="AC1063" i="7"/>
  <c r="V1063" i="7"/>
  <c r="U1063" i="7"/>
  <c r="T1063" i="7" s="1"/>
  <c r="N1063" i="7"/>
  <c r="M1063" i="7"/>
  <c r="K1063" i="7" s="1"/>
  <c r="F1063" i="7"/>
  <c r="E1063" i="7"/>
  <c r="AT1062" i="7"/>
  <c r="AS1062" i="7"/>
  <c r="AQ1062" i="7" s="1"/>
  <c r="AL1062" i="7"/>
  <c r="AK1062" i="7"/>
  <c r="AJ1062" i="7" s="1"/>
  <c r="AD1062" i="7"/>
  <c r="AC1062" i="7"/>
  <c r="AA1062" i="7" s="1"/>
  <c r="V1062" i="7"/>
  <c r="U1062" i="7"/>
  <c r="T1062" i="7" s="1"/>
  <c r="N1062" i="7"/>
  <c r="M1062" i="7"/>
  <c r="K1062" i="7" s="1"/>
  <c r="F1062" i="7"/>
  <c r="E1062" i="7"/>
  <c r="AT1061" i="7"/>
  <c r="AS1061" i="7"/>
  <c r="AL1061" i="7"/>
  <c r="AK1061" i="7"/>
  <c r="AD1061" i="7"/>
  <c r="AC1061" i="7"/>
  <c r="V1061" i="7"/>
  <c r="U1061" i="7"/>
  <c r="S1061" i="7" s="1"/>
  <c r="N1061" i="7"/>
  <c r="M1061" i="7"/>
  <c r="K1061" i="7" s="1"/>
  <c r="F1061" i="7"/>
  <c r="E1061" i="7"/>
  <c r="AT1060" i="7"/>
  <c r="AS1060" i="7"/>
  <c r="AL1060" i="7"/>
  <c r="AK1060" i="7"/>
  <c r="AJ1060" i="7" s="1"/>
  <c r="AD1060" i="7"/>
  <c r="AC1060" i="7"/>
  <c r="V1060" i="7"/>
  <c r="U1060" i="7"/>
  <c r="S1060" i="7" s="1"/>
  <c r="N1060" i="7"/>
  <c r="M1060" i="7"/>
  <c r="F1060" i="7"/>
  <c r="E1060" i="7"/>
  <c r="AT1059" i="7"/>
  <c r="AS1059" i="7"/>
  <c r="AQ1059" i="7" s="1"/>
  <c r="AL1059" i="7"/>
  <c r="AK1059" i="7"/>
  <c r="AJ1059" i="7" s="1"/>
  <c r="AD1059" i="7"/>
  <c r="AC1059" i="7"/>
  <c r="AA1059" i="7" s="1"/>
  <c r="V1059" i="7"/>
  <c r="U1059" i="7"/>
  <c r="N1059" i="7"/>
  <c r="M1059" i="7"/>
  <c r="F1059" i="7"/>
  <c r="E1059" i="7"/>
  <c r="AT1058" i="7"/>
  <c r="AS1058" i="7"/>
  <c r="AL1058" i="7"/>
  <c r="AK1058" i="7"/>
  <c r="AJ1058" i="7" s="1"/>
  <c r="AD1058" i="7"/>
  <c r="AC1058" i="7"/>
  <c r="V1058" i="7"/>
  <c r="U1058" i="7"/>
  <c r="N1058" i="7"/>
  <c r="M1058" i="7"/>
  <c r="L1058" i="7" s="1"/>
  <c r="F1058" i="7"/>
  <c r="E1058" i="7"/>
  <c r="AT1057" i="7"/>
  <c r="AS1057" i="7"/>
  <c r="AQ1057" i="7" s="1"/>
  <c r="AL1057" i="7"/>
  <c r="AK1057" i="7"/>
  <c r="AD1057" i="7"/>
  <c r="AC1057" i="7"/>
  <c r="V1057" i="7"/>
  <c r="U1057" i="7"/>
  <c r="N1057" i="7"/>
  <c r="M1057" i="7"/>
  <c r="L1057" i="7" s="1"/>
  <c r="F1057" i="7"/>
  <c r="E1057" i="7"/>
  <c r="AT1056" i="7"/>
  <c r="AS1056" i="7"/>
  <c r="AL1056" i="7"/>
  <c r="AK1056" i="7"/>
  <c r="AJ1056" i="7" s="1"/>
  <c r="AD1056" i="7"/>
  <c r="AC1056" i="7"/>
  <c r="AA1056" i="7" s="1"/>
  <c r="V1056" i="7"/>
  <c r="U1056" i="7"/>
  <c r="T1056" i="7" s="1"/>
  <c r="N1056" i="7"/>
  <c r="M1056" i="7"/>
  <c r="F1056" i="7"/>
  <c r="E1056" i="7"/>
  <c r="AT1055" i="7"/>
  <c r="AS1055" i="7"/>
  <c r="AL1055" i="7"/>
  <c r="AK1055" i="7"/>
  <c r="AD1055" i="7"/>
  <c r="AC1055" i="7"/>
  <c r="V1055" i="7"/>
  <c r="U1055" i="7"/>
  <c r="N1055" i="7"/>
  <c r="M1055" i="7"/>
  <c r="L1055" i="7" s="1"/>
  <c r="F1055" i="7"/>
  <c r="E1055" i="7"/>
  <c r="AT1054" i="7"/>
  <c r="AS1054" i="7"/>
  <c r="AQ1054" i="7" s="1"/>
  <c r="AL1054" i="7"/>
  <c r="AK1054" i="7"/>
  <c r="AJ1054" i="7" s="1"/>
  <c r="AD1054" i="7"/>
  <c r="AC1054" i="7"/>
  <c r="AA1054" i="7" s="1"/>
  <c r="V1054" i="7"/>
  <c r="U1054" i="7"/>
  <c r="N1054" i="7"/>
  <c r="M1054" i="7"/>
  <c r="K1054" i="7" s="1"/>
  <c r="F1054" i="7"/>
  <c r="E1054" i="7"/>
  <c r="AT1053" i="7"/>
  <c r="AS1053" i="7"/>
  <c r="AL1053" i="7"/>
  <c r="AK1053" i="7"/>
  <c r="AD1053" i="7"/>
  <c r="AC1053" i="7"/>
  <c r="V1053" i="7"/>
  <c r="U1053" i="7"/>
  <c r="T1053" i="7" s="1"/>
  <c r="N1053" i="7"/>
  <c r="M1053" i="7"/>
  <c r="K1053" i="7" s="1"/>
  <c r="F1053" i="7"/>
  <c r="E1053" i="7"/>
  <c r="AT1052" i="7"/>
  <c r="AS1052" i="7"/>
  <c r="AQ1052" i="7" s="1"/>
  <c r="AL1052" i="7"/>
  <c r="AK1052" i="7"/>
  <c r="AJ1052" i="7" s="1"/>
  <c r="AD1052" i="7"/>
  <c r="AC1052" i="7"/>
  <c r="AA1052" i="7" s="1"/>
  <c r="AB1052" i="7"/>
  <c r="Z1052" i="7" s="1"/>
  <c r="V1052" i="7"/>
  <c r="U1052" i="7"/>
  <c r="T1052" i="7" s="1"/>
  <c r="N1052" i="7"/>
  <c r="M1052" i="7"/>
  <c r="K1052" i="7" s="1"/>
  <c r="F1052" i="7"/>
  <c r="E1052" i="7"/>
  <c r="AT1051" i="7"/>
  <c r="AS1051" i="7"/>
  <c r="AL1051" i="7"/>
  <c r="AK1051" i="7"/>
  <c r="AD1051" i="7"/>
  <c r="AC1051" i="7"/>
  <c r="V1051" i="7"/>
  <c r="U1051" i="7"/>
  <c r="N1051" i="7"/>
  <c r="M1051" i="7"/>
  <c r="L1051" i="7" s="1"/>
  <c r="F1051" i="7"/>
  <c r="E1051" i="7"/>
  <c r="AT1050" i="7"/>
  <c r="AS1050" i="7"/>
  <c r="AL1050" i="7"/>
  <c r="AK1050" i="7"/>
  <c r="AJ1050" i="7" s="1"/>
  <c r="AD1050" i="7"/>
  <c r="AC1050" i="7"/>
  <c r="AA1050" i="7" s="1"/>
  <c r="V1050" i="7"/>
  <c r="U1050" i="7"/>
  <c r="S1050" i="7" s="1"/>
  <c r="T1050" i="7"/>
  <c r="N1050" i="7"/>
  <c r="M1050" i="7"/>
  <c r="F1050" i="7"/>
  <c r="E1050" i="7"/>
  <c r="AT1049" i="7"/>
  <c r="AS1049" i="7"/>
  <c r="AL1049" i="7"/>
  <c r="AK1049" i="7"/>
  <c r="AJ1049" i="7" s="1"/>
  <c r="AD1049" i="7"/>
  <c r="AC1049" i="7"/>
  <c r="AA1049" i="7" s="1"/>
  <c r="V1049" i="7"/>
  <c r="U1049" i="7"/>
  <c r="S1049" i="7" s="1"/>
  <c r="N1049" i="7"/>
  <c r="M1049" i="7"/>
  <c r="F1049" i="7"/>
  <c r="E1049" i="7"/>
  <c r="AT1048" i="7"/>
  <c r="AS1048" i="7"/>
  <c r="AQ1048" i="7" s="1"/>
  <c r="AL1048" i="7"/>
  <c r="AK1048" i="7"/>
  <c r="AJ1048" i="7" s="1"/>
  <c r="AD1048" i="7"/>
  <c r="AC1048" i="7"/>
  <c r="V1048" i="7"/>
  <c r="U1048" i="7"/>
  <c r="T1048" i="7" s="1"/>
  <c r="N1048" i="7"/>
  <c r="M1048" i="7"/>
  <c r="L1048" i="7" s="1"/>
  <c r="F1048" i="7"/>
  <c r="E1048" i="7"/>
  <c r="AT1047" i="7"/>
  <c r="AS1047" i="7"/>
  <c r="AQ1047" i="7" s="1"/>
  <c r="AL1047" i="7"/>
  <c r="AK1047" i="7"/>
  <c r="AJ1047" i="7" s="1"/>
  <c r="AD1047" i="7"/>
  <c r="AC1047" i="7"/>
  <c r="V1047" i="7"/>
  <c r="U1047" i="7"/>
  <c r="S1047" i="7" s="1"/>
  <c r="T1047" i="7"/>
  <c r="N1047" i="7"/>
  <c r="M1047" i="7"/>
  <c r="K1047" i="7" s="1"/>
  <c r="F1047" i="7"/>
  <c r="E1047" i="7"/>
  <c r="AT1046" i="7"/>
  <c r="AS1046" i="7"/>
  <c r="AL1046" i="7"/>
  <c r="AK1046" i="7"/>
  <c r="AJ1046" i="7" s="1"/>
  <c r="AD1046" i="7"/>
  <c r="AC1046" i="7"/>
  <c r="AA1046" i="7" s="1"/>
  <c r="V1046" i="7"/>
  <c r="U1046" i="7"/>
  <c r="S1046" i="7" s="1"/>
  <c r="N1046" i="7"/>
  <c r="M1046" i="7"/>
  <c r="L1046" i="7" s="1"/>
  <c r="F1046" i="7"/>
  <c r="E1046" i="7"/>
  <c r="AT1045" i="7"/>
  <c r="AS1045" i="7"/>
  <c r="AL1045" i="7"/>
  <c r="AK1045" i="7"/>
  <c r="AJ1045" i="7" s="1"/>
  <c r="AD1045" i="7"/>
  <c r="AC1045" i="7"/>
  <c r="V1045" i="7"/>
  <c r="U1045" i="7"/>
  <c r="N1045" i="7"/>
  <c r="M1045" i="7"/>
  <c r="L1045" i="7" s="1"/>
  <c r="F1045" i="7"/>
  <c r="E1045" i="7"/>
  <c r="AT1044" i="7"/>
  <c r="AS1044" i="7"/>
  <c r="AQ1044" i="7" s="1"/>
  <c r="AL1044" i="7"/>
  <c r="AK1044" i="7"/>
  <c r="AJ1044" i="7" s="1"/>
  <c r="AD1044" i="7"/>
  <c r="AC1044" i="7"/>
  <c r="V1044" i="7"/>
  <c r="U1044" i="7"/>
  <c r="T1044" i="7" s="1"/>
  <c r="N1044" i="7"/>
  <c r="M1044" i="7"/>
  <c r="F1044" i="7"/>
  <c r="E1044" i="7"/>
  <c r="AT1043" i="7"/>
  <c r="AS1043" i="7"/>
  <c r="AL1043" i="7"/>
  <c r="AK1043" i="7"/>
  <c r="AJ1043" i="7" s="1"/>
  <c r="AD1043" i="7"/>
  <c r="AC1043" i="7"/>
  <c r="AA1043" i="7" s="1"/>
  <c r="V1043" i="7"/>
  <c r="U1043" i="7"/>
  <c r="S1043" i="7" s="1"/>
  <c r="N1043" i="7"/>
  <c r="M1043" i="7"/>
  <c r="F1043" i="7"/>
  <c r="E1043" i="7"/>
  <c r="AT1042" i="7"/>
  <c r="AS1042" i="7"/>
  <c r="AQ1042" i="7" s="1"/>
  <c r="AL1042" i="7"/>
  <c r="AK1042" i="7"/>
  <c r="AJ1042" i="7" s="1"/>
  <c r="AD1042" i="7"/>
  <c r="AC1042" i="7"/>
  <c r="V1042" i="7"/>
  <c r="U1042" i="7"/>
  <c r="N1042" i="7"/>
  <c r="M1042" i="7"/>
  <c r="L1042" i="7" s="1"/>
  <c r="F1042" i="7"/>
  <c r="E1042" i="7"/>
  <c r="AT1041" i="7"/>
  <c r="AS1041" i="7"/>
  <c r="AQ1041" i="7" s="1"/>
  <c r="AL1041" i="7"/>
  <c r="AK1041" i="7"/>
  <c r="AJ1041" i="7" s="1"/>
  <c r="AD1041" i="7"/>
  <c r="AC1041" i="7"/>
  <c r="AA1041" i="7" s="1"/>
  <c r="V1041" i="7"/>
  <c r="U1041" i="7"/>
  <c r="T1041" i="7" s="1"/>
  <c r="N1041" i="7"/>
  <c r="M1041" i="7"/>
  <c r="K1041" i="7" s="1"/>
  <c r="F1041" i="7"/>
  <c r="E1041" i="7"/>
  <c r="AT1040" i="7"/>
  <c r="AS1040" i="7"/>
  <c r="AL1040" i="7"/>
  <c r="AK1040" i="7"/>
  <c r="AJ1040" i="7" s="1"/>
  <c r="AD1040" i="7"/>
  <c r="AC1040" i="7"/>
  <c r="V1040" i="7"/>
  <c r="U1040" i="7"/>
  <c r="S1040" i="7" s="1"/>
  <c r="N1040" i="7"/>
  <c r="M1040" i="7"/>
  <c r="F1040" i="7"/>
  <c r="E1040" i="7"/>
  <c r="AT1039" i="7"/>
  <c r="AS1039" i="7"/>
  <c r="AQ1039" i="7" s="1"/>
  <c r="AL1039" i="7"/>
  <c r="AK1039" i="7"/>
  <c r="AJ1039" i="7" s="1"/>
  <c r="AD1039" i="7"/>
  <c r="AC1039" i="7"/>
  <c r="V1039" i="7"/>
  <c r="U1039" i="7"/>
  <c r="N1039" i="7"/>
  <c r="M1039" i="7"/>
  <c r="L1039" i="7" s="1"/>
  <c r="F1039" i="7"/>
  <c r="E1039" i="7"/>
  <c r="AT1038" i="7"/>
  <c r="AS1038" i="7"/>
  <c r="AQ1038" i="7" s="1"/>
  <c r="AL1038" i="7"/>
  <c r="AK1038" i="7"/>
  <c r="AJ1038" i="7" s="1"/>
  <c r="AD1038" i="7"/>
  <c r="AC1038" i="7"/>
  <c r="AA1038" i="7" s="1"/>
  <c r="V1038" i="7"/>
  <c r="U1038" i="7"/>
  <c r="T1038" i="7" s="1"/>
  <c r="N1038" i="7"/>
  <c r="M1038" i="7"/>
  <c r="F1038" i="7"/>
  <c r="E1038" i="7"/>
  <c r="AT1037" i="7"/>
  <c r="AS1037" i="7"/>
  <c r="AL1037" i="7"/>
  <c r="AK1037" i="7"/>
  <c r="AJ1037" i="7" s="1"/>
  <c r="AD1037" i="7"/>
  <c r="AC1037" i="7"/>
  <c r="AA1037" i="7" s="1"/>
  <c r="V1037" i="7"/>
  <c r="U1037" i="7"/>
  <c r="S1037" i="7" s="1"/>
  <c r="T1037" i="7"/>
  <c r="N1037" i="7"/>
  <c r="M1037" i="7"/>
  <c r="F1037" i="7"/>
  <c r="E1037" i="7"/>
  <c r="AT1036" i="7"/>
  <c r="AS1036" i="7"/>
  <c r="AQ1036" i="7" s="1"/>
  <c r="AL1036" i="7"/>
  <c r="AK1036" i="7"/>
  <c r="AJ1036" i="7" s="1"/>
  <c r="AD1036" i="7"/>
  <c r="AC1036" i="7"/>
  <c r="V1036" i="7"/>
  <c r="U1036" i="7"/>
  <c r="T1036" i="7" s="1"/>
  <c r="N1036" i="7"/>
  <c r="M1036" i="7"/>
  <c r="F1036" i="7"/>
  <c r="E1036" i="7"/>
  <c r="AT1035" i="7"/>
  <c r="AS1035" i="7"/>
  <c r="AL1035" i="7"/>
  <c r="AK1035" i="7"/>
  <c r="AJ1035" i="7" s="1"/>
  <c r="AD1035" i="7"/>
  <c r="AC1035" i="7"/>
  <c r="V1035" i="7"/>
  <c r="U1035" i="7"/>
  <c r="T1035" i="7" s="1"/>
  <c r="N1035" i="7"/>
  <c r="M1035" i="7"/>
  <c r="F1035" i="7"/>
  <c r="E1035" i="7"/>
  <c r="AT1034" i="7"/>
  <c r="AS1034" i="7"/>
  <c r="AL1034" i="7"/>
  <c r="AK1034" i="7"/>
  <c r="AJ1034" i="7" s="1"/>
  <c r="AD1034" i="7"/>
  <c r="AC1034" i="7"/>
  <c r="AA1034" i="7" s="1"/>
  <c r="V1034" i="7"/>
  <c r="U1034" i="7"/>
  <c r="N1034" i="7"/>
  <c r="M1034" i="7"/>
  <c r="L1034" i="7" s="1"/>
  <c r="F1034" i="7"/>
  <c r="E1034" i="7"/>
  <c r="AT1033" i="7"/>
  <c r="AS1033" i="7"/>
  <c r="AQ1033" i="7" s="1"/>
  <c r="AL1033" i="7"/>
  <c r="AK1033" i="7"/>
  <c r="AJ1033" i="7" s="1"/>
  <c r="AD1033" i="7"/>
  <c r="AC1033" i="7"/>
  <c r="V1033" i="7"/>
  <c r="U1033" i="7"/>
  <c r="N1033" i="7"/>
  <c r="M1033" i="7"/>
  <c r="F1033" i="7"/>
  <c r="E1033" i="7"/>
  <c r="AT1032" i="7"/>
  <c r="AS1032" i="7"/>
  <c r="AL1032" i="7"/>
  <c r="AK1032" i="7"/>
  <c r="AJ1032" i="7" s="1"/>
  <c r="AD1032" i="7"/>
  <c r="AC1032" i="7"/>
  <c r="AA1032" i="7" s="1"/>
  <c r="V1032" i="7"/>
  <c r="U1032" i="7"/>
  <c r="T1032" i="7" s="1"/>
  <c r="N1032" i="7"/>
  <c r="M1032" i="7"/>
  <c r="F1032" i="7"/>
  <c r="E1032" i="7"/>
  <c r="AT1031" i="7"/>
  <c r="AS1031" i="7"/>
  <c r="AL1031" i="7"/>
  <c r="AK1031" i="7"/>
  <c r="AJ1031" i="7" s="1"/>
  <c r="AD1031" i="7"/>
  <c r="AC1031" i="7"/>
  <c r="V1031" i="7"/>
  <c r="U1031" i="7"/>
  <c r="N1031" i="7"/>
  <c r="M1031" i="7"/>
  <c r="F1031" i="7"/>
  <c r="E1031" i="7"/>
  <c r="AT1030" i="7"/>
  <c r="AS1030" i="7"/>
  <c r="AQ1030" i="7" s="1"/>
  <c r="AL1030" i="7"/>
  <c r="AK1030" i="7"/>
  <c r="AJ1030" i="7" s="1"/>
  <c r="AD1030" i="7"/>
  <c r="AC1030" i="7"/>
  <c r="V1030" i="7"/>
  <c r="U1030" i="7"/>
  <c r="T1030" i="7" s="1"/>
  <c r="N1030" i="7"/>
  <c r="M1030" i="7"/>
  <c r="L1030" i="7" s="1"/>
  <c r="F1030" i="7"/>
  <c r="E1030" i="7"/>
  <c r="AT1029" i="7"/>
  <c r="AS1029" i="7"/>
  <c r="AQ1029" i="7" s="1"/>
  <c r="AL1029" i="7"/>
  <c r="AK1029" i="7"/>
  <c r="AJ1029" i="7" s="1"/>
  <c r="AD1029" i="7"/>
  <c r="AC1029" i="7"/>
  <c r="AA1029" i="7" s="1"/>
  <c r="V1029" i="7"/>
  <c r="U1029" i="7"/>
  <c r="N1029" i="7"/>
  <c r="M1029" i="7"/>
  <c r="L1029" i="7" s="1"/>
  <c r="F1029" i="7"/>
  <c r="E1029" i="7"/>
  <c r="AT1028" i="7"/>
  <c r="AS1028" i="7"/>
  <c r="AL1028" i="7"/>
  <c r="AK1028" i="7"/>
  <c r="AJ1028" i="7" s="1"/>
  <c r="AD1028" i="7"/>
  <c r="AC1028" i="7"/>
  <c r="AA1028" i="7" s="1"/>
  <c r="V1028" i="7"/>
  <c r="U1028" i="7"/>
  <c r="N1028" i="7"/>
  <c r="M1028" i="7"/>
  <c r="L1028" i="7" s="1"/>
  <c r="K1028" i="7"/>
  <c r="J1028" i="7" s="1"/>
  <c r="F1028" i="7"/>
  <c r="E1028" i="7"/>
  <c r="AT1027" i="7"/>
  <c r="AS1027" i="7"/>
  <c r="AQ1027" i="7" s="1"/>
  <c r="AL1027" i="7"/>
  <c r="AK1027" i="7"/>
  <c r="AJ1027" i="7" s="1"/>
  <c r="AD1027" i="7"/>
  <c r="AC1027" i="7"/>
  <c r="V1027" i="7"/>
  <c r="U1027" i="7"/>
  <c r="N1027" i="7"/>
  <c r="M1027" i="7"/>
  <c r="F1027" i="7"/>
  <c r="E1027" i="7"/>
  <c r="AT1026" i="7"/>
  <c r="AS1026" i="7"/>
  <c r="AQ1026" i="7" s="1"/>
  <c r="AL1026" i="7"/>
  <c r="AK1026" i="7"/>
  <c r="AJ1026" i="7" s="1"/>
  <c r="AD1026" i="7"/>
  <c r="AC1026" i="7"/>
  <c r="AA1026" i="7" s="1"/>
  <c r="V1026" i="7"/>
  <c r="U1026" i="7"/>
  <c r="T1026" i="7" s="1"/>
  <c r="N1026" i="7"/>
  <c r="M1026" i="7"/>
  <c r="K1026" i="7" s="1"/>
  <c r="F1026" i="7"/>
  <c r="E1026" i="7"/>
  <c r="AT1025" i="7"/>
  <c r="AS1025" i="7"/>
  <c r="AL1025" i="7"/>
  <c r="AK1025" i="7"/>
  <c r="AJ1025" i="7" s="1"/>
  <c r="AD1025" i="7"/>
  <c r="AC1025" i="7"/>
  <c r="AA1025" i="7" s="1"/>
  <c r="V1025" i="7"/>
  <c r="U1025" i="7"/>
  <c r="S1025" i="7" s="1"/>
  <c r="N1025" i="7"/>
  <c r="M1025" i="7"/>
  <c r="F1025" i="7"/>
  <c r="E1025" i="7"/>
  <c r="AT1024" i="7"/>
  <c r="AS1024" i="7"/>
  <c r="AL1024" i="7"/>
  <c r="AK1024" i="7"/>
  <c r="AJ1024" i="7" s="1"/>
  <c r="AD1024" i="7"/>
  <c r="AC1024" i="7"/>
  <c r="V1024" i="7"/>
  <c r="U1024" i="7"/>
  <c r="T1024" i="7" s="1"/>
  <c r="N1024" i="7"/>
  <c r="M1024" i="7"/>
  <c r="L1024" i="7" s="1"/>
  <c r="F1024" i="7"/>
  <c r="E1024" i="7"/>
  <c r="AT1023" i="7"/>
  <c r="AS1023" i="7"/>
  <c r="AQ1023" i="7" s="1"/>
  <c r="AL1023" i="7"/>
  <c r="AK1023" i="7"/>
  <c r="AJ1023" i="7" s="1"/>
  <c r="AD1023" i="7"/>
  <c r="AC1023" i="7"/>
  <c r="AA1023" i="7" s="1"/>
  <c r="V1023" i="7"/>
  <c r="U1023" i="7"/>
  <c r="N1023" i="7"/>
  <c r="M1023" i="7"/>
  <c r="K1023" i="7" s="1"/>
  <c r="F1023" i="7"/>
  <c r="E1023" i="7"/>
  <c r="AT1022" i="7"/>
  <c r="AS1022" i="7"/>
  <c r="AL1022" i="7"/>
  <c r="AK1022" i="7"/>
  <c r="AJ1022" i="7" s="1"/>
  <c r="AD1022" i="7"/>
  <c r="AC1022" i="7"/>
  <c r="AA1022" i="7" s="1"/>
  <c r="V1022" i="7"/>
  <c r="U1022" i="7"/>
  <c r="N1022" i="7"/>
  <c r="M1022" i="7"/>
  <c r="L1022" i="7" s="1"/>
  <c r="F1022" i="7"/>
  <c r="E1022" i="7"/>
  <c r="AT1021" i="7"/>
  <c r="AS1021" i="7"/>
  <c r="AQ1021" i="7" s="1"/>
  <c r="AL1021" i="7"/>
  <c r="AK1021" i="7"/>
  <c r="AJ1021" i="7" s="1"/>
  <c r="AD1021" i="7"/>
  <c r="AC1021" i="7"/>
  <c r="V1021" i="7"/>
  <c r="U1021" i="7"/>
  <c r="N1021" i="7"/>
  <c r="M1021" i="7"/>
  <c r="L1021" i="7" s="1"/>
  <c r="F1021" i="7"/>
  <c r="E1021" i="7"/>
  <c r="AT1020" i="7"/>
  <c r="AS1020" i="7"/>
  <c r="AL1020" i="7"/>
  <c r="AK1020" i="7"/>
  <c r="AJ1020" i="7" s="1"/>
  <c r="AD1020" i="7"/>
  <c r="AC1020" i="7"/>
  <c r="AA1020" i="7" s="1"/>
  <c r="V1020" i="7"/>
  <c r="U1020" i="7"/>
  <c r="T1020" i="7"/>
  <c r="S1020" i="7"/>
  <c r="N1020" i="7"/>
  <c r="M1020" i="7"/>
  <c r="F1020" i="7"/>
  <c r="E1020" i="7"/>
  <c r="AT1019" i="7"/>
  <c r="AS1019" i="7"/>
  <c r="AL1019" i="7"/>
  <c r="AK1019" i="7"/>
  <c r="AJ1019" i="7" s="1"/>
  <c r="AD1019" i="7"/>
  <c r="AC1019" i="7"/>
  <c r="AA1019" i="7" s="1"/>
  <c r="AB1019" i="7"/>
  <c r="Z1019" i="7" s="1"/>
  <c r="V1019" i="7"/>
  <c r="U1019" i="7"/>
  <c r="S1019" i="7" s="1"/>
  <c r="N1019" i="7"/>
  <c r="M1019" i="7"/>
  <c r="K1019" i="7" s="1"/>
  <c r="F1019" i="7"/>
  <c r="E1019" i="7"/>
  <c r="AT1018" i="7"/>
  <c r="AS1018" i="7"/>
  <c r="AL1018" i="7"/>
  <c r="AK1018" i="7"/>
  <c r="AJ1018" i="7" s="1"/>
  <c r="AD1018" i="7"/>
  <c r="AC1018" i="7"/>
  <c r="V1018" i="7"/>
  <c r="U1018" i="7"/>
  <c r="S1018" i="7" s="1"/>
  <c r="N1018" i="7"/>
  <c r="M1018" i="7"/>
  <c r="F1018" i="7"/>
  <c r="E1018" i="7"/>
  <c r="AT1017" i="7"/>
  <c r="AS1017" i="7"/>
  <c r="AQ1017" i="7" s="1"/>
  <c r="AR1017" i="7"/>
  <c r="AL1017" i="7"/>
  <c r="AK1017" i="7"/>
  <c r="AJ1017" i="7" s="1"/>
  <c r="AD1017" i="7"/>
  <c r="AC1017" i="7"/>
  <c r="V1017" i="7"/>
  <c r="U1017" i="7"/>
  <c r="T1017" i="7" s="1"/>
  <c r="N1017" i="7"/>
  <c r="M1017" i="7"/>
  <c r="L1017" i="7" s="1"/>
  <c r="F1017" i="7"/>
  <c r="E1017" i="7"/>
  <c r="AT1016" i="7"/>
  <c r="AS1016" i="7"/>
  <c r="AQ1016" i="7" s="1"/>
  <c r="AL1016" i="7"/>
  <c r="AK1016" i="7"/>
  <c r="AJ1016" i="7" s="1"/>
  <c r="AD1016" i="7"/>
  <c r="AC1016" i="7"/>
  <c r="V1016" i="7"/>
  <c r="U1016" i="7"/>
  <c r="T1016" i="7" s="1"/>
  <c r="N1016" i="7"/>
  <c r="M1016" i="7"/>
  <c r="K1016" i="7" s="1"/>
  <c r="F1016" i="7"/>
  <c r="E1016" i="7"/>
  <c r="AT1015" i="7"/>
  <c r="AS1015" i="7"/>
  <c r="AQ1015" i="7" s="1"/>
  <c r="AL1015" i="7"/>
  <c r="AK1015" i="7"/>
  <c r="AJ1015" i="7" s="1"/>
  <c r="AD1015" i="7"/>
  <c r="AC1015" i="7"/>
  <c r="AA1015" i="7" s="1"/>
  <c r="V1015" i="7"/>
  <c r="U1015" i="7"/>
  <c r="S1015" i="7" s="1"/>
  <c r="N1015" i="7"/>
  <c r="M1015" i="7"/>
  <c r="F1015" i="7"/>
  <c r="E1015" i="7"/>
  <c r="AT1014" i="7"/>
  <c r="AS1014" i="7"/>
  <c r="AQ1014" i="7" s="1"/>
  <c r="AL1014" i="7"/>
  <c r="AK1014" i="7"/>
  <c r="AJ1014" i="7" s="1"/>
  <c r="AD1014" i="7"/>
  <c r="AC1014" i="7"/>
  <c r="AA1014" i="7" s="1"/>
  <c r="V1014" i="7"/>
  <c r="U1014" i="7"/>
  <c r="N1014" i="7"/>
  <c r="M1014" i="7"/>
  <c r="L1014" i="7" s="1"/>
  <c r="F1014" i="7"/>
  <c r="E1014" i="7"/>
  <c r="AT1013" i="7"/>
  <c r="AS1013" i="7"/>
  <c r="AQ1013" i="7" s="1"/>
  <c r="AL1013" i="7"/>
  <c r="AK1013" i="7"/>
  <c r="AJ1013" i="7" s="1"/>
  <c r="AD1013" i="7"/>
  <c r="AC1013" i="7"/>
  <c r="AA1013" i="7" s="1"/>
  <c r="V1013" i="7"/>
  <c r="U1013" i="7"/>
  <c r="S1013" i="7" s="1"/>
  <c r="N1013" i="7"/>
  <c r="M1013" i="7"/>
  <c r="K1013" i="7" s="1"/>
  <c r="F1013" i="7"/>
  <c r="E1013" i="7"/>
  <c r="AT1012" i="7"/>
  <c r="AS1012" i="7"/>
  <c r="AL1012" i="7"/>
  <c r="AK1012" i="7"/>
  <c r="AJ1012" i="7" s="1"/>
  <c r="AD1012" i="7"/>
  <c r="AC1012" i="7"/>
  <c r="AA1012" i="7" s="1"/>
  <c r="V1012" i="7"/>
  <c r="U1012" i="7"/>
  <c r="S1012" i="7" s="1"/>
  <c r="N1012" i="7"/>
  <c r="M1012" i="7"/>
  <c r="F1012" i="7"/>
  <c r="E1012" i="7"/>
  <c r="AT1011" i="7"/>
  <c r="AS1011" i="7"/>
  <c r="AQ1011" i="7" s="1"/>
  <c r="AL1011" i="7"/>
  <c r="AK1011" i="7"/>
  <c r="AJ1011" i="7" s="1"/>
  <c r="AD1011" i="7"/>
  <c r="AC1011" i="7"/>
  <c r="V1011" i="7"/>
  <c r="U1011" i="7"/>
  <c r="T1011" i="7" s="1"/>
  <c r="N1011" i="7"/>
  <c r="M1011" i="7"/>
  <c r="L1011" i="7" s="1"/>
  <c r="F1011" i="7"/>
  <c r="E1011" i="7"/>
  <c r="D1011" i="7" s="1"/>
  <c r="AT1010" i="7"/>
  <c r="AS1010" i="7"/>
  <c r="AQ1010" i="7" s="1"/>
  <c r="AL1010" i="7"/>
  <c r="AK1010" i="7"/>
  <c r="AJ1010" i="7" s="1"/>
  <c r="AD1010" i="7"/>
  <c r="AC1010" i="7"/>
  <c r="AA1010" i="7" s="1"/>
  <c r="V1010" i="7"/>
  <c r="U1010" i="7"/>
  <c r="T1010" i="7" s="1"/>
  <c r="S1010" i="7"/>
  <c r="N1010" i="7"/>
  <c r="M1010" i="7"/>
  <c r="K1010" i="7" s="1"/>
  <c r="F1010" i="7"/>
  <c r="E1010" i="7"/>
  <c r="D1010" i="7" s="1"/>
  <c r="AT1009" i="7"/>
  <c r="AS1009" i="7"/>
  <c r="AQ1009" i="7" s="1"/>
  <c r="AL1009" i="7"/>
  <c r="AK1009" i="7"/>
  <c r="AJ1009" i="7" s="1"/>
  <c r="AD1009" i="7"/>
  <c r="AC1009" i="7"/>
  <c r="V1009" i="7"/>
  <c r="U1009" i="7"/>
  <c r="S1009" i="7" s="1"/>
  <c r="N1009" i="7"/>
  <c r="M1009" i="7"/>
  <c r="F1009" i="7"/>
  <c r="E1009" i="7"/>
  <c r="D1009" i="7" s="1"/>
  <c r="AT1008" i="7"/>
  <c r="AS1008" i="7"/>
  <c r="AQ1008" i="7" s="1"/>
  <c r="AL1008" i="7"/>
  <c r="AK1008" i="7"/>
  <c r="AJ1008" i="7" s="1"/>
  <c r="AD1008" i="7"/>
  <c r="AC1008" i="7"/>
  <c r="AA1008" i="7" s="1"/>
  <c r="V1008" i="7"/>
  <c r="U1008" i="7"/>
  <c r="N1008" i="7"/>
  <c r="M1008" i="7"/>
  <c r="L1008" i="7" s="1"/>
  <c r="F1008" i="7"/>
  <c r="E1008" i="7"/>
  <c r="D1008" i="7" s="1"/>
  <c r="AT1007" i="7"/>
  <c r="AS1007" i="7"/>
  <c r="AQ1007" i="7" s="1"/>
  <c r="AL1007" i="7"/>
  <c r="AK1007" i="7"/>
  <c r="AJ1007" i="7" s="1"/>
  <c r="AD1007" i="7"/>
  <c r="AC1007" i="7"/>
  <c r="AA1007" i="7" s="1"/>
  <c r="V1007" i="7"/>
  <c r="U1007" i="7"/>
  <c r="T1007" i="7" s="1"/>
  <c r="N1007" i="7"/>
  <c r="M1007" i="7"/>
  <c r="K1007" i="7" s="1"/>
  <c r="F1007" i="7"/>
  <c r="E1007" i="7"/>
  <c r="D1007" i="7" s="1"/>
  <c r="AT1006" i="7"/>
  <c r="AS1006" i="7"/>
  <c r="AQ1006" i="7" s="1"/>
  <c r="AL1006" i="7"/>
  <c r="AK1006" i="7"/>
  <c r="AJ1006" i="7" s="1"/>
  <c r="AD1006" i="7"/>
  <c r="AC1006" i="7"/>
  <c r="V1006" i="7"/>
  <c r="U1006" i="7"/>
  <c r="S1006" i="7" s="1"/>
  <c r="N1006" i="7"/>
  <c r="M1006" i="7"/>
  <c r="F1006" i="7"/>
  <c r="E1006" i="7"/>
  <c r="D1006" i="7" s="1"/>
  <c r="AT1005" i="7"/>
  <c r="AS1005" i="7"/>
  <c r="AL1005" i="7"/>
  <c r="AK1005" i="7"/>
  <c r="AJ1005" i="7" s="1"/>
  <c r="AD1005" i="7"/>
  <c r="AC1005" i="7"/>
  <c r="V1005" i="7"/>
  <c r="U1005" i="7"/>
  <c r="T1005" i="7" s="1"/>
  <c r="N1005" i="7"/>
  <c r="M1005" i="7"/>
  <c r="L1005" i="7" s="1"/>
  <c r="F1005" i="7"/>
  <c r="E1005" i="7"/>
  <c r="D1005" i="7" s="1"/>
  <c r="AT1004" i="7"/>
  <c r="AS1004" i="7"/>
  <c r="AQ1004" i="7" s="1"/>
  <c r="AL1004" i="7"/>
  <c r="AK1004" i="7"/>
  <c r="AJ1004" i="7" s="1"/>
  <c r="AD1004" i="7"/>
  <c r="AC1004" i="7"/>
  <c r="AA1004" i="7" s="1"/>
  <c r="V1004" i="7"/>
  <c r="U1004" i="7"/>
  <c r="T1004" i="7" s="1"/>
  <c r="N1004" i="7"/>
  <c r="M1004" i="7"/>
  <c r="K1004" i="7" s="1"/>
  <c r="F1004" i="7"/>
  <c r="E1004" i="7"/>
  <c r="D1004" i="7" s="1"/>
  <c r="AT1003" i="7"/>
  <c r="AS1003" i="7"/>
  <c r="AL1003" i="7"/>
  <c r="AK1003" i="7"/>
  <c r="AJ1003" i="7" s="1"/>
  <c r="AD1003" i="7"/>
  <c r="AC1003" i="7"/>
  <c r="AA1003" i="7" s="1"/>
  <c r="V1003" i="7"/>
  <c r="U1003" i="7"/>
  <c r="S1003" i="7" s="1"/>
  <c r="N1003" i="7"/>
  <c r="M1003" i="7"/>
  <c r="L1003" i="7" s="1"/>
  <c r="F1003" i="7"/>
  <c r="E1003" i="7"/>
  <c r="D1003" i="7" s="1"/>
  <c r="AT1002" i="7"/>
  <c r="AS1002" i="7"/>
  <c r="AQ1002" i="7" s="1"/>
  <c r="AL1002" i="7"/>
  <c r="AK1002" i="7"/>
  <c r="AJ1002" i="7" s="1"/>
  <c r="AD1002" i="7"/>
  <c r="AC1002" i="7"/>
  <c r="AA1002" i="7" s="1"/>
  <c r="V1002" i="7"/>
  <c r="U1002" i="7"/>
  <c r="N1002" i="7"/>
  <c r="M1002" i="7"/>
  <c r="F1002" i="7"/>
  <c r="E1002" i="7"/>
  <c r="D1002" i="7" s="1"/>
  <c r="AT1001" i="7"/>
  <c r="AS1001" i="7"/>
  <c r="AL1001" i="7"/>
  <c r="AK1001" i="7"/>
  <c r="AJ1001" i="7" s="1"/>
  <c r="AD1001" i="7"/>
  <c r="AC1001" i="7"/>
  <c r="V1001" i="7"/>
  <c r="U1001" i="7"/>
  <c r="T1001" i="7" s="1"/>
  <c r="N1001" i="7"/>
  <c r="M1001" i="7"/>
  <c r="F1001" i="7"/>
  <c r="E1001" i="7"/>
  <c r="D1001" i="7" s="1"/>
  <c r="AT1000" i="7"/>
  <c r="AS1000" i="7"/>
  <c r="AQ1000" i="7" s="1"/>
  <c r="AL1000" i="7"/>
  <c r="AK1000" i="7"/>
  <c r="AJ1000" i="7" s="1"/>
  <c r="AD1000" i="7"/>
  <c r="AC1000" i="7"/>
  <c r="AA1000" i="7" s="1"/>
  <c r="V1000" i="7"/>
  <c r="U1000" i="7"/>
  <c r="S1000" i="7" s="1"/>
  <c r="T1000" i="7"/>
  <c r="N1000" i="7"/>
  <c r="M1000" i="7"/>
  <c r="F1000" i="7"/>
  <c r="E1000" i="7"/>
  <c r="D1000" i="7" s="1"/>
  <c r="AT999" i="7"/>
  <c r="AS999" i="7"/>
  <c r="AL999" i="7"/>
  <c r="AK999" i="7"/>
  <c r="AJ999" i="7" s="1"/>
  <c r="AD999" i="7"/>
  <c r="AC999" i="7"/>
  <c r="V999" i="7"/>
  <c r="U999" i="7"/>
  <c r="T999" i="7" s="1"/>
  <c r="N999" i="7"/>
  <c r="M999" i="7"/>
  <c r="L999" i="7" s="1"/>
  <c r="F999" i="7"/>
  <c r="E999" i="7"/>
  <c r="D999" i="7" s="1"/>
  <c r="AT998" i="7"/>
  <c r="AS998" i="7"/>
  <c r="AL998" i="7"/>
  <c r="AK998" i="7"/>
  <c r="AJ998" i="7" s="1"/>
  <c r="AD998" i="7"/>
  <c r="AC998" i="7"/>
  <c r="AA998" i="7" s="1"/>
  <c r="V998" i="7"/>
  <c r="U998" i="7"/>
  <c r="N998" i="7"/>
  <c r="M998" i="7"/>
  <c r="K998" i="7" s="1"/>
  <c r="F998" i="7"/>
  <c r="E998" i="7"/>
  <c r="D998" i="7" s="1"/>
  <c r="AT997" i="7"/>
  <c r="AS997" i="7"/>
  <c r="AQ997" i="7" s="1"/>
  <c r="AR997" i="7"/>
  <c r="AL997" i="7"/>
  <c r="AK997" i="7"/>
  <c r="AJ997" i="7" s="1"/>
  <c r="AD997" i="7"/>
  <c r="AC997" i="7"/>
  <c r="AA997" i="7" s="1"/>
  <c r="V997" i="7"/>
  <c r="U997" i="7"/>
  <c r="S997" i="7" s="1"/>
  <c r="N997" i="7"/>
  <c r="M997" i="7"/>
  <c r="L997" i="7" s="1"/>
  <c r="F997" i="7"/>
  <c r="E997" i="7"/>
  <c r="D997" i="7" s="1"/>
  <c r="AT996" i="7"/>
  <c r="AS996" i="7"/>
  <c r="AQ996" i="7" s="1"/>
  <c r="AL996" i="7"/>
  <c r="AK996" i="7"/>
  <c r="AJ996" i="7" s="1"/>
  <c r="AD996" i="7"/>
  <c r="AC996" i="7"/>
  <c r="AA996" i="7" s="1"/>
  <c r="V996" i="7"/>
  <c r="U996" i="7"/>
  <c r="N996" i="7"/>
  <c r="M996" i="7"/>
  <c r="L996" i="7" s="1"/>
  <c r="F996" i="7"/>
  <c r="E996" i="7"/>
  <c r="D996" i="7" s="1"/>
  <c r="AT995" i="7"/>
  <c r="AS995" i="7"/>
  <c r="AQ995" i="7" s="1"/>
  <c r="AL995" i="7"/>
  <c r="AK995" i="7"/>
  <c r="AJ995" i="7" s="1"/>
  <c r="AD995" i="7"/>
  <c r="AC995" i="7"/>
  <c r="AA995" i="7" s="1"/>
  <c r="V995" i="7"/>
  <c r="U995" i="7"/>
  <c r="N995" i="7"/>
  <c r="M995" i="7"/>
  <c r="K995" i="7" s="1"/>
  <c r="F995" i="7"/>
  <c r="E995" i="7"/>
  <c r="D995" i="7" s="1"/>
  <c r="AT994" i="7"/>
  <c r="AS994" i="7"/>
  <c r="AQ994" i="7" s="1"/>
  <c r="AL994" i="7"/>
  <c r="AK994" i="7"/>
  <c r="AJ994" i="7" s="1"/>
  <c r="AD994" i="7"/>
  <c r="AC994" i="7"/>
  <c r="V994" i="7"/>
  <c r="U994" i="7"/>
  <c r="S994" i="7" s="1"/>
  <c r="N994" i="7"/>
  <c r="M994" i="7"/>
  <c r="F994" i="7"/>
  <c r="E994" i="7"/>
  <c r="D994" i="7" s="1"/>
  <c r="AT993" i="7"/>
  <c r="AS993" i="7"/>
  <c r="AQ993" i="7" s="1"/>
  <c r="AL993" i="7"/>
  <c r="AK993" i="7"/>
  <c r="AJ993" i="7" s="1"/>
  <c r="AD993" i="7"/>
  <c r="AC993" i="7"/>
  <c r="AB993" i="7" s="1"/>
  <c r="V993" i="7"/>
  <c r="U993" i="7"/>
  <c r="N993" i="7"/>
  <c r="M993" i="7"/>
  <c r="L993" i="7" s="1"/>
  <c r="F993" i="7"/>
  <c r="E993" i="7"/>
  <c r="D993" i="7" s="1"/>
  <c r="AT992" i="7"/>
  <c r="AS992" i="7"/>
  <c r="AQ992" i="7" s="1"/>
  <c r="AL992" i="7"/>
  <c r="AK992" i="7"/>
  <c r="AD992" i="7"/>
  <c r="AC992" i="7"/>
  <c r="AB992" i="7" s="1"/>
  <c r="V992" i="7"/>
  <c r="U992" i="7"/>
  <c r="T992" i="7" s="1"/>
  <c r="N992" i="7"/>
  <c r="M992" i="7"/>
  <c r="K992" i="7" s="1"/>
  <c r="F992" i="7"/>
  <c r="E992" i="7"/>
  <c r="D992" i="7" s="1"/>
  <c r="AT991" i="7"/>
  <c r="AS991" i="7"/>
  <c r="AQ991" i="7" s="1"/>
  <c r="AL991" i="7"/>
  <c r="AK991" i="7"/>
  <c r="AJ991" i="7" s="1"/>
  <c r="AD991" i="7"/>
  <c r="AC991" i="7"/>
  <c r="AB991" i="7" s="1"/>
  <c r="V991" i="7"/>
  <c r="U991" i="7"/>
  <c r="S991" i="7" s="1"/>
  <c r="N991" i="7"/>
  <c r="M991" i="7"/>
  <c r="K991" i="7" s="1"/>
  <c r="L991" i="7"/>
  <c r="F991" i="7"/>
  <c r="E991" i="7"/>
  <c r="AT990" i="7"/>
  <c r="AS990" i="7"/>
  <c r="AQ990" i="7" s="1"/>
  <c r="AL990" i="7"/>
  <c r="AK990" i="7"/>
  <c r="AD990" i="7"/>
  <c r="AC990" i="7"/>
  <c r="AB990" i="7" s="1"/>
  <c r="V990" i="7"/>
  <c r="U990" i="7"/>
  <c r="T990" i="7" s="1"/>
  <c r="N990" i="7"/>
  <c r="M990" i="7"/>
  <c r="L990" i="7" s="1"/>
  <c r="F990" i="7"/>
  <c r="E990" i="7"/>
  <c r="D990" i="7" s="1"/>
  <c r="AT989" i="7"/>
  <c r="AS989" i="7"/>
  <c r="AQ989" i="7" s="1"/>
  <c r="AL989" i="7"/>
  <c r="AK989" i="7"/>
  <c r="AJ989" i="7" s="1"/>
  <c r="AD989" i="7"/>
  <c r="AC989" i="7"/>
  <c r="AB989" i="7" s="1"/>
  <c r="V989" i="7"/>
  <c r="U989" i="7"/>
  <c r="S989" i="7" s="1"/>
  <c r="N989" i="7"/>
  <c r="M989" i="7"/>
  <c r="F989" i="7"/>
  <c r="E989" i="7"/>
  <c r="D989" i="7" s="1"/>
  <c r="AT988" i="7"/>
  <c r="AS988" i="7"/>
  <c r="AL988" i="7"/>
  <c r="AK988" i="7"/>
  <c r="AI988" i="7" s="1"/>
  <c r="AD988" i="7"/>
  <c r="AC988" i="7"/>
  <c r="V988" i="7"/>
  <c r="U988" i="7"/>
  <c r="T988" i="7" s="1"/>
  <c r="N988" i="7"/>
  <c r="M988" i="7"/>
  <c r="L988" i="7" s="1"/>
  <c r="F988" i="7"/>
  <c r="E988" i="7"/>
  <c r="D988" i="7" s="1"/>
  <c r="AT987" i="7"/>
  <c r="AS987" i="7"/>
  <c r="AQ987" i="7" s="1"/>
  <c r="AL987" i="7"/>
  <c r="AK987" i="7"/>
  <c r="AJ987" i="7" s="1"/>
  <c r="AD987" i="7"/>
  <c r="AC987" i="7"/>
  <c r="AB987" i="7" s="1"/>
  <c r="V987" i="7"/>
  <c r="U987" i="7"/>
  <c r="S987" i="7" s="1"/>
  <c r="N987" i="7"/>
  <c r="M987" i="7"/>
  <c r="F987" i="7"/>
  <c r="E987" i="7"/>
  <c r="D987" i="7" s="1"/>
  <c r="AT986" i="7"/>
  <c r="AS986" i="7"/>
  <c r="AQ986" i="7" s="1"/>
  <c r="AL986" i="7"/>
  <c r="AK986" i="7"/>
  <c r="AI986" i="7" s="1"/>
  <c r="AD986" i="7"/>
  <c r="AC986" i="7"/>
  <c r="AB986" i="7" s="1"/>
  <c r="V986" i="7"/>
  <c r="U986" i="7"/>
  <c r="T986" i="7" s="1"/>
  <c r="N986" i="7"/>
  <c r="M986" i="7"/>
  <c r="L986" i="7" s="1"/>
  <c r="F986" i="7"/>
  <c r="E986" i="7"/>
  <c r="D986" i="7" s="1"/>
  <c r="AT985" i="7"/>
  <c r="AS985" i="7"/>
  <c r="AQ985" i="7" s="1"/>
  <c r="AL985" i="7"/>
  <c r="AK985" i="7"/>
  <c r="AJ985" i="7" s="1"/>
  <c r="AD985" i="7"/>
  <c r="AC985" i="7"/>
  <c r="AB985" i="7" s="1"/>
  <c r="V985" i="7"/>
  <c r="U985" i="7"/>
  <c r="S985" i="7" s="1"/>
  <c r="N985" i="7"/>
  <c r="M985" i="7"/>
  <c r="F985" i="7"/>
  <c r="E985" i="7"/>
  <c r="D985" i="7" s="1"/>
  <c r="AT984" i="7"/>
  <c r="AS984" i="7"/>
  <c r="AL984" i="7"/>
  <c r="AK984" i="7"/>
  <c r="AI984" i="7" s="1"/>
  <c r="AD984" i="7"/>
  <c r="AC984" i="7"/>
  <c r="V984" i="7"/>
  <c r="U984" i="7"/>
  <c r="T984" i="7" s="1"/>
  <c r="N984" i="7"/>
  <c r="M984" i="7"/>
  <c r="L984" i="7" s="1"/>
  <c r="F984" i="7"/>
  <c r="E984" i="7"/>
  <c r="D984" i="7" s="1"/>
  <c r="AT983" i="7"/>
  <c r="AS983" i="7"/>
  <c r="AQ983" i="7" s="1"/>
  <c r="AL983" i="7"/>
  <c r="AK983" i="7"/>
  <c r="AJ983" i="7" s="1"/>
  <c r="AD983" i="7"/>
  <c r="AC983" i="7"/>
  <c r="AB983" i="7" s="1"/>
  <c r="V983" i="7"/>
  <c r="U983" i="7"/>
  <c r="S983" i="7" s="1"/>
  <c r="N983" i="7"/>
  <c r="M983" i="7"/>
  <c r="L983" i="7" s="1"/>
  <c r="F983" i="7"/>
  <c r="E983" i="7"/>
  <c r="AT982" i="7"/>
  <c r="AS982" i="7"/>
  <c r="AQ982" i="7" s="1"/>
  <c r="AL982" i="7"/>
  <c r="AK982" i="7"/>
  <c r="AD982" i="7"/>
  <c r="AC982" i="7"/>
  <c r="AA982" i="7" s="1"/>
  <c r="V982" i="7"/>
  <c r="U982" i="7"/>
  <c r="T982" i="7" s="1"/>
  <c r="N982" i="7"/>
  <c r="M982" i="7"/>
  <c r="F982" i="7"/>
  <c r="E982" i="7"/>
  <c r="D982" i="7" s="1"/>
  <c r="AT981" i="7"/>
  <c r="AS981" i="7"/>
  <c r="AQ981" i="7" s="1"/>
  <c r="AL981" i="7"/>
  <c r="AK981" i="7"/>
  <c r="AJ981" i="7" s="1"/>
  <c r="AD981" i="7"/>
  <c r="AC981" i="7"/>
  <c r="AB981" i="7" s="1"/>
  <c r="V981" i="7"/>
  <c r="U981" i="7"/>
  <c r="N981" i="7"/>
  <c r="M981" i="7"/>
  <c r="L981" i="7" s="1"/>
  <c r="F981" i="7"/>
  <c r="E981" i="7"/>
  <c r="AT980" i="7"/>
  <c r="AS980" i="7"/>
  <c r="AQ980" i="7" s="1"/>
  <c r="AL980" i="7"/>
  <c r="AK980" i="7"/>
  <c r="AI980" i="7" s="1"/>
  <c r="AJ980" i="7"/>
  <c r="AD980" i="7"/>
  <c r="AC980" i="7"/>
  <c r="AB980" i="7" s="1"/>
  <c r="V980" i="7"/>
  <c r="U980" i="7"/>
  <c r="T980" i="7" s="1"/>
  <c r="N980" i="7"/>
  <c r="M980" i="7"/>
  <c r="K980" i="7" s="1"/>
  <c r="F980" i="7"/>
  <c r="E980" i="7"/>
  <c r="D980" i="7" s="1"/>
  <c r="AT979" i="7"/>
  <c r="AS979" i="7"/>
  <c r="AQ979" i="7" s="1"/>
  <c r="AL979" i="7"/>
  <c r="AK979" i="7"/>
  <c r="AJ979" i="7" s="1"/>
  <c r="AD979" i="7"/>
  <c r="AC979" i="7"/>
  <c r="AB979" i="7" s="1"/>
  <c r="V979" i="7"/>
  <c r="U979" i="7"/>
  <c r="S979" i="7" s="1"/>
  <c r="N979" i="7"/>
  <c r="M979" i="7"/>
  <c r="K979" i="7" s="1"/>
  <c r="F979" i="7"/>
  <c r="E979" i="7"/>
  <c r="AT978" i="7"/>
  <c r="AS978" i="7"/>
  <c r="AQ978" i="7" s="1"/>
  <c r="AL978" i="7"/>
  <c r="AK978" i="7"/>
  <c r="AD978" i="7"/>
  <c r="AC978" i="7"/>
  <c r="AB978" i="7" s="1"/>
  <c r="V978" i="7"/>
  <c r="U978" i="7"/>
  <c r="T978" i="7" s="1"/>
  <c r="N978" i="7"/>
  <c r="M978" i="7"/>
  <c r="F978" i="7"/>
  <c r="E978" i="7"/>
  <c r="D978" i="7" s="1"/>
  <c r="AT977" i="7"/>
  <c r="AS977" i="7"/>
  <c r="AQ977" i="7" s="1"/>
  <c r="AL977" i="7"/>
  <c r="AK977" i="7"/>
  <c r="AJ977" i="7" s="1"/>
  <c r="AD977" i="7"/>
  <c r="AC977" i="7"/>
  <c r="AB977" i="7" s="1"/>
  <c r="V977" i="7"/>
  <c r="U977" i="7"/>
  <c r="N977" i="7"/>
  <c r="M977" i="7"/>
  <c r="F977" i="7"/>
  <c r="E977" i="7"/>
  <c r="D977" i="7" s="1"/>
  <c r="AT976" i="7"/>
  <c r="AS976" i="7"/>
  <c r="AQ976" i="7" s="1"/>
  <c r="AL976" i="7"/>
  <c r="AK976" i="7"/>
  <c r="AI976" i="7" s="1"/>
  <c r="AD976" i="7"/>
  <c r="AC976" i="7"/>
  <c r="AA976" i="7" s="1"/>
  <c r="V976" i="7"/>
  <c r="U976" i="7"/>
  <c r="T976" i="7" s="1"/>
  <c r="N976" i="7"/>
  <c r="M976" i="7"/>
  <c r="L976" i="7" s="1"/>
  <c r="F976" i="7"/>
  <c r="E976" i="7"/>
  <c r="D976" i="7" s="1"/>
  <c r="AT975" i="7"/>
  <c r="AS975" i="7"/>
  <c r="AQ975" i="7" s="1"/>
  <c r="AL975" i="7"/>
  <c r="AK975" i="7"/>
  <c r="AJ975" i="7" s="1"/>
  <c r="AD975" i="7"/>
  <c r="AC975" i="7"/>
  <c r="AB975" i="7" s="1"/>
  <c r="V975" i="7"/>
  <c r="U975" i="7"/>
  <c r="S975" i="7" s="1"/>
  <c r="N975" i="7"/>
  <c r="M975" i="7"/>
  <c r="F975" i="7"/>
  <c r="E975" i="7"/>
  <c r="AT974" i="7"/>
  <c r="AS974" i="7"/>
  <c r="AQ974" i="7" s="1"/>
  <c r="AL974" i="7"/>
  <c r="AK974" i="7"/>
  <c r="AD974" i="7"/>
  <c r="AC974" i="7"/>
  <c r="AB974" i="7" s="1"/>
  <c r="V974" i="7"/>
  <c r="U974" i="7"/>
  <c r="T974" i="7" s="1"/>
  <c r="N974" i="7"/>
  <c r="M974" i="7"/>
  <c r="L974" i="7" s="1"/>
  <c r="K974" i="7"/>
  <c r="F974" i="7"/>
  <c r="E974" i="7"/>
  <c r="D974" i="7" s="1"/>
  <c r="AT973" i="7"/>
  <c r="AS973" i="7"/>
  <c r="AQ973" i="7" s="1"/>
  <c r="AL973" i="7"/>
  <c r="AK973" i="7"/>
  <c r="AJ973" i="7" s="1"/>
  <c r="AD973" i="7"/>
  <c r="AC973" i="7"/>
  <c r="AB973" i="7" s="1"/>
  <c r="V973" i="7"/>
  <c r="U973" i="7"/>
  <c r="S973" i="7" s="1"/>
  <c r="N973" i="7"/>
  <c r="M973" i="7"/>
  <c r="K973" i="7" s="1"/>
  <c r="F973" i="7"/>
  <c r="E973" i="7"/>
  <c r="D973" i="7" s="1"/>
  <c r="AT972" i="7"/>
  <c r="AS972" i="7"/>
  <c r="AL972" i="7"/>
  <c r="AK972" i="7"/>
  <c r="AI972" i="7" s="1"/>
  <c r="AD972" i="7"/>
  <c r="AC972" i="7"/>
  <c r="V972" i="7"/>
  <c r="U972" i="7"/>
  <c r="T972" i="7" s="1"/>
  <c r="N972" i="7"/>
  <c r="M972" i="7"/>
  <c r="K972" i="7" s="1"/>
  <c r="F972" i="7"/>
  <c r="E972" i="7"/>
  <c r="D972" i="7" s="1"/>
  <c r="AT971" i="7"/>
  <c r="AS971" i="7"/>
  <c r="AQ971" i="7" s="1"/>
  <c r="AL971" i="7"/>
  <c r="AK971" i="7"/>
  <c r="AJ971" i="7" s="1"/>
  <c r="AD971" i="7"/>
  <c r="AC971" i="7"/>
  <c r="AB971" i="7" s="1"/>
  <c r="V971" i="7"/>
  <c r="U971" i="7"/>
  <c r="S971" i="7" s="1"/>
  <c r="N971" i="7"/>
  <c r="M971" i="7"/>
  <c r="L971" i="7" s="1"/>
  <c r="K971" i="7"/>
  <c r="F971" i="7"/>
  <c r="E971" i="7"/>
  <c r="AT970" i="7"/>
  <c r="AS970" i="7"/>
  <c r="AQ970" i="7" s="1"/>
  <c r="AL970" i="7"/>
  <c r="AK970" i="7"/>
  <c r="AD970" i="7"/>
  <c r="AC970" i="7"/>
  <c r="AA970" i="7" s="1"/>
  <c r="V970" i="7"/>
  <c r="U970" i="7"/>
  <c r="T970" i="7" s="1"/>
  <c r="N970" i="7"/>
  <c r="M970" i="7"/>
  <c r="F970" i="7"/>
  <c r="E970" i="7"/>
  <c r="D970" i="7" s="1"/>
  <c r="AT969" i="7"/>
  <c r="AS969" i="7"/>
  <c r="AQ969" i="7" s="1"/>
  <c r="AL969" i="7"/>
  <c r="AK969" i="7"/>
  <c r="AJ969" i="7" s="1"/>
  <c r="AD969" i="7"/>
  <c r="AC969" i="7"/>
  <c r="AB969" i="7" s="1"/>
  <c r="V969" i="7"/>
  <c r="U969" i="7"/>
  <c r="N969" i="7"/>
  <c r="M969" i="7"/>
  <c r="L969" i="7" s="1"/>
  <c r="F969" i="7"/>
  <c r="E969" i="7"/>
  <c r="D969" i="7" s="1"/>
  <c r="AT968" i="7"/>
  <c r="AS968" i="7"/>
  <c r="AQ968" i="7" s="1"/>
  <c r="AL968" i="7"/>
  <c r="AK968" i="7"/>
  <c r="AI968" i="7" s="1"/>
  <c r="AD968" i="7"/>
  <c r="AC968" i="7"/>
  <c r="AB968" i="7" s="1"/>
  <c r="V968" i="7"/>
  <c r="U968" i="7"/>
  <c r="T968" i="7" s="1"/>
  <c r="N968" i="7"/>
  <c r="M968" i="7"/>
  <c r="K968" i="7" s="1"/>
  <c r="F968" i="7"/>
  <c r="E968" i="7"/>
  <c r="D968" i="7" s="1"/>
  <c r="AT967" i="7"/>
  <c r="AS967" i="7"/>
  <c r="AQ967" i="7" s="1"/>
  <c r="AL967" i="7"/>
  <c r="AK967" i="7"/>
  <c r="AJ967" i="7" s="1"/>
  <c r="AD967" i="7"/>
  <c r="AC967" i="7"/>
  <c r="AB967" i="7" s="1"/>
  <c r="V967" i="7"/>
  <c r="U967" i="7"/>
  <c r="S967" i="7" s="1"/>
  <c r="N967" i="7"/>
  <c r="M967" i="7"/>
  <c r="K967" i="7" s="1"/>
  <c r="F967" i="7"/>
  <c r="E967" i="7"/>
  <c r="AT966" i="7"/>
  <c r="AS966" i="7"/>
  <c r="AQ966" i="7" s="1"/>
  <c r="AL966" i="7"/>
  <c r="AK966" i="7"/>
  <c r="AD966" i="7"/>
  <c r="AC966" i="7"/>
  <c r="AB966" i="7" s="1"/>
  <c r="V966" i="7"/>
  <c r="U966" i="7"/>
  <c r="T966" i="7" s="1"/>
  <c r="N966" i="7"/>
  <c r="M966" i="7"/>
  <c r="L966" i="7" s="1"/>
  <c r="K966" i="7"/>
  <c r="F966" i="7"/>
  <c r="E966" i="7"/>
  <c r="D966" i="7" s="1"/>
  <c r="AT965" i="7"/>
  <c r="AS965" i="7"/>
  <c r="AQ965" i="7" s="1"/>
  <c r="AL965" i="7"/>
  <c r="AK965" i="7"/>
  <c r="AJ965" i="7" s="1"/>
  <c r="AD965" i="7"/>
  <c r="AC965" i="7"/>
  <c r="AB965" i="7" s="1"/>
  <c r="V965" i="7"/>
  <c r="U965" i="7"/>
  <c r="S965" i="7" s="1"/>
  <c r="N965" i="7"/>
  <c r="M965" i="7"/>
  <c r="L965" i="7" s="1"/>
  <c r="F965" i="7"/>
  <c r="E965" i="7"/>
  <c r="D965" i="7" s="1"/>
  <c r="AT964" i="7"/>
  <c r="AS964" i="7"/>
  <c r="AQ964" i="7" s="1"/>
  <c r="AL964" i="7"/>
  <c r="AK964" i="7"/>
  <c r="AI964" i="7" s="1"/>
  <c r="AD964" i="7"/>
  <c r="AC964" i="7"/>
  <c r="AB964" i="7" s="1"/>
  <c r="V964" i="7"/>
  <c r="U964" i="7"/>
  <c r="T964" i="7" s="1"/>
  <c r="N964" i="7"/>
  <c r="M964" i="7"/>
  <c r="L964" i="7" s="1"/>
  <c r="F964" i="7"/>
  <c r="E964" i="7"/>
  <c r="D964" i="7" s="1"/>
  <c r="AT963" i="7"/>
  <c r="AS963" i="7"/>
  <c r="AQ963" i="7" s="1"/>
  <c r="AL963" i="7"/>
  <c r="AK963" i="7"/>
  <c r="AJ963" i="7" s="1"/>
  <c r="AD963" i="7"/>
  <c r="AC963" i="7"/>
  <c r="AB963" i="7" s="1"/>
  <c r="V963" i="7"/>
  <c r="U963" i="7"/>
  <c r="S963" i="7" s="1"/>
  <c r="N963" i="7"/>
  <c r="M963" i="7"/>
  <c r="F963" i="7"/>
  <c r="E963" i="7"/>
  <c r="D963" i="7" s="1"/>
  <c r="AT962" i="7"/>
  <c r="AS962" i="7"/>
  <c r="AQ962" i="7" s="1"/>
  <c r="AL962" i="7"/>
  <c r="AK962" i="7"/>
  <c r="AI962" i="7" s="1"/>
  <c r="AD962" i="7"/>
  <c r="AC962" i="7"/>
  <c r="AB962" i="7" s="1"/>
  <c r="V962" i="7"/>
  <c r="U962" i="7"/>
  <c r="T962" i="7" s="1"/>
  <c r="N962" i="7"/>
  <c r="M962" i="7"/>
  <c r="L962" i="7" s="1"/>
  <c r="F962" i="7"/>
  <c r="E962" i="7"/>
  <c r="D962" i="7" s="1"/>
  <c r="AT961" i="7"/>
  <c r="AS961" i="7"/>
  <c r="AQ961" i="7" s="1"/>
  <c r="AL961" i="7"/>
  <c r="AK961" i="7"/>
  <c r="AJ961" i="7" s="1"/>
  <c r="AD961" i="7"/>
  <c r="AC961" i="7"/>
  <c r="AB961" i="7" s="1"/>
  <c r="V961" i="7"/>
  <c r="U961" i="7"/>
  <c r="S961" i="7" s="1"/>
  <c r="N961" i="7"/>
  <c r="M961" i="7"/>
  <c r="F961" i="7"/>
  <c r="E961" i="7"/>
  <c r="D961" i="7" s="1"/>
  <c r="AT960" i="7"/>
  <c r="AS960" i="7"/>
  <c r="AL960" i="7"/>
  <c r="AK960" i="7"/>
  <c r="AI960" i="7" s="1"/>
  <c r="AD960" i="7"/>
  <c r="AC960" i="7"/>
  <c r="V960" i="7"/>
  <c r="U960" i="7"/>
  <c r="T960" i="7" s="1"/>
  <c r="N960" i="7"/>
  <c r="M960" i="7"/>
  <c r="L960" i="7" s="1"/>
  <c r="F960" i="7"/>
  <c r="E960" i="7"/>
  <c r="D960" i="7" s="1"/>
  <c r="AT959" i="7"/>
  <c r="AS959" i="7"/>
  <c r="AQ959" i="7" s="1"/>
  <c r="AL959" i="7"/>
  <c r="AK959" i="7"/>
  <c r="AJ959" i="7" s="1"/>
  <c r="AD959" i="7"/>
  <c r="AC959" i="7"/>
  <c r="AB959" i="7" s="1"/>
  <c r="V959" i="7"/>
  <c r="U959" i="7"/>
  <c r="S959" i="7" s="1"/>
  <c r="N959" i="7"/>
  <c r="M959" i="7"/>
  <c r="L959" i="7" s="1"/>
  <c r="F959" i="7"/>
  <c r="E959" i="7"/>
  <c r="D959" i="7" s="1"/>
  <c r="AT958" i="7"/>
  <c r="AS958" i="7"/>
  <c r="AQ958" i="7" s="1"/>
  <c r="AL958" i="7"/>
  <c r="AK958" i="7"/>
  <c r="AI958" i="7" s="1"/>
  <c r="AD958" i="7"/>
  <c r="AC958" i="7"/>
  <c r="AA958" i="7" s="1"/>
  <c r="V958" i="7"/>
  <c r="U958" i="7"/>
  <c r="T958" i="7" s="1"/>
  <c r="N958" i="7"/>
  <c r="M958" i="7"/>
  <c r="F958" i="7"/>
  <c r="E958" i="7"/>
  <c r="D958" i="7" s="1"/>
  <c r="AT957" i="7"/>
  <c r="AS957" i="7"/>
  <c r="AQ957" i="7" s="1"/>
  <c r="AL957" i="7"/>
  <c r="AK957" i="7"/>
  <c r="AJ957" i="7" s="1"/>
  <c r="AD957" i="7"/>
  <c r="AC957" i="7"/>
  <c r="AB957" i="7" s="1"/>
  <c r="V957" i="7"/>
  <c r="U957" i="7"/>
  <c r="N957" i="7"/>
  <c r="M957" i="7"/>
  <c r="L957" i="7" s="1"/>
  <c r="F957" i="7"/>
  <c r="E957" i="7"/>
  <c r="D957" i="7" s="1"/>
  <c r="AT956" i="7"/>
  <c r="AS956" i="7"/>
  <c r="AQ956" i="7" s="1"/>
  <c r="AL956" i="7"/>
  <c r="AK956" i="7"/>
  <c r="AI956" i="7" s="1"/>
  <c r="AD956" i="7"/>
  <c r="AC956" i="7"/>
  <c r="AB956" i="7" s="1"/>
  <c r="V956" i="7"/>
  <c r="U956" i="7"/>
  <c r="T956" i="7" s="1"/>
  <c r="N956" i="7"/>
  <c r="M956" i="7"/>
  <c r="K956" i="7" s="1"/>
  <c r="F956" i="7"/>
  <c r="E956" i="7"/>
  <c r="D956" i="7" s="1"/>
  <c r="AT955" i="7"/>
  <c r="AS955" i="7"/>
  <c r="AQ955" i="7" s="1"/>
  <c r="AL955" i="7"/>
  <c r="AK955" i="7"/>
  <c r="AJ955" i="7" s="1"/>
  <c r="AD955" i="7"/>
  <c r="AC955" i="7"/>
  <c r="AB955" i="7" s="1"/>
  <c r="V955" i="7"/>
  <c r="U955" i="7"/>
  <c r="S955" i="7" s="1"/>
  <c r="N955" i="7"/>
  <c r="M955" i="7"/>
  <c r="F955" i="7"/>
  <c r="E955" i="7"/>
  <c r="AT954" i="7"/>
  <c r="AS954" i="7"/>
  <c r="AQ954" i="7" s="1"/>
  <c r="AL954" i="7"/>
  <c r="AK954" i="7"/>
  <c r="AD954" i="7"/>
  <c r="AC954" i="7"/>
  <c r="AB954" i="7" s="1"/>
  <c r="AA954" i="7"/>
  <c r="V954" i="7"/>
  <c r="U954" i="7"/>
  <c r="T954" i="7" s="1"/>
  <c r="N954" i="7"/>
  <c r="M954" i="7"/>
  <c r="L954" i="7" s="1"/>
  <c r="F954" i="7"/>
  <c r="E954" i="7"/>
  <c r="D954" i="7" s="1"/>
  <c r="AT953" i="7"/>
  <c r="AS953" i="7"/>
  <c r="AQ953" i="7" s="1"/>
  <c r="AL953" i="7"/>
  <c r="AK953" i="7"/>
  <c r="AJ953" i="7" s="1"/>
  <c r="AD953" i="7"/>
  <c r="AC953" i="7"/>
  <c r="AB953" i="7" s="1"/>
  <c r="V953" i="7"/>
  <c r="U953" i="7"/>
  <c r="S953" i="7" s="1"/>
  <c r="N953" i="7"/>
  <c r="M953" i="7"/>
  <c r="F953" i="7"/>
  <c r="E953" i="7"/>
  <c r="D953" i="7" s="1"/>
  <c r="AT952" i="7"/>
  <c r="AS952" i="7"/>
  <c r="AQ952" i="7" s="1"/>
  <c r="AL952" i="7"/>
  <c r="AK952" i="7"/>
  <c r="AI952" i="7" s="1"/>
  <c r="AD952" i="7"/>
  <c r="AC952" i="7"/>
  <c r="AB952" i="7" s="1"/>
  <c r="V952" i="7"/>
  <c r="U952" i="7"/>
  <c r="T952" i="7" s="1"/>
  <c r="N952" i="7"/>
  <c r="M952" i="7"/>
  <c r="L952" i="7" s="1"/>
  <c r="K952" i="7"/>
  <c r="F952" i="7"/>
  <c r="E952" i="7"/>
  <c r="D952" i="7" s="1"/>
  <c r="AT951" i="7"/>
  <c r="AS951" i="7"/>
  <c r="AQ951" i="7" s="1"/>
  <c r="AL951" i="7"/>
  <c r="AK951" i="7"/>
  <c r="AD951" i="7"/>
  <c r="AC951" i="7"/>
  <c r="AB951" i="7" s="1"/>
  <c r="V951" i="7"/>
  <c r="U951" i="7"/>
  <c r="T951" i="7" s="1"/>
  <c r="N951" i="7"/>
  <c r="M951" i="7"/>
  <c r="K951" i="7" s="1"/>
  <c r="F951" i="7"/>
  <c r="E951" i="7"/>
  <c r="D951" i="7" s="1"/>
  <c r="AT950" i="7"/>
  <c r="AS950" i="7"/>
  <c r="AQ950" i="7" s="1"/>
  <c r="AL950" i="7"/>
  <c r="AK950" i="7"/>
  <c r="AJ950" i="7" s="1"/>
  <c r="AD950" i="7"/>
  <c r="AC950" i="7"/>
  <c r="AA950" i="7" s="1"/>
  <c r="V950" i="7"/>
  <c r="U950" i="7"/>
  <c r="T950" i="7" s="1"/>
  <c r="N950" i="7"/>
  <c r="M950" i="7"/>
  <c r="K950" i="7" s="1"/>
  <c r="F950" i="7"/>
  <c r="E950" i="7"/>
  <c r="D950" i="7" s="1"/>
  <c r="AT949" i="7"/>
  <c r="AS949" i="7"/>
  <c r="AQ949" i="7" s="1"/>
  <c r="AR949" i="7"/>
  <c r="AL949" i="7"/>
  <c r="AK949" i="7"/>
  <c r="AJ949" i="7" s="1"/>
  <c r="AD949" i="7"/>
  <c r="AC949" i="7"/>
  <c r="V949" i="7"/>
  <c r="U949" i="7"/>
  <c r="T949" i="7" s="1"/>
  <c r="N949" i="7"/>
  <c r="M949" i="7"/>
  <c r="F949" i="7"/>
  <c r="E949" i="7"/>
  <c r="D949" i="7" s="1"/>
  <c r="AT948" i="7"/>
  <c r="AS948" i="7"/>
  <c r="AL948" i="7"/>
  <c r="AK948" i="7"/>
  <c r="AJ948" i="7" s="1"/>
  <c r="AD948" i="7"/>
  <c r="AC948" i="7"/>
  <c r="V948" i="7"/>
  <c r="U948" i="7"/>
  <c r="T948" i="7" s="1"/>
  <c r="N948" i="7"/>
  <c r="M948" i="7"/>
  <c r="F948" i="7"/>
  <c r="E948" i="7"/>
  <c r="D948" i="7" s="1"/>
  <c r="AT947" i="7"/>
  <c r="AS947" i="7"/>
  <c r="AL947" i="7"/>
  <c r="AK947" i="7"/>
  <c r="AJ947" i="7" s="1"/>
  <c r="AD947" i="7"/>
  <c r="AC947" i="7"/>
  <c r="V947" i="7"/>
  <c r="U947" i="7"/>
  <c r="T947" i="7" s="1"/>
  <c r="N947" i="7"/>
  <c r="M947" i="7"/>
  <c r="L947" i="7" s="1"/>
  <c r="F947" i="7"/>
  <c r="E947" i="7"/>
  <c r="D947" i="7" s="1"/>
  <c r="AT946" i="7"/>
  <c r="AS946" i="7"/>
  <c r="AQ946" i="7" s="1"/>
  <c r="AL946" i="7"/>
  <c r="AK946" i="7"/>
  <c r="AJ946" i="7" s="1"/>
  <c r="AD946" i="7"/>
  <c r="AC946" i="7"/>
  <c r="AB946" i="7" s="1"/>
  <c r="V946" i="7"/>
  <c r="U946" i="7"/>
  <c r="T946" i="7" s="1"/>
  <c r="N946" i="7"/>
  <c r="M946" i="7"/>
  <c r="L946" i="7" s="1"/>
  <c r="F946" i="7"/>
  <c r="E946" i="7"/>
  <c r="D946" i="7" s="1"/>
  <c r="AT945" i="7"/>
  <c r="AS945" i="7"/>
  <c r="AQ945" i="7" s="1"/>
  <c r="AL945" i="7"/>
  <c r="AK945" i="7"/>
  <c r="AD945" i="7"/>
  <c r="AC945" i="7"/>
  <c r="AB945" i="7" s="1"/>
  <c r="V945" i="7"/>
  <c r="U945" i="7"/>
  <c r="T945" i="7" s="1"/>
  <c r="N945" i="7"/>
  <c r="M945" i="7"/>
  <c r="K945" i="7" s="1"/>
  <c r="F945" i="7"/>
  <c r="E945" i="7"/>
  <c r="D945" i="7" s="1"/>
  <c r="AT944" i="7"/>
  <c r="AS944" i="7"/>
  <c r="AQ944" i="7" s="1"/>
  <c r="AL944" i="7"/>
  <c r="AK944" i="7"/>
  <c r="AD944" i="7"/>
  <c r="AC944" i="7"/>
  <c r="AB944" i="7" s="1"/>
  <c r="V944" i="7"/>
  <c r="U944" i="7"/>
  <c r="T944" i="7" s="1"/>
  <c r="N944" i="7"/>
  <c r="M944" i="7"/>
  <c r="K944" i="7" s="1"/>
  <c r="L944" i="7"/>
  <c r="F944" i="7"/>
  <c r="E944" i="7"/>
  <c r="D944" i="7" s="1"/>
  <c r="AT943" i="7"/>
  <c r="AS943" i="7"/>
  <c r="AQ943" i="7" s="1"/>
  <c r="AL943" i="7"/>
  <c r="AK943" i="7"/>
  <c r="AJ943" i="7" s="1"/>
  <c r="AD943" i="7"/>
  <c r="AC943" i="7"/>
  <c r="V943" i="7"/>
  <c r="U943" i="7"/>
  <c r="T943" i="7" s="1"/>
  <c r="N943" i="7"/>
  <c r="M943" i="7"/>
  <c r="F943" i="7"/>
  <c r="E943" i="7"/>
  <c r="D943" i="7" s="1"/>
  <c r="AT942" i="7"/>
  <c r="AS942" i="7"/>
  <c r="AL942" i="7"/>
  <c r="AK942" i="7"/>
  <c r="AJ942" i="7" s="1"/>
  <c r="AD942" i="7"/>
  <c r="AC942" i="7"/>
  <c r="V942" i="7"/>
  <c r="U942" i="7"/>
  <c r="T942" i="7" s="1"/>
  <c r="N942" i="7"/>
  <c r="M942" i="7"/>
  <c r="F942" i="7"/>
  <c r="E942" i="7"/>
  <c r="D942" i="7" s="1"/>
  <c r="AT941" i="7"/>
  <c r="AS941" i="7"/>
  <c r="AL941" i="7"/>
  <c r="AK941" i="7"/>
  <c r="AJ941" i="7" s="1"/>
  <c r="AD941" i="7"/>
  <c r="AC941" i="7"/>
  <c r="AB941" i="7" s="1"/>
  <c r="V941" i="7"/>
  <c r="U941" i="7"/>
  <c r="T941" i="7" s="1"/>
  <c r="N941" i="7"/>
  <c r="M941" i="7"/>
  <c r="F941" i="7"/>
  <c r="E941" i="7"/>
  <c r="D941" i="7" s="1"/>
  <c r="AT940" i="7"/>
  <c r="AS940" i="7"/>
  <c r="AQ940" i="7" s="1"/>
  <c r="AL940" i="7"/>
  <c r="AK940" i="7"/>
  <c r="AJ940" i="7" s="1"/>
  <c r="AD940" i="7"/>
  <c r="AC940" i="7"/>
  <c r="AB940" i="7" s="1"/>
  <c r="V940" i="7"/>
  <c r="U940" i="7"/>
  <c r="T940" i="7" s="1"/>
  <c r="N940" i="7"/>
  <c r="M940" i="7"/>
  <c r="L940" i="7" s="1"/>
  <c r="F940" i="7"/>
  <c r="E940" i="7"/>
  <c r="D940" i="7" s="1"/>
  <c r="AT939" i="7"/>
  <c r="AS939" i="7"/>
  <c r="AQ939" i="7" s="1"/>
  <c r="AL939" i="7"/>
  <c r="AK939" i="7"/>
  <c r="AD939" i="7"/>
  <c r="AC939" i="7"/>
  <c r="AA939" i="7" s="1"/>
  <c r="V939" i="7"/>
  <c r="U939" i="7"/>
  <c r="T939" i="7" s="1"/>
  <c r="N939" i="7"/>
  <c r="M939" i="7"/>
  <c r="L939" i="7" s="1"/>
  <c r="F939" i="7"/>
  <c r="E939" i="7"/>
  <c r="D939" i="7" s="1"/>
  <c r="AT938" i="7"/>
  <c r="AS938" i="7"/>
  <c r="AQ938" i="7" s="1"/>
  <c r="AL938" i="7"/>
  <c r="AK938" i="7"/>
  <c r="AD938" i="7"/>
  <c r="AC938" i="7"/>
  <c r="AB938" i="7" s="1"/>
  <c r="V938" i="7"/>
  <c r="U938" i="7"/>
  <c r="T938" i="7" s="1"/>
  <c r="N938" i="7"/>
  <c r="M938" i="7"/>
  <c r="L938" i="7" s="1"/>
  <c r="F938" i="7"/>
  <c r="E938" i="7"/>
  <c r="D938" i="7" s="1"/>
  <c r="AT937" i="7"/>
  <c r="AS937" i="7"/>
  <c r="AQ937" i="7" s="1"/>
  <c r="AL937" i="7"/>
  <c r="AK937" i="7"/>
  <c r="AJ937" i="7" s="1"/>
  <c r="AD937" i="7"/>
  <c r="AC937" i="7"/>
  <c r="AA937" i="7" s="1"/>
  <c r="V937" i="7"/>
  <c r="U937" i="7"/>
  <c r="T937" i="7" s="1"/>
  <c r="N937" i="7"/>
  <c r="M937" i="7"/>
  <c r="F937" i="7"/>
  <c r="E937" i="7"/>
  <c r="D937" i="7" s="1"/>
  <c r="AT936" i="7"/>
  <c r="AS936" i="7"/>
  <c r="AL936" i="7"/>
  <c r="AK936" i="7"/>
  <c r="AJ936" i="7" s="1"/>
  <c r="AD936" i="7"/>
  <c r="AC936" i="7"/>
  <c r="V936" i="7"/>
  <c r="U936" i="7"/>
  <c r="T936" i="7" s="1"/>
  <c r="N936" i="7"/>
  <c r="M936" i="7"/>
  <c r="L936" i="7" s="1"/>
  <c r="F936" i="7"/>
  <c r="E936" i="7"/>
  <c r="D936" i="7" s="1"/>
  <c r="AT935" i="7"/>
  <c r="AS935" i="7"/>
  <c r="AQ935" i="7" s="1"/>
  <c r="AL935" i="7"/>
  <c r="AK935" i="7"/>
  <c r="AJ935" i="7" s="1"/>
  <c r="AD935" i="7"/>
  <c r="AC935" i="7"/>
  <c r="AB935" i="7" s="1"/>
  <c r="V935" i="7"/>
  <c r="U935" i="7"/>
  <c r="T935" i="7" s="1"/>
  <c r="N935" i="7"/>
  <c r="M935" i="7"/>
  <c r="L935" i="7" s="1"/>
  <c r="F935" i="7"/>
  <c r="E935" i="7"/>
  <c r="D935" i="7" s="1"/>
  <c r="AT934" i="7"/>
  <c r="AS934" i="7"/>
  <c r="AQ934" i="7" s="1"/>
  <c r="AL934" i="7"/>
  <c r="AK934" i="7"/>
  <c r="AJ934" i="7" s="1"/>
  <c r="AD934" i="7"/>
  <c r="AC934" i="7"/>
  <c r="AB934" i="7" s="1"/>
  <c r="V934" i="7"/>
  <c r="U934" i="7"/>
  <c r="T934" i="7" s="1"/>
  <c r="N934" i="7"/>
  <c r="M934" i="7"/>
  <c r="K934" i="7" s="1"/>
  <c r="F934" i="7"/>
  <c r="E934" i="7"/>
  <c r="D934" i="7" s="1"/>
  <c r="AT933" i="7"/>
  <c r="AS933" i="7"/>
  <c r="AQ933" i="7" s="1"/>
  <c r="AR933" i="7"/>
  <c r="AL933" i="7"/>
  <c r="AK933" i="7"/>
  <c r="AD933" i="7"/>
  <c r="AC933" i="7"/>
  <c r="AA933" i="7" s="1"/>
  <c r="V933" i="7"/>
  <c r="U933" i="7"/>
  <c r="T933" i="7" s="1"/>
  <c r="N933" i="7"/>
  <c r="M933" i="7"/>
  <c r="L933" i="7" s="1"/>
  <c r="F933" i="7"/>
  <c r="E933" i="7"/>
  <c r="D933" i="7" s="1"/>
  <c r="AT932" i="7"/>
  <c r="AS932" i="7"/>
  <c r="AQ932" i="7" s="1"/>
  <c r="AL932" i="7"/>
  <c r="AK932" i="7"/>
  <c r="AJ932" i="7" s="1"/>
  <c r="AD932" i="7"/>
  <c r="AC932" i="7"/>
  <c r="AB932" i="7" s="1"/>
  <c r="V932" i="7"/>
  <c r="U932" i="7"/>
  <c r="T932" i="7" s="1"/>
  <c r="N932" i="7"/>
  <c r="M932" i="7"/>
  <c r="L932" i="7" s="1"/>
  <c r="F932" i="7"/>
  <c r="E932" i="7"/>
  <c r="D932" i="7" s="1"/>
  <c r="AT931" i="7"/>
  <c r="AS931" i="7"/>
  <c r="AQ931" i="7" s="1"/>
  <c r="AL931" i="7"/>
  <c r="AK931" i="7"/>
  <c r="AJ931" i="7" s="1"/>
  <c r="AD931" i="7"/>
  <c r="AC931" i="7"/>
  <c r="AA931" i="7" s="1"/>
  <c r="V931" i="7"/>
  <c r="U931" i="7"/>
  <c r="T931" i="7" s="1"/>
  <c r="N931" i="7"/>
  <c r="M931" i="7"/>
  <c r="F931" i="7"/>
  <c r="E931" i="7"/>
  <c r="D931" i="7" s="1"/>
  <c r="AT930" i="7"/>
  <c r="AS930" i="7"/>
  <c r="AL930" i="7"/>
  <c r="AK930" i="7"/>
  <c r="AJ930" i="7" s="1"/>
  <c r="AD930" i="7"/>
  <c r="AC930" i="7"/>
  <c r="V930" i="7"/>
  <c r="U930" i="7"/>
  <c r="T930" i="7" s="1"/>
  <c r="N930" i="7"/>
  <c r="M930" i="7"/>
  <c r="L930" i="7" s="1"/>
  <c r="F930" i="7"/>
  <c r="E930" i="7"/>
  <c r="D930" i="7" s="1"/>
  <c r="AT929" i="7"/>
  <c r="AS929" i="7"/>
  <c r="AQ929" i="7" s="1"/>
  <c r="AL929" i="7"/>
  <c r="AK929" i="7"/>
  <c r="AJ929" i="7" s="1"/>
  <c r="AD929" i="7"/>
  <c r="AC929" i="7"/>
  <c r="AB929" i="7" s="1"/>
  <c r="V929" i="7"/>
  <c r="U929" i="7"/>
  <c r="T929" i="7" s="1"/>
  <c r="N929" i="7"/>
  <c r="M929" i="7"/>
  <c r="K929" i="7" s="1"/>
  <c r="F929" i="7"/>
  <c r="E929" i="7"/>
  <c r="D929" i="7" s="1"/>
  <c r="AT928" i="7"/>
  <c r="AS928" i="7"/>
  <c r="AQ928" i="7" s="1"/>
  <c r="AL928" i="7"/>
  <c r="AK928" i="7"/>
  <c r="AJ928" i="7" s="1"/>
  <c r="AD928" i="7"/>
  <c r="AC928" i="7"/>
  <c r="AB928" i="7" s="1"/>
  <c r="V928" i="7"/>
  <c r="U928" i="7"/>
  <c r="T928" i="7" s="1"/>
  <c r="N928" i="7"/>
  <c r="M928" i="7"/>
  <c r="K928" i="7" s="1"/>
  <c r="F928" i="7"/>
  <c r="E928" i="7"/>
  <c r="D928" i="7" s="1"/>
  <c r="AT927" i="7"/>
  <c r="AS927" i="7"/>
  <c r="AQ927" i="7" s="1"/>
  <c r="AL927" i="7"/>
  <c r="AK927" i="7"/>
  <c r="AD927" i="7"/>
  <c r="AC927" i="7"/>
  <c r="AB927" i="7" s="1"/>
  <c r="V927" i="7"/>
  <c r="U927" i="7"/>
  <c r="T927" i="7" s="1"/>
  <c r="N927" i="7"/>
  <c r="M927" i="7"/>
  <c r="L927" i="7" s="1"/>
  <c r="F927" i="7"/>
  <c r="E927" i="7"/>
  <c r="D927" i="7" s="1"/>
  <c r="AT926" i="7"/>
  <c r="AS926" i="7"/>
  <c r="AQ926" i="7" s="1"/>
  <c r="AL926" i="7"/>
  <c r="AK926" i="7"/>
  <c r="AJ926" i="7" s="1"/>
  <c r="AD926" i="7"/>
  <c r="AC926" i="7"/>
  <c r="AB926" i="7" s="1"/>
  <c r="V926" i="7"/>
  <c r="U926" i="7"/>
  <c r="T926" i="7" s="1"/>
  <c r="N926" i="7"/>
  <c r="M926" i="7"/>
  <c r="F926" i="7"/>
  <c r="E926" i="7"/>
  <c r="D926" i="7" s="1"/>
  <c r="AT925" i="7"/>
  <c r="AS925" i="7"/>
  <c r="AL925" i="7"/>
  <c r="AK925" i="7"/>
  <c r="AJ925" i="7" s="1"/>
  <c r="AD925" i="7"/>
  <c r="AC925" i="7"/>
  <c r="V925" i="7"/>
  <c r="U925" i="7"/>
  <c r="T925" i="7" s="1"/>
  <c r="N925" i="7"/>
  <c r="M925" i="7"/>
  <c r="F925" i="7"/>
  <c r="E925" i="7"/>
  <c r="D925" i="7" s="1"/>
  <c r="AT924" i="7"/>
  <c r="AS924" i="7"/>
  <c r="AL924" i="7"/>
  <c r="AK924" i="7"/>
  <c r="AJ924" i="7" s="1"/>
  <c r="AD924" i="7"/>
  <c r="AC924" i="7"/>
  <c r="V924" i="7"/>
  <c r="U924" i="7"/>
  <c r="T924" i="7" s="1"/>
  <c r="N924" i="7"/>
  <c r="M924" i="7"/>
  <c r="F924" i="7"/>
  <c r="E924" i="7"/>
  <c r="D924" i="7" s="1"/>
  <c r="AT923" i="7"/>
  <c r="AS923" i="7"/>
  <c r="AL923" i="7"/>
  <c r="AK923" i="7"/>
  <c r="AJ923" i="7" s="1"/>
  <c r="AD923" i="7"/>
  <c r="AC923" i="7"/>
  <c r="AB923" i="7" s="1"/>
  <c r="V923" i="7"/>
  <c r="U923" i="7"/>
  <c r="T923" i="7" s="1"/>
  <c r="N923" i="7"/>
  <c r="M923" i="7"/>
  <c r="L923" i="7" s="1"/>
  <c r="K923" i="7"/>
  <c r="F923" i="7"/>
  <c r="E923" i="7"/>
  <c r="D923" i="7" s="1"/>
  <c r="AT922" i="7"/>
  <c r="AS922" i="7"/>
  <c r="AQ922" i="7" s="1"/>
  <c r="AL922" i="7"/>
  <c r="AK922" i="7"/>
  <c r="AJ922" i="7" s="1"/>
  <c r="AD922" i="7"/>
  <c r="AC922" i="7"/>
  <c r="AB922" i="7" s="1"/>
  <c r="V922" i="7"/>
  <c r="U922" i="7"/>
  <c r="T922" i="7" s="1"/>
  <c r="N922" i="7"/>
  <c r="M922" i="7"/>
  <c r="K922" i="7" s="1"/>
  <c r="F922" i="7"/>
  <c r="E922" i="7"/>
  <c r="D922" i="7" s="1"/>
  <c r="AT921" i="7"/>
  <c r="AS921" i="7"/>
  <c r="AQ921" i="7" s="1"/>
  <c r="AL921" i="7"/>
  <c r="AK921" i="7"/>
  <c r="AD921" i="7"/>
  <c r="AC921" i="7"/>
  <c r="AB921" i="7" s="1"/>
  <c r="V921" i="7"/>
  <c r="U921" i="7"/>
  <c r="T921" i="7" s="1"/>
  <c r="N921" i="7"/>
  <c r="M921" i="7"/>
  <c r="L921" i="7" s="1"/>
  <c r="F921" i="7"/>
  <c r="E921" i="7"/>
  <c r="D921" i="7" s="1"/>
  <c r="AT920" i="7"/>
  <c r="AS920" i="7"/>
  <c r="AQ920" i="7" s="1"/>
  <c r="AL920" i="7"/>
  <c r="AK920" i="7"/>
  <c r="AJ920" i="7" s="1"/>
  <c r="AD920" i="7"/>
  <c r="AC920" i="7"/>
  <c r="AB920" i="7" s="1"/>
  <c r="V920" i="7"/>
  <c r="U920" i="7"/>
  <c r="T920" i="7" s="1"/>
  <c r="N920" i="7"/>
  <c r="M920" i="7"/>
  <c r="K920" i="7" s="1"/>
  <c r="L920" i="7"/>
  <c r="F920" i="7"/>
  <c r="E920" i="7"/>
  <c r="D920" i="7" s="1"/>
  <c r="AT919" i="7"/>
  <c r="AS919" i="7"/>
  <c r="AQ919" i="7" s="1"/>
  <c r="AL919" i="7"/>
  <c r="AK919" i="7"/>
  <c r="AJ919" i="7" s="1"/>
  <c r="AD919" i="7"/>
  <c r="AC919" i="7"/>
  <c r="AA919" i="7" s="1"/>
  <c r="V919" i="7"/>
  <c r="U919" i="7"/>
  <c r="T919" i="7" s="1"/>
  <c r="N919" i="7"/>
  <c r="M919" i="7"/>
  <c r="F919" i="7"/>
  <c r="E919" i="7"/>
  <c r="D919" i="7" s="1"/>
  <c r="AT918" i="7"/>
  <c r="AS918" i="7"/>
  <c r="AL918" i="7"/>
  <c r="AK918" i="7"/>
  <c r="AJ918" i="7" s="1"/>
  <c r="AD918" i="7"/>
  <c r="AC918" i="7"/>
  <c r="V918" i="7"/>
  <c r="U918" i="7"/>
  <c r="T918" i="7" s="1"/>
  <c r="N918" i="7"/>
  <c r="M918" i="7"/>
  <c r="L918" i="7" s="1"/>
  <c r="F918" i="7"/>
  <c r="E918" i="7"/>
  <c r="D918" i="7" s="1"/>
  <c r="AT917" i="7"/>
  <c r="AS917" i="7"/>
  <c r="AQ917" i="7" s="1"/>
  <c r="AL917" i="7"/>
  <c r="AK917" i="7"/>
  <c r="AJ917" i="7" s="1"/>
  <c r="AD917" i="7"/>
  <c r="AC917" i="7"/>
  <c r="AB917" i="7" s="1"/>
  <c r="V917" i="7"/>
  <c r="U917" i="7"/>
  <c r="T917" i="7" s="1"/>
  <c r="N917" i="7"/>
  <c r="M917" i="7"/>
  <c r="L917" i="7" s="1"/>
  <c r="F917" i="7"/>
  <c r="E917" i="7"/>
  <c r="D917" i="7" s="1"/>
  <c r="AT916" i="7"/>
  <c r="AS916" i="7"/>
  <c r="AQ916" i="7" s="1"/>
  <c r="AL916" i="7"/>
  <c r="AK916" i="7"/>
  <c r="AD916" i="7"/>
  <c r="AC916" i="7"/>
  <c r="AB916" i="7" s="1"/>
  <c r="V916" i="7"/>
  <c r="U916" i="7"/>
  <c r="T916" i="7" s="1"/>
  <c r="N916" i="7"/>
  <c r="M916" i="7"/>
  <c r="L916" i="7" s="1"/>
  <c r="F916" i="7"/>
  <c r="E916" i="7"/>
  <c r="D916" i="7" s="1"/>
  <c r="AT915" i="7"/>
  <c r="AS915" i="7"/>
  <c r="AQ915" i="7" s="1"/>
  <c r="AL915" i="7"/>
  <c r="AK915" i="7"/>
  <c r="AD915" i="7"/>
  <c r="AC915" i="7"/>
  <c r="AA915" i="7" s="1"/>
  <c r="V915" i="7"/>
  <c r="U915" i="7"/>
  <c r="T915" i="7" s="1"/>
  <c r="N915" i="7"/>
  <c r="M915" i="7"/>
  <c r="F915" i="7"/>
  <c r="E915" i="7"/>
  <c r="D915" i="7" s="1"/>
  <c r="AT914" i="7"/>
  <c r="AS914" i="7"/>
  <c r="AQ914" i="7" s="1"/>
  <c r="AL914" i="7"/>
  <c r="AK914" i="7"/>
  <c r="AJ914" i="7" s="1"/>
  <c r="AD914" i="7"/>
  <c r="AC914" i="7"/>
  <c r="AB914" i="7" s="1"/>
  <c r="V914" i="7"/>
  <c r="U914" i="7"/>
  <c r="T914" i="7" s="1"/>
  <c r="N914" i="7"/>
  <c r="M914" i="7"/>
  <c r="K914" i="7" s="1"/>
  <c r="F914" i="7"/>
  <c r="E914" i="7"/>
  <c r="D914" i="7" s="1"/>
  <c r="AT913" i="7"/>
  <c r="AS913" i="7"/>
  <c r="AQ913" i="7" s="1"/>
  <c r="AL913" i="7"/>
  <c r="AK913" i="7"/>
  <c r="AJ913" i="7" s="1"/>
  <c r="AD913" i="7"/>
  <c r="AC913" i="7"/>
  <c r="AA913" i="7" s="1"/>
  <c r="V913" i="7"/>
  <c r="U913" i="7"/>
  <c r="T913" i="7" s="1"/>
  <c r="N913" i="7"/>
  <c r="M913" i="7"/>
  <c r="F913" i="7"/>
  <c r="E913" i="7"/>
  <c r="AT912" i="7"/>
  <c r="AS912" i="7"/>
  <c r="AL912" i="7"/>
  <c r="AK912" i="7"/>
  <c r="AD912" i="7"/>
  <c r="AC912" i="7"/>
  <c r="V912" i="7"/>
  <c r="U912" i="7"/>
  <c r="T912" i="7" s="1"/>
  <c r="N912" i="7"/>
  <c r="M912" i="7"/>
  <c r="K912" i="7" s="1"/>
  <c r="F912" i="7"/>
  <c r="E912" i="7"/>
  <c r="AT911" i="7"/>
  <c r="AS911" i="7"/>
  <c r="AQ911" i="7" s="1"/>
  <c r="AR911" i="7"/>
  <c r="AL911" i="7"/>
  <c r="AK911" i="7"/>
  <c r="AJ911" i="7" s="1"/>
  <c r="AD911" i="7"/>
  <c r="AC911" i="7"/>
  <c r="AB911" i="7" s="1"/>
  <c r="V911" i="7"/>
  <c r="U911" i="7"/>
  <c r="T911" i="7" s="1"/>
  <c r="N911" i="7"/>
  <c r="M911" i="7"/>
  <c r="L911" i="7" s="1"/>
  <c r="F911" i="7"/>
  <c r="E911" i="7"/>
  <c r="AT910" i="7"/>
  <c r="AS910" i="7"/>
  <c r="AQ910" i="7" s="1"/>
  <c r="AL910" i="7"/>
  <c r="AK910" i="7"/>
  <c r="AD910" i="7"/>
  <c r="AC910" i="7"/>
  <c r="AB910" i="7" s="1"/>
  <c r="V910" i="7"/>
  <c r="U910" i="7"/>
  <c r="T910" i="7" s="1"/>
  <c r="N910" i="7"/>
  <c r="M910" i="7"/>
  <c r="L910" i="7" s="1"/>
  <c r="F910" i="7"/>
  <c r="E910" i="7"/>
  <c r="AT909" i="7"/>
  <c r="AS909" i="7"/>
  <c r="AQ909" i="7" s="1"/>
  <c r="AL909" i="7"/>
  <c r="AK909" i="7"/>
  <c r="AD909" i="7"/>
  <c r="AC909" i="7"/>
  <c r="AB909" i="7" s="1"/>
  <c r="V909" i="7"/>
  <c r="U909" i="7"/>
  <c r="T909" i="7" s="1"/>
  <c r="N909" i="7"/>
  <c r="M909" i="7"/>
  <c r="L909" i="7" s="1"/>
  <c r="F909" i="7"/>
  <c r="E909" i="7"/>
  <c r="AT908" i="7"/>
  <c r="AS908" i="7"/>
  <c r="AQ908" i="7" s="1"/>
  <c r="AL908" i="7"/>
  <c r="AK908" i="7"/>
  <c r="AJ908" i="7" s="1"/>
  <c r="AD908" i="7"/>
  <c r="AC908" i="7"/>
  <c r="AB908" i="7" s="1"/>
  <c r="V908" i="7"/>
  <c r="U908" i="7"/>
  <c r="T908" i="7" s="1"/>
  <c r="N908" i="7"/>
  <c r="M908" i="7"/>
  <c r="F908" i="7"/>
  <c r="E908" i="7"/>
  <c r="AT907" i="7"/>
  <c r="AS907" i="7"/>
  <c r="AL907" i="7"/>
  <c r="AK907" i="7"/>
  <c r="AJ907" i="7" s="1"/>
  <c r="AD907" i="7"/>
  <c r="AC907" i="7"/>
  <c r="V907" i="7"/>
  <c r="U907" i="7"/>
  <c r="T907" i="7" s="1"/>
  <c r="N907" i="7"/>
  <c r="M907" i="7"/>
  <c r="F907" i="7"/>
  <c r="E907" i="7"/>
  <c r="AT906" i="7"/>
  <c r="AS906" i="7"/>
  <c r="AL906" i="7"/>
  <c r="AK906" i="7"/>
  <c r="AJ906" i="7" s="1"/>
  <c r="AD906" i="7"/>
  <c r="AC906" i="7"/>
  <c r="V906" i="7"/>
  <c r="U906" i="7"/>
  <c r="T906" i="7" s="1"/>
  <c r="N906" i="7"/>
  <c r="M906" i="7"/>
  <c r="F906" i="7"/>
  <c r="E906" i="7"/>
  <c r="AT905" i="7"/>
  <c r="AS905" i="7"/>
  <c r="AQ905" i="7" s="1"/>
  <c r="AL905" i="7"/>
  <c r="AK905" i="7"/>
  <c r="AJ905" i="7" s="1"/>
  <c r="AD905" i="7"/>
  <c r="AC905" i="7"/>
  <c r="AB905" i="7" s="1"/>
  <c r="V905" i="7"/>
  <c r="U905" i="7"/>
  <c r="T905" i="7" s="1"/>
  <c r="N905" i="7"/>
  <c r="M905" i="7"/>
  <c r="F905" i="7"/>
  <c r="E905" i="7"/>
  <c r="AT904" i="7"/>
  <c r="AS904" i="7"/>
  <c r="AQ904" i="7" s="1"/>
  <c r="AL904" i="7"/>
  <c r="AK904" i="7"/>
  <c r="AJ904" i="7" s="1"/>
  <c r="AD904" i="7"/>
  <c r="AC904" i="7"/>
  <c r="AB904" i="7" s="1"/>
  <c r="V904" i="7"/>
  <c r="U904" i="7"/>
  <c r="T904" i="7" s="1"/>
  <c r="N904" i="7"/>
  <c r="M904" i="7"/>
  <c r="K904" i="7" s="1"/>
  <c r="F904" i="7"/>
  <c r="E904" i="7"/>
  <c r="AT903" i="7"/>
  <c r="AS903" i="7"/>
  <c r="AL903" i="7"/>
  <c r="AK903" i="7"/>
  <c r="AD903" i="7"/>
  <c r="AC903" i="7"/>
  <c r="AA903" i="7" s="1"/>
  <c r="V903" i="7"/>
  <c r="U903" i="7"/>
  <c r="T903" i="7" s="1"/>
  <c r="N903" i="7"/>
  <c r="M903" i="7"/>
  <c r="L903" i="7" s="1"/>
  <c r="F903" i="7"/>
  <c r="E903" i="7"/>
  <c r="AT902" i="7"/>
  <c r="AS902" i="7"/>
  <c r="AQ902" i="7" s="1"/>
  <c r="AL902" i="7"/>
  <c r="AK902" i="7"/>
  <c r="AJ902" i="7" s="1"/>
  <c r="AD902" i="7"/>
  <c r="AC902" i="7"/>
  <c r="AB902" i="7" s="1"/>
  <c r="V902" i="7"/>
  <c r="U902" i="7"/>
  <c r="T902" i="7" s="1"/>
  <c r="N902" i="7"/>
  <c r="M902" i="7"/>
  <c r="L902" i="7" s="1"/>
  <c r="F902" i="7"/>
  <c r="E902" i="7"/>
  <c r="AT901" i="7"/>
  <c r="AS901" i="7"/>
  <c r="AQ901" i="7" s="1"/>
  <c r="AR901" i="7"/>
  <c r="AL901" i="7"/>
  <c r="AK901" i="7"/>
  <c r="AJ901" i="7" s="1"/>
  <c r="AD901" i="7"/>
  <c r="AC901" i="7"/>
  <c r="V901" i="7"/>
  <c r="U901" i="7"/>
  <c r="T901" i="7" s="1"/>
  <c r="N901" i="7"/>
  <c r="M901" i="7"/>
  <c r="F901" i="7"/>
  <c r="E901" i="7"/>
  <c r="AT900" i="7"/>
  <c r="AS900" i="7"/>
  <c r="AL900" i="7"/>
  <c r="AK900" i="7"/>
  <c r="AJ900" i="7" s="1"/>
  <c r="AD900" i="7"/>
  <c r="AC900" i="7"/>
  <c r="V900" i="7"/>
  <c r="U900" i="7"/>
  <c r="T900" i="7" s="1"/>
  <c r="N900" i="7"/>
  <c r="M900" i="7"/>
  <c r="L900" i="7" s="1"/>
  <c r="F900" i="7"/>
  <c r="E900" i="7"/>
  <c r="AT899" i="7"/>
  <c r="AS899" i="7"/>
  <c r="AQ899" i="7" s="1"/>
  <c r="AL899" i="7"/>
  <c r="AK899" i="7"/>
  <c r="AD899" i="7"/>
  <c r="AC899" i="7"/>
  <c r="AB899" i="7" s="1"/>
  <c r="V899" i="7"/>
  <c r="U899" i="7"/>
  <c r="T899" i="7" s="1"/>
  <c r="N899" i="7"/>
  <c r="M899" i="7"/>
  <c r="K899" i="7" s="1"/>
  <c r="F899" i="7"/>
  <c r="E899" i="7"/>
  <c r="AT898" i="7"/>
  <c r="AS898" i="7"/>
  <c r="AQ898" i="7" s="1"/>
  <c r="AL898" i="7"/>
  <c r="AK898" i="7"/>
  <c r="AJ898" i="7" s="1"/>
  <c r="AD898" i="7"/>
  <c r="AC898" i="7"/>
  <c r="AA898" i="7" s="1"/>
  <c r="V898" i="7"/>
  <c r="U898" i="7"/>
  <c r="T898" i="7" s="1"/>
  <c r="N898" i="7"/>
  <c r="M898" i="7"/>
  <c r="L898" i="7" s="1"/>
  <c r="F898" i="7"/>
  <c r="E898" i="7"/>
  <c r="AT897" i="7"/>
  <c r="AS897" i="7"/>
  <c r="AQ897" i="7" s="1"/>
  <c r="AL897" i="7"/>
  <c r="AK897" i="7"/>
  <c r="AD897" i="7"/>
  <c r="AC897" i="7"/>
  <c r="AB897" i="7" s="1"/>
  <c r="V897" i="7"/>
  <c r="U897" i="7"/>
  <c r="T897" i="7" s="1"/>
  <c r="N897" i="7"/>
  <c r="M897" i="7"/>
  <c r="K897" i="7" s="1"/>
  <c r="F897" i="7"/>
  <c r="E897" i="7"/>
  <c r="AT896" i="7"/>
  <c r="AS896" i="7"/>
  <c r="AQ896" i="7" s="1"/>
  <c r="AL896" i="7"/>
  <c r="AK896" i="7"/>
  <c r="AD896" i="7"/>
  <c r="AC896" i="7"/>
  <c r="AB896" i="7" s="1"/>
  <c r="V896" i="7"/>
  <c r="U896" i="7"/>
  <c r="T896" i="7" s="1"/>
  <c r="N896" i="7"/>
  <c r="M896" i="7"/>
  <c r="K896" i="7" s="1"/>
  <c r="F896" i="7"/>
  <c r="E896" i="7"/>
  <c r="AT895" i="7"/>
  <c r="AS895" i="7"/>
  <c r="AQ895" i="7" s="1"/>
  <c r="AL895" i="7"/>
  <c r="AK895" i="7"/>
  <c r="AJ895" i="7" s="1"/>
  <c r="AD895" i="7"/>
  <c r="AC895" i="7"/>
  <c r="V895" i="7"/>
  <c r="U895" i="7"/>
  <c r="T895" i="7" s="1"/>
  <c r="N895" i="7"/>
  <c r="M895" i="7"/>
  <c r="F895" i="7"/>
  <c r="E895" i="7"/>
  <c r="AT894" i="7"/>
  <c r="AS894" i="7"/>
  <c r="AL894" i="7"/>
  <c r="AK894" i="7"/>
  <c r="AJ894" i="7" s="1"/>
  <c r="AD894" i="7"/>
  <c r="AC894" i="7"/>
  <c r="V894" i="7"/>
  <c r="U894" i="7"/>
  <c r="T894" i="7" s="1"/>
  <c r="N894" i="7"/>
  <c r="M894" i="7"/>
  <c r="L894" i="7" s="1"/>
  <c r="F894" i="7"/>
  <c r="E894" i="7"/>
  <c r="AT893" i="7"/>
  <c r="AS893" i="7"/>
  <c r="AQ893" i="7" s="1"/>
  <c r="AL893" i="7"/>
  <c r="AK893" i="7"/>
  <c r="AJ893" i="7" s="1"/>
  <c r="AD893" i="7"/>
  <c r="AC893" i="7"/>
  <c r="AB893" i="7" s="1"/>
  <c r="V893" i="7"/>
  <c r="U893" i="7"/>
  <c r="T893" i="7" s="1"/>
  <c r="N893" i="7"/>
  <c r="M893" i="7"/>
  <c r="F893" i="7"/>
  <c r="E893" i="7"/>
  <c r="AT892" i="7"/>
  <c r="AS892" i="7"/>
  <c r="AL892" i="7"/>
  <c r="AK892" i="7"/>
  <c r="AJ892" i="7" s="1"/>
  <c r="AD892" i="7"/>
  <c r="AC892" i="7"/>
  <c r="AB892" i="7" s="1"/>
  <c r="V892" i="7"/>
  <c r="U892" i="7"/>
  <c r="T892" i="7" s="1"/>
  <c r="N892" i="7"/>
  <c r="M892" i="7"/>
  <c r="L892" i="7" s="1"/>
  <c r="F892" i="7"/>
  <c r="E892" i="7"/>
  <c r="AT891" i="7"/>
  <c r="AS891" i="7"/>
  <c r="AQ891" i="7" s="1"/>
  <c r="AL891" i="7"/>
  <c r="AK891" i="7"/>
  <c r="AD891" i="7"/>
  <c r="AC891" i="7"/>
  <c r="AB891" i="7" s="1"/>
  <c r="V891" i="7"/>
  <c r="U891" i="7"/>
  <c r="T891" i="7" s="1"/>
  <c r="N891" i="7"/>
  <c r="M891" i="7"/>
  <c r="L891" i="7" s="1"/>
  <c r="F891" i="7"/>
  <c r="E891" i="7"/>
  <c r="AT890" i="7"/>
  <c r="AS890" i="7"/>
  <c r="AQ890" i="7" s="1"/>
  <c r="AL890" i="7"/>
  <c r="AK890" i="7"/>
  <c r="AJ890" i="7" s="1"/>
  <c r="AD890" i="7"/>
  <c r="AC890" i="7"/>
  <c r="AA890" i="7" s="1"/>
  <c r="V890" i="7"/>
  <c r="U890" i="7"/>
  <c r="T890" i="7" s="1"/>
  <c r="N890" i="7"/>
  <c r="M890" i="7"/>
  <c r="F890" i="7"/>
  <c r="E890" i="7"/>
  <c r="AT889" i="7"/>
  <c r="AS889" i="7"/>
  <c r="AQ889" i="7" s="1"/>
  <c r="AL889" i="7"/>
  <c r="AK889" i="7"/>
  <c r="AJ889" i="7" s="1"/>
  <c r="AD889" i="7"/>
  <c r="AC889" i="7"/>
  <c r="AA889" i="7" s="1"/>
  <c r="V889" i="7"/>
  <c r="U889" i="7"/>
  <c r="T889" i="7" s="1"/>
  <c r="N889" i="7"/>
  <c r="M889" i="7"/>
  <c r="F889" i="7"/>
  <c r="E889" i="7"/>
  <c r="AT888" i="7"/>
  <c r="AS888" i="7"/>
  <c r="AL888" i="7"/>
  <c r="AK888" i="7"/>
  <c r="AJ888" i="7" s="1"/>
  <c r="AD888" i="7"/>
  <c r="AC888" i="7"/>
  <c r="V888" i="7"/>
  <c r="U888" i="7"/>
  <c r="T888" i="7" s="1"/>
  <c r="N888" i="7"/>
  <c r="M888" i="7"/>
  <c r="K888" i="7" s="1"/>
  <c r="F888" i="7"/>
  <c r="E888" i="7"/>
  <c r="AT887" i="7"/>
  <c r="AS887" i="7"/>
  <c r="AQ887" i="7" s="1"/>
  <c r="AL887" i="7"/>
  <c r="AK887" i="7"/>
  <c r="AD887" i="7"/>
  <c r="AC887" i="7"/>
  <c r="AB887" i="7" s="1"/>
  <c r="V887" i="7"/>
  <c r="U887" i="7"/>
  <c r="T887" i="7" s="1"/>
  <c r="N887" i="7"/>
  <c r="M887" i="7"/>
  <c r="L887" i="7" s="1"/>
  <c r="F887" i="7"/>
  <c r="E887" i="7"/>
  <c r="AT886" i="7"/>
  <c r="AS886" i="7"/>
  <c r="AQ886" i="7" s="1"/>
  <c r="AL886" i="7"/>
  <c r="AK886" i="7"/>
  <c r="AD886" i="7"/>
  <c r="AC886" i="7"/>
  <c r="AB886" i="7" s="1"/>
  <c r="V886" i="7"/>
  <c r="U886" i="7"/>
  <c r="T886" i="7" s="1"/>
  <c r="N886" i="7"/>
  <c r="M886" i="7"/>
  <c r="L886" i="7" s="1"/>
  <c r="F886" i="7"/>
  <c r="E886" i="7"/>
  <c r="AT885" i="7"/>
  <c r="AS885" i="7"/>
  <c r="AQ885" i="7" s="1"/>
  <c r="AL885" i="7"/>
  <c r="AK885" i="7"/>
  <c r="AD885" i="7"/>
  <c r="AC885" i="7"/>
  <c r="V885" i="7"/>
  <c r="U885" i="7"/>
  <c r="T885" i="7" s="1"/>
  <c r="N885" i="7"/>
  <c r="M885" i="7"/>
  <c r="K885" i="7" s="1"/>
  <c r="F885" i="7"/>
  <c r="E885" i="7"/>
  <c r="AT884" i="7"/>
  <c r="AS884" i="7"/>
  <c r="AQ884" i="7" s="1"/>
  <c r="AL884" i="7"/>
  <c r="AK884" i="7"/>
  <c r="AJ884" i="7" s="1"/>
  <c r="AD884" i="7"/>
  <c r="AC884" i="7"/>
  <c r="V884" i="7"/>
  <c r="U884" i="7"/>
  <c r="T884" i="7" s="1"/>
  <c r="N884" i="7"/>
  <c r="M884" i="7"/>
  <c r="F884" i="7"/>
  <c r="E884" i="7"/>
  <c r="AT883" i="7"/>
  <c r="AS883" i="7"/>
  <c r="AQ883" i="7" s="1"/>
  <c r="AL883" i="7"/>
  <c r="AK883" i="7"/>
  <c r="AJ883" i="7" s="1"/>
  <c r="AD883" i="7"/>
  <c r="AC883" i="7"/>
  <c r="AA883" i="7" s="1"/>
  <c r="V883" i="7"/>
  <c r="U883" i="7"/>
  <c r="T883" i="7" s="1"/>
  <c r="N883" i="7"/>
  <c r="M883" i="7"/>
  <c r="F883" i="7"/>
  <c r="E883" i="7"/>
  <c r="AT882" i="7"/>
  <c r="AS882" i="7"/>
  <c r="AL882" i="7"/>
  <c r="AK882" i="7"/>
  <c r="AJ882" i="7" s="1"/>
  <c r="AD882" i="7"/>
  <c r="AC882" i="7"/>
  <c r="V882" i="7"/>
  <c r="U882" i="7"/>
  <c r="T882" i="7" s="1"/>
  <c r="N882" i="7"/>
  <c r="M882" i="7"/>
  <c r="L882" i="7" s="1"/>
  <c r="F882" i="7"/>
  <c r="E882" i="7"/>
  <c r="AT881" i="7"/>
  <c r="AS881" i="7"/>
  <c r="AQ881" i="7" s="1"/>
  <c r="AL881" i="7"/>
  <c r="AK881" i="7"/>
  <c r="AJ881" i="7" s="1"/>
  <c r="AD881" i="7"/>
  <c r="AC881" i="7"/>
  <c r="AB881" i="7" s="1"/>
  <c r="V881" i="7"/>
  <c r="U881" i="7"/>
  <c r="T881" i="7" s="1"/>
  <c r="N881" i="7"/>
  <c r="M881" i="7"/>
  <c r="F881" i="7"/>
  <c r="E881" i="7"/>
  <c r="AT880" i="7"/>
  <c r="AS880" i="7"/>
  <c r="AL880" i="7"/>
  <c r="AK880" i="7"/>
  <c r="AJ880" i="7" s="1"/>
  <c r="AI880" i="7"/>
  <c r="AD880" i="7"/>
  <c r="AC880" i="7"/>
  <c r="AB880" i="7" s="1"/>
  <c r="V880" i="7"/>
  <c r="U880" i="7"/>
  <c r="T880" i="7" s="1"/>
  <c r="N880" i="7"/>
  <c r="M880" i="7"/>
  <c r="L880" i="7" s="1"/>
  <c r="F880" i="7"/>
  <c r="E880" i="7"/>
  <c r="AT879" i="7"/>
  <c r="AS879" i="7"/>
  <c r="AQ879" i="7" s="1"/>
  <c r="AL879" i="7"/>
  <c r="AK879" i="7"/>
  <c r="AD879" i="7"/>
  <c r="AC879" i="7"/>
  <c r="AB879" i="7" s="1"/>
  <c r="V879" i="7"/>
  <c r="U879" i="7"/>
  <c r="T879" i="7" s="1"/>
  <c r="N879" i="7"/>
  <c r="M879" i="7"/>
  <c r="K879" i="7" s="1"/>
  <c r="F879" i="7"/>
  <c r="E879" i="7"/>
  <c r="AT878" i="7"/>
  <c r="AS878" i="7"/>
  <c r="AQ878" i="7" s="1"/>
  <c r="AL878" i="7"/>
  <c r="AK878" i="7"/>
  <c r="AJ878" i="7" s="1"/>
  <c r="AD878" i="7"/>
  <c r="AC878" i="7"/>
  <c r="AA878" i="7" s="1"/>
  <c r="V878" i="7"/>
  <c r="U878" i="7"/>
  <c r="T878" i="7" s="1"/>
  <c r="N878" i="7"/>
  <c r="M878" i="7"/>
  <c r="K878" i="7" s="1"/>
  <c r="F878" i="7"/>
  <c r="E878" i="7"/>
  <c r="AT877" i="7"/>
  <c r="AS877" i="7"/>
  <c r="AL877" i="7"/>
  <c r="AK877" i="7"/>
  <c r="AJ877" i="7" s="1"/>
  <c r="AD877" i="7"/>
  <c r="AC877" i="7"/>
  <c r="AA877" i="7" s="1"/>
  <c r="AB877" i="7"/>
  <c r="V877" i="7"/>
  <c r="U877" i="7"/>
  <c r="T877" i="7" s="1"/>
  <c r="N877" i="7"/>
  <c r="M877" i="7"/>
  <c r="F877" i="7"/>
  <c r="E877" i="7"/>
  <c r="AT876" i="7"/>
  <c r="AS876" i="7"/>
  <c r="AL876" i="7"/>
  <c r="AK876" i="7"/>
  <c r="AJ876" i="7" s="1"/>
  <c r="AD876" i="7"/>
  <c r="AC876" i="7"/>
  <c r="V876" i="7"/>
  <c r="U876" i="7"/>
  <c r="T876" i="7" s="1"/>
  <c r="N876" i="7"/>
  <c r="M876" i="7"/>
  <c r="K876" i="7" s="1"/>
  <c r="F876" i="7"/>
  <c r="E876" i="7"/>
  <c r="AT875" i="7"/>
  <c r="AS875" i="7"/>
  <c r="AQ875" i="7" s="1"/>
  <c r="AL875" i="7"/>
  <c r="AK875" i="7"/>
  <c r="AJ875" i="7" s="1"/>
  <c r="AD875" i="7"/>
  <c r="AC875" i="7"/>
  <c r="AA875" i="7" s="1"/>
  <c r="V875" i="7"/>
  <c r="U875" i="7"/>
  <c r="T875" i="7" s="1"/>
  <c r="N875" i="7"/>
  <c r="M875" i="7"/>
  <c r="L875" i="7" s="1"/>
  <c r="F875" i="7"/>
  <c r="E875" i="7"/>
  <c r="AT874" i="7"/>
  <c r="AS874" i="7"/>
  <c r="AQ874" i="7" s="1"/>
  <c r="AL874" i="7"/>
  <c r="AK874" i="7"/>
  <c r="AJ874" i="7" s="1"/>
  <c r="AD874" i="7"/>
  <c r="AC874" i="7"/>
  <c r="AB874" i="7" s="1"/>
  <c r="V874" i="7"/>
  <c r="U874" i="7"/>
  <c r="T874" i="7" s="1"/>
  <c r="N874" i="7"/>
  <c r="M874" i="7"/>
  <c r="K874" i="7" s="1"/>
  <c r="F874" i="7"/>
  <c r="E874" i="7"/>
  <c r="D874" i="7" s="1"/>
  <c r="AT873" i="7"/>
  <c r="AS873" i="7"/>
  <c r="AL873" i="7"/>
  <c r="AK873" i="7"/>
  <c r="AJ873" i="7" s="1"/>
  <c r="AD873" i="7"/>
  <c r="AC873" i="7"/>
  <c r="V873" i="7"/>
  <c r="U873" i="7"/>
  <c r="N873" i="7"/>
  <c r="M873" i="7"/>
  <c r="F873" i="7"/>
  <c r="E873" i="7"/>
  <c r="D873" i="7" s="1"/>
  <c r="AT872" i="7"/>
  <c r="AS872" i="7"/>
  <c r="AL872" i="7"/>
  <c r="AK872" i="7"/>
  <c r="AJ872" i="7" s="1"/>
  <c r="AD872" i="7"/>
  <c r="AC872" i="7"/>
  <c r="V872" i="7"/>
  <c r="U872" i="7"/>
  <c r="T872" i="7" s="1"/>
  <c r="N872" i="7"/>
  <c r="M872" i="7"/>
  <c r="L872" i="7" s="1"/>
  <c r="F872" i="7"/>
  <c r="E872" i="7"/>
  <c r="AT871" i="7"/>
  <c r="AS871" i="7"/>
  <c r="AQ871" i="7" s="1"/>
  <c r="AL871" i="7"/>
  <c r="AK871" i="7"/>
  <c r="AD871" i="7"/>
  <c r="AC871" i="7"/>
  <c r="AB871" i="7" s="1"/>
  <c r="V871" i="7"/>
  <c r="U871" i="7"/>
  <c r="T871" i="7" s="1"/>
  <c r="N871" i="7"/>
  <c r="M871" i="7"/>
  <c r="K871" i="7" s="1"/>
  <c r="F871" i="7"/>
  <c r="E871" i="7"/>
  <c r="D871" i="7" s="1"/>
  <c r="AT870" i="7"/>
  <c r="AS870" i="7"/>
  <c r="AQ870" i="7" s="1"/>
  <c r="AL870" i="7"/>
  <c r="AK870" i="7"/>
  <c r="AJ870" i="7" s="1"/>
  <c r="AD870" i="7"/>
  <c r="AC870" i="7"/>
  <c r="V870" i="7"/>
  <c r="U870" i="7"/>
  <c r="T870" i="7" s="1"/>
  <c r="N870" i="7"/>
  <c r="M870" i="7"/>
  <c r="K870" i="7" s="1"/>
  <c r="F870" i="7"/>
  <c r="E870" i="7"/>
  <c r="D870" i="7" s="1"/>
  <c r="AT869" i="7"/>
  <c r="AS869" i="7"/>
  <c r="AQ869" i="7" s="1"/>
  <c r="AL869" i="7"/>
  <c r="AK869" i="7"/>
  <c r="AJ869" i="7" s="1"/>
  <c r="AD869" i="7"/>
  <c r="AC869" i="7"/>
  <c r="V869" i="7"/>
  <c r="U869" i="7"/>
  <c r="N869" i="7"/>
  <c r="M869" i="7"/>
  <c r="L869" i="7" s="1"/>
  <c r="F869" i="7"/>
  <c r="E869" i="7"/>
  <c r="AT868" i="7"/>
  <c r="AS868" i="7"/>
  <c r="AQ868" i="7" s="1"/>
  <c r="AL868" i="7"/>
  <c r="AK868" i="7"/>
  <c r="AJ868" i="7" s="1"/>
  <c r="AD868" i="7"/>
  <c r="AC868" i="7"/>
  <c r="AA868" i="7" s="1"/>
  <c r="V868" i="7"/>
  <c r="U868" i="7"/>
  <c r="N868" i="7"/>
  <c r="M868" i="7"/>
  <c r="F868" i="7"/>
  <c r="E868" i="7"/>
  <c r="D868" i="7" s="1"/>
  <c r="AT867" i="7"/>
  <c r="AS867" i="7"/>
  <c r="AQ867" i="7" s="1"/>
  <c r="AL867" i="7"/>
  <c r="AK867" i="7"/>
  <c r="AJ867" i="7" s="1"/>
  <c r="AD867" i="7"/>
  <c r="AC867" i="7"/>
  <c r="AA867" i="7" s="1"/>
  <c r="V867" i="7"/>
  <c r="U867" i="7"/>
  <c r="T867" i="7" s="1"/>
  <c r="N867" i="7"/>
  <c r="M867" i="7"/>
  <c r="K867" i="7" s="1"/>
  <c r="F867" i="7"/>
  <c r="E867" i="7"/>
  <c r="D867" i="7" s="1"/>
  <c r="AT866" i="7"/>
  <c r="AS866" i="7"/>
  <c r="AQ866" i="7" s="1"/>
  <c r="AL866" i="7"/>
  <c r="AK866" i="7"/>
  <c r="AJ866" i="7" s="1"/>
  <c r="AD866" i="7"/>
  <c r="AC866" i="7"/>
  <c r="V866" i="7"/>
  <c r="U866" i="7"/>
  <c r="T866" i="7" s="1"/>
  <c r="N866" i="7"/>
  <c r="M866" i="7"/>
  <c r="L866" i="7" s="1"/>
  <c r="F866" i="7"/>
  <c r="E866" i="7"/>
  <c r="AT865" i="7"/>
  <c r="AS865" i="7"/>
  <c r="AQ865" i="7" s="1"/>
  <c r="AL865" i="7"/>
  <c r="AK865" i="7"/>
  <c r="AJ865" i="7" s="1"/>
  <c r="AD865" i="7"/>
  <c r="AC865" i="7"/>
  <c r="AA865" i="7" s="1"/>
  <c r="AB865" i="7"/>
  <c r="V865" i="7"/>
  <c r="U865" i="7"/>
  <c r="T865" i="7" s="1"/>
  <c r="N865" i="7"/>
  <c r="M865" i="7"/>
  <c r="F865" i="7"/>
  <c r="E865" i="7"/>
  <c r="D865" i="7" s="1"/>
  <c r="AT864" i="7"/>
  <c r="AS864" i="7"/>
  <c r="AQ864" i="7" s="1"/>
  <c r="AL864" i="7"/>
  <c r="AK864" i="7"/>
  <c r="AJ864" i="7" s="1"/>
  <c r="AD864" i="7"/>
  <c r="AC864" i="7"/>
  <c r="V864" i="7"/>
  <c r="U864" i="7"/>
  <c r="T864" i="7" s="1"/>
  <c r="N864" i="7"/>
  <c r="M864" i="7"/>
  <c r="K864" i="7" s="1"/>
  <c r="F864" i="7"/>
  <c r="E864" i="7"/>
  <c r="D864" i="7" s="1"/>
  <c r="AT863" i="7"/>
  <c r="AS863" i="7"/>
  <c r="AQ863" i="7" s="1"/>
  <c r="AL863" i="7"/>
  <c r="AK863" i="7"/>
  <c r="AJ863" i="7" s="1"/>
  <c r="AD863" i="7"/>
  <c r="AC863" i="7"/>
  <c r="V863" i="7"/>
  <c r="U863" i="7"/>
  <c r="T863" i="7" s="1"/>
  <c r="N863" i="7"/>
  <c r="M863" i="7"/>
  <c r="L863" i="7" s="1"/>
  <c r="F863" i="7"/>
  <c r="E863" i="7"/>
  <c r="AT862" i="7"/>
  <c r="AS862" i="7"/>
  <c r="AQ862" i="7" s="1"/>
  <c r="AL862" i="7"/>
  <c r="AK862" i="7"/>
  <c r="AJ862" i="7" s="1"/>
  <c r="AD862" i="7"/>
  <c r="AC862" i="7"/>
  <c r="AA862" i="7" s="1"/>
  <c r="AB862" i="7"/>
  <c r="V862" i="7"/>
  <c r="U862" i="7"/>
  <c r="T862" i="7" s="1"/>
  <c r="N862" i="7"/>
  <c r="M862" i="7"/>
  <c r="F862" i="7"/>
  <c r="E862" i="7"/>
  <c r="D862" i="7" s="1"/>
  <c r="AT861" i="7"/>
  <c r="AS861" i="7"/>
  <c r="AQ861" i="7" s="1"/>
  <c r="AL861" i="7"/>
  <c r="AK861" i="7"/>
  <c r="AJ861" i="7" s="1"/>
  <c r="AD861" i="7"/>
  <c r="AC861" i="7"/>
  <c r="AA861" i="7" s="1"/>
  <c r="V861" i="7"/>
  <c r="U861" i="7"/>
  <c r="T861" i="7" s="1"/>
  <c r="N861" i="7"/>
  <c r="M861" i="7"/>
  <c r="F861" i="7"/>
  <c r="E861" i="7"/>
  <c r="D861" i="7" s="1"/>
  <c r="AT860" i="7"/>
  <c r="AS860" i="7"/>
  <c r="AQ860" i="7" s="1"/>
  <c r="AL860" i="7"/>
  <c r="AK860" i="7"/>
  <c r="AJ860" i="7" s="1"/>
  <c r="AD860" i="7"/>
  <c r="AC860" i="7"/>
  <c r="V860" i="7"/>
  <c r="U860" i="7"/>
  <c r="T860" i="7" s="1"/>
  <c r="N860" i="7"/>
  <c r="M860" i="7"/>
  <c r="L860" i="7" s="1"/>
  <c r="F860" i="7"/>
  <c r="E860" i="7"/>
  <c r="AT859" i="7"/>
  <c r="AS859" i="7"/>
  <c r="AQ859" i="7" s="1"/>
  <c r="AL859" i="7"/>
  <c r="AK859" i="7"/>
  <c r="AJ859" i="7" s="1"/>
  <c r="AD859" i="7"/>
  <c r="AC859" i="7"/>
  <c r="V859" i="7"/>
  <c r="U859" i="7"/>
  <c r="T859" i="7" s="1"/>
  <c r="N859" i="7"/>
  <c r="M859" i="7"/>
  <c r="K859" i="7" s="1"/>
  <c r="F859" i="7"/>
  <c r="E859" i="7"/>
  <c r="D859" i="7" s="1"/>
  <c r="AT858" i="7"/>
  <c r="AS858" i="7"/>
  <c r="AL858" i="7"/>
  <c r="AK858" i="7"/>
  <c r="AJ858" i="7" s="1"/>
  <c r="AI858" i="7"/>
  <c r="AH858" i="7" s="1"/>
  <c r="AD858" i="7"/>
  <c r="AC858" i="7"/>
  <c r="V858" i="7"/>
  <c r="U858" i="7"/>
  <c r="T858" i="7" s="1"/>
  <c r="N858" i="7"/>
  <c r="M858" i="7"/>
  <c r="K858" i="7" s="1"/>
  <c r="F858" i="7"/>
  <c r="E858" i="7"/>
  <c r="D858" i="7" s="1"/>
  <c r="AT857" i="7"/>
  <c r="AS857" i="7"/>
  <c r="AQ857" i="7" s="1"/>
  <c r="AL857" i="7"/>
  <c r="AK857" i="7"/>
  <c r="AJ857" i="7" s="1"/>
  <c r="AD857" i="7"/>
  <c r="AC857" i="7"/>
  <c r="V857" i="7"/>
  <c r="U857" i="7"/>
  <c r="N857" i="7"/>
  <c r="M857" i="7"/>
  <c r="K857" i="7" s="1"/>
  <c r="F857" i="7"/>
  <c r="E857" i="7"/>
  <c r="AT856" i="7"/>
  <c r="AS856" i="7"/>
  <c r="AQ856" i="7" s="1"/>
  <c r="AL856" i="7"/>
  <c r="AK856" i="7"/>
  <c r="AJ856" i="7" s="1"/>
  <c r="AD856" i="7"/>
  <c r="AC856" i="7"/>
  <c r="AB856" i="7" s="1"/>
  <c r="V856" i="7"/>
  <c r="U856" i="7"/>
  <c r="T856" i="7" s="1"/>
  <c r="N856" i="7"/>
  <c r="M856" i="7"/>
  <c r="K856" i="7" s="1"/>
  <c r="F856" i="7"/>
  <c r="E856" i="7"/>
  <c r="D856" i="7" s="1"/>
  <c r="AT855" i="7"/>
  <c r="AS855" i="7"/>
  <c r="AQ855" i="7" s="1"/>
  <c r="AL855" i="7"/>
  <c r="AK855" i="7"/>
  <c r="AJ855" i="7" s="1"/>
  <c r="AD855" i="7"/>
  <c r="AC855" i="7"/>
  <c r="AA855" i="7" s="1"/>
  <c r="V855" i="7"/>
  <c r="U855" i="7"/>
  <c r="T855" i="7" s="1"/>
  <c r="N855" i="7"/>
  <c r="M855" i="7"/>
  <c r="F855" i="7"/>
  <c r="E855" i="7"/>
  <c r="D855" i="7" s="1"/>
  <c r="AT854" i="7"/>
  <c r="AS854" i="7"/>
  <c r="AQ854" i="7" s="1"/>
  <c r="AL854" i="7"/>
  <c r="AK854" i="7"/>
  <c r="AJ854" i="7" s="1"/>
  <c r="AD854" i="7"/>
  <c r="AC854" i="7"/>
  <c r="V854" i="7"/>
  <c r="U854" i="7"/>
  <c r="N854" i="7"/>
  <c r="M854" i="7"/>
  <c r="K854" i="7" s="1"/>
  <c r="L854" i="7"/>
  <c r="F854" i="7"/>
  <c r="E854" i="7"/>
  <c r="AT853" i="7"/>
  <c r="AS853" i="7"/>
  <c r="AQ853" i="7" s="1"/>
  <c r="AL853" i="7"/>
  <c r="AK853" i="7"/>
  <c r="AJ853" i="7" s="1"/>
  <c r="AD853" i="7"/>
  <c r="AC853" i="7"/>
  <c r="AB853" i="7" s="1"/>
  <c r="V853" i="7"/>
  <c r="U853" i="7"/>
  <c r="T853" i="7" s="1"/>
  <c r="N853" i="7"/>
  <c r="M853" i="7"/>
  <c r="K853" i="7" s="1"/>
  <c r="F853" i="7"/>
  <c r="E853" i="7"/>
  <c r="D853" i="7" s="1"/>
  <c r="AT852" i="7"/>
  <c r="AS852" i="7"/>
  <c r="AQ852" i="7" s="1"/>
  <c r="AL852" i="7"/>
  <c r="AK852" i="7"/>
  <c r="AJ852" i="7" s="1"/>
  <c r="AD852" i="7"/>
  <c r="AC852" i="7"/>
  <c r="AA852" i="7" s="1"/>
  <c r="V852" i="7"/>
  <c r="U852" i="7"/>
  <c r="T852" i="7" s="1"/>
  <c r="N852" i="7"/>
  <c r="M852" i="7"/>
  <c r="F852" i="7"/>
  <c r="E852" i="7"/>
  <c r="D852" i="7" s="1"/>
  <c r="AT851" i="7"/>
  <c r="AS851" i="7"/>
  <c r="AQ851" i="7" s="1"/>
  <c r="AL851" i="7"/>
  <c r="AK851" i="7"/>
  <c r="AJ851" i="7" s="1"/>
  <c r="AD851" i="7"/>
  <c r="AC851" i="7"/>
  <c r="V851" i="7"/>
  <c r="U851" i="7"/>
  <c r="N851" i="7"/>
  <c r="M851" i="7"/>
  <c r="L851" i="7" s="1"/>
  <c r="F851" i="7"/>
  <c r="E851" i="7"/>
  <c r="AT850" i="7"/>
  <c r="AS850" i="7"/>
  <c r="AQ850" i="7" s="1"/>
  <c r="AL850" i="7"/>
  <c r="AK850" i="7"/>
  <c r="AJ850" i="7" s="1"/>
  <c r="AD850" i="7"/>
  <c r="AC850" i="7"/>
  <c r="AB850" i="7" s="1"/>
  <c r="V850" i="7"/>
  <c r="U850" i="7"/>
  <c r="T850" i="7" s="1"/>
  <c r="N850" i="7"/>
  <c r="M850" i="7"/>
  <c r="K850" i="7" s="1"/>
  <c r="F850" i="7"/>
  <c r="E850" i="7"/>
  <c r="D850" i="7" s="1"/>
  <c r="AT849" i="7"/>
  <c r="AS849" i="7"/>
  <c r="AQ849" i="7" s="1"/>
  <c r="AL849" i="7"/>
  <c r="AK849" i="7"/>
  <c r="AJ849" i="7" s="1"/>
  <c r="AD849" i="7"/>
  <c r="AC849" i="7"/>
  <c r="AA849" i="7" s="1"/>
  <c r="V849" i="7"/>
  <c r="U849" i="7"/>
  <c r="T849" i="7" s="1"/>
  <c r="N849" i="7"/>
  <c r="M849" i="7"/>
  <c r="F849" i="7"/>
  <c r="E849" i="7"/>
  <c r="D849" i="7" s="1"/>
  <c r="AT848" i="7"/>
  <c r="AS848" i="7"/>
  <c r="AL848" i="7"/>
  <c r="AK848" i="7"/>
  <c r="AJ848" i="7" s="1"/>
  <c r="AD848" i="7"/>
  <c r="AC848" i="7"/>
  <c r="V848" i="7"/>
  <c r="U848" i="7"/>
  <c r="T848" i="7" s="1"/>
  <c r="N848" i="7"/>
  <c r="M848" i="7"/>
  <c r="K848" i="7" s="1"/>
  <c r="F848" i="7"/>
  <c r="E848" i="7"/>
  <c r="AT847" i="7"/>
  <c r="AS847" i="7"/>
  <c r="AQ847" i="7" s="1"/>
  <c r="AL847" i="7"/>
  <c r="AK847" i="7"/>
  <c r="AJ847" i="7" s="1"/>
  <c r="AD847" i="7"/>
  <c r="AC847" i="7"/>
  <c r="AB847" i="7" s="1"/>
  <c r="V847" i="7"/>
  <c r="U847" i="7"/>
  <c r="N847" i="7"/>
  <c r="M847" i="7"/>
  <c r="F847" i="7"/>
  <c r="E847" i="7"/>
  <c r="D847" i="7" s="1"/>
  <c r="AT846" i="7"/>
  <c r="AS846" i="7"/>
  <c r="AQ846" i="7" s="1"/>
  <c r="AL846" i="7"/>
  <c r="AK846" i="7"/>
  <c r="AI846" i="7" s="1"/>
  <c r="AD846" i="7"/>
  <c r="AC846" i="7"/>
  <c r="AB846" i="7" s="1"/>
  <c r="V846" i="7"/>
  <c r="U846" i="7"/>
  <c r="T846" i="7" s="1"/>
  <c r="N846" i="7"/>
  <c r="M846" i="7"/>
  <c r="L846" i="7" s="1"/>
  <c r="F846" i="7"/>
  <c r="E846" i="7"/>
  <c r="D846" i="7" s="1"/>
  <c r="AT845" i="7"/>
  <c r="AS845" i="7"/>
  <c r="AL845" i="7"/>
  <c r="AK845" i="7"/>
  <c r="AI845" i="7" s="1"/>
  <c r="AD845" i="7"/>
  <c r="AC845" i="7"/>
  <c r="AA845" i="7" s="1"/>
  <c r="V845" i="7"/>
  <c r="U845" i="7"/>
  <c r="T845" i="7" s="1"/>
  <c r="N845" i="7"/>
  <c r="M845" i="7"/>
  <c r="K845" i="7" s="1"/>
  <c r="F845" i="7"/>
  <c r="E845" i="7"/>
  <c r="D845" i="7" s="1"/>
  <c r="AT844" i="7"/>
  <c r="AS844" i="7"/>
  <c r="AQ844" i="7" s="1"/>
  <c r="AL844" i="7"/>
  <c r="AK844" i="7"/>
  <c r="AI844" i="7" s="1"/>
  <c r="AD844" i="7"/>
  <c r="AC844" i="7"/>
  <c r="AA844" i="7" s="1"/>
  <c r="V844" i="7"/>
  <c r="U844" i="7"/>
  <c r="T844" i="7" s="1"/>
  <c r="N844" i="7"/>
  <c r="M844" i="7"/>
  <c r="L844" i="7" s="1"/>
  <c r="F844" i="7"/>
  <c r="E844" i="7"/>
  <c r="AT843" i="7"/>
  <c r="AS843" i="7"/>
  <c r="AQ843" i="7" s="1"/>
  <c r="AL843" i="7"/>
  <c r="AK843" i="7"/>
  <c r="AD843" i="7"/>
  <c r="AC843" i="7"/>
  <c r="AB843" i="7" s="1"/>
  <c r="V843" i="7"/>
  <c r="U843" i="7"/>
  <c r="T843" i="7" s="1"/>
  <c r="N843" i="7"/>
  <c r="M843" i="7"/>
  <c r="K843" i="7" s="1"/>
  <c r="F843" i="7"/>
  <c r="E843" i="7"/>
  <c r="D843" i="7" s="1"/>
  <c r="AT842" i="7"/>
  <c r="AS842" i="7"/>
  <c r="AQ842" i="7" s="1"/>
  <c r="AL842" i="7"/>
  <c r="AK842" i="7"/>
  <c r="AJ842" i="7" s="1"/>
  <c r="AD842" i="7"/>
  <c r="AC842" i="7"/>
  <c r="V842" i="7"/>
  <c r="U842" i="7"/>
  <c r="T842" i="7" s="1"/>
  <c r="N842" i="7"/>
  <c r="M842" i="7"/>
  <c r="F842" i="7"/>
  <c r="E842" i="7"/>
  <c r="D842" i="7" s="1"/>
  <c r="AT841" i="7"/>
  <c r="AS841" i="7"/>
  <c r="AQ841" i="7" s="1"/>
  <c r="AL841" i="7"/>
  <c r="AK841" i="7"/>
  <c r="AJ841" i="7" s="1"/>
  <c r="AD841" i="7"/>
  <c r="AC841" i="7"/>
  <c r="V841" i="7"/>
  <c r="U841" i="7"/>
  <c r="T841" i="7" s="1"/>
  <c r="N841" i="7"/>
  <c r="M841" i="7"/>
  <c r="L841" i="7" s="1"/>
  <c r="F841" i="7"/>
  <c r="E841" i="7"/>
  <c r="AT840" i="7"/>
  <c r="AS840" i="7"/>
  <c r="AQ840" i="7" s="1"/>
  <c r="AL840" i="7"/>
  <c r="AK840" i="7"/>
  <c r="AI840" i="7" s="1"/>
  <c r="AD840" i="7"/>
  <c r="AC840" i="7"/>
  <c r="V840" i="7"/>
  <c r="U840" i="7"/>
  <c r="T840" i="7" s="1"/>
  <c r="N840" i="7"/>
  <c r="M840" i="7"/>
  <c r="F840" i="7"/>
  <c r="E840" i="7"/>
  <c r="D840" i="7" s="1"/>
  <c r="AT839" i="7"/>
  <c r="AS839" i="7"/>
  <c r="AQ839" i="7" s="1"/>
  <c r="AL839" i="7"/>
  <c r="AK839" i="7"/>
  <c r="AI839" i="7" s="1"/>
  <c r="AD839" i="7"/>
  <c r="AC839" i="7"/>
  <c r="AA839" i="7" s="1"/>
  <c r="AB839" i="7"/>
  <c r="V839" i="7"/>
  <c r="U839" i="7"/>
  <c r="T839" i="7" s="1"/>
  <c r="N839" i="7"/>
  <c r="M839" i="7"/>
  <c r="K839" i="7" s="1"/>
  <c r="L839" i="7"/>
  <c r="F839" i="7"/>
  <c r="E839" i="7"/>
  <c r="D839" i="7" s="1"/>
  <c r="AT838" i="7"/>
  <c r="AS838" i="7"/>
  <c r="AQ838" i="7" s="1"/>
  <c r="AL838" i="7"/>
  <c r="AK838" i="7"/>
  <c r="AJ838" i="7" s="1"/>
  <c r="AD838" i="7"/>
  <c r="AC838" i="7"/>
  <c r="AB838" i="7" s="1"/>
  <c r="V838" i="7"/>
  <c r="U838" i="7"/>
  <c r="T838" i="7" s="1"/>
  <c r="N838" i="7"/>
  <c r="M838" i="7"/>
  <c r="L838" i="7" s="1"/>
  <c r="F838" i="7"/>
  <c r="E838" i="7"/>
  <c r="D838" i="7" s="1"/>
  <c r="C838" i="7"/>
  <c r="B838" i="7" s="1"/>
  <c r="AT837" i="7"/>
  <c r="AS837" i="7"/>
  <c r="AQ837" i="7" s="1"/>
  <c r="AR837" i="7"/>
  <c r="AL837" i="7"/>
  <c r="AK837" i="7"/>
  <c r="AI837" i="7" s="1"/>
  <c r="AJ837" i="7"/>
  <c r="AD837" i="7"/>
  <c r="AC837" i="7"/>
  <c r="AA837" i="7" s="1"/>
  <c r="V837" i="7"/>
  <c r="U837" i="7"/>
  <c r="T837" i="7" s="1"/>
  <c r="N837" i="7"/>
  <c r="M837" i="7"/>
  <c r="L837" i="7" s="1"/>
  <c r="F837" i="7"/>
  <c r="E837" i="7"/>
  <c r="AT836" i="7"/>
  <c r="AS836" i="7"/>
  <c r="AQ836" i="7" s="1"/>
  <c r="AL836" i="7"/>
  <c r="AK836" i="7"/>
  <c r="AJ836" i="7" s="1"/>
  <c r="AD836" i="7"/>
  <c r="AC836" i="7"/>
  <c r="AA836" i="7" s="1"/>
  <c r="V836" i="7"/>
  <c r="U836" i="7"/>
  <c r="T836" i="7" s="1"/>
  <c r="N836" i="7"/>
  <c r="M836" i="7"/>
  <c r="K836" i="7" s="1"/>
  <c r="F836" i="7"/>
  <c r="E836" i="7"/>
  <c r="D836" i="7" s="1"/>
  <c r="AT835" i="7"/>
  <c r="AS835" i="7"/>
  <c r="AQ835" i="7" s="1"/>
  <c r="AL835" i="7"/>
  <c r="AK835" i="7"/>
  <c r="AI835" i="7" s="1"/>
  <c r="AD835" i="7"/>
  <c r="AC835" i="7"/>
  <c r="AA835" i="7" s="1"/>
  <c r="V835" i="7"/>
  <c r="U835" i="7"/>
  <c r="N835" i="7"/>
  <c r="M835" i="7"/>
  <c r="L835" i="7" s="1"/>
  <c r="F835" i="7"/>
  <c r="E835" i="7"/>
  <c r="AT834" i="7"/>
  <c r="AS834" i="7"/>
  <c r="AQ834" i="7" s="1"/>
  <c r="AL834" i="7"/>
  <c r="AK834" i="7"/>
  <c r="AI834" i="7" s="1"/>
  <c r="AD834" i="7"/>
  <c r="AC834" i="7"/>
  <c r="V834" i="7"/>
  <c r="U834" i="7"/>
  <c r="T834" i="7" s="1"/>
  <c r="N834" i="7"/>
  <c r="M834" i="7"/>
  <c r="K834" i="7" s="1"/>
  <c r="F834" i="7"/>
  <c r="E834" i="7"/>
  <c r="D834" i="7" s="1"/>
  <c r="AT833" i="7"/>
  <c r="AS833" i="7"/>
  <c r="AL833" i="7"/>
  <c r="AK833" i="7"/>
  <c r="AI833" i="7" s="1"/>
  <c r="AD833" i="7"/>
  <c r="AC833" i="7"/>
  <c r="V833" i="7"/>
  <c r="U833" i="7"/>
  <c r="T833" i="7" s="1"/>
  <c r="N833" i="7"/>
  <c r="M833" i="7"/>
  <c r="F833" i="7"/>
  <c r="E833" i="7"/>
  <c r="D833" i="7" s="1"/>
  <c r="AT832" i="7"/>
  <c r="AS832" i="7"/>
  <c r="AQ832" i="7" s="1"/>
  <c r="AL832" i="7"/>
  <c r="AK832" i="7"/>
  <c r="AI832" i="7" s="1"/>
  <c r="AD832" i="7"/>
  <c r="AC832" i="7"/>
  <c r="V832" i="7"/>
  <c r="U832" i="7"/>
  <c r="T832" i="7" s="1"/>
  <c r="N832" i="7"/>
  <c r="M832" i="7"/>
  <c r="K832" i="7" s="1"/>
  <c r="F832" i="7"/>
  <c r="E832" i="7"/>
  <c r="AT831" i="7"/>
  <c r="AS831" i="7"/>
  <c r="AQ831" i="7" s="1"/>
  <c r="AL831" i="7"/>
  <c r="AK831" i="7"/>
  <c r="AD831" i="7"/>
  <c r="AC831" i="7"/>
  <c r="AB831" i="7" s="1"/>
  <c r="V831" i="7"/>
  <c r="U831" i="7"/>
  <c r="N831" i="7"/>
  <c r="M831" i="7"/>
  <c r="L831" i="7" s="1"/>
  <c r="F831" i="7"/>
  <c r="E831" i="7"/>
  <c r="D831" i="7" s="1"/>
  <c r="AT830" i="7"/>
  <c r="AS830" i="7"/>
  <c r="AQ830" i="7" s="1"/>
  <c r="AL830" i="7"/>
  <c r="AK830" i="7"/>
  <c r="AJ830" i="7" s="1"/>
  <c r="AD830" i="7"/>
  <c r="AC830" i="7"/>
  <c r="V830" i="7"/>
  <c r="U830" i="7"/>
  <c r="T830" i="7" s="1"/>
  <c r="N830" i="7"/>
  <c r="M830" i="7"/>
  <c r="K830" i="7" s="1"/>
  <c r="F830" i="7"/>
  <c r="E830" i="7"/>
  <c r="D830" i="7" s="1"/>
  <c r="AT829" i="7"/>
  <c r="AS829" i="7"/>
  <c r="AQ829" i="7" s="1"/>
  <c r="AL829" i="7"/>
  <c r="AK829" i="7"/>
  <c r="AD829" i="7"/>
  <c r="AC829" i="7"/>
  <c r="AA829" i="7" s="1"/>
  <c r="V829" i="7"/>
  <c r="U829" i="7"/>
  <c r="N829" i="7"/>
  <c r="M829" i="7"/>
  <c r="L829" i="7" s="1"/>
  <c r="F829" i="7"/>
  <c r="E829" i="7"/>
  <c r="D829" i="7" s="1"/>
  <c r="AT828" i="7"/>
  <c r="AS828" i="7"/>
  <c r="AQ828" i="7" s="1"/>
  <c r="AL828" i="7"/>
  <c r="AK828" i="7"/>
  <c r="AI828" i="7" s="1"/>
  <c r="AD828" i="7"/>
  <c r="AC828" i="7"/>
  <c r="AB828" i="7" s="1"/>
  <c r="V828" i="7"/>
  <c r="U828" i="7"/>
  <c r="T828" i="7" s="1"/>
  <c r="N828" i="7"/>
  <c r="M828" i="7"/>
  <c r="K828" i="7" s="1"/>
  <c r="F828" i="7"/>
  <c r="E828" i="7"/>
  <c r="D828" i="7" s="1"/>
  <c r="AT827" i="7"/>
  <c r="AS827" i="7"/>
  <c r="AQ827" i="7" s="1"/>
  <c r="AL827" i="7"/>
  <c r="AK827" i="7"/>
  <c r="AI827" i="7" s="1"/>
  <c r="AD827" i="7"/>
  <c r="AC827" i="7"/>
  <c r="AA827" i="7" s="1"/>
  <c r="V827" i="7"/>
  <c r="U827" i="7"/>
  <c r="T827" i="7" s="1"/>
  <c r="N827" i="7"/>
  <c r="M827" i="7"/>
  <c r="K827" i="7" s="1"/>
  <c r="F827" i="7"/>
  <c r="E827" i="7"/>
  <c r="D827" i="7" s="1"/>
  <c r="AT826" i="7"/>
  <c r="AS826" i="7"/>
  <c r="AQ826" i="7" s="1"/>
  <c r="AL826" i="7"/>
  <c r="AK826" i="7"/>
  <c r="AJ826" i="7" s="1"/>
  <c r="AD826" i="7"/>
  <c r="AC826" i="7"/>
  <c r="AA826" i="7" s="1"/>
  <c r="V826" i="7"/>
  <c r="U826" i="7"/>
  <c r="T826" i="7" s="1"/>
  <c r="N826" i="7"/>
  <c r="M826" i="7"/>
  <c r="L826" i="7" s="1"/>
  <c r="F826" i="7"/>
  <c r="E826" i="7"/>
  <c r="D826" i="7" s="1"/>
  <c r="AT825" i="7"/>
  <c r="AS825" i="7"/>
  <c r="AQ825" i="7" s="1"/>
  <c r="AL825" i="7"/>
  <c r="AK825" i="7"/>
  <c r="AI825" i="7" s="1"/>
  <c r="AD825" i="7"/>
  <c r="AC825" i="7"/>
  <c r="AB825" i="7" s="1"/>
  <c r="V825" i="7"/>
  <c r="U825" i="7"/>
  <c r="N825" i="7"/>
  <c r="M825" i="7"/>
  <c r="K825" i="7" s="1"/>
  <c r="F825" i="7"/>
  <c r="E825" i="7"/>
  <c r="D825" i="7" s="1"/>
  <c r="AT824" i="7"/>
  <c r="AS824" i="7"/>
  <c r="AQ824" i="7" s="1"/>
  <c r="AL824" i="7"/>
  <c r="AK824" i="7"/>
  <c r="AJ824" i="7" s="1"/>
  <c r="AD824" i="7"/>
  <c r="AC824" i="7"/>
  <c r="V824" i="7"/>
  <c r="U824" i="7"/>
  <c r="T824" i="7" s="1"/>
  <c r="N824" i="7"/>
  <c r="M824" i="7"/>
  <c r="F824" i="7"/>
  <c r="E824" i="7"/>
  <c r="D824" i="7" s="1"/>
  <c r="AT823" i="7"/>
  <c r="AS823" i="7"/>
  <c r="AQ823" i="7" s="1"/>
  <c r="AL823" i="7"/>
  <c r="AK823" i="7"/>
  <c r="AJ823" i="7" s="1"/>
  <c r="AD823" i="7"/>
  <c r="AC823" i="7"/>
  <c r="V823" i="7"/>
  <c r="U823" i="7"/>
  <c r="T823" i="7" s="1"/>
  <c r="N823" i="7"/>
  <c r="M823" i="7"/>
  <c r="F823" i="7"/>
  <c r="E823" i="7"/>
  <c r="D823" i="7" s="1"/>
  <c r="AT822" i="7"/>
  <c r="AS822" i="7"/>
  <c r="AQ822" i="7" s="1"/>
  <c r="AL822" i="7"/>
  <c r="AK822" i="7"/>
  <c r="AI822" i="7" s="1"/>
  <c r="AD822" i="7"/>
  <c r="AC822" i="7"/>
  <c r="AA822" i="7" s="1"/>
  <c r="V822" i="7"/>
  <c r="U822" i="7"/>
  <c r="T822" i="7" s="1"/>
  <c r="N822" i="7"/>
  <c r="M822" i="7"/>
  <c r="K822" i="7" s="1"/>
  <c r="F822" i="7"/>
  <c r="E822" i="7"/>
  <c r="D822" i="7" s="1"/>
  <c r="AT821" i="7"/>
  <c r="AS821" i="7"/>
  <c r="AQ821" i="7" s="1"/>
  <c r="AL821" i="7"/>
  <c r="AK821" i="7"/>
  <c r="AI821" i="7" s="1"/>
  <c r="AD821" i="7"/>
  <c r="AC821" i="7"/>
  <c r="AB821" i="7" s="1"/>
  <c r="V821" i="7"/>
  <c r="U821" i="7"/>
  <c r="T821" i="7" s="1"/>
  <c r="N821" i="7"/>
  <c r="M821" i="7"/>
  <c r="L821" i="7" s="1"/>
  <c r="F821" i="7"/>
  <c r="E821" i="7"/>
  <c r="D821" i="7" s="1"/>
  <c r="AT820" i="7"/>
  <c r="AS820" i="7"/>
  <c r="AQ820" i="7" s="1"/>
  <c r="AL820" i="7"/>
  <c r="AK820" i="7"/>
  <c r="AJ820" i="7" s="1"/>
  <c r="AD820" i="7"/>
  <c r="AC820" i="7"/>
  <c r="AB820" i="7" s="1"/>
  <c r="V820" i="7"/>
  <c r="U820" i="7"/>
  <c r="T820" i="7" s="1"/>
  <c r="N820" i="7"/>
  <c r="M820" i="7"/>
  <c r="L820" i="7" s="1"/>
  <c r="F820" i="7"/>
  <c r="E820" i="7"/>
  <c r="D820" i="7" s="1"/>
  <c r="AT819" i="7"/>
  <c r="AS819" i="7"/>
  <c r="AQ819" i="7" s="1"/>
  <c r="AL819" i="7"/>
  <c r="AK819" i="7"/>
  <c r="AI819" i="7" s="1"/>
  <c r="AD819" i="7"/>
  <c r="AC819" i="7"/>
  <c r="AA819" i="7" s="1"/>
  <c r="V819" i="7"/>
  <c r="U819" i="7"/>
  <c r="T819" i="7" s="1"/>
  <c r="N819" i="7"/>
  <c r="M819" i="7"/>
  <c r="F819" i="7"/>
  <c r="E819" i="7"/>
  <c r="D819" i="7" s="1"/>
  <c r="AT818" i="7"/>
  <c r="AS818" i="7"/>
  <c r="AQ818" i="7" s="1"/>
  <c r="AL818" i="7"/>
  <c r="AK818" i="7"/>
  <c r="AJ818" i="7" s="1"/>
  <c r="AD818" i="7"/>
  <c r="AC818" i="7"/>
  <c r="AB818" i="7" s="1"/>
  <c r="V818" i="7"/>
  <c r="U818" i="7"/>
  <c r="S818" i="7" s="1"/>
  <c r="N818" i="7"/>
  <c r="M818" i="7"/>
  <c r="L818" i="7" s="1"/>
  <c r="F818" i="7"/>
  <c r="E818" i="7"/>
  <c r="D818" i="7" s="1"/>
  <c r="AT817" i="7"/>
  <c r="AS817" i="7"/>
  <c r="AQ817" i="7" s="1"/>
  <c r="AL817" i="7"/>
  <c r="AK817" i="7"/>
  <c r="AI817" i="7" s="1"/>
  <c r="AD817" i="7"/>
  <c r="AC817" i="7"/>
  <c r="AB817" i="7" s="1"/>
  <c r="V817" i="7"/>
  <c r="U817" i="7"/>
  <c r="T817" i="7" s="1"/>
  <c r="N817" i="7"/>
  <c r="M817" i="7"/>
  <c r="L817" i="7" s="1"/>
  <c r="F817" i="7"/>
  <c r="E817" i="7"/>
  <c r="D817" i="7" s="1"/>
  <c r="AT816" i="7"/>
  <c r="AS816" i="7"/>
  <c r="AQ816" i="7" s="1"/>
  <c r="AL816" i="7"/>
  <c r="AK816" i="7"/>
  <c r="AJ816" i="7" s="1"/>
  <c r="AD816" i="7"/>
  <c r="AC816" i="7"/>
  <c r="AB816" i="7" s="1"/>
  <c r="V816" i="7"/>
  <c r="U816" i="7"/>
  <c r="S816" i="7" s="1"/>
  <c r="N816" i="7"/>
  <c r="M816" i="7"/>
  <c r="L816" i="7" s="1"/>
  <c r="F816" i="7"/>
  <c r="E816" i="7"/>
  <c r="D816" i="7" s="1"/>
  <c r="AT815" i="7"/>
  <c r="AS815" i="7"/>
  <c r="AQ815" i="7" s="1"/>
  <c r="AL815" i="7"/>
  <c r="AK815" i="7"/>
  <c r="AI815" i="7" s="1"/>
  <c r="AD815" i="7"/>
  <c r="AC815" i="7"/>
  <c r="AA815" i="7" s="1"/>
  <c r="V815" i="7"/>
  <c r="U815" i="7"/>
  <c r="T815" i="7" s="1"/>
  <c r="N815" i="7"/>
  <c r="M815" i="7"/>
  <c r="K815" i="7" s="1"/>
  <c r="F815" i="7"/>
  <c r="E815" i="7"/>
  <c r="D815" i="7" s="1"/>
  <c r="AT814" i="7"/>
  <c r="AS814" i="7"/>
  <c r="AQ814" i="7" s="1"/>
  <c r="AL814" i="7"/>
  <c r="AK814" i="7"/>
  <c r="AJ814" i="7" s="1"/>
  <c r="AD814" i="7"/>
  <c r="AC814" i="7"/>
  <c r="AA814" i="7" s="1"/>
  <c r="V814" i="7"/>
  <c r="U814" i="7"/>
  <c r="S814" i="7" s="1"/>
  <c r="N814" i="7"/>
  <c r="M814" i="7"/>
  <c r="K814" i="7" s="1"/>
  <c r="L814" i="7"/>
  <c r="F814" i="7"/>
  <c r="E814" i="7"/>
  <c r="D814" i="7" s="1"/>
  <c r="AT813" i="7"/>
  <c r="AS813" i="7"/>
  <c r="AQ813" i="7" s="1"/>
  <c r="AL813" i="7"/>
  <c r="AK813" i="7"/>
  <c r="AI813" i="7" s="1"/>
  <c r="AD813" i="7"/>
  <c r="AC813" i="7"/>
  <c r="AB813" i="7" s="1"/>
  <c r="V813" i="7"/>
  <c r="U813" i="7"/>
  <c r="T813" i="7" s="1"/>
  <c r="N813" i="7"/>
  <c r="M813" i="7"/>
  <c r="L813" i="7" s="1"/>
  <c r="F813" i="7"/>
  <c r="E813" i="7"/>
  <c r="D813" i="7" s="1"/>
  <c r="AT812" i="7"/>
  <c r="AS812" i="7"/>
  <c r="AQ812" i="7" s="1"/>
  <c r="AL812" i="7"/>
  <c r="AK812" i="7"/>
  <c r="AJ812" i="7" s="1"/>
  <c r="AD812" i="7"/>
  <c r="AC812" i="7"/>
  <c r="AA812" i="7" s="1"/>
  <c r="V812" i="7"/>
  <c r="U812" i="7"/>
  <c r="S812" i="7" s="1"/>
  <c r="N812" i="7"/>
  <c r="M812" i="7"/>
  <c r="K812" i="7" s="1"/>
  <c r="F812" i="7"/>
  <c r="E812" i="7"/>
  <c r="D812" i="7" s="1"/>
  <c r="AT811" i="7"/>
  <c r="AS811" i="7"/>
  <c r="AL811" i="7"/>
  <c r="AK811" i="7"/>
  <c r="AI811" i="7" s="1"/>
  <c r="AD811" i="7"/>
  <c r="AC811" i="7"/>
  <c r="AB811" i="7" s="1"/>
  <c r="V811" i="7"/>
  <c r="U811" i="7"/>
  <c r="T811" i="7" s="1"/>
  <c r="N811" i="7"/>
  <c r="M811" i="7"/>
  <c r="L811" i="7" s="1"/>
  <c r="F811" i="7"/>
  <c r="E811" i="7"/>
  <c r="D811" i="7" s="1"/>
  <c r="AT810" i="7"/>
  <c r="AS810" i="7"/>
  <c r="AQ810" i="7" s="1"/>
  <c r="AL810" i="7"/>
  <c r="AK810" i="7"/>
  <c r="AJ810" i="7" s="1"/>
  <c r="AD810" i="7"/>
  <c r="AC810" i="7"/>
  <c r="AA810" i="7" s="1"/>
  <c r="V810" i="7"/>
  <c r="U810" i="7"/>
  <c r="S810" i="7" s="1"/>
  <c r="N810" i="7"/>
  <c r="M810" i="7"/>
  <c r="K810" i="7" s="1"/>
  <c r="F810" i="7"/>
  <c r="E810" i="7"/>
  <c r="D810" i="7" s="1"/>
  <c r="AT809" i="7"/>
  <c r="AS809" i="7"/>
  <c r="AQ809" i="7" s="1"/>
  <c r="AR809" i="7"/>
  <c r="AL809" i="7"/>
  <c r="AK809" i="7"/>
  <c r="AI809" i="7" s="1"/>
  <c r="AD809" i="7"/>
  <c r="AC809" i="7"/>
  <c r="AA809" i="7" s="1"/>
  <c r="V809" i="7"/>
  <c r="U809" i="7"/>
  <c r="T809" i="7" s="1"/>
  <c r="N809" i="7"/>
  <c r="M809" i="7"/>
  <c r="K809" i="7" s="1"/>
  <c r="F809" i="7"/>
  <c r="E809" i="7"/>
  <c r="D809" i="7" s="1"/>
  <c r="AT808" i="7"/>
  <c r="AS808" i="7"/>
  <c r="AQ808" i="7" s="1"/>
  <c r="AL808" i="7"/>
  <c r="AK808" i="7"/>
  <c r="AJ808" i="7" s="1"/>
  <c r="AD808" i="7"/>
  <c r="AC808" i="7"/>
  <c r="AA808" i="7" s="1"/>
  <c r="V808" i="7"/>
  <c r="U808" i="7"/>
  <c r="S808" i="7" s="1"/>
  <c r="N808" i="7"/>
  <c r="M808" i="7"/>
  <c r="K808" i="7" s="1"/>
  <c r="F808" i="7"/>
  <c r="E808" i="7"/>
  <c r="D808" i="7" s="1"/>
  <c r="AT807" i="7"/>
  <c r="AS807" i="7"/>
  <c r="AQ807" i="7" s="1"/>
  <c r="AL807" i="7"/>
  <c r="AK807" i="7"/>
  <c r="AI807" i="7" s="1"/>
  <c r="AD807" i="7"/>
  <c r="AC807" i="7"/>
  <c r="AB807" i="7" s="1"/>
  <c r="V807" i="7"/>
  <c r="U807" i="7"/>
  <c r="T807" i="7" s="1"/>
  <c r="N807" i="7"/>
  <c r="M807" i="7"/>
  <c r="F807" i="7"/>
  <c r="E807" i="7"/>
  <c r="D807" i="7" s="1"/>
  <c r="AT806" i="7"/>
  <c r="AS806" i="7"/>
  <c r="AQ806" i="7" s="1"/>
  <c r="AL806" i="7"/>
  <c r="AK806" i="7"/>
  <c r="AJ806" i="7" s="1"/>
  <c r="AD806" i="7"/>
  <c r="AC806" i="7"/>
  <c r="AA806" i="7" s="1"/>
  <c r="V806" i="7"/>
  <c r="U806" i="7"/>
  <c r="S806" i="7" s="1"/>
  <c r="N806" i="7"/>
  <c r="M806" i="7"/>
  <c r="K806" i="7" s="1"/>
  <c r="F806" i="7"/>
  <c r="E806" i="7"/>
  <c r="D806" i="7" s="1"/>
  <c r="AT805" i="7"/>
  <c r="AS805" i="7"/>
  <c r="AQ805" i="7" s="1"/>
  <c r="AL805" i="7"/>
  <c r="AK805" i="7"/>
  <c r="AI805" i="7" s="1"/>
  <c r="AD805" i="7"/>
  <c r="AC805" i="7"/>
  <c r="AB805" i="7" s="1"/>
  <c r="V805" i="7"/>
  <c r="U805" i="7"/>
  <c r="T805" i="7" s="1"/>
  <c r="N805" i="7"/>
  <c r="M805" i="7"/>
  <c r="L805" i="7" s="1"/>
  <c r="F805" i="7"/>
  <c r="E805" i="7"/>
  <c r="D805" i="7" s="1"/>
  <c r="AT804" i="7"/>
  <c r="AS804" i="7"/>
  <c r="AQ804" i="7" s="1"/>
  <c r="AL804" i="7"/>
  <c r="AK804" i="7"/>
  <c r="AJ804" i="7" s="1"/>
  <c r="AD804" i="7"/>
  <c r="AC804" i="7"/>
  <c r="AB804" i="7" s="1"/>
  <c r="V804" i="7"/>
  <c r="U804" i="7"/>
  <c r="S804" i="7" s="1"/>
  <c r="N804" i="7"/>
  <c r="M804" i="7"/>
  <c r="L804" i="7" s="1"/>
  <c r="F804" i="7"/>
  <c r="E804" i="7"/>
  <c r="D804" i="7" s="1"/>
  <c r="AT803" i="7"/>
  <c r="AS803" i="7"/>
  <c r="AQ803" i="7" s="1"/>
  <c r="AL803" i="7"/>
  <c r="AK803" i="7"/>
  <c r="AI803" i="7" s="1"/>
  <c r="AD803" i="7"/>
  <c r="AC803" i="7"/>
  <c r="AA803" i="7" s="1"/>
  <c r="V803" i="7"/>
  <c r="U803" i="7"/>
  <c r="T803" i="7" s="1"/>
  <c r="N803" i="7"/>
  <c r="M803" i="7"/>
  <c r="K803" i="7" s="1"/>
  <c r="F803" i="7"/>
  <c r="E803" i="7"/>
  <c r="D803" i="7" s="1"/>
  <c r="AT802" i="7"/>
  <c r="AS802" i="7"/>
  <c r="AQ802" i="7" s="1"/>
  <c r="AL802" i="7"/>
  <c r="AK802" i="7"/>
  <c r="AJ802" i="7" s="1"/>
  <c r="AD802" i="7"/>
  <c r="AC802" i="7"/>
  <c r="AA802" i="7" s="1"/>
  <c r="V802" i="7"/>
  <c r="U802" i="7"/>
  <c r="S802" i="7" s="1"/>
  <c r="N802" i="7"/>
  <c r="M802" i="7"/>
  <c r="F802" i="7"/>
  <c r="E802" i="7"/>
  <c r="D802" i="7" s="1"/>
  <c r="AT801" i="7"/>
  <c r="AS801" i="7"/>
  <c r="AL801" i="7"/>
  <c r="AK801" i="7"/>
  <c r="AI801" i="7" s="1"/>
  <c r="AD801" i="7"/>
  <c r="AC801" i="7"/>
  <c r="AB801" i="7" s="1"/>
  <c r="V801" i="7"/>
  <c r="U801" i="7"/>
  <c r="T801" i="7" s="1"/>
  <c r="N801" i="7"/>
  <c r="M801" i="7"/>
  <c r="L801" i="7" s="1"/>
  <c r="F801" i="7"/>
  <c r="E801" i="7"/>
  <c r="D801" i="7" s="1"/>
  <c r="AT800" i="7"/>
  <c r="AS800" i="7"/>
  <c r="AQ800" i="7" s="1"/>
  <c r="AL800" i="7"/>
  <c r="AK800" i="7"/>
  <c r="AJ800" i="7" s="1"/>
  <c r="AD800" i="7"/>
  <c r="AC800" i="7"/>
  <c r="AB800" i="7" s="1"/>
  <c r="V800" i="7"/>
  <c r="U800" i="7"/>
  <c r="S800" i="7" s="1"/>
  <c r="N800" i="7"/>
  <c r="M800" i="7"/>
  <c r="L800" i="7" s="1"/>
  <c r="F800" i="7"/>
  <c r="E800" i="7"/>
  <c r="D800" i="7" s="1"/>
  <c r="AT799" i="7"/>
  <c r="AS799" i="7"/>
  <c r="AQ799" i="7" s="1"/>
  <c r="AL799" i="7"/>
  <c r="AK799" i="7"/>
  <c r="AI799" i="7" s="1"/>
  <c r="AD799" i="7"/>
  <c r="AC799" i="7"/>
  <c r="AB799" i="7" s="1"/>
  <c r="V799" i="7"/>
  <c r="U799" i="7"/>
  <c r="T799" i="7" s="1"/>
  <c r="N799" i="7"/>
  <c r="M799" i="7"/>
  <c r="L799" i="7" s="1"/>
  <c r="F799" i="7"/>
  <c r="E799" i="7"/>
  <c r="D799" i="7" s="1"/>
  <c r="AT798" i="7"/>
  <c r="AS798" i="7"/>
  <c r="AQ798" i="7" s="1"/>
  <c r="AL798" i="7"/>
  <c r="AK798" i="7"/>
  <c r="AJ798" i="7" s="1"/>
  <c r="AD798" i="7"/>
  <c r="AC798" i="7"/>
  <c r="AB798" i="7" s="1"/>
  <c r="V798" i="7"/>
  <c r="U798" i="7"/>
  <c r="S798" i="7" s="1"/>
  <c r="N798" i="7"/>
  <c r="M798" i="7"/>
  <c r="K798" i="7" s="1"/>
  <c r="F798" i="7"/>
  <c r="E798" i="7"/>
  <c r="C798" i="7" s="1"/>
  <c r="AT797" i="7"/>
  <c r="AS797" i="7"/>
  <c r="AQ797" i="7" s="1"/>
  <c r="AL797" i="7"/>
  <c r="AK797" i="7"/>
  <c r="AI797" i="7" s="1"/>
  <c r="AD797" i="7"/>
  <c r="AC797" i="7"/>
  <c r="AB797" i="7" s="1"/>
  <c r="V797" i="7"/>
  <c r="U797" i="7"/>
  <c r="S797" i="7" s="1"/>
  <c r="N797" i="7"/>
  <c r="M797" i="7"/>
  <c r="K797" i="7" s="1"/>
  <c r="F797" i="7"/>
  <c r="E797" i="7"/>
  <c r="C797" i="7" s="1"/>
  <c r="AT796" i="7"/>
  <c r="AS796" i="7"/>
  <c r="AQ796" i="7" s="1"/>
  <c r="AL796" i="7"/>
  <c r="AK796" i="7"/>
  <c r="AI796" i="7" s="1"/>
  <c r="AD796" i="7"/>
  <c r="AC796" i="7"/>
  <c r="AB796" i="7" s="1"/>
  <c r="V796" i="7"/>
  <c r="U796" i="7"/>
  <c r="S796" i="7" s="1"/>
  <c r="N796" i="7"/>
  <c r="M796" i="7"/>
  <c r="K796" i="7" s="1"/>
  <c r="F796" i="7"/>
  <c r="E796" i="7"/>
  <c r="C796" i="7" s="1"/>
  <c r="AT795" i="7"/>
  <c r="AS795" i="7"/>
  <c r="AQ795" i="7" s="1"/>
  <c r="AL795" i="7"/>
  <c r="AK795" i="7"/>
  <c r="AD795" i="7"/>
  <c r="AC795" i="7"/>
  <c r="AB795" i="7" s="1"/>
  <c r="V795" i="7"/>
  <c r="U795" i="7"/>
  <c r="S795" i="7" s="1"/>
  <c r="N795" i="7"/>
  <c r="M795" i="7"/>
  <c r="K795" i="7" s="1"/>
  <c r="F795" i="7"/>
  <c r="E795" i="7"/>
  <c r="C795" i="7" s="1"/>
  <c r="AT794" i="7"/>
  <c r="AS794" i="7"/>
  <c r="AQ794" i="7" s="1"/>
  <c r="AL794" i="7"/>
  <c r="AK794" i="7"/>
  <c r="AI794" i="7" s="1"/>
  <c r="AD794" i="7"/>
  <c r="AC794" i="7"/>
  <c r="AB794" i="7" s="1"/>
  <c r="V794" i="7"/>
  <c r="U794" i="7"/>
  <c r="S794" i="7" s="1"/>
  <c r="N794" i="7"/>
  <c r="M794" i="7"/>
  <c r="K794" i="7" s="1"/>
  <c r="F794" i="7"/>
  <c r="E794" i="7"/>
  <c r="C794" i="7" s="1"/>
  <c r="AT793" i="7"/>
  <c r="AS793" i="7"/>
  <c r="AQ793" i="7" s="1"/>
  <c r="AL793" i="7"/>
  <c r="AK793" i="7"/>
  <c r="AI793" i="7" s="1"/>
  <c r="AD793" i="7"/>
  <c r="AC793" i="7"/>
  <c r="AB793" i="7" s="1"/>
  <c r="V793" i="7"/>
  <c r="U793" i="7"/>
  <c r="S793" i="7" s="1"/>
  <c r="N793" i="7"/>
  <c r="M793" i="7"/>
  <c r="K793" i="7" s="1"/>
  <c r="F793" i="7"/>
  <c r="E793" i="7"/>
  <c r="C793" i="7" s="1"/>
  <c r="AT792" i="7"/>
  <c r="AS792" i="7"/>
  <c r="AQ792" i="7" s="1"/>
  <c r="AL792" i="7"/>
  <c r="AK792" i="7"/>
  <c r="AD792" i="7"/>
  <c r="AC792" i="7"/>
  <c r="AB792" i="7" s="1"/>
  <c r="V792" i="7"/>
  <c r="U792" i="7"/>
  <c r="S792" i="7" s="1"/>
  <c r="N792" i="7"/>
  <c r="M792" i="7"/>
  <c r="K792" i="7" s="1"/>
  <c r="F792" i="7"/>
  <c r="E792" i="7"/>
  <c r="C792" i="7" s="1"/>
  <c r="AT791" i="7"/>
  <c r="AS791" i="7"/>
  <c r="AQ791" i="7" s="1"/>
  <c r="AL791" i="7"/>
  <c r="AK791" i="7"/>
  <c r="AI791" i="7" s="1"/>
  <c r="AD791" i="7"/>
  <c r="AC791" i="7"/>
  <c r="AB791" i="7" s="1"/>
  <c r="V791" i="7"/>
  <c r="U791" i="7"/>
  <c r="S791" i="7" s="1"/>
  <c r="N791" i="7"/>
  <c r="M791" i="7"/>
  <c r="K791" i="7" s="1"/>
  <c r="F791" i="7"/>
  <c r="E791" i="7"/>
  <c r="C791" i="7" s="1"/>
  <c r="AT790" i="7"/>
  <c r="AS790" i="7"/>
  <c r="AQ790" i="7" s="1"/>
  <c r="AL790" i="7"/>
  <c r="AK790" i="7"/>
  <c r="AJ790" i="7" s="1"/>
  <c r="AD790" i="7"/>
  <c r="AC790" i="7"/>
  <c r="AB790" i="7" s="1"/>
  <c r="V790" i="7"/>
  <c r="U790" i="7"/>
  <c r="S790" i="7" s="1"/>
  <c r="N790" i="7"/>
  <c r="M790" i="7"/>
  <c r="K790" i="7" s="1"/>
  <c r="F790" i="7"/>
  <c r="E790" i="7"/>
  <c r="C790" i="7" s="1"/>
  <c r="AT789" i="7"/>
  <c r="AS789" i="7"/>
  <c r="AQ789" i="7" s="1"/>
  <c r="AL789" i="7"/>
  <c r="AK789" i="7"/>
  <c r="AI789" i="7" s="1"/>
  <c r="AD789" i="7"/>
  <c r="AC789" i="7"/>
  <c r="AB789" i="7" s="1"/>
  <c r="V789" i="7"/>
  <c r="U789" i="7"/>
  <c r="N789" i="7"/>
  <c r="M789" i="7"/>
  <c r="K789" i="7" s="1"/>
  <c r="F789" i="7"/>
  <c r="E789" i="7"/>
  <c r="C789" i="7" s="1"/>
  <c r="AT788" i="7"/>
  <c r="AS788" i="7"/>
  <c r="AQ788" i="7" s="1"/>
  <c r="AL788" i="7"/>
  <c r="AK788" i="7"/>
  <c r="AJ788" i="7" s="1"/>
  <c r="AD788" i="7"/>
  <c r="AC788" i="7"/>
  <c r="AB788" i="7" s="1"/>
  <c r="V788" i="7"/>
  <c r="U788" i="7"/>
  <c r="S788" i="7" s="1"/>
  <c r="N788" i="7"/>
  <c r="M788" i="7"/>
  <c r="K788" i="7" s="1"/>
  <c r="F788" i="7"/>
  <c r="E788" i="7"/>
  <c r="C788" i="7" s="1"/>
  <c r="AT787" i="7"/>
  <c r="AS787" i="7"/>
  <c r="AQ787" i="7" s="1"/>
  <c r="AL787" i="7"/>
  <c r="AK787" i="7"/>
  <c r="AD787" i="7"/>
  <c r="AC787" i="7"/>
  <c r="AB787" i="7" s="1"/>
  <c r="V787" i="7"/>
  <c r="U787" i="7"/>
  <c r="S787" i="7" s="1"/>
  <c r="N787" i="7"/>
  <c r="M787" i="7"/>
  <c r="K787" i="7" s="1"/>
  <c r="F787" i="7"/>
  <c r="E787" i="7"/>
  <c r="C787" i="7" s="1"/>
  <c r="AT786" i="7"/>
  <c r="AS786" i="7"/>
  <c r="AQ786" i="7" s="1"/>
  <c r="AL786" i="7"/>
  <c r="AK786" i="7"/>
  <c r="AI786" i="7" s="1"/>
  <c r="AD786" i="7"/>
  <c r="AC786" i="7"/>
  <c r="AB786" i="7" s="1"/>
  <c r="V786" i="7"/>
  <c r="U786" i="7"/>
  <c r="S786" i="7" s="1"/>
  <c r="N786" i="7"/>
  <c r="M786" i="7"/>
  <c r="K786" i="7" s="1"/>
  <c r="F786" i="7"/>
  <c r="E786" i="7"/>
  <c r="C786" i="7" s="1"/>
  <c r="AT785" i="7"/>
  <c r="AS785" i="7"/>
  <c r="AQ785" i="7" s="1"/>
  <c r="AL785" i="7"/>
  <c r="AK785" i="7"/>
  <c r="AI785" i="7" s="1"/>
  <c r="AD785" i="7"/>
  <c r="AC785" i="7"/>
  <c r="AB785" i="7" s="1"/>
  <c r="V785" i="7"/>
  <c r="U785" i="7"/>
  <c r="S785" i="7" s="1"/>
  <c r="N785" i="7"/>
  <c r="M785" i="7"/>
  <c r="K785" i="7" s="1"/>
  <c r="F785" i="7"/>
  <c r="E785" i="7"/>
  <c r="C785" i="7" s="1"/>
  <c r="AT784" i="7"/>
  <c r="AS784" i="7"/>
  <c r="AQ784" i="7" s="1"/>
  <c r="AL784" i="7"/>
  <c r="AK784" i="7"/>
  <c r="AD784" i="7"/>
  <c r="AC784" i="7"/>
  <c r="AB784" i="7" s="1"/>
  <c r="V784" i="7"/>
  <c r="U784" i="7"/>
  <c r="S784" i="7" s="1"/>
  <c r="N784" i="7"/>
  <c r="M784" i="7"/>
  <c r="K784" i="7" s="1"/>
  <c r="F784" i="7"/>
  <c r="E784" i="7"/>
  <c r="C784" i="7" s="1"/>
  <c r="AT783" i="7"/>
  <c r="AS783" i="7"/>
  <c r="AQ783" i="7" s="1"/>
  <c r="AL783" i="7"/>
  <c r="AK783" i="7"/>
  <c r="AI783" i="7" s="1"/>
  <c r="AD783" i="7"/>
  <c r="AC783" i="7"/>
  <c r="AB783" i="7" s="1"/>
  <c r="V783" i="7"/>
  <c r="U783" i="7"/>
  <c r="S783" i="7" s="1"/>
  <c r="N783" i="7"/>
  <c r="M783" i="7"/>
  <c r="K783" i="7" s="1"/>
  <c r="F783" i="7"/>
  <c r="E783" i="7"/>
  <c r="C783" i="7" s="1"/>
  <c r="AT782" i="7"/>
  <c r="AS782" i="7"/>
  <c r="AQ782" i="7" s="1"/>
  <c r="AL782" i="7"/>
  <c r="AK782" i="7"/>
  <c r="AI782" i="7" s="1"/>
  <c r="AD782" i="7"/>
  <c r="AC782" i="7"/>
  <c r="AB782" i="7" s="1"/>
  <c r="V782" i="7"/>
  <c r="U782" i="7"/>
  <c r="S782" i="7" s="1"/>
  <c r="N782" i="7"/>
  <c r="M782" i="7"/>
  <c r="K782" i="7" s="1"/>
  <c r="F782" i="7"/>
  <c r="E782" i="7"/>
  <c r="C782" i="7" s="1"/>
  <c r="AT781" i="7"/>
  <c r="AS781" i="7"/>
  <c r="AQ781" i="7" s="1"/>
  <c r="AL781" i="7"/>
  <c r="AK781" i="7"/>
  <c r="AD781" i="7"/>
  <c r="AC781" i="7"/>
  <c r="AB781" i="7" s="1"/>
  <c r="V781" i="7"/>
  <c r="U781" i="7"/>
  <c r="S781" i="7" s="1"/>
  <c r="N781" i="7"/>
  <c r="M781" i="7"/>
  <c r="K781" i="7" s="1"/>
  <c r="F781" i="7"/>
  <c r="E781" i="7"/>
  <c r="C781" i="7" s="1"/>
  <c r="AT780" i="7"/>
  <c r="AS780" i="7"/>
  <c r="AQ780" i="7" s="1"/>
  <c r="AL780" i="7"/>
  <c r="AK780" i="7"/>
  <c r="AI780" i="7" s="1"/>
  <c r="AD780" i="7"/>
  <c r="AC780" i="7"/>
  <c r="AB780" i="7" s="1"/>
  <c r="V780" i="7"/>
  <c r="U780" i="7"/>
  <c r="S780" i="7" s="1"/>
  <c r="N780" i="7"/>
  <c r="M780" i="7"/>
  <c r="K780" i="7" s="1"/>
  <c r="F780" i="7"/>
  <c r="E780" i="7"/>
  <c r="C780" i="7" s="1"/>
  <c r="AT779" i="7"/>
  <c r="AS779" i="7"/>
  <c r="AQ779" i="7" s="1"/>
  <c r="AL779" i="7"/>
  <c r="AK779" i="7"/>
  <c r="AI779" i="7" s="1"/>
  <c r="AD779" i="7"/>
  <c r="AC779" i="7"/>
  <c r="AB779" i="7" s="1"/>
  <c r="V779" i="7"/>
  <c r="U779" i="7"/>
  <c r="S779" i="7" s="1"/>
  <c r="N779" i="7"/>
  <c r="M779" i="7"/>
  <c r="K779" i="7" s="1"/>
  <c r="F779" i="7"/>
  <c r="E779" i="7"/>
  <c r="C779" i="7" s="1"/>
  <c r="AT778" i="7"/>
  <c r="AS778" i="7"/>
  <c r="AQ778" i="7" s="1"/>
  <c r="AL778" i="7"/>
  <c r="AK778" i="7"/>
  <c r="AD778" i="7"/>
  <c r="AC778" i="7"/>
  <c r="AB778" i="7" s="1"/>
  <c r="V778" i="7"/>
  <c r="U778" i="7"/>
  <c r="S778" i="7" s="1"/>
  <c r="N778" i="7"/>
  <c r="M778" i="7"/>
  <c r="K778" i="7" s="1"/>
  <c r="F778" i="7"/>
  <c r="E778" i="7"/>
  <c r="C778" i="7" s="1"/>
  <c r="AT777" i="7"/>
  <c r="AS777" i="7"/>
  <c r="AQ777" i="7" s="1"/>
  <c r="AL777" i="7"/>
  <c r="AK777" i="7"/>
  <c r="AI777" i="7" s="1"/>
  <c r="AD777" i="7"/>
  <c r="AC777" i="7"/>
  <c r="AB777" i="7" s="1"/>
  <c r="V777" i="7"/>
  <c r="U777" i="7"/>
  <c r="S777" i="7" s="1"/>
  <c r="N777" i="7"/>
  <c r="M777" i="7"/>
  <c r="K777" i="7" s="1"/>
  <c r="F777" i="7"/>
  <c r="E777" i="7"/>
  <c r="C777" i="7" s="1"/>
  <c r="AT776" i="7"/>
  <c r="AS776" i="7"/>
  <c r="AQ776" i="7" s="1"/>
  <c r="AL776" i="7"/>
  <c r="AK776" i="7"/>
  <c r="AI776" i="7" s="1"/>
  <c r="AD776" i="7"/>
  <c r="AC776" i="7"/>
  <c r="AB776" i="7" s="1"/>
  <c r="V776" i="7"/>
  <c r="U776" i="7"/>
  <c r="S776" i="7" s="1"/>
  <c r="N776" i="7"/>
  <c r="M776" i="7"/>
  <c r="K776" i="7" s="1"/>
  <c r="F776" i="7"/>
  <c r="E776" i="7"/>
  <c r="C776" i="7" s="1"/>
  <c r="AT775" i="7"/>
  <c r="AS775" i="7"/>
  <c r="AQ775" i="7" s="1"/>
  <c r="AL775" i="7"/>
  <c r="AK775" i="7"/>
  <c r="AD775" i="7"/>
  <c r="AC775" i="7"/>
  <c r="AB775" i="7" s="1"/>
  <c r="V775" i="7"/>
  <c r="U775" i="7"/>
  <c r="S775" i="7" s="1"/>
  <c r="N775" i="7"/>
  <c r="M775" i="7"/>
  <c r="K775" i="7" s="1"/>
  <c r="F775" i="7"/>
  <c r="E775" i="7"/>
  <c r="C775" i="7" s="1"/>
  <c r="AT774" i="7"/>
  <c r="AS774" i="7"/>
  <c r="AQ774" i="7" s="1"/>
  <c r="AL774" i="7"/>
  <c r="AK774" i="7"/>
  <c r="AI774" i="7" s="1"/>
  <c r="AD774" i="7"/>
  <c r="AC774" i="7"/>
  <c r="AB774" i="7" s="1"/>
  <c r="V774" i="7"/>
  <c r="U774" i="7"/>
  <c r="S774" i="7" s="1"/>
  <c r="N774" i="7"/>
  <c r="M774" i="7"/>
  <c r="K774" i="7" s="1"/>
  <c r="F774" i="7"/>
  <c r="E774" i="7"/>
  <c r="C774" i="7" s="1"/>
  <c r="AT773" i="7"/>
  <c r="AS773" i="7"/>
  <c r="AQ773" i="7" s="1"/>
  <c r="AL773" i="7"/>
  <c r="AK773" i="7"/>
  <c r="AI773" i="7" s="1"/>
  <c r="AD773" i="7"/>
  <c r="AC773" i="7"/>
  <c r="AB773" i="7" s="1"/>
  <c r="V773" i="7"/>
  <c r="U773" i="7"/>
  <c r="S773" i="7" s="1"/>
  <c r="N773" i="7"/>
  <c r="M773" i="7"/>
  <c r="K773" i="7" s="1"/>
  <c r="F773" i="7"/>
  <c r="E773" i="7"/>
  <c r="C773" i="7" s="1"/>
  <c r="AT772" i="7"/>
  <c r="AS772" i="7"/>
  <c r="AQ772" i="7" s="1"/>
  <c r="AL772" i="7"/>
  <c r="AK772" i="7"/>
  <c r="AD772" i="7"/>
  <c r="AC772" i="7"/>
  <c r="AB772" i="7" s="1"/>
  <c r="V772" i="7"/>
  <c r="U772" i="7"/>
  <c r="S772" i="7" s="1"/>
  <c r="T772" i="7"/>
  <c r="N772" i="7"/>
  <c r="M772" i="7"/>
  <c r="K772" i="7" s="1"/>
  <c r="F772" i="7"/>
  <c r="E772" i="7"/>
  <c r="C772" i="7" s="1"/>
  <c r="AT771" i="7"/>
  <c r="AS771" i="7"/>
  <c r="AQ771" i="7" s="1"/>
  <c r="AL771" i="7"/>
  <c r="AK771" i="7"/>
  <c r="AI771" i="7" s="1"/>
  <c r="AD771" i="7"/>
  <c r="AC771" i="7"/>
  <c r="AB771" i="7" s="1"/>
  <c r="V771" i="7"/>
  <c r="U771" i="7"/>
  <c r="S771" i="7" s="1"/>
  <c r="N771" i="7"/>
  <c r="M771" i="7"/>
  <c r="K771" i="7" s="1"/>
  <c r="F771" i="7"/>
  <c r="E771" i="7"/>
  <c r="C771" i="7" s="1"/>
  <c r="AT770" i="7"/>
  <c r="AS770" i="7"/>
  <c r="AQ770" i="7" s="1"/>
  <c r="AL770" i="7"/>
  <c r="AK770" i="7"/>
  <c r="AI770" i="7" s="1"/>
  <c r="AD770" i="7"/>
  <c r="AC770" i="7"/>
  <c r="AB770" i="7" s="1"/>
  <c r="V770" i="7"/>
  <c r="U770" i="7"/>
  <c r="S770" i="7" s="1"/>
  <c r="N770" i="7"/>
  <c r="M770" i="7"/>
  <c r="K770" i="7" s="1"/>
  <c r="F770" i="7"/>
  <c r="E770" i="7"/>
  <c r="C770" i="7" s="1"/>
  <c r="AT769" i="7"/>
  <c r="AS769" i="7"/>
  <c r="AQ769" i="7" s="1"/>
  <c r="AL769" i="7"/>
  <c r="AK769" i="7"/>
  <c r="AD769" i="7"/>
  <c r="AC769" i="7"/>
  <c r="AB769" i="7" s="1"/>
  <c r="V769" i="7"/>
  <c r="U769" i="7"/>
  <c r="S769" i="7" s="1"/>
  <c r="N769" i="7"/>
  <c r="M769" i="7"/>
  <c r="K769" i="7" s="1"/>
  <c r="F769" i="7"/>
  <c r="E769" i="7"/>
  <c r="C769" i="7" s="1"/>
  <c r="AT768" i="7"/>
  <c r="AS768" i="7"/>
  <c r="AQ768" i="7" s="1"/>
  <c r="AL768" i="7"/>
  <c r="AK768" i="7"/>
  <c r="AI768" i="7" s="1"/>
  <c r="AD768" i="7"/>
  <c r="AC768" i="7"/>
  <c r="AB768" i="7" s="1"/>
  <c r="V768" i="7"/>
  <c r="U768" i="7"/>
  <c r="S768" i="7" s="1"/>
  <c r="N768" i="7"/>
  <c r="M768" i="7"/>
  <c r="K768" i="7" s="1"/>
  <c r="F768" i="7"/>
  <c r="E768" i="7"/>
  <c r="C768" i="7" s="1"/>
  <c r="AT767" i="7"/>
  <c r="AS767" i="7"/>
  <c r="AQ767" i="7" s="1"/>
  <c r="AL767" i="7"/>
  <c r="AK767" i="7"/>
  <c r="AJ767" i="7" s="1"/>
  <c r="AD767" i="7"/>
  <c r="AC767" i="7"/>
  <c r="AB767" i="7" s="1"/>
  <c r="V767" i="7"/>
  <c r="U767" i="7"/>
  <c r="S767" i="7" s="1"/>
  <c r="N767" i="7"/>
  <c r="M767" i="7"/>
  <c r="K767" i="7" s="1"/>
  <c r="F767" i="7"/>
  <c r="E767" i="7"/>
  <c r="C767" i="7" s="1"/>
  <c r="AT766" i="7"/>
  <c r="AS766" i="7"/>
  <c r="AQ766" i="7" s="1"/>
  <c r="AL766" i="7"/>
  <c r="AK766" i="7"/>
  <c r="AJ766" i="7" s="1"/>
  <c r="AD766" i="7"/>
  <c r="AC766" i="7"/>
  <c r="AB766" i="7" s="1"/>
  <c r="V766" i="7"/>
  <c r="U766" i="7"/>
  <c r="S766" i="7" s="1"/>
  <c r="N766" i="7"/>
  <c r="M766" i="7"/>
  <c r="K766" i="7" s="1"/>
  <c r="F766" i="7"/>
  <c r="E766" i="7"/>
  <c r="C766" i="7" s="1"/>
  <c r="AT765" i="7"/>
  <c r="AS765" i="7"/>
  <c r="AQ765" i="7" s="1"/>
  <c r="AL765" i="7"/>
  <c r="AK765" i="7"/>
  <c r="AJ765" i="7" s="1"/>
  <c r="AD765" i="7"/>
  <c r="AC765" i="7"/>
  <c r="AB765" i="7" s="1"/>
  <c r="V765" i="7"/>
  <c r="U765" i="7"/>
  <c r="S765" i="7" s="1"/>
  <c r="N765" i="7"/>
  <c r="M765" i="7"/>
  <c r="K765" i="7" s="1"/>
  <c r="F765" i="7"/>
  <c r="E765" i="7"/>
  <c r="C765" i="7" s="1"/>
  <c r="AT764" i="7"/>
  <c r="AS764" i="7"/>
  <c r="AQ764" i="7" s="1"/>
  <c r="AL764" i="7"/>
  <c r="AK764" i="7"/>
  <c r="AJ764" i="7" s="1"/>
  <c r="AD764" i="7"/>
  <c r="AC764" i="7"/>
  <c r="AB764" i="7" s="1"/>
  <c r="V764" i="7"/>
  <c r="U764" i="7"/>
  <c r="S764" i="7" s="1"/>
  <c r="N764" i="7"/>
  <c r="M764" i="7"/>
  <c r="K764" i="7" s="1"/>
  <c r="F764" i="7"/>
  <c r="E764" i="7"/>
  <c r="C764" i="7" s="1"/>
  <c r="AT763" i="7"/>
  <c r="AS763" i="7"/>
  <c r="AQ763" i="7" s="1"/>
  <c r="AL763" i="7"/>
  <c r="AK763" i="7"/>
  <c r="AJ763" i="7" s="1"/>
  <c r="AD763" i="7"/>
  <c r="AC763" i="7"/>
  <c r="AB763" i="7" s="1"/>
  <c r="V763" i="7"/>
  <c r="U763" i="7"/>
  <c r="S763" i="7" s="1"/>
  <c r="N763" i="7"/>
  <c r="M763" i="7"/>
  <c r="K763" i="7" s="1"/>
  <c r="F763" i="7"/>
  <c r="E763" i="7"/>
  <c r="C763" i="7" s="1"/>
  <c r="AT762" i="7"/>
  <c r="AS762" i="7"/>
  <c r="AQ762" i="7" s="1"/>
  <c r="AL762" i="7"/>
  <c r="AK762" i="7"/>
  <c r="AJ762" i="7" s="1"/>
  <c r="AD762" i="7"/>
  <c r="AC762" i="7"/>
  <c r="AB762" i="7" s="1"/>
  <c r="V762" i="7"/>
  <c r="U762" i="7"/>
  <c r="S762" i="7" s="1"/>
  <c r="N762" i="7"/>
  <c r="M762" i="7"/>
  <c r="K762" i="7" s="1"/>
  <c r="F762" i="7"/>
  <c r="E762" i="7"/>
  <c r="C762" i="7" s="1"/>
  <c r="AT761" i="7"/>
  <c r="AS761" i="7"/>
  <c r="AQ761" i="7" s="1"/>
  <c r="AL761" i="7"/>
  <c r="AK761" i="7"/>
  <c r="AJ761" i="7" s="1"/>
  <c r="AD761" i="7"/>
  <c r="AC761" i="7"/>
  <c r="AB761" i="7" s="1"/>
  <c r="V761" i="7"/>
  <c r="U761" i="7"/>
  <c r="S761" i="7" s="1"/>
  <c r="N761" i="7"/>
  <c r="M761" i="7"/>
  <c r="K761" i="7" s="1"/>
  <c r="F761" i="7"/>
  <c r="E761" i="7"/>
  <c r="C761" i="7" s="1"/>
  <c r="AT760" i="7"/>
  <c r="AS760" i="7"/>
  <c r="AQ760" i="7" s="1"/>
  <c r="AL760" i="7"/>
  <c r="AK760" i="7"/>
  <c r="AJ760" i="7" s="1"/>
  <c r="AD760" i="7"/>
  <c r="AC760" i="7"/>
  <c r="AB760" i="7" s="1"/>
  <c r="V760" i="7"/>
  <c r="U760" i="7"/>
  <c r="S760" i="7" s="1"/>
  <c r="N760" i="7"/>
  <c r="M760" i="7"/>
  <c r="K760" i="7" s="1"/>
  <c r="F760" i="7"/>
  <c r="E760" i="7"/>
  <c r="C760" i="7" s="1"/>
  <c r="AT759" i="7"/>
  <c r="AS759" i="7"/>
  <c r="AQ759" i="7" s="1"/>
  <c r="AL759" i="7"/>
  <c r="AK759" i="7"/>
  <c r="AJ759" i="7" s="1"/>
  <c r="AD759" i="7"/>
  <c r="AC759" i="7"/>
  <c r="AB759" i="7" s="1"/>
  <c r="V759" i="7"/>
  <c r="U759" i="7"/>
  <c r="S759" i="7" s="1"/>
  <c r="N759" i="7"/>
  <c r="M759" i="7"/>
  <c r="K759" i="7" s="1"/>
  <c r="F759" i="7"/>
  <c r="E759" i="7"/>
  <c r="C759" i="7" s="1"/>
  <c r="AT758" i="7"/>
  <c r="AS758" i="7"/>
  <c r="AQ758" i="7" s="1"/>
  <c r="AL758" i="7"/>
  <c r="AK758" i="7"/>
  <c r="AJ758" i="7" s="1"/>
  <c r="AD758" i="7"/>
  <c r="AC758" i="7"/>
  <c r="AB758" i="7" s="1"/>
  <c r="V758" i="7"/>
  <c r="U758" i="7"/>
  <c r="S758" i="7" s="1"/>
  <c r="N758" i="7"/>
  <c r="M758" i="7"/>
  <c r="K758" i="7" s="1"/>
  <c r="F758" i="7"/>
  <c r="E758" i="7"/>
  <c r="C758" i="7" s="1"/>
  <c r="AT757" i="7"/>
  <c r="AS757" i="7"/>
  <c r="AQ757" i="7" s="1"/>
  <c r="AL757" i="7"/>
  <c r="AK757" i="7"/>
  <c r="AJ757" i="7" s="1"/>
  <c r="AD757" i="7"/>
  <c r="AC757" i="7"/>
  <c r="AB757" i="7" s="1"/>
  <c r="V757" i="7"/>
  <c r="U757" i="7"/>
  <c r="S757" i="7" s="1"/>
  <c r="N757" i="7"/>
  <c r="M757" i="7"/>
  <c r="K757" i="7" s="1"/>
  <c r="F757" i="7"/>
  <c r="E757" i="7"/>
  <c r="C757" i="7" s="1"/>
  <c r="AT756" i="7"/>
  <c r="AS756" i="7"/>
  <c r="AQ756" i="7" s="1"/>
  <c r="AL756" i="7"/>
  <c r="AK756" i="7"/>
  <c r="AJ756" i="7" s="1"/>
  <c r="AD756" i="7"/>
  <c r="AC756" i="7"/>
  <c r="AB756" i="7" s="1"/>
  <c r="V756" i="7"/>
  <c r="U756" i="7"/>
  <c r="S756" i="7" s="1"/>
  <c r="N756" i="7"/>
  <c r="M756" i="7"/>
  <c r="K756" i="7" s="1"/>
  <c r="F756" i="7"/>
  <c r="E756" i="7"/>
  <c r="C756" i="7" s="1"/>
  <c r="AT755" i="7"/>
  <c r="AS755" i="7"/>
  <c r="AQ755" i="7" s="1"/>
  <c r="AL755" i="7"/>
  <c r="AK755" i="7"/>
  <c r="AJ755" i="7" s="1"/>
  <c r="AD755" i="7"/>
  <c r="AC755" i="7"/>
  <c r="AB755" i="7" s="1"/>
  <c r="V755" i="7"/>
  <c r="U755" i="7"/>
  <c r="S755" i="7" s="1"/>
  <c r="N755" i="7"/>
  <c r="M755" i="7"/>
  <c r="K755" i="7" s="1"/>
  <c r="F755" i="7"/>
  <c r="E755" i="7"/>
  <c r="C755" i="7" s="1"/>
  <c r="AT754" i="7"/>
  <c r="AS754" i="7"/>
  <c r="AQ754" i="7" s="1"/>
  <c r="AL754" i="7"/>
  <c r="AK754" i="7"/>
  <c r="AJ754" i="7" s="1"/>
  <c r="AD754" i="7"/>
  <c r="AC754" i="7"/>
  <c r="AB754" i="7" s="1"/>
  <c r="V754" i="7"/>
  <c r="U754" i="7"/>
  <c r="S754" i="7" s="1"/>
  <c r="N754" i="7"/>
  <c r="M754" i="7"/>
  <c r="K754" i="7" s="1"/>
  <c r="F754" i="7"/>
  <c r="E754" i="7"/>
  <c r="C754" i="7" s="1"/>
  <c r="AT753" i="7"/>
  <c r="AS753" i="7"/>
  <c r="AQ753" i="7" s="1"/>
  <c r="AL753" i="7"/>
  <c r="AK753" i="7"/>
  <c r="AJ753" i="7" s="1"/>
  <c r="AD753" i="7"/>
  <c r="AC753" i="7"/>
  <c r="AB753" i="7" s="1"/>
  <c r="V753" i="7"/>
  <c r="U753" i="7"/>
  <c r="S753" i="7" s="1"/>
  <c r="N753" i="7"/>
  <c r="M753" i="7"/>
  <c r="K753" i="7" s="1"/>
  <c r="F753" i="7"/>
  <c r="E753" i="7"/>
  <c r="C753" i="7" s="1"/>
  <c r="AT752" i="7"/>
  <c r="AS752" i="7"/>
  <c r="AQ752" i="7" s="1"/>
  <c r="AL752" i="7"/>
  <c r="AK752" i="7"/>
  <c r="AJ752" i="7" s="1"/>
  <c r="AD752" i="7"/>
  <c r="AC752" i="7"/>
  <c r="AB752" i="7" s="1"/>
  <c r="V752" i="7"/>
  <c r="U752" i="7"/>
  <c r="S752" i="7" s="1"/>
  <c r="N752" i="7"/>
  <c r="M752" i="7"/>
  <c r="K752" i="7" s="1"/>
  <c r="F752" i="7"/>
  <c r="E752" i="7"/>
  <c r="C752" i="7" s="1"/>
  <c r="AT751" i="7"/>
  <c r="AS751" i="7"/>
  <c r="AQ751" i="7" s="1"/>
  <c r="AL751" i="7"/>
  <c r="AK751" i="7"/>
  <c r="AJ751" i="7" s="1"/>
  <c r="AD751" i="7"/>
  <c r="AC751" i="7"/>
  <c r="AB751" i="7" s="1"/>
  <c r="V751" i="7"/>
  <c r="U751" i="7"/>
  <c r="S751" i="7" s="1"/>
  <c r="N751" i="7"/>
  <c r="M751" i="7"/>
  <c r="K751" i="7" s="1"/>
  <c r="F751" i="7"/>
  <c r="E751" i="7"/>
  <c r="C751" i="7" s="1"/>
  <c r="AT750" i="7"/>
  <c r="AS750" i="7"/>
  <c r="AQ750" i="7" s="1"/>
  <c r="AL750" i="7"/>
  <c r="AK750" i="7"/>
  <c r="AJ750" i="7" s="1"/>
  <c r="AD750" i="7"/>
  <c r="AC750" i="7"/>
  <c r="AB750" i="7" s="1"/>
  <c r="V750" i="7"/>
  <c r="U750" i="7"/>
  <c r="S750" i="7" s="1"/>
  <c r="N750" i="7"/>
  <c r="M750" i="7"/>
  <c r="K750" i="7" s="1"/>
  <c r="F750" i="7"/>
  <c r="E750" i="7"/>
  <c r="C750" i="7" s="1"/>
  <c r="AT749" i="7"/>
  <c r="AS749" i="7"/>
  <c r="AQ749" i="7" s="1"/>
  <c r="AL749" i="7"/>
  <c r="AK749" i="7"/>
  <c r="AJ749" i="7" s="1"/>
  <c r="AD749" i="7"/>
  <c r="AC749" i="7"/>
  <c r="AB749" i="7" s="1"/>
  <c r="V749" i="7"/>
  <c r="U749" i="7"/>
  <c r="S749" i="7" s="1"/>
  <c r="N749" i="7"/>
  <c r="M749" i="7"/>
  <c r="K749" i="7" s="1"/>
  <c r="F749" i="7"/>
  <c r="E749" i="7"/>
  <c r="C749" i="7" s="1"/>
  <c r="AT748" i="7"/>
  <c r="AS748" i="7"/>
  <c r="AQ748" i="7" s="1"/>
  <c r="AL748" i="7"/>
  <c r="AK748" i="7"/>
  <c r="AJ748" i="7" s="1"/>
  <c r="AD748" i="7"/>
  <c r="AC748" i="7"/>
  <c r="AB748" i="7" s="1"/>
  <c r="V748" i="7"/>
  <c r="U748" i="7"/>
  <c r="S748" i="7" s="1"/>
  <c r="N748" i="7"/>
  <c r="M748" i="7"/>
  <c r="K748" i="7" s="1"/>
  <c r="F748" i="7"/>
  <c r="E748" i="7"/>
  <c r="C748" i="7" s="1"/>
  <c r="AT747" i="7"/>
  <c r="AS747" i="7"/>
  <c r="AQ747" i="7" s="1"/>
  <c r="AL747" i="7"/>
  <c r="AK747" i="7"/>
  <c r="AJ747" i="7" s="1"/>
  <c r="AD747" i="7"/>
  <c r="AC747" i="7"/>
  <c r="AB747" i="7" s="1"/>
  <c r="V747" i="7"/>
  <c r="U747" i="7"/>
  <c r="S747" i="7" s="1"/>
  <c r="N747" i="7"/>
  <c r="M747" i="7"/>
  <c r="K747" i="7" s="1"/>
  <c r="F747" i="7"/>
  <c r="E747" i="7"/>
  <c r="C747" i="7" s="1"/>
  <c r="AT746" i="7"/>
  <c r="AS746" i="7"/>
  <c r="AQ746" i="7" s="1"/>
  <c r="AL746" i="7"/>
  <c r="AK746" i="7"/>
  <c r="AJ746" i="7" s="1"/>
  <c r="AD746" i="7"/>
  <c r="AC746" i="7"/>
  <c r="AB746" i="7" s="1"/>
  <c r="V746" i="7"/>
  <c r="U746" i="7"/>
  <c r="S746" i="7" s="1"/>
  <c r="N746" i="7"/>
  <c r="M746" i="7"/>
  <c r="K746" i="7" s="1"/>
  <c r="F746" i="7"/>
  <c r="E746" i="7"/>
  <c r="C746" i="7" s="1"/>
  <c r="AT745" i="7"/>
  <c r="AS745" i="7"/>
  <c r="AQ745" i="7" s="1"/>
  <c r="AL745" i="7"/>
  <c r="AK745" i="7"/>
  <c r="AJ745" i="7" s="1"/>
  <c r="AD745" i="7"/>
  <c r="AC745" i="7"/>
  <c r="AB745" i="7" s="1"/>
  <c r="V745" i="7"/>
  <c r="U745" i="7"/>
  <c r="S745" i="7" s="1"/>
  <c r="N745" i="7"/>
  <c r="M745" i="7"/>
  <c r="K745" i="7" s="1"/>
  <c r="F745" i="7"/>
  <c r="E745" i="7"/>
  <c r="C745" i="7" s="1"/>
  <c r="AT744" i="7"/>
  <c r="AS744" i="7"/>
  <c r="AQ744" i="7" s="1"/>
  <c r="AL744" i="7"/>
  <c r="AK744" i="7"/>
  <c r="AJ744" i="7" s="1"/>
  <c r="AD744" i="7"/>
  <c r="AC744" i="7"/>
  <c r="AB744" i="7" s="1"/>
  <c r="V744" i="7"/>
  <c r="U744" i="7"/>
  <c r="S744" i="7" s="1"/>
  <c r="N744" i="7"/>
  <c r="M744" i="7"/>
  <c r="K744" i="7" s="1"/>
  <c r="F744" i="7"/>
  <c r="E744" i="7"/>
  <c r="C744" i="7" s="1"/>
  <c r="AT743" i="7"/>
  <c r="AS743" i="7"/>
  <c r="AQ743" i="7" s="1"/>
  <c r="AL743" i="7"/>
  <c r="AK743" i="7"/>
  <c r="AJ743" i="7" s="1"/>
  <c r="AD743" i="7"/>
  <c r="AC743" i="7"/>
  <c r="AB743" i="7" s="1"/>
  <c r="V743" i="7"/>
  <c r="U743" i="7"/>
  <c r="S743" i="7" s="1"/>
  <c r="N743" i="7"/>
  <c r="M743" i="7"/>
  <c r="K743" i="7" s="1"/>
  <c r="F743" i="7"/>
  <c r="E743" i="7"/>
  <c r="C743" i="7" s="1"/>
  <c r="AT742" i="7"/>
  <c r="AS742" i="7"/>
  <c r="AQ742" i="7" s="1"/>
  <c r="AL742" i="7"/>
  <c r="AK742" i="7"/>
  <c r="AJ742" i="7" s="1"/>
  <c r="AD742" i="7"/>
  <c r="AC742" i="7"/>
  <c r="AB742" i="7" s="1"/>
  <c r="V742" i="7"/>
  <c r="U742" i="7"/>
  <c r="S742" i="7" s="1"/>
  <c r="N742" i="7"/>
  <c r="M742" i="7"/>
  <c r="K742" i="7" s="1"/>
  <c r="F742" i="7"/>
  <c r="E742" i="7"/>
  <c r="C742" i="7" s="1"/>
  <c r="AT741" i="7"/>
  <c r="AS741" i="7"/>
  <c r="AQ741" i="7" s="1"/>
  <c r="AL741" i="7"/>
  <c r="AK741" i="7"/>
  <c r="AJ741" i="7" s="1"/>
  <c r="AD741" i="7"/>
  <c r="AC741" i="7"/>
  <c r="AB741" i="7" s="1"/>
  <c r="V741" i="7"/>
  <c r="U741" i="7"/>
  <c r="S741" i="7" s="1"/>
  <c r="N741" i="7"/>
  <c r="M741" i="7"/>
  <c r="K741" i="7" s="1"/>
  <c r="F741" i="7"/>
  <c r="E741" i="7"/>
  <c r="C741" i="7" s="1"/>
  <c r="AT740" i="7"/>
  <c r="AS740" i="7"/>
  <c r="AQ740" i="7" s="1"/>
  <c r="AL740" i="7"/>
  <c r="AK740" i="7"/>
  <c r="AJ740" i="7" s="1"/>
  <c r="AD740" i="7"/>
  <c r="AC740" i="7"/>
  <c r="AB740" i="7" s="1"/>
  <c r="V740" i="7"/>
  <c r="U740" i="7"/>
  <c r="S740" i="7" s="1"/>
  <c r="N740" i="7"/>
  <c r="M740" i="7"/>
  <c r="K740" i="7" s="1"/>
  <c r="F740" i="7"/>
  <c r="E740" i="7"/>
  <c r="C740" i="7" s="1"/>
  <c r="AT739" i="7"/>
  <c r="AS739" i="7"/>
  <c r="AQ739" i="7" s="1"/>
  <c r="AL739" i="7"/>
  <c r="AK739" i="7"/>
  <c r="AJ739" i="7" s="1"/>
  <c r="AD739" i="7"/>
  <c r="AC739" i="7"/>
  <c r="AB739" i="7" s="1"/>
  <c r="V739" i="7"/>
  <c r="U739" i="7"/>
  <c r="S739" i="7" s="1"/>
  <c r="N739" i="7"/>
  <c r="M739" i="7"/>
  <c r="K739" i="7" s="1"/>
  <c r="F739" i="7"/>
  <c r="E739" i="7"/>
  <c r="C739" i="7" s="1"/>
  <c r="AT738" i="7"/>
  <c r="AS738" i="7"/>
  <c r="AQ738" i="7" s="1"/>
  <c r="AL738" i="7"/>
  <c r="AK738" i="7"/>
  <c r="AJ738" i="7" s="1"/>
  <c r="AD738" i="7"/>
  <c r="AC738" i="7"/>
  <c r="AB738" i="7" s="1"/>
  <c r="V738" i="7"/>
  <c r="U738" i="7"/>
  <c r="S738" i="7" s="1"/>
  <c r="N738" i="7"/>
  <c r="M738" i="7"/>
  <c r="K738" i="7" s="1"/>
  <c r="F738" i="7"/>
  <c r="E738" i="7"/>
  <c r="C738" i="7" s="1"/>
  <c r="AT737" i="7"/>
  <c r="AS737" i="7"/>
  <c r="AQ737" i="7" s="1"/>
  <c r="AL737" i="7"/>
  <c r="AK737" i="7"/>
  <c r="AJ737" i="7" s="1"/>
  <c r="AD737" i="7"/>
  <c r="AC737" i="7"/>
  <c r="AB737" i="7" s="1"/>
  <c r="V737" i="7"/>
  <c r="U737" i="7"/>
  <c r="S737" i="7" s="1"/>
  <c r="N737" i="7"/>
  <c r="M737" i="7"/>
  <c r="K737" i="7" s="1"/>
  <c r="F737" i="7"/>
  <c r="E737" i="7"/>
  <c r="C737" i="7" s="1"/>
  <c r="AT736" i="7"/>
  <c r="AS736" i="7"/>
  <c r="AQ736" i="7" s="1"/>
  <c r="AL736" i="7"/>
  <c r="AK736" i="7"/>
  <c r="AJ736" i="7" s="1"/>
  <c r="AD736" i="7"/>
  <c r="AC736" i="7"/>
  <c r="AB736" i="7" s="1"/>
  <c r="V736" i="7"/>
  <c r="U736" i="7"/>
  <c r="S736" i="7" s="1"/>
  <c r="N736" i="7"/>
  <c r="M736" i="7"/>
  <c r="K736" i="7" s="1"/>
  <c r="F736" i="7"/>
  <c r="E736" i="7"/>
  <c r="C736" i="7" s="1"/>
  <c r="AT735" i="7"/>
  <c r="AS735" i="7"/>
  <c r="AQ735" i="7" s="1"/>
  <c r="AL735" i="7"/>
  <c r="AK735" i="7"/>
  <c r="AJ735" i="7" s="1"/>
  <c r="AD735" i="7"/>
  <c r="AC735" i="7"/>
  <c r="AB735" i="7" s="1"/>
  <c r="V735" i="7"/>
  <c r="U735" i="7"/>
  <c r="S735" i="7" s="1"/>
  <c r="N735" i="7"/>
  <c r="M735" i="7"/>
  <c r="K735" i="7" s="1"/>
  <c r="F735" i="7"/>
  <c r="E735" i="7"/>
  <c r="C735" i="7" s="1"/>
  <c r="AT734" i="7"/>
  <c r="AS734" i="7"/>
  <c r="AQ734" i="7" s="1"/>
  <c r="AL734" i="7"/>
  <c r="AK734" i="7"/>
  <c r="AJ734" i="7" s="1"/>
  <c r="AD734" i="7"/>
  <c r="AC734" i="7"/>
  <c r="AB734" i="7" s="1"/>
  <c r="V734" i="7"/>
  <c r="U734" i="7"/>
  <c r="S734" i="7" s="1"/>
  <c r="N734" i="7"/>
  <c r="M734" i="7"/>
  <c r="K734" i="7" s="1"/>
  <c r="F734" i="7"/>
  <c r="E734" i="7"/>
  <c r="C734" i="7" s="1"/>
  <c r="AT733" i="7"/>
  <c r="AS733" i="7"/>
  <c r="AQ733" i="7" s="1"/>
  <c r="AL733" i="7"/>
  <c r="AK733" i="7"/>
  <c r="AJ733" i="7" s="1"/>
  <c r="AD733" i="7"/>
  <c r="AC733" i="7"/>
  <c r="AB733" i="7" s="1"/>
  <c r="V733" i="7"/>
  <c r="U733" i="7"/>
  <c r="S733" i="7" s="1"/>
  <c r="N733" i="7"/>
  <c r="M733" i="7"/>
  <c r="K733" i="7" s="1"/>
  <c r="F733" i="7"/>
  <c r="E733" i="7"/>
  <c r="C733" i="7" s="1"/>
  <c r="AT732" i="7"/>
  <c r="AS732" i="7"/>
  <c r="AQ732" i="7" s="1"/>
  <c r="AL732" i="7"/>
  <c r="AK732" i="7"/>
  <c r="AJ732" i="7" s="1"/>
  <c r="AD732" i="7"/>
  <c r="AC732" i="7"/>
  <c r="AB732" i="7" s="1"/>
  <c r="V732" i="7"/>
  <c r="U732" i="7"/>
  <c r="S732" i="7" s="1"/>
  <c r="N732" i="7"/>
  <c r="M732" i="7"/>
  <c r="K732" i="7" s="1"/>
  <c r="F732" i="7"/>
  <c r="E732" i="7"/>
  <c r="C732" i="7" s="1"/>
  <c r="AT731" i="7"/>
  <c r="AS731" i="7"/>
  <c r="AQ731" i="7" s="1"/>
  <c r="AL731" i="7"/>
  <c r="AK731" i="7"/>
  <c r="AJ731" i="7" s="1"/>
  <c r="AD731" i="7"/>
  <c r="AC731" i="7"/>
  <c r="AB731" i="7" s="1"/>
  <c r="V731" i="7"/>
  <c r="U731" i="7"/>
  <c r="S731" i="7" s="1"/>
  <c r="N731" i="7"/>
  <c r="M731" i="7"/>
  <c r="K731" i="7" s="1"/>
  <c r="F731" i="7"/>
  <c r="E731" i="7"/>
  <c r="C731" i="7" s="1"/>
  <c r="AT730" i="7"/>
  <c r="AS730" i="7"/>
  <c r="AQ730" i="7" s="1"/>
  <c r="AL730" i="7"/>
  <c r="AK730" i="7"/>
  <c r="AJ730" i="7" s="1"/>
  <c r="AD730" i="7"/>
  <c r="AC730" i="7"/>
  <c r="AB730" i="7" s="1"/>
  <c r="V730" i="7"/>
  <c r="U730" i="7"/>
  <c r="S730" i="7" s="1"/>
  <c r="N730" i="7"/>
  <c r="M730" i="7"/>
  <c r="K730" i="7" s="1"/>
  <c r="F730" i="7"/>
  <c r="E730" i="7"/>
  <c r="C730" i="7" s="1"/>
  <c r="AT729" i="7"/>
  <c r="AS729" i="7"/>
  <c r="AQ729" i="7" s="1"/>
  <c r="AL729" i="7"/>
  <c r="AK729" i="7"/>
  <c r="AJ729" i="7" s="1"/>
  <c r="AD729" i="7"/>
  <c r="AC729" i="7"/>
  <c r="AB729" i="7" s="1"/>
  <c r="V729" i="7"/>
  <c r="U729" i="7"/>
  <c r="S729" i="7" s="1"/>
  <c r="N729" i="7"/>
  <c r="M729" i="7"/>
  <c r="K729" i="7" s="1"/>
  <c r="F729" i="7"/>
  <c r="E729" i="7"/>
  <c r="C729" i="7" s="1"/>
  <c r="AT728" i="7"/>
  <c r="AS728" i="7"/>
  <c r="AQ728" i="7" s="1"/>
  <c r="AL728" i="7"/>
  <c r="AK728" i="7"/>
  <c r="AJ728" i="7" s="1"/>
  <c r="AD728" i="7"/>
  <c r="AC728" i="7"/>
  <c r="AB728" i="7" s="1"/>
  <c r="V728" i="7"/>
  <c r="U728" i="7"/>
  <c r="S728" i="7" s="1"/>
  <c r="N728" i="7"/>
  <c r="M728" i="7"/>
  <c r="K728" i="7" s="1"/>
  <c r="F728" i="7"/>
  <c r="E728" i="7"/>
  <c r="C728" i="7" s="1"/>
  <c r="AT727" i="7"/>
  <c r="AS727" i="7"/>
  <c r="AQ727" i="7" s="1"/>
  <c r="AL727" i="7"/>
  <c r="AK727" i="7"/>
  <c r="AJ727" i="7" s="1"/>
  <c r="AD727" i="7"/>
  <c r="AC727" i="7"/>
  <c r="AB727" i="7" s="1"/>
  <c r="V727" i="7"/>
  <c r="U727" i="7"/>
  <c r="S727" i="7" s="1"/>
  <c r="N727" i="7"/>
  <c r="M727" i="7"/>
  <c r="K727" i="7" s="1"/>
  <c r="F727" i="7"/>
  <c r="E727" i="7"/>
  <c r="C727" i="7" s="1"/>
  <c r="AT726" i="7"/>
  <c r="AS726" i="7"/>
  <c r="AQ726" i="7" s="1"/>
  <c r="AL726" i="7"/>
  <c r="AK726" i="7"/>
  <c r="AJ726" i="7" s="1"/>
  <c r="AD726" i="7"/>
  <c r="AC726" i="7"/>
  <c r="AB726" i="7" s="1"/>
  <c r="V726" i="7"/>
  <c r="U726" i="7"/>
  <c r="S726" i="7" s="1"/>
  <c r="N726" i="7"/>
  <c r="M726" i="7"/>
  <c r="K726" i="7" s="1"/>
  <c r="F726" i="7"/>
  <c r="E726" i="7"/>
  <c r="C726" i="7" s="1"/>
  <c r="AT725" i="7"/>
  <c r="AS725" i="7"/>
  <c r="AQ725" i="7" s="1"/>
  <c r="AL725" i="7"/>
  <c r="AK725" i="7"/>
  <c r="AJ725" i="7" s="1"/>
  <c r="AD725" i="7"/>
  <c r="AC725" i="7"/>
  <c r="AB725" i="7" s="1"/>
  <c r="V725" i="7"/>
  <c r="U725" i="7"/>
  <c r="S725" i="7" s="1"/>
  <c r="N725" i="7"/>
  <c r="M725" i="7"/>
  <c r="K725" i="7" s="1"/>
  <c r="F725" i="7"/>
  <c r="E725" i="7"/>
  <c r="C725" i="7" s="1"/>
  <c r="AT724" i="7"/>
  <c r="AS724" i="7"/>
  <c r="AQ724" i="7" s="1"/>
  <c r="AL724" i="7"/>
  <c r="AK724" i="7"/>
  <c r="AJ724" i="7" s="1"/>
  <c r="AD724" i="7"/>
  <c r="AC724" i="7"/>
  <c r="AB724" i="7" s="1"/>
  <c r="V724" i="7"/>
  <c r="U724" i="7"/>
  <c r="S724" i="7" s="1"/>
  <c r="N724" i="7"/>
  <c r="M724" i="7"/>
  <c r="K724" i="7" s="1"/>
  <c r="F724" i="7"/>
  <c r="E724" i="7"/>
  <c r="C724" i="7" s="1"/>
  <c r="AT723" i="7"/>
  <c r="AS723" i="7"/>
  <c r="AQ723" i="7" s="1"/>
  <c r="AL723" i="7"/>
  <c r="AK723" i="7"/>
  <c r="AJ723" i="7" s="1"/>
  <c r="AD723" i="7"/>
  <c r="AC723" i="7"/>
  <c r="AB723" i="7" s="1"/>
  <c r="V723" i="7"/>
  <c r="U723" i="7"/>
  <c r="S723" i="7" s="1"/>
  <c r="N723" i="7"/>
  <c r="M723" i="7"/>
  <c r="K723" i="7" s="1"/>
  <c r="F723" i="7"/>
  <c r="E723" i="7"/>
  <c r="C723" i="7" s="1"/>
  <c r="AT722" i="7"/>
  <c r="AS722" i="7"/>
  <c r="AQ722" i="7" s="1"/>
  <c r="AL722" i="7"/>
  <c r="AK722" i="7"/>
  <c r="AJ722" i="7" s="1"/>
  <c r="AD722" i="7"/>
  <c r="AC722" i="7"/>
  <c r="AB722" i="7" s="1"/>
  <c r="V722" i="7"/>
  <c r="U722" i="7"/>
  <c r="S722" i="7" s="1"/>
  <c r="N722" i="7"/>
  <c r="M722" i="7"/>
  <c r="K722" i="7" s="1"/>
  <c r="F722" i="7"/>
  <c r="E722" i="7"/>
  <c r="C722" i="7" s="1"/>
  <c r="AT721" i="7"/>
  <c r="AS721" i="7"/>
  <c r="AQ721" i="7" s="1"/>
  <c r="AL721" i="7"/>
  <c r="AK721" i="7"/>
  <c r="AJ721" i="7" s="1"/>
  <c r="AD721" i="7"/>
  <c r="AC721" i="7"/>
  <c r="AB721" i="7" s="1"/>
  <c r="V721" i="7"/>
  <c r="U721" i="7"/>
  <c r="S721" i="7" s="1"/>
  <c r="N721" i="7"/>
  <c r="M721" i="7"/>
  <c r="K721" i="7" s="1"/>
  <c r="F721" i="7"/>
  <c r="E721" i="7"/>
  <c r="C721" i="7" s="1"/>
  <c r="AT720" i="7"/>
  <c r="AS720" i="7"/>
  <c r="AQ720" i="7" s="1"/>
  <c r="AL720" i="7"/>
  <c r="AK720" i="7"/>
  <c r="AJ720" i="7" s="1"/>
  <c r="AD720" i="7"/>
  <c r="AC720" i="7"/>
  <c r="AB720" i="7" s="1"/>
  <c r="V720" i="7"/>
  <c r="U720" i="7"/>
  <c r="S720" i="7" s="1"/>
  <c r="N720" i="7"/>
  <c r="M720" i="7"/>
  <c r="K720" i="7" s="1"/>
  <c r="F720" i="7"/>
  <c r="E720" i="7"/>
  <c r="C720" i="7" s="1"/>
  <c r="AT719" i="7"/>
  <c r="AS719" i="7"/>
  <c r="AQ719" i="7" s="1"/>
  <c r="AL719" i="7"/>
  <c r="AK719" i="7"/>
  <c r="AJ719" i="7" s="1"/>
  <c r="AD719" i="7"/>
  <c r="AC719" i="7"/>
  <c r="AB719" i="7" s="1"/>
  <c r="V719" i="7"/>
  <c r="U719" i="7"/>
  <c r="S719" i="7" s="1"/>
  <c r="N719" i="7"/>
  <c r="M719" i="7"/>
  <c r="K719" i="7" s="1"/>
  <c r="F719" i="7"/>
  <c r="E719" i="7"/>
  <c r="C719" i="7" s="1"/>
  <c r="AT718" i="7"/>
  <c r="AS718" i="7"/>
  <c r="AQ718" i="7" s="1"/>
  <c r="AL718" i="7"/>
  <c r="AK718" i="7"/>
  <c r="AJ718" i="7" s="1"/>
  <c r="AD718" i="7"/>
  <c r="AC718" i="7"/>
  <c r="AB718" i="7" s="1"/>
  <c r="V718" i="7"/>
  <c r="U718" i="7"/>
  <c r="S718" i="7" s="1"/>
  <c r="N718" i="7"/>
  <c r="M718" i="7"/>
  <c r="K718" i="7" s="1"/>
  <c r="F718" i="7"/>
  <c r="E718" i="7"/>
  <c r="C718" i="7" s="1"/>
  <c r="AT717" i="7"/>
  <c r="AS717" i="7"/>
  <c r="AQ717" i="7" s="1"/>
  <c r="AL717" i="7"/>
  <c r="AK717" i="7"/>
  <c r="AJ717" i="7" s="1"/>
  <c r="AD717" i="7"/>
  <c r="AC717" i="7"/>
  <c r="AB717" i="7" s="1"/>
  <c r="V717" i="7"/>
  <c r="U717" i="7"/>
  <c r="S717" i="7" s="1"/>
  <c r="N717" i="7"/>
  <c r="M717" i="7"/>
  <c r="K717" i="7" s="1"/>
  <c r="F717" i="7"/>
  <c r="E717" i="7"/>
  <c r="C717" i="7" s="1"/>
  <c r="AT716" i="7"/>
  <c r="AS716" i="7"/>
  <c r="AQ716" i="7" s="1"/>
  <c r="AL716" i="7"/>
  <c r="AK716" i="7"/>
  <c r="AJ716" i="7" s="1"/>
  <c r="AD716" i="7"/>
  <c r="AC716" i="7"/>
  <c r="AB716" i="7" s="1"/>
  <c r="V716" i="7"/>
  <c r="U716" i="7"/>
  <c r="S716" i="7" s="1"/>
  <c r="N716" i="7"/>
  <c r="M716" i="7"/>
  <c r="K716" i="7" s="1"/>
  <c r="F716" i="7"/>
  <c r="E716" i="7"/>
  <c r="C716" i="7" s="1"/>
  <c r="AT715" i="7"/>
  <c r="AS715" i="7"/>
  <c r="AQ715" i="7" s="1"/>
  <c r="AL715" i="7"/>
  <c r="AK715" i="7"/>
  <c r="AJ715" i="7" s="1"/>
  <c r="AD715" i="7"/>
  <c r="AC715" i="7"/>
  <c r="AB715" i="7" s="1"/>
  <c r="V715" i="7"/>
  <c r="U715" i="7"/>
  <c r="S715" i="7" s="1"/>
  <c r="N715" i="7"/>
  <c r="M715" i="7"/>
  <c r="K715" i="7" s="1"/>
  <c r="F715" i="7"/>
  <c r="E715" i="7"/>
  <c r="C715" i="7" s="1"/>
  <c r="AT714" i="7"/>
  <c r="AS714" i="7"/>
  <c r="AQ714" i="7" s="1"/>
  <c r="AL714" i="7"/>
  <c r="AK714" i="7"/>
  <c r="AJ714" i="7" s="1"/>
  <c r="AD714" i="7"/>
  <c r="AC714" i="7"/>
  <c r="AB714" i="7" s="1"/>
  <c r="V714" i="7"/>
  <c r="U714" i="7"/>
  <c r="S714" i="7" s="1"/>
  <c r="N714" i="7"/>
  <c r="M714" i="7"/>
  <c r="K714" i="7" s="1"/>
  <c r="F714" i="7"/>
  <c r="E714" i="7"/>
  <c r="C714" i="7" s="1"/>
  <c r="AT713" i="7"/>
  <c r="AS713" i="7"/>
  <c r="AQ713" i="7" s="1"/>
  <c r="AL713" i="7"/>
  <c r="AK713" i="7"/>
  <c r="AJ713" i="7" s="1"/>
  <c r="AD713" i="7"/>
  <c r="AC713" i="7"/>
  <c r="AB713" i="7" s="1"/>
  <c r="V713" i="7"/>
  <c r="U713" i="7"/>
  <c r="S713" i="7" s="1"/>
  <c r="N713" i="7"/>
  <c r="M713" i="7"/>
  <c r="K713" i="7" s="1"/>
  <c r="F713" i="7"/>
  <c r="E713" i="7"/>
  <c r="C713" i="7" s="1"/>
  <c r="AT712" i="7"/>
  <c r="AS712" i="7"/>
  <c r="AQ712" i="7" s="1"/>
  <c r="AL712" i="7"/>
  <c r="AK712" i="7"/>
  <c r="AJ712" i="7" s="1"/>
  <c r="AD712" i="7"/>
  <c r="AC712" i="7"/>
  <c r="AB712" i="7" s="1"/>
  <c r="V712" i="7"/>
  <c r="U712" i="7"/>
  <c r="S712" i="7" s="1"/>
  <c r="N712" i="7"/>
  <c r="M712" i="7"/>
  <c r="K712" i="7" s="1"/>
  <c r="F712" i="7"/>
  <c r="E712" i="7"/>
  <c r="C712" i="7" s="1"/>
  <c r="AT711" i="7"/>
  <c r="AS711" i="7"/>
  <c r="AQ711" i="7" s="1"/>
  <c r="AL711" i="7"/>
  <c r="AK711" i="7"/>
  <c r="AJ711" i="7" s="1"/>
  <c r="AD711" i="7"/>
  <c r="AC711" i="7"/>
  <c r="AB711" i="7" s="1"/>
  <c r="V711" i="7"/>
  <c r="U711" i="7"/>
  <c r="S711" i="7" s="1"/>
  <c r="N711" i="7"/>
  <c r="M711" i="7"/>
  <c r="K711" i="7" s="1"/>
  <c r="F711" i="7"/>
  <c r="E711" i="7"/>
  <c r="C711" i="7" s="1"/>
  <c r="AT710" i="7"/>
  <c r="AS710" i="7"/>
  <c r="AQ710" i="7" s="1"/>
  <c r="AL710" i="7"/>
  <c r="AK710" i="7"/>
  <c r="AJ710" i="7" s="1"/>
  <c r="AD710" i="7"/>
  <c r="AC710" i="7"/>
  <c r="AB710" i="7" s="1"/>
  <c r="V710" i="7"/>
  <c r="U710" i="7"/>
  <c r="S710" i="7" s="1"/>
  <c r="N710" i="7"/>
  <c r="M710" i="7"/>
  <c r="K710" i="7" s="1"/>
  <c r="F710" i="7"/>
  <c r="E710" i="7"/>
  <c r="C710" i="7" s="1"/>
  <c r="AT709" i="7"/>
  <c r="AS709" i="7"/>
  <c r="AQ709" i="7" s="1"/>
  <c r="AL709" i="7"/>
  <c r="AK709" i="7"/>
  <c r="AJ709" i="7" s="1"/>
  <c r="AD709" i="7"/>
  <c r="AC709" i="7"/>
  <c r="AB709" i="7" s="1"/>
  <c r="V709" i="7"/>
  <c r="U709" i="7"/>
  <c r="S709" i="7" s="1"/>
  <c r="N709" i="7"/>
  <c r="M709" i="7"/>
  <c r="K709" i="7" s="1"/>
  <c r="F709" i="7"/>
  <c r="E709" i="7"/>
  <c r="C709" i="7" s="1"/>
  <c r="AT708" i="7"/>
  <c r="AS708" i="7"/>
  <c r="AQ708" i="7" s="1"/>
  <c r="AL708" i="7"/>
  <c r="AK708" i="7"/>
  <c r="AJ708" i="7" s="1"/>
  <c r="AD708" i="7"/>
  <c r="AC708" i="7"/>
  <c r="AB708" i="7" s="1"/>
  <c r="V708" i="7"/>
  <c r="U708" i="7"/>
  <c r="S708" i="7" s="1"/>
  <c r="N708" i="7"/>
  <c r="M708" i="7"/>
  <c r="K708" i="7" s="1"/>
  <c r="F708" i="7"/>
  <c r="E708" i="7"/>
  <c r="C708" i="7" s="1"/>
  <c r="AT707" i="7"/>
  <c r="AS707" i="7"/>
  <c r="AQ707" i="7" s="1"/>
  <c r="AL707" i="7"/>
  <c r="AK707" i="7"/>
  <c r="AJ707" i="7" s="1"/>
  <c r="AD707" i="7"/>
  <c r="AC707" i="7"/>
  <c r="AB707" i="7" s="1"/>
  <c r="V707" i="7"/>
  <c r="U707" i="7"/>
  <c r="S707" i="7" s="1"/>
  <c r="N707" i="7"/>
  <c r="M707" i="7"/>
  <c r="K707" i="7" s="1"/>
  <c r="F707" i="7"/>
  <c r="E707" i="7"/>
  <c r="C707" i="7" s="1"/>
  <c r="AT706" i="7"/>
  <c r="AS706" i="7"/>
  <c r="AQ706" i="7" s="1"/>
  <c r="AL706" i="7"/>
  <c r="AK706" i="7"/>
  <c r="AJ706" i="7" s="1"/>
  <c r="AD706" i="7"/>
  <c r="AC706" i="7"/>
  <c r="AB706" i="7" s="1"/>
  <c r="V706" i="7"/>
  <c r="U706" i="7"/>
  <c r="S706" i="7" s="1"/>
  <c r="N706" i="7"/>
  <c r="M706" i="7"/>
  <c r="K706" i="7" s="1"/>
  <c r="F706" i="7"/>
  <c r="E706" i="7"/>
  <c r="C706" i="7" s="1"/>
  <c r="AT705" i="7"/>
  <c r="AS705" i="7"/>
  <c r="AQ705" i="7" s="1"/>
  <c r="AL705" i="7"/>
  <c r="AK705" i="7"/>
  <c r="AJ705" i="7" s="1"/>
  <c r="AD705" i="7"/>
  <c r="AC705" i="7"/>
  <c r="AB705" i="7" s="1"/>
  <c r="V705" i="7"/>
  <c r="U705" i="7"/>
  <c r="S705" i="7" s="1"/>
  <c r="N705" i="7"/>
  <c r="M705" i="7"/>
  <c r="K705" i="7" s="1"/>
  <c r="F705" i="7"/>
  <c r="E705" i="7"/>
  <c r="C705" i="7" s="1"/>
  <c r="AT704" i="7"/>
  <c r="AS704" i="7"/>
  <c r="AQ704" i="7" s="1"/>
  <c r="AL704" i="7"/>
  <c r="AK704" i="7"/>
  <c r="AJ704" i="7" s="1"/>
  <c r="AD704" i="7"/>
  <c r="AC704" i="7"/>
  <c r="AB704" i="7" s="1"/>
  <c r="V704" i="7"/>
  <c r="U704" i="7"/>
  <c r="S704" i="7" s="1"/>
  <c r="N704" i="7"/>
  <c r="M704" i="7"/>
  <c r="K704" i="7" s="1"/>
  <c r="F704" i="7"/>
  <c r="E704" i="7"/>
  <c r="C704" i="7" s="1"/>
  <c r="AT703" i="7"/>
  <c r="AS703" i="7"/>
  <c r="AQ703" i="7" s="1"/>
  <c r="AL703" i="7"/>
  <c r="AK703" i="7"/>
  <c r="AJ703" i="7" s="1"/>
  <c r="AD703" i="7"/>
  <c r="AC703" i="7"/>
  <c r="AB703" i="7" s="1"/>
  <c r="V703" i="7"/>
  <c r="U703" i="7"/>
  <c r="S703" i="7" s="1"/>
  <c r="N703" i="7"/>
  <c r="M703" i="7"/>
  <c r="K703" i="7" s="1"/>
  <c r="F703" i="7"/>
  <c r="E703" i="7"/>
  <c r="C703" i="7" s="1"/>
  <c r="AT702" i="7"/>
  <c r="AS702" i="7"/>
  <c r="AQ702" i="7" s="1"/>
  <c r="AL702" i="7"/>
  <c r="AK702" i="7"/>
  <c r="AJ702" i="7" s="1"/>
  <c r="AD702" i="7"/>
  <c r="AC702" i="7"/>
  <c r="AB702" i="7" s="1"/>
  <c r="V702" i="7"/>
  <c r="U702" i="7"/>
  <c r="S702" i="7" s="1"/>
  <c r="N702" i="7"/>
  <c r="M702" i="7"/>
  <c r="K702" i="7" s="1"/>
  <c r="F702" i="7"/>
  <c r="E702" i="7"/>
  <c r="C702" i="7" s="1"/>
  <c r="AT701" i="7"/>
  <c r="AS701" i="7"/>
  <c r="AQ701" i="7" s="1"/>
  <c r="AL701" i="7"/>
  <c r="AK701" i="7"/>
  <c r="AJ701" i="7" s="1"/>
  <c r="AD701" i="7"/>
  <c r="AC701" i="7"/>
  <c r="AB701" i="7" s="1"/>
  <c r="V701" i="7"/>
  <c r="U701" i="7"/>
  <c r="S701" i="7" s="1"/>
  <c r="N701" i="7"/>
  <c r="M701" i="7"/>
  <c r="K701" i="7" s="1"/>
  <c r="F701" i="7"/>
  <c r="E701" i="7"/>
  <c r="C701" i="7" s="1"/>
  <c r="AT700" i="7"/>
  <c r="AS700" i="7"/>
  <c r="AQ700" i="7" s="1"/>
  <c r="AL700" i="7"/>
  <c r="AK700" i="7"/>
  <c r="AJ700" i="7" s="1"/>
  <c r="AD700" i="7"/>
  <c r="AC700" i="7"/>
  <c r="AB700" i="7" s="1"/>
  <c r="V700" i="7"/>
  <c r="U700" i="7"/>
  <c r="S700" i="7" s="1"/>
  <c r="N700" i="7"/>
  <c r="M700" i="7"/>
  <c r="K700" i="7" s="1"/>
  <c r="F700" i="7"/>
  <c r="E700" i="7"/>
  <c r="C700" i="7" s="1"/>
  <c r="AT699" i="7"/>
  <c r="AS699" i="7"/>
  <c r="AQ699" i="7" s="1"/>
  <c r="AL699" i="7"/>
  <c r="AK699" i="7"/>
  <c r="AJ699" i="7" s="1"/>
  <c r="AD699" i="7"/>
  <c r="AC699" i="7"/>
  <c r="AB699" i="7" s="1"/>
  <c r="V699" i="7"/>
  <c r="U699" i="7"/>
  <c r="S699" i="7" s="1"/>
  <c r="N699" i="7"/>
  <c r="M699" i="7"/>
  <c r="K699" i="7" s="1"/>
  <c r="F699" i="7"/>
  <c r="E699" i="7"/>
  <c r="C699" i="7" s="1"/>
  <c r="AT698" i="7"/>
  <c r="AS698" i="7"/>
  <c r="AQ698" i="7" s="1"/>
  <c r="AL698" i="7"/>
  <c r="AK698" i="7"/>
  <c r="AJ698" i="7" s="1"/>
  <c r="AD698" i="7"/>
  <c r="AC698" i="7"/>
  <c r="AB698" i="7" s="1"/>
  <c r="V698" i="7"/>
  <c r="U698" i="7"/>
  <c r="S698" i="7" s="1"/>
  <c r="N698" i="7"/>
  <c r="M698" i="7"/>
  <c r="K698" i="7" s="1"/>
  <c r="F698" i="7"/>
  <c r="E698" i="7"/>
  <c r="C698" i="7" s="1"/>
  <c r="AT697" i="7"/>
  <c r="AS697" i="7"/>
  <c r="AQ697" i="7" s="1"/>
  <c r="AL697" i="7"/>
  <c r="AK697" i="7"/>
  <c r="AJ697" i="7" s="1"/>
  <c r="AD697" i="7"/>
  <c r="AC697" i="7"/>
  <c r="AB697" i="7" s="1"/>
  <c r="V697" i="7"/>
  <c r="U697" i="7"/>
  <c r="S697" i="7" s="1"/>
  <c r="N697" i="7"/>
  <c r="M697" i="7"/>
  <c r="K697" i="7" s="1"/>
  <c r="F697" i="7"/>
  <c r="E697" i="7"/>
  <c r="C697" i="7" s="1"/>
  <c r="AT696" i="7"/>
  <c r="AS696" i="7"/>
  <c r="AQ696" i="7" s="1"/>
  <c r="AL696" i="7"/>
  <c r="AK696" i="7"/>
  <c r="AJ696" i="7" s="1"/>
  <c r="AD696" i="7"/>
  <c r="AC696" i="7"/>
  <c r="AB696" i="7" s="1"/>
  <c r="V696" i="7"/>
  <c r="U696" i="7"/>
  <c r="S696" i="7" s="1"/>
  <c r="N696" i="7"/>
  <c r="M696" i="7"/>
  <c r="K696" i="7" s="1"/>
  <c r="F696" i="7"/>
  <c r="E696" i="7"/>
  <c r="C696" i="7" s="1"/>
  <c r="AT695" i="7"/>
  <c r="AS695" i="7"/>
  <c r="AQ695" i="7" s="1"/>
  <c r="AL695" i="7"/>
  <c r="AK695" i="7"/>
  <c r="AJ695" i="7" s="1"/>
  <c r="AD695" i="7"/>
  <c r="AC695" i="7"/>
  <c r="AB695" i="7" s="1"/>
  <c r="V695" i="7"/>
  <c r="U695" i="7"/>
  <c r="S695" i="7" s="1"/>
  <c r="N695" i="7"/>
  <c r="M695" i="7"/>
  <c r="K695" i="7" s="1"/>
  <c r="F695" i="7"/>
  <c r="E695" i="7"/>
  <c r="C695" i="7" s="1"/>
  <c r="AT694" i="7"/>
  <c r="AS694" i="7"/>
  <c r="AQ694" i="7" s="1"/>
  <c r="AL694" i="7"/>
  <c r="AK694" i="7"/>
  <c r="AJ694" i="7" s="1"/>
  <c r="AD694" i="7"/>
  <c r="AC694" i="7"/>
  <c r="AB694" i="7" s="1"/>
  <c r="V694" i="7"/>
  <c r="U694" i="7"/>
  <c r="S694" i="7" s="1"/>
  <c r="N694" i="7"/>
  <c r="M694" i="7"/>
  <c r="K694" i="7" s="1"/>
  <c r="F694" i="7"/>
  <c r="E694" i="7"/>
  <c r="C694" i="7" s="1"/>
  <c r="AT693" i="7"/>
  <c r="AS693" i="7"/>
  <c r="AQ693" i="7" s="1"/>
  <c r="AL693" i="7"/>
  <c r="AK693" i="7"/>
  <c r="AJ693" i="7" s="1"/>
  <c r="AD693" i="7"/>
  <c r="AC693" i="7"/>
  <c r="AB693" i="7" s="1"/>
  <c r="V693" i="7"/>
  <c r="U693" i="7"/>
  <c r="S693" i="7" s="1"/>
  <c r="N693" i="7"/>
  <c r="M693" i="7"/>
  <c r="K693" i="7" s="1"/>
  <c r="F693" i="7"/>
  <c r="E693" i="7"/>
  <c r="C693" i="7" s="1"/>
  <c r="AT692" i="7"/>
  <c r="AS692" i="7"/>
  <c r="AQ692" i="7" s="1"/>
  <c r="AL692" i="7"/>
  <c r="AK692" i="7"/>
  <c r="AJ692" i="7" s="1"/>
  <c r="AD692" i="7"/>
  <c r="AC692" i="7"/>
  <c r="AB692" i="7" s="1"/>
  <c r="V692" i="7"/>
  <c r="U692" i="7"/>
  <c r="S692" i="7" s="1"/>
  <c r="N692" i="7"/>
  <c r="M692" i="7"/>
  <c r="K692" i="7" s="1"/>
  <c r="F692" i="7"/>
  <c r="E692" i="7"/>
  <c r="C692" i="7" s="1"/>
  <c r="AT691" i="7"/>
  <c r="AS691" i="7"/>
  <c r="AQ691" i="7" s="1"/>
  <c r="AL691" i="7"/>
  <c r="AK691" i="7"/>
  <c r="AJ691" i="7" s="1"/>
  <c r="AD691" i="7"/>
  <c r="AC691" i="7"/>
  <c r="AB691" i="7" s="1"/>
  <c r="V691" i="7"/>
  <c r="U691" i="7"/>
  <c r="S691" i="7" s="1"/>
  <c r="N691" i="7"/>
  <c r="M691" i="7"/>
  <c r="K691" i="7" s="1"/>
  <c r="F691" i="7"/>
  <c r="E691" i="7"/>
  <c r="C691" i="7" s="1"/>
  <c r="AT690" i="7"/>
  <c r="AS690" i="7"/>
  <c r="AQ690" i="7" s="1"/>
  <c r="AL690" i="7"/>
  <c r="AK690" i="7"/>
  <c r="AJ690" i="7" s="1"/>
  <c r="AD690" i="7"/>
  <c r="AC690" i="7"/>
  <c r="AB690" i="7" s="1"/>
  <c r="V690" i="7"/>
  <c r="U690" i="7"/>
  <c r="S690" i="7" s="1"/>
  <c r="N690" i="7"/>
  <c r="M690" i="7"/>
  <c r="K690" i="7" s="1"/>
  <c r="F690" i="7"/>
  <c r="E690" i="7"/>
  <c r="C690" i="7" s="1"/>
  <c r="AT689" i="7"/>
  <c r="AS689" i="7"/>
  <c r="AQ689" i="7" s="1"/>
  <c r="AL689" i="7"/>
  <c r="AK689" i="7"/>
  <c r="AJ689" i="7" s="1"/>
  <c r="AD689" i="7"/>
  <c r="AC689" i="7"/>
  <c r="AB689" i="7" s="1"/>
  <c r="V689" i="7"/>
  <c r="U689" i="7"/>
  <c r="S689" i="7" s="1"/>
  <c r="N689" i="7"/>
  <c r="M689" i="7"/>
  <c r="K689" i="7" s="1"/>
  <c r="F689" i="7"/>
  <c r="E689" i="7"/>
  <c r="C689" i="7" s="1"/>
  <c r="AT688" i="7"/>
  <c r="AS688" i="7"/>
  <c r="AQ688" i="7" s="1"/>
  <c r="AL688" i="7"/>
  <c r="AK688" i="7"/>
  <c r="AJ688" i="7" s="1"/>
  <c r="AD688" i="7"/>
  <c r="AC688" i="7"/>
  <c r="AB688" i="7" s="1"/>
  <c r="V688" i="7"/>
  <c r="U688" i="7"/>
  <c r="S688" i="7" s="1"/>
  <c r="N688" i="7"/>
  <c r="M688" i="7"/>
  <c r="K688" i="7" s="1"/>
  <c r="F688" i="7"/>
  <c r="E688" i="7"/>
  <c r="C688" i="7" s="1"/>
  <c r="AT687" i="7"/>
  <c r="AS687" i="7"/>
  <c r="AQ687" i="7" s="1"/>
  <c r="AL687" i="7"/>
  <c r="AK687" i="7"/>
  <c r="AJ687" i="7" s="1"/>
  <c r="AD687" i="7"/>
  <c r="AC687" i="7"/>
  <c r="AB687" i="7" s="1"/>
  <c r="V687" i="7"/>
  <c r="U687" i="7"/>
  <c r="S687" i="7" s="1"/>
  <c r="N687" i="7"/>
  <c r="M687" i="7"/>
  <c r="K687" i="7" s="1"/>
  <c r="F687" i="7"/>
  <c r="E687" i="7"/>
  <c r="C687" i="7" s="1"/>
  <c r="AT686" i="7"/>
  <c r="AS686" i="7"/>
  <c r="AQ686" i="7" s="1"/>
  <c r="AL686" i="7"/>
  <c r="AK686" i="7"/>
  <c r="AJ686" i="7" s="1"/>
  <c r="AD686" i="7"/>
  <c r="AC686" i="7"/>
  <c r="AB686" i="7" s="1"/>
  <c r="V686" i="7"/>
  <c r="U686" i="7"/>
  <c r="S686" i="7" s="1"/>
  <c r="N686" i="7"/>
  <c r="M686" i="7"/>
  <c r="K686" i="7" s="1"/>
  <c r="F686" i="7"/>
  <c r="E686" i="7"/>
  <c r="C686" i="7" s="1"/>
  <c r="AT685" i="7"/>
  <c r="AS685" i="7"/>
  <c r="AQ685" i="7" s="1"/>
  <c r="AL685" i="7"/>
  <c r="AK685" i="7"/>
  <c r="AJ685" i="7" s="1"/>
  <c r="AD685" i="7"/>
  <c r="AC685" i="7"/>
  <c r="AB685" i="7" s="1"/>
  <c r="V685" i="7"/>
  <c r="U685" i="7"/>
  <c r="S685" i="7" s="1"/>
  <c r="N685" i="7"/>
  <c r="M685" i="7"/>
  <c r="K685" i="7" s="1"/>
  <c r="F685" i="7"/>
  <c r="E685" i="7"/>
  <c r="C685" i="7" s="1"/>
  <c r="AT684" i="7"/>
  <c r="AS684" i="7"/>
  <c r="AQ684" i="7" s="1"/>
  <c r="AL684" i="7"/>
  <c r="AK684" i="7"/>
  <c r="AJ684" i="7" s="1"/>
  <c r="AD684" i="7"/>
  <c r="AC684" i="7"/>
  <c r="AB684" i="7" s="1"/>
  <c r="V684" i="7"/>
  <c r="U684" i="7"/>
  <c r="S684" i="7" s="1"/>
  <c r="N684" i="7"/>
  <c r="M684" i="7"/>
  <c r="K684" i="7" s="1"/>
  <c r="F684" i="7"/>
  <c r="E684" i="7"/>
  <c r="C684" i="7" s="1"/>
  <c r="AT683" i="7"/>
  <c r="AS683" i="7"/>
  <c r="AQ683" i="7" s="1"/>
  <c r="AL683" i="7"/>
  <c r="AK683" i="7"/>
  <c r="AJ683" i="7" s="1"/>
  <c r="AD683" i="7"/>
  <c r="AC683" i="7"/>
  <c r="AB683" i="7" s="1"/>
  <c r="V683" i="7"/>
  <c r="U683" i="7"/>
  <c r="S683" i="7" s="1"/>
  <c r="N683" i="7"/>
  <c r="M683" i="7"/>
  <c r="K683" i="7" s="1"/>
  <c r="F683" i="7"/>
  <c r="E683" i="7"/>
  <c r="C683" i="7" s="1"/>
  <c r="AT682" i="7"/>
  <c r="AS682" i="7"/>
  <c r="AQ682" i="7" s="1"/>
  <c r="AL682" i="7"/>
  <c r="AK682" i="7"/>
  <c r="AJ682" i="7" s="1"/>
  <c r="AD682" i="7"/>
  <c r="AC682" i="7"/>
  <c r="AB682" i="7" s="1"/>
  <c r="V682" i="7"/>
  <c r="U682" i="7"/>
  <c r="S682" i="7" s="1"/>
  <c r="N682" i="7"/>
  <c r="M682" i="7"/>
  <c r="K682" i="7" s="1"/>
  <c r="F682" i="7"/>
  <c r="E682" i="7"/>
  <c r="C682" i="7" s="1"/>
  <c r="AT681" i="7"/>
  <c r="AS681" i="7"/>
  <c r="AQ681" i="7" s="1"/>
  <c r="AL681" i="7"/>
  <c r="AK681" i="7"/>
  <c r="AJ681" i="7" s="1"/>
  <c r="AD681" i="7"/>
  <c r="AC681" i="7"/>
  <c r="AB681" i="7" s="1"/>
  <c r="V681" i="7"/>
  <c r="U681" i="7"/>
  <c r="S681" i="7" s="1"/>
  <c r="N681" i="7"/>
  <c r="M681" i="7"/>
  <c r="K681" i="7" s="1"/>
  <c r="F681" i="7"/>
  <c r="E681" i="7"/>
  <c r="C681" i="7" s="1"/>
  <c r="AT680" i="7"/>
  <c r="AS680" i="7"/>
  <c r="AQ680" i="7" s="1"/>
  <c r="AL680" i="7"/>
  <c r="AK680" i="7"/>
  <c r="AJ680" i="7" s="1"/>
  <c r="AD680" i="7"/>
  <c r="AC680" i="7"/>
  <c r="AB680" i="7" s="1"/>
  <c r="V680" i="7"/>
  <c r="U680" i="7"/>
  <c r="S680" i="7" s="1"/>
  <c r="N680" i="7"/>
  <c r="M680" i="7"/>
  <c r="K680" i="7" s="1"/>
  <c r="F680" i="7"/>
  <c r="E680" i="7"/>
  <c r="C680" i="7" s="1"/>
  <c r="AT679" i="7"/>
  <c r="AS679" i="7"/>
  <c r="AQ679" i="7" s="1"/>
  <c r="AL679" i="7"/>
  <c r="AK679" i="7"/>
  <c r="AJ679" i="7" s="1"/>
  <c r="AD679" i="7"/>
  <c r="AC679" i="7"/>
  <c r="AB679" i="7" s="1"/>
  <c r="V679" i="7"/>
  <c r="U679" i="7"/>
  <c r="S679" i="7" s="1"/>
  <c r="N679" i="7"/>
  <c r="M679" i="7"/>
  <c r="K679" i="7" s="1"/>
  <c r="F679" i="7"/>
  <c r="E679" i="7"/>
  <c r="C679" i="7" s="1"/>
  <c r="AT678" i="7"/>
  <c r="AS678" i="7"/>
  <c r="AQ678" i="7" s="1"/>
  <c r="AL678" i="7"/>
  <c r="AK678" i="7"/>
  <c r="AJ678" i="7" s="1"/>
  <c r="AD678" i="7"/>
  <c r="AC678" i="7"/>
  <c r="AB678" i="7" s="1"/>
  <c r="V678" i="7"/>
  <c r="U678" i="7"/>
  <c r="S678" i="7" s="1"/>
  <c r="N678" i="7"/>
  <c r="M678" i="7"/>
  <c r="K678" i="7" s="1"/>
  <c r="F678" i="7"/>
  <c r="E678" i="7"/>
  <c r="C678" i="7" s="1"/>
  <c r="AT677" i="7"/>
  <c r="AS677" i="7"/>
  <c r="AQ677" i="7" s="1"/>
  <c r="AL677" i="7"/>
  <c r="AK677" i="7"/>
  <c r="AJ677" i="7" s="1"/>
  <c r="AD677" i="7"/>
  <c r="AC677" i="7"/>
  <c r="AB677" i="7" s="1"/>
  <c r="V677" i="7"/>
  <c r="U677" i="7"/>
  <c r="S677" i="7" s="1"/>
  <c r="N677" i="7"/>
  <c r="M677" i="7"/>
  <c r="K677" i="7" s="1"/>
  <c r="F677" i="7"/>
  <c r="E677" i="7"/>
  <c r="C677" i="7" s="1"/>
  <c r="AT676" i="7"/>
  <c r="AS676" i="7"/>
  <c r="AQ676" i="7" s="1"/>
  <c r="AL676" i="7"/>
  <c r="AK676" i="7"/>
  <c r="AJ676" i="7" s="1"/>
  <c r="AD676" i="7"/>
  <c r="AC676" i="7"/>
  <c r="AB676" i="7" s="1"/>
  <c r="V676" i="7"/>
  <c r="U676" i="7"/>
  <c r="S676" i="7" s="1"/>
  <c r="N676" i="7"/>
  <c r="M676" i="7"/>
  <c r="K676" i="7" s="1"/>
  <c r="F676" i="7"/>
  <c r="E676" i="7"/>
  <c r="C676" i="7" s="1"/>
  <c r="AT675" i="7"/>
  <c r="AS675" i="7"/>
  <c r="AQ675" i="7" s="1"/>
  <c r="AL675" i="7"/>
  <c r="AK675" i="7"/>
  <c r="AJ675" i="7" s="1"/>
  <c r="AD675" i="7"/>
  <c r="AC675" i="7"/>
  <c r="AB675" i="7" s="1"/>
  <c r="V675" i="7"/>
  <c r="U675" i="7"/>
  <c r="S675" i="7" s="1"/>
  <c r="N675" i="7"/>
  <c r="M675" i="7"/>
  <c r="K675" i="7" s="1"/>
  <c r="F675" i="7"/>
  <c r="E675" i="7"/>
  <c r="C675" i="7" s="1"/>
  <c r="AT674" i="7"/>
  <c r="AS674" i="7"/>
  <c r="AQ674" i="7" s="1"/>
  <c r="AL674" i="7"/>
  <c r="AK674" i="7"/>
  <c r="AJ674" i="7" s="1"/>
  <c r="AD674" i="7"/>
  <c r="AC674" i="7"/>
  <c r="AB674" i="7" s="1"/>
  <c r="V674" i="7"/>
  <c r="U674" i="7"/>
  <c r="S674" i="7" s="1"/>
  <c r="N674" i="7"/>
  <c r="M674" i="7"/>
  <c r="K674" i="7" s="1"/>
  <c r="F674" i="7"/>
  <c r="E674" i="7"/>
  <c r="C674" i="7" s="1"/>
  <c r="AT673" i="7"/>
  <c r="AS673" i="7"/>
  <c r="AQ673" i="7" s="1"/>
  <c r="AL673" i="7"/>
  <c r="AK673" i="7"/>
  <c r="AJ673" i="7" s="1"/>
  <c r="AD673" i="7"/>
  <c r="AC673" i="7"/>
  <c r="AB673" i="7" s="1"/>
  <c r="V673" i="7"/>
  <c r="U673" i="7"/>
  <c r="S673" i="7" s="1"/>
  <c r="N673" i="7"/>
  <c r="M673" i="7"/>
  <c r="K673" i="7" s="1"/>
  <c r="F673" i="7"/>
  <c r="E673" i="7"/>
  <c r="C673" i="7" s="1"/>
  <c r="AT672" i="7"/>
  <c r="AS672" i="7"/>
  <c r="AQ672" i="7" s="1"/>
  <c r="AL672" i="7"/>
  <c r="AK672" i="7"/>
  <c r="AJ672" i="7" s="1"/>
  <c r="AD672" i="7"/>
  <c r="AC672" i="7"/>
  <c r="AB672" i="7" s="1"/>
  <c r="V672" i="7"/>
  <c r="U672" i="7"/>
  <c r="S672" i="7" s="1"/>
  <c r="N672" i="7"/>
  <c r="M672" i="7"/>
  <c r="F672" i="7"/>
  <c r="E672" i="7"/>
  <c r="C672" i="7" s="1"/>
  <c r="AT671" i="7"/>
  <c r="AS671" i="7"/>
  <c r="AL671" i="7"/>
  <c r="AK671" i="7"/>
  <c r="AD671" i="7"/>
  <c r="AC671" i="7"/>
  <c r="AB671" i="7" s="1"/>
  <c r="V671" i="7"/>
  <c r="U671" i="7"/>
  <c r="N671" i="7"/>
  <c r="M671" i="7"/>
  <c r="F671" i="7"/>
  <c r="E671" i="7"/>
  <c r="C671" i="7" s="1"/>
  <c r="AT670" i="7"/>
  <c r="AS670" i="7"/>
  <c r="AL670" i="7"/>
  <c r="AK670" i="7"/>
  <c r="AD670" i="7"/>
  <c r="AC670" i="7"/>
  <c r="AB670" i="7" s="1"/>
  <c r="V670" i="7"/>
  <c r="U670" i="7"/>
  <c r="S670" i="7" s="1"/>
  <c r="N670" i="7"/>
  <c r="M670" i="7"/>
  <c r="K670" i="7" s="1"/>
  <c r="F670" i="7"/>
  <c r="E670" i="7"/>
  <c r="C670" i="7" s="1"/>
  <c r="AT669" i="7"/>
  <c r="AS669" i="7"/>
  <c r="AQ669" i="7" s="1"/>
  <c r="AL669" i="7"/>
  <c r="AK669" i="7"/>
  <c r="AD669" i="7"/>
  <c r="AC669" i="7"/>
  <c r="AB669" i="7" s="1"/>
  <c r="V669" i="7"/>
  <c r="U669" i="7"/>
  <c r="S669" i="7" s="1"/>
  <c r="N669" i="7"/>
  <c r="M669" i="7"/>
  <c r="K669" i="7" s="1"/>
  <c r="F669" i="7"/>
  <c r="E669" i="7"/>
  <c r="C669" i="7" s="1"/>
  <c r="AT668" i="7"/>
  <c r="AS668" i="7"/>
  <c r="AL668" i="7"/>
  <c r="AK668" i="7"/>
  <c r="AJ668" i="7" s="1"/>
  <c r="AD668" i="7"/>
  <c r="AC668" i="7"/>
  <c r="AB668" i="7" s="1"/>
  <c r="V668" i="7"/>
  <c r="U668" i="7"/>
  <c r="S668" i="7" s="1"/>
  <c r="N668" i="7"/>
  <c r="M668" i="7"/>
  <c r="K668" i="7" s="1"/>
  <c r="F668" i="7"/>
  <c r="E668" i="7"/>
  <c r="C668" i="7" s="1"/>
  <c r="AT667" i="7"/>
  <c r="AS667" i="7"/>
  <c r="AQ667" i="7" s="1"/>
  <c r="AL667" i="7"/>
  <c r="AK667" i="7"/>
  <c r="AD667" i="7"/>
  <c r="AC667" i="7"/>
  <c r="AB667" i="7" s="1"/>
  <c r="V667" i="7"/>
  <c r="U667" i="7"/>
  <c r="S667" i="7" s="1"/>
  <c r="N667" i="7"/>
  <c r="M667" i="7"/>
  <c r="K667" i="7" s="1"/>
  <c r="F667" i="7"/>
  <c r="E667" i="7"/>
  <c r="C667" i="7" s="1"/>
  <c r="AT666" i="7"/>
  <c r="AS666" i="7"/>
  <c r="AL666" i="7"/>
  <c r="AK666" i="7"/>
  <c r="AJ666" i="7" s="1"/>
  <c r="AD666" i="7"/>
  <c r="AC666" i="7"/>
  <c r="AB666" i="7" s="1"/>
  <c r="V666" i="7"/>
  <c r="U666" i="7"/>
  <c r="S666" i="7" s="1"/>
  <c r="N666" i="7"/>
  <c r="M666" i="7"/>
  <c r="K666" i="7" s="1"/>
  <c r="F666" i="7"/>
  <c r="E666" i="7"/>
  <c r="C666" i="7" s="1"/>
  <c r="AT665" i="7"/>
  <c r="AS665" i="7"/>
  <c r="AQ665" i="7" s="1"/>
  <c r="AL665" i="7"/>
  <c r="AK665" i="7"/>
  <c r="AD665" i="7"/>
  <c r="AC665" i="7"/>
  <c r="AB665" i="7" s="1"/>
  <c r="V665" i="7"/>
  <c r="U665" i="7"/>
  <c r="S665" i="7" s="1"/>
  <c r="N665" i="7"/>
  <c r="M665" i="7"/>
  <c r="K665" i="7" s="1"/>
  <c r="F665" i="7"/>
  <c r="E665" i="7"/>
  <c r="C665" i="7" s="1"/>
  <c r="AT664" i="7"/>
  <c r="AS664" i="7"/>
  <c r="AL664" i="7"/>
  <c r="AK664" i="7"/>
  <c r="AJ664" i="7" s="1"/>
  <c r="AD664" i="7"/>
  <c r="AC664" i="7"/>
  <c r="AB664" i="7" s="1"/>
  <c r="V664" i="7"/>
  <c r="U664" i="7"/>
  <c r="S664" i="7" s="1"/>
  <c r="N664" i="7"/>
  <c r="M664" i="7"/>
  <c r="K664" i="7" s="1"/>
  <c r="F664" i="7"/>
  <c r="E664" i="7"/>
  <c r="C664" i="7" s="1"/>
  <c r="AT663" i="7"/>
  <c r="AS663" i="7"/>
  <c r="AQ663" i="7" s="1"/>
  <c r="AL663" i="7"/>
  <c r="AK663" i="7"/>
  <c r="AD663" i="7"/>
  <c r="AC663" i="7"/>
  <c r="AB663" i="7" s="1"/>
  <c r="V663" i="7"/>
  <c r="U663" i="7"/>
  <c r="S663" i="7" s="1"/>
  <c r="N663" i="7"/>
  <c r="M663" i="7"/>
  <c r="K663" i="7" s="1"/>
  <c r="F663" i="7"/>
  <c r="E663" i="7"/>
  <c r="C663" i="7" s="1"/>
  <c r="AT662" i="7"/>
  <c r="AS662" i="7"/>
  <c r="AL662" i="7"/>
  <c r="AK662" i="7"/>
  <c r="AJ662" i="7" s="1"/>
  <c r="AD662" i="7"/>
  <c r="AC662" i="7"/>
  <c r="AB662" i="7" s="1"/>
  <c r="V662" i="7"/>
  <c r="U662" i="7"/>
  <c r="S662" i="7" s="1"/>
  <c r="N662" i="7"/>
  <c r="M662" i="7"/>
  <c r="K662" i="7" s="1"/>
  <c r="F662" i="7"/>
  <c r="E662" i="7"/>
  <c r="C662" i="7" s="1"/>
  <c r="AT661" i="7"/>
  <c r="AS661" i="7"/>
  <c r="AQ661" i="7" s="1"/>
  <c r="AL661" i="7"/>
  <c r="AK661" i="7"/>
  <c r="AD661" i="7"/>
  <c r="AC661" i="7"/>
  <c r="AB661" i="7" s="1"/>
  <c r="V661" i="7"/>
  <c r="U661" i="7"/>
  <c r="S661" i="7" s="1"/>
  <c r="N661" i="7"/>
  <c r="M661" i="7"/>
  <c r="K661" i="7" s="1"/>
  <c r="F661" i="7"/>
  <c r="E661" i="7"/>
  <c r="C661" i="7" s="1"/>
  <c r="AT660" i="7"/>
  <c r="AS660" i="7"/>
  <c r="AL660" i="7"/>
  <c r="AK660" i="7"/>
  <c r="AJ660" i="7" s="1"/>
  <c r="AD660" i="7"/>
  <c r="AC660" i="7"/>
  <c r="AB660" i="7" s="1"/>
  <c r="V660" i="7"/>
  <c r="U660" i="7"/>
  <c r="S660" i="7" s="1"/>
  <c r="N660" i="7"/>
  <c r="M660" i="7"/>
  <c r="K660" i="7" s="1"/>
  <c r="F660" i="7"/>
  <c r="E660" i="7"/>
  <c r="C660" i="7" s="1"/>
  <c r="AT659" i="7"/>
  <c r="AS659" i="7"/>
  <c r="AQ659" i="7" s="1"/>
  <c r="AL659" i="7"/>
  <c r="AK659" i="7"/>
  <c r="AD659" i="7"/>
  <c r="AC659" i="7"/>
  <c r="AB659" i="7" s="1"/>
  <c r="V659" i="7"/>
  <c r="U659" i="7"/>
  <c r="S659" i="7" s="1"/>
  <c r="N659" i="7"/>
  <c r="M659" i="7"/>
  <c r="K659" i="7" s="1"/>
  <c r="F659" i="7"/>
  <c r="E659" i="7"/>
  <c r="C659" i="7" s="1"/>
  <c r="AT658" i="7"/>
  <c r="AS658" i="7"/>
  <c r="AL658" i="7"/>
  <c r="AK658" i="7"/>
  <c r="AJ658" i="7" s="1"/>
  <c r="AD658" i="7"/>
  <c r="AC658" i="7"/>
  <c r="AB658" i="7" s="1"/>
  <c r="V658" i="7"/>
  <c r="U658" i="7"/>
  <c r="S658" i="7" s="1"/>
  <c r="N658" i="7"/>
  <c r="M658" i="7"/>
  <c r="K658" i="7" s="1"/>
  <c r="F658" i="7"/>
  <c r="E658" i="7"/>
  <c r="C658" i="7" s="1"/>
  <c r="AT657" i="7"/>
  <c r="AS657" i="7"/>
  <c r="AQ657" i="7" s="1"/>
  <c r="AL657" i="7"/>
  <c r="AK657" i="7"/>
  <c r="AD657" i="7"/>
  <c r="AC657" i="7"/>
  <c r="AB657" i="7" s="1"/>
  <c r="V657" i="7"/>
  <c r="U657" i="7"/>
  <c r="S657" i="7" s="1"/>
  <c r="N657" i="7"/>
  <c r="M657" i="7"/>
  <c r="K657" i="7" s="1"/>
  <c r="F657" i="7"/>
  <c r="E657" i="7"/>
  <c r="C657" i="7" s="1"/>
  <c r="AT656" i="7"/>
  <c r="AS656" i="7"/>
  <c r="AL656" i="7"/>
  <c r="AK656" i="7"/>
  <c r="AJ656" i="7" s="1"/>
  <c r="AD656" i="7"/>
  <c r="AC656" i="7"/>
  <c r="AB656" i="7" s="1"/>
  <c r="V656" i="7"/>
  <c r="U656" i="7"/>
  <c r="S656" i="7" s="1"/>
  <c r="N656" i="7"/>
  <c r="M656" i="7"/>
  <c r="K656" i="7" s="1"/>
  <c r="F656" i="7"/>
  <c r="E656" i="7"/>
  <c r="C656" i="7" s="1"/>
  <c r="AT655" i="7"/>
  <c r="AS655" i="7"/>
  <c r="AQ655" i="7" s="1"/>
  <c r="AL655" i="7"/>
  <c r="AK655" i="7"/>
  <c r="AD655" i="7"/>
  <c r="AC655" i="7"/>
  <c r="AB655" i="7" s="1"/>
  <c r="V655" i="7"/>
  <c r="U655" i="7"/>
  <c r="S655" i="7" s="1"/>
  <c r="N655" i="7"/>
  <c r="M655" i="7"/>
  <c r="K655" i="7" s="1"/>
  <c r="F655" i="7"/>
  <c r="E655" i="7"/>
  <c r="C655" i="7" s="1"/>
  <c r="AT654" i="7"/>
  <c r="AS654" i="7"/>
  <c r="AL654" i="7"/>
  <c r="AK654" i="7"/>
  <c r="AJ654" i="7" s="1"/>
  <c r="AD654" i="7"/>
  <c r="AC654" i="7"/>
  <c r="AB654" i="7" s="1"/>
  <c r="V654" i="7"/>
  <c r="U654" i="7"/>
  <c r="S654" i="7" s="1"/>
  <c r="N654" i="7"/>
  <c r="M654" i="7"/>
  <c r="K654" i="7" s="1"/>
  <c r="F654" i="7"/>
  <c r="E654" i="7"/>
  <c r="C654" i="7" s="1"/>
  <c r="AT653" i="7"/>
  <c r="AS653" i="7"/>
  <c r="AQ653" i="7" s="1"/>
  <c r="AL653" i="7"/>
  <c r="AK653" i="7"/>
  <c r="AD653" i="7"/>
  <c r="AC653" i="7"/>
  <c r="AB653" i="7" s="1"/>
  <c r="V653" i="7"/>
  <c r="U653" i="7"/>
  <c r="S653" i="7" s="1"/>
  <c r="N653" i="7"/>
  <c r="M653" i="7"/>
  <c r="K653" i="7" s="1"/>
  <c r="F653" i="7"/>
  <c r="E653" i="7"/>
  <c r="C653" i="7" s="1"/>
  <c r="AT652" i="7"/>
  <c r="AS652" i="7"/>
  <c r="AL652" i="7"/>
  <c r="AK652" i="7"/>
  <c r="AJ652" i="7" s="1"/>
  <c r="AD652" i="7"/>
  <c r="AC652" i="7"/>
  <c r="AB652" i="7" s="1"/>
  <c r="V652" i="7"/>
  <c r="U652" i="7"/>
  <c r="S652" i="7" s="1"/>
  <c r="N652" i="7"/>
  <c r="M652" i="7"/>
  <c r="K652" i="7" s="1"/>
  <c r="F652" i="7"/>
  <c r="E652" i="7"/>
  <c r="C652" i="7" s="1"/>
  <c r="AT651" i="7"/>
  <c r="AS651" i="7"/>
  <c r="AQ651" i="7" s="1"/>
  <c r="AL651" i="7"/>
  <c r="AK651" i="7"/>
  <c r="AD651" i="7"/>
  <c r="AC651" i="7"/>
  <c r="AB651" i="7" s="1"/>
  <c r="V651" i="7"/>
  <c r="U651" i="7"/>
  <c r="S651" i="7" s="1"/>
  <c r="N651" i="7"/>
  <c r="M651" i="7"/>
  <c r="K651" i="7" s="1"/>
  <c r="F651" i="7"/>
  <c r="E651" i="7"/>
  <c r="C651" i="7" s="1"/>
  <c r="AT650" i="7"/>
  <c r="AS650" i="7"/>
  <c r="AL650" i="7"/>
  <c r="AK650" i="7"/>
  <c r="AJ650" i="7" s="1"/>
  <c r="AD650" i="7"/>
  <c r="AC650" i="7"/>
  <c r="AB650" i="7" s="1"/>
  <c r="V650" i="7"/>
  <c r="U650" i="7"/>
  <c r="S650" i="7" s="1"/>
  <c r="N650" i="7"/>
  <c r="M650" i="7"/>
  <c r="K650" i="7" s="1"/>
  <c r="F650" i="7"/>
  <c r="E650" i="7"/>
  <c r="C650" i="7" s="1"/>
  <c r="AT649" i="7"/>
  <c r="AS649" i="7"/>
  <c r="AQ649" i="7" s="1"/>
  <c r="AL649" i="7"/>
  <c r="AK649" i="7"/>
  <c r="AD649" i="7"/>
  <c r="AC649" i="7"/>
  <c r="AB649" i="7" s="1"/>
  <c r="V649" i="7"/>
  <c r="U649" i="7"/>
  <c r="S649" i="7" s="1"/>
  <c r="N649" i="7"/>
  <c r="M649" i="7"/>
  <c r="K649" i="7" s="1"/>
  <c r="F649" i="7"/>
  <c r="E649" i="7"/>
  <c r="C649" i="7" s="1"/>
  <c r="AT648" i="7"/>
  <c r="AS648" i="7"/>
  <c r="AL648" i="7"/>
  <c r="AK648" i="7"/>
  <c r="AJ648" i="7" s="1"/>
  <c r="AD648" i="7"/>
  <c r="AC648" i="7"/>
  <c r="AB648" i="7" s="1"/>
  <c r="V648" i="7"/>
  <c r="U648" i="7"/>
  <c r="S648" i="7" s="1"/>
  <c r="N648" i="7"/>
  <c r="M648" i="7"/>
  <c r="K648" i="7" s="1"/>
  <c r="F648" i="7"/>
  <c r="E648" i="7"/>
  <c r="C648" i="7" s="1"/>
  <c r="AT647" i="7"/>
  <c r="AS647" i="7"/>
  <c r="AQ647" i="7" s="1"/>
  <c r="AL647" i="7"/>
  <c r="AK647" i="7"/>
  <c r="AD647" i="7"/>
  <c r="AC647" i="7"/>
  <c r="AB647" i="7" s="1"/>
  <c r="V647" i="7"/>
  <c r="U647" i="7"/>
  <c r="S647" i="7" s="1"/>
  <c r="N647" i="7"/>
  <c r="M647" i="7"/>
  <c r="K647" i="7" s="1"/>
  <c r="F647" i="7"/>
  <c r="E647" i="7"/>
  <c r="C647" i="7" s="1"/>
  <c r="AT646" i="7"/>
  <c r="AS646" i="7"/>
  <c r="AL646" i="7"/>
  <c r="AK646" i="7"/>
  <c r="AJ646" i="7" s="1"/>
  <c r="AD646" i="7"/>
  <c r="AC646" i="7"/>
  <c r="AB646" i="7" s="1"/>
  <c r="V646" i="7"/>
  <c r="U646" i="7"/>
  <c r="S646" i="7" s="1"/>
  <c r="N646" i="7"/>
  <c r="M646" i="7"/>
  <c r="K646" i="7" s="1"/>
  <c r="F646" i="7"/>
  <c r="E646" i="7"/>
  <c r="C646" i="7" s="1"/>
  <c r="AT645" i="7"/>
  <c r="AS645" i="7"/>
  <c r="AQ645" i="7" s="1"/>
  <c r="AL645" i="7"/>
  <c r="AK645" i="7"/>
  <c r="AD645" i="7"/>
  <c r="AC645" i="7"/>
  <c r="AB645" i="7" s="1"/>
  <c r="V645" i="7"/>
  <c r="U645" i="7"/>
  <c r="S645" i="7" s="1"/>
  <c r="N645" i="7"/>
  <c r="M645" i="7"/>
  <c r="K645" i="7" s="1"/>
  <c r="F645" i="7"/>
  <c r="E645" i="7"/>
  <c r="C645" i="7" s="1"/>
  <c r="AT644" i="7"/>
  <c r="AS644" i="7"/>
  <c r="AL644" i="7"/>
  <c r="AK644" i="7"/>
  <c r="AJ644" i="7" s="1"/>
  <c r="AD644" i="7"/>
  <c r="AC644" i="7"/>
  <c r="AB644" i="7" s="1"/>
  <c r="V644" i="7"/>
  <c r="U644" i="7"/>
  <c r="S644" i="7" s="1"/>
  <c r="N644" i="7"/>
  <c r="M644" i="7"/>
  <c r="K644" i="7" s="1"/>
  <c r="F644" i="7"/>
  <c r="E644" i="7"/>
  <c r="C644" i="7" s="1"/>
  <c r="AT643" i="7"/>
  <c r="AS643" i="7"/>
  <c r="AQ643" i="7" s="1"/>
  <c r="AL643" i="7"/>
  <c r="AK643" i="7"/>
  <c r="AD643" i="7"/>
  <c r="AC643" i="7"/>
  <c r="AB643" i="7" s="1"/>
  <c r="V643" i="7"/>
  <c r="U643" i="7"/>
  <c r="S643" i="7" s="1"/>
  <c r="N643" i="7"/>
  <c r="M643" i="7"/>
  <c r="K643" i="7" s="1"/>
  <c r="F643" i="7"/>
  <c r="E643" i="7"/>
  <c r="C643" i="7" s="1"/>
  <c r="AT642" i="7"/>
  <c r="AS642" i="7"/>
  <c r="AL642" i="7"/>
  <c r="AK642" i="7"/>
  <c r="AJ642" i="7" s="1"/>
  <c r="AD642" i="7"/>
  <c r="AC642" i="7"/>
  <c r="AB642" i="7" s="1"/>
  <c r="V642" i="7"/>
  <c r="U642" i="7"/>
  <c r="S642" i="7" s="1"/>
  <c r="N642" i="7"/>
  <c r="M642" i="7"/>
  <c r="K642" i="7" s="1"/>
  <c r="F642" i="7"/>
  <c r="E642" i="7"/>
  <c r="C642" i="7" s="1"/>
  <c r="AT641" i="7"/>
  <c r="AS641" i="7"/>
  <c r="AQ641" i="7" s="1"/>
  <c r="AL641" i="7"/>
  <c r="AK641" i="7"/>
  <c r="AD641" i="7"/>
  <c r="AC641" i="7"/>
  <c r="AB641" i="7" s="1"/>
  <c r="V641" i="7"/>
  <c r="U641" i="7"/>
  <c r="S641" i="7" s="1"/>
  <c r="N641" i="7"/>
  <c r="M641" i="7"/>
  <c r="K641" i="7" s="1"/>
  <c r="F641" i="7"/>
  <c r="E641" i="7"/>
  <c r="C641" i="7" s="1"/>
  <c r="AT640" i="7"/>
  <c r="AS640" i="7"/>
  <c r="AL640" i="7"/>
  <c r="AK640" i="7"/>
  <c r="AJ640" i="7" s="1"/>
  <c r="AD640" i="7"/>
  <c r="AC640" i="7"/>
  <c r="AB640" i="7" s="1"/>
  <c r="V640" i="7"/>
  <c r="U640" i="7"/>
  <c r="S640" i="7" s="1"/>
  <c r="N640" i="7"/>
  <c r="M640" i="7"/>
  <c r="K640" i="7" s="1"/>
  <c r="F640" i="7"/>
  <c r="E640" i="7"/>
  <c r="C640" i="7" s="1"/>
  <c r="AT639" i="7"/>
  <c r="AS639" i="7"/>
  <c r="AQ639" i="7" s="1"/>
  <c r="AL639" i="7"/>
  <c r="AK639" i="7"/>
  <c r="AD639" i="7"/>
  <c r="AC639" i="7"/>
  <c r="AB639" i="7" s="1"/>
  <c r="V639" i="7"/>
  <c r="U639" i="7"/>
  <c r="S639" i="7" s="1"/>
  <c r="N639" i="7"/>
  <c r="M639" i="7"/>
  <c r="K639" i="7" s="1"/>
  <c r="F639" i="7"/>
  <c r="E639" i="7"/>
  <c r="C639" i="7" s="1"/>
  <c r="AT638" i="7"/>
  <c r="AS638" i="7"/>
  <c r="AL638" i="7"/>
  <c r="AK638" i="7"/>
  <c r="AJ638" i="7" s="1"/>
  <c r="AI638" i="7"/>
  <c r="AD638" i="7"/>
  <c r="AC638" i="7"/>
  <c r="AB638" i="7" s="1"/>
  <c r="V638" i="7"/>
  <c r="U638" i="7"/>
  <c r="S638" i="7" s="1"/>
  <c r="N638" i="7"/>
  <c r="M638" i="7"/>
  <c r="K638" i="7" s="1"/>
  <c r="F638" i="7"/>
  <c r="E638" i="7"/>
  <c r="C638" i="7" s="1"/>
  <c r="AT637" i="7"/>
  <c r="AS637" i="7"/>
  <c r="AQ637" i="7" s="1"/>
  <c r="AL637" i="7"/>
  <c r="AK637" i="7"/>
  <c r="AD637" i="7"/>
  <c r="AC637" i="7"/>
  <c r="AB637" i="7" s="1"/>
  <c r="V637" i="7"/>
  <c r="U637" i="7"/>
  <c r="S637" i="7" s="1"/>
  <c r="N637" i="7"/>
  <c r="M637" i="7"/>
  <c r="K637" i="7" s="1"/>
  <c r="F637" i="7"/>
  <c r="E637" i="7"/>
  <c r="C637" i="7" s="1"/>
  <c r="AT636" i="7"/>
  <c r="AS636" i="7"/>
  <c r="AL636" i="7"/>
  <c r="AK636" i="7"/>
  <c r="AJ636" i="7" s="1"/>
  <c r="AD636" i="7"/>
  <c r="AC636" i="7"/>
  <c r="AB636" i="7" s="1"/>
  <c r="V636" i="7"/>
  <c r="U636" i="7"/>
  <c r="S636" i="7" s="1"/>
  <c r="N636" i="7"/>
  <c r="M636" i="7"/>
  <c r="K636" i="7" s="1"/>
  <c r="F636" i="7"/>
  <c r="E636" i="7"/>
  <c r="C636" i="7" s="1"/>
  <c r="AT635" i="7"/>
  <c r="AS635" i="7"/>
  <c r="AQ635" i="7" s="1"/>
  <c r="AL635" i="7"/>
  <c r="AK635" i="7"/>
  <c r="AD635" i="7"/>
  <c r="AC635" i="7"/>
  <c r="AB635" i="7" s="1"/>
  <c r="V635" i="7"/>
  <c r="U635" i="7"/>
  <c r="S635" i="7" s="1"/>
  <c r="N635" i="7"/>
  <c r="M635" i="7"/>
  <c r="K635" i="7" s="1"/>
  <c r="F635" i="7"/>
  <c r="E635" i="7"/>
  <c r="C635" i="7" s="1"/>
  <c r="AT634" i="7"/>
  <c r="AS634" i="7"/>
  <c r="AL634" i="7"/>
  <c r="AK634" i="7"/>
  <c r="AJ634" i="7" s="1"/>
  <c r="AD634" i="7"/>
  <c r="AC634" i="7"/>
  <c r="AB634" i="7" s="1"/>
  <c r="V634" i="7"/>
  <c r="U634" i="7"/>
  <c r="S634" i="7" s="1"/>
  <c r="N634" i="7"/>
  <c r="M634" i="7"/>
  <c r="K634" i="7" s="1"/>
  <c r="F634" i="7"/>
  <c r="E634" i="7"/>
  <c r="C634" i="7" s="1"/>
  <c r="AT633" i="7"/>
  <c r="AS633" i="7"/>
  <c r="AQ633" i="7" s="1"/>
  <c r="AL633" i="7"/>
  <c r="AK633" i="7"/>
  <c r="AD633" i="7"/>
  <c r="AC633" i="7"/>
  <c r="AB633" i="7" s="1"/>
  <c r="V633" i="7"/>
  <c r="U633" i="7"/>
  <c r="S633" i="7" s="1"/>
  <c r="N633" i="7"/>
  <c r="M633" i="7"/>
  <c r="K633" i="7" s="1"/>
  <c r="F633" i="7"/>
  <c r="E633" i="7"/>
  <c r="C633" i="7" s="1"/>
  <c r="AT632" i="7"/>
  <c r="AS632" i="7"/>
  <c r="AL632" i="7"/>
  <c r="AK632" i="7"/>
  <c r="AJ632" i="7" s="1"/>
  <c r="AD632" i="7"/>
  <c r="AC632" i="7"/>
  <c r="AB632" i="7" s="1"/>
  <c r="V632" i="7"/>
  <c r="U632" i="7"/>
  <c r="S632" i="7" s="1"/>
  <c r="N632" i="7"/>
  <c r="M632" i="7"/>
  <c r="K632" i="7" s="1"/>
  <c r="F632" i="7"/>
  <c r="E632" i="7"/>
  <c r="C632" i="7" s="1"/>
  <c r="AT631" i="7"/>
  <c r="AS631" i="7"/>
  <c r="AQ631" i="7" s="1"/>
  <c r="AL631" i="7"/>
  <c r="AK631" i="7"/>
  <c r="AD631" i="7"/>
  <c r="AC631" i="7"/>
  <c r="AB631" i="7" s="1"/>
  <c r="V631" i="7"/>
  <c r="U631" i="7"/>
  <c r="S631" i="7" s="1"/>
  <c r="N631" i="7"/>
  <c r="M631" i="7"/>
  <c r="K631" i="7" s="1"/>
  <c r="F631" i="7"/>
  <c r="E631" i="7"/>
  <c r="C631" i="7" s="1"/>
  <c r="AT630" i="7"/>
  <c r="AS630" i="7"/>
  <c r="AL630" i="7"/>
  <c r="AK630" i="7"/>
  <c r="AJ630" i="7" s="1"/>
  <c r="AD630" i="7"/>
  <c r="AC630" i="7"/>
  <c r="AB630" i="7" s="1"/>
  <c r="V630" i="7"/>
  <c r="U630" i="7"/>
  <c r="S630" i="7" s="1"/>
  <c r="N630" i="7"/>
  <c r="M630" i="7"/>
  <c r="K630" i="7" s="1"/>
  <c r="F630" i="7"/>
  <c r="E630" i="7"/>
  <c r="C630" i="7" s="1"/>
  <c r="AT629" i="7"/>
  <c r="AS629" i="7"/>
  <c r="AQ629" i="7" s="1"/>
  <c r="AL629" i="7"/>
  <c r="AK629" i="7"/>
  <c r="AD629" i="7"/>
  <c r="AC629" i="7"/>
  <c r="AB629" i="7" s="1"/>
  <c r="V629" i="7"/>
  <c r="U629" i="7"/>
  <c r="S629" i="7" s="1"/>
  <c r="N629" i="7"/>
  <c r="M629" i="7"/>
  <c r="K629" i="7" s="1"/>
  <c r="F629" i="7"/>
  <c r="E629" i="7"/>
  <c r="C629" i="7" s="1"/>
  <c r="AT628" i="7"/>
  <c r="AS628" i="7"/>
  <c r="AL628" i="7"/>
  <c r="AK628" i="7"/>
  <c r="AJ628" i="7" s="1"/>
  <c r="AD628" i="7"/>
  <c r="AC628" i="7"/>
  <c r="AB628" i="7" s="1"/>
  <c r="V628" i="7"/>
  <c r="U628" i="7"/>
  <c r="S628" i="7" s="1"/>
  <c r="N628" i="7"/>
  <c r="M628" i="7"/>
  <c r="K628" i="7" s="1"/>
  <c r="F628" i="7"/>
  <c r="E628" i="7"/>
  <c r="C628" i="7" s="1"/>
  <c r="AT627" i="7"/>
  <c r="AS627" i="7"/>
  <c r="AQ627" i="7" s="1"/>
  <c r="AL627" i="7"/>
  <c r="AK627" i="7"/>
  <c r="AD627" i="7"/>
  <c r="AC627" i="7"/>
  <c r="AB627" i="7" s="1"/>
  <c r="V627" i="7"/>
  <c r="U627" i="7"/>
  <c r="S627" i="7" s="1"/>
  <c r="N627" i="7"/>
  <c r="M627" i="7"/>
  <c r="K627" i="7" s="1"/>
  <c r="F627" i="7"/>
  <c r="E627" i="7"/>
  <c r="C627" i="7" s="1"/>
  <c r="AT626" i="7"/>
  <c r="AS626" i="7"/>
  <c r="AL626" i="7"/>
  <c r="AK626" i="7"/>
  <c r="AJ626" i="7" s="1"/>
  <c r="AD626" i="7"/>
  <c r="AC626" i="7"/>
  <c r="AB626" i="7" s="1"/>
  <c r="V626" i="7"/>
  <c r="U626" i="7"/>
  <c r="S626" i="7" s="1"/>
  <c r="N626" i="7"/>
  <c r="M626" i="7"/>
  <c r="K626" i="7" s="1"/>
  <c r="F626" i="7"/>
  <c r="E626" i="7"/>
  <c r="C626" i="7" s="1"/>
  <c r="AT625" i="7"/>
  <c r="AS625" i="7"/>
  <c r="AQ625" i="7" s="1"/>
  <c r="AL625" i="7"/>
  <c r="AK625" i="7"/>
  <c r="AD625" i="7"/>
  <c r="AC625" i="7"/>
  <c r="AB625" i="7" s="1"/>
  <c r="V625" i="7"/>
  <c r="U625" i="7"/>
  <c r="S625" i="7" s="1"/>
  <c r="N625" i="7"/>
  <c r="M625" i="7"/>
  <c r="K625" i="7" s="1"/>
  <c r="F625" i="7"/>
  <c r="E625" i="7"/>
  <c r="C625" i="7" s="1"/>
  <c r="AT624" i="7"/>
  <c r="AS624" i="7"/>
  <c r="AL624" i="7"/>
  <c r="AK624" i="7"/>
  <c r="AJ624" i="7" s="1"/>
  <c r="AD624" i="7"/>
  <c r="AC624" i="7"/>
  <c r="AB624" i="7" s="1"/>
  <c r="V624" i="7"/>
  <c r="U624" i="7"/>
  <c r="S624" i="7" s="1"/>
  <c r="N624" i="7"/>
  <c r="M624" i="7"/>
  <c r="K624" i="7" s="1"/>
  <c r="F624" i="7"/>
  <c r="E624" i="7"/>
  <c r="C624" i="7" s="1"/>
  <c r="AT623" i="7"/>
  <c r="AS623" i="7"/>
  <c r="AQ623" i="7" s="1"/>
  <c r="AL623" i="7"/>
  <c r="AK623" i="7"/>
  <c r="AD623" i="7"/>
  <c r="AC623" i="7"/>
  <c r="AB623" i="7" s="1"/>
  <c r="V623" i="7"/>
  <c r="U623" i="7"/>
  <c r="S623" i="7" s="1"/>
  <c r="N623" i="7"/>
  <c r="M623" i="7"/>
  <c r="K623" i="7" s="1"/>
  <c r="F623" i="7"/>
  <c r="E623" i="7"/>
  <c r="C623" i="7" s="1"/>
  <c r="AT622" i="7"/>
  <c r="AS622" i="7"/>
  <c r="AL622" i="7"/>
  <c r="AK622" i="7"/>
  <c r="AJ622" i="7" s="1"/>
  <c r="AD622" i="7"/>
  <c r="AC622" i="7"/>
  <c r="AB622" i="7" s="1"/>
  <c r="V622" i="7"/>
  <c r="U622" i="7"/>
  <c r="S622" i="7" s="1"/>
  <c r="N622" i="7"/>
  <c r="M622" i="7"/>
  <c r="K622" i="7" s="1"/>
  <c r="F622" i="7"/>
  <c r="E622" i="7"/>
  <c r="C622" i="7" s="1"/>
  <c r="AT621" i="7"/>
  <c r="AS621" i="7"/>
  <c r="AQ621" i="7" s="1"/>
  <c r="AL621" i="7"/>
  <c r="AK621" i="7"/>
  <c r="AD621" i="7"/>
  <c r="AC621" i="7"/>
  <c r="AB621" i="7" s="1"/>
  <c r="V621" i="7"/>
  <c r="U621" i="7"/>
  <c r="S621" i="7" s="1"/>
  <c r="N621" i="7"/>
  <c r="M621" i="7"/>
  <c r="K621" i="7" s="1"/>
  <c r="F621" i="7"/>
  <c r="E621" i="7"/>
  <c r="C621" i="7" s="1"/>
  <c r="AT620" i="7"/>
  <c r="AS620" i="7"/>
  <c r="AL620" i="7"/>
  <c r="AK620" i="7"/>
  <c r="AJ620" i="7" s="1"/>
  <c r="AD620" i="7"/>
  <c r="AC620" i="7"/>
  <c r="AB620" i="7" s="1"/>
  <c r="V620" i="7"/>
  <c r="U620" i="7"/>
  <c r="S620" i="7" s="1"/>
  <c r="N620" i="7"/>
  <c r="M620" i="7"/>
  <c r="K620" i="7" s="1"/>
  <c r="F620" i="7"/>
  <c r="E620" i="7"/>
  <c r="C620" i="7" s="1"/>
  <c r="AT619" i="7"/>
  <c r="AS619" i="7"/>
  <c r="AQ619" i="7" s="1"/>
  <c r="AL619" i="7"/>
  <c r="AK619" i="7"/>
  <c r="AD619" i="7"/>
  <c r="AC619" i="7"/>
  <c r="AB619" i="7" s="1"/>
  <c r="V619" i="7"/>
  <c r="U619" i="7"/>
  <c r="S619" i="7" s="1"/>
  <c r="N619" i="7"/>
  <c r="M619" i="7"/>
  <c r="K619" i="7" s="1"/>
  <c r="F619" i="7"/>
  <c r="E619" i="7"/>
  <c r="C619" i="7" s="1"/>
  <c r="AT618" i="7"/>
  <c r="AS618" i="7"/>
  <c r="AL618" i="7"/>
  <c r="AK618" i="7"/>
  <c r="AJ618" i="7" s="1"/>
  <c r="AD618" i="7"/>
  <c r="AC618" i="7"/>
  <c r="AB618" i="7" s="1"/>
  <c r="V618" i="7"/>
  <c r="U618" i="7"/>
  <c r="S618" i="7" s="1"/>
  <c r="N618" i="7"/>
  <c r="M618" i="7"/>
  <c r="K618" i="7" s="1"/>
  <c r="F618" i="7"/>
  <c r="E618" i="7"/>
  <c r="C618" i="7" s="1"/>
  <c r="AT617" i="7"/>
  <c r="AS617" i="7"/>
  <c r="AQ617" i="7" s="1"/>
  <c r="AL617" i="7"/>
  <c r="AK617" i="7"/>
  <c r="AD617" i="7"/>
  <c r="AC617" i="7"/>
  <c r="AB617" i="7" s="1"/>
  <c r="V617" i="7"/>
  <c r="U617" i="7"/>
  <c r="S617" i="7" s="1"/>
  <c r="N617" i="7"/>
  <c r="M617" i="7"/>
  <c r="K617" i="7" s="1"/>
  <c r="F617" i="7"/>
  <c r="E617" i="7"/>
  <c r="C617" i="7" s="1"/>
  <c r="AT616" i="7"/>
  <c r="AS616" i="7"/>
  <c r="AL616" i="7"/>
  <c r="AK616" i="7"/>
  <c r="AJ616" i="7" s="1"/>
  <c r="AD616" i="7"/>
  <c r="AC616" i="7"/>
  <c r="AB616" i="7" s="1"/>
  <c r="V616" i="7"/>
  <c r="U616" i="7"/>
  <c r="S616" i="7" s="1"/>
  <c r="N616" i="7"/>
  <c r="M616" i="7"/>
  <c r="K616" i="7" s="1"/>
  <c r="F616" i="7"/>
  <c r="E616" i="7"/>
  <c r="C616" i="7" s="1"/>
  <c r="AT615" i="7"/>
  <c r="AS615" i="7"/>
  <c r="AQ615" i="7" s="1"/>
  <c r="AL615" i="7"/>
  <c r="AK615" i="7"/>
  <c r="AD615" i="7"/>
  <c r="AC615" i="7"/>
  <c r="AB615" i="7" s="1"/>
  <c r="V615" i="7"/>
  <c r="U615" i="7"/>
  <c r="S615" i="7" s="1"/>
  <c r="N615" i="7"/>
  <c r="M615" i="7"/>
  <c r="K615" i="7" s="1"/>
  <c r="F615" i="7"/>
  <c r="E615" i="7"/>
  <c r="C615" i="7" s="1"/>
  <c r="AT614" i="7"/>
  <c r="AS614" i="7"/>
  <c r="AL614" i="7"/>
  <c r="AK614" i="7"/>
  <c r="AJ614" i="7" s="1"/>
  <c r="AD614" i="7"/>
  <c r="AC614" i="7"/>
  <c r="AB614" i="7" s="1"/>
  <c r="V614" i="7"/>
  <c r="U614" i="7"/>
  <c r="S614" i="7" s="1"/>
  <c r="N614" i="7"/>
  <c r="M614" i="7"/>
  <c r="K614" i="7" s="1"/>
  <c r="F614" i="7"/>
  <c r="E614" i="7"/>
  <c r="C614" i="7" s="1"/>
  <c r="AT613" i="7"/>
  <c r="AS613" i="7"/>
  <c r="AQ613" i="7" s="1"/>
  <c r="AL613" i="7"/>
  <c r="AK613" i="7"/>
  <c r="AD613" i="7"/>
  <c r="AC613" i="7"/>
  <c r="AB613" i="7" s="1"/>
  <c r="V613" i="7"/>
  <c r="U613" i="7"/>
  <c r="S613" i="7" s="1"/>
  <c r="N613" i="7"/>
  <c r="M613" i="7"/>
  <c r="K613" i="7" s="1"/>
  <c r="F613" i="7"/>
  <c r="E613" i="7"/>
  <c r="C613" i="7" s="1"/>
  <c r="AT612" i="7"/>
  <c r="AS612" i="7"/>
  <c r="AL612" i="7"/>
  <c r="AK612" i="7"/>
  <c r="AJ612" i="7" s="1"/>
  <c r="AD612" i="7"/>
  <c r="AC612" i="7"/>
  <c r="AB612" i="7" s="1"/>
  <c r="V612" i="7"/>
  <c r="U612" i="7"/>
  <c r="S612" i="7" s="1"/>
  <c r="N612" i="7"/>
  <c r="M612" i="7"/>
  <c r="K612" i="7" s="1"/>
  <c r="F612" i="7"/>
  <c r="E612" i="7"/>
  <c r="C612" i="7" s="1"/>
  <c r="AT611" i="7"/>
  <c r="AS611" i="7"/>
  <c r="AQ611" i="7" s="1"/>
  <c r="AL611" i="7"/>
  <c r="AK611" i="7"/>
  <c r="AD611" i="7"/>
  <c r="AC611" i="7"/>
  <c r="AB611" i="7" s="1"/>
  <c r="V611" i="7"/>
  <c r="U611" i="7"/>
  <c r="S611" i="7" s="1"/>
  <c r="N611" i="7"/>
  <c r="M611" i="7"/>
  <c r="K611" i="7" s="1"/>
  <c r="F611" i="7"/>
  <c r="E611" i="7"/>
  <c r="C611" i="7" s="1"/>
  <c r="AT610" i="7"/>
  <c r="AS610" i="7"/>
  <c r="AL610" i="7"/>
  <c r="AK610" i="7"/>
  <c r="AJ610" i="7" s="1"/>
  <c r="AD610" i="7"/>
  <c r="AC610" i="7"/>
  <c r="AB610" i="7" s="1"/>
  <c r="V610" i="7"/>
  <c r="U610" i="7"/>
  <c r="S610" i="7" s="1"/>
  <c r="N610" i="7"/>
  <c r="M610" i="7"/>
  <c r="K610" i="7" s="1"/>
  <c r="F610" i="7"/>
  <c r="E610" i="7"/>
  <c r="AT609" i="7"/>
  <c r="AS609" i="7"/>
  <c r="AQ609" i="7" s="1"/>
  <c r="AL609" i="7"/>
  <c r="AK609" i="7"/>
  <c r="AD609" i="7"/>
  <c r="AC609" i="7"/>
  <c r="AB609" i="7" s="1"/>
  <c r="V609" i="7"/>
  <c r="U609" i="7"/>
  <c r="S609" i="7" s="1"/>
  <c r="N609" i="7"/>
  <c r="M609" i="7"/>
  <c r="K609" i="7" s="1"/>
  <c r="F609" i="7"/>
  <c r="E609" i="7"/>
  <c r="AT608" i="7"/>
  <c r="AS608" i="7"/>
  <c r="AL608" i="7"/>
  <c r="AK608" i="7"/>
  <c r="AJ608" i="7" s="1"/>
  <c r="AD608" i="7"/>
  <c r="AC608" i="7"/>
  <c r="AB608" i="7" s="1"/>
  <c r="V608" i="7"/>
  <c r="U608" i="7"/>
  <c r="S608" i="7" s="1"/>
  <c r="N608" i="7"/>
  <c r="M608" i="7"/>
  <c r="K608" i="7" s="1"/>
  <c r="F608" i="7"/>
  <c r="E608" i="7"/>
  <c r="AT607" i="7"/>
  <c r="AS607" i="7"/>
  <c r="AQ607" i="7" s="1"/>
  <c r="AL607" i="7"/>
  <c r="AK607" i="7"/>
  <c r="AD607" i="7"/>
  <c r="AC607" i="7"/>
  <c r="V607" i="7"/>
  <c r="U607" i="7"/>
  <c r="S607" i="7" s="1"/>
  <c r="N607" i="7"/>
  <c r="M607" i="7"/>
  <c r="K607" i="7" s="1"/>
  <c r="F607" i="7"/>
  <c r="E607" i="7"/>
  <c r="AT606" i="7"/>
  <c r="AS606" i="7"/>
  <c r="AL606" i="7"/>
  <c r="AK606" i="7"/>
  <c r="AJ606" i="7" s="1"/>
  <c r="AI606" i="7"/>
  <c r="AD606" i="7"/>
  <c r="AC606" i="7"/>
  <c r="V606" i="7"/>
  <c r="U606" i="7"/>
  <c r="S606" i="7" s="1"/>
  <c r="N606" i="7"/>
  <c r="M606" i="7"/>
  <c r="K606" i="7" s="1"/>
  <c r="F606" i="7"/>
  <c r="E606" i="7"/>
  <c r="AT605" i="7"/>
  <c r="AS605" i="7"/>
  <c r="AQ605" i="7" s="1"/>
  <c r="AL605" i="7"/>
  <c r="AK605" i="7"/>
  <c r="AD605" i="7"/>
  <c r="AC605" i="7"/>
  <c r="V605" i="7"/>
  <c r="U605" i="7"/>
  <c r="S605" i="7" s="1"/>
  <c r="N605" i="7"/>
  <c r="M605" i="7"/>
  <c r="K605" i="7" s="1"/>
  <c r="F605" i="7"/>
  <c r="E605" i="7"/>
  <c r="AT604" i="7"/>
  <c r="AS604" i="7"/>
  <c r="AL604" i="7"/>
  <c r="AK604" i="7"/>
  <c r="AJ604" i="7" s="1"/>
  <c r="AD604" i="7"/>
  <c r="AC604" i="7"/>
  <c r="V604" i="7"/>
  <c r="U604" i="7"/>
  <c r="S604" i="7" s="1"/>
  <c r="N604" i="7"/>
  <c r="M604" i="7"/>
  <c r="K604" i="7" s="1"/>
  <c r="F604" i="7"/>
  <c r="E604" i="7"/>
  <c r="AT603" i="7"/>
  <c r="AS603" i="7"/>
  <c r="AQ603" i="7" s="1"/>
  <c r="AL603" i="7"/>
  <c r="AK603" i="7"/>
  <c r="AD603" i="7"/>
  <c r="AC603" i="7"/>
  <c r="V603" i="7"/>
  <c r="U603" i="7"/>
  <c r="S603" i="7" s="1"/>
  <c r="N603" i="7"/>
  <c r="M603" i="7"/>
  <c r="K603" i="7" s="1"/>
  <c r="F603" i="7"/>
  <c r="E603" i="7"/>
  <c r="AT602" i="7"/>
  <c r="AS602" i="7"/>
  <c r="AL602" i="7"/>
  <c r="AK602" i="7"/>
  <c r="AJ602" i="7" s="1"/>
  <c r="AD602" i="7"/>
  <c r="AC602" i="7"/>
  <c r="V602" i="7"/>
  <c r="U602" i="7"/>
  <c r="S602" i="7" s="1"/>
  <c r="N602" i="7"/>
  <c r="M602" i="7"/>
  <c r="K602" i="7" s="1"/>
  <c r="F602" i="7"/>
  <c r="E602" i="7"/>
  <c r="AT601" i="7"/>
  <c r="AS601" i="7"/>
  <c r="AQ601" i="7" s="1"/>
  <c r="AL601" i="7"/>
  <c r="AK601" i="7"/>
  <c r="AD601" i="7"/>
  <c r="AC601" i="7"/>
  <c r="V601" i="7"/>
  <c r="U601" i="7"/>
  <c r="S601" i="7" s="1"/>
  <c r="N601" i="7"/>
  <c r="M601" i="7"/>
  <c r="K601" i="7" s="1"/>
  <c r="F601" i="7"/>
  <c r="E601" i="7"/>
  <c r="AT600" i="7"/>
  <c r="AS600" i="7"/>
  <c r="AL600" i="7"/>
  <c r="AK600" i="7"/>
  <c r="AJ600" i="7" s="1"/>
  <c r="AD600" i="7"/>
  <c r="AC600" i="7"/>
  <c r="V600" i="7"/>
  <c r="U600" i="7"/>
  <c r="S600" i="7" s="1"/>
  <c r="N600" i="7"/>
  <c r="M600" i="7"/>
  <c r="K600" i="7" s="1"/>
  <c r="F600" i="7"/>
  <c r="E600" i="7"/>
  <c r="AT599" i="7"/>
  <c r="AS599" i="7"/>
  <c r="AQ599" i="7" s="1"/>
  <c r="AL599" i="7"/>
  <c r="AK599" i="7"/>
  <c r="AD599" i="7"/>
  <c r="AC599" i="7"/>
  <c r="V599" i="7"/>
  <c r="U599" i="7"/>
  <c r="S599" i="7" s="1"/>
  <c r="N599" i="7"/>
  <c r="M599" i="7"/>
  <c r="K599" i="7" s="1"/>
  <c r="F599" i="7"/>
  <c r="E599" i="7"/>
  <c r="AT598" i="7"/>
  <c r="AS598" i="7"/>
  <c r="AL598" i="7"/>
  <c r="AK598" i="7"/>
  <c r="AJ598" i="7" s="1"/>
  <c r="AD598" i="7"/>
  <c r="AC598" i="7"/>
  <c r="V598" i="7"/>
  <c r="U598" i="7"/>
  <c r="S598" i="7" s="1"/>
  <c r="N598" i="7"/>
  <c r="M598" i="7"/>
  <c r="K598" i="7" s="1"/>
  <c r="F598" i="7"/>
  <c r="E598" i="7"/>
  <c r="AT597" i="7"/>
  <c r="AS597" i="7"/>
  <c r="AQ597" i="7" s="1"/>
  <c r="AL597" i="7"/>
  <c r="AK597" i="7"/>
  <c r="AD597" i="7"/>
  <c r="AC597" i="7"/>
  <c r="V597" i="7"/>
  <c r="U597" i="7"/>
  <c r="S597" i="7" s="1"/>
  <c r="N597" i="7"/>
  <c r="M597" i="7"/>
  <c r="K597" i="7" s="1"/>
  <c r="F597" i="7"/>
  <c r="E597" i="7"/>
  <c r="AT596" i="7"/>
  <c r="AS596" i="7"/>
  <c r="AL596" i="7"/>
  <c r="AK596" i="7"/>
  <c r="AJ596" i="7" s="1"/>
  <c r="AD596" i="7"/>
  <c r="AC596" i="7"/>
  <c r="V596" i="7"/>
  <c r="U596" i="7"/>
  <c r="S596" i="7" s="1"/>
  <c r="N596" i="7"/>
  <c r="M596" i="7"/>
  <c r="K596" i="7" s="1"/>
  <c r="F596" i="7"/>
  <c r="E596" i="7"/>
  <c r="AT595" i="7"/>
  <c r="AS595" i="7"/>
  <c r="AQ595" i="7" s="1"/>
  <c r="AL595" i="7"/>
  <c r="AK595" i="7"/>
  <c r="AD595" i="7"/>
  <c r="AC595" i="7"/>
  <c r="V595" i="7"/>
  <c r="U595" i="7"/>
  <c r="S595" i="7" s="1"/>
  <c r="N595" i="7"/>
  <c r="M595" i="7"/>
  <c r="K595" i="7" s="1"/>
  <c r="F595" i="7"/>
  <c r="E595" i="7"/>
  <c r="AT594" i="7"/>
  <c r="AS594" i="7"/>
  <c r="AL594" i="7"/>
  <c r="AK594" i="7"/>
  <c r="AJ594" i="7" s="1"/>
  <c r="AD594" i="7"/>
  <c r="AC594" i="7"/>
  <c r="V594" i="7"/>
  <c r="U594" i="7"/>
  <c r="S594" i="7" s="1"/>
  <c r="N594" i="7"/>
  <c r="M594" i="7"/>
  <c r="L594" i="7" s="1"/>
  <c r="F594" i="7"/>
  <c r="E594" i="7"/>
  <c r="AT593" i="7"/>
  <c r="AS593" i="7"/>
  <c r="AQ593" i="7" s="1"/>
  <c r="AL593" i="7"/>
  <c r="AK593" i="7"/>
  <c r="AJ593" i="7" s="1"/>
  <c r="AD593" i="7"/>
  <c r="AC593" i="7"/>
  <c r="V593" i="7"/>
  <c r="U593" i="7"/>
  <c r="S593" i="7" s="1"/>
  <c r="N593" i="7"/>
  <c r="M593" i="7"/>
  <c r="L593" i="7" s="1"/>
  <c r="F593" i="7"/>
  <c r="E593" i="7"/>
  <c r="AT592" i="7"/>
  <c r="AS592" i="7"/>
  <c r="AQ592" i="7" s="1"/>
  <c r="AL592" i="7"/>
  <c r="AK592" i="7"/>
  <c r="AJ592" i="7" s="1"/>
  <c r="AD592" i="7"/>
  <c r="AC592" i="7"/>
  <c r="V592" i="7"/>
  <c r="U592" i="7"/>
  <c r="S592" i="7" s="1"/>
  <c r="N592" i="7"/>
  <c r="M592" i="7"/>
  <c r="L592" i="7" s="1"/>
  <c r="F592" i="7"/>
  <c r="E592" i="7"/>
  <c r="AT591" i="7"/>
  <c r="AS591" i="7"/>
  <c r="AQ591" i="7" s="1"/>
  <c r="AL591" i="7"/>
  <c r="AK591" i="7"/>
  <c r="AD591" i="7"/>
  <c r="AC591" i="7"/>
  <c r="V591" i="7"/>
  <c r="U591" i="7"/>
  <c r="S591" i="7" s="1"/>
  <c r="N591" i="7"/>
  <c r="M591" i="7"/>
  <c r="L591" i="7" s="1"/>
  <c r="F591" i="7"/>
  <c r="E591" i="7"/>
  <c r="AT590" i="7"/>
  <c r="AS590" i="7"/>
  <c r="AQ590" i="7" s="1"/>
  <c r="AL590" i="7"/>
  <c r="AK590" i="7"/>
  <c r="AJ590" i="7" s="1"/>
  <c r="AD590" i="7"/>
  <c r="AC590" i="7"/>
  <c r="V590" i="7"/>
  <c r="U590" i="7"/>
  <c r="S590" i="7" s="1"/>
  <c r="N590" i="7"/>
  <c r="M590" i="7"/>
  <c r="L590" i="7" s="1"/>
  <c r="F590" i="7"/>
  <c r="E590" i="7"/>
  <c r="AT589" i="7"/>
  <c r="AS589" i="7"/>
  <c r="AQ589" i="7" s="1"/>
  <c r="AL589" i="7"/>
  <c r="AK589" i="7"/>
  <c r="AJ589" i="7" s="1"/>
  <c r="AD589" i="7"/>
  <c r="AC589" i="7"/>
  <c r="V589" i="7"/>
  <c r="U589" i="7"/>
  <c r="S589" i="7" s="1"/>
  <c r="N589" i="7"/>
  <c r="M589" i="7"/>
  <c r="L589" i="7" s="1"/>
  <c r="F589" i="7"/>
  <c r="E589" i="7"/>
  <c r="AT588" i="7"/>
  <c r="AS588" i="7"/>
  <c r="AQ588" i="7" s="1"/>
  <c r="AL588" i="7"/>
  <c r="AK588" i="7"/>
  <c r="AJ588" i="7" s="1"/>
  <c r="AD588" i="7"/>
  <c r="AC588" i="7"/>
  <c r="V588" i="7"/>
  <c r="U588" i="7"/>
  <c r="S588" i="7" s="1"/>
  <c r="N588" i="7"/>
  <c r="M588" i="7"/>
  <c r="L588" i="7" s="1"/>
  <c r="F588" i="7"/>
  <c r="E588" i="7"/>
  <c r="AT587" i="7"/>
  <c r="AS587" i="7"/>
  <c r="AQ587" i="7" s="1"/>
  <c r="AL587" i="7"/>
  <c r="AK587" i="7"/>
  <c r="AJ587" i="7" s="1"/>
  <c r="AD587" i="7"/>
  <c r="AC587" i="7"/>
  <c r="V587" i="7"/>
  <c r="U587" i="7"/>
  <c r="S587" i="7" s="1"/>
  <c r="N587" i="7"/>
  <c r="M587" i="7"/>
  <c r="L587" i="7" s="1"/>
  <c r="F587" i="7"/>
  <c r="E587" i="7"/>
  <c r="AT586" i="7"/>
  <c r="AS586" i="7"/>
  <c r="AQ586" i="7" s="1"/>
  <c r="AL586" i="7"/>
  <c r="AK586" i="7"/>
  <c r="AJ586" i="7" s="1"/>
  <c r="AD586" i="7"/>
  <c r="AC586" i="7"/>
  <c r="V586" i="7"/>
  <c r="U586" i="7"/>
  <c r="S586" i="7" s="1"/>
  <c r="N586" i="7"/>
  <c r="M586" i="7"/>
  <c r="L586" i="7" s="1"/>
  <c r="F586" i="7"/>
  <c r="E586" i="7"/>
  <c r="AT585" i="7"/>
  <c r="AS585" i="7"/>
  <c r="AQ585" i="7" s="1"/>
  <c r="AL585" i="7"/>
  <c r="AK585" i="7"/>
  <c r="AD585" i="7"/>
  <c r="AC585" i="7"/>
  <c r="V585" i="7"/>
  <c r="U585" i="7"/>
  <c r="S585" i="7" s="1"/>
  <c r="N585" i="7"/>
  <c r="M585" i="7"/>
  <c r="L585" i="7" s="1"/>
  <c r="F585" i="7"/>
  <c r="E585" i="7"/>
  <c r="AT584" i="7"/>
  <c r="AS584" i="7"/>
  <c r="AQ584" i="7" s="1"/>
  <c r="AL584" i="7"/>
  <c r="AK584" i="7"/>
  <c r="AJ584" i="7" s="1"/>
  <c r="AD584" i="7"/>
  <c r="AC584" i="7"/>
  <c r="V584" i="7"/>
  <c r="U584" i="7"/>
  <c r="S584" i="7" s="1"/>
  <c r="N584" i="7"/>
  <c r="M584" i="7"/>
  <c r="L584" i="7" s="1"/>
  <c r="F584" i="7"/>
  <c r="E584" i="7"/>
  <c r="AT583" i="7"/>
  <c r="AS583" i="7"/>
  <c r="AQ583" i="7" s="1"/>
  <c r="AL583" i="7"/>
  <c r="AK583" i="7"/>
  <c r="AJ583" i="7" s="1"/>
  <c r="AD583" i="7"/>
  <c r="AC583" i="7"/>
  <c r="V583" i="7"/>
  <c r="U583" i="7"/>
  <c r="S583" i="7" s="1"/>
  <c r="N583" i="7"/>
  <c r="M583" i="7"/>
  <c r="L583" i="7" s="1"/>
  <c r="F583" i="7"/>
  <c r="E583" i="7"/>
  <c r="AT582" i="7"/>
  <c r="AS582" i="7"/>
  <c r="AQ582" i="7" s="1"/>
  <c r="AL582" i="7"/>
  <c r="AK582" i="7"/>
  <c r="AJ582" i="7" s="1"/>
  <c r="AD582" i="7"/>
  <c r="AC582" i="7"/>
  <c r="V582" i="7"/>
  <c r="U582" i="7"/>
  <c r="S582" i="7" s="1"/>
  <c r="N582" i="7"/>
  <c r="M582" i="7"/>
  <c r="L582" i="7" s="1"/>
  <c r="F582" i="7"/>
  <c r="E582" i="7"/>
  <c r="AT581" i="7"/>
  <c r="AS581" i="7"/>
  <c r="AQ581" i="7" s="1"/>
  <c r="AL581" i="7"/>
  <c r="AK581" i="7"/>
  <c r="AJ581" i="7" s="1"/>
  <c r="AD581" i="7"/>
  <c r="AC581" i="7"/>
  <c r="V581" i="7"/>
  <c r="U581" i="7"/>
  <c r="S581" i="7" s="1"/>
  <c r="N581" i="7"/>
  <c r="M581" i="7"/>
  <c r="L581" i="7" s="1"/>
  <c r="F581" i="7"/>
  <c r="E581" i="7"/>
  <c r="AT580" i="7"/>
  <c r="AS580" i="7"/>
  <c r="AQ580" i="7" s="1"/>
  <c r="AL580" i="7"/>
  <c r="AK580" i="7"/>
  <c r="AJ580" i="7" s="1"/>
  <c r="AD580" i="7"/>
  <c r="AC580" i="7"/>
  <c r="V580" i="7"/>
  <c r="U580" i="7"/>
  <c r="S580" i="7" s="1"/>
  <c r="N580" i="7"/>
  <c r="M580" i="7"/>
  <c r="L580" i="7" s="1"/>
  <c r="F580" i="7"/>
  <c r="E580" i="7"/>
  <c r="AT579" i="7"/>
  <c r="AS579" i="7"/>
  <c r="AQ579" i="7" s="1"/>
  <c r="AL579" i="7"/>
  <c r="AK579" i="7"/>
  <c r="AD579" i="7"/>
  <c r="AC579" i="7"/>
  <c r="V579" i="7"/>
  <c r="U579" i="7"/>
  <c r="S579" i="7" s="1"/>
  <c r="N579" i="7"/>
  <c r="M579" i="7"/>
  <c r="L579" i="7" s="1"/>
  <c r="F579" i="7"/>
  <c r="E579" i="7"/>
  <c r="AT578" i="7"/>
  <c r="AS578" i="7"/>
  <c r="AQ578" i="7" s="1"/>
  <c r="AL578" i="7"/>
  <c r="AK578" i="7"/>
  <c r="AJ578" i="7" s="1"/>
  <c r="AD578" i="7"/>
  <c r="AC578" i="7"/>
  <c r="V578" i="7"/>
  <c r="U578" i="7"/>
  <c r="S578" i="7" s="1"/>
  <c r="N578" i="7"/>
  <c r="M578" i="7"/>
  <c r="L578" i="7" s="1"/>
  <c r="F578" i="7"/>
  <c r="E578" i="7"/>
  <c r="AT577" i="7"/>
  <c r="AS577" i="7"/>
  <c r="AQ577" i="7" s="1"/>
  <c r="AL577" i="7"/>
  <c r="AK577" i="7"/>
  <c r="AJ577" i="7" s="1"/>
  <c r="AD577" i="7"/>
  <c r="AC577" i="7"/>
  <c r="V577" i="7"/>
  <c r="U577" i="7"/>
  <c r="S577" i="7" s="1"/>
  <c r="N577" i="7"/>
  <c r="M577" i="7"/>
  <c r="L577" i="7" s="1"/>
  <c r="F577" i="7"/>
  <c r="E577" i="7"/>
  <c r="AT576" i="7"/>
  <c r="AS576" i="7"/>
  <c r="AQ576" i="7" s="1"/>
  <c r="AL576" i="7"/>
  <c r="AK576" i="7"/>
  <c r="AJ576" i="7" s="1"/>
  <c r="AD576" i="7"/>
  <c r="AC576" i="7"/>
  <c r="V576" i="7"/>
  <c r="U576" i="7"/>
  <c r="S576" i="7" s="1"/>
  <c r="N576" i="7"/>
  <c r="M576" i="7"/>
  <c r="L576" i="7" s="1"/>
  <c r="F576" i="7"/>
  <c r="E576" i="7"/>
  <c r="AT575" i="7"/>
  <c r="AS575" i="7"/>
  <c r="AQ575" i="7" s="1"/>
  <c r="AL575" i="7"/>
  <c r="AK575" i="7"/>
  <c r="AJ575" i="7" s="1"/>
  <c r="AD575" i="7"/>
  <c r="AC575" i="7"/>
  <c r="V575" i="7"/>
  <c r="U575" i="7"/>
  <c r="S575" i="7" s="1"/>
  <c r="N575" i="7"/>
  <c r="M575" i="7"/>
  <c r="L575" i="7" s="1"/>
  <c r="F575" i="7"/>
  <c r="E575" i="7"/>
  <c r="AT574" i="7"/>
  <c r="AS574" i="7"/>
  <c r="AQ574" i="7" s="1"/>
  <c r="AL574" i="7"/>
  <c r="AK574" i="7"/>
  <c r="AJ574" i="7" s="1"/>
  <c r="AD574" i="7"/>
  <c r="AC574" i="7"/>
  <c r="V574" i="7"/>
  <c r="U574" i="7"/>
  <c r="S574" i="7" s="1"/>
  <c r="N574" i="7"/>
  <c r="M574" i="7"/>
  <c r="L574" i="7" s="1"/>
  <c r="F574" i="7"/>
  <c r="E574" i="7"/>
  <c r="AT573" i="7"/>
  <c r="AS573" i="7"/>
  <c r="AQ573" i="7" s="1"/>
  <c r="AL573" i="7"/>
  <c r="AK573" i="7"/>
  <c r="AD573" i="7"/>
  <c r="AC573" i="7"/>
  <c r="V573" i="7"/>
  <c r="U573" i="7"/>
  <c r="S573" i="7" s="1"/>
  <c r="N573" i="7"/>
  <c r="M573" i="7"/>
  <c r="L573" i="7" s="1"/>
  <c r="F573" i="7"/>
  <c r="E573" i="7"/>
  <c r="AT572" i="7"/>
  <c r="AS572" i="7"/>
  <c r="AQ572" i="7" s="1"/>
  <c r="AL572" i="7"/>
  <c r="AK572" i="7"/>
  <c r="AJ572" i="7" s="1"/>
  <c r="AD572" i="7"/>
  <c r="AC572" i="7"/>
  <c r="V572" i="7"/>
  <c r="U572" i="7"/>
  <c r="S572" i="7" s="1"/>
  <c r="N572" i="7"/>
  <c r="M572" i="7"/>
  <c r="L572" i="7" s="1"/>
  <c r="F572" i="7"/>
  <c r="E572" i="7"/>
  <c r="AT571" i="7"/>
  <c r="AS571" i="7"/>
  <c r="AQ571" i="7" s="1"/>
  <c r="AL571" i="7"/>
  <c r="AK571" i="7"/>
  <c r="AJ571" i="7" s="1"/>
  <c r="AD571" i="7"/>
  <c r="AC571" i="7"/>
  <c r="V571" i="7"/>
  <c r="U571" i="7"/>
  <c r="S571" i="7" s="1"/>
  <c r="N571" i="7"/>
  <c r="M571" i="7"/>
  <c r="L571" i="7" s="1"/>
  <c r="F571" i="7"/>
  <c r="E571" i="7"/>
  <c r="AT570" i="7"/>
  <c r="AS570" i="7"/>
  <c r="AQ570" i="7" s="1"/>
  <c r="AL570" i="7"/>
  <c r="AK570" i="7"/>
  <c r="AJ570" i="7" s="1"/>
  <c r="AD570" i="7"/>
  <c r="AC570" i="7"/>
  <c r="V570" i="7"/>
  <c r="U570" i="7"/>
  <c r="S570" i="7" s="1"/>
  <c r="N570" i="7"/>
  <c r="M570" i="7"/>
  <c r="L570" i="7" s="1"/>
  <c r="F570" i="7"/>
  <c r="E570" i="7"/>
  <c r="AT569" i="7"/>
  <c r="AS569" i="7"/>
  <c r="AQ569" i="7" s="1"/>
  <c r="AL569" i="7"/>
  <c r="AK569" i="7"/>
  <c r="AJ569" i="7" s="1"/>
  <c r="AD569" i="7"/>
  <c r="AC569" i="7"/>
  <c r="V569" i="7"/>
  <c r="U569" i="7"/>
  <c r="S569" i="7" s="1"/>
  <c r="N569" i="7"/>
  <c r="M569" i="7"/>
  <c r="L569" i="7" s="1"/>
  <c r="F569" i="7"/>
  <c r="E569" i="7"/>
  <c r="AT568" i="7"/>
  <c r="AS568" i="7"/>
  <c r="AQ568" i="7" s="1"/>
  <c r="AL568" i="7"/>
  <c r="AK568" i="7"/>
  <c r="AJ568" i="7" s="1"/>
  <c r="AD568" i="7"/>
  <c r="AC568" i="7"/>
  <c r="V568" i="7"/>
  <c r="U568" i="7"/>
  <c r="S568" i="7" s="1"/>
  <c r="N568" i="7"/>
  <c r="M568" i="7"/>
  <c r="L568" i="7" s="1"/>
  <c r="F568" i="7"/>
  <c r="E568" i="7"/>
  <c r="AT567" i="7"/>
  <c r="AS567" i="7"/>
  <c r="AQ567" i="7" s="1"/>
  <c r="AL567" i="7"/>
  <c r="AK567" i="7"/>
  <c r="AD567" i="7"/>
  <c r="AC567" i="7"/>
  <c r="V567" i="7"/>
  <c r="U567" i="7"/>
  <c r="S567" i="7" s="1"/>
  <c r="N567" i="7"/>
  <c r="M567" i="7"/>
  <c r="L567" i="7" s="1"/>
  <c r="F567" i="7"/>
  <c r="E567" i="7"/>
  <c r="AT566" i="7"/>
  <c r="AS566" i="7"/>
  <c r="AQ566" i="7" s="1"/>
  <c r="AL566" i="7"/>
  <c r="AK566" i="7"/>
  <c r="AJ566" i="7" s="1"/>
  <c r="AD566" i="7"/>
  <c r="AC566" i="7"/>
  <c r="V566" i="7"/>
  <c r="U566" i="7"/>
  <c r="S566" i="7" s="1"/>
  <c r="N566" i="7"/>
  <c r="M566" i="7"/>
  <c r="L566" i="7" s="1"/>
  <c r="F566" i="7"/>
  <c r="E566" i="7"/>
  <c r="AT565" i="7"/>
  <c r="AS565" i="7"/>
  <c r="AQ565" i="7" s="1"/>
  <c r="AL565" i="7"/>
  <c r="AK565" i="7"/>
  <c r="AJ565" i="7" s="1"/>
  <c r="AD565" i="7"/>
  <c r="AC565" i="7"/>
  <c r="V565" i="7"/>
  <c r="U565" i="7"/>
  <c r="S565" i="7" s="1"/>
  <c r="N565" i="7"/>
  <c r="M565" i="7"/>
  <c r="L565" i="7" s="1"/>
  <c r="F565" i="7"/>
  <c r="E565" i="7"/>
  <c r="AT564" i="7"/>
  <c r="AS564" i="7"/>
  <c r="AQ564" i="7" s="1"/>
  <c r="AL564" i="7"/>
  <c r="AK564" i="7"/>
  <c r="AJ564" i="7" s="1"/>
  <c r="AD564" i="7"/>
  <c r="AC564" i="7"/>
  <c r="V564" i="7"/>
  <c r="U564" i="7"/>
  <c r="S564" i="7" s="1"/>
  <c r="N564" i="7"/>
  <c r="M564" i="7"/>
  <c r="L564" i="7" s="1"/>
  <c r="F564" i="7"/>
  <c r="E564" i="7"/>
  <c r="AT563" i="7"/>
  <c r="AS563" i="7"/>
  <c r="AQ563" i="7" s="1"/>
  <c r="AL563" i="7"/>
  <c r="AK563" i="7"/>
  <c r="AJ563" i="7" s="1"/>
  <c r="AD563" i="7"/>
  <c r="AC563" i="7"/>
  <c r="V563" i="7"/>
  <c r="U563" i="7"/>
  <c r="S563" i="7" s="1"/>
  <c r="N563" i="7"/>
  <c r="M563" i="7"/>
  <c r="L563" i="7" s="1"/>
  <c r="F563" i="7"/>
  <c r="E563" i="7"/>
  <c r="AT562" i="7"/>
  <c r="AS562" i="7"/>
  <c r="AQ562" i="7" s="1"/>
  <c r="AL562" i="7"/>
  <c r="AK562" i="7"/>
  <c r="AJ562" i="7" s="1"/>
  <c r="AD562" i="7"/>
  <c r="AC562" i="7"/>
  <c r="V562" i="7"/>
  <c r="U562" i="7"/>
  <c r="S562" i="7" s="1"/>
  <c r="N562" i="7"/>
  <c r="M562" i="7"/>
  <c r="L562" i="7" s="1"/>
  <c r="F562" i="7"/>
  <c r="E562" i="7"/>
  <c r="AT561" i="7"/>
  <c r="AS561" i="7"/>
  <c r="AQ561" i="7" s="1"/>
  <c r="AL561" i="7"/>
  <c r="AK561" i="7"/>
  <c r="AD561" i="7"/>
  <c r="AC561" i="7"/>
  <c r="V561" i="7"/>
  <c r="U561" i="7"/>
  <c r="S561" i="7" s="1"/>
  <c r="N561" i="7"/>
  <c r="M561" i="7"/>
  <c r="L561" i="7" s="1"/>
  <c r="F561" i="7"/>
  <c r="E561" i="7"/>
  <c r="AT560" i="7"/>
  <c r="AS560" i="7"/>
  <c r="AQ560" i="7" s="1"/>
  <c r="AL560" i="7"/>
  <c r="AK560" i="7"/>
  <c r="AJ560" i="7" s="1"/>
  <c r="AD560" i="7"/>
  <c r="AC560" i="7"/>
  <c r="V560" i="7"/>
  <c r="U560" i="7"/>
  <c r="S560" i="7" s="1"/>
  <c r="N560" i="7"/>
  <c r="M560" i="7"/>
  <c r="L560" i="7" s="1"/>
  <c r="F560" i="7"/>
  <c r="E560" i="7"/>
  <c r="AT559" i="7"/>
  <c r="AS559" i="7"/>
  <c r="AQ559" i="7" s="1"/>
  <c r="AL559" i="7"/>
  <c r="AK559" i="7"/>
  <c r="AJ559" i="7" s="1"/>
  <c r="AD559" i="7"/>
  <c r="AC559" i="7"/>
  <c r="V559" i="7"/>
  <c r="U559" i="7"/>
  <c r="S559" i="7" s="1"/>
  <c r="N559" i="7"/>
  <c r="M559" i="7"/>
  <c r="L559" i="7" s="1"/>
  <c r="F559" i="7"/>
  <c r="E559" i="7"/>
  <c r="AT558" i="7"/>
  <c r="AS558" i="7"/>
  <c r="AQ558" i="7" s="1"/>
  <c r="AL558" i="7"/>
  <c r="AK558" i="7"/>
  <c r="AJ558" i="7" s="1"/>
  <c r="AD558" i="7"/>
  <c r="AC558" i="7"/>
  <c r="V558" i="7"/>
  <c r="U558" i="7"/>
  <c r="S558" i="7" s="1"/>
  <c r="N558" i="7"/>
  <c r="M558" i="7"/>
  <c r="L558" i="7" s="1"/>
  <c r="F558" i="7"/>
  <c r="E558" i="7"/>
  <c r="AT557" i="7"/>
  <c r="AS557" i="7"/>
  <c r="AQ557" i="7" s="1"/>
  <c r="AL557" i="7"/>
  <c r="AK557" i="7"/>
  <c r="AJ557" i="7" s="1"/>
  <c r="AD557" i="7"/>
  <c r="AC557" i="7"/>
  <c r="V557" i="7"/>
  <c r="U557" i="7"/>
  <c r="S557" i="7" s="1"/>
  <c r="N557" i="7"/>
  <c r="M557" i="7"/>
  <c r="L557" i="7" s="1"/>
  <c r="F557" i="7"/>
  <c r="E557" i="7"/>
  <c r="AT556" i="7"/>
  <c r="AS556" i="7"/>
  <c r="AQ556" i="7" s="1"/>
  <c r="AL556" i="7"/>
  <c r="AK556" i="7"/>
  <c r="AJ556" i="7" s="1"/>
  <c r="AD556" i="7"/>
  <c r="AC556" i="7"/>
  <c r="V556" i="7"/>
  <c r="U556" i="7"/>
  <c r="S556" i="7" s="1"/>
  <c r="N556" i="7"/>
  <c r="M556" i="7"/>
  <c r="L556" i="7" s="1"/>
  <c r="F556" i="7"/>
  <c r="E556" i="7"/>
  <c r="AT555" i="7"/>
  <c r="AS555" i="7"/>
  <c r="AQ555" i="7" s="1"/>
  <c r="AL555" i="7"/>
  <c r="AK555" i="7"/>
  <c r="AD555" i="7"/>
  <c r="AC555" i="7"/>
  <c r="V555" i="7"/>
  <c r="U555" i="7"/>
  <c r="S555" i="7" s="1"/>
  <c r="N555" i="7"/>
  <c r="M555" i="7"/>
  <c r="L555" i="7" s="1"/>
  <c r="F555" i="7"/>
  <c r="E555" i="7"/>
  <c r="AT554" i="7"/>
  <c r="AS554" i="7"/>
  <c r="AQ554" i="7" s="1"/>
  <c r="AL554" i="7"/>
  <c r="AK554" i="7"/>
  <c r="AJ554" i="7" s="1"/>
  <c r="AD554" i="7"/>
  <c r="AC554" i="7"/>
  <c r="V554" i="7"/>
  <c r="U554" i="7"/>
  <c r="S554" i="7" s="1"/>
  <c r="N554" i="7"/>
  <c r="M554" i="7"/>
  <c r="L554" i="7" s="1"/>
  <c r="F554" i="7"/>
  <c r="E554" i="7"/>
  <c r="AT553" i="7"/>
  <c r="AS553" i="7"/>
  <c r="AQ553" i="7" s="1"/>
  <c r="AL553" i="7"/>
  <c r="AK553" i="7"/>
  <c r="AJ553" i="7" s="1"/>
  <c r="AD553" i="7"/>
  <c r="AC553" i="7"/>
  <c r="V553" i="7"/>
  <c r="U553" i="7"/>
  <c r="S553" i="7" s="1"/>
  <c r="N553" i="7"/>
  <c r="M553" i="7"/>
  <c r="L553" i="7" s="1"/>
  <c r="F553" i="7"/>
  <c r="E553" i="7"/>
  <c r="AT552" i="7"/>
  <c r="AS552" i="7"/>
  <c r="AQ552" i="7" s="1"/>
  <c r="AL552" i="7"/>
  <c r="AK552" i="7"/>
  <c r="AJ552" i="7" s="1"/>
  <c r="AD552" i="7"/>
  <c r="AC552" i="7"/>
  <c r="V552" i="7"/>
  <c r="U552" i="7"/>
  <c r="S552" i="7" s="1"/>
  <c r="N552" i="7"/>
  <c r="M552" i="7"/>
  <c r="L552" i="7" s="1"/>
  <c r="F552" i="7"/>
  <c r="E552" i="7"/>
  <c r="AT551" i="7"/>
  <c r="AS551" i="7"/>
  <c r="AQ551" i="7" s="1"/>
  <c r="AL551" i="7"/>
  <c r="AK551" i="7"/>
  <c r="AJ551" i="7" s="1"/>
  <c r="AD551" i="7"/>
  <c r="AC551" i="7"/>
  <c r="V551" i="7"/>
  <c r="U551" i="7"/>
  <c r="S551" i="7" s="1"/>
  <c r="N551" i="7"/>
  <c r="M551" i="7"/>
  <c r="L551" i="7" s="1"/>
  <c r="F551" i="7"/>
  <c r="E551" i="7"/>
  <c r="AT550" i="7"/>
  <c r="AS550" i="7"/>
  <c r="AQ550" i="7" s="1"/>
  <c r="AL550" i="7"/>
  <c r="AK550" i="7"/>
  <c r="AJ550" i="7" s="1"/>
  <c r="AD550" i="7"/>
  <c r="AC550" i="7"/>
  <c r="V550" i="7"/>
  <c r="U550" i="7"/>
  <c r="S550" i="7" s="1"/>
  <c r="N550" i="7"/>
  <c r="M550" i="7"/>
  <c r="L550" i="7" s="1"/>
  <c r="F550" i="7"/>
  <c r="E550" i="7"/>
  <c r="AT549" i="7"/>
  <c r="AS549" i="7"/>
  <c r="AQ549" i="7" s="1"/>
  <c r="AL549" i="7"/>
  <c r="AK549" i="7"/>
  <c r="AD549" i="7"/>
  <c r="AC549" i="7"/>
  <c r="V549" i="7"/>
  <c r="U549" i="7"/>
  <c r="S549" i="7" s="1"/>
  <c r="N549" i="7"/>
  <c r="M549" i="7"/>
  <c r="L549" i="7" s="1"/>
  <c r="F549" i="7"/>
  <c r="E549" i="7"/>
  <c r="AT548" i="7"/>
  <c r="AS548" i="7"/>
  <c r="AQ548" i="7" s="1"/>
  <c r="AL548" i="7"/>
  <c r="AK548" i="7"/>
  <c r="AJ548" i="7" s="1"/>
  <c r="AD548" i="7"/>
  <c r="AC548" i="7"/>
  <c r="V548" i="7"/>
  <c r="U548" i="7"/>
  <c r="S548" i="7" s="1"/>
  <c r="N548" i="7"/>
  <c r="M548" i="7"/>
  <c r="L548" i="7" s="1"/>
  <c r="F548" i="7"/>
  <c r="E548" i="7"/>
  <c r="AT547" i="7"/>
  <c r="AS547" i="7"/>
  <c r="AQ547" i="7" s="1"/>
  <c r="AL547" i="7"/>
  <c r="AK547" i="7"/>
  <c r="AJ547" i="7" s="1"/>
  <c r="AD547" i="7"/>
  <c r="AC547" i="7"/>
  <c r="V547" i="7"/>
  <c r="U547" i="7"/>
  <c r="S547" i="7" s="1"/>
  <c r="N547" i="7"/>
  <c r="M547" i="7"/>
  <c r="L547" i="7" s="1"/>
  <c r="F547" i="7"/>
  <c r="E547" i="7"/>
  <c r="AT546" i="7"/>
  <c r="AS546" i="7"/>
  <c r="AQ546" i="7" s="1"/>
  <c r="AL546" i="7"/>
  <c r="AK546" i="7"/>
  <c r="AJ546" i="7" s="1"/>
  <c r="AD546" i="7"/>
  <c r="AC546" i="7"/>
  <c r="V546" i="7"/>
  <c r="U546" i="7"/>
  <c r="S546" i="7" s="1"/>
  <c r="N546" i="7"/>
  <c r="M546" i="7"/>
  <c r="L546" i="7" s="1"/>
  <c r="F546" i="7"/>
  <c r="E546" i="7"/>
  <c r="AT545" i="7"/>
  <c r="AS545" i="7"/>
  <c r="AQ545" i="7" s="1"/>
  <c r="AL545" i="7"/>
  <c r="AK545" i="7"/>
  <c r="AJ545" i="7" s="1"/>
  <c r="AD545" i="7"/>
  <c r="AC545" i="7"/>
  <c r="V545" i="7"/>
  <c r="U545" i="7"/>
  <c r="S545" i="7" s="1"/>
  <c r="N545" i="7"/>
  <c r="M545" i="7"/>
  <c r="L545" i="7" s="1"/>
  <c r="F545" i="7"/>
  <c r="E545" i="7"/>
  <c r="AT544" i="7"/>
  <c r="AS544" i="7"/>
  <c r="AQ544" i="7" s="1"/>
  <c r="AL544" i="7"/>
  <c r="AK544" i="7"/>
  <c r="AJ544" i="7" s="1"/>
  <c r="AD544" i="7"/>
  <c r="AC544" i="7"/>
  <c r="V544" i="7"/>
  <c r="U544" i="7"/>
  <c r="S544" i="7" s="1"/>
  <c r="N544" i="7"/>
  <c r="M544" i="7"/>
  <c r="L544" i="7" s="1"/>
  <c r="F544" i="7"/>
  <c r="E544" i="7"/>
  <c r="AT543" i="7"/>
  <c r="AS543" i="7"/>
  <c r="AQ543" i="7" s="1"/>
  <c r="AL543" i="7"/>
  <c r="AK543" i="7"/>
  <c r="AD543" i="7"/>
  <c r="AC543" i="7"/>
  <c r="V543" i="7"/>
  <c r="U543" i="7"/>
  <c r="S543" i="7" s="1"/>
  <c r="N543" i="7"/>
  <c r="M543" i="7"/>
  <c r="L543" i="7" s="1"/>
  <c r="F543" i="7"/>
  <c r="E543" i="7"/>
  <c r="AT542" i="7"/>
  <c r="AS542" i="7"/>
  <c r="AQ542" i="7" s="1"/>
  <c r="AL542" i="7"/>
  <c r="AK542" i="7"/>
  <c r="AJ542" i="7" s="1"/>
  <c r="AD542" i="7"/>
  <c r="AC542" i="7"/>
  <c r="V542" i="7"/>
  <c r="U542" i="7"/>
  <c r="S542" i="7" s="1"/>
  <c r="N542" i="7"/>
  <c r="M542" i="7"/>
  <c r="L542" i="7" s="1"/>
  <c r="F542" i="7"/>
  <c r="E542" i="7"/>
  <c r="AT541" i="7"/>
  <c r="AS541" i="7"/>
  <c r="AQ541" i="7" s="1"/>
  <c r="AL541" i="7"/>
  <c r="AK541" i="7"/>
  <c r="AJ541" i="7" s="1"/>
  <c r="AD541" i="7"/>
  <c r="AC541" i="7"/>
  <c r="V541" i="7"/>
  <c r="U541" i="7"/>
  <c r="S541" i="7" s="1"/>
  <c r="N541" i="7"/>
  <c r="M541" i="7"/>
  <c r="L541" i="7" s="1"/>
  <c r="F541" i="7"/>
  <c r="E541" i="7"/>
  <c r="AT540" i="7"/>
  <c r="AS540" i="7"/>
  <c r="AQ540" i="7" s="1"/>
  <c r="AL540" i="7"/>
  <c r="AK540" i="7"/>
  <c r="AJ540" i="7" s="1"/>
  <c r="AD540" i="7"/>
  <c r="AC540" i="7"/>
  <c r="V540" i="7"/>
  <c r="U540" i="7"/>
  <c r="S540" i="7" s="1"/>
  <c r="N540" i="7"/>
  <c r="M540" i="7"/>
  <c r="L540" i="7" s="1"/>
  <c r="F540" i="7"/>
  <c r="E540" i="7"/>
  <c r="AT539" i="7"/>
  <c r="AS539" i="7"/>
  <c r="AQ539" i="7" s="1"/>
  <c r="AL539" i="7"/>
  <c r="AK539" i="7"/>
  <c r="AJ539" i="7" s="1"/>
  <c r="AD539" i="7"/>
  <c r="AC539" i="7"/>
  <c r="V539" i="7"/>
  <c r="U539" i="7"/>
  <c r="S539" i="7" s="1"/>
  <c r="N539" i="7"/>
  <c r="M539" i="7"/>
  <c r="L539" i="7" s="1"/>
  <c r="F539" i="7"/>
  <c r="E539" i="7"/>
  <c r="AT538" i="7"/>
  <c r="AS538" i="7"/>
  <c r="AQ538" i="7" s="1"/>
  <c r="AL538" i="7"/>
  <c r="AK538" i="7"/>
  <c r="AJ538" i="7" s="1"/>
  <c r="AD538" i="7"/>
  <c r="AC538" i="7"/>
  <c r="V538" i="7"/>
  <c r="U538" i="7"/>
  <c r="S538" i="7" s="1"/>
  <c r="N538" i="7"/>
  <c r="M538" i="7"/>
  <c r="L538" i="7" s="1"/>
  <c r="F538" i="7"/>
  <c r="E538" i="7"/>
  <c r="AT537" i="7"/>
  <c r="AS537" i="7"/>
  <c r="AQ537" i="7" s="1"/>
  <c r="AL537" i="7"/>
  <c r="AK537" i="7"/>
  <c r="AD537" i="7"/>
  <c r="AC537" i="7"/>
  <c r="V537" i="7"/>
  <c r="U537" i="7"/>
  <c r="S537" i="7" s="1"/>
  <c r="N537" i="7"/>
  <c r="M537" i="7"/>
  <c r="L537" i="7" s="1"/>
  <c r="F537" i="7"/>
  <c r="E537" i="7"/>
  <c r="AT536" i="7"/>
  <c r="AS536" i="7"/>
  <c r="AQ536" i="7" s="1"/>
  <c r="AL536" i="7"/>
  <c r="AK536" i="7"/>
  <c r="AJ536" i="7" s="1"/>
  <c r="AD536" i="7"/>
  <c r="AC536" i="7"/>
  <c r="V536" i="7"/>
  <c r="U536" i="7"/>
  <c r="S536" i="7" s="1"/>
  <c r="N536" i="7"/>
  <c r="M536" i="7"/>
  <c r="L536" i="7" s="1"/>
  <c r="F536" i="7"/>
  <c r="E536" i="7"/>
  <c r="AT535" i="7"/>
  <c r="AS535" i="7"/>
  <c r="AQ535" i="7" s="1"/>
  <c r="AL535" i="7"/>
  <c r="AK535" i="7"/>
  <c r="AJ535" i="7" s="1"/>
  <c r="AD535" i="7"/>
  <c r="AC535" i="7"/>
  <c r="V535" i="7"/>
  <c r="U535" i="7"/>
  <c r="S535" i="7" s="1"/>
  <c r="N535" i="7"/>
  <c r="M535" i="7"/>
  <c r="L535" i="7" s="1"/>
  <c r="F535" i="7"/>
  <c r="E535" i="7"/>
  <c r="AT534" i="7"/>
  <c r="AS534" i="7"/>
  <c r="AQ534" i="7" s="1"/>
  <c r="AL534" i="7"/>
  <c r="AK534" i="7"/>
  <c r="AJ534" i="7" s="1"/>
  <c r="AD534" i="7"/>
  <c r="AC534" i="7"/>
  <c r="V534" i="7"/>
  <c r="U534" i="7"/>
  <c r="S534" i="7" s="1"/>
  <c r="N534" i="7"/>
  <c r="M534" i="7"/>
  <c r="L534" i="7" s="1"/>
  <c r="F534" i="7"/>
  <c r="E534" i="7"/>
  <c r="AT533" i="7"/>
  <c r="AS533" i="7"/>
  <c r="AQ533" i="7" s="1"/>
  <c r="AL533" i="7"/>
  <c r="AK533" i="7"/>
  <c r="AJ533" i="7" s="1"/>
  <c r="AD533" i="7"/>
  <c r="AC533" i="7"/>
  <c r="V533" i="7"/>
  <c r="U533" i="7"/>
  <c r="S533" i="7" s="1"/>
  <c r="N533" i="7"/>
  <c r="M533" i="7"/>
  <c r="L533" i="7" s="1"/>
  <c r="F533" i="7"/>
  <c r="E533" i="7"/>
  <c r="AT532" i="7"/>
  <c r="AS532" i="7"/>
  <c r="AQ532" i="7" s="1"/>
  <c r="AL532" i="7"/>
  <c r="AK532" i="7"/>
  <c r="AJ532" i="7" s="1"/>
  <c r="AD532" i="7"/>
  <c r="AC532" i="7"/>
  <c r="V532" i="7"/>
  <c r="U532" i="7"/>
  <c r="S532" i="7" s="1"/>
  <c r="N532" i="7"/>
  <c r="M532" i="7"/>
  <c r="L532" i="7" s="1"/>
  <c r="F532" i="7"/>
  <c r="E532" i="7"/>
  <c r="AT531" i="7"/>
  <c r="AS531" i="7"/>
  <c r="AQ531" i="7" s="1"/>
  <c r="AL531" i="7"/>
  <c r="AK531" i="7"/>
  <c r="AD531" i="7"/>
  <c r="AC531" i="7"/>
  <c r="V531" i="7"/>
  <c r="U531" i="7"/>
  <c r="S531" i="7" s="1"/>
  <c r="N531" i="7"/>
  <c r="M531" i="7"/>
  <c r="L531" i="7" s="1"/>
  <c r="F531" i="7"/>
  <c r="E531" i="7"/>
  <c r="AT530" i="7"/>
  <c r="AS530" i="7"/>
  <c r="AQ530" i="7" s="1"/>
  <c r="AL530" i="7"/>
  <c r="AK530" i="7"/>
  <c r="AJ530" i="7" s="1"/>
  <c r="AD530" i="7"/>
  <c r="AC530" i="7"/>
  <c r="V530" i="7"/>
  <c r="U530" i="7"/>
  <c r="S530" i="7" s="1"/>
  <c r="N530" i="7"/>
  <c r="M530" i="7"/>
  <c r="L530" i="7" s="1"/>
  <c r="F530" i="7"/>
  <c r="E530" i="7"/>
  <c r="AT529" i="7"/>
  <c r="AS529" i="7"/>
  <c r="AQ529" i="7" s="1"/>
  <c r="AL529" i="7"/>
  <c r="AK529" i="7"/>
  <c r="AJ529" i="7" s="1"/>
  <c r="AD529" i="7"/>
  <c r="AC529" i="7"/>
  <c r="AB529" i="7" s="1"/>
  <c r="V529" i="7"/>
  <c r="U529" i="7"/>
  <c r="S529" i="7" s="1"/>
  <c r="N529" i="7"/>
  <c r="M529" i="7"/>
  <c r="L529" i="7" s="1"/>
  <c r="F529" i="7"/>
  <c r="E529" i="7"/>
  <c r="AT528" i="7"/>
  <c r="AS528" i="7"/>
  <c r="AQ528" i="7" s="1"/>
  <c r="AL528" i="7"/>
  <c r="AK528" i="7"/>
  <c r="AJ528" i="7" s="1"/>
  <c r="AD528" i="7"/>
  <c r="AC528" i="7"/>
  <c r="AB528" i="7" s="1"/>
  <c r="V528" i="7"/>
  <c r="U528" i="7"/>
  <c r="S528" i="7" s="1"/>
  <c r="N528" i="7"/>
  <c r="M528" i="7"/>
  <c r="F528" i="7"/>
  <c r="E528" i="7"/>
  <c r="AT527" i="7"/>
  <c r="AS527" i="7"/>
  <c r="AQ527" i="7" s="1"/>
  <c r="AL527" i="7"/>
  <c r="AK527" i="7"/>
  <c r="AD527" i="7"/>
  <c r="AC527" i="7"/>
  <c r="AB527" i="7" s="1"/>
  <c r="V527" i="7"/>
  <c r="U527" i="7"/>
  <c r="N527" i="7"/>
  <c r="M527" i="7"/>
  <c r="L527" i="7" s="1"/>
  <c r="F527" i="7"/>
  <c r="E527" i="7"/>
  <c r="AT526" i="7"/>
  <c r="AS526" i="7"/>
  <c r="AQ526" i="7" s="1"/>
  <c r="AL526" i="7"/>
  <c r="AK526" i="7"/>
  <c r="AI526" i="7" s="1"/>
  <c r="AD526" i="7"/>
  <c r="AC526" i="7"/>
  <c r="AB526" i="7" s="1"/>
  <c r="V526" i="7"/>
  <c r="U526" i="7"/>
  <c r="S526" i="7" s="1"/>
  <c r="N526" i="7"/>
  <c r="M526" i="7"/>
  <c r="L526" i="7" s="1"/>
  <c r="F526" i="7"/>
  <c r="E526" i="7"/>
  <c r="AT525" i="7"/>
  <c r="AS525" i="7"/>
  <c r="AQ525" i="7" s="1"/>
  <c r="AL525" i="7"/>
  <c r="AK525" i="7"/>
  <c r="AI525" i="7" s="1"/>
  <c r="AD525" i="7"/>
  <c r="AC525" i="7"/>
  <c r="AB525" i="7" s="1"/>
  <c r="V525" i="7"/>
  <c r="U525" i="7"/>
  <c r="N525" i="7"/>
  <c r="M525" i="7"/>
  <c r="K525" i="7" s="1"/>
  <c r="F525" i="7"/>
  <c r="E525" i="7"/>
  <c r="AT524" i="7"/>
  <c r="AS524" i="7"/>
  <c r="AQ524" i="7" s="1"/>
  <c r="AL524" i="7"/>
  <c r="AK524" i="7"/>
  <c r="AD524" i="7"/>
  <c r="AC524" i="7"/>
  <c r="AB524" i="7" s="1"/>
  <c r="V524" i="7"/>
  <c r="U524" i="7"/>
  <c r="N524" i="7"/>
  <c r="M524" i="7"/>
  <c r="L524" i="7" s="1"/>
  <c r="F524" i="7"/>
  <c r="E524" i="7"/>
  <c r="AT523" i="7"/>
  <c r="AS523" i="7"/>
  <c r="AQ523" i="7" s="1"/>
  <c r="AL523" i="7"/>
  <c r="AK523" i="7"/>
  <c r="AD523" i="7"/>
  <c r="AC523" i="7"/>
  <c r="AB523" i="7" s="1"/>
  <c r="V523" i="7"/>
  <c r="U523" i="7"/>
  <c r="N523" i="7"/>
  <c r="M523" i="7"/>
  <c r="K523" i="7" s="1"/>
  <c r="F523" i="7"/>
  <c r="E523" i="7"/>
  <c r="AT522" i="7"/>
  <c r="AS522" i="7"/>
  <c r="AQ522" i="7" s="1"/>
  <c r="AL522" i="7"/>
  <c r="AK522" i="7"/>
  <c r="AD522" i="7"/>
  <c r="AC522" i="7"/>
  <c r="AB522" i="7" s="1"/>
  <c r="V522" i="7"/>
  <c r="U522" i="7"/>
  <c r="S522" i="7" s="1"/>
  <c r="N522" i="7"/>
  <c r="M522" i="7"/>
  <c r="L522" i="7" s="1"/>
  <c r="F522" i="7"/>
  <c r="E522" i="7"/>
  <c r="AT521" i="7"/>
  <c r="AS521" i="7"/>
  <c r="AQ521" i="7" s="1"/>
  <c r="AL521" i="7"/>
  <c r="AK521" i="7"/>
  <c r="AJ521" i="7" s="1"/>
  <c r="AD521" i="7"/>
  <c r="AC521" i="7"/>
  <c r="AB521" i="7" s="1"/>
  <c r="V521" i="7"/>
  <c r="U521" i="7"/>
  <c r="S521" i="7" s="1"/>
  <c r="N521" i="7"/>
  <c r="M521" i="7"/>
  <c r="K521" i="7" s="1"/>
  <c r="F521" i="7"/>
  <c r="E521" i="7"/>
  <c r="AT520" i="7"/>
  <c r="AS520" i="7"/>
  <c r="AQ520" i="7" s="1"/>
  <c r="AL520" i="7"/>
  <c r="AK520" i="7"/>
  <c r="AJ520" i="7" s="1"/>
  <c r="AD520" i="7"/>
  <c r="AC520" i="7"/>
  <c r="AB520" i="7" s="1"/>
  <c r="V520" i="7"/>
  <c r="U520" i="7"/>
  <c r="S520" i="7" s="1"/>
  <c r="N520" i="7"/>
  <c r="M520" i="7"/>
  <c r="L520" i="7" s="1"/>
  <c r="F520" i="7"/>
  <c r="E520" i="7"/>
  <c r="AT519" i="7"/>
  <c r="AS519" i="7"/>
  <c r="AQ519" i="7" s="1"/>
  <c r="AL519" i="7"/>
  <c r="AK519" i="7"/>
  <c r="AJ519" i="7" s="1"/>
  <c r="AD519" i="7"/>
  <c r="AC519" i="7"/>
  <c r="AB519" i="7" s="1"/>
  <c r="V519" i="7"/>
  <c r="U519" i="7"/>
  <c r="S519" i="7" s="1"/>
  <c r="N519" i="7"/>
  <c r="M519" i="7"/>
  <c r="F519" i="7"/>
  <c r="E519" i="7"/>
  <c r="AT518" i="7"/>
  <c r="AS518" i="7"/>
  <c r="AL518" i="7"/>
  <c r="AK518" i="7"/>
  <c r="AJ518" i="7" s="1"/>
  <c r="AD518" i="7"/>
  <c r="AC518" i="7"/>
  <c r="AB518" i="7" s="1"/>
  <c r="V518" i="7"/>
  <c r="U518" i="7"/>
  <c r="S518" i="7" s="1"/>
  <c r="N518" i="7"/>
  <c r="M518" i="7"/>
  <c r="F518" i="7"/>
  <c r="E518" i="7"/>
  <c r="AT517" i="7"/>
  <c r="AS517" i="7"/>
  <c r="AQ517" i="7" s="1"/>
  <c r="AL517" i="7"/>
  <c r="AK517" i="7"/>
  <c r="AD517" i="7"/>
  <c r="AC517" i="7"/>
  <c r="AB517" i="7" s="1"/>
  <c r="V517" i="7"/>
  <c r="U517" i="7"/>
  <c r="S517" i="7" s="1"/>
  <c r="N517" i="7"/>
  <c r="M517" i="7"/>
  <c r="L517" i="7" s="1"/>
  <c r="K517" i="7"/>
  <c r="F517" i="7"/>
  <c r="E517" i="7"/>
  <c r="AT516" i="7"/>
  <c r="AS516" i="7"/>
  <c r="AL516" i="7"/>
  <c r="AK516" i="7"/>
  <c r="AJ516" i="7" s="1"/>
  <c r="AD516" i="7"/>
  <c r="AC516" i="7"/>
  <c r="V516" i="7"/>
  <c r="U516" i="7"/>
  <c r="S516" i="7" s="1"/>
  <c r="N516" i="7"/>
  <c r="M516" i="7"/>
  <c r="F516" i="7"/>
  <c r="E516" i="7"/>
  <c r="AT515" i="7"/>
  <c r="AS515" i="7"/>
  <c r="AL515" i="7"/>
  <c r="AK515" i="7"/>
  <c r="AJ515" i="7" s="1"/>
  <c r="AD515" i="7"/>
  <c r="AC515" i="7"/>
  <c r="AB515" i="7" s="1"/>
  <c r="V515" i="7"/>
  <c r="U515" i="7"/>
  <c r="S515" i="7" s="1"/>
  <c r="N515" i="7"/>
  <c r="M515" i="7"/>
  <c r="L515" i="7" s="1"/>
  <c r="F515" i="7"/>
  <c r="E515" i="7"/>
  <c r="AT514" i="7"/>
  <c r="AS514" i="7"/>
  <c r="AQ514" i="7" s="1"/>
  <c r="AL514" i="7"/>
  <c r="AK514" i="7"/>
  <c r="AJ514" i="7" s="1"/>
  <c r="AD514" i="7"/>
  <c r="AC514" i="7"/>
  <c r="AB514" i="7" s="1"/>
  <c r="V514" i="7"/>
  <c r="U514" i="7"/>
  <c r="S514" i="7" s="1"/>
  <c r="N514" i="7"/>
  <c r="M514" i="7"/>
  <c r="F514" i="7"/>
  <c r="E514" i="7"/>
  <c r="AT513" i="7"/>
  <c r="AS513" i="7"/>
  <c r="AL513" i="7"/>
  <c r="AK513" i="7"/>
  <c r="AI513" i="7" s="1"/>
  <c r="AD513" i="7"/>
  <c r="AC513" i="7"/>
  <c r="AB513" i="7" s="1"/>
  <c r="V513" i="7"/>
  <c r="U513" i="7"/>
  <c r="S513" i="7" s="1"/>
  <c r="N513" i="7"/>
  <c r="M513" i="7"/>
  <c r="L513" i="7" s="1"/>
  <c r="F513" i="7"/>
  <c r="E513" i="7"/>
  <c r="AT512" i="7"/>
  <c r="AS512" i="7"/>
  <c r="AQ512" i="7" s="1"/>
  <c r="AL512" i="7"/>
  <c r="AK512" i="7"/>
  <c r="AJ512" i="7" s="1"/>
  <c r="AD512" i="7"/>
  <c r="AC512" i="7"/>
  <c r="AB512" i="7" s="1"/>
  <c r="V512" i="7"/>
  <c r="U512" i="7"/>
  <c r="S512" i="7" s="1"/>
  <c r="N512" i="7"/>
  <c r="M512" i="7"/>
  <c r="L512" i="7" s="1"/>
  <c r="F512" i="7"/>
  <c r="E512" i="7"/>
  <c r="AT511" i="7"/>
  <c r="AS511" i="7"/>
  <c r="AQ511" i="7" s="1"/>
  <c r="AL511" i="7"/>
  <c r="AK511" i="7"/>
  <c r="AJ511" i="7" s="1"/>
  <c r="AD511" i="7"/>
  <c r="AC511" i="7"/>
  <c r="AB511" i="7" s="1"/>
  <c r="V511" i="7"/>
  <c r="U511" i="7"/>
  <c r="S511" i="7" s="1"/>
  <c r="N511" i="7"/>
  <c r="M511" i="7"/>
  <c r="L511" i="7" s="1"/>
  <c r="F511" i="7"/>
  <c r="E511" i="7"/>
  <c r="AT510" i="7"/>
  <c r="AS510" i="7"/>
  <c r="AQ510" i="7" s="1"/>
  <c r="AL510" i="7"/>
  <c r="AK510" i="7"/>
  <c r="AJ510" i="7" s="1"/>
  <c r="AD510" i="7"/>
  <c r="AC510" i="7"/>
  <c r="AB510" i="7" s="1"/>
  <c r="V510" i="7"/>
  <c r="U510" i="7"/>
  <c r="S510" i="7" s="1"/>
  <c r="N510" i="7"/>
  <c r="M510" i="7"/>
  <c r="L510" i="7" s="1"/>
  <c r="F510" i="7"/>
  <c r="E510" i="7"/>
  <c r="AT509" i="7"/>
  <c r="AS509" i="7"/>
  <c r="AQ509" i="7" s="1"/>
  <c r="AL509" i="7"/>
  <c r="AK509" i="7"/>
  <c r="AJ509" i="7" s="1"/>
  <c r="AD509" i="7"/>
  <c r="AC509" i="7"/>
  <c r="AB509" i="7" s="1"/>
  <c r="V509" i="7"/>
  <c r="U509" i="7"/>
  <c r="N509" i="7"/>
  <c r="M509" i="7"/>
  <c r="K509" i="7" s="1"/>
  <c r="F509" i="7"/>
  <c r="E509" i="7"/>
  <c r="AT508" i="7"/>
  <c r="AS508" i="7"/>
  <c r="AQ508" i="7" s="1"/>
  <c r="AL508" i="7"/>
  <c r="AK508" i="7"/>
  <c r="AD508" i="7"/>
  <c r="AC508" i="7"/>
  <c r="AB508" i="7" s="1"/>
  <c r="V508" i="7"/>
  <c r="U508" i="7"/>
  <c r="N508" i="7"/>
  <c r="M508" i="7"/>
  <c r="L508" i="7" s="1"/>
  <c r="F508" i="7"/>
  <c r="E508" i="7"/>
  <c r="AT507" i="7"/>
  <c r="AS507" i="7"/>
  <c r="AQ507" i="7" s="1"/>
  <c r="AL507" i="7"/>
  <c r="AK507" i="7"/>
  <c r="AD507" i="7"/>
  <c r="AC507" i="7"/>
  <c r="AB507" i="7" s="1"/>
  <c r="V507" i="7"/>
  <c r="U507" i="7"/>
  <c r="N507" i="7"/>
  <c r="M507" i="7"/>
  <c r="K507" i="7" s="1"/>
  <c r="F507" i="7"/>
  <c r="E507" i="7"/>
  <c r="AT506" i="7"/>
  <c r="AS506" i="7"/>
  <c r="AL506" i="7"/>
  <c r="AK506" i="7"/>
  <c r="AD506" i="7"/>
  <c r="AC506" i="7"/>
  <c r="AB506" i="7" s="1"/>
  <c r="V506" i="7"/>
  <c r="U506" i="7"/>
  <c r="N506" i="7"/>
  <c r="M506" i="7"/>
  <c r="L506" i="7" s="1"/>
  <c r="K506" i="7"/>
  <c r="J506" i="7" s="1"/>
  <c r="F506" i="7"/>
  <c r="E506" i="7"/>
  <c r="AT505" i="7"/>
  <c r="AS505" i="7"/>
  <c r="AQ505" i="7" s="1"/>
  <c r="AL505" i="7"/>
  <c r="AK505" i="7"/>
  <c r="AD505" i="7"/>
  <c r="AC505" i="7"/>
  <c r="AB505" i="7" s="1"/>
  <c r="V505" i="7"/>
  <c r="U505" i="7"/>
  <c r="N505" i="7"/>
  <c r="M505" i="7"/>
  <c r="F505" i="7"/>
  <c r="E505" i="7"/>
  <c r="AT504" i="7"/>
  <c r="AS504" i="7"/>
  <c r="AQ504" i="7" s="1"/>
  <c r="AL504" i="7"/>
  <c r="AK504" i="7"/>
  <c r="AD504" i="7"/>
  <c r="AC504" i="7"/>
  <c r="AB504" i="7" s="1"/>
  <c r="V504" i="7"/>
  <c r="U504" i="7"/>
  <c r="S504" i="7" s="1"/>
  <c r="N504" i="7"/>
  <c r="M504" i="7"/>
  <c r="L504" i="7" s="1"/>
  <c r="F504" i="7"/>
  <c r="E504" i="7"/>
  <c r="AT503" i="7"/>
  <c r="AS503" i="7"/>
  <c r="AQ503" i="7" s="1"/>
  <c r="AL503" i="7"/>
  <c r="AK503" i="7"/>
  <c r="AJ503" i="7" s="1"/>
  <c r="AD503" i="7"/>
  <c r="AC503" i="7"/>
  <c r="AB503" i="7" s="1"/>
  <c r="V503" i="7"/>
  <c r="U503" i="7"/>
  <c r="S503" i="7" s="1"/>
  <c r="N503" i="7"/>
  <c r="M503" i="7"/>
  <c r="L503" i="7" s="1"/>
  <c r="F503" i="7"/>
  <c r="E503" i="7"/>
  <c r="AT502" i="7"/>
  <c r="AS502" i="7"/>
  <c r="AQ502" i="7" s="1"/>
  <c r="AL502" i="7"/>
  <c r="AK502" i="7"/>
  <c r="AJ502" i="7" s="1"/>
  <c r="AD502" i="7"/>
  <c r="AC502" i="7"/>
  <c r="AB502" i="7" s="1"/>
  <c r="V502" i="7"/>
  <c r="U502" i="7"/>
  <c r="S502" i="7" s="1"/>
  <c r="N502" i="7"/>
  <c r="M502" i="7"/>
  <c r="L502" i="7" s="1"/>
  <c r="F502" i="7"/>
  <c r="E502" i="7"/>
  <c r="AT501" i="7"/>
  <c r="AS501" i="7"/>
  <c r="AQ501" i="7" s="1"/>
  <c r="AL501" i="7"/>
  <c r="AK501" i="7"/>
  <c r="AJ501" i="7" s="1"/>
  <c r="AD501" i="7"/>
  <c r="AC501" i="7"/>
  <c r="AB501" i="7" s="1"/>
  <c r="V501" i="7"/>
  <c r="U501" i="7"/>
  <c r="S501" i="7" s="1"/>
  <c r="N501" i="7"/>
  <c r="M501" i="7"/>
  <c r="L501" i="7" s="1"/>
  <c r="F501" i="7"/>
  <c r="E501" i="7"/>
  <c r="AT500" i="7"/>
  <c r="AS500" i="7"/>
  <c r="AQ500" i="7" s="1"/>
  <c r="AL500" i="7"/>
  <c r="AK500" i="7"/>
  <c r="AJ500" i="7" s="1"/>
  <c r="AD500" i="7"/>
  <c r="AC500" i="7"/>
  <c r="AB500" i="7" s="1"/>
  <c r="V500" i="7"/>
  <c r="U500" i="7"/>
  <c r="S500" i="7" s="1"/>
  <c r="N500" i="7"/>
  <c r="M500" i="7"/>
  <c r="F500" i="7"/>
  <c r="E500" i="7"/>
  <c r="AT499" i="7"/>
  <c r="AS499" i="7"/>
  <c r="AQ499" i="7" s="1"/>
  <c r="AL499" i="7"/>
  <c r="AK499" i="7"/>
  <c r="AD499" i="7"/>
  <c r="AC499" i="7"/>
  <c r="AB499" i="7" s="1"/>
  <c r="V499" i="7"/>
  <c r="U499" i="7"/>
  <c r="S499" i="7" s="1"/>
  <c r="N499" i="7"/>
  <c r="M499" i="7"/>
  <c r="L499" i="7" s="1"/>
  <c r="F499" i="7"/>
  <c r="E499" i="7"/>
  <c r="AT498" i="7"/>
  <c r="AS498" i="7"/>
  <c r="AQ498" i="7" s="1"/>
  <c r="AL498" i="7"/>
  <c r="AK498" i="7"/>
  <c r="AJ498" i="7" s="1"/>
  <c r="AD498" i="7"/>
  <c r="AC498" i="7"/>
  <c r="AB498" i="7" s="1"/>
  <c r="V498" i="7"/>
  <c r="U498" i="7"/>
  <c r="S498" i="7" s="1"/>
  <c r="N498" i="7"/>
  <c r="M498" i="7"/>
  <c r="K498" i="7" s="1"/>
  <c r="F498" i="7"/>
  <c r="E498" i="7"/>
  <c r="AT497" i="7"/>
  <c r="AS497" i="7"/>
  <c r="AQ497" i="7" s="1"/>
  <c r="AL497" i="7"/>
  <c r="AK497" i="7"/>
  <c r="AJ497" i="7" s="1"/>
  <c r="AD497" i="7"/>
  <c r="AC497" i="7"/>
  <c r="AB497" i="7" s="1"/>
  <c r="V497" i="7"/>
  <c r="U497" i="7"/>
  <c r="S497" i="7" s="1"/>
  <c r="N497" i="7"/>
  <c r="M497" i="7"/>
  <c r="F497" i="7"/>
  <c r="E497" i="7"/>
  <c r="AT496" i="7"/>
  <c r="AS496" i="7"/>
  <c r="AQ496" i="7" s="1"/>
  <c r="AL496" i="7"/>
  <c r="AK496" i="7"/>
  <c r="AI496" i="7" s="1"/>
  <c r="AD496" i="7"/>
  <c r="AC496" i="7"/>
  <c r="AB496" i="7" s="1"/>
  <c r="V496" i="7"/>
  <c r="U496" i="7"/>
  <c r="S496" i="7" s="1"/>
  <c r="T496" i="7"/>
  <c r="N496" i="7"/>
  <c r="M496" i="7"/>
  <c r="K496" i="7" s="1"/>
  <c r="F496" i="7"/>
  <c r="E496" i="7"/>
  <c r="AT495" i="7"/>
  <c r="AS495" i="7"/>
  <c r="AL495" i="7"/>
  <c r="AK495" i="7"/>
  <c r="AJ495" i="7" s="1"/>
  <c r="AD495" i="7"/>
  <c r="AC495" i="7"/>
  <c r="V495" i="7"/>
  <c r="U495" i="7"/>
  <c r="S495" i="7" s="1"/>
  <c r="N495" i="7"/>
  <c r="M495" i="7"/>
  <c r="K495" i="7" s="1"/>
  <c r="F495" i="7"/>
  <c r="E495" i="7"/>
  <c r="D495" i="7" s="1"/>
  <c r="AT494" i="7"/>
  <c r="AS494" i="7"/>
  <c r="AQ494" i="7" s="1"/>
  <c r="AL494" i="7"/>
  <c r="AK494" i="7"/>
  <c r="AJ494" i="7" s="1"/>
  <c r="AD494" i="7"/>
  <c r="AC494" i="7"/>
  <c r="V494" i="7"/>
  <c r="U494" i="7"/>
  <c r="S494" i="7" s="1"/>
  <c r="N494" i="7"/>
  <c r="M494" i="7"/>
  <c r="K494" i="7" s="1"/>
  <c r="F494" i="7"/>
  <c r="E494" i="7"/>
  <c r="D494" i="7" s="1"/>
  <c r="AT493" i="7"/>
  <c r="AS493" i="7"/>
  <c r="AQ493" i="7" s="1"/>
  <c r="AL493" i="7"/>
  <c r="AK493" i="7"/>
  <c r="AD493" i="7"/>
  <c r="AC493" i="7"/>
  <c r="V493" i="7"/>
  <c r="U493" i="7"/>
  <c r="S493" i="7" s="1"/>
  <c r="N493" i="7"/>
  <c r="M493" i="7"/>
  <c r="K493" i="7" s="1"/>
  <c r="F493" i="7"/>
  <c r="E493" i="7"/>
  <c r="D493" i="7" s="1"/>
  <c r="AT492" i="7"/>
  <c r="AS492" i="7"/>
  <c r="AQ492" i="7" s="1"/>
  <c r="AL492" i="7"/>
  <c r="AK492" i="7"/>
  <c r="AI492" i="7" s="1"/>
  <c r="AD492" i="7"/>
  <c r="AC492" i="7"/>
  <c r="V492" i="7"/>
  <c r="U492" i="7"/>
  <c r="S492" i="7" s="1"/>
  <c r="N492" i="7"/>
  <c r="M492" i="7"/>
  <c r="K492" i="7" s="1"/>
  <c r="F492" i="7"/>
  <c r="E492" i="7"/>
  <c r="D492" i="7" s="1"/>
  <c r="AT491" i="7"/>
  <c r="AS491" i="7"/>
  <c r="AQ491" i="7" s="1"/>
  <c r="AL491" i="7"/>
  <c r="AK491" i="7"/>
  <c r="AI491" i="7" s="1"/>
  <c r="AD491" i="7"/>
  <c r="AC491" i="7"/>
  <c r="V491" i="7"/>
  <c r="U491" i="7"/>
  <c r="S491" i="7" s="1"/>
  <c r="N491" i="7"/>
  <c r="M491" i="7"/>
  <c r="K491" i="7" s="1"/>
  <c r="F491" i="7"/>
  <c r="E491" i="7"/>
  <c r="D491" i="7" s="1"/>
  <c r="AT490" i="7"/>
  <c r="AS490" i="7"/>
  <c r="AQ490" i="7" s="1"/>
  <c r="AL490" i="7"/>
  <c r="AK490" i="7"/>
  <c r="AI490" i="7" s="1"/>
  <c r="AD490" i="7"/>
  <c r="AC490" i="7"/>
  <c r="V490" i="7"/>
  <c r="U490" i="7"/>
  <c r="S490" i="7" s="1"/>
  <c r="N490" i="7"/>
  <c r="M490" i="7"/>
  <c r="F490" i="7"/>
  <c r="E490" i="7"/>
  <c r="D490" i="7" s="1"/>
  <c r="AT489" i="7"/>
  <c r="AS489" i="7"/>
  <c r="AQ489" i="7" s="1"/>
  <c r="AL489" i="7"/>
  <c r="AK489" i="7"/>
  <c r="AI489" i="7" s="1"/>
  <c r="AD489" i="7"/>
  <c r="AC489" i="7"/>
  <c r="V489" i="7"/>
  <c r="U489" i="7"/>
  <c r="S489" i="7" s="1"/>
  <c r="N489" i="7"/>
  <c r="M489" i="7"/>
  <c r="K489" i="7" s="1"/>
  <c r="F489" i="7"/>
  <c r="E489" i="7"/>
  <c r="D489" i="7" s="1"/>
  <c r="AT488" i="7"/>
  <c r="AS488" i="7"/>
  <c r="AQ488" i="7" s="1"/>
  <c r="AL488" i="7"/>
  <c r="AK488" i="7"/>
  <c r="AJ488" i="7" s="1"/>
  <c r="AD488" i="7"/>
  <c r="AC488" i="7"/>
  <c r="V488" i="7"/>
  <c r="U488" i="7"/>
  <c r="S488" i="7" s="1"/>
  <c r="N488" i="7"/>
  <c r="M488" i="7"/>
  <c r="K488" i="7" s="1"/>
  <c r="F488" i="7"/>
  <c r="E488" i="7"/>
  <c r="D488" i="7" s="1"/>
  <c r="AT487" i="7"/>
  <c r="AS487" i="7"/>
  <c r="AQ487" i="7" s="1"/>
  <c r="AL487" i="7"/>
  <c r="AK487" i="7"/>
  <c r="AD487" i="7"/>
  <c r="AC487" i="7"/>
  <c r="V487" i="7"/>
  <c r="U487" i="7"/>
  <c r="S487" i="7" s="1"/>
  <c r="N487" i="7"/>
  <c r="M487" i="7"/>
  <c r="K487" i="7" s="1"/>
  <c r="F487" i="7"/>
  <c r="E487" i="7"/>
  <c r="AT486" i="7"/>
  <c r="AS486" i="7"/>
  <c r="AQ486" i="7" s="1"/>
  <c r="AL486" i="7"/>
  <c r="AK486" i="7"/>
  <c r="AJ486" i="7" s="1"/>
  <c r="AD486" i="7"/>
  <c r="AC486" i="7"/>
  <c r="V486" i="7"/>
  <c r="U486" i="7"/>
  <c r="S486" i="7" s="1"/>
  <c r="N486" i="7"/>
  <c r="M486" i="7"/>
  <c r="K486" i="7" s="1"/>
  <c r="F486" i="7"/>
  <c r="E486" i="7"/>
  <c r="D486" i="7" s="1"/>
  <c r="AT485" i="7"/>
  <c r="AS485" i="7"/>
  <c r="AQ485" i="7" s="1"/>
  <c r="AL485" i="7"/>
  <c r="AK485" i="7"/>
  <c r="AI485" i="7" s="1"/>
  <c r="AD485" i="7"/>
  <c r="AC485" i="7"/>
  <c r="AB485" i="7" s="1"/>
  <c r="V485" i="7"/>
  <c r="U485" i="7"/>
  <c r="S485" i="7" s="1"/>
  <c r="N485" i="7"/>
  <c r="M485" i="7"/>
  <c r="K485" i="7" s="1"/>
  <c r="F485" i="7"/>
  <c r="E485" i="7"/>
  <c r="D485" i="7" s="1"/>
  <c r="AT484" i="7"/>
  <c r="AS484" i="7"/>
  <c r="AQ484" i="7" s="1"/>
  <c r="AL484" i="7"/>
  <c r="AK484" i="7"/>
  <c r="AI484" i="7" s="1"/>
  <c r="AD484" i="7"/>
  <c r="AC484" i="7"/>
  <c r="AB484" i="7" s="1"/>
  <c r="V484" i="7"/>
  <c r="U484" i="7"/>
  <c r="S484" i="7" s="1"/>
  <c r="N484" i="7"/>
  <c r="M484" i="7"/>
  <c r="F484" i="7"/>
  <c r="E484" i="7"/>
  <c r="D484" i="7" s="1"/>
  <c r="AT483" i="7"/>
  <c r="AS483" i="7"/>
  <c r="AQ483" i="7" s="1"/>
  <c r="AL483" i="7"/>
  <c r="AK483" i="7"/>
  <c r="AI483" i="7" s="1"/>
  <c r="AD483" i="7"/>
  <c r="AC483" i="7"/>
  <c r="AB483" i="7" s="1"/>
  <c r="V483" i="7"/>
  <c r="U483" i="7"/>
  <c r="S483" i="7" s="1"/>
  <c r="N483" i="7"/>
  <c r="M483" i="7"/>
  <c r="K483" i="7" s="1"/>
  <c r="F483" i="7"/>
  <c r="E483" i="7"/>
  <c r="D483" i="7" s="1"/>
  <c r="AT482" i="7"/>
  <c r="AS482" i="7"/>
  <c r="AQ482" i="7" s="1"/>
  <c r="AL482" i="7"/>
  <c r="AK482" i="7"/>
  <c r="AI482" i="7" s="1"/>
  <c r="AD482" i="7"/>
  <c r="AC482" i="7"/>
  <c r="AB482" i="7" s="1"/>
  <c r="V482" i="7"/>
  <c r="U482" i="7"/>
  <c r="S482" i="7" s="1"/>
  <c r="N482" i="7"/>
  <c r="M482" i="7"/>
  <c r="K482" i="7" s="1"/>
  <c r="F482" i="7"/>
  <c r="E482" i="7"/>
  <c r="D482" i="7" s="1"/>
  <c r="AT481" i="7"/>
  <c r="AS481" i="7"/>
  <c r="AQ481" i="7" s="1"/>
  <c r="AL481" i="7"/>
  <c r="AK481" i="7"/>
  <c r="AI481" i="7" s="1"/>
  <c r="AD481" i="7"/>
  <c r="AC481" i="7"/>
  <c r="AB481" i="7" s="1"/>
  <c r="V481" i="7"/>
  <c r="U481" i="7"/>
  <c r="S481" i="7" s="1"/>
  <c r="N481" i="7"/>
  <c r="M481" i="7"/>
  <c r="F481" i="7"/>
  <c r="E481" i="7"/>
  <c r="D481" i="7" s="1"/>
  <c r="AT480" i="7"/>
  <c r="AS480" i="7"/>
  <c r="AQ480" i="7" s="1"/>
  <c r="AL480" i="7"/>
  <c r="AK480" i="7"/>
  <c r="AI480" i="7" s="1"/>
  <c r="AD480" i="7"/>
  <c r="AC480" i="7"/>
  <c r="AB480" i="7" s="1"/>
  <c r="V480" i="7"/>
  <c r="U480" i="7"/>
  <c r="S480" i="7" s="1"/>
  <c r="N480" i="7"/>
  <c r="M480" i="7"/>
  <c r="K480" i="7" s="1"/>
  <c r="F480" i="7"/>
  <c r="E480" i="7"/>
  <c r="D480" i="7" s="1"/>
  <c r="AT479" i="7"/>
  <c r="AS479" i="7"/>
  <c r="AQ479" i="7" s="1"/>
  <c r="AL479" i="7"/>
  <c r="AK479" i="7"/>
  <c r="AI479" i="7" s="1"/>
  <c r="AD479" i="7"/>
  <c r="AC479" i="7"/>
  <c r="AB479" i="7" s="1"/>
  <c r="V479" i="7"/>
  <c r="U479" i="7"/>
  <c r="S479" i="7" s="1"/>
  <c r="N479" i="7"/>
  <c r="M479" i="7"/>
  <c r="K479" i="7" s="1"/>
  <c r="F479" i="7"/>
  <c r="E479" i="7"/>
  <c r="D479" i="7" s="1"/>
  <c r="AT478" i="7"/>
  <c r="AS478" i="7"/>
  <c r="AQ478" i="7" s="1"/>
  <c r="AL478" i="7"/>
  <c r="AK478" i="7"/>
  <c r="AI478" i="7" s="1"/>
  <c r="AD478" i="7"/>
  <c r="AC478" i="7"/>
  <c r="AB478" i="7" s="1"/>
  <c r="V478" i="7"/>
  <c r="U478" i="7"/>
  <c r="S478" i="7" s="1"/>
  <c r="N478" i="7"/>
  <c r="M478" i="7"/>
  <c r="F478" i="7"/>
  <c r="E478" i="7"/>
  <c r="D478" i="7" s="1"/>
  <c r="AT477" i="7"/>
  <c r="AS477" i="7"/>
  <c r="AQ477" i="7" s="1"/>
  <c r="AL477" i="7"/>
  <c r="AK477" i="7"/>
  <c r="AI477" i="7" s="1"/>
  <c r="AD477" i="7"/>
  <c r="AC477" i="7"/>
  <c r="AB477" i="7" s="1"/>
  <c r="V477" i="7"/>
  <c r="U477" i="7"/>
  <c r="S477" i="7" s="1"/>
  <c r="N477" i="7"/>
  <c r="M477" i="7"/>
  <c r="K477" i="7" s="1"/>
  <c r="F477" i="7"/>
  <c r="E477" i="7"/>
  <c r="D477" i="7" s="1"/>
  <c r="AT476" i="7"/>
  <c r="AS476" i="7"/>
  <c r="AQ476" i="7" s="1"/>
  <c r="AL476" i="7"/>
  <c r="AK476" i="7"/>
  <c r="AI476" i="7" s="1"/>
  <c r="AD476" i="7"/>
  <c r="AC476" i="7"/>
  <c r="AB476" i="7" s="1"/>
  <c r="V476" i="7"/>
  <c r="U476" i="7"/>
  <c r="S476" i="7" s="1"/>
  <c r="N476" i="7"/>
  <c r="M476" i="7"/>
  <c r="K476" i="7" s="1"/>
  <c r="F476" i="7"/>
  <c r="E476" i="7"/>
  <c r="D476" i="7" s="1"/>
  <c r="AT475" i="7"/>
  <c r="AS475" i="7"/>
  <c r="AQ475" i="7" s="1"/>
  <c r="AL475" i="7"/>
  <c r="AK475" i="7"/>
  <c r="AI475" i="7" s="1"/>
  <c r="AD475" i="7"/>
  <c r="AC475" i="7"/>
  <c r="AB475" i="7" s="1"/>
  <c r="V475" i="7"/>
  <c r="U475" i="7"/>
  <c r="S475" i="7" s="1"/>
  <c r="N475" i="7"/>
  <c r="M475" i="7"/>
  <c r="F475" i="7"/>
  <c r="E475" i="7"/>
  <c r="D475" i="7" s="1"/>
  <c r="AT474" i="7"/>
  <c r="AS474" i="7"/>
  <c r="AQ474" i="7" s="1"/>
  <c r="AL474" i="7"/>
  <c r="AK474" i="7"/>
  <c r="AI474" i="7" s="1"/>
  <c r="AD474" i="7"/>
  <c r="AC474" i="7"/>
  <c r="AB474" i="7" s="1"/>
  <c r="V474" i="7"/>
  <c r="U474" i="7"/>
  <c r="S474" i="7" s="1"/>
  <c r="N474" i="7"/>
  <c r="M474" i="7"/>
  <c r="K474" i="7" s="1"/>
  <c r="L474" i="7"/>
  <c r="F474" i="7"/>
  <c r="E474" i="7"/>
  <c r="D474" i="7" s="1"/>
  <c r="AT473" i="7"/>
  <c r="AS473" i="7"/>
  <c r="AQ473" i="7" s="1"/>
  <c r="AL473" i="7"/>
  <c r="AK473" i="7"/>
  <c r="AI473" i="7" s="1"/>
  <c r="AD473" i="7"/>
  <c r="AC473" i="7"/>
  <c r="AB473" i="7" s="1"/>
  <c r="V473" i="7"/>
  <c r="U473" i="7"/>
  <c r="S473" i="7" s="1"/>
  <c r="N473" i="7"/>
  <c r="M473" i="7"/>
  <c r="K473" i="7" s="1"/>
  <c r="F473" i="7"/>
  <c r="E473" i="7"/>
  <c r="D473" i="7" s="1"/>
  <c r="AT472" i="7"/>
  <c r="AS472" i="7"/>
  <c r="AQ472" i="7" s="1"/>
  <c r="AL472" i="7"/>
  <c r="AK472" i="7"/>
  <c r="AI472" i="7" s="1"/>
  <c r="AD472" i="7"/>
  <c r="AC472" i="7"/>
  <c r="AB472" i="7" s="1"/>
  <c r="V472" i="7"/>
  <c r="U472" i="7"/>
  <c r="S472" i="7" s="1"/>
  <c r="N472" i="7"/>
  <c r="M472" i="7"/>
  <c r="F472" i="7"/>
  <c r="E472" i="7"/>
  <c r="D472" i="7" s="1"/>
  <c r="AT471" i="7"/>
  <c r="AS471" i="7"/>
  <c r="AQ471" i="7" s="1"/>
  <c r="AL471" i="7"/>
  <c r="AK471" i="7"/>
  <c r="AI471" i="7" s="1"/>
  <c r="AD471" i="7"/>
  <c r="AC471" i="7"/>
  <c r="AB471" i="7" s="1"/>
  <c r="V471" i="7"/>
  <c r="U471" i="7"/>
  <c r="S471" i="7" s="1"/>
  <c r="N471" i="7"/>
  <c r="M471" i="7"/>
  <c r="K471" i="7" s="1"/>
  <c r="F471" i="7"/>
  <c r="E471" i="7"/>
  <c r="D471" i="7" s="1"/>
  <c r="AT470" i="7"/>
  <c r="AS470" i="7"/>
  <c r="AQ470" i="7" s="1"/>
  <c r="AL470" i="7"/>
  <c r="AK470" i="7"/>
  <c r="AI470" i="7" s="1"/>
  <c r="AD470" i="7"/>
  <c r="AC470" i="7"/>
  <c r="AB470" i="7" s="1"/>
  <c r="V470" i="7"/>
  <c r="U470" i="7"/>
  <c r="S470" i="7" s="1"/>
  <c r="N470" i="7"/>
  <c r="M470" i="7"/>
  <c r="K470" i="7" s="1"/>
  <c r="F470" i="7"/>
  <c r="E470" i="7"/>
  <c r="D470" i="7" s="1"/>
  <c r="AT469" i="7"/>
  <c r="AS469" i="7"/>
  <c r="AQ469" i="7" s="1"/>
  <c r="AL469" i="7"/>
  <c r="AK469" i="7"/>
  <c r="AI469" i="7" s="1"/>
  <c r="AD469" i="7"/>
  <c r="AC469" i="7"/>
  <c r="AB469" i="7" s="1"/>
  <c r="V469" i="7"/>
  <c r="U469" i="7"/>
  <c r="S469" i="7" s="1"/>
  <c r="N469" i="7"/>
  <c r="M469" i="7"/>
  <c r="F469" i="7"/>
  <c r="E469" i="7"/>
  <c r="D469" i="7" s="1"/>
  <c r="AT468" i="7"/>
  <c r="AS468" i="7"/>
  <c r="AQ468" i="7" s="1"/>
  <c r="AL468" i="7"/>
  <c r="AK468" i="7"/>
  <c r="AI468" i="7" s="1"/>
  <c r="AD468" i="7"/>
  <c r="AC468" i="7"/>
  <c r="AB468" i="7" s="1"/>
  <c r="V468" i="7"/>
  <c r="U468" i="7"/>
  <c r="S468" i="7" s="1"/>
  <c r="N468" i="7"/>
  <c r="M468" i="7"/>
  <c r="K468" i="7" s="1"/>
  <c r="F468" i="7"/>
  <c r="E468" i="7"/>
  <c r="D468" i="7" s="1"/>
  <c r="AT467" i="7"/>
  <c r="AS467" i="7"/>
  <c r="AQ467" i="7" s="1"/>
  <c r="AL467" i="7"/>
  <c r="AK467" i="7"/>
  <c r="AI467" i="7" s="1"/>
  <c r="AD467" i="7"/>
  <c r="AC467" i="7"/>
  <c r="AB467" i="7" s="1"/>
  <c r="V467" i="7"/>
  <c r="U467" i="7"/>
  <c r="S467" i="7" s="1"/>
  <c r="N467" i="7"/>
  <c r="M467" i="7"/>
  <c r="K467" i="7" s="1"/>
  <c r="F467" i="7"/>
  <c r="E467" i="7"/>
  <c r="D467" i="7" s="1"/>
  <c r="AT466" i="7"/>
  <c r="AS466" i="7"/>
  <c r="AQ466" i="7" s="1"/>
  <c r="AL466" i="7"/>
  <c r="AK466" i="7"/>
  <c r="AI466" i="7" s="1"/>
  <c r="AD466" i="7"/>
  <c r="AC466" i="7"/>
  <c r="AB466" i="7" s="1"/>
  <c r="V466" i="7"/>
  <c r="U466" i="7"/>
  <c r="S466" i="7" s="1"/>
  <c r="N466" i="7"/>
  <c r="M466" i="7"/>
  <c r="F466" i="7"/>
  <c r="E466" i="7"/>
  <c r="D466" i="7" s="1"/>
  <c r="AT465" i="7"/>
  <c r="AS465" i="7"/>
  <c r="AQ465" i="7" s="1"/>
  <c r="AL465" i="7"/>
  <c r="AK465" i="7"/>
  <c r="AI465" i="7" s="1"/>
  <c r="AD465" i="7"/>
  <c r="AC465" i="7"/>
  <c r="AB465" i="7" s="1"/>
  <c r="V465" i="7"/>
  <c r="U465" i="7"/>
  <c r="S465" i="7" s="1"/>
  <c r="N465" i="7"/>
  <c r="M465" i="7"/>
  <c r="K465" i="7" s="1"/>
  <c r="F465" i="7"/>
  <c r="E465" i="7"/>
  <c r="D465" i="7" s="1"/>
  <c r="AT464" i="7"/>
  <c r="AS464" i="7"/>
  <c r="AQ464" i="7" s="1"/>
  <c r="AL464" i="7"/>
  <c r="AK464" i="7"/>
  <c r="AI464" i="7" s="1"/>
  <c r="AD464" i="7"/>
  <c r="AC464" i="7"/>
  <c r="AB464" i="7" s="1"/>
  <c r="V464" i="7"/>
  <c r="U464" i="7"/>
  <c r="S464" i="7" s="1"/>
  <c r="N464" i="7"/>
  <c r="M464" i="7"/>
  <c r="K464" i="7" s="1"/>
  <c r="F464" i="7"/>
  <c r="E464" i="7"/>
  <c r="D464" i="7" s="1"/>
  <c r="AT463" i="7"/>
  <c r="AS463" i="7"/>
  <c r="AQ463" i="7" s="1"/>
  <c r="AL463" i="7"/>
  <c r="AK463" i="7"/>
  <c r="AI463" i="7" s="1"/>
  <c r="AD463" i="7"/>
  <c r="AC463" i="7"/>
  <c r="AB463" i="7" s="1"/>
  <c r="V463" i="7"/>
  <c r="U463" i="7"/>
  <c r="S463" i="7" s="1"/>
  <c r="N463" i="7"/>
  <c r="M463" i="7"/>
  <c r="F463" i="7"/>
  <c r="E463" i="7"/>
  <c r="D463" i="7" s="1"/>
  <c r="AT462" i="7"/>
  <c r="AS462" i="7"/>
  <c r="AQ462" i="7" s="1"/>
  <c r="AL462" i="7"/>
  <c r="AK462" i="7"/>
  <c r="AI462" i="7" s="1"/>
  <c r="AD462" i="7"/>
  <c r="AC462" i="7"/>
  <c r="AB462" i="7" s="1"/>
  <c r="V462" i="7"/>
  <c r="U462" i="7"/>
  <c r="S462" i="7" s="1"/>
  <c r="N462" i="7"/>
  <c r="M462" i="7"/>
  <c r="K462" i="7" s="1"/>
  <c r="F462" i="7"/>
  <c r="E462" i="7"/>
  <c r="D462" i="7" s="1"/>
  <c r="AT461" i="7"/>
  <c r="AS461" i="7"/>
  <c r="AQ461" i="7" s="1"/>
  <c r="AL461" i="7"/>
  <c r="AK461" i="7"/>
  <c r="AI461" i="7" s="1"/>
  <c r="AD461" i="7"/>
  <c r="AC461" i="7"/>
  <c r="AB461" i="7" s="1"/>
  <c r="V461" i="7"/>
  <c r="U461" i="7"/>
  <c r="S461" i="7" s="1"/>
  <c r="N461" i="7"/>
  <c r="M461" i="7"/>
  <c r="K461" i="7" s="1"/>
  <c r="F461" i="7"/>
  <c r="E461" i="7"/>
  <c r="D461" i="7" s="1"/>
  <c r="AT460" i="7"/>
  <c r="AS460" i="7"/>
  <c r="AQ460" i="7" s="1"/>
  <c r="AL460" i="7"/>
  <c r="AK460" i="7"/>
  <c r="AI460" i="7" s="1"/>
  <c r="AD460" i="7"/>
  <c r="AC460" i="7"/>
  <c r="AB460" i="7" s="1"/>
  <c r="V460" i="7"/>
  <c r="U460" i="7"/>
  <c r="S460" i="7" s="1"/>
  <c r="N460" i="7"/>
  <c r="M460" i="7"/>
  <c r="F460" i="7"/>
  <c r="E460" i="7"/>
  <c r="D460" i="7" s="1"/>
  <c r="AT459" i="7"/>
  <c r="AS459" i="7"/>
  <c r="AQ459" i="7" s="1"/>
  <c r="AL459" i="7"/>
  <c r="AK459" i="7"/>
  <c r="AI459" i="7" s="1"/>
  <c r="AD459" i="7"/>
  <c r="AC459" i="7"/>
  <c r="AB459" i="7" s="1"/>
  <c r="V459" i="7"/>
  <c r="U459" i="7"/>
  <c r="S459" i="7" s="1"/>
  <c r="N459" i="7"/>
  <c r="M459" i="7"/>
  <c r="L459" i="7" s="1"/>
  <c r="F459" i="7"/>
  <c r="E459" i="7"/>
  <c r="D459" i="7" s="1"/>
  <c r="AT458" i="7"/>
  <c r="AS458" i="7"/>
  <c r="AQ458" i="7" s="1"/>
  <c r="AL458" i="7"/>
  <c r="AK458" i="7"/>
  <c r="AI458" i="7" s="1"/>
  <c r="AD458" i="7"/>
  <c r="AC458" i="7"/>
  <c r="AB458" i="7" s="1"/>
  <c r="V458" i="7"/>
  <c r="U458" i="7"/>
  <c r="S458" i="7" s="1"/>
  <c r="N458" i="7"/>
  <c r="M458" i="7"/>
  <c r="K458" i="7" s="1"/>
  <c r="F458" i="7"/>
  <c r="E458" i="7"/>
  <c r="D458" i="7" s="1"/>
  <c r="AT457" i="7"/>
  <c r="AS457" i="7"/>
  <c r="AQ457" i="7" s="1"/>
  <c r="AL457" i="7"/>
  <c r="AK457" i="7"/>
  <c r="AD457" i="7"/>
  <c r="AC457" i="7"/>
  <c r="AB457" i="7" s="1"/>
  <c r="V457" i="7"/>
  <c r="U457" i="7"/>
  <c r="S457" i="7" s="1"/>
  <c r="N457" i="7"/>
  <c r="M457" i="7"/>
  <c r="L457" i="7" s="1"/>
  <c r="K457" i="7"/>
  <c r="F457" i="7"/>
  <c r="E457" i="7"/>
  <c r="D457" i="7" s="1"/>
  <c r="AT456" i="7"/>
  <c r="AS456" i="7"/>
  <c r="AQ456" i="7" s="1"/>
  <c r="AL456" i="7"/>
  <c r="AK456" i="7"/>
  <c r="AI456" i="7" s="1"/>
  <c r="AD456" i="7"/>
  <c r="AC456" i="7"/>
  <c r="AB456" i="7" s="1"/>
  <c r="V456" i="7"/>
  <c r="U456" i="7"/>
  <c r="S456" i="7" s="1"/>
  <c r="N456" i="7"/>
  <c r="M456" i="7"/>
  <c r="L456" i="7" s="1"/>
  <c r="F456" i="7"/>
  <c r="E456" i="7"/>
  <c r="D456" i="7" s="1"/>
  <c r="AT455" i="7"/>
  <c r="AS455" i="7"/>
  <c r="AQ455" i="7" s="1"/>
  <c r="AL455" i="7"/>
  <c r="AK455" i="7"/>
  <c r="AD455" i="7"/>
  <c r="AC455" i="7"/>
  <c r="AB455" i="7" s="1"/>
  <c r="V455" i="7"/>
  <c r="U455" i="7"/>
  <c r="S455" i="7" s="1"/>
  <c r="N455" i="7"/>
  <c r="M455" i="7"/>
  <c r="L455" i="7" s="1"/>
  <c r="F455" i="7"/>
  <c r="E455" i="7"/>
  <c r="D455" i="7" s="1"/>
  <c r="AT454" i="7"/>
  <c r="AS454" i="7"/>
  <c r="AQ454" i="7" s="1"/>
  <c r="AL454" i="7"/>
  <c r="AK454" i="7"/>
  <c r="AI454" i="7" s="1"/>
  <c r="AD454" i="7"/>
  <c r="AC454" i="7"/>
  <c r="AB454" i="7" s="1"/>
  <c r="V454" i="7"/>
  <c r="U454" i="7"/>
  <c r="S454" i="7" s="1"/>
  <c r="N454" i="7"/>
  <c r="M454" i="7"/>
  <c r="L454" i="7" s="1"/>
  <c r="F454" i="7"/>
  <c r="E454" i="7"/>
  <c r="D454" i="7" s="1"/>
  <c r="AT453" i="7"/>
  <c r="AS453" i="7"/>
  <c r="AQ453" i="7" s="1"/>
  <c r="AL453" i="7"/>
  <c r="AK453" i="7"/>
  <c r="AD453" i="7"/>
  <c r="AC453" i="7"/>
  <c r="AB453" i="7" s="1"/>
  <c r="V453" i="7"/>
  <c r="U453" i="7"/>
  <c r="S453" i="7" s="1"/>
  <c r="N453" i="7"/>
  <c r="M453" i="7"/>
  <c r="L453" i="7" s="1"/>
  <c r="F453" i="7"/>
  <c r="E453" i="7"/>
  <c r="D453" i="7" s="1"/>
  <c r="AT452" i="7"/>
  <c r="AS452" i="7"/>
  <c r="AQ452" i="7" s="1"/>
  <c r="AL452" i="7"/>
  <c r="AK452" i="7"/>
  <c r="AI452" i="7" s="1"/>
  <c r="AD452" i="7"/>
  <c r="AC452" i="7"/>
  <c r="AB452" i="7" s="1"/>
  <c r="V452" i="7"/>
  <c r="U452" i="7"/>
  <c r="S452" i="7" s="1"/>
  <c r="N452" i="7"/>
  <c r="M452" i="7"/>
  <c r="L452" i="7" s="1"/>
  <c r="F452" i="7"/>
  <c r="E452" i="7"/>
  <c r="D452" i="7" s="1"/>
  <c r="AT451" i="7"/>
  <c r="AS451" i="7"/>
  <c r="AQ451" i="7" s="1"/>
  <c r="AL451" i="7"/>
  <c r="AK451" i="7"/>
  <c r="AD451" i="7"/>
  <c r="AC451" i="7"/>
  <c r="AB451" i="7" s="1"/>
  <c r="V451" i="7"/>
  <c r="U451" i="7"/>
  <c r="S451" i="7" s="1"/>
  <c r="N451" i="7"/>
  <c r="M451" i="7"/>
  <c r="L451" i="7" s="1"/>
  <c r="F451" i="7"/>
  <c r="E451" i="7"/>
  <c r="D451" i="7" s="1"/>
  <c r="AT450" i="7"/>
  <c r="AS450" i="7"/>
  <c r="AQ450" i="7" s="1"/>
  <c r="AL450" i="7"/>
  <c r="AK450" i="7"/>
  <c r="AI450" i="7" s="1"/>
  <c r="AD450" i="7"/>
  <c r="AC450" i="7"/>
  <c r="AB450" i="7" s="1"/>
  <c r="V450" i="7"/>
  <c r="U450" i="7"/>
  <c r="S450" i="7" s="1"/>
  <c r="N450" i="7"/>
  <c r="M450" i="7"/>
  <c r="L450" i="7" s="1"/>
  <c r="F450" i="7"/>
  <c r="E450" i="7"/>
  <c r="D450" i="7" s="1"/>
  <c r="AT449" i="7"/>
  <c r="AS449" i="7"/>
  <c r="AQ449" i="7" s="1"/>
  <c r="AL449" i="7"/>
  <c r="AK449" i="7"/>
  <c r="AD449" i="7"/>
  <c r="AC449" i="7"/>
  <c r="AB449" i="7" s="1"/>
  <c r="V449" i="7"/>
  <c r="U449" i="7"/>
  <c r="S449" i="7" s="1"/>
  <c r="N449" i="7"/>
  <c r="M449" i="7"/>
  <c r="L449" i="7" s="1"/>
  <c r="F449" i="7"/>
  <c r="E449" i="7"/>
  <c r="D449" i="7" s="1"/>
  <c r="AT448" i="7"/>
  <c r="AS448" i="7"/>
  <c r="AQ448" i="7" s="1"/>
  <c r="AL448" i="7"/>
  <c r="AK448" i="7"/>
  <c r="AJ448" i="7" s="1"/>
  <c r="AD448" i="7"/>
  <c r="AC448" i="7"/>
  <c r="AB448" i="7" s="1"/>
  <c r="V448" i="7"/>
  <c r="U448" i="7"/>
  <c r="S448" i="7" s="1"/>
  <c r="N448" i="7"/>
  <c r="M448" i="7"/>
  <c r="K448" i="7" s="1"/>
  <c r="F448" i="7"/>
  <c r="E448" i="7"/>
  <c r="D448" i="7" s="1"/>
  <c r="AT447" i="7"/>
  <c r="AS447" i="7"/>
  <c r="AQ447" i="7" s="1"/>
  <c r="AL447" i="7"/>
  <c r="AK447" i="7"/>
  <c r="AJ447" i="7" s="1"/>
  <c r="AD447" i="7"/>
  <c r="AC447" i="7"/>
  <c r="AB447" i="7" s="1"/>
  <c r="V447" i="7"/>
  <c r="U447" i="7"/>
  <c r="S447" i="7" s="1"/>
  <c r="N447" i="7"/>
  <c r="M447" i="7"/>
  <c r="L447" i="7" s="1"/>
  <c r="F447" i="7"/>
  <c r="E447" i="7"/>
  <c r="D447" i="7" s="1"/>
  <c r="AT446" i="7"/>
  <c r="AS446" i="7"/>
  <c r="AQ446" i="7" s="1"/>
  <c r="AL446" i="7"/>
  <c r="AK446" i="7"/>
  <c r="AI446" i="7" s="1"/>
  <c r="AD446" i="7"/>
  <c r="AC446" i="7"/>
  <c r="AB446" i="7" s="1"/>
  <c r="V446" i="7"/>
  <c r="U446" i="7"/>
  <c r="S446" i="7" s="1"/>
  <c r="N446" i="7"/>
  <c r="M446" i="7"/>
  <c r="L446" i="7" s="1"/>
  <c r="F446" i="7"/>
  <c r="E446" i="7"/>
  <c r="D446" i="7" s="1"/>
  <c r="AT445" i="7"/>
  <c r="AS445" i="7"/>
  <c r="AQ445" i="7" s="1"/>
  <c r="AL445" i="7"/>
  <c r="AK445" i="7"/>
  <c r="AJ445" i="7" s="1"/>
  <c r="AD445" i="7"/>
  <c r="AC445" i="7"/>
  <c r="AB445" i="7" s="1"/>
  <c r="V445" i="7"/>
  <c r="U445" i="7"/>
  <c r="S445" i="7" s="1"/>
  <c r="N445" i="7"/>
  <c r="M445" i="7"/>
  <c r="K445" i="7" s="1"/>
  <c r="F445" i="7"/>
  <c r="E445" i="7"/>
  <c r="D445" i="7" s="1"/>
  <c r="AT444" i="7"/>
  <c r="AS444" i="7"/>
  <c r="AQ444" i="7" s="1"/>
  <c r="AL444" i="7"/>
  <c r="AK444" i="7"/>
  <c r="AD444" i="7"/>
  <c r="AC444" i="7"/>
  <c r="AB444" i="7" s="1"/>
  <c r="V444" i="7"/>
  <c r="U444" i="7"/>
  <c r="S444" i="7" s="1"/>
  <c r="N444" i="7"/>
  <c r="M444" i="7"/>
  <c r="L444" i="7" s="1"/>
  <c r="F444" i="7"/>
  <c r="E444" i="7"/>
  <c r="D444" i="7" s="1"/>
  <c r="AT443" i="7"/>
  <c r="AS443" i="7"/>
  <c r="AQ443" i="7" s="1"/>
  <c r="AL443" i="7"/>
  <c r="AK443" i="7"/>
  <c r="AJ443" i="7" s="1"/>
  <c r="AD443" i="7"/>
  <c r="AC443" i="7"/>
  <c r="AB443" i="7" s="1"/>
  <c r="V443" i="7"/>
  <c r="U443" i="7"/>
  <c r="S443" i="7" s="1"/>
  <c r="N443" i="7"/>
  <c r="M443" i="7"/>
  <c r="F443" i="7"/>
  <c r="E443" i="7"/>
  <c r="D443" i="7" s="1"/>
  <c r="AT442" i="7"/>
  <c r="AS442" i="7"/>
  <c r="AQ442" i="7" s="1"/>
  <c r="AL442" i="7"/>
  <c r="AK442" i="7"/>
  <c r="AI442" i="7" s="1"/>
  <c r="AD442" i="7"/>
  <c r="AC442" i="7"/>
  <c r="AB442" i="7" s="1"/>
  <c r="V442" i="7"/>
  <c r="U442" i="7"/>
  <c r="S442" i="7" s="1"/>
  <c r="N442" i="7"/>
  <c r="M442" i="7"/>
  <c r="K442" i="7" s="1"/>
  <c r="F442" i="7"/>
  <c r="E442" i="7"/>
  <c r="D442" i="7" s="1"/>
  <c r="AT441" i="7"/>
  <c r="AS441" i="7"/>
  <c r="AQ441" i="7" s="1"/>
  <c r="AL441" i="7"/>
  <c r="AK441" i="7"/>
  <c r="AI441" i="7" s="1"/>
  <c r="AD441" i="7"/>
  <c r="AC441" i="7"/>
  <c r="AB441" i="7" s="1"/>
  <c r="V441" i="7"/>
  <c r="U441" i="7"/>
  <c r="S441" i="7" s="1"/>
  <c r="N441" i="7"/>
  <c r="M441" i="7"/>
  <c r="L441" i="7" s="1"/>
  <c r="F441" i="7"/>
  <c r="E441" i="7"/>
  <c r="D441" i="7" s="1"/>
  <c r="AT440" i="7"/>
  <c r="AS440" i="7"/>
  <c r="AQ440" i="7" s="1"/>
  <c r="AL440" i="7"/>
  <c r="AK440" i="7"/>
  <c r="AJ440" i="7" s="1"/>
  <c r="AD440" i="7"/>
  <c r="AC440" i="7"/>
  <c r="AB440" i="7" s="1"/>
  <c r="V440" i="7"/>
  <c r="U440" i="7"/>
  <c r="S440" i="7" s="1"/>
  <c r="N440" i="7"/>
  <c r="M440" i="7"/>
  <c r="L440" i="7" s="1"/>
  <c r="F440" i="7"/>
  <c r="E440" i="7"/>
  <c r="D440" i="7" s="1"/>
  <c r="AT439" i="7"/>
  <c r="AS439" i="7"/>
  <c r="AQ439" i="7" s="1"/>
  <c r="AL439" i="7"/>
  <c r="AK439" i="7"/>
  <c r="AI439" i="7" s="1"/>
  <c r="AD439" i="7"/>
  <c r="AC439" i="7"/>
  <c r="AB439" i="7" s="1"/>
  <c r="V439" i="7"/>
  <c r="U439" i="7"/>
  <c r="S439" i="7" s="1"/>
  <c r="N439" i="7"/>
  <c r="M439" i="7"/>
  <c r="F439" i="7"/>
  <c r="E439" i="7"/>
  <c r="D439" i="7" s="1"/>
  <c r="AT438" i="7"/>
  <c r="AS438" i="7"/>
  <c r="AQ438" i="7" s="1"/>
  <c r="AL438" i="7"/>
  <c r="AK438" i="7"/>
  <c r="AI438" i="7" s="1"/>
  <c r="AD438" i="7"/>
  <c r="AC438" i="7"/>
  <c r="AB438" i="7" s="1"/>
  <c r="V438" i="7"/>
  <c r="U438" i="7"/>
  <c r="S438" i="7" s="1"/>
  <c r="N438" i="7"/>
  <c r="M438" i="7"/>
  <c r="L438" i="7" s="1"/>
  <c r="F438" i="7"/>
  <c r="E438" i="7"/>
  <c r="D438" i="7" s="1"/>
  <c r="AT437" i="7"/>
  <c r="AS437" i="7"/>
  <c r="AQ437" i="7" s="1"/>
  <c r="AL437" i="7"/>
  <c r="AK437" i="7"/>
  <c r="AI437" i="7" s="1"/>
  <c r="AD437" i="7"/>
  <c r="AC437" i="7"/>
  <c r="AB437" i="7" s="1"/>
  <c r="V437" i="7"/>
  <c r="U437" i="7"/>
  <c r="S437" i="7" s="1"/>
  <c r="N437" i="7"/>
  <c r="M437" i="7"/>
  <c r="F437" i="7"/>
  <c r="E437" i="7"/>
  <c r="D437" i="7" s="1"/>
  <c r="AT436" i="7"/>
  <c r="AS436" i="7"/>
  <c r="AQ436" i="7" s="1"/>
  <c r="AL436" i="7"/>
  <c r="AK436" i="7"/>
  <c r="AI436" i="7" s="1"/>
  <c r="AD436" i="7"/>
  <c r="AC436" i="7"/>
  <c r="AB436" i="7" s="1"/>
  <c r="V436" i="7"/>
  <c r="U436" i="7"/>
  <c r="S436" i="7" s="1"/>
  <c r="N436" i="7"/>
  <c r="M436" i="7"/>
  <c r="K436" i="7" s="1"/>
  <c r="F436" i="7"/>
  <c r="E436" i="7"/>
  <c r="D436" i="7" s="1"/>
  <c r="AT435" i="7"/>
  <c r="AS435" i="7"/>
  <c r="AQ435" i="7" s="1"/>
  <c r="AL435" i="7"/>
  <c r="AK435" i="7"/>
  <c r="AJ435" i="7" s="1"/>
  <c r="AD435" i="7"/>
  <c r="AC435" i="7"/>
  <c r="AB435" i="7" s="1"/>
  <c r="V435" i="7"/>
  <c r="U435" i="7"/>
  <c r="S435" i="7" s="1"/>
  <c r="N435" i="7"/>
  <c r="M435" i="7"/>
  <c r="K435" i="7" s="1"/>
  <c r="F435" i="7"/>
  <c r="E435" i="7"/>
  <c r="D435" i="7" s="1"/>
  <c r="AT434" i="7"/>
  <c r="AS434" i="7"/>
  <c r="AQ434" i="7" s="1"/>
  <c r="AL434" i="7"/>
  <c r="AK434" i="7"/>
  <c r="AI434" i="7" s="1"/>
  <c r="AD434" i="7"/>
  <c r="AC434" i="7"/>
  <c r="AB434" i="7" s="1"/>
  <c r="V434" i="7"/>
  <c r="U434" i="7"/>
  <c r="S434" i="7" s="1"/>
  <c r="N434" i="7"/>
  <c r="M434" i="7"/>
  <c r="L434" i="7" s="1"/>
  <c r="F434" i="7"/>
  <c r="E434" i="7"/>
  <c r="D434" i="7" s="1"/>
  <c r="AT433" i="7"/>
  <c r="AS433" i="7"/>
  <c r="AQ433" i="7" s="1"/>
  <c r="AL433" i="7"/>
  <c r="AK433" i="7"/>
  <c r="AI433" i="7" s="1"/>
  <c r="AD433" i="7"/>
  <c r="AC433" i="7"/>
  <c r="AB433" i="7" s="1"/>
  <c r="V433" i="7"/>
  <c r="U433" i="7"/>
  <c r="S433" i="7" s="1"/>
  <c r="N433" i="7"/>
  <c r="M433" i="7"/>
  <c r="F433" i="7"/>
  <c r="E433" i="7"/>
  <c r="D433" i="7" s="1"/>
  <c r="AT432" i="7"/>
  <c r="AS432" i="7"/>
  <c r="AQ432" i="7" s="1"/>
  <c r="AL432" i="7"/>
  <c r="AK432" i="7"/>
  <c r="AJ432" i="7" s="1"/>
  <c r="AD432" i="7"/>
  <c r="AC432" i="7"/>
  <c r="AB432" i="7" s="1"/>
  <c r="V432" i="7"/>
  <c r="U432" i="7"/>
  <c r="S432" i="7" s="1"/>
  <c r="N432" i="7"/>
  <c r="M432" i="7"/>
  <c r="K432" i="7" s="1"/>
  <c r="F432" i="7"/>
  <c r="E432" i="7"/>
  <c r="D432" i="7" s="1"/>
  <c r="AT431" i="7"/>
  <c r="AS431" i="7"/>
  <c r="AQ431" i="7" s="1"/>
  <c r="AL431" i="7"/>
  <c r="AK431" i="7"/>
  <c r="AJ431" i="7" s="1"/>
  <c r="AD431" i="7"/>
  <c r="AC431" i="7"/>
  <c r="AB431" i="7" s="1"/>
  <c r="V431" i="7"/>
  <c r="U431" i="7"/>
  <c r="S431" i="7" s="1"/>
  <c r="N431" i="7"/>
  <c r="M431" i="7"/>
  <c r="L431" i="7" s="1"/>
  <c r="F431" i="7"/>
  <c r="E431" i="7"/>
  <c r="D431" i="7" s="1"/>
  <c r="AT430" i="7"/>
  <c r="AS430" i="7"/>
  <c r="AQ430" i="7" s="1"/>
  <c r="AL430" i="7"/>
  <c r="AK430" i="7"/>
  <c r="AI430" i="7" s="1"/>
  <c r="AD430" i="7"/>
  <c r="AC430" i="7"/>
  <c r="AB430" i="7" s="1"/>
  <c r="V430" i="7"/>
  <c r="U430" i="7"/>
  <c r="S430" i="7" s="1"/>
  <c r="N430" i="7"/>
  <c r="M430" i="7"/>
  <c r="F430" i="7"/>
  <c r="E430" i="7"/>
  <c r="D430" i="7" s="1"/>
  <c r="AT429" i="7"/>
  <c r="AS429" i="7"/>
  <c r="AQ429" i="7" s="1"/>
  <c r="AL429" i="7"/>
  <c r="AK429" i="7"/>
  <c r="AJ429" i="7" s="1"/>
  <c r="AD429" i="7"/>
  <c r="AC429" i="7"/>
  <c r="AB429" i="7" s="1"/>
  <c r="V429" i="7"/>
  <c r="U429" i="7"/>
  <c r="S429" i="7" s="1"/>
  <c r="N429" i="7"/>
  <c r="M429" i="7"/>
  <c r="K429" i="7" s="1"/>
  <c r="F429" i="7"/>
  <c r="E429" i="7"/>
  <c r="D429" i="7" s="1"/>
  <c r="AT428" i="7"/>
  <c r="AS428" i="7"/>
  <c r="AQ428" i="7" s="1"/>
  <c r="AL428" i="7"/>
  <c r="AK428" i="7"/>
  <c r="AJ428" i="7" s="1"/>
  <c r="AD428" i="7"/>
  <c r="AC428" i="7"/>
  <c r="AB428" i="7" s="1"/>
  <c r="V428" i="7"/>
  <c r="U428" i="7"/>
  <c r="S428" i="7" s="1"/>
  <c r="N428" i="7"/>
  <c r="M428" i="7"/>
  <c r="L428" i="7" s="1"/>
  <c r="F428" i="7"/>
  <c r="E428" i="7"/>
  <c r="D428" i="7" s="1"/>
  <c r="AT427" i="7"/>
  <c r="AS427" i="7"/>
  <c r="AQ427" i="7" s="1"/>
  <c r="AL427" i="7"/>
  <c r="AK427" i="7"/>
  <c r="AI427" i="7" s="1"/>
  <c r="AD427" i="7"/>
  <c r="AC427" i="7"/>
  <c r="AB427" i="7" s="1"/>
  <c r="V427" i="7"/>
  <c r="U427" i="7"/>
  <c r="S427" i="7" s="1"/>
  <c r="N427" i="7"/>
  <c r="M427" i="7"/>
  <c r="F427" i="7"/>
  <c r="E427" i="7"/>
  <c r="D427" i="7" s="1"/>
  <c r="AT426" i="7"/>
  <c r="AS426" i="7"/>
  <c r="AQ426" i="7" s="1"/>
  <c r="AL426" i="7"/>
  <c r="AK426" i="7"/>
  <c r="AJ426" i="7" s="1"/>
  <c r="AD426" i="7"/>
  <c r="AC426" i="7"/>
  <c r="AB426" i="7" s="1"/>
  <c r="V426" i="7"/>
  <c r="U426" i="7"/>
  <c r="S426" i="7" s="1"/>
  <c r="N426" i="7"/>
  <c r="M426" i="7"/>
  <c r="K426" i="7" s="1"/>
  <c r="F426" i="7"/>
  <c r="E426" i="7"/>
  <c r="D426" i="7" s="1"/>
  <c r="AT425" i="7"/>
  <c r="AS425" i="7"/>
  <c r="AQ425" i="7" s="1"/>
  <c r="AL425" i="7"/>
  <c r="AK425" i="7"/>
  <c r="AJ425" i="7" s="1"/>
  <c r="AD425" i="7"/>
  <c r="AC425" i="7"/>
  <c r="AB425" i="7" s="1"/>
  <c r="V425" i="7"/>
  <c r="U425" i="7"/>
  <c r="S425" i="7" s="1"/>
  <c r="N425" i="7"/>
  <c r="M425" i="7"/>
  <c r="L425" i="7" s="1"/>
  <c r="F425" i="7"/>
  <c r="E425" i="7"/>
  <c r="D425" i="7" s="1"/>
  <c r="AT424" i="7"/>
  <c r="AS424" i="7"/>
  <c r="AQ424" i="7" s="1"/>
  <c r="AL424" i="7"/>
  <c r="AK424" i="7"/>
  <c r="AI424" i="7" s="1"/>
  <c r="AD424" i="7"/>
  <c r="AC424" i="7"/>
  <c r="AB424" i="7" s="1"/>
  <c r="V424" i="7"/>
  <c r="U424" i="7"/>
  <c r="S424" i="7" s="1"/>
  <c r="N424" i="7"/>
  <c r="M424" i="7"/>
  <c r="F424" i="7"/>
  <c r="E424" i="7"/>
  <c r="D424" i="7" s="1"/>
  <c r="AT423" i="7"/>
  <c r="AS423" i="7"/>
  <c r="AQ423" i="7" s="1"/>
  <c r="AL423" i="7"/>
  <c r="AK423" i="7"/>
  <c r="AJ423" i="7" s="1"/>
  <c r="AI423" i="7"/>
  <c r="AD423" i="7"/>
  <c r="AC423" i="7"/>
  <c r="AB423" i="7" s="1"/>
  <c r="V423" i="7"/>
  <c r="U423" i="7"/>
  <c r="S423" i="7" s="1"/>
  <c r="N423" i="7"/>
  <c r="M423" i="7"/>
  <c r="K423" i="7" s="1"/>
  <c r="F423" i="7"/>
  <c r="E423" i="7"/>
  <c r="D423" i="7" s="1"/>
  <c r="AT422" i="7"/>
  <c r="AS422" i="7"/>
  <c r="AQ422" i="7" s="1"/>
  <c r="AL422" i="7"/>
  <c r="AK422" i="7"/>
  <c r="AJ422" i="7" s="1"/>
  <c r="AD422" i="7"/>
  <c r="AC422" i="7"/>
  <c r="AB422" i="7" s="1"/>
  <c r="V422" i="7"/>
  <c r="U422" i="7"/>
  <c r="S422" i="7" s="1"/>
  <c r="N422" i="7"/>
  <c r="M422" i="7"/>
  <c r="L422" i="7" s="1"/>
  <c r="F422" i="7"/>
  <c r="E422" i="7"/>
  <c r="D422" i="7" s="1"/>
  <c r="AT421" i="7"/>
  <c r="AS421" i="7"/>
  <c r="AQ421" i="7" s="1"/>
  <c r="AL421" i="7"/>
  <c r="AK421" i="7"/>
  <c r="AI421" i="7" s="1"/>
  <c r="AD421" i="7"/>
  <c r="AC421" i="7"/>
  <c r="AB421" i="7" s="1"/>
  <c r="V421" i="7"/>
  <c r="U421" i="7"/>
  <c r="S421" i="7" s="1"/>
  <c r="N421" i="7"/>
  <c r="M421" i="7"/>
  <c r="F421" i="7"/>
  <c r="E421" i="7"/>
  <c r="D421" i="7" s="1"/>
  <c r="AT420" i="7"/>
  <c r="AS420" i="7"/>
  <c r="AQ420" i="7" s="1"/>
  <c r="AL420" i="7"/>
  <c r="AK420" i="7"/>
  <c r="AJ420" i="7" s="1"/>
  <c r="AD420" i="7"/>
  <c r="AC420" i="7"/>
  <c r="AB420" i="7" s="1"/>
  <c r="V420" i="7"/>
  <c r="U420" i="7"/>
  <c r="S420" i="7" s="1"/>
  <c r="N420" i="7"/>
  <c r="M420" i="7"/>
  <c r="K420" i="7" s="1"/>
  <c r="F420" i="7"/>
  <c r="E420" i="7"/>
  <c r="D420" i="7" s="1"/>
  <c r="AT419" i="7"/>
  <c r="AS419" i="7"/>
  <c r="AQ419" i="7" s="1"/>
  <c r="AL419" i="7"/>
  <c r="AK419" i="7"/>
  <c r="AJ419" i="7" s="1"/>
  <c r="AD419" i="7"/>
  <c r="AC419" i="7"/>
  <c r="AB419" i="7" s="1"/>
  <c r="V419" i="7"/>
  <c r="U419" i="7"/>
  <c r="S419" i="7" s="1"/>
  <c r="N419" i="7"/>
  <c r="M419" i="7"/>
  <c r="L419" i="7" s="1"/>
  <c r="F419" i="7"/>
  <c r="E419" i="7"/>
  <c r="D419" i="7" s="1"/>
  <c r="AT418" i="7"/>
  <c r="AS418" i="7"/>
  <c r="AQ418" i="7" s="1"/>
  <c r="AL418" i="7"/>
  <c r="AK418" i="7"/>
  <c r="AI418" i="7" s="1"/>
  <c r="AD418" i="7"/>
  <c r="AC418" i="7"/>
  <c r="AB418" i="7" s="1"/>
  <c r="V418" i="7"/>
  <c r="U418" i="7"/>
  <c r="S418" i="7" s="1"/>
  <c r="N418" i="7"/>
  <c r="M418" i="7"/>
  <c r="F418" i="7"/>
  <c r="E418" i="7"/>
  <c r="D418" i="7" s="1"/>
  <c r="AT417" i="7"/>
  <c r="AS417" i="7"/>
  <c r="AQ417" i="7" s="1"/>
  <c r="AL417" i="7"/>
  <c r="AK417" i="7"/>
  <c r="AJ417" i="7" s="1"/>
  <c r="AD417" i="7"/>
  <c r="AC417" i="7"/>
  <c r="AB417" i="7" s="1"/>
  <c r="V417" i="7"/>
  <c r="U417" i="7"/>
  <c r="T417" i="7" s="1"/>
  <c r="N417" i="7"/>
  <c r="M417" i="7"/>
  <c r="L417" i="7" s="1"/>
  <c r="F417" i="7"/>
  <c r="E417" i="7"/>
  <c r="D417" i="7" s="1"/>
  <c r="AT416" i="7"/>
  <c r="AS416" i="7"/>
  <c r="AQ416" i="7" s="1"/>
  <c r="AL416" i="7"/>
  <c r="AK416" i="7"/>
  <c r="AD416" i="7"/>
  <c r="AC416" i="7"/>
  <c r="AB416" i="7" s="1"/>
  <c r="V416" i="7"/>
  <c r="U416" i="7"/>
  <c r="N416" i="7"/>
  <c r="M416" i="7"/>
  <c r="L416" i="7" s="1"/>
  <c r="F416" i="7"/>
  <c r="E416" i="7"/>
  <c r="D416" i="7" s="1"/>
  <c r="AT415" i="7"/>
  <c r="AS415" i="7"/>
  <c r="AQ415" i="7" s="1"/>
  <c r="AL415" i="7"/>
  <c r="AK415" i="7"/>
  <c r="AD415" i="7"/>
  <c r="AC415" i="7"/>
  <c r="AB415" i="7" s="1"/>
  <c r="V415" i="7"/>
  <c r="U415" i="7"/>
  <c r="N415" i="7"/>
  <c r="M415" i="7"/>
  <c r="K415" i="7" s="1"/>
  <c r="F415" i="7"/>
  <c r="E415" i="7"/>
  <c r="D415" i="7" s="1"/>
  <c r="AT414" i="7"/>
  <c r="AS414" i="7"/>
  <c r="AQ414" i="7" s="1"/>
  <c r="AL414" i="7"/>
  <c r="AK414" i="7"/>
  <c r="AJ414" i="7" s="1"/>
  <c r="AD414" i="7"/>
  <c r="AC414" i="7"/>
  <c r="V414" i="7"/>
  <c r="U414" i="7"/>
  <c r="T414" i="7" s="1"/>
  <c r="N414" i="7"/>
  <c r="M414" i="7"/>
  <c r="L414" i="7" s="1"/>
  <c r="F414" i="7"/>
  <c r="E414" i="7"/>
  <c r="D414" i="7" s="1"/>
  <c r="AT413" i="7"/>
  <c r="AS413" i="7"/>
  <c r="AQ413" i="7" s="1"/>
  <c r="AL413" i="7"/>
  <c r="AK413" i="7"/>
  <c r="AI413" i="7" s="1"/>
  <c r="AD413" i="7"/>
  <c r="AC413" i="7"/>
  <c r="AB413" i="7" s="1"/>
  <c r="V413" i="7"/>
  <c r="U413" i="7"/>
  <c r="S413" i="7" s="1"/>
  <c r="N413" i="7"/>
  <c r="M413" i="7"/>
  <c r="L413" i="7" s="1"/>
  <c r="F413" i="7"/>
  <c r="E413" i="7"/>
  <c r="D413" i="7" s="1"/>
  <c r="AT412" i="7"/>
  <c r="AS412" i="7"/>
  <c r="AQ412" i="7" s="1"/>
  <c r="AL412" i="7"/>
  <c r="AK412" i="7"/>
  <c r="AJ412" i="7" s="1"/>
  <c r="AD412" i="7"/>
  <c r="AC412" i="7"/>
  <c r="V412" i="7"/>
  <c r="U412" i="7"/>
  <c r="T412" i="7" s="1"/>
  <c r="N412" i="7"/>
  <c r="M412" i="7"/>
  <c r="L412" i="7" s="1"/>
  <c r="F412" i="7"/>
  <c r="E412" i="7"/>
  <c r="D412" i="7" s="1"/>
  <c r="AT411" i="7"/>
  <c r="AS411" i="7"/>
  <c r="AQ411" i="7" s="1"/>
  <c r="AL411" i="7"/>
  <c r="AK411" i="7"/>
  <c r="AD411" i="7"/>
  <c r="AC411" i="7"/>
  <c r="AB411" i="7" s="1"/>
  <c r="V411" i="7"/>
  <c r="U411" i="7"/>
  <c r="T411" i="7" s="1"/>
  <c r="N411" i="7"/>
  <c r="M411" i="7"/>
  <c r="K411" i="7" s="1"/>
  <c r="F411" i="7"/>
  <c r="E411" i="7"/>
  <c r="D411" i="7" s="1"/>
  <c r="AT410" i="7"/>
  <c r="AS410" i="7"/>
  <c r="AQ410" i="7" s="1"/>
  <c r="AL410" i="7"/>
  <c r="AK410" i="7"/>
  <c r="AI410" i="7" s="1"/>
  <c r="AD410" i="7"/>
  <c r="AC410" i="7"/>
  <c r="AB410" i="7" s="1"/>
  <c r="V410" i="7"/>
  <c r="U410" i="7"/>
  <c r="T410" i="7" s="1"/>
  <c r="N410" i="7"/>
  <c r="M410" i="7"/>
  <c r="K410" i="7" s="1"/>
  <c r="F410" i="7"/>
  <c r="E410" i="7"/>
  <c r="D410" i="7" s="1"/>
  <c r="AT409" i="7"/>
  <c r="AS409" i="7"/>
  <c r="AQ409" i="7" s="1"/>
  <c r="AL409" i="7"/>
  <c r="AK409" i="7"/>
  <c r="AJ409" i="7" s="1"/>
  <c r="AD409" i="7"/>
  <c r="AC409" i="7"/>
  <c r="AB409" i="7" s="1"/>
  <c r="V409" i="7"/>
  <c r="U409" i="7"/>
  <c r="T409" i="7" s="1"/>
  <c r="N409" i="7"/>
  <c r="M409" i="7"/>
  <c r="K409" i="7" s="1"/>
  <c r="F409" i="7"/>
  <c r="E409" i="7"/>
  <c r="D409" i="7" s="1"/>
  <c r="AT408" i="7"/>
  <c r="AS408" i="7"/>
  <c r="AQ408" i="7" s="1"/>
  <c r="AL408" i="7"/>
  <c r="AK408" i="7"/>
  <c r="AJ408" i="7" s="1"/>
  <c r="AD408" i="7"/>
  <c r="AC408" i="7"/>
  <c r="AB408" i="7" s="1"/>
  <c r="V408" i="7"/>
  <c r="U408" i="7"/>
  <c r="S408" i="7" s="1"/>
  <c r="N408" i="7"/>
  <c r="M408" i="7"/>
  <c r="L408" i="7" s="1"/>
  <c r="F408" i="7"/>
  <c r="E408" i="7"/>
  <c r="D408" i="7" s="1"/>
  <c r="AT407" i="7"/>
  <c r="AS407" i="7"/>
  <c r="AQ407" i="7" s="1"/>
  <c r="AL407" i="7"/>
  <c r="AK407" i="7"/>
  <c r="AI407" i="7" s="1"/>
  <c r="AD407" i="7"/>
  <c r="AC407" i="7"/>
  <c r="AB407" i="7" s="1"/>
  <c r="V407" i="7"/>
  <c r="U407" i="7"/>
  <c r="S407" i="7" s="1"/>
  <c r="N407" i="7"/>
  <c r="M407" i="7"/>
  <c r="L407" i="7" s="1"/>
  <c r="F407" i="7"/>
  <c r="E407" i="7"/>
  <c r="D407" i="7" s="1"/>
  <c r="AT406" i="7"/>
  <c r="AS406" i="7"/>
  <c r="AQ406" i="7" s="1"/>
  <c r="AL406" i="7"/>
  <c r="AK406" i="7"/>
  <c r="AJ406" i="7" s="1"/>
  <c r="AD406" i="7"/>
  <c r="AC406" i="7"/>
  <c r="AA406" i="7" s="1"/>
  <c r="V406" i="7"/>
  <c r="U406" i="7"/>
  <c r="T406" i="7" s="1"/>
  <c r="N406" i="7"/>
  <c r="M406" i="7"/>
  <c r="L406" i="7" s="1"/>
  <c r="F406" i="7"/>
  <c r="E406" i="7"/>
  <c r="D406" i="7" s="1"/>
  <c r="AT405" i="7"/>
  <c r="AS405" i="7"/>
  <c r="AQ405" i="7" s="1"/>
  <c r="AL405" i="7"/>
  <c r="AK405" i="7"/>
  <c r="AJ405" i="7" s="1"/>
  <c r="AD405" i="7"/>
  <c r="AC405" i="7"/>
  <c r="AB405" i="7" s="1"/>
  <c r="V405" i="7"/>
  <c r="U405" i="7"/>
  <c r="T405" i="7" s="1"/>
  <c r="N405" i="7"/>
  <c r="M405" i="7"/>
  <c r="K405" i="7" s="1"/>
  <c r="L405" i="7"/>
  <c r="F405" i="7"/>
  <c r="E405" i="7"/>
  <c r="D405" i="7" s="1"/>
  <c r="AT404" i="7"/>
  <c r="AS404" i="7"/>
  <c r="AQ404" i="7" s="1"/>
  <c r="AL404" i="7"/>
  <c r="AK404" i="7"/>
  <c r="AD404" i="7"/>
  <c r="AC404" i="7"/>
  <c r="AB404" i="7" s="1"/>
  <c r="V404" i="7"/>
  <c r="U404" i="7"/>
  <c r="N404" i="7"/>
  <c r="M404" i="7"/>
  <c r="L404" i="7" s="1"/>
  <c r="F404" i="7"/>
  <c r="E404" i="7"/>
  <c r="D404" i="7" s="1"/>
  <c r="AT403" i="7"/>
  <c r="AS403" i="7"/>
  <c r="AQ403" i="7" s="1"/>
  <c r="AL403" i="7"/>
  <c r="AK403" i="7"/>
  <c r="AD403" i="7"/>
  <c r="AC403" i="7"/>
  <c r="AB403" i="7" s="1"/>
  <c r="V403" i="7"/>
  <c r="U403" i="7"/>
  <c r="N403" i="7"/>
  <c r="M403" i="7"/>
  <c r="K403" i="7" s="1"/>
  <c r="F403" i="7"/>
  <c r="E403" i="7"/>
  <c r="D403" i="7" s="1"/>
  <c r="AT402" i="7"/>
  <c r="AS402" i="7"/>
  <c r="AQ402" i="7" s="1"/>
  <c r="AL402" i="7"/>
  <c r="AK402" i="7"/>
  <c r="AJ402" i="7" s="1"/>
  <c r="AD402" i="7"/>
  <c r="AC402" i="7"/>
  <c r="V402" i="7"/>
  <c r="U402" i="7"/>
  <c r="S402" i="7" s="1"/>
  <c r="N402" i="7"/>
  <c r="M402" i="7"/>
  <c r="L402" i="7" s="1"/>
  <c r="F402" i="7"/>
  <c r="E402" i="7"/>
  <c r="D402" i="7" s="1"/>
  <c r="AT401" i="7"/>
  <c r="AS401" i="7"/>
  <c r="AQ401" i="7" s="1"/>
  <c r="AL401" i="7"/>
  <c r="AK401" i="7"/>
  <c r="AI401" i="7" s="1"/>
  <c r="AD401" i="7"/>
  <c r="AC401" i="7"/>
  <c r="AB401" i="7" s="1"/>
  <c r="V401" i="7"/>
  <c r="U401" i="7"/>
  <c r="S401" i="7" s="1"/>
  <c r="N401" i="7"/>
  <c r="M401" i="7"/>
  <c r="L401" i="7" s="1"/>
  <c r="F401" i="7"/>
  <c r="E401" i="7"/>
  <c r="D401" i="7" s="1"/>
  <c r="AT400" i="7"/>
  <c r="AS400" i="7"/>
  <c r="AQ400" i="7" s="1"/>
  <c r="AL400" i="7"/>
  <c r="AK400" i="7"/>
  <c r="AJ400" i="7" s="1"/>
  <c r="AD400" i="7"/>
  <c r="AC400" i="7"/>
  <c r="AA400" i="7" s="1"/>
  <c r="V400" i="7"/>
  <c r="U400" i="7"/>
  <c r="T400" i="7" s="1"/>
  <c r="N400" i="7"/>
  <c r="M400" i="7"/>
  <c r="F400" i="7"/>
  <c r="E400" i="7"/>
  <c r="D400" i="7" s="1"/>
  <c r="AT399" i="7"/>
  <c r="AS399" i="7"/>
  <c r="AQ399" i="7" s="1"/>
  <c r="AL399" i="7"/>
  <c r="AK399" i="7"/>
  <c r="AJ399" i="7" s="1"/>
  <c r="AD399" i="7"/>
  <c r="AC399" i="7"/>
  <c r="AB399" i="7" s="1"/>
  <c r="V399" i="7"/>
  <c r="U399" i="7"/>
  <c r="T399" i="7" s="1"/>
  <c r="N399" i="7"/>
  <c r="M399" i="7"/>
  <c r="K399" i="7" s="1"/>
  <c r="F399" i="7"/>
  <c r="E399" i="7"/>
  <c r="D399" i="7" s="1"/>
  <c r="AT398" i="7"/>
  <c r="AS398" i="7"/>
  <c r="AQ398" i="7" s="1"/>
  <c r="AL398" i="7"/>
  <c r="AK398" i="7"/>
  <c r="AD398" i="7"/>
  <c r="AC398" i="7"/>
  <c r="AB398" i="7" s="1"/>
  <c r="V398" i="7"/>
  <c r="U398" i="7"/>
  <c r="S398" i="7" s="1"/>
  <c r="N398" i="7"/>
  <c r="M398" i="7"/>
  <c r="K398" i="7" s="1"/>
  <c r="F398" i="7"/>
  <c r="E398" i="7"/>
  <c r="D398" i="7" s="1"/>
  <c r="AT397" i="7"/>
  <c r="AS397" i="7"/>
  <c r="AQ397" i="7" s="1"/>
  <c r="AL397" i="7"/>
  <c r="AK397" i="7"/>
  <c r="AJ397" i="7" s="1"/>
  <c r="AD397" i="7"/>
  <c r="AC397" i="7"/>
  <c r="AB397" i="7" s="1"/>
  <c r="V397" i="7"/>
  <c r="U397" i="7"/>
  <c r="S397" i="7" s="1"/>
  <c r="N397" i="7"/>
  <c r="M397" i="7"/>
  <c r="K397" i="7" s="1"/>
  <c r="F397" i="7"/>
  <c r="E397" i="7"/>
  <c r="D397" i="7" s="1"/>
  <c r="AT396" i="7"/>
  <c r="AS396" i="7"/>
  <c r="AQ396" i="7" s="1"/>
  <c r="AL396" i="7"/>
  <c r="AK396" i="7"/>
  <c r="AJ396" i="7" s="1"/>
  <c r="AD396" i="7"/>
  <c r="AC396" i="7"/>
  <c r="AA396" i="7" s="1"/>
  <c r="V396" i="7"/>
  <c r="U396" i="7"/>
  <c r="N396" i="7"/>
  <c r="M396" i="7"/>
  <c r="K396" i="7" s="1"/>
  <c r="F396" i="7"/>
  <c r="E396" i="7"/>
  <c r="D396" i="7" s="1"/>
  <c r="AT395" i="7"/>
  <c r="AS395" i="7"/>
  <c r="AR395" i="7" s="1"/>
  <c r="AL395" i="7"/>
  <c r="AK395" i="7"/>
  <c r="AI395" i="7" s="1"/>
  <c r="AD395" i="7"/>
  <c r="AC395" i="7"/>
  <c r="AA395" i="7" s="1"/>
  <c r="V395" i="7"/>
  <c r="U395" i="7"/>
  <c r="S395" i="7" s="1"/>
  <c r="N395" i="7"/>
  <c r="M395" i="7"/>
  <c r="L395" i="7" s="1"/>
  <c r="F395" i="7"/>
  <c r="E395" i="7"/>
  <c r="D395" i="7" s="1"/>
  <c r="AT394" i="7"/>
  <c r="AS394" i="7"/>
  <c r="AR394" i="7" s="1"/>
  <c r="AL394" i="7"/>
  <c r="AK394" i="7"/>
  <c r="AI394" i="7" s="1"/>
  <c r="AD394" i="7"/>
  <c r="AC394" i="7"/>
  <c r="AA394" i="7" s="1"/>
  <c r="V394" i="7"/>
  <c r="U394" i="7"/>
  <c r="N394" i="7"/>
  <c r="M394" i="7"/>
  <c r="L394" i="7" s="1"/>
  <c r="F394" i="7"/>
  <c r="E394" i="7"/>
  <c r="D394" i="7" s="1"/>
  <c r="AT393" i="7"/>
  <c r="AS393" i="7"/>
  <c r="AR393" i="7" s="1"/>
  <c r="AL393" i="7"/>
  <c r="AK393" i="7"/>
  <c r="AI393" i="7" s="1"/>
  <c r="AD393" i="7"/>
  <c r="AC393" i="7"/>
  <c r="AA393" i="7" s="1"/>
  <c r="V393" i="7"/>
  <c r="U393" i="7"/>
  <c r="T393" i="7" s="1"/>
  <c r="N393" i="7"/>
  <c r="M393" i="7"/>
  <c r="L393" i="7" s="1"/>
  <c r="F393" i="7"/>
  <c r="E393" i="7"/>
  <c r="D393" i="7" s="1"/>
  <c r="AT392" i="7"/>
  <c r="AS392" i="7"/>
  <c r="AQ392" i="7" s="1"/>
  <c r="AL392" i="7"/>
  <c r="AK392" i="7"/>
  <c r="AI392" i="7" s="1"/>
  <c r="AD392" i="7"/>
  <c r="AC392" i="7"/>
  <c r="AA392" i="7" s="1"/>
  <c r="V392" i="7"/>
  <c r="U392" i="7"/>
  <c r="T392" i="7" s="1"/>
  <c r="N392" i="7"/>
  <c r="M392" i="7"/>
  <c r="L392" i="7" s="1"/>
  <c r="F392" i="7"/>
  <c r="E392" i="7"/>
  <c r="D392" i="7" s="1"/>
  <c r="AT391" i="7"/>
  <c r="AS391" i="7"/>
  <c r="AR391" i="7" s="1"/>
  <c r="AQ391" i="7"/>
  <c r="AL391" i="7"/>
  <c r="AK391" i="7"/>
  <c r="AI391" i="7" s="1"/>
  <c r="AD391" i="7"/>
  <c r="AC391" i="7"/>
  <c r="AA391" i="7" s="1"/>
  <c r="V391" i="7"/>
  <c r="U391" i="7"/>
  <c r="S391" i="7" s="1"/>
  <c r="N391" i="7"/>
  <c r="M391" i="7"/>
  <c r="L391" i="7" s="1"/>
  <c r="F391" i="7"/>
  <c r="E391" i="7"/>
  <c r="D391" i="7" s="1"/>
  <c r="AT390" i="7"/>
  <c r="AS390" i="7"/>
  <c r="AR390" i="7" s="1"/>
  <c r="AL390" i="7"/>
  <c r="AK390" i="7"/>
  <c r="AI390" i="7" s="1"/>
  <c r="AD390" i="7"/>
  <c r="AC390" i="7"/>
  <c r="AA390" i="7" s="1"/>
  <c r="V390" i="7"/>
  <c r="U390" i="7"/>
  <c r="N390" i="7"/>
  <c r="M390" i="7"/>
  <c r="L390" i="7" s="1"/>
  <c r="F390" i="7"/>
  <c r="E390" i="7"/>
  <c r="D390" i="7" s="1"/>
  <c r="AT389" i="7"/>
  <c r="AS389" i="7"/>
  <c r="AR389" i="7" s="1"/>
  <c r="AL389" i="7"/>
  <c r="AK389" i="7"/>
  <c r="AI389" i="7" s="1"/>
  <c r="AD389" i="7"/>
  <c r="AC389" i="7"/>
  <c r="AA389" i="7" s="1"/>
  <c r="V389" i="7"/>
  <c r="U389" i="7"/>
  <c r="S389" i="7" s="1"/>
  <c r="N389" i="7"/>
  <c r="M389" i="7"/>
  <c r="L389" i="7" s="1"/>
  <c r="F389" i="7"/>
  <c r="E389" i="7"/>
  <c r="D389" i="7" s="1"/>
  <c r="AT388" i="7"/>
  <c r="AS388" i="7"/>
  <c r="AR388" i="7" s="1"/>
  <c r="AL388" i="7"/>
  <c r="AK388" i="7"/>
  <c r="AI388" i="7" s="1"/>
  <c r="AD388" i="7"/>
  <c r="AC388" i="7"/>
  <c r="AA388" i="7" s="1"/>
  <c r="V388" i="7"/>
  <c r="U388" i="7"/>
  <c r="S388" i="7" s="1"/>
  <c r="N388" i="7"/>
  <c r="M388" i="7"/>
  <c r="L388" i="7" s="1"/>
  <c r="F388" i="7"/>
  <c r="E388" i="7"/>
  <c r="D388" i="7" s="1"/>
  <c r="AT387" i="7"/>
  <c r="AS387" i="7"/>
  <c r="AL387" i="7"/>
  <c r="AK387" i="7"/>
  <c r="AI387" i="7" s="1"/>
  <c r="AD387" i="7"/>
  <c r="AC387" i="7"/>
  <c r="V387" i="7"/>
  <c r="U387" i="7"/>
  <c r="T387" i="7" s="1"/>
  <c r="N387" i="7"/>
  <c r="M387" i="7"/>
  <c r="L387" i="7" s="1"/>
  <c r="F387" i="7"/>
  <c r="E387" i="7"/>
  <c r="D387" i="7" s="1"/>
  <c r="AT386" i="7"/>
  <c r="AS386" i="7"/>
  <c r="AQ386" i="7" s="1"/>
  <c r="AL386" i="7"/>
  <c r="AK386" i="7"/>
  <c r="AI386" i="7" s="1"/>
  <c r="AD386" i="7"/>
  <c r="AC386" i="7"/>
  <c r="AA386" i="7" s="1"/>
  <c r="V386" i="7"/>
  <c r="U386" i="7"/>
  <c r="T386" i="7" s="1"/>
  <c r="N386" i="7"/>
  <c r="M386" i="7"/>
  <c r="L386" i="7" s="1"/>
  <c r="F386" i="7"/>
  <c r="E386" i="7"/>
  <c r="D386" i="7" s="1"/>
  <c r="AT385" i="7"/>
  <c r="AS385" i="7"/>
  <c r="AR385" i="7" s="1"/>
  <c r="AQ385" i="7"/>
  <c r="AL385" i="7"/>
  <c r="AK385" i="7"/>
  <c r="AI385" i="7" s="1"/>
  <c r="AD385" i="7"/>
  <c r="AC385" i="7"/>
  <c r="AA385" i="7" s="1"/>
  <c r="V385" i="7"/>
  <c r="U385" i="7"/>
  <c r="T385" i="7" s="1"/>
  <c r="N385" i="7"/>
  <c r="M385" i="7"/>
  <c r="L385" i="7" s="1"/>
  <c r="F385" i="7"/>
  <c r="E385" i="7"/>
  <c r="D385" i="7" s="1"/>
  <c r="AT384" i="7"/>
  <c r="AS384" i="7"/>
  <c r="AR384" i="7" s="1"/>
  <c r="AL384" i="7"/>
  <c r="AK384" i="7"/>
  <c r="AI384" i="7" s="1"/>
  <c r="AD384" i="7"/>
  <c r="AC384" i="7"/>
  <c r="AA384" i="7" s="1"/>
  <c r="V384" i="7"/>
  <c r="U384" i="7"/>
  <c r="T384" i="7" s="1"/>
  <c r="N384" i="7"/>
  <c r="M384" i="7"/>
  <c r="L384" i="7" s="1"/>
  <c r="F384" i="7"/>
  <c r="E384" i="7"/>
  <c r="D384" i="7" s="1"/>
  <c r="AT383" i="7"/>
  <c r="AS383" i="7"/>
  <c r="AR383" i="7" s="1"/>
  <c r="AL383" i="7"/>
  <c r="AK383" i="7"/>
  <c r="AI383" i="7" s="1"/>
  <c r="AD383" i="7"/>
  <c r="AC383" i="7"/>
  <c r="AA383" i="7" s="1"/>
  <c r="V383" i="7"/>
  <c r="U383" i="7"/>
  <c r="S383" i="7" s="1"/>
  <c r="N383" i="7"/>
  <c r="M383" i="7"/>
  <c r="L383" i="7" s="1"/>
  <c r="F383" i="7"/>
  <c r="E383" i="7"/>
  <c r="D383" i="7" s="1"/>
  <c r="AT382" i="7"/>
  <c r="AS382" i="7"/>
  <c r="AR382" i="7" s="1"/>
  <c r="AL382" i="7"/>
  <c r="AK382" i="7"/>
  <c r="AI382" i="7" s="1"/>
  <c r="AD382" i="7"/>
  <c r="AC382" i="7"/>
  <c r="AA382" i="7" s="1"/>
  <c r="V382" i="7"/>
  <c r="U382" i="7"/>
  <c r="N382" i="7"/>
  <c r="M382" i="7"/>
  <c r="L382" i="7" s="1"/>
  <c r="F382" i="7"/>
  <c r="E382" i="7"/>
  <c r="D382" i="7" s="1"/>
  <c r="AT381" i="7"/>
  <c r="AS381" i="7"/>
  <c r="AR381" i="7" s="1"/>
  <c r="AL381" i="7"/>
  <c r="AK381" i="7"/>
  <c r="AI381" i="7" s="1"/>
  <c r="AD381" i="7"/>
  <c r="AC381" i="7"/>
  <c r="AA381" i="7" s="1"/>
  <c r="V381" i="7"/>
  <c r="U381" i="7"/>
  <c r="T381" i="7"/>
  <c r="S381" i="7"/>
  <c r="N381" i="7"/>
  <c r="M381" i="7"/>
  <c r="L381" i="7" s="1"/>
  <c r="F381" i="7"/>
  <c r="E381" i="7"/>
  <c r="D381" i="7" s="1"/>
  <c r="AT380" i="7"/>
  <c r="AS380" i="7"/>
  <c r="AQ380" i="7" s="1"/>
  <c r="AL380" i="7"/>
  <c r="AK380" i="7"/>
  <c r="AI380" i="7" s="1"/>
  <c r="AD380" i="7"/>
  <c r="AC380" i="7"/>
  <c r="AA380" i="7" s="1"/>
  <c r="V380" i="7"/>
  <c r="U380" i="7"/>
  <c r="T380" i="7" s="1"/>
  <c r="N380" i="7"/>
  <c r="M380" i="7"/>
  <c r="L380" i="7" s="1"/>
  <c r="F380" i="7"/>
  <c r="E380" i="7"/>
  <c r="D380" i="7" s="1"/>
  <c r="AT379" i="7"/>
  <c r="AS379" i="7"/>
  <c r="AL379" i="7"/>
  <c r="AK379" i="7"/>
  <c r="AI379" i="7" s="1"/>
  <c r="AD379" i="7"/>
  <c r="AC379" i="7"/>
  <c r="V379" i="7"/>
  <c r="U379" i="7"/>
  <c r="S379" i="7" s="1"/>
  <c r="N379" i="7"/>
  <c r="M379" i="7"/>
  <c r="L379" i="7" s="1"/>
  <c r="F379" i="7"/>
  <c r="E379" i="7"/>
  <c r="D379" i="7" s="1"/>
  <c r="AT378" i="7"/>
  <c r="AS378" i="7"/>
  <c r="AR378" i="7" s="1"/>
  <c r="AL378" i="7"/>
  <c r="AK378" i="7"/>
  <c r="AI378" i="7" s="1"/>
  <c r="AD378" i="7"/>
  <c r="AC378" i="7"/>
  <c r="AA378" i="7" s="1"/>
  <c r="V378" i="7"/>
  <c r="U378" i="7"/>
  <c r="S378" i="7" s="1"/>
  <c r="N378" i="7"/>
  <c r="M378" i="7"/>
  <c r="L378" i="7" s="1"/>
  <c r="F378" i="7"/>
  <c r="E378" i="7"/>
  <c r="D378" i="7" s="1"/>
  <c r="AT377" i="7"/>
  <c r="AS377" i="7"/>
  <c r="AR377" i="7" s="1"/>
  <c r="AL377" i="7"/>
  <c r="AK377" i="7"/>
  <c r="AI377" i="7" s="1"/>
  <c r="AD377" i="7"/>
  <c r="AC377" i="7"/>
  <c r="AA377" i="7" s="1"/>
  <c r="V377" i="7"/>
  <c r="U377" i="7"/>
  <c r="S377" i="7" s="1"/>
  <c r="N377" i="7"/>
  <c r="M377" i="7"/>
  <c r="L377" i="7" s="1"/>
  <c r="F377" i="7"/>
  <c r="E377" i="7"/>
  <c r="D377" i="7" s="1"/>
  <c r="AT376" i="7"/>
  <c r="AS376" i="7"/>
  <c r="AR376" i="7" s="1"/>
  <c r="AL376" i="7"/>
  <c r="AK376" i="7"/>
  <c r="AI376" i="7" s="1"/>
  <c r="AD376" i="7"/>
  <c r="AC376" i="7"/>
  <c r="AA376" i="7" s="1"/>
  <c r="V376" i="7"/>
  <c r="U376" i="7"/>
  <c r="N376" i="7"/>
  <c r="M376" i="7"/>
  <c r="L376" i="7" s="1"/>
  <c r="F376" i="7"/>
  <c r="E376" i="7"/>
  <c r="D376" i="7" s="1"/>
  <c r="AT375" i="7"/>
  <c r="AS375" i="7"/>
  <c r="AR375" i="7" s="1"/>
  <c r="AQ375" i="7"/>
  <c r="AL375" i="7"/>
  <c r="AK375" i="7"/>
  <c r="AI375" i="7" s="1"/>
  <c r="AD375" i="7"/>
  <c r="AC375" i="7"/>
  <c r="AA375" i="7" s="1"/>
  <c r="V375" i="7"/>
  <c r="U375" i="7"/>
  <c r="S375" i="7" s="1"/>
  <c r="N375" i="7"/>
  <c r="M375" i="7"/>
  <c r="L375" i="7" s="1"/>
  <c r="F375" i="7"/>
  <c r="E375" i="7"/>
  <c r="D375" i="7" s="1"/>
  <c r="AT374" i="7"/>
  <c r="AS374" i="7"/>
  <c r="AQ374" i="7" s="1"/>
  <c r="AL374" i="7"/>
  <c r="AK374" i="7"/>
  <c r="AI374" i="7" s="1"/>
  <c r="AD374" i="7"/>
  <c r="AC374" i="7"/>
  <c r="AA374" i="7" s="1"/>
  <c r="V374" i="7"/>
  <c r="U374" i="7"/>
  <c r="T374" i="7" s="1"/>
  <c r="N374" i="7"/>
  <c r="M374" i="7"/>
  <c r="L374" i="7" s="1"/>
  <c r="F374" i="7"/>
  <c r="E374" i="7"/>
  <c r="D374" i="7" s="1"/>
  <c r="AT373" i="7"/>
  <c r="AS373" i="7"/>
  <c r="AR373" i="7" s="1"/>
  <c r="AL373" i="7"/>
  <c r="AK373" i="7"/>
  <c r="AI373" i="7" s="1"/>
  <c r="AD373" i="7"/>
  <c r="AC373" i="7"/>
  <c r="AA373" i="7" s="1"/>
  <c r="V373" i="7"/>
  <c r="U373" i="7"/>
  <c r="S373" i="7" s="1"/>
  <c r="N373" i="7"/>
  <c r="M373" i="7"/>
  <c r="L373" i="7" s="1"/>
  <c r="F373" i="7"/>
  <c r="E373" i="7"/>
  <c r="D373" i="7" s="1"/>
  <c r="AT372" i="7"/>
  <c r="AS372" i="7"/>
  <c r="AR372" i="7" s="1"/>
  <c r="AL372" i="7"/>
  <c r="AK372" i="7"/>
  <c r="AI372" i="7" s="1"/>
  <c r="AD372" i="7"/>
  <c r="AC372" i="7"/>
  <c r="AA372" i="7" s="1"/>
  <c r="V372" i="7"/>
  <c r="U372" i="7"/>
  <c r="T372" i="7" s="1"/>
  <c r="N372" i="7"/>
  <c r="M372" i="7"/>
  <c r="L372" i="7" s="1"/>
  <c r="F372" i="7"/>
  <c r="E372" i="7"/>
  <c r="D372" i="7" s="1"/>
  <c r="AT371" i="7"/>
  <c r="AS371" i="7"/>
  <c r="AR371" i="7" s="1"/>
  <c r="AL371" i="7"/>
  <c r="AK371" i="7"/>
  <c r="AI371" i="7" s="1"/>
  <c r="AD371" i="7"/>
  <c r="AC371" i="7"/>
  <c r="AA371" i="7" s="1"/>
  <c r="V371" i="7"/>
  <c r="U371" i="7"/>
  <c r="S371" i="7" s="1"/>
  <c r="N371" i="7"/>
  <c r="M371" i="7"/>
  <c r="L371" i="7" s="1"/>
  <c r="F371" i="7"/>
  <c r="E371" i="7"/>
  <c r="D371" i="7" s="1"/>
  <c r="AT370" i="7"/>
  <c r="AS370" i="7"/>
  <c r="AR370" i="7" s="1"/>
  <c r="AL370" i="7"/>
  <c r="AK370" i="7"/>
  <c r="AI370" i="7" s="1"/>
  <c r="AD370" i="7"/>
  <c r="AC370" i="7"/>
  <c r="AA370" i="7" s="1"/>
  <c r="V370" i="7"/>
  <c r="U370" i="7"/>
  <c r="N370" i="7"/>
  <c r="M370" i="7"/>
  <c r="L370" i="7" s="1"/>
  <c r="F370" i="7"/>
  <c r="E370" i="7"/>
  <c r="D370" i="7" s="1"/>
  <c r="AT369" i="7"/>
  <c r="AS369" i="7"/>
  <c r="AR369" i="7" s="1"/>
  <c r="AL369" i="7"/>
  <c r="AK369" i="7"/>
  <c r="AI369" i="7" s="1"/>
  <c r="AD369" i="7"/>
  <c r="AC369" i="7"/>
  <c r="AA369" i="7" s="1"/>
  <c r="V369" i="7"/>
  <c r="U369" i="7"/>
  <c r="T369" i="7" s="1"/>
  <c r="S369" i="7"/>
  <c r="N369" i="7"/>
  <c r="M369" i="7"/>
  <c r="L369" i="7" s="1"/>
  <c r="F369" i="7"/>
  <c r="E369" i="7"/>
  <c r="D369" i="7" s="1"/>
  <c r="AT368" i="7"/>
  <c r="AS368" i="7"/>
  <c r="AQ368" i="7" s="1"/>
  <c r="AL368" i="7"/>
  <c r="AK368" i="7"/>
  <c r="AI368" i="7" s="1"/>
  <c r="AD368" i="7"/>
  <c r="AC368" i="7"/>
  <c r="AA368" i="7" s="1"/>
  <c r="V368" i="7"/>
  <c r="U368" i="7"/>
  <c r="T368" i="7" s="1"/>
  <c r="N368" i="7"/>
  <c r="M368" i="7"/>
  <c r="L368" i="7" s="1"/>
  <c r="F368" i="7"/>
  <c r="E368" i="7"/>
  <c r="D368" i="7" s="1"/>
  <c r="AT367" i="7"/>
  <c r="AS367" i="7"/>
  <c r="AL367" i="7"/>
  <c r="AK367" i="7"/>
  <c r="AI367" i="7" s="1"/>
  <c r="AD367" i="7"/>
  <c r="AC367" i="7"/>
  <c r="V367" i="7"/>
  <c r="U367" i="7"/>
  <c r="S367" i="7" s="1"/>
  <c r="N367" i="7"/>
  <c r="M367" i="7"/>
  <c r="L367" i="7" s="1"/>
  <c r="F367" i="7"/>
  <c r="E367" i="7"/>
  <c r="D367" i="7" s="1"/>
  <c r="AT366" i="7"/>
  <c r="AS366" i="7"/>
  <c r="AR366" i="7" s="1"/>
  <c r="AL366" i="7"/>
  <c r="AK366" i="7"/>
  <c r="AI366" i="7" s="1"/>
  <c r="AD366" i="7"/>
  <c r="AC366" i="7"/>
  <c r="AA366" i="7" s="1"/>
  <c r="V366" i="7"/>
  <c r="U366" i="7"/>
  <c r="T366" i="7" s="1"/>
  <c r="N366" i="7"/>
  <c r="M366" i="7"/>
  <c r="L366" i="7" s="1"/>
  <c r="F366" i="7"/>
  <c r="E366" i="7"/>
  <c r="D366" i="7" s="1"/>
  <c r="AT365" i="7"/>
  <c r="AS365" i="7"/>
  <c r="AR365" i="7" s="1"/>
  <c r="AL365" i="7"/>
  <c r="AK365" i="7"/>
  <c r="AI365" i="7" s="1"/>
  <c r="AD365" i="7"/>
  <c r="AC365" i="7"/>
  <c r="AA365" i="7" s="1"/>
  <c r="V365" i="7"/>
  <c r="U365" i="7"/>
  <c r="S365" i="7" s="1"/>
  <c r="N365" i="7"/>
  <c r="M365" i="7"/>
  <c r="L365" i="7" s="1"/>
  <c r="F365" i="7"/>
  <c r="E365" i="7"/>
  <c r="D365" i="7" s="1"/>
  <c r="AT364" i="7"/>
  <c r="AS364" i="7"/>
  <c r="AR364" i="7" s="1"/>
  <c r="AL364" i="7"/>
  <c r="AK364" i="7"/>
  <c r="AI364" i="7" s="1"/>
  <c r="AD364" i="7"/>
  <c r="AC364" i="7"/>
  <c r="AA364" i="7" s="1"/>
  <c r="V364" i="7"/>
  <c r="U364" i="7"/>
  <c r="N364" i="7"/>
  <c r="M364" i="7"/>
  <c r="L364" i="7" s="1"/>
  <c r="F364" i="7"/>
  <c r="E364" i="7"/>
  <c r="D364" i="7" s="1"/>
  <c r="AT363" i="7"/>
  <c r="AS363" i="7"/>
  <c r="AR363" i="7" s="1"/>
  <c r="AL363" i="7"/>
  <c r="AK363" i="7"/>
  <c r="AI363" i="7" s="1"/>
  <c r="AD363" i="7"/>
  <c r="AC363" i="7"/>
  <c r="AA363" i="7" s="1"/>
  <c r="V363" i="7"/>
  <c r="U363" i="7"/>
  <c r="T363" i="7" s="1"/>
  <c r="N363" i="7"/>
  <c r="M363" i="7"/>
  <c r="L363" i="7" s="1"/>
  <c r="F363" i="7"/>
  <c r="E363" i="7"/>
  <c r="D363" i="7" s="1"/>
  <c r="AT362" i="7"/>
  <c r="AS362" i="7"/>
  <c r="AQ362" i="7" s="1"/>
  <c r="AL362" i="7"/>
  <c r="AK362" i="7"/>
  <c r="AI362" i="7" s="1"/>
  <c r="AD362" i="7"/>
  <c r="AC362" i="7"/>
  <c r="AA362" i="7" s="1"/>
  <c r="V362" i="7"/>
  <c r="U362" i="7"/>
  <c r="T362" i="7" s="1"/>
  <c r="N362" i="7"/>
  <c r="M362" i="7"/>
  <c r="L362" i="7" s="1"/>
  <c r="F362" i="7"/>
  <c r="E362" i="7"/>
  <c r="D362" i="7" s="1"/>
  <c r="AT361" i="7"/>
  <c r="AS361" i="7"/>
  <c r="AL361" i="7"/>
  <c r="AK361" i="7"/>
  <c r="AI361" i="7" s="1"/>
  <c r="AD361" i="7"/>
  <c r="AC361" i="7"/>
  <c r="V361" i="7"/>
  <c r="U361" i="7"/>
  <c r="S361" i="7" s="1"/>
  <c r="N361" i="7"/>
  <c r="M361" i="7"/>
  <c r="L361" i="7" s="1"/>
  <c r="F361" i="7"/>
  <c r="E361" i="7"/>
  <c r="D361" i="7" s="1"/>
  <c r="AT360" i="7"/>
  <c r="AS360" i="7"/>
  <c r="AR360" i="7" s="1"/>
  <c r="AL360" i="7"/>
  <c r="AK360" i="7"/>
  <c r="AI360" i="7" s="1"/>
  <c r="AD360" i="7"/>
  <c r="AC360" i="7"/>
  <c r="AA360" i="7" s="1"/>
  <c r="V360" i="7"/>
  <c r="U360" i="7"/>
  <c r="T360" i="7" s="1"/>
  <c r="N360" i="7"/>
  <c r="M360" i="7"/>
  <c r="L360" i="7" s="1"/>
  <c r="F360" i="7"/>
  <c r="E360" i="7"/>
  <c r="D360" i="7" s="1"/>
  <c r="AT359" i="7"/>
  <c r="AS359" i="7"/>
  <c r="AR359" i="7" s="1"/>
  <c r="AL359" i="7"/>
  <c r="AK359" i="7"/>
  <c r="AI359" i="7" s="1"/>
  <c r="AD359" i="7"/>
  <c r="AC359" i="7"/>
  <c r="AA359" i="7" s="1"/>
  <c r="V359" i="7"/>
  <c r="U359" i="7"/>
  <c r="S359" i="7" s="1"/>
  <c r="N359" i="7"/>
  <c r="M359" i="7"/>
  <c r="L359" i="7" s="1"/>
  <c r="F359" i="7"/>
  <c r="E359" i="7"/>
  <c r="D359" i="7" s="1"/>
  <c r="AT358" i="7"/>
  <c r="AS358" i="7"/>
  <c r="AR358" i="7" s="1"/>
  <c r="AL358" i="7"/>
  <c r="AK358" i="7"/>
  <c r="AI358" i="7" s="1"/>
  <c r="AD358" i="7"/>
  <c r="AC358" i="7"/>
  <c r="AA358" i="7" s="1"/>
  <c r="V358" i="7"/>
  <c r="U358" i="7"/>
  <c r="S358" i="7" s="1"/>
  <c r="N358" i="7"/>
  <c r="M358" i="7"/>
  <c r="L358" i="7" s="1"/>
  <c r="F358" i="7"/>
  <c r="E358" i="7"/>
  <c r="D358" i="7" s="1"/>
  <c r="AT357" i="7"/>
  <c r="AS357" i="7"/>
  <c r="AL357" i="7"/>
  <c r="AK357" i="7"/>
  <c r="AI357" i="7" s="1"/>
  <c r="AD357" i="7"/>
  <c r="AC357" i="7"/>
  <c r="AA357" i="7" s="1"/>
  <c r="V357" i="7"/>
  <c r="U357" i="7"/>
  <c r="T357" i="7" s="1"/>
  <c r="N357" i="7"/>
  <c r="M357" i="7"/>
  <c r="L357" i="7" s="1"/>
  <c r="F357" i="7"/>
  <c r="E357" i="7"/>
  <c r="D357" i="7" s="1"/>
  <c r="AT356" i="7"/>
  <c r="AS356" i="7"/>
  <c r="AQ356" i="7" s="1"/>
  <c r="AL356" i="7"/>
  <c r="AK356" i="7"/>
  <c r="AI356" i="7" s="1"/>
  <c r="AD356" i="7"/>
  <c r="AC356" i="7"/>
  <c r="AA356" i="7" s="1"/>
  <c r="V356" i="7"/>
  <c r="U356" i="7"/>
  <c r="T356" i="7" s="1"/>
  <c r="N356" i="7"/>
  <c r="M356" i="7"/>
  <c r="L356" i="7" s="1"/>
  <c r="F356" i="7"/>
  <c r="E356" i="7"/>
  <c r="D356" i="7" s="1"/>
  <c r="AT355" i="7"/>
  <c r="AS355" i="7"/>
  <c r="AR355" i="7" s="1"/>
  <c r="AL355" i="7"/>
  <c r="AK355" i="7"/>
  <c r="AI355" i="7" s="1"/>
  <c r="AD355" i="7"/>
  <c r="AC355" i="7"/>
  <c r="AA355" i="7" s="1"/>
  <c r="V355" i="7"/>
  <c r="U355" i="7"/>
  <c r="N355" i="7"/>
  <c r="M355" i="7"/>
  <c r="L355" i="7" s="1"/>
  <c r="F355" i="7"/>
  <c r="E355" i="7"/>
  <c r="D355" i="7" s="1"/>
  <c r="AT354" i="7"/>
  <c r="AS354" i="7"/>
  <c r="AR354" i="7" s="1"/>
  <c r="AL354" i="7"/>
  <c r="AK354" i="7"/>
  <c r="AI354" i="7" s="1"/>
  <c r="AD354" i="7"/>
  <c r="AC354" i="7"/>
  <c r="AA354" i="7" s="1"/>
  <c r="V354" i="7"/>
  <c r="U354" i="7"/>
  <c r="T354" i="7" s="1"/>
  <c r="N354" i="7"/>
  <c r="M354" i="7"/>
  <c r="L354" i="7" s="1"/>
  <c r="F354" i="7"/>
  <c r="E354" i="7"/>
  <c r="D354" i="7" s="1"/>
  <c r="AT353" i="7"/>
  <c r="AS353" i="7"/>
  <c r="AR353" i="7" s="1"/>
  <c r="AL353" i="7"/>
  <c r="AK353" i="7"/>
  <c r="AI353" i="7" s="1"/>
  <c r="AD353" i="7"/>
  <c r="AC353" i="7"/>
  <c r="AA353" i="7" s="1"/>
  <c r="V353" i="7"/>
  <c r="U353" i="7"/>
  <c r="S353" i="7" s="1"/>
  <c r="N353" i="7"/>
  <c r="M353" i="7"/>
  <c r="L353" i="7" s="1"/>
  <c r="F353" i="7"/>
  <c r="E353" i="7"/>
  <c r="D353" i="7" s="1"/>
  <c r="AT352" i="7"/>
  <c r="AS352" i="7"/>
  <c r="AR352" i="7" s="1"/>
  <c r="AQ352" i="7"/>
  <c r="AL352" i="7"/>
  <c r="AK352" i="7"/>
  <c r="AI352" i="7" s="1"/>
  <c r="AD352" i="7"/>
  <c r="AC352" i="7"/>
  <c r="AA352" i="7" s="1"/>
  <c r="V352" i="7"/>
  <c r="U352" i="7"/>
  <c r="T352" i="7" s="1"/>
  <c r="N352" i="7"/>
  <c r="M352" i="7"/>
  <c r="L352" i="7" s="1"/>
  <c r="F352" i="7"/>
  <c r="E352" i="7"/>
  <c r="D352" i="7" s="1"/>
  <c r="AT351" i="7"/>
  <c r="AS351" i="7"/>
  <c r="AR351" i="7" s="1"/>
  <c r="AL351" i="7"/>
  <c r="AK351" i="7"/>
  <c r="AI351" i="7" s="1"/>
  <c r="AD351" i="7"/>
  <c r="AC351" i="7"/>
  <c r="AA351" i="7" s="1"/>
  <c r="V351" i="7"/>
  <c r="U351" i="7"/>
  <c r="T351" i="7" s="1"/>
  <c r="N351" i="7"/>
  <c r="M351" i="7"/>
  <c r="L351" i="7" s="1"/>
  <c r="F351" i="7"/>
  <c r="E351" i="7"/>
  <c r="D351" i="7" s="1"/>
  <c r="AT350" i="7"/>
  <c r="AS350" i="7"/>
  <c r="AQ350" i="7" s="1"/>
  <c r="AL350" i="7"/>
  <c r="AK350" i="7"/>
  <c r="AI350" i="7" s="1"/>
  <c r="AD350" i="7"/>
  <c r="AC350" i="7"/>
  <c r="AA350" i="7" s="1"/>
  <c r="V350" i="7"/>
  <c r="U350" i="7"/>
  <c r="T350" i="7" s="1"/>
  <c r="N350" i="7"/>
  <c r="M350" i="7"/>
  <c r="L350" i="7" s="1"/>
  <c r="F350" i="7"/>
  <c r="E350" i="7"/>
  <c r="D350" i="7" s="1"/>
  <c r="AT349" i="7"/>
  <c r="AS349" i="7"/>
  <c r="AQ349" i="7" s="1"/>
  <c r="AL349" i="7"/>
  <c r="AK349" i="7"/>
  <c r="AI349" i="7" s="1"/>
  <c r="AD349" i="7"/>
  <c r="AC349" i="7"/>
  <c r="V349" i="7"/>
  <c r="U349" i="7"/>
  <c r="S349" i="7" s="1"/>
  <c r="N349" i="7"/>
  <c r="M349" i="7"/>
  <c r="L349" i="7" s="1"/>
  <c r="F349" i="7"/>
  <c r="E349" i="7"/>
  <c r="D349" i="7" s="1"/>
  <c r="AT348" i="7"/>
  <c r="AS348" i="7"/>
  <c r="AR348" i="7" s="1"/>
  <c r="AQ348" i="7"/>
  <c r="AL348" i="7"/>
  <c r="AK348" i="7"/>
  <c r="AI348" i="7" s="1"/>
  <c r="AD348" i="7"/>
  <c r="AC348" i="7"/>
  <c r="AA348" i="7" s="1"/>
  <c r="V348" i="7"/>
  <c r="U348" i="7"/>
  <c r="T348" i="7" s="1"/>
  <c r="N348" i="7"/>
  <c r="M348" i="7"/>
  <c r="L348" i="7" s="1"/>
  <c r="F348" i="7"/>
  <c r="E348" i="7"/>
  <c r="D348" i="7" s="1"/>
  <c r="AT347" i="7"/>
  <c r="AS347" i="7"/>
  <c r="AR347" i="7" s="1"/>
  <c r="AL347" i="7"/>
  <c r="AK347" i="7"/>
  <c r="AI347" i="7" s="1"/>
  <c r="AD347" i="7"/>
  <c r="AC347" i="7"/>
  <c r="AA347" i="7" s="1"/>
  <c r="V347" i="7"/>
  <c r="U347" i="7"/>
  <c r="S347" i="7" s="1"/>
  <c r="N347" i="7"/>
  <c r="M347" i="7"/>
  <c r="L347" i="7" s="1"/>
  <c r="F347" i="7"/>
  <c r="E347" i="7"/>
  <c r="D347" i="7" s="1"/>
  <c r="AT346" i="7"/>
  <c r="AS346" i="7"/>
  <c r="AR346" i="7" s="1"/>
  <c r="AL346" i="7"/>
  <c r="AK346" i="7"/>
  <c r="AI346" i="7" s="1"/>
  <c r="AD346" i="7"/>
  <c r="AC346" i="7"/>
  <c r="AA346" i="7" s="1"/>
  <c r="V346" i="7"/>
  <c r="U346" i="7"/>
  <c r="N346" i="7"/>
  <c r="M346" i="7"/>
  <c r="L346" i="7" s="1"/>
  <c r="F346" i="7"/>
  <c r="E346" i="7"/>
  <c r="D346" i="7" s="1"/>
  <c r="AT345" i="7"/>
  <c r="AS345" i="7"/>
  <c r="AR345" i="7" s="1"/>
  <c r="AL345" i="7"/>
  <c r="AK345" i="7"/>
  <c r="AI345" i="7" s="1"/>
  <c r="AD345" i="7"/>
  <c r="AC345" i="7"/>
  <c r="AA345" i="7" s="1"/>
  <c r="V345" i="7"/>
  <c r="U345" i="7"/>
  <c r="S345" i="7" s="1"/>
  <c r="N345" i="7"/>
  <c r="M345" i="7"/>
  <c r="L345" i="7" s="1"/>
  <c r="F345" i="7"/>
  <c r="E345" i="7"/>
  <c r="D345" i="7" s="1"/>
  <c r="AT344" i="7"/>
  <c r="AS344" i="7"/>
  <c r="AQ344" i="7" s="1"/>
  <c r="AL344" i="7"/>
  <c r="AK344" i="7"/>
  <c r="AI344" i="7" s="1"/>
  <c r="AD344" i="7"/>
  <c r="AC344" i="7"/>
  <c r="AA344" i="7" s="1"/>
  <c r="V344" i="7"/>
  <c r="U344" i="7"/>
  <c r="T344" i="7" s="1"/>
  <c r="N344" i="7"/>
  <c r="M344" i="7"/>
  <c r="L344" i="7" s="1"/>
  <c r="F344" i="7"/>
  <c r="E344" i="7"/>
  <c r="D344" i="7" s="1"/>
  <c r="AT343" i="7"/>
  <c r="AS343" i="7"/>
  <c r="AL343" i="7"/>
  <c r="AK343" i="7"/>
  <c r="AI343" i="7" s="1"/>
  <c r="AD343" i="7"/>
  <c r="AC343" i="7"/>
  <c r="V343" i="7"/>
  <c r="U343" i="7"/>
  <c r="S343" i="7" s="1"/>
  <c r="N343" i="7"/>
  <c r="M343" i="7"/>
  <c r="L343" i="7" s="1"/>
  <c r="F343" i="7"/>
  <c r="E343" i="7"/>
  <c r="D343" i="7" s="1"/>
  <c r="AT342" i="7"/>
  <c r="AS342" i="7"/>
  <c r="AR342" i="7" s="1"/>
  <c r="AL342" i="7"/>
  <c r="AK342" i="7"/>
  <c r="AI342" i="7" s="1"/>
  <c r="AD342" i="7"/>
  <c r="AC342" i="7"/>
  <c r="AA342" i="7" s="1"/>
  <c r="V342" i="7"/>
  <c r="U342" i="7"/>
  <c r="T342" i="7" s="1"/>
  <c r="N342" i="7"/>
  <c r="M342" i="7"/>
  <c r="L342" i="7" s="1"/>
  <c r="F342" i="7"/>
  <c r="E342" i="7"/>
  <c r="D342" i="7" s="1"/>
  <c r="AT341" i="7"/>
  <c r="AS341" i="7"/>
  <c r="AR341" i="7" s="1"/>
  <c r="AL341" i="7"/>
  <c r="AK341" i="7"/>
  <c r="AI341" i="7" s="1"/>
  <c r="AD341" i="7"/>
  <c r="AC341" i="7"/>
  <c r="AA341" i="7" s="1"/>
  <c r="V341" i="7"/>
  <c r="U341" i="7"/>
  <c r="S341" i="7" s="1"/>
  <c r="N341" i="7"/>
  <c r="M341" i="7"/>
  <c r="L341" i="7" s="1"/>
  <c r="F341" i="7"/>
  <c r="E341" i="7"/>
  <c r="D341" i="7" s="1"/>
  <c r="AT340" i="7"/>
  <c r="AS340" i="7"/>
  <c r="AR340" i="7" s="1"/>
  <c r="AL340" i="7"/>
  <c r="AK340" i="7"/>
  <c r="AI340" i="7" s="1"/>
  <c r="AD340" i="7"/>
  <c r="AC340" i="7"/>
  <c r="AA340" i="7" s="1"/>
  <c r="V340" i="7"/>
  <c r="U340" i="7"/>
  <c r="N340" i="7"/>
  <c r="M340" i="7"/>
  <c r="L340" i="7" s="1"/>
  <c r="F340" i="7"/>
  <c r="E340" i="7"/>
  <c r="D340" i="7" s="1"/>
  <c r="AT339" i="7"/>
  <c r="AS339" i="7"/>
  <c r="AR339" i="7" s="1"/>
  <c r="AL339" i="7"/>
  <c r="AK339" i="7"/>
  <c r="AI339" i="7" s="1"/>
  <c r="AD339" i="7"/>
  <c r="AC339" i="7"/>
  <c r="AA339" i="7" s="1"/>
  <c r="V339" i="7"/>
  <c r="U339" i="7"/>
  <c r="T339" i="7" s="1"/>
  <c r="N339" i="7"/>
  <c r="M339" i="7"/>
  <c r="L339" i="7" s="1"/>
  <c r="F339" i="7"/>
  <c r="E339" i="7"/>
  <c r="D339" i="7" s="1"/>
  <c r="AT338" i="7"/>
  <c r="AS338" i="7"/>
  <c r="AQ338" i="7" s="1"/>
  <c r="AL338" i="7"/>
  <c r="AK338" i="7"/>
  <c r="AI338" i="7" s="1"/>
  <c r="AD338" i="7"/>
  <c r="AC338" i="7"/>
  <c r="AA338" i="7" s="1"/>
  <c r="V338" i="7"/>
  <c r="U338" i="7"/>
  <c r="T338" i="7" s="1"/>
  <c r="N338" i="7"/>
  <c r="M338" i="7"/>
  <c r="L338" i="7" s="1"/>
  <c r="F338" i="7"/>
  <c r="E338" i="7"/>
  <c r="D338" i="7" s="1"/>
  <c r="AT337" i="7"/>
  <c r="AS337" i="7"/>
  <c r="AR337" i="7" s="1"/>
  <c r="AL337" i="7"/>
  <c r="AK337" i="7"/>
  <c r="AI337" i="7" s="1"/>
  <c r="AD337" i="7"/>
  <c r="AC337" i="7"/>
  <c r="AA337" i="7" s="1"/>
  <c r="V337" i="7"/>
  <c r="U337" i="7"/>
  <c r="S337" i="7" s="1"/>
  <c r="N337" i="7"/>
  <c r="M337" i="7"/>
  <c r="L337" i="7" s="1"/>
  <c r="F337" i="7"/>
  <c r="E337" i="7"/>
  <c r="D337" i="7" s="1"/>
  <c r="AT336" i="7"/>
  <c r="AS336" i="7"/>
  <c r="AR336" i="7" s="1"/>
  <c r="AL336" i="7"/>
  <c r="AK336" i="7"/>
  <c r="AI336" i="7" s="1"/>
  <c r="AD336" i="7"/>
  <c r="AC336" i="7"/>
  <c r="AA336" i="7" s="1"/>
  <c r="V336" i="7"/>
  <c r="U336" i="7"/>
  <c r="T336" i="7" s="1"/>
  <c r="N336" i="7"/>
  <c r="M336" i="7"/>
  <c r="L336" i="7" s="1"/>
  <c r="F336" i="7"/>
  <c r="E336" i="7"/>
  <c r="D336" i="7" s="1"/>
  <c r="AT335" i="7"/>
  <c r="AS335" i="7"/>
  <c r="AR335" i="7" s="1"/>
  <c r="AL335" i="7"/>
  <c r="AK335" i="7"/>
  <c r="AI335" i="7" s="1"/>
  <c r="AD335" i="7"/>
  <c r="AC335" i="7"/>
  <c r="AA335" i="7" s="1"/>
  <c r="V335" i="7"/>
  <c r="U335" i="7"/>
  <c r="S335" i="7" s="1"/>
  <c r="N335" i="7"/>
  <c r="M335" i="7"/>
  <c r="L335" i="7" s="1"/>
  <c r="F335" i="7"/>
  <c r="E335" i="7"/>
  <c r="D335" i="7" s="1"/>
  <c r="AT334" i="7"/>
  <c r="AS334" i="7"/>
  <c r="AR334" i="7" s="1"/>
  <c r="AL334" i="7"/>
  <c r="AK334" i="7"/>
  <c r="AI334" i="7" s="1"/>
  <c r="AD334" i="7"/>
  <c r="AC334" i="7"/>
  <c r="AA334" i="7" s="1"/>
  <c r="V334" i="7"/>
  <c r="U334" i="7"/>
  <c r="N334" i="7"/>
  <c r="M334" i="7"/>
  <c r="L334" i="7" s="1"/>
  <c r="F334" i="7"/>
  <c r="E334" i="7"/>
  <c r="D334" i="7" s="1"/>
  <c r="AT333" i="7"/>
  <c r="AS333" i="7"/>
  <c r="AR333" i="7" s="1"/>
  <c r="AL333" i="7"/>
  <c r="AK333" i="7"/>
  <c r="AI333" i="7" s="1"/>
  <c r="AD333" i="7"/>
  <c r="AC333" i="7"/>
  <c r="AA333" i="7" s="1"/>
  <c r="V333" i="7"/>
  <c r="U333" i="7"/>
  <c r="T333" i="7" s="1"/>
  <c r="N333" i="7"/>
  <c r="M333" i="7"/>
  <c r="L333" i="7" s="1"/>
  <c r="F333" i="7"/>
  <c r="E333" i="7"/>
  <c r="D333" i="7" s="1"/>
  <c r="AT332" i="7"/>
  <c r="AS332" i="7"/>
  <c r="AQ332" i="7" s="1"/>
  <c r="AL332" i="7"/>
  <c r="AK332" i="7"/>
  <c r="AI332" i="7" s="1"/>
  <c r="AD332" i="7"/>
  <c r="AC332" i="7"/>
  <c r="AA332" i="7" s="1"/>
  <c r="V332" i="7"/>
  <c r="U332" i="7"/>
  <c r="T332" i="7" s="1"/>
  <c r="N332" i="7"/>
  <c r="M332" i="7"/>
  <c r="L332" i="7" s="1"/>
  <c r="F332" i="7"/>
  <c r="E332" i="7"/>
  <c r="D332" i="7" s="1"/>
  <c r="AT331" i="7"/>
  <c r="AS331" i="7"/>
  <c r="AR331" i="7" s="1"/>
  <c r="AQ331" i="7"/>
  <c r="AL331" i="7"/>
  <c r="AK331" i="7"/>
  <c r="AI331" i="7" s="1"/>
  <c r="AD331" i="7"/>
  <c r="AC331" i="7"/>
  <c r="AA331" i="7" s="1"/>
  <c r="V331" i="7"/>
  <c r="U331" i="7"/>
  <c r="T331" i="7" s="1"/>
  <c r="N331" i="7"/>
  <c r="M331" i="7"/>
  <c r="L331" i="7" s="1"/>
  <c r="F331" i="7"/>
  <c r="E331" i="7"/>
  <c r="D331" i="7" s="1"/>
  <c r="AT330" i="7"/>
  <c r="AS330" i="7"/>
  <c r="AR330" i="7" s="1"/>
  <c r="AL330" i="7"/>
  <c r="AK330" i="7"/>
  <c r="AI330" i="7" s="1"/>
  <c r="AD330" i="7"/>
  <c r="AC330" i="7"/>
  <c r="AA330" i="7" s="1"/>
  <c r="V330" i="7"/>
  <c r="U330" i="7"/>
  <c r="T330" i="7" s="1"/>
  <c r="S330" i="7"/>
  <c r="N330" i="7"/>
  <c r="M330" i="7"/>
  <c r="L330" i="7" s="1"/>
  <c r="F330" i="7"/>
  <c r="E330" i="7"/>
  <c r="D330" i="7" s="1"/>
  <c r="AT329" i="7"/>
  <c r="AS329" i="7"/>
  <c r="AR329" i="7" s="1"/>
  <c r="AL329" i="7"/>
  <c r="AK329" i="7"/>
  <c r="AI329" i="7" s="1"/>
  <c r="AD329" i="7"/>
  <c r="AC329" i="7"/>
  <c r="AA329" i="7" s="1"/>
  <c r="V329" i="7"/>
  <c r="U329" i="7"/>
  <c r="S329" i="7" s="1"/>
  <c r="N329" i="7"/>
  <c r="M329" i="7"/>
  <c r="L329" i="7" s="1"/>
  <c r="F329" i="7"/>
  <c r="E329" i="7"/>
  <c r="D329" i="7" s="1"/>
  <c r="AT328" i="7"/>
  <c r="AS328" i="7"/>
  <c r="AR328" i="7" s="1"/>
  <c r="AL328" i="7"/>
  <c r="AK328" i="7"/>
  <c r="AI328" i="7" s="1"/>
  <c r="AD328" i="7"/>
  <c r="AC328" i="7"/>
  <c r="AA328" i="7" s="1"/>
  <c r="V328" i="7"/>
  <c r="U328" i="7"/>
  <c r="S328" i="7" s="1"/>
  <c r="N328" i="7"/>
  <c r="M328" i="7"/>
  <c r="L328" i="7" s="1"/>
  <c r="F328" i="7"/>
  <c r="E328" i="7"/>
  <c r="D328" i="7" s="1"/>
  <c r="AT327" i="7"/>
  <c r="AS327" i="7"/>
  <c r="AR327" i="7" s="1"/>
  <c r="AL327" i="7"/>
  <c r="AK327" i="7"/>
  <c r="AI327" i="7" s="1"/>
  <c r="AD327" i="7"/>
  <c r="AC327" i="7"/>
  <c r="AA327" i="7" s="1"/>
  <c r="V327" i="7"/>
  <c r="U327" i="7"/>
  <c r="T327" i="7" s="1"/>
  <c r="N327" i="7"/>
  <c r="M327" i="7"/>
  <c r="L327" i="7" s="1"/>
  <c r="F327" i="7"/>
  <c r="E327" i="7"/>
  <c r="D327" i="7" s="1"/>
  <c r="AT326" i="7"/>
  <c r="AS326" i="7"/>
  <c r="AQ326" i="7" s="1"/>
  <c r="AL326" i="7"/>
  <c r="AK326" i="7"/>
  <c r="AI326" i="7" s="1"/>
  <c r="AD326" i="7"/>
  <c r="AC326" i="7"/>
  <c r="AA326" i="7" s="1"/>
  <c r="V326" i="7"/>
  <c r="U326" i="7"/>
  <c r="T326" i="7" s="1"/>
  <c r="N326" i="7"/>
  <c r="M326" i="7"/>
  <c r="L326" i="7" s="1"/>
  <c r="F326" i="7"/>
  <c r="E326" i="7"/>
  <c r="D326" i="7" s="1"/>
  <c r="AT325" i="7"/>
  <c r="AS325" i="7"/>
  <c r="AR325" i="7" s="1"/>
  <c r="AL325" i="7"/>
  <c r="AK325" i="7"/>
  <c r="AI325" i="7" s="1"/>
  <c r="AD325" i="7"/>
  <c r="AC325" i="7"/>
  <c r="AA325" i="7" s="1"/>
  <c r="V325" i="7"/>
  <c r="U325" i="7"/>
  <c r="N325" i="7"/>
  <c r="M325" i="7"/>
  <c r="L325" i="7" s="1"/>
  <c r="F325" i="7"/>
  <c r="E325" i="7"/>
  <c r="D325" i="7" s="1"/>
  <c r="AT324" i="7"/>
  <c r="AS324" i="7"/>
  <c r="AR324" i="7" s="1"/>
  <c r="AL324" i="7"/>
  <c r="AK324" i="7"/>
  <c r="AI324" i="7" s="1"/>
  <c r="AD324" i="7"/>
  <c r="AC324" i="7"/>
  <c r="AA324" i="7" s="1"/>
  <c r="V324" i="7"/>
  <c r="U324" i="7"/>
  <c r="T324" i="7" s="1"/>
  <c r="N324" i="7"/>
  <c r="M324" i="7"/>
  <c r="L324" i="7" s="1"/>
  <c r="F324" i="7"/>
  <c r="E324" i="7"/>
  <c r="D324" i="7" s="1"/>
  <c r="AT323" i="7"/>
  <c r="AS323" i="7"/>
  <c r="AR323" i="7" s="1"/>
  <c r="AL323" i="7"/>
  <c r="AK323" i="7"/>
  <c r="AI323" i="7" s="1"/>
  <c r="AD323" i="7"/>
  <c r="AC323" i="7"/>
  <c r="AA323" i="7" s="1"/>
  <c r="V323" i="7"/>
  <c r="U323" i="7"/>
  <c r="S323" i="7" s="1"/>
  <c r="N323" i="7"/>
  <c r="M323" i="7"/>
  <c r="L323" i="7" s="1"/>
  <c r="F323" i="7"/>
  <c r="E323" i="7"/>
  <c r="D323" i="7" s="1"/>
  <c r="AT322" i="7"/>
  <c r="AS322" i="7"/>
  <c r="AR322" i="7" s="1"/>
  <c r="AL322" i="7"/>
  <c r="AK322" i="7"/>
  <c r="AI322" i="7" s="1"/>
  <c r="AD322" i="7"/>
  <c r="AC322" i="7"/>
  <c r="AA322" i="7" s="1"/>
  <c r="V322" i="7"/>
  <c r="U322" i="7"/>
  <c r="S322" i="7" s="1"/>
  <c r="N322" i="7"/>
  <c r="M322" i="7"/>
  <c r="L322" i="7" s="1"/>
  <c r="F322" i="7"/>
  <c r="E322" i="7"/>
  <c r="D322" i="7" s="1"/>
  <c r="AT321" i="7"/>
  <c r="AS321" i="7"/>
  <c r="AR321" i="7" s="1"/>
  <c r="AL321" i="7"/>
  <c r="AK321" i="7"/>
  <c r="AI321" i="7" s="1"/>
  <c r="AD321" i="7"/>
  <c r="AC321" i="7"/>
  <c r="AA321" i="7" s="1"/>
  <c r="V321" i="7"/>
  <c r="U321" i="7"/>
  <c r="S321" i="7" s="1"/>
  <c r="T321" i="7"/>
  <c r="N321" i="7"/>
  <c r="M321" i="7"/>
  <c r="L321" i="7" s="1"/>
  <c r="F321" i="7"/>
  <c r="E321" i="7"/>
  <c r="D321" i="7" s="1"/>
  <c r="AT320" i="7"/>
  <c r="AS320" i="7"/>
  <c r="AQ320" i="7" s="1"/>
  <c r="AL320" i="7"/>
  <c r="AK320" i="7"/>
  <c r="AI320" i="7" s="1"/>
  <c r="AD320" i="7"/>
  <c r="AC320" i="7"/>
  <c r="AA320" i="7" s="1"/>
  <c r="V320" i="7"/>
  <c r="U320" i="7"/>
  <c r="T320" i="7" s="1"/>
  <c r="N320" i="7"/>
  <c r="M320" i="7"/>
  <c r="L320" i="7" s="1"/>
  <c r="F320" i="7"/>
  <c r="E320" i="7"/>
  <c r="D320" i="7" s="1"/>
  <c r="AT319" i="7"/>
  <c r="AS319" i="7"/>
  <c r="AR319" i="7" s="1"/>
  <c r="AL319" i="7"/>
  <c r="AK319" i="7"/>
  <c r="AI319" i="7" s="1"/>
  <c r="AD319" i="7"/>
  <c r="AC319" i="7"/>
  <c r="AA319" i="7" s="1"/>
  <c r="V319" i="7"/>
  <c r="U319" i="7"/>
  <c r="S319" i="7" s="1"/>
  <c r="T319" i="7"/>
  <c r="N319" i="7"/>
  <c r="M319" i="7"/>
  <c r="L319" i="7" s="1"/>
  <c r="F319" i="7"/>
  <c r="E319" i="7"/>
  <c r="D319" i="7" s="1"/>
  <c r="AT318" i="7"/>
  <c r="AS318" i="7"/>
  <c r="AR318" i="7" s="1"/>
  <c r="AL318" i="7"/>
  <c r="AK318" i="7"/>
  <c r="AI318" i="7" s="1"/>
  <c r="AD318" i="7"/>
  <c r="AC318" i="7"/>
  <c r="AA318" i="7" s="1"/>
  <c r="V318" i="7"/>
  <c r="U318" i="7"/>
  <c r="T318" i="7" s="1"/>
  <c r="N318" i="7"/>
  <c r="M318" i="7"/>
  <c r="L318" i="7" s="1"/>
  <c r="F318" i="7"/>
  <c r="E318" i="7"/>
  <c r="D318" i="7" s="1"/>
  <c r="AT317" i="7"/>
  <c r="AS317" i="7"/>
  <c r="AR317" i="7" s="1"/>
  <c r="AL317" i="7"/>
  <c r="AK317" i="7"/>
  <c r="AI317" i="7" s="1"/>
  <c r="AD317" i="7"/>
  <c r="AC317" i="7"/>
  <c r="AA317" i="7" s="1"/>
  <c r="V317" i="7"/>
  <c r="U317" i="7"/>
  <c r="S317" i="7" s="1"/>
  <c r="N317" i="7"/>
  <c r="M317" i="7"/>
  <c r="L317" i="7" s="1"/>
  <c r="F317" i="7"/>
  <c r="E317" i="7"/>
  <c r="D317" i="7" s="1"/>
  <c r="AT316" i="7"/>
  <c r="AS316" i="7"/>
  <c r="AR316" i="7" s="1"/>
  <c r="AL316" i="7"/>
  <c r="AK316" i="7"/>
  <c r="AI316" i="7" s="1"/>
  <c r="AD316" i="7"/>
  <c r="AC316" i="7"/>
  <c r="AA316" i="7" s="1"/>
  <c r="V316" i="7"/>
  <c r="U316" i="7"/>
  <c r="S316" i="7" s="1"/>
  <c r="N316" i="7"/>
  <c r="M316" i="7"/>
  <c r="L316" i="7" s="1"/>
  <c r="F316" i="7"/>
  <c r="E316" i="7"/>
  <c r="D316" i="7" s="1"/>
  <c r="AT315" i="7"/>
  <c r="AS315" i="7"/>
  <c r="AR315" i="7" s="1"/>
  <c r="AL315" i="7"/>
  <c r="AK315" i="7"/>
  <c r="AI315" i="7" s="1"/>
  <c r="AD315" i="7"/>
  <c r="AC315" i="7"/>
  <c r="AA315" i="7" s="1"/>
  <c r="V315" i="7"/>
  <c r="U315" i="7"/>
  <c r="S315" i="7" s="1"/>
  <c r="N315" i="7"/>
  <c r="M315" i="7"/>
  <c r="L315" i="7" s="1"/>
  <c r="F315" i="7"/>
  <c r="E315" i="7"/>
  <c r="D315" i="7" s="1"/>
  <c r="AT314" i="7"/>
  <c r="AS314" i="7"/>
  <c r="AQ314" i="7" s="1"/>
  <c r="AL314" i="7"/>
  <c r="AK314" i="7"/>
  <c r="AI314" i="7" s="1"/>
  <c r="AD314" i="7"/>
  <c r="AC314" i="7"/>
  <c r="AA314" i="7" s="1"/>
  <c r="V314" i="7"/>
  <c r="U314" i="7"/>
  <c r="T314" i="7" s="1"/>
  <c r="N314" i="7"/>
  <c r="M314" i="7"/>
  <c r="L314" i="7" s="1"/>
  <c r="F314" i="7"/>
  <c r="E314" i="7"/>
  <c r="D314" i="7" s="1"/>
  <c r="AT313" i="7"/>
  <c r="AS313" i="7"/>
  <c r="AR313" i="7" s="1"/>
  <c r="AL313" i="7"/>
  <c r="AK313" i="7"/>
  <c r="AI313" i="7" s="1"/>
  <c r="AD313" i="7"/>
  <c r="AC313" i="7"/>
  <c r="AA313" i="7" s="1"/>
  <c r="V313" i="7"/>
  <c r="U313" i="7"/>
  <c r="T313" i="7" s="1"/>
  <c r="N313" i="7"/>
  <c r="M313" i="7"/>
  <c r="L313" i="7" s="1"/>
  <c r="F313" i="7"/>
  <c r="E313" i="7"/>
  <c r="D313" i="7" s="1"/>
  <c r="AT312" i="7"/>
  <c r="AS312" i="7"/>
  <c r="AL312" i="7"/>
  <c r="AK312" i="7"/>
  <c r="AI312" i="7" s="1"/>
  <c r="AD312" i="7"/>
  <c r="AC312" i="7"/>
  <c r="AA312" i="7" s="1"/>
  <c r="V312" i="7"/>
  <c r="U312" i="7"/>
  <c r="T312" i="7" s="1"/>
  <c r="N312" i="7"/>
  <c r="M312" i="7"/>
  <c r="L312" i="7" s="1"/>
  <c r="F312" i="7"/>
  <c r="E312" i="7"/>
  <c r="D312" i="7" s="1"/>
  <c r="AT311" i="7"/>
  <c r="AS311" i="7"/>
  <c r="AR311" i="7" s="1"/>
  <c r="AL311" i="7"/>
  <c r="AK311" i="7"/>
  <c r="AI311" i="7" s="1"/>
  <c r="AD311" i="7"/>
  <c r="AC311" i="7"/>
  <c r="AA311" i="7" s="1"/>
  <c r="V311" i="7"/>
  <c r="U311" i="7"/>
  <c r="S311" i="7" s="1"/>
  <c r="N311" i="7"/>
  <c r="M311" i="7"/>
  <c r="L311" i="7" s="1"/>
  <c r="F311" i="7"/>
  <c r="E311" i="7"/>
  <c r="D311" i="7" s="1"/>
  <c r="AT310" i="7"/>
  <c r="AS310" i="7"/>
  <c r="AR310" i="7" s="1"/>
  <c r="AL310" i="7"/>
  <c r="AK310" i="7"/>
  <c r="AI310" i="7" s="1"/>
  <c r="AD310" i="7"/>
  <c r="AC310" i="7"/>
  <c r="AA310" i="7" s="1"/>
  <c r="V310" i="7"/>
  <c r="U310" i="7"/>
  <c r="N310" i="7"/>
  <c r="M310" i="7"/>
  <c r="L310" i="7" s="1"/>
  <c r="F310" i="7"/>
  <c r="E310" i="7"/>
  <c r="D310" i="7" s="1"/>
  <c r="AT309" i="7"/>
  <c r="AS309" i="7"/>
  <c r="AR309" i="7" s="1"/>
  <c r="AL309" i="7"/>
  <c r="AK309" i="7"/>
  <c r="AI309" i="7" s="1"/>
  <c r="AD309" i="7"/>
  <c r="AC309" i="7"/>
  <c r="AA309" i="7" s="1"/>
  <c r="V309" i="7"/>
  <c r="U309" i="7"/>
  <c r="T309" i="7" s="1"/>
  <c r="S309" i="7"/>
  <c r="N309" i="7"/>
  <c r="M309" i="7"/>
  <c r="L309" i="7" s="1"/>
  <c r="F309" i="7"/>
  <c r="E309" i="7"/>
  <c r="D309" i="7" s="1"/>
  <c r="AT308" i="7"/>
  <c r="AS308" i="7"/>
  <c r="AQ308" i="7" s="1"/>
  <c r="AL308" i="7"/>
  <c r="AK308" i="7"/>
  <c r="AD308" i="7"/>
  <c r="AC308" i="7"/>
  <c r="AA308" i="7" s="1"/>
  <c r="V308" i="7"/>
  <c r="U308" i="7"/>
  <c r="N308" i="7"/>
  <c r="M308" i="7"/>
  <c r="L308" i="7" s="1"/>
  <c r="F308" i="7"/>
  <c r="E308" i="7"/>
  <c r="D308" i="7" s="1"/>
  <c r="AT307" i="7"/>
  <c r="AS307" i="7"/>
  <c r="AQ307" i="7" s="1"/>
  <c r="AL307" i="7"/>
  <c r="AK307" i="7"/>
  <c r="AD307" i="7"/>
  <c r="AC307" i="7"/>
  <c r="V307" i="7"/>
  <c r="U307" i="7"/>
  <c r="T307" i="7" s="1"/>
  <c r="N307" i="7"/>
  <c r="M307" i="7"/>
  <c r="L307" i="7" s="1"/>
  <c r="F307" i="7"/>
  <c r="E307" i="7"/>
  <c r="D307" i="7" s="1"/>
  <c r="AT306" i="7"/>
  <c r="AS306" i="7"/>
  <c r="AR306" i="7" s="1"/>
  <c r="AL306" i="7"/>
  <c r="AK306" i="7"/>
  <c r="AD306" i="7"/>
  <c r="AC306" i="7"/>
  <c r="AA306" i="7" s="1"/>
  <c r="V306" i="7"/>
  <c r="U306" i="7"/>
  <c r="T306" i="7" s="1"/>
  <c r="N306" i="7"/>
  <c r="M306" i="7"/>
  <c r="L306" i="7" s="1"/>
  <c r="F306" i="7"/>
  <c r="E306" i="7"/>
  <c r="D306" i="7" s="1"/>
  <c r="AT305" i="7"/>
  <c r="AS305" i="7"/>
  <c r="AL305" i="7"/>
  <c r="AK305" i="7"/>
  <c r="AD305" i="7"/>
  <c r="AC305" i="7"/>
  <c r="V305" i="7"/>
  <c r="U305" i="7"/>
  <c r="S305" i="7" s="1"/>
  <c r="N305" i="7"/>
  <c r="M305" i="7"/>
  <c r="L305" i="7" s="1"/>
  <c r="F305" i="7"/>
  <c r="E305" i="7"/>
  <c r="D305" i="7" s="1"/>
  <c r="AT304" i="7"/>
  <c r="AS304" i="7"/>
  <c r="AR304" i="7" s="1"/>
  <c r="AL304" i="7"/>
  <c r="AK304" i="7"/>
  <c r="AD304" i="7"/>
  <c r="AC304" i="7"/>
  <c r="V304" i="7"/>
  <c r="U304" i="7"/>
  <c r="N304" i="7"/>
  <c r="M304" i="7"/>
  <c r="L304" i="7" s="1"/>
  <c r="F304" i="7"/>
  <c r="E304" i="7"/>
  <c r="D304" i="7" s="1"/>
  <c r="AT303" i="7"/>
  <c r="AS303" i="7"/>
  <c r="AR303" i="7" s="1"/>
  <c r="AL303" i="7"/>
  <c r="AK303" i="7"/>
  <c r="AD303" i="7"/>
  <c r="AC303" i="7"/>
  <c r="AA303" i="7" s="1"/>
  <c r="V303" i="7"/>
  <c r="U303" i="7"/>
  <c r="T303" i="7" s="1"/>
  <c r="N303" i="7"/>
  <c r="M303" i="7"/>
  <c r="L303" i="7" s="1"/>
  <c r="F303" i="7"/>
  <c r="E303" i="7"/>
  <c r="D303" i="7" s="1"/>
  <c r="AT302" i="7"/>
  <c r="AS302" i="7"/>
  <c r="AQ302" i="7" s="1"/>
  <c r="AL302" i="7"/>
  <c r="AK302" i="7"/>
  <c r="AD302" i="7"/>
  <c r="AC302" i="7"/>
  <c r="AA302" i="7" s="1"/>
  <c r="V302" i="7"/>
  <c r="U302" i="7"/>
  <c r="S302" i="7" s="1"/>
  <c r="N302" i="7"/>
  <c r="M302" i="7"/>
  <c r="L302" i="7" s="1"/>
  <c r="F302" i="7"/>
  <c r="E302" i="7"/>
  <c r="D302" i="7" s="1"/>
  <c r="AT301" i="7"/>
  <c r="AS301" i="7"/>
  <c r="AQ301" i="7" s="1"/>
  <c r="AL301" i="7"/>
  <c r="AK301" i="7"/>
  <c r="AD301" i="7"/>
  <c r="AC301" i="7"/>
  <c r="AA301" i="7" s="1"/>
  <c r="V301" i="7"/>
  <c r="U301" i="7"/>
  <c r="T301" i="7" s="1"/>
  <c r="N301" i="7"/>
  <c r="M301" i="7"/>
  <c r="L301" i="7" s="1"/>
  <c r="F301" i="7"/>
  <c r="E301" i="7"/>
  <c r="D301" i="7" s="1"/>
  <c r="AT300" i="7"/>
  <c r="AS300" i="7"/>
  <c r="AR300" i="7" s="1"/>
  <c r="AL300" i="7"/>
  <c r="AK300" i="7"/>
  <c r="AD300" i="7"/>
  <c r="AC300" i="7"/>
  <c r="AA300" i="7" s="1"/>
  <c r="V300" i="7"/>
  <c r="U300" i="7"/>
  <c r="T300" i="7" s="1"/>
  <c r="N300" i="7"/>
  <c r="M300" i="7"/>
  <c r="L300" i="7" s="1"/>
  <c r="F300" i="7"/>
  <c r="E300" i="7"/>
  <c r="D300" i="7" s="1"/>
  <c r="AT299" i="7"/>
  <c r="AS299" i="7"/>
  <c r="AR299" i="7" s="1"/>
  <c r="AL299" i="7"/>
  <c r="AK299" i="7"/>
  <c r="AD299" i="7"/>
  <c r="AC299" i="7"/>
  <c r="AA299" i="7" s="1"/>
  <c r="V299" i="7"/>
  <c r="U299" i="7"/>
  <c r="S299" i="7" s="1"/>
  <c r="N299" i="7"/>
  <c r="M299" i="7"/>
  <c r="L299" i="7" s="1"/>
  <c r="F299" i="7"/>
  <c r="E299" i="7"/>
  <c r="D299" i="7" s="1"/>
  <c r="AT298" i="7"/>
  <c r="AS298" i="7"/>
  <c r="AR298" i="7" s="1"/>
  <c r="AL298" i="7"/>
  <c r="AK298" i="7"/>
  <c r="AD298" i="7"/>
  <c r="AC298" i="7"/>
  <c r="AA298" i="7" s="1"/>
  <c r="V298" i="7"/>
  <c r="U298" i="7"/>
  <c r="S298" i="7" s="1"/>
  <c r="N298" i="7"/>
  <c r="M298" i="7"/>
  <c r="L298" i="7" s="1"/>
  <c r="F298" i="7"/>
  <c r="E298" i="7"/>
  <c r="D298" i="7" s="1"/>
  <c r="AT297" i="7"/>
  <c r="AS297" i="7"/>
  <c r="AR297" i="7" s="1"/>
  <c r="AL297" i="7"/>
  <c r="AK297" i="7"/>
  <c r="AD297" i="7"/>
  <c r="AC297" i="7"/>
  <c r="AA297" i="7" s="1"/>
  <c r="V297" i="7"/>
  <c r="U297" i="7"/>
  <c r="T297" i="7" s="1"/>
  <c r="N297" i="7"/>
  <c r="M297" i="7"/>
  <c r="L297" i="7" s="1"/>
  <c r="F297" i="7"/>
  <c r="E297" i="7"/>
  <c r="D297" i="7" s="1"/>
  <c r="AT296" i="7"/>
  <c r="AS296" i="7"/>
  <c r="AQ296" i="7" s="1"/>
  <c r="AL296" i="7"/>
  <c r="AK296" i="7"/>
  <c r="AD296" i="7"/>
  <c r="AC296" i="7"/>
  <c r="AA296" i="7" s="1"/>
  <c r="V296" i="7"/>
  <c r="U296" i="7"/>
  <c r="S296" i="7" s="1"/>
  <c r="N296" i="7"/>
  <c r="M296" i="7"/>
  <c r="L296" i="7" s="1"/>
  <c r="F296" i="7"/>
  <c r="E296" i="7"/>
  <c r="D296" i="7" s="1"/>
  <c r="AT295" i="7"/>
  <c r="AS295" i="7"/>
  <c r="AQ295" i="7" s="1"/>
  <c r="AL295" i="7"/>
  <c r="AK295" i="7"/>
  <c r="AD295" i="7"/>
  <c r="AC295" i="7"/>
  <c r="AA295" i="7" s="1"/>
  <c r="V295" i="7"/>
  <c r="U295" i="7"/>
  <c r="T295" i="7" s="1"/>
  <c r="N295" i="7"/>
  <c r="M295" i="7"/>
  <c r="L295" i="7" s="1"/>
  <c r="F295" i="7"/>
  <c r="E295" i="7"/>
  <c r="D295" i="7" s="1"/>
  <c r="AT294" i="7"/>
  <c r="AS294" i="7"/>
  <c r="AR294" i="7" s="1"/>
  <c r="AL294" i="7"/>
  <c r="AK294" i="7"/>
  <c r="AD294" i="7"/>
  <c r="AC294" i="7"/>
  <c r="AA294" i="7" s="1"/>
  <c r="V294" i="7"/>
  <c r="U294" i="7"/>
  <c r="T294" i="7" s="1"/>
  <c r="N294" i="7"/>
  <c r="M294" i="7"/>
  <c r="L294" i="7" s="1"/>
  <c r="F294" i="7"/>
  <c r="E294" i="7"/>
  <c r="D294" i="7" s="1"/>
  <c r="AT293" i="7"/>
  <c r="AS293" i="7"/>
  <c r="AR293" i="7" s="1"/>
  <c r="AL293" i="7"/>
  <c r="AK293" i="7"/>
  <c r="AD293" i="7"/>
  <c r="AC293" i="7"/>
  <c r="AA293" i="7" s="1"/>
  <c r="V293" i="7"/>
  <c r="U293" i="7"/>
  <c r="S293" i="7" s="1"/>
  <c r="N293" i="7"/>
  <c r="M293" i="7"/>
  <c r="L293" i="7" s="1"/>
  <c r="F293" i="7"/>
  <c r="E293" i="7"/>
  <c r="D293" i="7" s="1"/>
  <c r="AT292" i="7"/>
  <c r="AS292" i="7"/>
  <c r="AQ292" i="7" s="1"/>
  <c r="AL292" i="7"/>
  <c r="AK292" i="7"/>
  <c r="AD292" i="7"/>
  <c r="AC292" i="7"/>
  <c r="AA292" i="7" s="1"/>
  <c r="V292" i="7"/>
  <c r="U292" i="7"/>
  <c r="S292" i="7" s="1"/>
  <c r="N292" i="7"/>
  <c r="M292" i="7"/>
  <c r="L292" i="7" s="1"/>
  <c r="F292" i="7"/>
  <c r="E292" i="7"/>
  <c r="D292" i="7" s="1"/>
  <c r="AT291" i="7"/>
  <c r="AS291" i="7"/>
  <c r="AQ291" i="7" s="1"/>
  <c r="AL291" i="7"/>
  <c r="AK291" i="7"/>
  <c r="AD291" i="7"/>
  <c r="AC291" i="7"/>
  <c r="AA291" i="7" s="1"/>
  <c r="V291" i="7"/>
  <c r="U291" i="7"/>
  <c r="T291" i="7" s="1"/>
  <c r="N291" i="7"/>
  <c r="M291" i="7"/>
  <c r="L291" i="7" s="1"/>
  <c r="F291" i="7"/>
  <c r="E291" i="7"/>
  <c r="D291" i="7" s="1"/>
  <c r="AT290" i="7"/>
  <c r="AS290" i="7"/>
  <c r="AQ290" i="7" s="1"/>
  <c r="AL290" i="7"/>
  <c r="AK290" i="7"/>
  <c r="AD290" i="7"/>
  <c r="AC290" i="7"/>
  <c r="AA290" i="7" s="1"/>
  <c r="V290" i="7"/>
  <c r="U290" i="7"/>
  <c r="S290" i="7" s="1"/>
  <c r="N290" i="7"/>
  <c r="M290" i="7"/>
  <c r="L290" i="7" s="1"/>
  <c r="F290" i="7"/>
  <c r="E290" i="7"/>
  <c r="D290" i="7" s="1"/>
  <c r="AT289" i="7"/>
  <c r="AS289" i="7"/>
  <c r="AQ289" i="7" s="1"/>
  <c r="AL289" i="7"/>
  <c r="AK289" i="7"/>
  <c r="AD289" i="7"/>
  <c r="AC289" i="7"/>
  <c r="AA289" i="7" s="1"/>
  <c r="V289" i="7"/>
  <c r="U289" i="7"/>
  <c r="T289" i="7" s="1"/>
  <c r="N289" i="7"/>
  <c r="M289" i="7"/>
  <c r="L289" i="7" s="1"/>
  <c r="F289" i="7"/>
  <c r="E289" i="7"/>
  <c r="D289" i="7" s="1"/>
  <c r="AT288" i="7"/>
  <c r="AS288" i="7"/>
  <c r="AR288" i="7" s="1"/>
  <c r="AL288" i="7"/>
  <c r="AK288" i="7"/>
  <c r="AD288" i="7"/>
  <c r="AC288" i="7"/>
  <c r="AA288" i="7" s="1"/>
  <c r="V288" i="7"/>
  <c r="U288" i="7"/>
  <c r="S288" i="7" s="1"/>
  <c r="N288" i="7"/>
  <c r="M288" i="7"/>
  <c r="L288" i="7" s="1"/>
  <c r="F288" i="7"/>
  <c r="E288" i="7"/>
  <c r="D288" i="7" s="1"/>
  <c r="AT287" i="7"/>
  <c r="AS287" i="7"/>
  <c r="AR287" i="7" s="1"/>
  <c r="AL287" i="7"/>
  <c r="AK287" i="7"/>
  <c r="AD287" i="7"/>
  <c r="AC287" i="7"/>
  <c r="AA287" i="7" s="1"/>
  <c r="V287" i="7"/>
  <c r="U287" i="7"/>
  <c r="S287" i="7" s="1"/>
  <c r="N287" i="7"/>
  <c r="M287" i="7"/>
  <c r="L287" i="7" s="1"/>
  <c r="F287" i="7"/>
  <c r="E287" i="7"/>
  <c r="D287" i="7" s="1"/>
  <c r="AT286" i="7"/>
  <c r="AS286" i="7"/>
  <c r="AR286" i="7" s="1"/>
  <c r="AL286" i="7"/>
  <c r="AK286" i="7"/>
  <c r="AD286" i="7"/>
  <c r="AC286" i="7"/>
  <c r="AA286" i="7" s="1"/>
  <c r="V286" i="7"/>
  <c r="U286" i="7"/>
  <c r="S286" i="7" s="1"/>
  <c r="N286" i="7"/>
  <c r="M286" i="7"/>
  <c r="L286" i="7" s="1"/>
  <c r="F286" i="7"/>
  <c r="E286" i="7"/>
  <c r="D286" i="7" s="1"/>
  <c r="AT285" i="7"/>
  <c r="AS285" i="7"/>
  <c r="AR285" i="7" s="1"/>
  <c r="AL285" i="7"/>
  <c r="AK285" i="7"/>
  <c r="AD285" i="7"/>
  <c r="AC285" i="7"/>
  <c r="AA285" i="7" s="1"/>
  <c r="V285" i="7"/>
  <c r="U285" i="7"/>
  <c r="T285" i="7" s="1"/>
  <c r="N285" i="7"/>
  <c r="M285" i="7"/>
  <c r="L285" i="7" s="1"/>
  <c r="F285" i="7"/>
  <c r="E285" i="7"/>
  <c r="D285" i="7" s="1"/>
  <c r="AT284" i="7"/>
  <c r="AS284" i="7"/>
  <c r="AQ284" i="7" s="1"/>
  <c r="AL284" i="7"/>
  <c r="AK284" i="7"/>
  <c r="AD284" i="7"/>
  <c r="AC284" i="7"/>
  <c r="AA284" i="7" s="1"/>
  <c r="V284" i="7"/>
  <c r="U284" i="7"/>
  <c r="T284" i="7" s="1"/>
  <c r="N284" i="7"/>
  <c r="M284" i="7"/>
  <c r="L284" i="7" s="1"/>
  <c r="F284" i="7"/>
  <c r="E284" i="7"/>
  <c r="D284" i="7" s="1"/>
  <c r="AT283" i="7"/>
  <c r="AS283" i="7"/>
  <c r="AQ283" i="7" s="1"/>
  <c r="AL283" i="7"/>
  <c r="AK283" i="7"/>
  <c r="AD283" i="7"/>
  <c r="AC283" i="7"/>
  <c r="AA283" i="7" s="1"/>
  <c r="V283" i="7"/>
  <c r="U283" i="7"/>
  <c r="T283" i="7" s="1"/>
  <c r="N283" i="7"/>
  <c r="M283" i="7"/>
  <c r="L283" i="7" s="1"/>
  <c r="F283" i="7"/>
  <c r="E283" i="7"/>
  <c r="D283" i="7" s="1"/>
  <c r="AT282" i="7"/>
  <c r="AS282" i="7"/>
  <c r="AR282" i="7" s="1"/>
  <c r="AL282" i="7"/>
  <c r="AK282" i="7"/>
  <c r="AD282" i="7"/>
  <c r="AC282" i="7"/>
  <c r="AA282" i="7" s="1"/>
  <c r="V282" i="7"/>
  <c r="U282" i="7"/>
  <c r="T282" i="7" s="1"/>
  <c r="N282" i="7"/>
  <c r="M282" i="7"/>
  <c r="L282" i="7" s="1"/>
  <c r="F282" i="7"/>
  <c r="E282" i="7"/>
  <c r="D282" i="7" s="1"/>
  <c r="AT281" i="7"/>
  <c r="AS281" i="7"/>
  <c r="AR281" i="7" s="1"/>
  <c r="AL281" i="7"/>
  <c r="AK281" i="7"/>
  <c r="AD281" i="7"/>
  <c r="AC281" i="7"/>
  <c r="AA281" i="7" s="1"/>
  <c r="V281" i="7"/>
  <c r="U281" i="7"/>
  <c r="S281" i="7" s="1"/>
  <c r="N281" i="7"/>
  <c r="M281" i="7"/>
  <c r="L281" i="7" s="1"/>
  <c r="F281" i="7"/>
  <c r="E281" i="7"/>
  <c r="D281" i="7" s="1"/>
  <c r="AT280" i="7"/>
  <c r="AS280" i="7"/>
  <c r="AR280" i="7" s="1"/>
  <c r="AL280" i="7"/>
  <c r="AK280" i="7"/>
  <c r="AD280" i="7"/>
  <c r="AC280" i="7"/>
  <c r="AA280" i="7" s="1"/>
  <c r="V280" i="7"/>
  <c r="U280" i="7"/>
  <c r="S280" i="7" s="1"/>
  <c r="N280" i="7"/>
  <c r="M280" i="7"/>
  <c r="L280" i="7" s="1"/>
  <c r="F280" i="7"/>
  <c r="E280" i="7"/>
  <c r="D280" i="7" s="1"/>
  <c r="AT279" i="7"/>
  <c r="AS279" i="7"/>
  <c r="AR279" i="7" s="1"/>
  <c r="AL279" i="7"/>
  <c r="AK279" i="7"/>
  <c r="AD279" i="7"/>
  <c r="AC279" i="7"/>
  <c r="AA279" i="7" s="1"/>
  <c r="V279" i="7"/>
  <c r="U279" i="7"/>
  <c r="T279" i="7" s="1"/>
  <c r="N279" i="7"/>
  <c r="M279" i="7"/>
  <c r="L279" i="7" s="1"/>
  <c r="F279" i="7"/>
  <c r="E279" i="7"/>
  <c r="D279" i="7" s="1"/>
  <c r="AT278" i="7"/>
  <c r="AS278" i="7"/>
  <c r="AQ278" i="7" s="1"/>
  <c r="AL278" i="7"/>
  <c r="AK278" i="7"/>
  <c r="AD278" i="7"/>
  <c r="AC278" i="7"/>
  <c r="AA278" i="7" s="1"/>
  <c r="V278" i="7"/>
  <c r="U278" i="7"/>
  <c r="T278" i="7" s="1"/>
  <c r="N278" i="7"/>
  <c r="M278" i="7"/>
  <c r="L278" i="7" s="1"/>
  <c r="F278" i="7"/>
  <c r="E278" i="7"/>
  <c r="D278" i="7" s="1"/>
  <c r="AT277" i="7"/>
  <c r="AS277" i="7"/>
  <c r="AQ277" i="7" s="1"/>
  <c r="AL277" i="7"/>
  <c r="AK277" i="7"/>
  <c r="AD277" i="7"/>
  <c r="AC277" i="7"/>
  <c r="AA277" i="7" s="1"/>
  <c r="V277" i="7"/>
  <c r="U277" i="7"/>
  <c r="T277" i="7" s="1"/>
  <c r="N277" i="7"/>
  <c r="M277" i="7"/>
  <c r="L277" i="7" s="1"/>
  <c r="F277" i="7"/>
  <c r="E277" i="7"/>
  <c r="D277" i="7" s="1"/>
  <c r="AT276" i="7"/>
  <c r="AS276" i="7"/>
  <c r="AR276" i="7" s="1"/>
  <c r="AL276" i="7"/>
  <c r="AK276" i="7"/>
  <c r="AD276" i="7"/>
  <c r="AC276" i="7"/>
  <c r="AA276" i="7" s="1"/>
  <c r="V276" i="7"/>
  <c r="U276" i="7"/>
  <c r="S276" i="7" s="1"/>
  <c r="N276" i="7"/>
  <c r="M276" i="7"/>
  <c r="L276" i="7" s="1"/>
  <c r="F276" i="7"/>
  <c r="E276" i="7"/>
  <c r="D276" i="7" s="1"/>
  <c r="AT275" i="7"/>
  <c r="AS275" i="7"/>
  <c r="AQ275" i="7" s="1"/>
  <c r="AL275" i="7"/>
  <c r="AK275" i="7"/>
  <c r="AD275" i="7"/>
  <c r="AC275" i="7"/>
  <c r="AA275" i="7" s="1"/>
  <c r="V275" i="7"/>
  <c r="U275" i="7"/>
  <c r="S275" i="7" s="1"/>
  <c r="N275" i="7"/>
  <c r="M275" i="7"/>
  <c r="L275" i="7" s="1"/>
  <c r="F275" i="7"/>
  <c r="E275" i="7"/>
  <c r="D275" i="7" s="1"/>
  <c r="AT274" i="7"/>
  <c r="AS274" i="7"/>
  <c r="AR274" i="7" s="1"/>
  <c r="AL274" i="7"/>
  <c r="AK274" i="7"/>
  <c r="AD274" i="7"/>
  <c r="AC274" i="7"/>
  <c r="AA274" i="7" s="1"/>
  <c r="V274" i="7"/>
  <c r="U274" i="7"/>
  <c r="T274" i="7" s="1"/>
  <c r="N274" i="7"/>
  <c r="M274" i="7"/>
  <c r="L274" i="7" s="1"/>
  <c r="F274" i="7"/>
  <c r="E274" i="7"/>
  <c r="D274" i="7" s="1"/>
  <c r="AT273" i="7"/>
  <c r="AS273" i="7"/>
  <c r="AR273" i="7" s="1"/>
  <c r="AL273" i="7"/>
  <c r="AK273" i="7"/>
  <c r="AD273" i="7"/>
  <c r="AC273" i="7"/>
  <c r="AA273" i="7" s="1"/>
  <c r="V273" i="7"/>
  <c r="U273" i="7"/>
  <c r="T273" i="7" s="1"/>
  <c r="N273" i="7"/>
  <c r="M273" i="7"/>
  <c r="L273" i="7" s="1"/>
  <c r="F273" i="7"/>
  <c r="E273" i="7"/>
  <c r="D273" i="7" s="1"/>
  <c r="AT272" i="7"/>
  <c r="AS272" i="7"/>
  <c r="AQ272" i="7" s="1"/>
  <c r="AL272" i="7"/>
  <c r="AK272" i="7"/>
  <c r="AD272" i="7"/>
  <c r="AC272" i="7"/>
  <c r="AA272" i="7" s="1"/>
  <c r="V272" i="7"/>
  <c r="U272" i="7"/>
  <c r="S272" i="7" s="1"/>
  <c r="N272" i="7"/>
  <c r="M272" i="7"/>
  <c r="L272" i="7" s="1"/>
  <c r="F272" i="7"/>
  <c r="E272" i="7"/>
  <c r="D272" i="7" s="1"/>
  <c r="AT271" i="7"/>
  <c r="AS271" i="7"/>
  <c r="AR271" i="7" s="1"/>
  <c r="AL271" i="7"/>
  <c r="AK271" i="7"/>
  <c r="AD271" i="7"/>
  <c r="AC271" i="7"/>
  <c r="AA271" i="7" s="1"/>
  <c r="V271" i="7"/>
  <c r="U271" i="7"/>
  <c r="S271" i="7" s="1"/>
  <c r="N271" i="7"/>
  <c r="M271" i="7"/>
  <c r="L271" i="7" s="1"/>
  <c r="F271" i="7"/>
  <c r="E271" i="7"/>
  <c r="D271" i="7" s="1"/>
  <c r="AT270" i="7"/>
  <c r="AS270" i="7"/>
  <c r="AR270" i="7" s="1"/>
  <c r="AL270" i="7"/>
  <c r="AK270" i="7"/>
  <c r="AD270" i="7"/>
  <c r="AC270" i="7"/>
  <c r="AA270" i="7" s="1"/>
  <c r="V270" i="7"/>
  <c r="U270" i="7"/>
  <c r="T270" i="7" s="1"/>
  <c r="N270" i="7"/>
  <c r="M270" i="7"/>
  <c r="L270" i="7" s="1"/>
  <c r="F270" i="7"/>
  <c r="E270" i="7"/>
  <c r="D270" i="7" s="1"/>
  <c r="AT269" i="7"/>
  <c r="AS269" i="7"/>
  <c r="AR269" i="7" s="1"/>
  <c r="AL269" i="7"/>
  <c r="AK269" i="7"/>
  <c r="AD269" i="7"/>
  <c r="AC269" i="7"/>
  <c r="AA269" i="7" s="1"/>
  <c r="V269" i="7"/>
  <c r="U269" i="7"/>
  <c r="S269" i="7" s="1"/>
  <c r="N269" i="7"/>
  <c r="M269" i="7"/>
  <c r="L269" i="7" s="1"/>
  <c r="F269" i="7"/>
  <c r="E269" i="7"/>
  <c r="D269" i="7" s="1"/>
  <c r="AT268" i="7"/>
  <c r="AS268" i="7"/>
  <c r="AR268" i="7" s="1"/>
  <c r="AL268" i="7"/>
  <c r="AK268" i="7"/>
  <c r="AD268" i="7"/>
  <c r="AC268" i="7"/>
  <c r="AA268" i="7" s="1"/>
  <c r="V268" i="7"/>
  <c r="U268" i="7"/>
  <c r="S268" i="7" s="1"/>
  <c r="N268" i="7"/>
  <c r="M268" i="7"/>
  <c r="L268" i="7" s="1"/>
  <c r="F268" i="7"/>
  <c r="E268" i="7"/>
  <c r="D268" i="7" s="1"/>
  <c r="AT267" i="7"/>
  <c r="AS267" i="7"/>
  <c r="AR267" i="7" s="1"/>
  <c r="AL267" i="7"/>
  <c r="AK267" i="7"/>
  <c r="AD267" i="7"/>
  <c r="AC267" i="7"/>
  <c r="AA267" i="7" s="1"/>
  <c r="V267" i="7"/>
  <c r="U267" i="7"/>
  <c r="S267" i="7" s="1"/>
  <c r="N267" i="7"/>
  <c r="M267" i="7"/>
  <c r="L267" i="7" s="1"/>
  <c r="F267" i="7"/>
  <c r="E267" i="7"/>
  <c r="D267" i="7" s="1"/>
  <c r="AT266" i="7"/>
  <c r="AS266" i="7"/>
  <c r="AQ266" i="7" s="1"/>
  <c r="AL266" i="7"/>
  <c r="AK266" i="7"/>
  <c r="AD266" i="7"/>
  <c r="AC266" i="7"/>
  <c r="AA266" i="7" s="1"/>
  <c r="V266" i="7"/>
  <c r="U266" i="7"/>
  <c r="T266" i="7" s="1"/>
  <c r="N266" i="7"/>
  <c r="M266" i="7"/>
  <c r="L266" i="7" s="1"/>
  <c r="F266" i="7"/>
  <c r="E266" i="7"/>
  <c r="D266" i="7" s="1"/>
  <c r="AT265" i="7"/>
  <c r="AS265" i="7"/>
  <c r="AR265" i="7" s="1"/>
  <c r="AL265" i="7"/>
  <c r="AK265" i="7"/>
  <c r="AD265" i="7"/>
  <c r="AC265" i="7"/>
  <c r="AA265" i="7" s="1"/>
  <c r="V265" i="7"/>
  <c r="U265" i="7"/>
  <c r="S265" i="7" s="1"/>
  <c r="N265" i="7"/>
  <c r="M265" i="7"/>
  <c r="L265" i="7" s="1"/>
  <c r="F265" i="7"/>
  <c r="E265" i="7"/>
  <c r="D265" i="7" s="1"/>
  <c r="AT264" i="7"/>
  <c r="AS264" i="7"/>
  <c r="AR264" i="7" s="1"/>
  <c r="AL264" i="7"/>
  <c r="AK264" i="7"/>
  <c r="AD264" i="7"/>
  <c r="AC264" i="7"/>
  <c r="AA264" i="7" s="1"/>
  <c r="V264" i="7"/>
  <c r="U264" i="7"/>
  <c r="T264" i="7" s="1"/>
  <c r="N264" i="7"/>
  <c r="M264" i="7"/>
  <c r="L264" i="7" s="1"/>
  <c r="F264" i="7"/>
  <c r="E264" i="7"/>
  <c r="D264" i="7" s="1"/>
  <c r="AT263" i="7"/>
  <c r="AS263" i="7"/>
  <c r="AR263" i="7" s="1"/>
  <c r="AL263" i="7"/>
  <c r="AK263" i="7"/>
  <c r="AD263" i="7"/>
  <c r="AC263" i="7"/>
  <c r="AA263" i="7" s="1"/>
  <c r="V263" i="7"/>
  <c r="U263" i="7"/>
  <c r="S263" i="7" s="1"/>
  <c r="N263" i="7"/>
  <c r="M263" i="7"/>
  <c r="L263" i="7" s="1"/>
  <c r="F263" i="7"/>
  <c r="E263" i="7"/>
  <c r="D263" i="7" s="1"/>
  <c r="AT262" i="7"/>
  <c r="AS262" i="7"/>
  <c r="AR262" i="7" s="1"/>
  <c r="AL262" i="7"/>
  <c r="AK262" i="7"/>
  <c r="AD262" i="7"/>
  <c r="AC262" i="7"/>
  <c r="AA262" i="7" s="1"/>
  <c r="V262" i="7"/>
  <c r="U262" i="7"/>
  <c r="T262" i="7" s="1"/>
  <c r="N262" i="7"/>
  <c r="M262" i="7"/>
  <c r="L262" i="7" s="1"/>
  <c r="F262" i="7"/>
  <c r="E262" i="7"/>
  <c r="D262" i="7" s="1"/>
  <c r="AT261" i="7"/>
  <c r="AS261" i="7"/>
  <c r="AR261" i="7" s="1"/>
  <c r="AL261" i="7"/>
  <c r="AK261" i="7"/>
  <c r="AD261" i="7"/>
  <c r="AC261" i="7"/>
  <c r="AA261" i="7" s="1"/>
  <c r="V261" i="7"/>
  <c r="U261" i="7"/>
  <c r="T261" i="7" s="1"/>
  <c r="N261" i="7"/>
  <c r="M261" i="7"/>
  <c r="L261" i="7" s="1"/>
  <c r="F261" i="7"/>
  <c r="E261" i="7"/>
  <c r="D261" i="7" s="1"/>
  <c r="AT260" i="7"/>
  <c r="AS260" i="7"/>
  <c r="AQ260" i="7" s="1"/>
  <c r="AL260" i="7"/>
  <c r="AK260" i="7"/>
  <c r="AD260" i="7"/>
  <c r="AC260" i="7"/>
  <c r="AA260" i="7" s="1"/>
  <c r="V260" i="7"/>
  <c r="U260" i="7"/>
  <c r="T260" i="7" s="1"/>
  <c r="N260" i="7"/>
  <c r="M260" i="7"/>
  <c r="L260" i="7" s="1"/>
  <c r="F260" i="7"/>
  <c r="E260" i="7"/>
  <c r="D260" i="7" s="1"/>
  <c r="AT259" i="7"/>
  <c r="AS259" i="7"/>
  <c r="AR259" i="7" s="1"/>
  <c r="AL259" i="7"/>
  <c r="AK259" i="7"/>
  <c r="AD259" i="7"/>
  <c r="AC259" i="7"/>
  <c r="AA259" i="7" s="1"/>
  <c r="V259" i="7"/>
  <c r="U259" i="7"/>
  <c r="S259" i="7" s="1"/>
  <c r="N259" i="7"/>
  <c r="M259" i="7"/>
  <c r="L259" i="7" s="1"/>
  <c r="F259" i="7"/>
  <c r="E259" i="7"/>
  <c r="D259" i="7" s="1"/>
  <c r="AT258" i="7"/>
  <c r="AS258" i="7"/>
  <c r="AR258" i="7" s="1"/>
  <c r="AL258" i="7"/>
  <c r="AK258" i="7"/>
  <c r="AD258" i="7"/>
  <c r="AC258" i="7"/>
  <c r="AA258" i="7" s="1"/>
  <c r="V258" i="7"/>
  <c r="U258" i="7"/>
  <c r="T258" i="7" s="1"/>
  <c r="N258" i="7"/>
  <c r="M258" i="7"/>
  <c r="L258" i="7" s="1"/>
  <c r="F258" i="7"/>
  <c r="E258" i="7"/>
  <c r="D258" i="7" s="1"/>
  <c r="AT257" i="7"/>
  <c r="AS257" i="7"/>
  <c r="AR257" i="7" s="1"/>
  <c r="AL257" i="7"/>
  <c r="AK257" i="7"/>
  <c r="AD257" i="7"/>
  <c r="AC257" i="7"/>
  <c r="AA257" i="7" s="1"/>
  <c r="V257" i="7"/>
  <c r="U257" i="7"/>
  <c r="S257" i="7" s="1"/>
  <c r="N257" i="7"/>
  <c r="M257" i="7"/>
  <c r="L257" i="7" s="1"/>
  <c r="F257" i="7"/>
  <c r="E257" i="7"/>
  <c r="D257" i="7" s="1"/>
  <c r="AT256" i="7"/>
  <c r="AS256" i="7"/>
  <c r="AR256" i="7" s="1"/>
  <c r="AL256" i="7"/>
  <c r="AK256" i="7"/>
  <c r="AD256" i="7"/>
  <c r="AC256" i="7"/>
  <c r="AA256" i="7" s="1"/>
  <c r="V256" i="7"/>
  <c r="U256" i="7"/>
  <c r="S256" i="7" s="1"/>
  <c r="T256" i="7"/>
  <c r="N256" i="7"/>
  <c r="M256" i="7"/>
  <c r="L256" i="7" s="1"/>
  <c r="F256" i="7"/>
  <c r="E256" i="7"/>
  <c r="D256" i="7" s="1"/>
  <c r="AT255" i="7"/>
  <c r="AS255" i="7"/>
  <c r="AR255" i="7" s="1"/>
  <c r="AL255" i="7"/>
  <c r="AK255" i="7"/>
  <c r="AD255" i="7"/>
  <c r="AC255" i="7"/>
  <c r="AA255" i="7" s="1"/>
  <c r="V255" i="7"/>
  <c r="U255" i="7"/>
  <c r="T255" i="7" s="1"/>
  <c r="N255" i="7"/>
  <c r="M255" i="7"/>
  <c r="L255" i="7" s="1"/>
  <c r="F255" i="7"/>
  <c r="E255" i="7"/>
  <c r="D255" i="7" s="1"/>
  <c r="AT254" i="7"/>
  <c r="AS254" i="7"/>
  <c r="AR254" i="7" s="1"/>
  <c r="AL254" i="7"/>
  <c r="AK254" i="7"/>
  <c r="AD254" i="7"/>
  <c r="AC254" i="7"/>
  <c r="AA254" i="7" s="1"/>
  <c r="V254" i="7"/>
  <c r="U254" i="7"/>
  <c r="T254" i="7" s="1"/>
  <c r="N254" i="7"/>
  <c r="M254" i="7"/>
  <c r="L254" i="7" s="1"/>
  <c r="F254" i="7"/>
  <c r="E254" i="7"/>
  <c r="D254" i="7" s="1"/>
  <c r="AT253" i="7"/>
  <c r="AS253" i="7"/>
  <c r="AR253" i="7" s="1"/>
  <c r="AL253" i="7"/>
  <c r="AK253" i="7"/>
  <c r="AD253" i="7"/>
  <c r="AC253" i="7"/>
  <c r="AA253" i="7" s="1"/>
  <c r="V253" i="7"/>
  <c r="U253" i="7"/>
  <c r="S253" i="7" s="1"/>
  <c r="N253" i="7"/>
  <c r="M253" i="7"/>
  <c r="L253" i="7" s="1"/>
  <c r="F253" i="7"/>
  <c r="E253" i="7"/>
  <c r="D253" i="7" s="1"/>
  <c r="AT252" i="7"/>
  <c r="AS252" i="7"/>
  <c r="AR252" i="7" s="1"/>
  <c r="AL252" i="7"/>
  <c r="AK252" i="7"/>
  <c r="AD252" i="7"/>
  <c r="AC252" i="7"/>
  <c r="AA252" i="7" s="1"/>
  <c r="V252" i="7"/>
  <c r="U252" i="7"/>
  <c r="S252" i="7" s="1"/>
  <c r="N252" i="7"/>
  <c r="M252" i="7"/>
  <c r="L252" i="7" s="1"/>
  <c r="F252" i="7"/>
  <c r="E252" i="7"/>
  <c r="D252" i="7" s="1"/>
  <c r="AT251" i="7"/>
  <c r="AS251" i="7"/>
  <c r="AR251" i="7" s="1"/>
  <c r="AL251" i="7"/>
  <c r="AK251" i="7"/>
  <c r="AD251" i="7"/>
  <c r="AC251" i="7"/>
  <c r="AA251" i="7" s="1"/>
  <c r="V251" i="7"/>
  <c r="U251" i="7"/>
  <c r="S251" i="7" s="1"/>
  <c r="N251" i="7"/>
  <c r="M251" i="7"/>
  <c r="L251" i="7" s="1"/>
  <c r="F251" i="7"/>
  <c r="E251" i="7"/>
  <c r="D251" i="7" s="1"/>
  <c r="AT250" i="7"/>
  <c r="AS250" i="7"/>
  <c r="AR250" i="7" s="1"/>
  <c r="AL250" i="7"/>
  <c r="AK250" i="7"/>
  <c r="AD250" i="7"/>
  <c r="AC250" i="7"/>
  <c r="AA250" i="7" s="1"/>
  <c r="V250" i="7"/>
  <c r="U250" i="7"/>
  <c r="S250" i="7" s="1"/>
  <c r="N250" i="7"/>
  <c r="M250" i="7"/>
  <c r="L250" i="7" s="1"/>
  <c r="F250" i="7"/>
  <c r="E250" i="7"/>
  <c r="D250" i="7" s="1"/>
  <c r="AT249" i="7"/>
  <c r="AS249" i="7"/>
  <c r="AR249" i="7" s="1"/>
  <c r="AL249" i="7"/>
  <c r="AK249" i="7"/>
  <c r="AD249" i="7"/>
  <c r="AC249" i="7"/>
  <c r="AA249" i="7" s="1"/>
  <c r="V249" i="7"/>
  <c r="U249" i="7"/>
  <c r="S249" i="7" s="1"/>
  <c r="N249" i="7"/>
  <c r="M249" i="7"/>
  <c r="L249" i="7" s="1"/>
  <c r="F249" i="7"/>
  <c r="E249" i="7"/>
  <c r="D249" i="7" s="1"/>
  <c r="AT248" i="7"/>
  <c r="AS248" i="7"/>
  <c r="AR248" i="7" s="1"/>
  <c r="AL248" i="7"/>
  <c r="AK248" i="7"/>
  <c r="AD248" i="7"/>
  <c r="AC248" i="7"/>
  <c r="AA248" i="7" s="1"/>
  <c r="V248" i="7"/>
  <c r="U248" i="7"/>
  <c r="T248" i="7" s="1"/>
  <c r="N248" i="7"/>
  <c r="M248" i="7"/>
  <c r="L248" i="7" s="1"/>
  <c r="F248" i="7"/>
  <c r="E248" i="7"/>
  <c r="D248" i="7" s="1"/>
  <c r="AT247" i="7"/>
  <c r="AS247" i="7"/>
  <c r="AR247" i="7" s="1"/>
  <c r="AL247" i="7"/>
  <c r="AK247" i="7"/>
  <c r="AD247" i="7"/>
  <c r="AC247" i="7"/>
  <c r="AA247" i="7" s="1"/>
  <c r="V247" i="7"/>
  <c r="U247" i="7"/>
  <c r="S247" i="7" s="1"/>
  <c r="N247" i="7"/>
  <c r="M247" i="7"/>
  <c r="L247" i="7" s="1"/>
  <c r="F247" i="7"/>
  <c r="E247" i="7"/>
  <c r="D247" i="7" s="1"/>
  <c r="AT246" i="7"/>
  <c r="AS246" i="7"/>
  <c r="AR246" i="7" s="1"/>
  <c r="AL246" i="7"/>
  <c r="AK246" i="7"/>
  <c r="AD246" i="7"/>
  <c r="AC246" i="7"/>
  <c r="AA246" i="7" s="1"/>
  <c r="V246" i="7"/>
  <c r="U246" i="7"/>
  <c r="T246" i="7" s="1"/>
  <c r="N246" i="7"/>
  <c r="M246" i="7"/>
  <c r="L246" i="7" s="1"/>
  <c r="F246" i="7"/>
  <c r="E246" i="7"/>
  <c r="D246" i="7" s="1"/>
  <c r="AT245" i="7"/>
  <c r="AS245" i="7"/>
  <c r="AR245" i="7" s="1"/>
  <c r="AL245" i="7"/>
  <c r="AK245" i="7"/>
  <c r="AD245" i="7"/>
  <c r="AC245" i="7"/>
  <c r="AA245" i="7" s="1"/>
  <c r="V245" i="7"/>
  <c r="U245" i="7"/>
  <c r="S245" i="7" s="1"/>
  <c r="N245" i="7"/>
  <c r="M245" i="7"/>
  <c r="L245" i="7" s="1"/>
  <c r="F245" i="7"/>
  <c r="E245" i="7"/>
  <c r="D245" i="7" s="1"/>
  <c r="AT244" i="7"/>
  <c r="AS244" i="7"/>
  <c r="AR244" i="7" s="1"/>
  <c r="AL244" i="7"/>
  <c r="AK244" i="7"/>
  <c r="AD244" i="7"/>
  <c r="AC244" i="7"/>
  <c r="AA244" i="7" s="1"/>
  <c r="V244" i="7"/>
  <c r="U244" i="7"/>
  <c r="T244" i="7" s="1"/>
  <c r="N244" i="7"/>
  <c r="M244" i="7"/>
  <c r="L244" i="7" s="1"/>
  <c r="F244" i="7"/>
  <c r="E244" i="7"/>
  <c r="D244" i="7" s="1"/>
  <c r="AT243" i="7"/>
  <c r="AS243" i="7"/>
  <c r="AR243" i="7" s="1"/>
  <c r="AL243" i="7"/>
  <c r="AK243" i="7"/>
  <c r="AD243" i="7"/>
  <c r="AC243" i="7"/>
  <c r="AA243" i="7" s="1"/>
  <c r="V243" i="7"/>
  <c r="U243" i="7"/>
  <c r="S243" i="7" s="1"/>
  <c r="N243" i="7"/>
  <c r="M243" i="7"/>
  <c r="L243" i="7" s="1"/>
  <c r="F243" i="7"/>
  <c r="E243" i="7"/>
  <c r="D243" i="7" s="1"/>
  <c r="AT242" i="7"/>
  <c r="AS242" i="7"/>
  <c r="AR242" i="7" s="1"/>
  <c r="AL242" i="7"/>
  <c r="AK242" i="7"/>
  <c r="AD242" i="7"/>
  <c r="AC242" i="7"/>
  <c r="AA242" i="7" s="1"/>
  <c r="V242" i="7"/>
  <c r="U242" i="7"/>
  <c r="T242" i="7" s="1"/>
  <c r="N242" i="7"/>
  <c r="M242" i="7"/>
  <c r="L242" i="7" s="1"/>
  <c r="F242" i="7"/>
  <c r="E242" i="7"/>
  <c r="D242" i="7" s="1"/>
  <c r="AT241" i="7"/>
  <c r="AS241" i="7"/>
  <c r="AR241" i="7" s="1"/>
  <c r="AL241" i="7"/>
  <c r="AK241" i="7"/>
  <c r="AD241" i="7"/>
  <c r="AC241" i="7"/>
  <c r="AA241" i="7" s="1"/>
  <c r="V241" i="7"/>
  <c r="U241" i="7"/>
  <c r="T241" i="7" s="1"/>
  <c r="N241" i="7"/>
  <c r="M241" i="7"/>
  <c r="L241" i="7" s="1"/>
  <c r="F241" i="7"/>
  <c r="E241" i="7"/>
  <c r="D241" i="7" s="1"/>
  <c r="AT240" i="7"/>
  <c r="AS240" i="7"/>
  <c r="AR240" i="7" s="1"/>
  <c r="AL240" i="7"/>
  <c r="AK240" i="7"/>
  <c r="AD240" i="7"/>
  <c r="AC240" i="7"/>
  <c r="AA240" i="7" s="1"/>
  <c r="V240" i="7"/>
  <c r="U240" i="7"/>
  <c r="S240" i="7" s="1"/>
  <c r="N240" i="7"/>
  <c r="M240" i="7"/>
  <c r="L240" i="7" s="1"/>
  <c r="F240" i="7"/>
  <c r="E240" i="7"/>
  <c r="D240" i="7" s="1"/>
  <c r="AT239" i="7"/>
  <c r="AS239" i="7"/>
  <c r="AR239" i="7" s="1"/>
  <c r="AL239" i="7"/>
  <c r="AK239" i="7"/>
  <c r="AD239" i="7"/>
  <c r="AC239" i="7"/>
  <c r="AA239" i="7" s="1"/>
  <c r="V239" i="7"/>
  <c r="U239" i="7"/>
  <c r="S239" i="7" s="1"/>
  <c r="N239" i="7"/>
  <c r="M239" i="7"/>
  <c r="L239" i="7" s="1"/>
  <c r="F239" i="7"/>
  <c r="E239" i="7"/>
  <c r="D239" i="7" s="1"/>
  <c r="AT238" i="7"/>
  <c r="AS238" i="7"/>
  <c r="AR238" i="7" s="1"/>
  <c r="AL238" i="7"/>
  <c r="AK238" i="7"/>
  <c r="AD238" i="7"/>
  <c r="AC238" i="7"/>
  <c r="AA238" i="7" s="1"/>
  <c r="V238" i="7"/>
  <c r="U238" i="7"/>
  <c r="T238" i="7" s="1"/>
  <c r="N238" i="7"/>
  <c r="M238" i="7"/>
  <c r="L238" i="7" s="1"/>
  <c r="F238" i="7"/>
  <c r="E238" i="7"/>
  <c r="D238" i="7" s="1"/>
  <c r="AT237" i="7"/>
  <c r="AS237" i="7"/>
  <c r="AR237" i="7" s="1"/>
  <c r="AL237" i="7"/>
  <c r="AK237" i="7"/>
  <c r="AD237" i="7"/>
  <c r="AC237" i="7"/>
  <c r="AA237" i="7" s="1"/>
  <c r="V237" i="7"/>
  <c r="U237" i="7"/>
  <c r="T237" i="7" s="1"/>
  <c r="N237" i="7"/>
  <c r="M237" i="7"/>
  <c r="L237" i="7" s="1"/>
  <c r="F237" i="7"/>
  <c r="E237" i="7"/>
  <c r="D237" i="7" s="1"/>
  <c r="AT236" i="7"/>
  <c r="AS236" i="7"/>
  <c r="AR236" i="7" s="1"/>
  <c r="AL236" i="7"/>
  <c r="AK236" i="7"/>
  <c r="AD236" i="7"/>
  <c r="AC236" i="7"/>
  <c r="AA236" i="7" s="1"/>
  <c r="V236" i="7"/>
  <c r="U236" i="7"/>
  <c r="T236" i="7" s="1"/>
  <c r="N236" i="7"/>
  <c r="M236" i="7"/>
  <c r="L236" i="7" s="1"/>
  <c r="F236" i="7"/>
  <c r="E236" i="7"/>
  <c r="D236" i="7" s="1"/>
  <c r="AT235" i="7"/>
  <c r="AS235" i="7"/>
  <c r="AR235" i="7" s="1"/>
  <c r="AL235" i="7"/>
  <c r="AK235" i="7"/>
  <c r="AD235" i="7"/>
  <c r="AC235" i="7"/>
  <c r="AA235" i="7" s="1"/>
  <c r="V235" i="7"/>
  <c r="U235" i="7"/>
  <c r="S235" i="7" s="1"/>
  <c r="N235" i="7"/>
  <c r="M235" i="7"/>
  <c r="L235" i="7" s="1"/>
  <c r="F235" i="7"/>
  <c r="E235" i="7"/>
  <c r="D235" i="7" s="1"/>
  <c r="AT234" i="7"/>
  <c r="AS234" i="7"/>
  <c r="AR234" i="7" s="1"/>
  <c r="AL234" i="7"/>
  <c r="AK234" i="7"/>
  <c r="AD234" i="7"/>
  <c r="AC234" i="7"/>
  <c r="AA234" i="7" s="1"/>
  <c r="V234" i="7"/>
  <c r="U234" i="7"/>
  <c r="T234" i="7" s="1"/>
  <c r="N234" i="7"/>
  <c r="M234" i="7"/>
  <c r="L234" i="7" s="1"/>
  <c r="F234" i="7"/>
  <c r="E234" i="7"/>
  <c r="D234" i="7" s="1"/>
  <c r="AT233" i="7"/>
  <c r="AS233" i="7"/>
  <c r="AR233" i="7" s="1"/>
  <c r="AL233" i="7"/>
  <c r="AK233" i="7"/>
  <c r="AD233" i="7"/>
  <c r="AC233" i="7"/>
  <c r="AA233" i="7" s="1"/>
  <c r="V233" i="7"/>
  <c r="U233" i="7"/>
  <c r="S233" i="7" s="1"/>
  <c r="N233" i="7"/>
  <c r="M233" i="7"/>
  <c r="L233" i="7" s="1"/>
  <c r="F233" i="7"/>
  <c r="E233" i="7"/>
  <c r="D233" i="7" s="1"/>
  <c r="AT232" i="7"/>
  <c r="AS232" i="7"/>
  <c r="AR232" i="7" s="1"/>
  <c r="AL232" i="7"/>
  <c r="AK232" i="7"/>
  <c r="AD232" i="7"/>
  <c r="AC232" i="7"/>
  <c r="AA232" i="7" s="1"/>
  <c r="V232" i="7"/>
  <c r="U232" i="7"/>
  <c r="T232" i="7" s="1"/>
  <c r="N232" i="7"/>
  <c r="M232" i="7"/>
  <c r="L232" i="7" s="1"/>
  <c r="F232" i="7"/>
  <c r="E232" i="7"/>
  <c r="D232" i="7" s="1"/>
  <c r="AT231" i="7"/>
  <c r="AS231" i="7"/>
  <c r="AR231" i="7" s="1"/>
  <c r="AL231" i="7"/>
  <c r="AK231" i="7"/>
  <c r="AD231" i="7"/>
  <c r="AC231" i="7"/>
  <c r="AA231" i="7" s="1"/>
  <c r="V231" i="7"/>
  <c r="U231" i="7"/>
  <c r="T231" i="7" s="1"/>
  <c r="N231" i="7"/>
  <c r="M231" i="7"/>
  <c r="L231" i="7" s="1"/>
  <c r="F231" i="7"/>
  <c r="E231" i="7"/>
  <c r="D231" i="7" s="1"/>
  <c r="AT230" i="7"/>
  <c r="AS230" i="7"/>
  <c r="AQ230" i="7" s="1"/>
  <c r="AL230" i="7"/>
  <c r="AK230" i="7"/>
  <c r="AD230" i="7"/>
  <c r="AC230" i="7"/>
  <c r="AA230" i="7" s="1"/>
  <c r="V230" i="7"/>
  <c r="U230" i="7"/>
  <c r="T230" i="7" s="1"/>
  <c r="N230" i="7"/>
  <c r="M230" i="7"/>
  <c r="L230" i="7" s="1"/>
  <c r="F230" i="7"/>
  <c r="E230" i="7"/>
  <c r="D230" i="7" s="1"/>
  <c r="AT229" i="7"/>
  <c r="AS229" i="7"/>
  <c r="AQ229" i="7" s="1"/>
  <c r="AL229" i="7"/>
  <c r="AK229" i="7"/>
  <c r="AD229" i="7"/>
  <c r="AC229" i="7"/>
  <c r="AA229" i="7" s="1"/>
  <c r="V229" i="7"/>
  <c r="U229" i="7"/>
  <c r="T229" i="7" s="1"/>
  <c r="N229" i="7"/>
  <c r="M229" i="7"/>
  <c r="L229" i="7" s="1"/>
  <c r="F229" i="7"/>
  <c r="E229" i="7"/>
  <c r="D229" i="7" s="1"/>
  <c r="AT228" i="7"/>
  <c r="AS228" i="7"/>
  <c r="AR228" i="7" s="1"/>
  <c r="AL228" i="7"/>
  <c r="AK228" i="7"/>
  <c r="AD228" i="7"/>
  <c r="AC228" i="7"/>
  <c r="AA228" i="7" s="1"/>
  <c r="V228" i="7"/>
  <c r="U228" i="7"/>
  <c r="T228" i="7" s="1"/>
  <c r="N228" i="7"/>
  <c r="M228" i="7"/>
  <c r="L228" i="7" s="1"/>
  <c r="F228" i="7"/>
  <c r="E228" i="7"/>
  <c r="D228" i="7" s="1"/>
  <c r="AT227" i="7"/>
  <c r="AS227" i="7"/>
  <c r="AR227" i="7" s="1"/>
  <c r="AL227" i="7"/>
  <c r="AK227" i="7"/>
  <c r="AD227" i="7"/>
  <c r="AC227" i="7"/>
  <c r="AA227" i="7" s="1"/>
  <c r="V227" i="7"/>
  <c r="U227" i="7"/>
  <c r="S227" i="7" s="1"/>
  <c r="N227" i="7"/>
  <c r="M227" i="7"/>
  <c r="L227" i="7" s="1"/>
  <c r="F227" i="7"/>
  <c r="E227" i="7"/>
  <c r="D227" i="7" s="1"/>
  <c r="AT226" i="7"/>
  <c r="AS226" i="7"/>
  <c r="AR226" i="7" s="1"/>
  <c r="AL226" i="7"/>
  <c r="AK226" i="7"/>
  <c r="AD226" i="7"/>
  <c r="AC226" i="7"/>
  <c r="AA226" i="7" s="1"/>
  <c r="V226" i="7"/>
  <c r="U226" i="7"/>
  <c r="T226" i="7" s="1"/>
  <c r="N226" i="7"/>
  <c r="M226" i="7"/>
  <c r="L226" i="7" s="1"/>
  <c r="F226" i="7"/>
  <c r="E226" i="7"/>
  <c r="D226" i="7" s="1"/>
  <c r="AT225" i="7"/>
  <c r="AS225" i="7"/>
  <c r="AR225" i="7" s="1"/>
  <c r="AL225" i="7"/>
  <c r="AK225" i="7"/>
  <c r="AD225" i="7"/>
  <c r="AC225" i="7"/>
  <c r="AA225" i="7" s="1"/>
  <c r="V225" i="7"/>
  <c r="U225" i="7"/>
  <c r="T225" i="7" s="1"/>
  <c r="N225" i="7"/>
  <c r="M225" i="7"/>
  <c r="L225" i="7" s="1"/>
  <c r="F225" i="7"/>
  <c r="E225" i="7"/>
  <c r="D225" i="7" s="1"/>
  <c r="AT224" i="7"/>
  <c r="AS224" i="7"/>
  <c r="AR224" i="7" s="1"/>
  <c r="AL224" i="7"/>
  <c r="AK224" i="7"/>
  <c r="AD224" i="7"/>
  <c r="AC224" i="7"/>
  <c r="AA224" i="7" s="1"/>
  <c r="V224" i="7"/>
  <c r="U224" i="7"/>
  <c r="T224" i="7" s="1"/>
  <c r="N224" i="7"/>
  <c r="M224" i="7"/>
  <c r="L224" i="7" s="1"/>
  <c r="F224" i="7"/>
  <c r="E224" i="7"/>
  <c r="D224" i="7" s="1"/>
  <c r="AT223" i="7"/>
  <c r="AS223" i="7"/>
  <c r="AR223" i="7" s="1"/>
  <c r="AL223" i="7"/>
  <c r="AK223" i="7"/>
  <c r="AD223" i="7"/>
  <c r="AC223" i="7"/>
  <c r="AA223" i="7" s="1"/>
  <c r="V223" i="7"/>
  <c r="U223" i="7"/>
  <c r="T223" i="7" s="1"/>
  <c r="N223" i="7"/>
  <c r="M223" i="7"/>
  <c r="L223" i="7" s="1"/>
  <c r="F223" i="7"/>
  <c r="E223" i="7"/>
  <c r="D223" i="7" s="1"/>
  <c r="AT222" i="7"/>
  <c r="AS222" i="7"/>
  <c r="AR222" i="7" s="1"/>
  <c r="AL222" i="7"/>
  <c r="AK222" i="7"/>
  <c r="AD222" i="7"/>
  <c r="AC222" i="7"/>
  <c r="AA222" i="7" s="1"/>
  <c r="V222" i="7"/>
  <c r="U222" i="7"/>
  <c r="T222" i="7" s="1"/>
  <c r="N222" i="7"/>
  <c r="M222" i="7"/>
  <c r="L222" i="7" s="1"/>
  <c r="F222" i="7"/>
  <c r="E222" i="7"/>
  <c r="D222" i="7" s="1"/>
  <c r="AT221" i="7"/>
  <c r="AS221" i="7"/>
  <c r="AR221" i="7" s="1"/>
  <c r="AL221" i="7"/>
  <c r="AK221" i="7"/>
  <c r="AD221" i="7"/>
  <c r="AC221" i="7"/>
  <c r="AA221" i="7" s="1"/>
  <c r="V221" i="7"/>
  <c r="U221" i="7"/>
  <c r="T221" i="7" s="1"/>
  <c r="N221" i="7"/>
  <c r="M221" i="7"/>
  <c r="L221" i="7" s="1"/>
  <c r="F221" i="7"/>
  <c r="E221" i="7"/>
  <c r="D221" i="7" s="1"/>
  <c r="AT220" i="7"/>
  <c r="AS220" i="7"/>
  <c r="AR220" i="7" s="1"/>
  <c r="AL220" i="7"/>
  <c r="AK220" i="7"/>
  <c r="AD220" i="7"/>
  <c r="AC220" i="7"/>
  <c r="AA220" i="7" s="1"/>
  <c r="V220" i="7"/>
  <c r="U220" i="7"/>
  <c r="T220" i="7" s="1"/>
  <c r="N220" i="7"/>
  <c r="M220" i="7"/>
  <c r="L220" i="7" s="1"/>
  <c r="F220" i="7"/>
  <c r="E220" i="7"/>
  <c r="D220" i="7" s="1"/>
  <c r="AT219" i="7"/>
  <c r="AS219" i="7"/>
  <c r="AR219" i="7" s="1"/>
  <c r="AL219" i="7"/>
  <c r="AK219" i="7"/>
  <c r="AD219" i="7"/>
  <c r="AC219" i="7"/>
  <c r="AA219" i="7" s="1"/>
  <c r="V219" i="7"/>
  <c r="U219" i="7"/>
  <c r="S219" i="7" s="1"/>
  <c r="N219" i="7"/>
  <c r="M219" i="7"/>
  <c r="L219" i="7" s="1"/>
  <c r="F219" i="7"/>
  <c r="E219" i="7"/>
  <c r="D219" i="7" s="1"/>
  <c r="AT218" i="7"/>
  <c r="AS218" i="7"/>
  <c r="AR218" i="7" s="1"/>
  <c r="AL218" i="7"/>
  <c r="AK218" i="7"/>
  <c r="AD218" i="7"/>
  <c r="AC218" i="7"/>
  <c r="AA218" i="7" s="1"/>
  <c r="V218" i="7"/>
  <c r="U218" i="7"/>
  <c r="S218" i="7" s="1"/>
  <c r="N218" i="7"/>
  <c r="M218" i="7"/>
  <c r="L218" i="7" s="1"/>
  <c r="F218" i="7"/>
  <c r="E218" i="7"/>
  <c r="D218" i="7" s="1"/>
  <c r="AT217" i="7"/>
  <c r="AS217" i="7"/>
  <c r="AR217" i="7" s="1"/>
  <c r="AL217" i="7"/>
  <c r="AK217" i="7"/>
  <c r="AD217" i="7"/>
  <c r="AC217" i="7"/>
  <c r="AA217" i="7" s="1"/>
  <c r="V217" i="7"/>
  <c r="U217" i="7"/>
  <c r="T217" i="7" s="1"/>
  <c r="N217" i="7"/>
  <c r="M217" i="7"/>
  <c r="L217" i="7" s="1"/>
  <c r="F217" i="7"/>
  <c r="E217" i="7"/>
  <c r="D217" i="7" s="1"/>
  <c r="AT216" i="7"/>
  <c r="AS216" i="7"/>
  <c r="AR216" i="7" s="1"/>
  <c r="AL216" i="7"/>
  <c r="AK216" i="7"/>
  <c r="AD216" i="7"/>
  <c r="AC216" i="7"/>
  <c r="AA216" i="7" s="1"/>
  <c r="V216" i="7"/>
  <c r="U216" i="7"/>
  <c r="T216" i="7" s="1"/>
  <c r="N216" i="7"/>
  <c r="M216" i="7"/>
  <c r="L216" i="7" s="1"/>
  <c r="F216" i="7"/>
  <c r="E216" i="7"/>
  <c r="D216" i="7" s="1"/>
  <c r="AT215" i="7"/>
  <c r="AS215" i="7"/>
  <c r="AR215" i="7" s="1"/>
  <c r="AL215" i="7"/>
  <c r="AK215" i="7"/>
  <c r="AD215" i="7"/>
  <c r="AC215" i="7"/>
  <c r="AA215" i="7" s="1"/>
  <c r="V215" i="7"/>
  <c r="U215" i="7"/>
  <c r="S215" i="7" s="1"/>
  <c r="N215" i="7"/>
  <c r="M215" i="7"/>
  <c r="L215" i="7" s="1"/>
  <c r="F215" i="7"/>
  <c r="E215" i="7"/>
  <c r="D215" i="7" s="1"/>
  <c r="AT214" i="7"/>
  <c r="AS214" i="7"/>
  <c r="AR214" i="7" s="1"/>
  <c r="AL214" i="7"/>
  <c r="AK214" i="7"/>
  <c r="AD214" i="7"/>
  <c r="AC214" i="7"/>
  <c r="AA214" i="7" s="1"/>
  <c r="V214" i="7"/>
  <c r="U214" i="7"/>
  <c r="T214" i="7" s="1"/>
  <c r="N214" i="7"/>
  <c r="M214" i="7"/>
  <c r="L214" i="7" s="1"/>
  <c r="F214" i="7"/>
  <c r="E214" i="7"/>
  <c r="D214" i="7" s="1"/>
  <c r="AT213" i="7"/>
  <c r="AS213" i="7"/>
  <c r="AR213" i="7" s="1"/>
  <c r="AL213" i="7"/>
  <c r="AK213" i="7"/>
  <c r="AD213" i="7"/>
  <c r="AC213" i="7"/>
  <c r="AA213" i="7" s="1"/>
  <c r="V213" i="7"/>
  <c r="U213" i="7"/>
  <c r="T213" i="7" s="1"/>
  <c r="N213" i="7"/>
  <c r="M213" i="7"/>
  <c r="L213" i="7" s="1"/>
  <c r="F213" i="7"/>
  <c r="E213" i="7"/>
  <c r="D213" i="7" s="1"/>
  <c r="AT212" i="7"/>
  <c r="AS212" i="7"/>
  <c r="AQ212" i="7" s="1"/>
  <c r="AL212" i="7"/>
  <c r="AK212" i="7"/>
  <c r="AD212" i="7"/>
  <c r="AC212" i="7"/>
  <c r="AA212" i="7" s="1"/>
  <c r="V212" i="7"/>
  <c r="U212" i="7"/>
  <c r="T212" i="7" s="1"/>
  <c r="N212" i="7"/>
  <c r="M212" i="7"/>
  <c r="L212" i="7" s="1"/>
  <c r="F212" i="7"/>
  <c r="E212" i="7"/>
  <c r="D212" i="7" s="1"/>
  <c r="AT211" i="7"/>
  <c r="AS211" i="7"/>
  <c r="AR211" i="7" s="1"/>
  <c r="AL211" i="7"/>
  <c r="AK211" i="7"/>
  <c r="AD211" i="7"/>
  <c r="AC211" i="7"/>
  <c r="AA211" i="7" s="1"/>
  <c r="V211" i="7"/>
  <c r="U211" i="7"/>
  <c r="S211" i="7" s="1"/>
  <c r="N211" i="7"/>
  <c r="M211" i="7"/>
  <c r="L211" i="7" s="1"/>
  <c r="F211" i="7"/>
  <c r="E211" i="7"/>
  <c r="D211" i="7" s="1"/>
  <c r="AT210" i="7"/>
  <c r="AS210" i="7"/>
  <c r="AQ210" i="7" s="1"/>
  <c r="AL210" i="7"/>
  <c r="AK210" i="7"/>
  <c r="AD210" i="7"/>
  <c r="AC210" i="7"/>
  <c r="AA210" i="7" s="1"/>
  <c r="V210" i="7"/>
  <c r="U210" i="7"/>
  <c r="T210" i="7" s="1"/>
  <c r="N210" i="7"/>
  <c r="M210" i="7"/>
  <c r="L210" i="7" s="1"/>
  <c r="F210" i="7"/>
  <c r="E210" i="7"/>
  <c r="D210" i="7" s="1"/>
  <c r="AT209" i="7"/>
  <c r="AS209" i="7"/>
  <c r="AR209" i="7" s="1"/>
  <c r="AL209" i="7"/>
  <c r="AK209" i="7"/>
  <c r="AD209" i="7"/>
  <c r="AC209" i="7"/>
  <c r="AA209" i="7" s="1"/>
  <c r="V209" i="7"/>
  <c r="U209" i="7"/>
  <c r="S209" i="7" s="1"/>
  <c r="N209" i="7"/>
  <c r="M209" i="7"/>
  <c r="L209" i="7" s="1"/>
  <c r="F209" i="7"/>
  <c r="E209" i="7"/>
  <c r="D209" i="7" s="1"/>
  <c r="AT208" i="7"/>
  <c r="AS208" i="7"/>
  <c r="AQ208" i="7" s="1"/>
  <c r="AL208" i="7"/>
  <c r="AK208" i="7"/>
  <c r="AD208" i="7"/>
  <c r="AC208" i="7"/>
  <c r="AA208" i="7" s="1"/>
  <c r="V208" i="7"/>
  <c r="U208" i="7"/>
  <c r="T208" i="7" s="1"/>
  <c r="N208" i="7"/>
  <c r="M208" i="7"/>
  <c r="L208" i="7" s="1"/>
  <c r="F208" i="7"/>
  <c r="E208" i="7"/>
  <c r="D208" i="7" s="1"/>
  <c r="AT207" i="7"/>
  <c r="AS207" i="7"/>
  <c r="AR207" i="7" s="1"/>
  <c r="AL207" i="7"/>
  <c r="AK207" i="7"/>
  <c r="AD207" i="7"/>
  <c r="AC207" i="7"/>
  <c r="AA207" i="7" s="1"/>
  <c r="V207" i="7"/>
  <c r="U207" i="7"/>
  <c r="S207" i="7" s="1"/>
  <c r="N207" i="7"/>
  <c r="M207" i="7"/>
  <c r="L207" i="7" s="1"/>
  <c r="F207" i="7"/>
  <c r="E207" i="7"/>
  <c r="D207" i="7" s="1"/>
  <c r="AT206" i="7"/>
  <c r="AS206" i="7"/>
  <c r="AR206" i="7" s="1"/>
  <c r="AL206" i="7"/>
  <c r="AK206" i="7"/>
  <c r="AD206" i="7"/>
  <c r="AC206" i="7"/>
  <c r="AA206" i="7" s="1"/>
  <c r="V206" i="7"/>
  <c r="U206" i="7"/>
  <c r="S206" i="7" s="1"/>
  <c r="T206" i="7"/>
  <c r="N206" i="7"/>
  <c r="M206" i="7"/>
  <c r="L206" i="7" s="1"/>
  <c r="F206" i="7"/>
  <c r="E206" i="7"/>
  <c r="D206" i="7" s="1"/>
  <c r="AT205" i="7"/>
  <c r="AS205" i="7"/>
  <c r="AR205" i="7" s="1"/>
  <c r="AL205" i="7"/>
  <c r="AK205" i="7"/>
  <c r="AD205" i="7"/>
  <c r="AC205" i="7"/>
  <c r="AA205" i="7" s="1"/>
  <c r="V205" i="7"/>
  <c r="U205" i="7"/>
  <c r="T205" i="7" s="1"/>
  <c r="N205" i="7"/>
  <c r="M205" i="7"/>
  <c r="L205" i="7" s="1"/>
  <c r="F205" i="7"/>
  <c r="E205" i="7"/>
  <c r="D205" i="7" s="1"/>
  <c r="AT204" i="7"/>
  <c r="AS204" i="7"/>
  <c r="AQ204" i="7" s="1"/>
  <c r="AL204" i="7"/>
  <c r="AK204" i="7"/>
  <c r="AD204" i="7"/>
  <c r="AC204" i="7"/>
  <c r="AA204" i="7" s="1"/>
  <c r="V204" i="7"/>
  <c r="U204" i="7"/>
  <c r="S204" i="7" s="1"/>
  <c r="N204" i="7"/>
  <c r="M204" i="7"/>
  <c r="L204" i="7" s="1"/>
  <c r="F204" i="7"/>
  <c r="E204" i="7"/>
  <c r="D204" i="7" s="1"/>
  <c r="AT203" i="7"/>
  <c r="AS203" i="7"/>
  <c r="AR203" i="7" s="1"/>
  <c r="AL203" i="7"/>
  <c r="AK203" i="7"/>
  <c r="AD203" i="7"/>
  <c r="AC203" i="7"/>
  <c r="AA203" i="7" s="1"/>
  <c r="V203" i="7"/>
  <c r="U203" i="7"/>
  <c r="S203" i="7" s="1"/>
  <c r="N203" i="7"/>
  <c r="M203" i="7"/>
  <c r="L203" i="7" s="1"/>
  <c r="F203" i="7"/>
  <c r="E203" i="7"/>
  <c r="D203" i="7" s="1"/>
  <c r="AT202" i="7"/>
  <c r="AS202" i="7"/>
  <c r="AR202" i="7" s="1"/>
  <c r="AL202" i="7"/>
  <c r="AK202" i="7"/>
  <c r="AD202" i="7"/>
  <c r="AC202" i="7"/>
  <c r="AA202" i="7" s="1"/>
  <c r="V202" i="7"/>
  <c r="U202" i="7"/>
  <c r="T202" i="7" s="1"/>
  <c r="N202" i="7"/>
  <c r="M202" i="7"/>
  <c r="L202" i="7" s="1"/>
  <c r="F202" i="7"/>
  <c r="E202" i="7"/>
  <c r="D202" i="7" s="1"/>
  <c r="AT201" i="7"/>
  <c r="AS201" i="7"/>
  <c r="AR201" i="7" s="1"/>
  <c r="AL201" i="7"/>
  <c r="AK201" i="7"/>
  <c r="AD201" i="7"/>
  <c r="AC201" i="7"/>
  <c r="AA201" i="7" s="1"/>
  <c r="V201" i="7"/>
  <c r="U201" i="7"/>
  <c r="T201" i="7" s="1"/>
  <c r="N201" i="7"/>
  <c r="M201" i="7"/>
  <c r="L201" i="7" s="1"/>
  <c r="F201" i="7"/>
  <c r="E201" i="7"/>
  <c r="D201" i="7" s="1"/>
  <c r="AT200" i="7"/>
  <c r="AS200" i="7"/>
  <c r="AR200" i="7" s="1"/>
  <c r="AL200" i="7"/>
  <c r="AK200" i="7"/>
  <c r="AD200" i="7"/>
  <c r="AC200" i="7"/>
  <c r="AA200" i="7" s="1"/>
  <c r="V200" i="7"/>
  <c r="U200" i="7"/>
  <c r="T200" i="7" s="1"/>
  <c r="N200" i="7"/>
  <c r="M200" i="7"/>
  <c r="L200" i="7" s="1"/>
  <c r="F200" i="7"/>
  <c r="E200" i="7"/>
  <c r="D200" i="7" s="1"/>
  <c r="AT199" i="7"/>
  <c r="AS199" i="7"/>
  <c r="AR199" i="7" s="1"/>
  <c r="AL199" i="7"/>
  <c r="AK199" i="7"/>
  <c r="AD199" i="7"/>
  <c r="AC199" i="7"/>
  <c r="AA199" i="7" s="1"/>
  <c r="V199" i="7"/>
  <c r="U199" i="7"/>
  <c r="T199" i="7" s="1"/>
  <c r="N199" i="7"/>
  <c r="M199" i="7"/>
  <c r="L199" i="7" s="1"/>
  <c r="F199" i="7"/>
  <c r="E199" i="7"/>
  <c r="D199" i="7" s="1"/>
  <c r="AT198" i="7"/>
  <c r="AS198" i="7"/>
  <c r="AQ198" i="7" s="1"/>
  <c r="AL198" i="7"/>
  <c r="AK198" i="7"/>
  <c r="AD198" i="7"/>
  <c r="AC198" i="7"/>
  <c r="AA198" i="7" s="1"/>
  <c r="V198" i="7"/>
  <c r="U198" i="7"/>
  <c r="S198" i="7" s="1"/>
  <c r="N198" i="7"/>
  <c r="M198" i="7"/>
  <c r="L198" i="7" s="1"/>
  <c r="F198" i="7"/>
  <c r="E198" i="7"/>
  <c r="D198" i="7" s="1"/>
  <c r="AT197" i="7"/>
  <c r="AS197" i="7"/>
  <c r="AR197" i="7" s="1"/>
  <c r="AL197" i="7"/>
  <c r="AK197" i="7"/>
  <c r="AD197" i="7"/>
  <c r="AC197" i="7"/>
  <c r="AA197" i="7" s="1"/>
  <c r="V197" i="7"/>
  <c r="U197" i="7"/>
  <c r="S197" i="7" s="1"/>
  <c r="N197" i="7"/>
  <c r="M197" i="7"/>
  <c r="L197" i="7" s="1"/>
  <c r="F197" i="7"/>
  <c r="E197" i="7"/>
  <c r="D197" i="7" s="1"/>
  <c r="AT196" i="7"/>
  <c r="AS196" i="7"/>
  <c r="AR196" i="7" s="1"/>
  <c r="AL196" i="7"/>
  <c r="AK196" i="7"/>
  <c r="AD196" i="7"/>
  <c r="AC196" i="7"/>
  <c r="AA196" i="7" s="1"/>
  <c r="V196" i="7"/>
  <c r="U196" i="7"/>
  <c r="S196" i="7" s="1"/>
  <c r="N196" i="7"/>
  <c r="M196" i="7"/>
  <c r="L196" i="7" s="1"/>
  <c r="F196" i="7"/>
  <c r="E196" i="7"/>
  <c r="AT195" i="7"/>
  <c r="AS195" i="7"/>
  <c r="AR195" i="7" s="1"/>
  <c r="AL195" i="7"/>
  <c r="AK195" i="7"/>
  <c r="AJ195" i="7" s="1"/>
  <c r="AD195" i="7"/>
  <c r="AC195" i="7"/>
  <c r="AA195" i="7" s="1"/>
  <c r="V195" i="7"/>
  <c r="U195" i="7"/>
  <c r="T195" i="7" s="1"/>
  <c r="N195" i="7"/>
  <c r="M195" i="7"/>
  <c r="L195" i="7" s="1"/>
  <c r="F195" i="7"/>
  <c r="E195" i="7"/>
  <c r="AT194" i="7"/>
  <c r="AS194" i="7"/>
  <c r="AR194" i="7" s="1"/>
  <c r="AL194" i="7"/>
  <c r="AK194" i="7"/>
  <c r="AJ194" i="7" s="1"/>
  <c r="AD194" i="7"/>
  <c r="AC194" i="7"/>
  <c r="AA194" i="7" s="1"/>
  <c r="V194" i="7"/>
  <c r="U194" i="7"/>
  <c r="S194" i="7" s="1"/>
  <c r="N194" i="7"/>
  <c r="M194" i="7"/>
  <c r="L194" i="7" s="1"/>
  <c r="F194" i="7"/>
  <c r="E194" i="7"/>
  <c r="AT193" i="7"/>
  <c r="AS193" i="7"/>
  <c r="AR193" i="7" s="1"/>
  <c r="AL193" i="7"/>
  <c r="AK193" i="7"/>
  <c r="AJ193" i="7" s="1"/>
  <c r="AD193" i="7"/>
  <c r="AC193" i="7"/>
  <c r="AA193" i="7" s="1"/>
  <c r="V193" i="7"/>
  <c r="U193" i="7"/>
  <c r="S193" i="7" s="1"/>
  <c r="N193" i="7"/>
  <c r="M193" i="7"/>
  <c r="L193" i="7" s="1"/>
  <c r="F193" i="7"/>
  <c r="E193" i="7"/>
  <c r="AT192" i="7"/>
  <c r="AS192" i="7"/>
  <c r="AR192" i="7" s="1"/>
  <c r="AL192" i="7"/>
  <c r="AK192" i="7"/>
  <c r="AJ192" i="7" s="1"/>
  <c r="AD192" i="7"/>
  <c r="AC192" i="7"/>
  <c r="AA192" i="7" s="1"/>
  <c r="V192" i="7"/>
  <c r="U192" i="7"/>
  <c r="S192" i="7" s="1"/>
  <c r="N192" i="7"/>
  <c r="M192" i="7"/>
  <c r="L192" i="7" s="1"/>
  <c r="F192" i="7"/>
  <c r="E192" i="7"/>
  <c r="AT191" i="7"/>
  <c r="AS191" i="7"/>
  <c r="AR191" i="7" s="1"/>
  <c r="AL191" i="7"/>
  <c r="AK191" i="7"/>
  <c r="AJ191" i="7" s="1"/>
  <c r="AD191" i="7"/>
  <c r="AC191" i="7"/>
  <c r="AA191" i="7" s="1"/>
  <c r="V191" i="7"/>
  <c r="U191" i="7"/>
  <c r="T191" i="7" s="1"/>
  <c r="N191" i="7"/>
  <c r="M191" i="7"/>
  <c r="L191" i="7" s="1"/>
  <c r="F191" i="7"/>
  <c r="E191" i="7"/>
  <c r="AT190" i="7"/>
  <c r="AS190" i="7"/>
  <c r="AR190" i="7" s="1"/>
  <c r="AL190" i="7"/>
  <c r="AK190" i="7"/>
  <c r="AJ190" i="7" s="1"/>
  <c r="AD190" i="7"/>
  <c r="AC190" i="7"/>
  <c r="AA190" i="7" s="1"/>
  <c r="V190" i="7"/>
  <c r="U190" i="7"/>
  <c r="T190" i="7" s="1"/>
  <c r="N190" i="7"/>
  <c r="M190" i="7"/>
  <c r="L190" i="7" s="1"/>
  <c r="F190" i="7"/>
  <c r="E190" i="7"/>
  <c r="AT189" i="7"/>
  <c r="AS189" i="7"/>
  <c r="AR189" i="7" s="1"/>
  <c r="AL189" i="7"/>
  <c r="AK189" i="7"/>
  <c r="AJ189" i="7" s="1"/>
  <c r="AD189" i="7"/>
  <c r="AC189" i="7"/>
  <c r="AA189" i="7" s="1"/>
  <c r="V189" i="7"/>
  <c r="U189" i="7"/>
  <c r="T189" i="7" s="1"/>
  <c r="N189" i="7"/>
  <c r="M189" i="7"/>
  <c r="L189" i="7" s="1"/>
  <c r="F189" i="7"/>
  <c r="E189" i="7"/>
  <c r="AT188" i="7"/>
  <c r="AS188" i="7"/>
  <c r="AR188" i="7" s="1"/>
  <c r="AL188" i="7"/>
  <c r="AK188" i="7"/>
  <c r="AJ188" i="7" s="1"/>
  <c r="AD188" i="7"/>
  <c r="AC188" i="7"/>
  <c r="AA188" i="7" s="1"/>
  <c r="V188" i="7"/>
  <c r="U188" i="7"/>
  <c r="S188" i="7" s="1"/>
  <c r="N188" i="7"/>
  <c r="M188" i="7"/>
  <c r="L188" i="7" s="1"/>
  <c r="F188" i="7"/>
  <c r="E188" i="7"/>
  <c r="AT187" i="7"/>
  <c r="AS187" i="7"/>
  <c r="AR187" i="7" s="1"/>
  <c r="AL187" i="7"/>
  <c r="AK187" i="7"/>
  <c r="AJ187" i="7" s="1"/>
  <c r="AD187" i="7"/>
  <c r="AC187" i="7"/>
  <c r="AA187" i="7" s="1"/>
  <c r="V187" i="7"/>
  <c r="U187" i="7"/>
  <c r="T187" i="7" s="1"/>
  <c r="N187" i="7"/>
  <c r="M187" i="7"/>
  <c r="L187" i="7" s="1"/>
  <c r="F187" i="7"/>
  <c r="E187" i="7"/>
  <c r="AT186" i="7"/>
  <c r="AS186" i="7"/>
  <c r="AR186" i="7" s="1"/>
  <c r="AL186" i="7"/>
  <c r="AK186" i="7"/>
  <c r="AJ186" i="7" s="1"/>
  <c r="AD186" i="7"/>
  <c r="AC186" i="7"/>
  <c r="AA186" i="7" s="1"/>
  <c r="V186" i="7"/>
  <c r="U186" i="7"/>
  <c r="T186" i="7" s="1"/>
  <c r="N186" i="7"/>
  <c r="M186" i="7"/>
  <c r="L186" i="7" s="1"/>
  <c r="F186" i="7"/>
  <c r="E186" i="7"/>
  <c r="AT185" i="7"/>
  <c r="AS185" i="7"/>
  <c r="AR185" i="7" s="1"/>
  <c r="AL185" i="7"/>
  <c r="AK185" i="7"/>
  <c r="AJ185" i="7" s="1"/>
  <c r="AD185" i="7"/>
  <c r="AC185" i="7"/>
  <c r="AA185" i="7" s="1"/>
  <c r="V185" i="7"/>
  <c r="U185" i="7"/>
  <c r="T185" i="7" s="1"/>
  <c r="N185" i="7"/>
  <c r="M185" i="7"/>
  <c r="L185" i="7" s="1"/>
  <c r="F185" i="7"/>
  <c r="E185" i="7"/>
  <c r="AT184" i="7"/>
  <c r="AS184" i="7"/>
  <c r="AR184" i="7" s="1"/>
  <c r="AL184" i="7"/>
  <c r="AK184" i="7"/>
  <c r="AJ184" i="7" s="1"/>
  <c r="AD184" i="7"/>
  <c r="AC184" i="7"/>
  <c r="AA184" i="7" s="1"/>
  <c r="V184" i="7"/>
  <c r="U184" i="7"/>
  <c r="T184" i="7" s="1"/>
  <c r="N184" i="7"/>
  <c r="M184" i="7"/>
  <c r="L184" i="7" s="1"/>
  <c r="F184" i="7"/>
  <c r="E184" i="7"/>
  <c r="AT183" i="7"/>
  <c r="AS183" i="7"/>
  <c r="AR183" i="7" s="1"/>
  <c r="AL183" i="7"/>
  <c r="AK183" i="7"/>
  <c r="AJ183" i="7" s="1"/>
  <c r="AD183" i="7"/>
  <c r="AC183" i="7"/>
  <c r="AA183" i="7" s="1"/>
  <c r="V183" i="7"/>
  <c r="U183" i="7"/>
  <c r="T183" i="7" s="1"/>
  <c r="N183" i="7"/>
  <c r="M183" i="7"/>
  <c r="L183" i="7" s="1"/>
  <c r="F183" i="7"/>
  <c r="E183" i="7"/>
  <c r="AT182" i="7"/>
  <c r="AS182" i="7"/>
  <c r="AR182" i="7" s="1"/>
  <c r="AL182" i="7"/>
  <c r="AK182" i="7"/>
  <c r="AJ182" i="7" s="1"/>
  <c r="AD182" i="7"/>
  <c r="AC182" i="7"/>
  <c r="AA182" i="7" s="1"/>
  <c r="V182" i="7"/>
  <c r="U182" i="7"/>
  <c r="S182" i="7" s="1"/>
  <c r="N182" i="7"/>
  <c r="M182" i="7"/>
  <c r="L182" i="7" s="1"/>
  <c r="F182" i="7"/>
  <c r="E182" i="7"/>
  <c r="AT181" i="7"/>
  <c r="AS181" i="7"/>
  <c r="AR181" i="7" s="1"/>
  <c r="AL181" i="7"/>
  <c r="AK181" i="7"/>
  <c r="AJ181" i="7" s="1"/>
  <c r="AD181" i="7"/>
  <c r="AC181" i="7"/>
  <c r="AA181" i="7" s="1"/>
  <c r="V181" i="7"/>
  <c r="U181" i="7"/>
  <c r="S181" i="7" s="1"/>
  <c r="N181" i="7"/>
  <c r="M181" i="7"/>
  <c r="L181" i="7" s="1"/>
  <c r="F181" i="7"/>
  <c r="E181" i="7"/>
  <c r="AT180" i="7"/>
  <c r="AS180" i="7"/>
  <c r="AR180" i="7" s="1"/>
  <c r="AL180" i="7"/>
  <c r="AK180" i="7"/>
  <c r="AJ180" i="7" s="1"/>
  <c r="AD180" i="7"/>
  <c r="AC180" i="7"/>
  <c r="AA180" i="7" s="1"/>
  <c r="V180" i="7"/>
  <c r="U180" i="7"/>
  <c r="S180" i="7" s="1"/>
  <c r="T180" i="7"/>
  <c r="N180" i="7"/>
  <c r="M180" i="7"/>
  <c r="F180" i="7"/>
  <c r="E180" i="7"/>
  <c r="C180" i="7" s="1"/>
  <c r="AT179" i="7"/>
  <c r="AS179" i="7"/>
  <c r="AQ179" i="7" s="1"/>
  <c r="AL179" i="7"/>
  <c r="AK179" i="7"/>
  <c r="AJ179" i="7" s="1"/>
  <c r="AD179" i="7"/>
  <c r="AC179" i="7"/>
  <c r="AA179" i="7" s="1"/>
  <c r="V179" i="7"/>
  <c r="U179" i="7"/>
  <c r="T179" i="7" s="1"/>
  <c r="N179" i="7"/>
  <c r="M179" i="7"/>
  <c r="F179" i="7"/>
  <c r="E179" i="7"/>
  <c r="C179" i="7" s="1"/>
  <c r="AT178" i="7"/>
  <c r="AS178" i="7"/>
  <c r="AR178" i="7" s="1"/>
  <c r="AL178" i="7"/>
  <c r="AK178" i="7"/>
  <c r="AJ178" i="7" s="1"/>
  <c r="AD178" i="7"/>
  <c r="AC178" i="7"/>
  <c r="AA178" i="7" s="1"/>
  <c r="V178" i="7"/>
  <c r="U178" i="7"/>
  <c r="S178" i="7" s="1"/>
  <c r="N178" i="7"/>
  <c r="M178" i="7"/>
  <c r="F178" i="7"/>
  <c r="E178" i="7"/>
  <c r="C178" i="7" s="1"/>
  <c r="AT177" i="7"/>
  <c r="AS177" i="7"/>
  <c r="AR177" i="7" s="1"/>
  <c r="AL177" i="7"/>
  <c r="AK177" i="7"/>
  <c r="AJ177" i="7" s="1"/>
  <c r="AD177" i="7"/>
  <c r="AC177" i="7"/>
  <c r="AA177" i="7" s="1"/>
  <c r="V177" i="7"/>
  <c r="U177" i="7"/>
  <c r="T177" i="7" s="1"/>
  <c r="N177" i="7"/>
  <c r="M177" i="7"/>
  <c r="F177" i="7"/>
  <c r="E177" i="7"/>
  <c r="C177" i="7" s="1"/>
  <c r="AT176" i="7"/>
  <c r="AS176" i="7"/>
  <c r="AR176" i="7" s="1"/>
  <c r="AL176" i="7"/>
  <c r="AK176" i="7"/>
  <c r="AJ176" i="7" s="1"/>
  <c r="AD176" i="7"/>
  <c r="AC176" i="7"/>
  <c r="AA176" i="7" s="1"/>
  <c r="V176" i="7"/>
  <c r="U176" i="7"/>
  <c r="T176" i="7" s="1"/>
  <c r="N176" i="7"/>
  <c r="M176" i="7"/>
  <c r="F176" i="7"/>
  <c r="E176" i="7"/>
  <c r="C176" i="7" s="1"/>
  <c r="AT175" i="7"/>
  <c r="AS175" i="7"/>
  <c r="AQ175" i="7" s="1"/>
  <c r="AL175" i="7"/>
  <c r="AK175" i="7"/>
  <c r="AJ175" i="7" s="1"/>
  <c r="AD175" i="7"/>
  <c r="AC175" i="7"/>
  <c r="AA175" i="7" s="1"/>
  <c r="V175" i="7"/>
  <c r="U175" i="7"/>
  <c r="T175" i="7" s="1"/>
  <c r="N175" i="7"/>
  <c r="M175" i="7"/>
  <c r="F175" i="7"/>
  <c r="E175" i="7"/>
  <c r="C175" i="7" s="1"/>
  <c r="AT174" i="7"/>
  <c r="AS174" i="7"/>
  <c r="AR174" i="7" s="1"/>
  <c r="AL174" i="7"/>
  <c r="AK174" i="7"/>
  <c r="AJ174" i="7" s="1"/>
  <c r="AD174" i="7"/>
  <c r="AC174" i="7"/>
  <c r="AA174" i="7" s="1"/>
  <c r="V174" i="7"/>
  <c r="U174" i="7"/>
  <c r="T174" i="7" s="1"/>
  <c r="N174" i="7"/>
  <c r="M174" i="7"/>
  <c r="F174" i="7"/>
  <c r="E174" i="7"/>
  <c r="C174" i="7" s="1"/>
  <c r="AT173" i="7"/>
  <c r="AS173" i="7"/>
  <c r="AR173" i="7" s="1"/>
  <c r="AL173" i="7"/>
  <c r="AK173" i="7"/>
  <c r="AJ173" i="7" s="1"/>
  <c r="AD173" i="7"/>
  <c r="AC173" i="7"/>
  <c r="AA173" i="7" s="1"/>
  <c r="V173" i="7"/>
  <c r="U173" i="7"/>
  <c r="T173" i="7" s="1"/>
  <c r="N173" i="7"/>
  <c r="M173" i="7"/>
  <c r="F173" i="7"/>
  <c r="E173" i="7"/>
  <c r="C173" i="7" s="1"/>
  <c r="AT172" i="7"/>
  <c r="AS172" i="7"/>
  <c r="AR172" i="7" s="1"/>
  <c r="AL172" i="7"/>
  <c r="AK172" i="7"/>
  <c r="AJ172" i="7" s="1"/>
  <c r="AD172" i="7"/>
  <c r="AC172" i="7"/>
  <c r="AA172" i="7" s="1"/>
  <c r="V172" i="7"/>
  <c r="U172" i="7"/>
  <c r="S172" i="7" s="1"/>
  <c r="N172" i="7"/>
  <c r="M172" i="7"/>
  <c r="F172" i="7"/>
  <c r="E172" i="7"/>
  <c r="C172" i="7" s="1"/>
  <c r="AT171" i="7"/>
  <c r="AS171" i="7"/>
  <c r="AR171" i="7" s="1"/>
  <c r="AL171" i="7"/>
  <c r="AK171" i="7"/>
  <c r="AJ171" i="7" s="1"/>
  <c r="AD171" i="7"/>
  <c r="AC171" i="7"/>
  <c r="AA171" i="7" s="1"/>
  <c r="V171" i="7"/>
  <c r="U171" i="7"/>
  <c r="T171" i="7" s="1"/>
  <c r="N171" i="7"/>
  <c r="M171" i="7"/>
  <c r="F171" i="7"/>
  <c r="E171" i="7"/>
  <c r="C171" i="7" s="1"/>
  <c r="AT170" i="7"/>
  <c r="AS170" i="7"/>
  <c r="AR170" i="7" s="1"/>
  <c r="AL170" i="7"/>
  <c r="AK170" i="7"/>
  <c r="AJ170" i="7" s="1"/>
  <c r="AD170" i="7"/>
  <c r="AC170" i="7"/>
  <c r="AA170" i="7" s="1"/>
  <c r="V170" i="7"/>
  <c r="U170" i="7"/>
  <c r="T170" i="7" s="1"/>
  <c r="N170" i="7"/>
  <c r="M170" i="7"/>
  <c r="F170" i="7"/>
  <c r="E170" i="7"/>
  <c r="C170" i="7" s="1"/>
  <c r="AT169" i="7"/>
  <c r="AS169" i="7"/>
  <c r="AQ169" i="7" s="1"/>
  <c r="AL169" i="7"/>
  <c r="AK169" i="7"/>
  <c r="AJ169" i="7" s="1"/>
  <c r="AD169" i="7"/>
  <c r="AC169" i="7"/>
  <c r="AA169" i="7" s="1"/>
  <c r="V169" i="7"/>
  <c r="U169" i="7"/>
  <c r="S169" i="7" s="1"/>
  <c r="N169" i="7"/>
  <c r="M169" i="7"/>
  <c r="F169" i="7"/>
  <c r="E169" i="7"/>
  <c r="C169" i="7" s="1"/>
  <c r="AT168" i="7"/>
  <c r="AS168" i="7"/>
  <c r="AR168" i="7" s="1"/>
  <c r="AL168" i="7"/>
  <c r="AK168" i="7"/>
  <c r="AJ168" i="7" s="1"/>
  <c r="AD168" i="7"/>
  <c r="AC168" i="7"/>
  <c r="AA168" i="7" s="1"/>
  <c r="V168" i="7"/>
  <c r="U168" i="7"/>
  <c r="T168" i="7" s="1"/>
  <c r="N168" i="7"/>
  <c r="M168" i="7"/>
  <c r="F168" i="7"/>
  <c r="E168" i="7"/>
  <c r="C168" i="7" s="1"/>
  <c r="AT167" i="7"/>
  <c r="AS167" i="7"/>
  <c r="AQ167" i="7" s="1"/>
  <c r="AL167" i="7"/>
  <c r="AK167" i="7"/>
  <c r="AJ167" i="7" s="1"/>
  <c r="AD167" i="7"/>
  <c r="AC167" i="7"/>
  <c r="AA167" i="7" s="1"/>
  <c r="V167" i="7"/>
  <c r="U167" i="7"/>
  <c r="T167" i="7" s="1"/>
  <c r="N167" i="7"/>
  <c r="M167" i="7"/>
  <c r="F167" i="7"/>
  <c r="E167" i="7"/>
  <c r="C167" i="7" s="1"/>
  <c r="AT166" i="7"/>
  <c r="AS166" i="7"/>
  <c r="AR166" i="7" s="1"/>
  <c r="AL166" i="7"/>
  <c r="AK166" i="7"/>
  <c r="AJ166" i="7" s="1"/>
  <c r="AD166" i="7"/>
  <c r="AC166" i="7"/>
  <c r="AA166" i="7" s="1"/>
  <c r="V166" i="7"/>
  <c r="U166" i="7"/>
  <c r="T166" i="7" s="1"/>
  <c r="N166" i="7"/>
  <c r="M166" i="7"/>
  <c r="F166" i="7"/>
  <c r="E166" i="7"/>
  <c r="C166" i="7" s="1"/>
  <c r="AT165" i="7"/>
  <c r="AS165" i="7"/>
  <c r="AR165" i="7" s="1"/>
  <c r="AL165" i="7"/>
  <c r="AK165" i="7"/>
  <c r="AJ165" i="7" s="1"/>
  <c r="AD165" i="7"/>
  <c r="AC165" i="7"/>
  <c r="AA165" i="7" s="1"/>
  <c r="V165" i="7"/>
  <c r="U165" i="7"/>
  <c r="T165" i="7" s="1"/>
  <c r="N165" i="7"/>
  <c r="M165" i="7"/>
  <c r="F165" i="7"/>
  <c r="E165" i="7"/>
  <c r="C165" i="7" s="1"/>
  <c r="AT164" i="7"/>
  <c r="AS164" i="7"/>
  <c r="AR164" i="7" s="1"/>
  <c r="AL164" i="7"/>
  <c r="AK164" i="7"/>
  <c r="AJ164" i="7" s="1"/>
  <c r="AD164" i="7"/>
  <c r="AC164" i="7"/>
  <c r="AA164" i="7" s="1"/>
  <c r="V164" i="7"/>
  <c r="U164" i="7"/>
  <c r="T164" i="7" s="1"/>
  <c r="N164" i="7"/>
  <c r="M164" i="7"/>
  <c r="F164" i="7"/>
  <c r="E164" i="7"/>
  <c r="C164" i="7" s="1"/>
  <c r="AT163" i="7"/>
  <c r="AS163" i="7"/>
  <c r="AR163" i="7" s="1"/>
  <c r="AL163" i="7"/>
  <c r="AK163" i="7"/>
  <c r="AJ163" i="7" s="1"/>
  <c r="AD163" i="7"/>
  <c r="AC163" i="7"/>
  <c r="AA163" i="7" s="1"/>
  <c r="V163" i="7"/>
  <c r="U163" i="7"/>
  <c r="T163" i="7" s="1"/>
  <c r="N163" i="7"/>
  <c r="M163" i="7"/>
  <c r="F163" i="7"/>
  <c r="E163" i="7"/>
  <c r="C163" i="7" s="1"/>
  <c r="AT162" i="7"/>
  <c r="AS162" i="7"/>
  <c r="AR162" i="7" s="1"/>
  <c r="AL162" i="7"/>
  <c r="AK162" i="7"/>
  <c r="AJ162" i="7" s="1"/>
  <c r="AD162" i="7"/>
  <c r="AC162" i="7"/>
  <c r="AA162" i="7" s="1"/>
  <c r="V162" i="7"/>
  <c r="U162" i="7"/>
  <c r="T162" i="7" s="1"/>
  <c r="N162" i="7"/>
  <c r="M162" i="7"/>
  <c r="F162" i="7"/>
  <c r="E162" i="7"/>
  <c r="C162" i="7" s="1"/>
  <c r="AT161" i="7"/>
  <c r="AS161" i="7"/>
  <c r="AR161" i="7" s="1"/>
  <c r="AL161" i="7"/>
  <c r="AK161" i="7"/>
  <c r="AJ161" i="7" s="1"/>
  <c r="AD161" i="7"/>
  <c r="AC161" i="7"/>
  <c r="AA161" i="7" s="1"/>
  <c r="V161" i="7"/>
  <c r="U161" i="7"/>
  <c r="S161" i="7" s="1"/>
  <c r="N161" i="7"/>
  <c r="M161" i="7"/>
  <c r="F161" i="7"/>
  <c r="E161" i="7"/>
  <c r="C161" i="7" s="1"/>
  <c r="AT160" i="7"/>
  <c r="AS160" i="7"/>
  <c r="AR160" i="7" s="1"/>
  <c r="AL160" i="7"/>
  <c r="AK160" i="7"/>
  <c r="AJ160" i="7" s="1"/>
  <c r="AD160" i="7"/>
  <c r="AC160" i="7"/>
  <c r="AA160" i="7" s="1"/>
  <c r="V160" i="7"/>
  <c r="U160" i="7"/>
  <c r="S160" i="7" s="1"/>
  <c r="N160" i="7"/>
  <c r="M160" i="7"/>
  <c r="F160" i="7"/>
  <c r="E160" i="7"/>
  <c r="C160" i="7" s="1"/>
  <c r="AT159" i="7"/>
  <c r="AS159" i="7"/>
  <c r="AR159" i="7" s="1"/>
  <c r="AL159" i="7"/>
  <c r="AK159" i="7"/>
  <c r="AJ159" i="7" s="1"/>
  <c r="AD159" i="7"/>
  <c r="AC159" i="7"/>
  <c r="AA159" i="7" s="1"/>
  <c r="V159" i="7"/>
  <c r="U159" i="7"/>
  <c r="T159" i="7" s="1"/>
  <c r="N159" i="7"/>
  <c r="M159" i="7"/>
  <c r="F159" i="7"/>
  <c r="E159" i="7"/>
  <c r="C159" i="7" s="1"/>
  <c r="AT158" i="7"/>
  <c r="AS158" i="7"/>
  <c r="AR158" i="7" s="1"/>
  <c r="AL158" i="7"/>
  <c r="AK158" i="7"/>
  <c r="AJ158" i="7" s="1"/>
  <c r="AD158" i="7"/>
  <c r="AC158" i="7"/>
  <c r="AA158" i="7" s="1"/>
  <c r="V158" i="7"/>
  <c r="U158" i="7"/>
  <c r="T158" i="7" s="1"/>
  <c r="N158" i="7"/>
  <c r="M158" i="7"/>
  <c r="F158" i="7"/>
  <c r="E158" i="7"/>
  <c r="C158" i="7" s="1"/>
  <c r="AT157" i="7"/>
  <c r="AS157" i="7"/>
  <c r="AQ157" i="7" s="1"/>
  <c r="AL157" i="7"/>
  <c r="AK157" i="7"/>
  <c r="AJ157" i="7" s="1"/>
  <c r="AD157" i="7"/>
  <c r="AC157" i="7"/>
  <c r="AA157" i="7" s="1"/>
  <c r="V157" i="7"/>
  <c r="U157" i="7"/>
  <c r="T157" i="7" s="1"/>
  <c r="N157" i="7"/>
  <c r="M157" i="7"/>
  <c r="F157" i="7"/>
  <c r="E157" i="7"/>
  <c r="C157" i="7" s="1"/>
  <c r="AT156" i="7"/>
  <c r="AS156" i="7"/>
  <c r="AR156" i="7" s="1"/>
  <c r="AL156" i="7"/>
  <c r="AK156" i="7"/>
  <c r="AJ156" i="7" s="1"/>
  <c r="AD156" i="7"/>
  <c r="AC156" i="7"/>
  <c r="AA156" i="7" s="1"/>
  <c r="V156" i="7"/>
  <c r="U156" i="7"/>
  <c r="T156" i="7" s="1"/>
  <c r="N156" i="7"/>
  <c r="M156" i="7"/>
  <c r="F156" i="7"/>
  <c r="E156" i="7"/>
  <c r="C156" i="7" s="1"/>
  <c r="AT155" i="7"/>
  <c r="AS155" i="7"/>
  <c r="AR155" i="7" s="1"/>
  <c r="AL155" i="7"/>
  <c r="AK155" i="7"/>
  <c r="AJ155" i="7" s="1"/>
  <c r="AD155" i="7"/>
  <c r="AC155" i="7"/>
  <c r="AA155" i="7" s="1"/>
  <c r="V155" i="7"/>
  <c r="U155" i="7"/>
  <c r="T155" i="7" s="1"/>
  <c r="N155" i="7"/>
  <c r="M155" i="7"/>
  <c r="F155" i="7"/>
  <c r="E155" i="7"/>
  <c r="C155" i="7" s="1"/>
  <c r="AT154" i="7"/>
  <c r="AS154" i="7"/>
  <c r="AR154" i="7" s="1"/>
  <c r="AL154" i="7"/>
  <c r="AK154" i="7"/>
  <c r="AJ154" i="7" s="1"/>
  <c r="AD154" i="7"/>
  <c r="AC154" i="7"/>
  <c r="AA154" i="7" s="1"/>
  <c r="V154" i="7"/>
  <c r="U154" i="7"/>
  <c r="S154" i="7" s="1"/>
  <c r="N154" i="7"/>
  <c r="M154" i="7"/>
  <c r="F154" i="7"/>
  <c r="E154" i="7"/>
  <c r="C154" i="7" s="1"/>
  <c r="AT153" i="7"/>
  <c r="AS153" i="7"/>
  <c r="AR153" i="7" s="1"/>
  <c r="AL153" i="7"/>
  <c r="AK153" i="7"/>
  <c r="AJ153" i="7" s="1"/>
  <c r="AD153" i="7"/>
  <c r="AC153" i="7"/>
  <c r="AA153" i="7" s="1"/>
  <c r="V153" i="7"/>
  <c r="U153" i="7"/>
  <c r="S153" i="7" s="1"/>
  <c r="N153" i="7"/>
  <c r="M153" i="7"/>
  <c r="F153" i="7"/>
  <c r="E153" i="7"/>
  <c r="C153" i="7" s="1"/>
  <c r="AT152" i="7"/>
  <c r="AS152" i="7"/>
  <c r="AR152" i="7" s="1"/>
  <c r="AL152" i="7"/>
  <c r="AK152" i="7"/>
  <c r="AJ152" i="7" s="1"/>
  <c r="AD152" i="7"/>
  <c r="AC152" i="7"/>
  <c r="AA152" i="7" s="1"/>
  <c r="V152" i="7"/>
  <c r="U152" i="7"/>
  <c r="S152" i="7" s="1"/>
  <c r="N152" i="7"/>
  <c r="M152" i="7"/>
  <c r="F152" i="7"/>
  <c r="E152" i="7"/>
  <c r="C152" i="7" s="1"/>
  <c r="AT151" i="7"/>
  <c r="AS151" i="7"/>
  <c r="AQ151" i="7" s="1"/>
  <c r="AL151" i="7"/>
  <c r="AK151" i="7"/>
  <c r="AJ151" i="7" s="1"/>
  <c r="AD151" i="7"/>
  <c r="AC151" i="7"/>
  <c r="AA151" i="7" s="1"/>
  <c r="V151" i="7"/>
  <c r="U151" i="7"/>
  <c r="T151" i="7" s="1"/>
  <c r="N151" i="7"/>
  <c r="M151" i="7"/>
  <c r="F151" i="7"/>
  <c r="E151" i="7"/>
  <c r="C151" i="7" s="1"/>
  <c r="AT150" i="7"/>
  <c r="AS150" i="7"/>
  <c r="AQ150" i="7" s="1"/>
  <c r="AL150" i="7"/>
  <c r="AK150" i="7"/>
  <c r="AJ150" i="7" s="1"/>
  <c r="AD150" i="7"/>
  <c r="AC150" i="7"/>
  <c r="AA150" i="7" s="1"/>
  <c r="V150" i="7"/>
  <c r="U150" i="7"/>
  <c r="T150" i="7" s="1"/>
  <c r="N150" i="7"/>
  <c r="M150" i="7"/>
  <c r="F150" i="7"/>
  <c r="E150" i="7"/>
  <c r="C150" i="7" s="1"/>
  <c r="AT149" i="7"/>
  <c r="AS149" i="7"/>
  <c r="AQ149" i="7" s="1"/>
  <c r="AL149" i="7"/>
  <c r="AK149" i="7"/>
  <c r="AJ149" i="7" s="1"/>
  <c r="AD149" i="7"/>
  <c r="AC149" i="7"/>
  <c r="AA149" i="7" s="1"/>
  <c r="V149" i="7"/>
  <c r="U149" i="7"/>
  <c r="T149" i="7" s="1"/>
  <c r="N149" i="7"/>
  <c r="M149" i="7"/>
  <c r="F149" i="7"/>
  <c r="E149" i="7"/>
  <c r="C149" i="7" s="1"/>
  <c r="AT148" i="7"/>
  <c r="AS148" i="7"/>
  <c r="AR148" i="7" s="1"/>
  <c r="AL148" i="7"/>
  <c r="AK148" i="7"/>
  <c r="AJ148" i="7" s="1"/>
  <c r="AD148" i="7"/>
  <c r="AC148" i="7"/>
  <c r="AA148" i="7" s="1"/>
  <c r="V148" i="7"/>
  <c r="U148" i="7"/>
  <c r="S148" i="7" s="1"/>
  <c r="N148" i="7"/>
  <c r="M148" i="7"/>
  <c r="F148" i="7"/>
  <c r="E148" i="7"/>
  <c r="C148" i="7" s="1"/>
  <c r="AT147" i="7"/>
  <c r="AS147" i="7"/>
  <c r="AR147" i="7" s="1"/>
  <c r="AL147" i="7"/>
  <c r="AK147" i="7"/>
  <c r="AJ147" i="7" s="1"/>
  <c r="AD147" i="7"/>
  <c r="AC147" i="7"/>
  <c r="AA147" i="7" s="1"/>
  <c r="V147" i="7"/>
  <c r="U147" i="7"/>
  <c r="T147" i="7" s="1"/>
  <c r="N147" i="7"/>
  <c r="M147" i="7"/>
  <c r="F147" i="7"/>
  <c r="E147" i="7"/>
  <c r="C147" i="7" s="1"/>
  <c r="AT146" i="7"/>
  <c r="AS146" i="7"/>
  <c r="AR146" i="7" s="1"/>
  <c r="AL146" i="7"/>
  <c r="AK146" i="7"/>
  <c r="AJ146" i="7" s="1"/>
  <c r="AD146" i="7"/>
  <c r="AC146" i="7"/>
  <c r="AA146" i="7" s="1"/>
  <c r="V146" i="7"/>
  <c r="U146" i="7"/>
  <c r="S146" i="7" s="1"/>
  <c r="N146" i="7"/>
  <c r="M146" i="7"/>
  <c r="F146" i="7"/>
  <c r="E146" i="7"/>
  <c r="C146" i="7" s="1"/>
  <c r="AT145" i="7"/>
  <c r="AS145" i="7"/>
  <c r="AQ145" i="7" s="1"/>
  <c r="AL145" i="7"/>
  <c r="AK145" i="7"/>
  <c r="AJ145" i="7" s="1"/>
  <c r="AD145" i="7"/>
  <c r="AC145" i="7"/>
  <c r="AA145" i="7" s="1"/>
  <c r="V145" i="7"/>
  <c r="U145" i="7"/>
  <c r="T145" i="7" s="1"/>
  <c r="N145" i="7"/>
  <c r="M145" i="7"/>
  <c r="F145" i="7"/>
  <c r="E145" i="7"/>
  <c r="C145" i="7" s="1"/>
  <c r="AT144" i="7"/>
  <c r="AS144" i="7"/>
  <c r="AR144" i="7" s="1"/>
  <c r="AL144" i="7"/>
  <c r="AK144" i="7"/>
  <c r="AJ144" i="7" s="1"/>
  <c r="AD144" i="7"/>
  <c r="AC144" i="7"/>
  <c r="AA144" i="7" s="1"/>
  <c r="V144" i="7"/>
  <c r="U144" i="7"/>
  <c r="S144" i="7" s="1"/>
  <c r="N144" i="7"/>
  <c r="M144" i="7"/>
  <c r="F144" i="7"/>
  <c r="E144" i="7"/>
  <c r="C144" i="7" s="1"/>
  <c r="AT143" i="7"/>
  <c r="AS143" i="7"/>
  <c r="AR143" i="7" s="1"/>
  <c r="AL143" i="7"/>
  <c r="AK143" i="7"/>
  <c r="AJ143" i="7" s="1"/>
  <c r="AD143" i="7"/>
  <c r="AC143" i="7"/>
  <c r="AA143" i="7" s="1"/>
  <c r="V143" i="7"/>
  <c r="U143" i="7"/>
  <c r="T143" i="7" s="1"/>
  <c r="N143" i="7"/>
  <c r="M143" i="7"/>
  <c r="F143" i="7"/>
  <c r="E143" i="7"/>
  <c r="C143" i="7" s="1"/>
  <c r="AT142" i="7"/>
  <c r="AS142" i="7"/>
  <c r="AR142" i="7" s="1"/>
  <c r="AL142" i="7"/>
  <c r="AK142" i="7"/>
  <c r="AJ142" i="7" s="1"/>
  <c r="AD142" i="7"/>
  <c r="AC142" i="7"/>
  <c r="AA142" i="7" s="1"/>
  <c r="V142" i="7"/>
  <c r="U142" i="7"/>
  <c r="S142" i="7" s="1"/>
  <c r="N142" i="7"/>
  <c r="M142" i="7"/>
  <c r="F142" i="7"/>
  <c r="E142" i="7"/>
  <c r="C142" i="7" s="1"/>
  <c r="AT141" i="7"/>
  <c r="AS141" i="7"/>
  <c r="AR141" i="7" s="1"/>
  <c r="AL141" i="7"/>
  <c r="AK141" i="7"/>
  <c r="AJ141" i="7" s="1"/>
  <c r="AD141" i="7"/>
  <c r="AC141" i="7"/>
  <c r="AA141" i="7" s="1"/>
  <c r="V141" i="7"/>
  <c r="U141" i="7"/>
  <c r="T141" i="7" s="1"/>
  <c r="N141" i="7"/>
  <c r="M141" i="7"/>
  <c r="F141" i="7"/>
  <c r="E141" i="7"/>
  <c r="C141" i="7" s="1"/>
  <c r="AT140" i="7"/>
  <c r="AS140" i="7"/>
  <c r="AR140" i="7" s="1"/>
  <c r="AL140" i="7"/>
  <c r="AK140" i="7"/>
  <c r="AJ140" i="7" s="1"/>
  <c r="AD140" i="7"/>
  <c r="AC140" i="7"/>
  <c r="AA140" i="7" s="1"/>
  <c r="V140" i="7"/>
  <c r="U140" i="7"/>
  <c r="S140" i="7" s="1"/>
  <c r="N140" i="7"/>
  <c r="M140" i="7"/>
  <c r="F140" i="7"/>
  <c r="E140" i="7"/>
  <c r="C140" i="7" s="1"/>
  <c r="AT139" i="7"/>
  <c r="AS139" i="7"/>
  <c r="AR139" i="7" s="1"/>
  <c r="AL139" i="7"/>
  <c r="AK139" i="7"/>
  <c r="AJ139" i="7" s="1"/>
  <c r="AD139" i="7"/>
  <c r="AC139" i="7"/>
  <c r="AA139" i="7" s="1"/>
  <c r="V139" i="7"/>
  <c r="U139" i="7"/>
  <c r="T139" i="7" s="1"/>
  <c r="N139" i="7"/>
  <c r="M139" i="7"/>
  <c r="F139" i="7"/>
  <c r="E139" i="7"/>
  <c r="C139" i="7" s="1"/>
  <c r="AT138" i="7"/>
  <c r="AS138" i="7"/>
  <c r="AR138" i="7" s="1"/>
  <c r="AL138" i="7"/>
  <c r="AK138" i="7"/>
  <c r="AJ138" i="7" s="1"/>
  <c r="AD138" i="7"/>
  <c r="AC138" i="7"/>
  <c r="AA138" i="7" s="1"/>
  <c r="V138" i="7"/>
  <c r="U138" i="7"/>
  <c r="S138" i="7" s="1"/>
  <c r="N138" i="7"/>
  <c r="M138" i="7"/>
  <c r="F138" i="7"/>
  <c r="E138" i="7"/>
  <c r="C138" i="7" s="1"/>
  <c r="AT137" i="7"/>
  <c r="AS137" i="7"/>
  <c r="AR137" i="7" s="1"/>
  <c r="AL137" i="7"/>
  <c r="AK137" i="7"/>
  <c r="AJ137" i="7" s="1"/>
  <c r="AD137" i="7"/>
  <c r="AC137" i="7"/>
  <c r="AA137" i="7" s="1"/>
  <c r="V137" i="7"/>
  <c r="U137" i="7"/>
  <c r="T137" i="7" s="1"/>
  <c r="N137" i="7"/>
  <c r="M137" i="7"/>
  <c r="F137" i="7"/>
  <c r="E137" i="7"/>
  <c r="C137" i="7" s="1"/>
  <c r="AT136" i="7"/>
  <c r="AS136" i="7"/>
  <c r="AQ136" i="7" s="1"/>
  <c r="AL136" i="7"/>
  <c r="AK136" i="7"/>
  <c r="AJ136" i="7" s="1"/>
  <c r="AD136" i="7"/>
  <c r="AC136" i="7"/>
  <c r="AA136" i="7" s="1"/>
  <c r="V136" i="7"/>
  <c r="U136" i="7"/>
  <c r="T136" i="7" s="1"/>
  <c r="N136" i="7"/>
  <c r="M136" i="7"/>
  <c r="F136" i="7"/>
  <c r="E136" i="7"/>
  <c r="C136" i="7" s="1"/>
  <c r="AT135" i="7"/>
  <c r="AS135" i="7"/>
  <c r="AR135" i="7" s="1"/>
  <c r="AL135" i="7"/>
  <c r="AK135" i="7"/>
  <c r="AJ135" i="7" s="1"/>
  <c r="AD135" i="7"/>
  <c r="AC135" i="7"/>
  <c r="AA135" i="7" s="1"/>
  <c r="V135" i="7"/>
  <c r="U135" i="7"/>
  <c r="T135" i="7" s="1"/>
  <c r="N135" i="7"/>
  <c r="M135" i="7"/>
  <c r="F135" i="7"/>
  <c r="E135" i="7"/>
  <c r="C135" i="7" s="1"/>
  <c r="AT134" i="7"/>
  <c r="AS134" i="7"/>
  <c r="AR134" i="7" s="1"/>
  <c r="AL134" i="7"/>
  <c r="AK134" i="7"/>
  <c r="AJ134" i="7" s="1"/>
  <c r="AD134" i="7"/>
  <c r="AC134" i="7"/>
  <c r="AA134" i="7" s="1"/>
  <c r="V134" i="7"/>
  <c r="U134" i="7"/>
  <c r="T134" i="7" s="1"/>
  <c r="N134" i="7"/>
  <c r="M134" i="7"/>
  <c r="F134" i="7"/>
  <c r="E134" i="7"/>
  <c r="C134" i="7" s="1"/>
  <c r="AT133" i="7"/>
  <c r="AS133" i="7"/>
  <c r="AQ133" i="7" s="1"/>
  <c r="AL133" i="7"/>
  <c r="AK133" i="7"/>
  <c r="AJ133" i="7" s="1"/>
  <c r="AD133" i="7"/>
  <c r="AC133" i="7"/>
  <c r="AA133" i="7" s="1"/>
  <c r="V133" i="7"/>
  <c r="U133" i="7"/>
  <c r="S133" i="7" s="1"/>
  <c r="N133" i="7"/>
  <c r="M133" i="7"/>
  <c r="F133" i="7"/>
  <c r="E133" i="7"/>
  <c r="C133" i="7" s="1"/>
  <c r="AT132" i="7"/>
  <c r="AS132" i="7"/>
  <c r="AQ132" i="7" s="1"/>
  <c r="AL132" i="7"/>
  <c r="AK132" i="7"/>
  <c r="AJ132" i="7" s="1"/>
  <c r="AD132" i="7"/>
  <c r="AC132" i="7"/>
  <c r="AA132" i="7" s="1"/>
  <c r="V132" i="7"/>
  <c r="U132" i="7"/>
  <c r="T132" i="7" s="1"/>
  <c r="N132" i="7"/>
  <c r="M132" i="7"/>
  <c r="F132" i="7"/>
  <c r="E132" i="7"/>
  <c r="C132" i="7" s="1"/>
  <c r="AT131" i="7"/>
  <c r="AS131" i="7"/>
  <c r="AQ131" i="7" s="1"/>
  <c r="AL131" i="7"/>
  <c r="AK131" i="7"/>
  <c r="AJ131" i="7" s="1"/>
  <c r="AD131" i="7"/>
  <c r="AC131" i="7"/>
  <c r="AA131" i="7" s="1"/>
  <c r="V131" i="7"/>
  <c r="U131" i="7"/>
  <c r="S131" i="7" s="1"/>
  <c r="N131" i="7"/>
  <c r="M131" i="7"/>
  <c r="F131" i="7"/>
  <c r="E131" i="7"/>
  <c r="C131" i="7" s="1"/>
  <c r="AT130" i="7"/>
  <c r="AS130" i="7"/>
  <c r="AQ130" i="7" s="1"/>
  <c r="AL130" i="7"/>
  <c r="AK130" i="7"/>
  <c r="AJ130" i="7" s="1"/>
  <c r="AD130" i="7"/>
  <c r="AC130" i="7"/>
  <c r="AA130" i="7" s="1"/>
  <c r="V130" i="7"/>
  <c r="U130" i="7"/>
  <c r="T130" i="7" s="1"/>
  <c r="N130" i="7"/>
  <c r="M130" i="7"/>
  <c r="F130" i="7"/>
  <c r="E130" i="7"/>
  <c r="C130" i="7" s="1"/>
  <c r="AT129" i="7"/>
  <c r="AS129" i="7"/>
  <c r="AR129" i="7" s="1"/>
  <c r="AL129" i="7"/>
  <c r="AK129" i="7"/>
  <c r="AJ129" i="7" s="1"/>
  <c r="AD129" i="7"/>
  <c r="AC129" i="7"/>
  <c r="AA129" i="7" s="1"/>
  <c r="V129" i="7"/>
  <c r="U129" i="7"/>
  <c r="T129" i="7" s="1"/>
  <c r="N129" i="7"/>
  <c r="M129" i="7"/>
  <c r="F129" i="7"/>
  <c r="E129" i="7"/>
  <c r="C129" i="7" s="1"/>
  <c r="AT128" i="7"/>
  <c r="AS128" i="7"/>
  <c r="AR128" i="7" s="1"/>
  <c r="AL128" i="7"/>
  <c r="AK128" i="7"/>
  <c r="AJ128" i="7" s="1"/>
  <c r="AD128" i="7"/>
  <c r="AC128" i="7"/>
  <c r="AA128" i="7" s="1"/>
  <c r="V128" i="7"/>
  <c r="U128" i="7"/>
  <c r="S128" i="7" s="1"/>
  <c r="N128" i="7"/>
  <c r="M128" i="7"/>
  <c r="F128" i="7"/>
  <c r="E128" i="7"/>
  <c r="C128" i="7" s="1"/>
  <c r="AT127" i="7"/>
  <c r="AS127" i="7"/>
  <c r="AQ127" i="7" s="1"/>
  <c r="AL127" i="7"/>
  <c r="AK127" i="7"/>
  <c r="AJ127" i="7" s="1"/>
  <c r="AD127" i="7"/>
  <c r="AC127" i="7"/>
  <c r="AA127" i="7" s="1"/>
  <c r="V127" i="7"/>
  <c r="U127" i="7"/>
  <c r="T127" i="7" s="1"/>
  <c r="N127" i="7"/>
  <c r="M127" i="7"/>
  <c r="F127" i="7"/>
  <c r="E127" i="7"/>
  <c r="C127" i="7" s="1"/>
  <c r="AT126" i="7"/>
  <c r="AS126" i="7"/>
  <c r="AQ126" i="7" s="1"/>
  <c r="AL126" i="7"/>
  <c r="AK126" i="7"/>
  <c r="AJ126" i="7" s="1"/>
  <c r="AD126" i="7"/>
  <c r="AC126" i="7"/>
  <c r="AA126" i="7" s="1"/>
  <c r="V126" i="7"/>
  <c r="U126" i="7"/>
  <c r="S126" i="7" s="1"/>
  <c r="N126" i="7"/>
  <c r="M126" i="7"/>
  <c r="F126" i="7"/>
  <c r="E126" i="7"/>
  <c r="C126" i="7" s="1"/>
  <c r="AT125" i="7"/>
  <c r="AS125" i="7"/>
  <c r="AQ125" i="7" s="1"/>
  <c r="AR125" i="7"/>
  <c r="AL125" i="7"/>
  <c r="AK125" i="7"/>
  <c r="AJ125" i="7" s="1"/>
  <c r="AD125" i="7"/>
  <c r="AC125" i="7"/>
  <c r="AA125" i="7" s="1"/>
  <c r="V125" i="7"/>
  <c r="U125" i="7"/>
  <c r="T125" i="7" s="1"/>
  <c r="N125" i="7"/>
  <c r="M125" i="7"/>
  <c r="F125" i="7"/>
  <c r="E125" i="7"/>
  <c r="C125" i="7" s="1"/>
  <c r="AT124" i="7"/>
  <c r="AS124" i="7"/>
  <c r="AQ124" i="7" s="1"/>
  <c r="AL124" i="7"/>
  <c r="AK124" i="7"/>
  <c r="AJ124" i="7" s="1"/>
  <c r="AD124" i="7"/>
  <c r="AC124" i="7"/>
  <c r="AA124" i="7" s="1"/>
  <c r="V124" i="7"/>
  <c r="U124" i="7"/>
  <c r="S124" i="7" s="1"/>
  <c r="N124" i="7"/>
  <c r="M124" i="7"/>
  <c r="F124" i="7"/>
  <c r="E124" i="7"/>
  <c r="C124" i="7" s="1"/>
  <c r="AT123" i="7"/>
  <c r="AS123" i="7"/>
  <c r="AQ123" i="7" s="1"/>
  <c r="AL123" i="7"/>
  <c r="AK123" i="7"/>
  <c r="AJ123" i="7" s="1"/>
  <c r="AD123" i="7"/>
  <c r="AC123" i="7"/>
  <c r="AA123" i="7" s="1"/>
  <c r="V123" i="7"/>
  <c r="U123" i="7"/>
  <c r="T123" i="7" s="1"/>
  <c r="N123" i="7"/>
  <c r="M123" i="7"/>
  <c r="F123" i="7"/>
  <c r="E123" i="7"/>
  <c r="C123" i="7" s="1"/>
  <c r="AT122" i="7"/>
  <c r="AS122" i="7"/>
  <c r="AQ122" i="7" s="1"/>
  <c r="AL122" i="7"/>
  <c r="AK122" i="7"/>
  <c r="AJ122" i="7" s="1"/>
  <c r="AD122" i="7"/>
  <c r="AC122" i="7"/>
  <c r="AA122" i="7" s="1"/>
  <c r="V122" i="7"/>
  <c r="U122" i="7"/>
  <c r="T122" i="7" s="1"/>
  <c r="N122" i="7"/>
  <c r="M122" i="7"/>
  <c r="F122" i="7"/>
  <c r="E122" i="7"/>
  <c r="C122" i="7" s="1"/>
  <c r="AT121" i="7"/>
  <c r="AS121" i="7"/>
  <c r="AR121" i="7" s="1"/>
  <c r="AL121" i="7"/>
  <c r="AK121" i="7"/>
  <c r="AJ121" i="7" s="1"/>
  <c r="AD121" i="7"/>
  <c r="AC121" i="7"/>
  <c r="AA121" i="7" s="1"/>
  <c r="V121" i="7"/>
  <c r="U121" i="7"/>
  <c r="T121" i="7" s="1"/>
  <c r="N121" i="7"/>
  <c r="M121" i="7"/>
  <c r="F121" i="7"/>
  <c r="E121" i="7"/>
  <c r="C121" i="7" s="1"/>
  <c r="AT120" i="7"/>
  <c r="AS120" i="7"/>
  <c r="AR120" i="7" s="1"/>
  <c r="AL120" i="7"/>
  <c r="AK120" i="7"/>
  <c r="AJ120" i="7" s="1"/>
  <c r="AD120" i="7"/>
  <c r="AC120" i="7"/>
  <c r="AA120" i="7" s="1"/>
  <c r="V120" i="7"/>
  <c r="U120" i="7"/>
  <c r="T120" i="7" s="1"/>
  <c r="N120" i="7"/>
  <c r="M120" i="7"/>
  <c r="F120" i="7"/>
  <c r="E120" i="7"/>
  <c r="C120" i="7" s="1"/>
  <c r="AT119" i="7"/>
  <c r="AS119" i="7"/>
  <c r="AR119" i="7" s="1"/>
  <c r="AL119" i="7"/>
  <c r="AK119" i="7"/>
  <c r="AJ119" i="7" s="1"/>
  <c r="AD119" i="7"/>
  <c r="AC119" i="7"/>
  <c r="AA119" i="7" s="1"/>
  <c r="V119" i="7"/>
  <c r="U119" i="7"/>
  <c r="S119" i="7" s="1"/>
  <c r="N119" i="7"/>
  <c r="M119" i="7"/>
  <c r="F119" i="7"/>
  <c r="E119" i="7"/>
  <c r="C119" i="7" s="1"/>
  <c r="AT118" i="7"/>
  <c r="AS118" i="7"/>
  <c r="AR118" i="7" s="1"/>
  <c r="AL118" i="7"/>
  <c r="AK118" i="7"/>
  <c r="AJ118" i="7" s="1"/>
  <c r="AD118" i="7"/>
  <c r="AC118" i="7"/>
  <c r="AA118" i="7" s="1"/>
  <c r="V118" i="7"/>
  <c r="U118" i="7"/>
  <c r="T118" i="7" s="1"/>
  <c r="N118" i="7"/>
  <c r="M118" i="7"/>
  <c r="F118" i="7"/>
  <c r="E118" i="7"/>
  <c r="C118" i="7" s="1"/>
  <c r="AT117" i="7"/>
  <c r="AS117" i="7"/>
  <c r="AR117" i="7" s="1"/>
  <c r="AL117" i="7"/>
  <c r="AK117" i="7"/>
  <c r="AJ117" i="7" s="1"/>
  <c r="AD117" i="7"/>
  <c r="AC117" i="7"/>
  <c r="AA117" i="7" s="1"/>
  <c r="V117" i="7"/>
  <c r="U117" i="7"/>
  <c r="S117" i="7" s="1"/>
  <c r="N117" i="7"/>
  <c r="M117" i="7"/>
  <c r="F117" i="7"/>
  <c r="E117" i="7"/>
  <c r="C117" i="7" s="1"/>
  <c r="AT116" i="7"/>
  <c r="AS116" i="7"/>
  <c r="AR116" i="7" s="1"/>
  <c r="AL116" i="7"/>
  <c r="AK116" i="7"/>
  <c r="AJ116" i="7" s="1"/>
  <c r="AD116" i="7"/>
  <c r="AC116" i="7"/>
  <c r="AA116" i="7" s="1"/>
  <c r="V116" i="7"/>
  <c r="U116" i="7"/>
  <c r="T116" i="7" s="1"/>
  <c r="N116" i="7"/>
  <c r="M116" i="7"/>
  <c r="F116" i="7"/>
  <c r="E116" i="7"/>
  <c r="C116" i="7" s="1"/>
  <c r="AT115" i="7"/>
  <c r="AS115" i="7"/>
  <c r="AR115" i="7" s="1"/>
  <c r="AL115" i="7"/>
  <c r="AK115" i="7"/>
  <c r="AJ115" i="7" s="1"/>
  <c r="AD115" i="7"/>
  <c r="AC115" i="7"/>
  <c r="AA115" i="7" s="1"/>
  <c r="V115" i="7"/>
  <c r="U115" i="7"/>
  <c r="S115" i="7" s="1"/>
  <c r="N115" i="7"/>
  <c r="M115" i="7"/>
  <c r="F115" i="7"/>
  <c r="E115" i="7"/>
  <c r="C115" i="7" s="1"/>
  <c r="AT114" i="7"/>
  <c r="AS114" i="7"/>
  <c r="AQ114" i="7" s="1"/>
  <c r="AL114" i="7"/>
  <c r="AK114" i="7"/>
  <c r="AJ114" i="7" s="1"/>
  <c r="AD114" i="7"/>
  <c r="AC114" i="7"/>
  <c r="AA114" i="7" s="1"/>
  <c r="V114" i="7"/>
  <c r="U114" i="7"/>
  <c r="T114" i="7" s="1"/>
  <c r="N114" i="7"/>
  <c r="M114" i="7"/>
  <c r="F114" i="7"/>
  <c r="E114" i="7"/>
  <c r="C114" i="7" s="1"/>
  <c r="AT113" i="7"/>
  <c r="AS113" i="7"/>
  <c r="AQ113" i="7" s="1"/>
  <c r="AL113" i="7"/>
  <c r="AK113" i="7"/>
  <c r="AJ113" i="7" s="1"/>
  <c r="AD113" i="7"/>
  <c r="AC113" i="7"/>
  <c r="AA113" i="7" s="1"/>
  <c r="V113" i="7"/>
  <c r="U113" i="7"/>
  <c r="T113" i="7" s="1"/>
  <c r="N113" i="7"/>
  <c r="M113" i="7"/>
  <c r="F113" i="7"/>
  <c r="E113" i="7"/>
  <c r="C113" i="7" s="1"/>
  <c r="AT112" i="7"/>
  <c r="AS112" i="7"/>
  <c r="AR112" i="7" s="1"/>
  <c r="AL112" i="7"/>
  <c r="AK112" i="7"/>
  <c r="AJ112" i="7" s="1"/>
  <c r="AD112" i="7"/>
  <c r="AC112" i="7"/>
  <c r="AA112" i="7" s="1"/>
  <c r="V112" i="7"/>
  <c r="U112" i="7"/>
  <c r="T112" i="7" s="1"/>
  <c r="N112" i="7"/>
  <c r="M112" i="7"/>
  <c r="F112" i="7"/>
  <c r="E112" i="7"/>
  <c r="C112" i="7" s="1"/>
  <c r="AT111" i="7"/>
  <c r="AS111" i="7"/>
  <c r="AR111" i="7" s="1"/>
  <c r="AL111" i="7"/>
  <c r="AK111" i="7"/>
  <c r="AJ111" i="7" s="1"/>
  <c r="AD111" i="7"/>
  <c r="AC111" i="7"/>
  <c r="AA111" i="7" s="1"/>
  <c r="V111" i="7"/>
  <c r="U111" i="7"/>
  <c r="T111" i="7" s="1"/>
  <c r="N111" i="7"/>
  <c r="M111" i="7"/>
  <c r="F111" i="7"/>
  <c r="E111" i="7"/>
  <c r="C111" i="7" s="1"/>
  <c r="AT110" i="7"/>
  <c r="AS110" i="7"/>
  <c r="AR110" i="7" s="1"/>
  <c r="AL110" i="7"/>
  <c r="AK110" i="7"/>
  <c r="AJ110" i="7" s="1"/>
  <c r="AD110" i="7"/>
  <c r="AC110" i="7"/>
  <c r="AA110" i="7" s="1"/>
  <c r="V110" i="7"/>
  <c r="U110" i="7"/>
  <c r="T110" i="7" s="1"/>
  <c r="N110" i="7"/>
  <c r="M110" i="7"/>
  <c r="F110" i="7"/>
  <c r="E110" i="7"/>
  <c r="C110" i="7" s="1"/>
  <c r="AT109" i="7"/>
  <c r="AS109" i="7"/>
  <c r="AR109" i="7" s="1"/>
  <c r="AL109" i="7"/>
  <c r="AK109" i="7"/>
  <c r="AJ109" i="7" s="1"/>
  <c r="AD109" i="7"/>
  <c r="AC109" i="7"/>
  <c r="AA109" i="7" s="1"/>
  <c r="V109" i="7"/>
  <c r="U109" i="7"/>
  <c r="T109" i="7" s="1"/>
  <c r="N109" i="7"/>
  <c r="M109" i="7"/>
  <c r="L109" i="7" s="1"/>
  <c r="F109" i="7"/>
  <c r="E109" i="7"/>
  <c r="C109" i="7" s="1"/>
  <c r="AT108" i="7"/>
  <c r="AS108" i="7"/>
  <c r="AR108" i="7" s="1"/>
  <c r="AL108" i="7"/>
  <c r="AK108" i="7"/>
  <c r="AJ108" i="7" s="1"/>
  <c r="AD108" i="7"/>
  <c r="AC108" i="7"/>
  <c r="AA108" i="7" s="1"/>
  <c r="V108" i="7"/>
  <c r="U108" i="7"/>
  <c r="T108" i="7" s="1"/>
  <c r="N108" i="7"/>
  <c r="M108" i="7"/>
  <c r="L108" i="7" s="1"/>
  <c r="F108" i="7"/>
  <c r="E108" i="7"/>
  <c r="C108" i="7" s="1"/>
  <c r="AT107" i="7"/>
  <c r="AS107" i="7"/>
  <c r="AR107" i="7" s="1"/>
  <c r="AL107" i="7"/>
  <c r="AK107" i="7"/>
  <c r="AJ107" i="7" s="1"/>
  <c r="AD107" i="7"/>
  <c r="AC107" i="7"/>
  <c r="AA107" i="7" s="1"/>
  <c r="V107" i="7"/>
  <c r="U107" i="7"/>
  <c r="T107" i="7" s="1"/>
  <c r="N107" i="7"/>
  <c r="M107" i="7"/>
  <c r="L107" i="7" s="1"/>
  <c r="F107" i="7"/>
  <c r="E107" i="7"/>
  <c r="C107" i="7" s="1"/>
  <c r="AT106" i="7"/>
  <c r="AS106" i="7"/>
  <c r="AR106" i="7" s="1"/>
  <c r="AL106" i="7"/>
  <c r="AK106" i="7"/>
  <c r="AJ106" i="7" s="1"/>
  <c r="AD106" i="7"/>
  <c r="AC106" i="7"/>
  <c r="AA106" i="7" s="1"/>
  <c r="V106" i="7"/>
  <c r="U106" i="7"/>
  <c r="T106" i="7" s="1"/>
  <c r="N106" i="7"/>
  <c r="M106" i="7"/>
  <c r="L106" i="7" s="1"/>
  <c r="F106" i="7"/>
  <c r="E106" i="7"/>
  <c r="C106" i="7" s="1"/>
  <c r="AT105" i="7"/>
  <c r="AS105" i="7"/>
  <c r="AR105" i="7" s="1"/>
  <c r="AL105" i="7"/>
  <c r="AK105" i="7"/>
  <c r="AJ105" i="7" s="1"/>
  <c r="AD105" i="7"/>
  <c r="AC105" i="7"/>
  <c r="AA105" i="7" s="1"/>
  <c r="V105" i="7"/>
  <c r="U105" i="7"/>
  <c r="T105" i="7" s="1"/>
  <c r="N105" i="7"/>
  <c r="M105" i="7"/>
  <c r="L105" i="7" s="1"/>
  <c r="F105" i="7"/>
  <c r="E105" i="7"/>
  <c r="C105" i="7" s="1"/>
  <c r="AT104" i="7"/>
  <c r="AS104" i="7"/>
  <c r="AR104" i="7" s="1"/>
  <c r="AL104" i="7"/>
  <c r="AK104" i="7"/>
  <c r="AJ104" i="7" s="1"/>
  <c r="AD104" i="7"/>
  <c r="AC104" i="7"/>
  <c r="AA104" i="7" s="1"/>
  <c r="V104" i="7"/>
  <c r="U104" i="7"/>
  <c r="T104" i="7" s="1"/>
  <c r="N104" i="7"/>
  <c r="M104" i="7"/>
  <c r="L104" i="7" s="1"/>
  <c r="F104" i="7"/>
  <c r="E104" i="7"/>
  <c r="C104" i="7" s="1"/>
  <c r="AT103" i="7"/>
  <c r="AS103" i="7"/>
  <c r="AR103" i="7" s="1"/>
  <c r="AL103" i="7"/>
  <c r="AK103" i="7"/>
  <c r="AJ103" i="7" s="1"/>
  <c r="AD103" i="7"/>
  <c r="AC103" i="7"/>
  <c r="AA103" i="7" s="1"/>
  <c r="V103" i="7"/>
  <c r="U103" i="7"/>
  <c r="T103" i="7" s="1"/>
  <c r="N103" i="7"/>
  <c r="M103" i="7"/>
  <c r="L103" i="7" s="1"/>
  <c r="F103" i="7"/>
  <c r="E103" i="7"/>
  <c r="C103" i="7" s="1"/>
  <c r="AT102" i="7"/>
  <c r="AS102" i="7"/>
  <c r="AR102" i="7" s="1"/>
  <c r="AL102" i="7"/>
  <c r="AK102" i="7"/>
  <c r="AJ102" i="7" s="1"/>
  <c r="AD102" i="7"/>
  <c r="AC102" i="7"/>
  <c r="AA102" i="7" s="1"/>
  <c r="V102" i="7"/>
  <c r="U102" i="7"/>
  <c r="T102" i="7" s="1"/>
  <c r="N102" i="7"/>
  <c r="M102" i="7"/>
  <c r="L102" i="7" s="1"/>
  <c r="F102" i="7"/>
  <c r="E102" i="7"/>
  <c r="C102" i="7" s="1"/>
  <c r="AT101" i="7"/>
  <c r="AS101" i="7"/>
  <c r="AR101" i="7" s="1"/>
  <c r="AL101" i="7"/>
  <c r="AK101" i="7"/>
  <c r="AJ101" i="7" s="1"/>
  <c r="AD101" i="7"/>
  <c r="AC101" i="7"/>
  <c r="AA101" i="7" s="1"/>
  <c r="V101" i="7"/>
  <c r="U101" i="7"/>
  <c r="T101" i="7" s="1"/>
  <c r="N101" i="7"/>
  <c r="M101" i="7"/>
  <c r="L101" i="7" s="1"/>
  <c r="F101" i="7"/>
  <c r="E101" i="7"/>
  <c r="C101" i="7" s="1"/>
  <c r="AT100" i="7"/>
  <c r="AS100" i="7"/>
  <c r="AR100" i="7" s="1"/>
  <c r="AL100" i="7"/>
  <c r="AK100" i="7"/>
  <c r="AJ100" i="7" s="1"/>
  <c r="AD100" i="7"/>
  <c r="AC100" i="7"/>
  <c r="AA100" i="7" s="1"/>
  <c r="V100" i="7"/>
  <c r="U100" i="7"/>
  <c r="T100" i="7" s="1"/>
  <c r="N100" i="7"/>
  <c r="M100" i="7"/>
  <c r="L100" i="7" s="1"/>
  <c r="F100" i="7"/>
  <c r="E100" i="7"/>
  <c r="C100" i="7" s="1"/>
  <c r="AT99" i="7"/>
  <c r="AS99" i="7"/>
  <c r="AR99" i="7" s="1"/>
  <c r="AL99" i="7"/>
  <c r="AK99" i="7"/>
  <c r="AJ99" i="7" s="1"/>
  <c r="AD99" i="7"/>
  <c r="AC99" i="7"/>
  <c r="AA99" i="7" s="1"/>
  <c r="V99" i="7"/>
  <c r="U99" i="7"/>
  <c r="T99" i="7" s="1"/>
  <c r="N99" i="7"/>
  <c r="M99" i="7"/>
  <c r="L99" i="7" s="1"/>
  <c r="F99" i="7"/>
  <c r="E99" i="7"/>
  <c r="C99" i="7" s="1"/>
  <c r="AT98" i="7"/>
  <c r="AS98" i="7"/>
  <c r="AR98" i="7" s="1"/>
  <c r="AL98" i="7"/>
  <c r="AK98" i="7"/>
  <c r="AJ98" i="7" s="1"/>
  <c r="AD98" i="7"/>
  <c r="AC98" i="7"/>
  <c r="AA98" i="7" s="1"/>
  <c r="V98" i="7"/>
  <c r="U98" i="7"/>
  <c r="T98" i="7" s="1"/>
  <c r="N98" i="7"/>
  <c r="M98" i="7"/>
  <c r="L98" i="7" s="1"/>
  <c r="F98" i="7"/>
  <c r="E98" i="7"/>
  <c r="C98" i="7" s="1"/>
  <c r="AT97" i="7"/>
  <c r="AS97" i="7"/>
  <c r="AR97" i="7" s="1"/>
  <c r="AL97" i="7"/>
  <c r="AK97" i="7"/>
  <c r="AJ97" i="7" s="1"/>
  <c r="AD97" i="7"/>
  <c r="AC97" i="7"/>
  <c r="AA97" i="7" s="1"/>
  <c r="V97" i="7"/>
  <c r="U97" i="7"/>
  <c r="T97" i="7" s="1"/>
  <c r="N97" i="7"/>
  <c r="M97" i="7"/>
  <c r="L97" i="7" s="1"/>
  <c r="F97" i="7"/>
  <c r="E97" i="7"/>
  <c r="C97" i="7" s="1"/>
  <c r="AT96" i="7"/>
  <c r="AS96" i="7"/>
  <c r="AR96" i="7" s="1"/>
  <c r="AL96" i="7"/>
  <c r="AK96" i="7"/>
  <c r="AJ96" i="7" s="1"/>
  <c r="AD96" i="7"/>
  <c r="AC96" i="7"/>
  <c r="AA96" i="7" s="1"/>
  <c r="V96" i="7"/>
  <c r="U96" i="7"/>
  <c r="T96" i="7" s="1"/>
  <c r="N96" i="7"/>
  <c r="M96" i="7"/>
  <c r="L96" i="7" s="1"/>
  <c r="F96" i="7"/>
  <c r="E96" i="7"/>
  <c r="C96" i="7" s="1"/>
  <c r="AT95" i="7"/>
  <c r="AS95" i="7"/>
  <c r="AR95" i="7" s="1"/>
  <c r="AL95" i="7"/>
  <c r="AK95" i="7"/>
  <c r="AJ95" i="7" s="1"/>
  <c r="AD95" i="7"/>
  <c r="AC95" i="7"/>
  <c r="AA95" i="7" s="1"/>
  <c r="V95" i="7"/>
  <c r="U95" i="7"/>
  <c r="T95" i="7" s="1"/>
  <c r="N95" i="7"/>
  <c r="M95" i="7"/>
  <c r="L95" i="7" s="1"/>
  <c r="F95" i="7"/>
  <c r="E95" i="7"/>
  <c r="C95" i="7" s="1"/>
  <c r="AT94" i="7"/>
  <c r="AS94" i="7"/>
  <c r="AR94" i="7" s="1"/>
  <c r="AL94" i="7"/>
  <c r="AK94" i="7"/>
  <c r="AJ94" i="7" s="1"/>
  <c r="AD94" i="7"/>
  <c r="AC94" i="7"/>
  <c r="AA94" i="7" s="1"/>
  <c r="V94" i="7"/>
  <c r="U94" i="7"/>
  <c r="S94" i="7" s="1"/>
  <c r="N94" i="7"/>
  <c r="M94" i="7"/>
  <c r="L94" i="7" s="1"/>
  <c r="K94" i="7"/>
  <c r="F94" i="7"/>
  <c r="E94" i="7"/>
  <c r="C94" i="7" s="1"/>
  <c r="AT93" i="7"/>
  <c r="AS93" i="7"/>
  <c r="AR93" i="7" s="1"/>
  <c r="AL93" i="7"/>
  <c r="AK93" i="7"/>
  <c r="AJ93" i="7" s="1"/>
  <c r="AD93" i="7"/>
  <c r="AC93" i="7"/>
  <c r="AA93" i="7" s="1"/>
  <c r="V93" i="7"/>
  <c r="U93" i="7"/>
  <c r="S93" i="7" s="1"/>
  <c r="N93" i="7"/>
  <c r="M93" i="7"/>
  <c r="L93" i="7" s="1"/>
  <c r="F93" i="7"/>
  <c r="E93" i="7"/>
  <c r="C93" i="7" s="1"/>
  <c r="AT92" i="7"/>
  <c r="AS92" i="7"/>
  <c r="AR92" i="7" s="1"/>
  <c r="AL92" i="7"/>
  <c r="AK92" i="7"/>
  <c r="AJ92" i="7" s="1"/>
  <c r="AD92" i="7"/>
  <c r="AC92" i="7"/>
  <c r="AA92" i="7" s="1"/>
  <c r="V92" i="7"/>
  <c r="U92" i="7"/>
  <c r="S92" i="7" s="1"/>
  <c r="N92" i="7"/>
  <c r="M92" i="7"/>
  <c r="L92" i="7" s="1"/>
  <c r="F92" i="7"/>
  <c r="E92" i="7"/>
  <c r="C92" i="7" s="1"/>
  <c r="AT91" i="7"/>
  <c r="AS91" i="7"/>
  <c r="AR91" i="7" s="1"/>
  <c r="AL91" i="7"/>
  <c r="AK91" i="7"/>
  <c r="AJ91" i="7" s="1"/>
  <c r="AD91" i="7"/>
  <c r="AC91" i="7"/>
  <c r="AA91" i="7" s="1"/>
  <c r="V91" i="7"/>
  <c r="U91" i="7"/>
  <c r="S91" i="7" s="1"/>
  <c r="N91" i="7"/>
  <c r="M91" i="7"/>
  <c r="L91" i="7" s="1"/>
  <c r="F91" i="7"/>
  <c r="E91" i="7"/>
  <c r="C91" i="7" s="1"/>
  <c r="AT90" i="7"/>
  <c r="AS90" i="7"/>
  <c r="AR90" i="7" s="1"/>
  <c r="AL90" i="7"/>
  <c r="AK90" i="7"/>
  <c r="AJ90" i="7" s="1"/>
  <c r="AD90" i="7"/>
  <c r="AC90" i="7"/>
  <c r="AA90" i="7" s="1"/>
  <c r="V90" i="7"/>
  <c r="U90" i="7"/>
  <c r="S90" i="7" s="1"/>
  <c r="N90" i="7"/>
  <c r="M90" i="7"/>
  <c r="L90" i="7" s="1"/>
  <c r="F90" i="7"/>
  <c r="E90" i="7"/>
  <c r="C90" i="7" s="1"/>
  <c r="AT89" i="7"/>
  <c r="AS89" i="7"/>
  <c r="AR89" i="7" s="1"/>
  <c r="AL89" i="7"/>
  <c r="AK89" i="7"/>
  <c r="AJ89" i="7" s="1"/>
  <c r="AD89" i="7"/>
  <c r="AC89" i="7"/>
  <c r="AA89" i="7" s="1"/>
  <c r="V89" i="7"/>
  <c r="U89" i="7"/>
  <c r="S89" i="7" s="1"/>
  <c r="N89" i="7"/>
  <c r="M89" i="7"/>
  <c r="K89" i="7" s="1"/>
  <c r="F89" i="7"/>
  <c r="E89" i="7"/>
  <c r="C89" i="7" s="1"/>
  <c r="AT88" i="7"/>
  <c r="AS88" i="7"/>
  <c r="AR88" i="7" s="1"/>
  <c r="AL88" i="7"/>
  <c r="AK88" i="7"/>
  <c r="AJ88" i="7" s="1"/>
  <c r="AD88" i="7"/>
  <c r="AC88" i="7"/>
  <c r="AA88" i="7" s="1"/>
  <c r="V88" i="7"/>
  <c r="U88" i="7"/>
  <c r="S88" i="7" s="1"/>
  <c r="N88" i="7"/>
  <c r="M88" i="7"/>
  <c r="L88" i="7" s="1"/>
  <c r="F88" i="7"/>
  <c r="E88" i="7"/>
  <c r="C88" i="7" s="1"/>
  <c r="AT87" i="7"/>
  <c r="AS87" i="7"/>
  <c r="AR87" i="7" s="1"/>
  <c r="AL87" i="7"/>
  <c r="AK87" i="7"/>
  <c r="AJ87" i="7" s="1"/>
  <c r="AD87" i="7"/>
  <c r="AC87" i="7"/>
  <c r="AA87" i="7" s="1"/>
  <c r="V87" i="7"/>
  <c r="U87" i="7"/>
  <c r="S87" i="7" s="1"/>
  <c r="N87" i="7"/>
  <c r="M87" i="7"/>
  <c r="K87" i="7" s="1"/>
  <c r="F87" i="7"/>
  <c r="E87" i="7"/>
  <c r="C87" i="7" s="1"/>
  <c r="AT86" i="7"/>
  <c r="AS86" i="7"/>
  <c r="AR86" i="7" s="1"/>
  <c r="AL86" i="7"/>
  <c r="AK86" i="7"/>
  <c r="AJ86" i="7" s="1"/>
  <c r="AD86" i="7"/>
  <c r="AC86" i="7"/>
  <c r="AA86" i="7" s="1"/>
  <c r="V86" i="7"/>
  <c r="U86" i="7"/>
  <c r="S86" i="7" s="1"/>
  <c r="N86" i="7"/>
  <c r="M86" i="7"/>
  <c r="L86" i="7" s="1"/>
  <c r="F86" i="7"/>
  <c r="E86" i="7"/>
  <c r="C86" i="7" s="1"/>
  <c r="AT85" i="7"/>
  <c r="AS85" i="7"/>
  <c r="AR85" i="7" s="1"/>
  <c r="AL85" i="7"/>
  <c r="AK85" i="7"/>
  <c r="AJ85" i="7" s="1"/>
  <c r="AD85" i="7"/>
  <c r="AC85" i="7"/>
  <c r="AA85" i="7" s="1"/>
  <c r="V85" i="7"/>
  <c r="U85" i="7"/>
  <c r="S85" i="7" s="1"/>
  <c r="N85" i="7"/>
  <c r="M85" i="7"/>
  <c r="K85" i="7" s="1"/>
  <c r="F85" i="7"/>
  <c r="E85" i="7"/>
  <c r="C85" i="7" s="1"/>
  <c r="AT84" i="7"/>
  <c r="AS84" i="7"/>
  <c r="AR84" i="7" s="1"/>
  <c r="AL84" i="7"/>
  <c r="AK84" i="7"/>
  <c r="AJ84" i="7" s="1"/>
  <c r="AD84" i="7"/>
  <c r="AC84" i="7"/>
  <c r="AA84" i="7" s="1"/>
  <c r="V84" i="7"/>
  <c r="U84" i="7"/>
  <c r="S84" i="7" s="1"/>
  <c r="N84" i="7"/>
  <c r="M84" i="7"/>
  <c r="L84" i="7" s="1"/>
  <c r="F84" i="7"/>
  <c r="E84" i="7"/>
  <c r="C84" i="7" s="1"/>
  <c r="AT83" i="7"/>
  <c r="AS83" i="7"/>
  <c r="AR83" i="7" s="1"/>
  <c r="AL83" i="7"/>
  <c r="AK83" i="7"/>
  <c r="AJ83" i="7" s="1"/>
  <c r="AD83" i="7"/>
  <c r="AC83" i="7"/>
  <c r="AA83" i="7" s="1"/>
  <c r="V83" i="7"/>
  <c r="U83" i="7"/>
  <c r="S83" i="7" s="1"/>
  <c r="N83" i="7"/>
  <c r="M83" i="7"/>
  <c r="K83" i="7" s="1"/>
  <c r="F83" i="7"/>
  <c r="E83" i="7"/>
  <c r="C83" i="7" s="1"/>
  <c r="AT82" i="7"/>
  <c r="AS82" i="7"/>
  <c r="AR82" i="7" s="1"/>
  <c r="AL82" i="7"/>
  <c r="AK82" i="7"/>
  <c r="AJ82" i="7" s="1"/>
  <c r="AD82" i="7"/>
  <c r="AC82" i="7"/>
  <c r="AA82" i="7" s="1"/>
  <c r="V82" i="7"/>
  <c r="U82" i="7"/>
  <c r="S82" i="7" s="1"/>
  <c r="N82" i="7"/>
  <c r="M82" i="7"/>
  <c r="L82" i="7" s="1"/>
  <c r="F82" i="7"/>
  <c r="E82" i="7"/>
  <c r="C82" i="7" s="1"/>
  <c r="AT81" i="7"/>
  <c r="AS81" i="7"/>
  <c r="AR81" i="7" s="1"/>
  <c r="AL81" i="7"/>
  <c r="AK81" i="7"/>
  <c r="AJ81" i="7" s="1"/>
  <c r="AD81" i="7"/>
  <c r="AC81" i="7"/>
  <c r="AA81" i="7" s="1"/>
  <c r="V81" i="7"/>
  <c r="U81" i="7"/>
  <c r="S81" i="7" s="1"/>
  <c r="N81" i="7"/>
  <c r="M81" i="7"/>
  <c r="K81" i="7" s="1"/>
  <c r="F81" i="7"/>
  <c r="E81" i="7"/>
  <c r="C81" i="7" s="1"/>
  <c r="AT80" i="7"/>
  <c r="AS80" i="7"/>
  <c r="AR80" i="7" s="1"/>
  <c r="AL80" i="7"/>
  <c r="AK80" i="7"/>
  <c r="AJ80" i="7" s="1"/>
  <c r="AD80" i="7"/>
  <c r="AC80" i="7"/>
  <c r="AA80" i="7" s="1"/>
  <c r="V80" i="7"/>
  <c r="U80" i="7"/>
  <c r="S80" i="7" s="1"/>
  <c r="N80" i="7"/>
  <c r="M80" i="7"/>
  <c r="L80" i="7" s="1"/>
  <c r="F80" i="7"/>
  <c r="E80" i="7"/>
  <c r="C80" i="7" s="1"/>
  <c r="AT79" i="7"/>
  <c r="AS79" i="7"/>
  <c r="AR79" i="7" s="1"/>
  <c r="AL79" i="7"/>
  <c r="AK79" i="7"/>
  <c r="AJ79" i="7" s="1"/>
  <c r="AD79" i="7"/>
  <c r="AC79" i="7"/>
  <c r="AA79" i="7" s="1"/>
  <c r="V79" i="7"/>
  <c r="U79" i="7"/>
  <c r="S79" i="7" s="1"/>
  <c r="N79" i="7"/>
  <c r="M79" i="7"/>
  <c r="K79" i="7" s="1"/>
  <c r="F79" i="7"/>
  <c r="E79" i="7"/>
  <c r="C79" i="7" s="1"/>
  <c r="AT78" i="7"/>
  <c r="AS78" i="7"/>
  <c r="AR78" i="7" s="1"/>
  <c r="AL78" i="7"/>
  <c r="AK78" i="7"/>
  <c r="AJ78" i="7" s="1"/>
  <c r="AD78" i="7"/>
  <c r="AC78" i="7"/>
  <c r="AA78" i="7" s="1"/>
  <c r="V78" i="7"/>
  <c r="U78" i="7"/>
  <c r="S78" i="7" s="1"/>
  <c r="N78" i="7"/>
  <c r="M78" i="7"/>
  <c r="L78" i="7" s="1"/>
  <c r="F78" i="7"/>
  <c r="E78" i="7"/>
  <c r="C78" i="7" s="1"/>
  <c r="AT77" i="7"/>
  <c r="AS77" i="7"/>
  <c r="AR77" i="7" s="1"/>
  <c r="AL77" i="7"/>
  <c r="AK77" i="7"/>
  <c r="AJ77" i="7" s="1"/>
  <c r="AD77" i="7"/>
  <c r="AC77" i="7"/>
  <c r="AA77" i="7" s="1"/>
  <c r="V77" i="7"/>
  <c r="U77" i="7"/>
  <c r="S77" i="7" s="1"/>
  <c r="N77" i="7"/>
  <c r="M77" i="7"/>
  <c r="K77" i="7" s="1"/>
  <c r="F77" i="7"/>
  <c r="E77" i="7"/>
  <c r="C77" i="7" s="1"/>
  <c r="AT76" i="7"/>
  <c r="AS76" i="7"/>
  <c r="AR76" i="7" s="1"/>
  <c r="AL76" i="7"/>
  <c r="AK76" i="7"/>
  <c r="AJ76" i="7" s="1"/>
  <c r="AD76" i="7"/>
  <c r="AC76" i="7"/>
  <c r="AA76" i="7" s="1"/>
  <c r="V76" i="7"/>
  <c r="U76" i="7"/>
  <c r="S76" i="7" s="1"/>
  <c r="N76" i="7"/>
  <c r="M76" i="7"/>
  <c r="L76" i="7" s="1"/>
  <c r="F76" i="7"/>
  <c r="E76" i="7"/>
  <c r="C76" i="7" s="1"/>
  <c r="AT75" i="7"/>
  <c r="AS75" i="7"/>
  <c r="AR75" i="7" s="1"/>
  <c r="AL75" i="7"/>
  <c r="AK75" i="7"/>
  <c r="AJ75" i="7" s="1"/>
  <c r="AD75" i="7"/>
  <c r="AC75" i="7"/>
  <c r="AA75" i="7" s="1"/>
  <c r="V75" i="7"/>
  <c r="U75" i="7"/>
  <c r="S75" i="7" s="1"/>
  <c r="N75" i="7"/>
  <c r="M75" i="7"/>
  <c r="K75" i="7" s="1"/>
  <c r="F75" i="7"/>
  <c r="E75" i="7"/>
  <c r="C75" i="7" s="1"/>
  <c r="AT74" i="7"/>
  <c r="AS74" i="7"/>
  <c r="AR74" i="7" s="1"/>
  <c r="AL74" i="7"/>
  <c r="AK74" i="7"/>
  <c r="AJ74" i="7" s="1"/>
  <c r="AD74" i="7"/>
  <c r="AC74" i="7"/>
  <c r="AA74" i="7" s="1"/>
  <c r="V74" i="7"/>
  <c r="U74" i="7"/>
  <c r="S74" i="7" s="1"/>
  <c r="N74" i="7"/>
  <c r="M74" i="7"/>
  <c r="L74" i="7" s="1"/>
  <c r="F74" i="7"/>
  <c r="E74" i="7"/>
  <c r="C74" i="7" s="1"/>
  <c r="AT73" i="7"/>
  <c r="AS73" i="7"/>
  <c r="AR73" i="7" s="1"/>
  <c r="AL73" i="7"/>
  <c r="AK73" i="7"/>
  <c r="AJ73" i="7" s="1"/>
  <c r="AD73" i="7"/>
  <c r="AC73" i="7"/>
  <c r="AA73" i="7" s="1"/>
  <c r="V73" i="7"/>
  <c r="U73" i="7"/>
  <c r="S73" i="7" s="1"/>
  <c r="N73" i="7"/>
  <c r="M73" i="7"/>
  <c r="L73" i="7" s="1"/>
  <c r="F73" i="7"/>
  <c r="E73" i="7"/>
  <c r="C73" i="7" s="1"/>
  <c r="AT72" i="7"/>
  <c r="AS72" i="7"/>
  <c r="AR72" i="7" s="1"/>
  <c r="AL72" i="7"/>
  <c r="AK72" i="7"/>
  <c r="AJ72" i="7" s="1"/>
  <c r="AD72" i="7"/>
  <c r="AC72" i="7"/>
  <c r="AA72" i="7" s="1"/>
  <c r="V72" i="7"/>
  <c r="U72" i="7"/>
  <c r="S72" i="7" s="1"/>
  <c r="N72" i="7"/>
  <c r="M72" i="7"/>
  <c r="L72" i="7" s="1"/>
  <c r="F72" i="7"/>
  <c r="E72" i="7"/>
  <c r="C72" i="7" s="1"/>
  <c r="AT71" i="7"/>
  <c r="AS71" i="7"/>
  <c r="AR71" i="7" s="1"/>
  <c r="AL71" i="7"/>
  <c r="AK71" i="7"/>
  <c r="AJ71" i="7" s="1"/>
  <c r="AD71" i="7"/>
  <c r="AC71" i="7"/>
  <c r="AA71" i="7" s="1"/>
  <c r="V71" i="7"/>
  <c r="U71" i="7"/>
  <c r="S71" i="7" s="1"/>
  <c r="N71" i="7"/>
  <c r="M71" i="7"/>
  <c r="L71" i="7" s="1"/>
  <c r="F71" i="7"/>
  <c r="E71" i="7"/>
  <c r="C71" i="7" s="1"/>
  <c r="AT70" i="7"/>
  <c r="AS70" i="7"/>
  <c r="AR70" i="7" s="1"/>
  <c r="AL70" i="7"/>
  <c r="AK70" i="7"/>
  <c r="AJ70" i="7" s="1"/>
  <c r="AD70" i="7"/>
  <c r="AC70" i="7"/>
  <c r="AA70" i="7" s="1"/>
  <c r="V70" i="7"/>
  <c r="U70" i="7"/>
  <c r="S70" i="7" s="1"/>
  <c r="N70" i="7"/>
  <c r="M70" i="7"/>
  <c r="L70" i="7" s="1"/>
  <c r="F70" i="7"/>
  <c r="E70" i="7"/>
  <c r="C70" i="7" s="1"/>
  <c r="AT69" i="7"/>
  <c r="AS69" i="7"/>
  <c r="AR69" i="7" s="1"/>
  <c r="AL69" i="7"/>
  <c r="AK69" i="7"/>
  <c r="AJ69" i="7" s="1"/>
  <c r="AD69" i="7"/>
  <c r="AC69" i="7"/>
  <c r="AA69" i="7" s="1"/>
  <c r="V69" i="7"/>
  <c r="U69" i="7"/>
  <c r="S69" i="7" s="1"/>
  <c r="N69" i="7"/>
  <c r="M69" i="7"/>
  <c r="L69" i="7" s="1"/>
  <c r="F69" i="7"/>
  <c r="E69" i="7"/>
  <c r="C69" i="7" s="1"/>
  <c r="AT68" i="7"/>
  <c r="AS68" i="7"/>
  <c r="AR68" i="7" s="1"/>
  <c r="AL68" i="7"/>
  <c r="AK68" i="7"/>
  <c r="AJ68" i="7" s="1"/>
  <c r="AD68" i="7"/>
  <c r="AC68" i="7"/>
  <c r="AA68" i="7" s="1"/>
  <c r="V68" i="7"/>
  <c r="U68" i="7"/>
  <c r="S68" i="7" s="1"/>
  <c r="N68" i="7"/>
  <c r="M68" i="7"/>
  <c r="L68" i="7" s="1"/>
  <c r="F68" i="7"/>
  <c r="E68" i="7"/>
  <c r="C68" i="7" s="1"/>
  <c r="AT67" i="7"/>
  <c r="AS67" i="7"/>
  <c r="AR67" i="7" s="1"/>
  <c r="AL67" i="7"/>
  <c r="AK67" i="7"/>
  <c r="AJ67" i="7" s="1"/>
  <c r="AD67" i="7"/>
  <c r="AC67" i="7"/>
  <c r="AA67" i="7" s="1"/>
  <c r="V67" i="7"/>
  <c r="U67" i="7"/>
  <c r="S67" i="7" s="1"/>
  <c r="N67" i="7"/>
  <c r="M67" i="7"/>
  <c r="L67" i="7" s="1"/>
  <c r="F67" i="7"/>
  <c r="E67" i="7"/>
  <c r="C67" i="7" s="1"/>
  <c r="AT66" i="7"/>
  <c r="AS66" i="7"/>
  <c r="AR66" i="7" s="1"/>
  <c r="AL66" i="7"/>
  <c r="AK66" i="7"/>
  <c r="AJ66" i="7" s="1"/>
  <c r="AD66" i="7"/>
  <c r="AC66" i="7"/>
  <c r="AA66" i="7" s="1"/>
  <c r="V66" i="7"/>
  <c r="U66" i="7"/>
  <c r="S66" i="7" s="1"/>
  <c r="N66" i="7"/>
  <c r="M66" i="7"/>
  <c r="L66" i="7" s="1"/>
  <c r="F66" i="7"/>
  <c r="E66" i="7"/>
  <c r="C66" i="7" s="1"/>
  <c r="AT65" i="7"/>
  <c r="AS65" i="7"/>
  <c r="AR65" i="7" s="1"/>
  <c r="AL65" i="7"/>
  <c r="AK65" i="7"/>
  <c r="AJ65" i="7" s="1"/>
  <c r="AD65" i="7"/>
  <c r="AC65" i="7"/>
  <c r="AA65" i="7" s="1"/>
  <c r="V65" i="7"/>
  <c r="U65" i="7"/>
  <c r="S65" i="7" s="1"/>
  <c r="N65" i="7"/>
  <c r="M65" i="7"/>
  <c r="L65" i="7" s="1"/>
  <c r="F65" i="7"/>
  <c r="E65" i="7"/>
  <c r="C65" i="7" s="1"/>
  <c r="AT64" i="7"/>
  <c r="AS64" i="7"/>
  <c r="AR64" i="7" s="1"/>
  <c r="AL64" i="7"/>
  <c r="AK64" i="7"/>
  <c r="AJ64" i="7" s="1"/>
  <c r="AD64" i="7"/>
  <c r="AC64" i="7"/>
  <c r="AA64" i="7" s="1"/>
  <c r="V64" i="7"/>
  <c r="U64" i="7"/>
  <c r="S64" i="7" s="1"/>
  <c r="N64" i="7"/>
  <c r="M64" i="7"/>
  <c r="L64" i="7" s="1"/>
  <c r="F64" i="7"/>
  <c r="E64" i="7"/>
  <c r="C64" i="7" s="1"/>
  <c r="AT63" i="7"/>
  <c r="AS63" i="7"/>
  <c r="AR63" i="7" s="1"/>
  <c r="AL63" i="7"/>
  <c r="AK63" i="7"/>
  <c r="AJ63" i="7" s="1"/>
  <c r="AD63" i="7"/>
  <c r="AC63" i="7"/>
  <c r="AA63" i="7" s="1"/>
  <c r="V63" i="7"/>
  <c r="U63" i="7"/>
  <c r="S63" i="7" s="1"/>
  <c r="N63" i="7"/>
  <c r="M63" i="7"/>
  <c r="L63" i="7" s="1"/>
  <c r="F63" i="7"/>
  <c r="E63" i="7"/>
  <c r="C63" i="7" s="1"/>
  <c r="AT62" i="7"/>
  <c r="AS62" i="7"/>
  <c r="AR62" i="7" s="1"/>
  <c r="AL62" i="7"/>
  <c r="AK62" i="7"/>
  <c r="AJ62" i="7" s="1"/>
  <c r="AD62" i="7"/>
  <c r="AC62" i="7"/>
  <c r="AA62" i="7" s="1"/>
  <c r="V62" i="7"/>
  <c r="U62" i="7"/>
  <c r="S62" i="7" s="1"/>
  <c r="N62" i="7"/>
  <c r="M62" i="7"/>
  <c r="L62" i="7" s="1"/>
  <c r="F62" i="7"/>
  <c r="E62" i="7"/>
  <c r="C62" i="7" s="1"/>
  <c r="AT61" i="7"/>
  <c r="AS61" i="7"/>
  <c r="AR61" i="7" s="1"/>
  <c r="AL61" i="7"/>
  <c r="AK61" i="7"/>
  <c r="AJ61" i="7" s="1"/>
  <c r="AD61" i="7"/>
  <c r="AC61" i="7"/>
  <c r="AA61" i="7" s="1"/>
  <c r="V61" i="7"/>
  <c r="U61" i="7"/>
  <c r="S61" i="7" s="1"/>
  <c r="N61" i="7"/>
  <c r="M61" i="7"/>
  <c r="L61" i="7" s="1"/>
  <c r="F61" i="7"/>
  <c r="E61" i="7"/>
  <c r="C61" i="7" s="1"/>
  <c r="AT60" i="7"/>
  <c r="AS60" i="7"/>
  <c r="AR60" i="7" s="1"/>
  <c r="AL60" i="7"/>
  <c r="AK60" i="7"/>
  <c r="AJ60" i="7" s="1"/>
  <c r="AD60" i="7"/>
  <c r="AC60" i="7"/>
  <c r="AB60" i="7" s="1"/>
  <c r="V60" i="7"/>
  <c r="U60" i="7"/>
  <c r="S60" i="7" s="1"/>
  <c r="N60" i="7"/>
  <c r="M60" i="7"/>
  <c r="L60" i="7" s="1"/>
  <c r="F60" i="7"/>
  <c r="E60" i="7"/>
  <c r="D60" i="7" s="1"/>
  <c r="AT59" i="7"/>
  <c r="AS59" i="7"/>
  <c r="AR59" i="7" s="1"/>
  <c r="AL59" i="7"/>
  <c r="AK59" i="7"/>
  <c r="AJ59" i="7" s="1"/>
  <c r="AD59" i="7"/>
  <c r="AC59" i="7"/>
  <c r="AB59" i="7" s="1"/>
  <c r="V59" i="7"/>
  <c r="U59" i="7"/>
  <c r="S59" i="7" s="1"/>
  <c r="N59" i="7"/>
  <c r="M59" i="7"/>
  <c r="K59" i="7" s="1"/>
  <c r="F59" i="7"/>
  <c r="E59" i="7"/>
  <c r="D59" i="7" s="1"/>
  <c r="AT58" i="7"/>
  <c r="AS58" i="7"/>
  <c r="AR58" i="7" s="1"/>
  <c r="AL58" i="7"/>
  <c r="AK58" i="7"/>
  <c r="AJ58" i="7" s="1"/>
  <c r="AD58" i="7"/>
  <c r="AC58" i="7"/>
  <c r="AB58" i="7" s="1"/>
  <c r="V58" i="7"/>
  <c r="U58" i="7"/>
  <c r="S58" i="7" s="1"/>
  <c r="N58" i="7"/>
  <c r="M58" i="7"/>
  <c r="L58" i="7" s="1"/>
  <c r="F58" i="7"/>
  <c r="E58" i="7"/>
  <c r="D58" i="7" s="1"/>
  <c r="AT57" i="7"/>
  <c r="AS57" i="7"/>
  <c r="AR57" i="7" s="1"/>
  <c r="AL57" i="7"/>
  <c r="AK57" i="7"/>
  <c r="AJ57" i="7" s="1"/>
  <c r="AD57" i="7"/>
  <c r="AC57" i="7"/>
  <c r="AB57" i="7" s="1"/>
  <c r="V57" i="7"/>
  <c r="U57" i="7"/>
  <c r="S57" i="7" s="1"/>
  <c r="N57" i="7"/>
  <c r="M57" i="7"/>
  <c r="L57" i="7" s="1"/>
  <c r="F57" i="7"/>
  <c r="E57" i="7"/>
  <c r="C57" i="7" s="1"/>
  <c r="AT56" i="7"/>
  <c r="AS56" i="7"/>
  <c r="AR56" i="7" s="1"/>
  <c r="AL56" i="7"/>
  <c r="AK56" i="7"/>
  <c r="AJ56" i="7" s="1"/>
  <c r="AD56" i="7"/>
  <c r="AC56" i="7"/>
  <c r="AB56" i="7" s="1"/>
  <c r="V56" i="7"/>
  <c r="U56" i="7"/>
  <c r="S56" i="7" s="1"/>
  <c r="N56" i="7"/>
  <c r="M56" i="7"/>
  <c r="L56" i="7" s="1"/>
  <c r="F56" i="7"/>
  <c r="E56" i="7"/>
  <c r="D56" i="7" s="1"/>
  <c r="AT55" i="7"/>
  <c r="AS55" i="7"/>
  <c r="AR55" i="7" s="1"/>
  <c r="AL55" i="7"/>
  <c r="AK55" i="7"/>
  <c r="AJ55" i="7" s="1"/>
  <c r="AD55" i="7"/>
  <c r="AC55" i="7"/>
  <c r="AB55" i="7" s="1"/>
  <c r="V55" i="7"/>
  <c r="U55" i="7"/>
  <c r="S55" i="7" s="1"/>
  <c r="N55" i="7"/>
  <c r="M55" i="7"/>
  <c r="L55" i="7" s="1"/>
  <c r="F55" i="7"/>
  <c r="E55" i="7"/>
  <c r="C55" i="7" s="1"/>
  <c r="D55" i="7"/>
  <c r="AT54" i="7"/>
  <c r="AS54" i="7"/>
  <c r="AR54" i="7" s="1"/>
  <c r="AL54" i="7"/>
  <c r="AK54" i="7"/>
  <c r="AJ54" i="7" s="1"/>
  <c r="AD54" i="7"/>
  <c r="AC54" i="7"/>
  <c r="AB54" i="7" s="1"/>
  <c r="V54" i="7"/>
  <c r="U54" i="7"/>
  <c r="S54" i="7" s="1"/>
  <c r="N54" i="7"/>
  <c r="M54" i="7"/>
  <c r="K54" i="7" s="1"/>
  <c r="F54" i="7"/>
  <c r="E54" i="7"/>
  <c r="C54" i="7" s="1"/>
  <c r="AT53" i="7"/>
  <c r="AS53" i="7"/>
  <c r="AR53" i="7" s="1"/>
  <c r="AL53" i="7"/>
  <c r="AK53" i="7"/>
  <c r="AJ53" i="7" s="1"/>
  <c r="AD53" i="7"/>
  <c r="AC53" i="7"/>
  <c r="AB53" i="7" s="1"/>
  <c r="V53" i="7"/>
  <c r="U53" i="7"/>
  <c r="S53" i="7" s="1"/>
  <c r="N53" i="7"/>
  <c r="M53" i="7"/>
  <c r="K53" i="7" s="1"/>
  <c r="F53" i="7"/>
  <c r="E53" i="7"/>
  <c r="C53" i="7" s="1"/>
  <c r="AT52" i="7"/>
  <c r="AS52" i="7"/>
  <c r="AR52" i="7" s="1"/>
  <c r="AL52" i="7"/>
  <c r="AK52" i="7"/>
  <c r="AJ52" i="7" s="1"/>
  <c r="AD52" i="7"/>
  <c r="AC52" i="7"/>
  <c r="AB52" i="7" s="1"/>
  <c r="V52" i="7"/>
  <c r="U52" i="7"/>
  <c r="S52" i="7" s="1"/>
  <c r="N52" i="7"/>
  <c r="M52" i="7"/>
  <c r="K52" i="7" s="1"/>
  <c r="F52" i="7"/>
  <c r="E52" i="7"/>
  <c r="C52" i="7" s="1"/>
  <c r="AT51" i="7"/>
  <c r="AS51" i="7"/>
  <c r="AR51" i="7" s="1"/>
  <c r="AL51" i="7"/>
  <c r="AK51" i="7"/>
  <c r="AJ51" i="7" s="1"/>
  <c r="AD51" i="7"/>
  <c r="AC51" i="7"/>
  <c r="AB51" i="7" s="1"/>
  <c r="V51" i="7"/>
  <c r="U51" i="7"/>
  <c r="S51" i="7" s="1"/>
  <c r="N51" i="7"/>
  <c r="M51" i="7"/>
  <c r="K51" i="7" s="1"/>
  <c r="F51" i="7"/>
  <c r="E51" i="7"/>
  <c r="C51" i="7" s="1"/>
  <c r="AT50" i="7"/>
  <c r="AS50" i="7"/>
  <c r="AR50" i="7" s="1"/>
  <c r="AL50" i="7"/>
  <c r="AK50" i="7"/>
  <c r="AJ50" i="7" s="1"/>
  <c r="AD50" i="7"/>
  <c r="AC50" i="7"/>
  <c r="AB50" i="7" s="1"/>
  <c r="V50" i="7"/>
  <c r="U50" i="7"/>
  <c r="S50" i="7" s="1"/>
  <c r="N50" i="7"/>
  <c r="M50" i="7"/>
  <c r="K50" i="7" s="1"/>
  <c r="F50" i="7"/>
  <c r="E50" i="7"/>
  <c r="C50" i="7" s="1"/>
  <c r="AT49" i="7"/>
  <c r="AS49" i="7"/>
  <c r="AR49" i="7" s="1"/>
  <c r="AL49" i="7"/>
  <c r="AK49" i="7"/>
  <c r="AJ49" i="7" s="1"/>
  <c r="AD49" i="7"/>
  <c r="AC49" i="7"/>
  <c r="AB49" i="7" s="1"/>
  <c r="V49" i="7"/>
  <c r="U49" i="7"/>
  <c r="S49" i="7" s="1"/>
  <c r="N49" i="7"/>
  <c r="M49" i="7"/>
  <c r="K49" i="7" s="1"/>
  <c r="F49" i="7"/>
  <c r="E49" i="7"/>
  <c r="C49" i="7" s="1"/>
  <c r="AT48" i="7"/>
  <c r="AS48" i="7"/>
  <c r="AR48" i="7" s="1"/>
  <c r="AL48" i="7"/>
  <c r="AK48" i="7"/>
  <c r="AJ48" i="7" s="1"/>
  <c r="AD48" i="7"/>
  <c r="AC48" i="7"/>
  <c r="AB48" i="7" s="1"/>
  <c r="V48" i="7"/>
  <c r="U48" i="7"/>
  <c r="S48" i="7" s="1"/>
  <c r="N48" i="7"/>
  <c r="M48" i="7"/>
  <c r="K48" i="7" s="1"/>
  <c r="F48" i="7"/>
  <c r="E48" i="7"/>
  <c r="C48" i="7" s="1"/>
  <c r="AT47" i="7"/>
  <c r="AS47" i="7"/>
  <c r="AR47" i="7" s="1"/>
  <c r="AL47" i="7"/>
  <c r="AK47" i="7"/>
  <c r="AJ47" i="7" s="1"/>
  <c r="AD47" i="7"/>
  <c r="AC47" i="7"/>
  <c r="AB47" i="7" s="1"/>
  <c r="V47" i="7"/>
  <c r="U47" i="7"/>
  <c r="S47" i="7" s="1"/>
  <c r="N47" i="7"/>
  <c r="M47" i="7"/>
  <c r="K47" i="7" s="1"/>
  <c r="F47" i="7"/>
  <c r="E47" i="7"/>
  <c r="C47" i="7" s="1"/>
  <c r="AT46" i="7"/>
  <c r="AS46" i="7"/>
  <c r="AR46" i="7" s="1"/>
  <c r="AL46" i="7"/>
  <c r="AK46" i="7"/>
  <c r="AJ46" i="7" s="1"/>
  <c r="AD46" i="7"/>
  <c r="AC46" i="7"/>
  <c r="AB46" i="7" s="1"/>
  <c r="V46" i="7"/>
  <c r="U46" i="7"/>
  <c r="S46" i="7" s="1"/>
  <c r="N46" i="7"/>
  <c r="M46" i="7"/>
  <c r="K46" i="7" s="1"/>
  <c r="F46" i="7"/>
  <c r="E46" i="7"/>
  <c r="C46" i="7" s="1"/>
  <c r="AT45" i="7"/>
  <c r="AS45" i="7"/>
  <c r="AR45" i="7" s="1"/>
  <c r="AL45" i="7"/>
  <c r="AK45" i="7"/>
  <c r="AJ45" i="7" s="1"/>
  <c r="AD45" i="7"/>
  <c r="AC45" i="7"/>
  <c r="AB45" i="7" s="1"/>
  <c r="V45" i="7"/>
  <c r="U45" i="7"/>
  <c r="S45" i="7" s="1"/>
  <c r="N45" i="7"/>
  <c r="M45" i="7"/>
  <c r="K45" i="7" s="1"/>
  <c r="F45" i="7"/>
  <c r="E45" i="7"/>
  <c r="D45" i="7" s="1"/>
  <c r="AT44" i="7"/>
  <c r="AS44" i="7"/>
  <c r="AR44" i="7" s="1"/>
  <c r="AL44" i="7"/>
  <c r="AK44" i="7"/>
  <c r="AJ44" i="7" s="1"/>
  <c r="AD44" i="7"/>
  <c r="AC44" i="7"/>
  <c r="AB44" i="7" s="1"/>
  <c r="V44" i="7"/>
  <c r="U44" i="7"/>
  <c r="S44" i="7" s="1"/>
  <c r="N44" i="7"/>
  <c r="M44" i="7"/>
  <c r="K44" i="7" s="1"/>
  <c r="F44" i="7"/>
  <c r="E44" i="7"/>
  <c r="C44" i="7" s="1"/>
  <c r="AT43" i="7"/>
  <c r="AS43" i="7"/>
  <c r="AR43" i="7" s="1"/>
  <c r="AL43" i="7"/>
  <c r="AK43" i="7"/>
  <c r="AJ43" i="7" s="1"/>
  <c r="AD43" i="7"/>
  <c r="AC43" i="7"/>
  <c r="AB43" i="7" s="1"/>
  <c r="V43" i="7"/>
  <c r="U43" i="7"/>
  <c r="S43" i="7" s="1"/>
  <c r="N43" i="7"/>
  <c r="M43" i="7"/>
  <c r="K43" i="7" s="1"/>
  <c r="F43" i="7"/>
  <c r="E43" i="7"/>
  <c r="C43" i="7" s="1"/>
  <c r="AT42" i="7"/>
  <c r="AS42" i="7"/>
  <c r="AR42" i="7" s="1"/>
  <c r="AL42" i="7"/>
  <c r="AK42" i="7"/>
  <c r="AJ42" i="7" s="1"/>
  <c r="AD42" i="7"/>
  <c r="AC42" i="7"/>
  <c r="AB42" i="7" s="1"/>
  <c r="V42" i="7"/>
  <c r="U42" i="7"/>
  <c r="S42" i="7" s="1"/>
  <c r="N42" i="7"/>
  <c r="M42" i="7"/>
  <c r="K42" i="7" s="1"/>
  <c r="F42" i="7"/>
  <c r="E42" i="7"/>
  <c r="D42" i="7" s="1"/>
  <c r="AT41" i="7"/>
  <c r="AS41" i="7"/>
  <c r="AR41" i="7" s="1"/>
  <c r="AL41" i="7"/>
  <c r="AK41" i="7"/>
  <c r="AJ41" i="7" s="1"/>
  <c r="AD41" i="7"/>
  <c r="AC41" i="7"/>
  <c r="AB41" i="7" s="1"/>
  <c r="V41" i="7"/>
  <c r="U41" i="7"/>
  <c r="S41" i="7" s="1"/>
  <c r="N41" i="7"/>
  <c r="M41" i="7"/>
  <c r="K41" i="7" s="1"/>
  <c r="F41" i="7"/>
  <c r="E41" i="7"/>
  <c r="C41" i="7" s="1"/>
  <c r="AT40" i="7"/>
  <c r="AS40" i="7"/>
  <c r="AR40" i="7" s="1"/>
  <c r="AL40" i="7"/>
  <c r="AK40" i="7"/>
  <c r="AJ40" i="7" s="1"/>
  <c r="AD40" i="7"/>
  <c r="AC40" i="7"/>
  <c r="AB40" i="7" s="1"/>
  <c r="V40" i="7"/>
  <c r="U40" i="7"/>
  <c r="S40" i="7" s="1"/>
  <c r="N40" i="7"/>
  <c r="M40" i="7"/>
  <c r="K40" i="7" s="1"/>
  <c r="F40" i="7"/>
  <c r="E40" i="7"/>
  <c r="C40" i="7" s="1"/>
  <c r="AT39" i="7"/>
  <c r="AS39" i="7"/>
  <c r="AR39" i="7" s="1"/>
  <c r="AL39" i="7"/>
  <c r="AK39" i="7"/>
  <c r="AJ39" i="7" s="1"/>
  <c r="AD39" i="7"/>
  <c r="AC39" i="7"/>
  <c r="AB39" i="7" s="1"/>
  <c r="V39" i="7"/>
  <c r="U39" i="7"/>
  <c r="S39" i="7" s="1"/>
  <c r="N39" i="7"/>
  <c r="M39" i="7"/>
  <c r="K39" i="7" s="1"/>
  <c r="F39" i="7"/>
  <c r="E39" i="7"/>
  <c r="D39" i="7" s="1"/>
  <c r="AT38" i="7"/>
  <c r="AS38" i="7"/>
  <c r="AR38" i="7" s="1"/>
  <c r="AL38" i="7"/>
  <c r="AK38" i="7"/>
  <c r="AJ38" i="7" s="1"/>
  <c r="AD38" i="7"/>
  <c r="AC38" i="7"/>
  <c r="AB38" i="7" s="1"/>
  <c r="V38" i="7"/>
  <c r="U38" i="7"/>
  <c r="S38" i="7" s="1"/>
  <c r="N38" i="7"/>
  <c r="M38" i="7"/>
  <c r="K38" i="7" s="1"/>
  <c r="F38" i="7"/>
  <c r="E38" i="7"/>
  <c r="D38" i="7" s="1"/>
  <c r="AT37" i="7"/>
  <c r="AS37" i="7"/>
  <c r="AR37" i="7" s="1"/>
  <c r="AL37" i="7"/>
  <c r="AK37" i="7"/>
  <c r="AJ37" i="7" s="1"/>
  <c r="AD37" i="7"/>
  <c r="AC37" i="7"/>
  <c r="AB37" i="7" s="1"/>
  <c r="V37" i="7"/>
  <c r="U37" i="7"/>
  <c r="S37" i="7" s="1"/>
  <c r="N37" i="7"/>
  <c r="M37" i="7"/>
  <c r="K37" i="7" s="1"/>
  <c r="F37" i="7"/>
  <c r="E37" i="7"/>
  <c r="C37" i="7" s="1"/>
  <c r="AT36" i="7"/>
  <c r="AS36" i="7"/>
  <c r="AR36" i="7" s="1"/>
  <c r="AL36" i="7"/>
  <c r="AK36" i="7"/>
  <c r="AJ36" i="7" s="1"/>
  <c r="AD36" i="7"/>
  <c r="AC36" i="7"/>
  <c r="AB36" i="7" s="1"/>
  <c r="V36" i="7"/>
  <c r="U36" i="7"/>
  <c r="S36" i="7" s="1"/>
  <c r="N36" i="7"/>
  <c r="M36" i="7"/>
  <c r="K36" i="7" s="1"/>
  <c r="F36" i="7"/>
  <c r="E36" i="7"/>
  <c r="C36" i="7" s="1"/>
  <c r="AT35" i="7"/>
  <c r="AS35" i="7"/>
  <c r="AR35" i="7" s="1"/>
  <c r="AL35" i="7"/>
  <c r="AK35" i="7"/>
  <c r="AJ35" i="7" s="1"/>
  <c r="AD35" i="7"/>
  <c r="AC35" i="7"/>
  <c r="AB35" i="7" s="1"/>
  <c r="V35" i="7"/>
  <c r="U35" i="7"/>
  <c r="S35" i="7" s="1"/>
  <c r="N35" i="7"/>
  <c r="M35" i="7"/>
  <c r="K35" i="7" s="1"/>
  <c r="F35" i="7"/>
  <c r="E35" i="7"/>
  <c r="C35" i="7" s="1"/>
  <c r="AT34" i="7"/>
  <c r="AS34" i="7"/>
  <c r="AR34" i="7" s="1"/>
  <c r="AL34" i="7"/>
  <c r="AK34" i="7"/>
  <c r="AJ34" i="7" s="1"/>
  <c r="AD34" i="7"/>
  <c r="AC34" i="7"/>
  <c r="AB34" i="7" s="1"/>
  <c r="V34" i="7"/>
  <c r="U34" i="7"/>
  <c r="S34" i="7" s="1"/>
  <c r="N34" i="7"/>
  <c r="M34" i="7"/>
  <c r="K34" i="7" s="1"/>
  <c r="F34" i="7"/>
  <c r="E34" i="7"/>
  <c r="C34" i="7" s="1"/>
  <c r="AT33" i="7"/>
  <c r="AS33" i="7"/>
  <c r="AR33" i="7" s="1"/>
  <c r="AL33" i="7"/>
  <c r="AK33" i="7"/>
  <c r="AJ33" i="7" s="1"/>
  <c r="AD33" i="7"/>
  <c r="AC33" i="7"/>
  <c r="AB33" i="7" s="1"/>
  <c r="V33" i="7"/>
  <c r="U33" i="7"/>
  <c r="S33" i="7" s="1"/>
  <c r="N33" i="7"/>
  <c r="M33" i="7"/>
  <c r="K33" i="7" s="1"/>
  <c r="F33" i="7"/>
  <c r="E33" i="7"/>
  <c r="C33" i="7" s="1"/>
  <c r="AT32" i="7"/>
  <c r="AS32" i="7"/>
  <c r="AR32" i="7" s="1"/>
  <c r="AL32" i="7"/>
  <c r="AK32" i="7"/>
  <c r="AJ32" i="7" s="1"/>
  <c r="AD32" i="7"/>
  <c r="AC32" i="7"/>
  <c r="AB32" i="7" s="1"/>
  <c r="V32" i="7"/>
  <c r="U32" i="7"/>
  <c r="S32" i="7" s="1"/>
  <c r="N32" i="7"/>
  <c r="M32" i="7"/>
  <c r="K32" i="7" s="1"/>
  <c r="F32" i="7"/>
  <c r="E32" i="7"/>
  <c r="C32" i="7" s="1"/>
  <c r="AT31" i="7"/>
  <c r="AS31" i="7"/>
  <c r="AR31" i="7" s="1"/>
  <c r="AL31" i="7"/>
  <c r="AK31" i="7"/>
  <c r="AJ31" i="7" s="1"/>
  <c r="AD31" i="7"/>
  <c r="AC31" i="7"/>
  <c r="AB31" i="7" s="1"/>
  <c r="V31" i="7"/>
  <c r="U31" i="7"/>
  <c r="S31" i="7" s="1"/>
  <c r="N31" i="7"/>
  <c r="M31" i="7"/>
  <c r="K31" i="7" s="1"/>
  <c r="F31" i="7"/>
  <c r="E31" i="7"/>
  <c r="D31" i="7" s="1"/>
  <c r="AT30" i="7"/>
  <c r="AS30" i="7"/>
  <c r="AR30" i="7" s="1"/>
  <c r="AL30" i="7"/>
  <c r="AK30" i="7"/>
  <c r="AJ30" i="7" s="1"/>
  <c r="AD30" i="7"/>
  <c r="AC30" i="7"/>
  <c r="AB30" i="7" s="1"/>
  <c r="V30" i="7"/>
  <c r="U30" i="7"/>
  <c r="S30" i="7" s="1"/>
  <c r="N30" i="7"/>
  <c r="M30" i="7"/>
  <c r="K30" i="7" s="1"/>
  <c r="F30" i="7"/>
  <c r="E30" i="7"/>
  <c r="D30" i="7" s="1"/>
  <c r="AT29" i="7"/>
  <c r="AS29" i="7"/>
  <c r="AR29" i="7" s="1"/>
  <c r="AL29" i="7"/>
  <c r="AK29" i="7"/>
  <c r="AJ29" i="7" s="1"/>
  <c r="AD29" i="7"/>
  <c r="AC29" i="7"/>
  <c r="AB29" i="7" s="1"/>
  <c r="V29" i="7"/>
  <c r="U29" i="7"/>
  <c r="S29" i="7" s="1"/>
  <c r="N29" i="7"/>
  <c r="M29" i="7"/>
  <c r="K29" i="7" s="1"/>
  <c r="F29" i="7"/>
  <c r="E29" i="7"/>
  <c r="C29" i="7" s="1"/>
  <c r="AT28" i="7"/>
  <c r="AS28" i="7"/>
  <c r="AR28" i="7" s="1"/>
  <c r="AL28" i="7"/>
  <c r="AK28" i="7"/>
  <c r="AJ28" i="7" s="1"/>
  <c r="AD28" i="7"/>
  <c r="AC28" i="7"/>
  <c r="AB28" i="7" s="1"/>
  <c r="V28" i="7"/>
  <c r="U28" i="7"/>
  <c r="S28" i="7" s="1"/>
  <c r="N28" i="7"/>
  <c r="M28" i="7"/>
  <c r="K28" i="7" s="1"/>
  <c r="F28" i="7"/>
  <c r="E28" i="7"/>
  <c r="C28" i="7" s="1"/>
  <c r="AT27" i="7"/>
  <c r="AS27" i="7"/>
  <c r="AR27" i="7" s="1"/>
  <c r="AL27" i="7"/>
  <c r="AK27" i="7"/>
  <c r="AJ27" i="7" s="1"/>
  <c r="AD27" i="7"/>
  <c r="AC27" i="7"/>
  <c r="AB27" i="7" s="1"/>
  <c r="V27" i="7"/>
  <c r="U27" i="7"/>
  <c r="S27" i="7" s="1"/>
  <c r="N27" i="7"/>
  <c r="M27" i="7"/>
  <c r="K27" i="7" s="1"/>
  <c r="F27" i="7"/>
  <c r="E27" i="7"/>
  <c r="C27" i="7" s="1"/>
  <c r="AT26" i="7"/>
  <c r="AS26" i="7"/>
  <c r="AR26" i="7" s="1"/>
  <c r="AL26" i="7"/>
  <c r="AK26" i="7"/>
  <c r="AJ26" i="7" s="1"/>
  <c r="AD26" i="7"/>
  <c r="AC26" i="7"/>
  <c r="AB26" i="7" s="1"/>
  <c r="V26" i="7"/>
  <c r="U26" i="7"/>
  <c r="S26" i="7" s="1"/>
  <c r="N26" i="7"/>
  <c r="M26" i="7"/>
  <c r="K26" i="7" s="1"/>
  <c r="F26" i="7"/>
  <c r="E26" i="7"/>
  <c r="C26" i="7" s="1"/>
  <c r="AT25" i="7"/>
  <c r="AS25" i="7"/>
  <c r="AR25" i="7" s="1"/>
  <c r="AL25" i="7"/>
  <c r="AK25" i="7"/>
  <c r="AJ25" i="7" s="1"/>
  <c r="AD25" i="7"/>
  <c r="AC25" i="7"/>
  <c r="AB25" i="7" s="1"/>
  <c r="V25" i="7"/>
  <c r="U25" i="7"/>
  <c r="S25" i="7" s="1"/>
  <c r="N25" i="7"/>
  <c r="M25" i="7"/>
  <c r="K25" i="7" s="1"/>
  <c r="F25" i="7"/>
  <c r="E25" i="7"/>
  <c r="C25" i="7" s="1"/>
  <c r="AT24" i="7"/>
  <c r="AS24" i="7"/>
  <c r="AR24" i="7" s="1"/>
  <c r="AL24" i="7"/>
  <c r="AK24" i="7"/>
  <c r="AJ24" i="7" s="1"/>
  <c r="AD24" i="7"/>
  <c r="AC24" i="7"/>
  <c r="AB24" i="7" s="1"/>
  <c r="V24" i="7"/>
  <c r="U24" i="7"/>
  <c r="S24" i="7" s="1"/>
  <c r="N24" i="7"/>
  <c r="M24" i="7"/>
  <c r="K24" i="7" s="1"/>
  <c r="F24" i="7"/>
  <c r="E24" i="7"/>
  <c r="D24" i="7" s="1"/>
  <c r="AT23" i="7"/>
  <c r="AS23" i="7"/>
  <c r="AR23" i="7" s="1"/>
  <c r="AL23" i="7"/>
  <c r="AK23" i="7"/>
  <c r="AJ23" i="7" s="1"/>
  <c r="AD23" i="7"/>
  <c r="AC23" i="7"/>
  <c r="AB23" i="7" s="1"/>
  <c r="V23" i="7"/>
  <c r="U23" i="7"/>
  <c r="S23" i="7" s="1"/>
  <c r="N23" i="7"/>
  <c r="M23" i="7"/>
  <c r="K23" i="7" s="1"/>
  <c r="F23" i="7"/>
  <c r="E23" i="7"/>
  <c r="D23" i="7" s="1"/>
  <c r="AT22" i="7"/>
  <c r="AS22" i="7"/>
  <c r="AR22" i="7" s="1"/>
  <c r="AL22" i="7"/>
  <c r="AK22" i="7"/>
  <c r="AJ22" i="7" s="1"/>
  <c r="AD22" i="7"/>
  <c r="AC22" i="7"/>
  <c r="AB22" i="7" s="1"/>
  <c r="V22" i="7"/>
  <c r="U22" i="7"/>
  <c r="S22" i="7" s="1"/>
  <c r="N22" i="7"/>
  <c r="M22" i="7"/>
  <c r="K22" i="7" s="1"/>
  <c r="F22" i="7"/>
  <c r="E22" i="7"/>
  <c r="C22" i="7" s="1"/>
  <c r="AT21" i="7"/>
  <c r="AS21" i="7"/>
  <c r="AR21" i="7" s="1"/>
  <c r="AL21" i="7"/>
  <c r="AK21" i="7"/>
  <c r="AJ21" i="7" s="1"/>
  <c r="AD21" i="7"/>
  <c r="AC21" i="7"/>
  <c r="AB21" i="7" s="1"/>
  <c r="V21" i="7"/>
  <c r="U21" i="7"/>
  <c r="S21" i="7" s="1"/>
  <c r="N21" i="7"/>
  <c r="M21" i="7"/>
  <c r="K21" i="7" s="1"/>
  <c r="F21" i="7"/>
  <c r="E21" i="7"/>
  <c r="C21" i="7" s="1"/>
  <c r="AT20" i="7"/>
  <c r="AS20" i="7"/>
  <c r="AR20" i="7" s="1"/>
  <c r="AL20" i="7"/>
  <c r="AK20" i="7"/>
  <c r="AJ20" i="7" s="1"/>
  <c r="AD20" i="7"/>
  <c r="AC20" i="7"/>
  <c r="AB20" i="7" s="1"/>
  <c r="V20" i="7"/>
  <c r="U20" i="7"/>
  <c r="S20" i="7" s="1"/>
  <c r="N20" i="7"/>
  <c r="M20" i="7"/>
  <c r="K20" i="7" s="1"/>
  <c r="F20" i="7"/>
  <c r="E20" i="7"/>
  <c r="C20" i="7" s="1"/>
  <c r="AT19" i="7"/>
  <c r="AS19" i="7"/>
  <c r="AR19" i="7" s="1"/>
  <c r="AL19" i="7"/>
  <c r="AK19" i="7"/>
  <c r="AJ19" i="7" s="1"/>
  <c r="AD19" i="7"/>
  <c r="AC19" i="7"/>
  <c r="AB19" i="7" s="1"/>
  <c r="V19" i="7"/>
  <c r="U19" i="7"/>
  <c r="S19" i="7" s="1"/>
  <c r="N19" i="7"/>
  <c r="M19" i="7"/>
  <c r="K19" i="7" s="1"/>
  <c r="F19" i="7"/>
  <c r="E19" i="7"/>
  <c r="C19" i="7" s="1"/>
  <c r="AT18" i="7"/>
  <c r="AS18" i="7"/>
  <c r="AR18" i="7" s="1"/>
  <c r="AL18" i="7"/>
  <c r="AK18" i="7"/>
  <c r="AJ18" i="7" s="1"/>
  <c r="AD18" i="7"/>
  <c r="AC18" i="7"/>
  <c r="AB18" i="7" s="1"/>
  <c r="V18" i="7"/>
  <c r="U18" i="7"/>
  <c r="S18" i="7" s="1"/>
  <c r="N18" i="7"/>
  <c r="M18" i="7"/>
  <c r="K18" i="7" s="1"/>
  <c r="F18" i="7"/>
  <c r="E18" i="7"/>
  <c r="D18" i="7" s="1"/>
  <c r="AT17" i="7"/>
  <c r="AS17" i="7"/>
  <c r="AR17" i="7" s="1"/>
  <c r="AL17" i="7"/>
  <c r="AK17" i="7"/>
  <c r="AJ17" i="7" s="1"/>
  <c r="AD17" i="7"/>
  <c r="AC17" i="7"/>
  <c r="AB17" i="7" s="1"/>
  <c r="V17" i="7"/>
  <c r="U17" i="7"/>
  <c r="S17" i="7" s="1"/>
  <c r="N17" i="7"/>
  <c r="M17" i="7"/>
  <c r="K17" i="7" s="1"/>
  <c r="F17" i="7"/>
  <c r="E17" i="7"/>
  <c r="C17" i="7" s="1"/>
  <c r="AT16" i="7"/>
  <c r="AS16" i="7"/>
  <c r="AR16" i="7" s="1"/>
  <c r="AL16" i="7"/>
  <c r="AK16" i="7"/>
  <c r="AJ16" i="7" s="1"/>
  <c r="AD16" i="7"/>
  <c r="AC16" i="7"/>
  <c r="AB16" i="7" s="1"/>
  <c r="V16" i="7"/>
  <c r="U16" i="7"/>
  <c r="S16" i="7" s="1"/>
  <c r="N16" i="7"/>
  <c r="M16" i="7"/>
  <c r="K16" i="7" s="1"/>
  <c r="F16" i="7"/>
  <c r="E16" i="7"/>
  <c r="C16" i="7" s="1"/>
  <c r="AT15" i="7"/>
  <c r="AS15" i="7"/>
  <c r="AR15" i="7" s="1"/>
  <c r="AL15" i="7"/>
  <c r="AK15" i="7"/>
  <c r="AJ15" i="7" s="1"/>
  <c r="AD15" i="7"/>
  <c r="AC15" i="7"/>
  <c r="AB15" i="7" s="1"/>
  <c r="V15" i="7"/>
  <c r="U15" i="7"/>
  <c r="S15" i="7" s="1"/>
  <c r="N15" i="7"/>
  <c r="M15" i="7"/>
  <c r="K15" i="7" s="1"/>
  <c r="F15" i="7"/>
  <c r="E15" i="7"/>
  <c r="C15" i="7" s="1"/>
  <c r="AT14" i="7"/>
  <c r="AS14" i="7"/>
  <c r="AR14" i="7" s="1"/>
  <c r="AL14" i="7"/>
  <c r="AK14" i="7"/>
  <c r="AJ14" i="7" s="1"/>
  <c r="AD14" i="7"/>
  <c r="AC14" i="7"/>
  <c r="AB14" i="7" s="1"/>
  <c r="V14" i="7"/>
  <c r="U14" i="7"/>
  <c r="S14" i="7" s="1"/>
  <c r="N14" i="7"/>
  <c r="M14" i="7"/>
  <c r="K14" i="7" s="1"/>
  <c r="F14" i="7"/>
  <c r="E14" i="7"/>
  <c r="C14" i="7" s="1"/>
  <c r="AT13" i="7"/>
  <c r="AS13" i="7"/>
  <c r="AR13" i="7" s="1"/>
  <c r="AL13" i="7"/>
  <c r="AK13" i="7"/>
  <c r="AJ13" i="7" s="1"/>
  <c r="AD13" i="7"/>
  <c r="AC13" i="7"/>
  <c r="AB13" i="7" s="1"/>
  <c r="V13" i="7"/>
  <c r="U13" i="7"/>
  <c r="S13" i="7" s="1"/>
  <c r="N13" i="7"/>
  <c r="M13" i="7"/>
  <c r="K13" i="7" s="1"/>
  <c r="F13" i="7"/>
  <c r="E13" i="7"/>
  <c r="D13" i="7" s="1"/>
  <c r="AT12" i="7"/>
  <c r="AS12" i="7"/>
  <c r="AR12" i="7" s="1"/>
  <c r="AL12" i="7"/>
  <c r="AK12" i="7"/>
  <c r="AJ12" i="7" s="1"/>
  <c r="AD12" i="7"/>
  <c r="AC12" i="7"/>
  <c r="AB12" i="7" s="1"/>
  <c r="V12" i="7"/>
  <c r="U12" i="7"/>
  <c r="S12" i="7" s="1"/>
  <c r="N12" i="7"/>
  <c r="M12" i="7"/>
  <c r="K12" i="7" s="1"/>
  <c r="F12" i="7"/>
  <c r="E12" i="7"/>
  <c r="C12" i="7" s="1"/>
  <c r="AT11" i="7"/>
  <c r="AS11" i="7"/>
  <c r="AR11" i="7" s="1"/>
  <c r="AL11" i="7"/>
  <c r="AK11" i="7"/>
  <c r="AJ11" i="7" s="1"/>
  <c r="AD11" i="7"/>
  <c r="AC11" i="7"/>
  <c r="AB11" i="7" s="1"/>
  <c r="V11" i="7"/>
  <c r="U11" i="7"/>
  <c r="S11" i="7" s="1"/>
  <c r="N11" i="7"/>
  <c r="M11" i="7"/>
  <c r="K11" i="7" s="1"/>
  <c r="F11" i="7"/>
  <c r="E11" i="7"/>
  <c r="D11" i="7" s="1"/>
  <c r="AT10" i="7"/>
  <c r="AS10" i="7"/>
  <c r="AR10" i="7" s="1"/>
  <c r="AL10" i="7"/>
  <c r="AK10" i="7"/>
  <c r="AJ10" i="7" s="1"/>
  <c r="AD10" i="7"/>
  <c r="AC10" i="7"/>
  <c r="AB10" i="7" s="1"/>
  <c r="V10" i="7"/>
  <c r="U10" i="7"/>
  <c r="S10" i="7" s="1"/>
  <c r="N10" i="7"/>
  <c r="M10" i="7"/>
  <c r="K10" i="7" s="1"/>
  <c r="F10" i="7"/>
  <c r="E10" i="7"/>
  <c r="C10" i="7" s="1"/>
  <c r="AT9" i="7"/>
  <c r="AS9" i="7"/>
  <c r="AR9" i="7" s="1"/>
  <c r="AL9" i="7"/>
  <c r="AK9" i="7"/>
  <c r="AJ9" i="7" s="1"/>
  <c r="AD9" i="7"/>
  <c r="AC9" i="7"/>
  <c r="AB9" i="7" s="1"/>
  <c r="V9" i="7"/>
  <c r="U9" i="7"/>
  <c r="S9" i="7" s="1"/>
  <c r="N9" i="7"/>
  <c r="M9" i="7"/>
  <c r="K9" i="7" s="1"/>
  <c r="H9" i="7"/>
  <c r="F9" i="7"/>
  <c r="E9" i="7"/>
  <c r="C9" i="7" s="1"/>
  <c r="AT8" i="7"/>
  <c r="AS8" i="7"/>
  <c r="AR8" i="7" s="1"/>
  <c r="AL8" i="7"/>
  <c r="AK8" i="7"/>
  <c r="AJ8" i="7" s="1"/>
  <c r="AD8" i="7"/>
  <c r="AC8" i="7"/>
  <c r="AB8" i="7" s="1"/>
  <c r="V8" i="7"/>
  <c r="U8" i="7"/>
  <c r="T8" i="7" s="1"/>
  <c r="N8" i="7"/>
  <c r="M8" i="7"/>
  <c r="K8" i="7" s="1"/>
  <c r="H8" i="7"/>
  <c r="F8" i="7"/>
  <c r="E8" i="7"/>
  <c r="C8" i="7" s="1"/>
  <c r="AT7" i="7"/>
  <c r="AS7" i="7"/>
  <c r="AQ7" i="7" s="1"/>
  <c r="AL7" i="7"/>
  <c r="AK7" i="7"/>
  <c r="AJ7" i="7" s="1"/>
  <c r="AD7" i="7"/>
  <c r="AC7" i="7"/>
  <c r="AB7" i="7" s="1"/>
  <c r="V7" i="7"/>
  <c r="U7" i="7"/>
  <c r="T7" i="7" s="1"/>
  <c r="N7" i="7"/>
  <c r="M7" i="7"/>
  <c r="L7" i="7" s="1"/>
  <c r="F7" i="7"/>
  <c r="E7" i="7"/>
  <c r="C7" i="7" s="1"/>
  <c r="AT6" i="7"/>
  <c r="AS6" i="7"/>
  <c r="AL6" i="7"/>
  <c r="AK6" i="7"/>
  <c r="AD6" i="7"/>
  <c r="AC6" i="7"/>
  <c r="V6" i="7"/>
  <c r="U6" i="7"/>
  <c r="N6" i="7"/>
  <c r="M6" i="7"/>
  <c r="F6" i="7"/>
  <c r="E6" i="7"/>
  <c r="E3" i="7"/>
  <c r="E449" i="5"/>
  <c r="D449" i="5"/>
  <c r="C449" i="5"/>
  <c r="E448" i="5"/>
  <c r="D448" i="5"/>
  <c r="C448" i="5"/>
  <c r="E447" i="5"/>
  <c r="D447" i="5"/>
  <c r="C447" i="5"/>
  <c r="E446" i="5"/>
  <c r="D446" i="5"/>
  <c r="C446" i="5"/>
  <c r="E445" i="5"/>
  <c r="D445" i="5"/>
  <c r="C445" i="5"/>
  <c r="E444" i="5"/>
  <c r="D444" i="5"/>
  <c r="C444" i="5"/>
  <c r="E443" i="5"/>
  <c r="D443" i="5"/>
  <c r="C443" i="5"/>
  <c r="E442" i="5"/>
  <c r="D442" i="5"/>
  <c r="C442" i="5"/>
  <c r="E441" i="5"/>
  <c r="D441" i="5"/>
  <c r="C441" i="5"/>
  <c r="E440" i="5"/>
  <c r="D440" i="5"/>
  <c r="C440" i="5"/>
  <c r="E439" i="5"/>
  <c r="D439" i="5"/>
  <c r="C439" i="5"/>
  <c r="E438" i="5"/>
  <c r="D438" i="5"/>
  <c r="C438" i="5"/>
  <c r="E437" i="5"/>
  <c r="D437" i="5"/>
  <c r="C437" i="5"/>
  <c r="E436" i="5"/>
  <c r="D436" i="5"/>
  <c r="C436" i="5"/>
  <c r="E435" i="5"/>
  <c r="D435" i="5"/>
  <c r="C435" i="5"/>
  <c r="E434" i="5"/>
  <c r="D434" i="5"/>
  <c r="C434" i="5"/>
  <c r="E433" i="5"/>
  <c r="D433" i="5"/>
  <c r="C433" i="5"/>
  <c r="E432" i="5"/>
  <c r="D432" i="5"/>
  <c r="C432" i="5"/>
  <c r="E431" i="5"/>
  <c r="D431" i="5"/>
  <c r="C431" i="5"/>
  <c r="E430" i="5"/>
  <c r="D430" i="5"/>
  <c r="C430" i="5"/>
  <c r="E429" i="5"/>
  <c r="D429" i="5"/>
  <c r="C429" i="5"/>
  <c r="E428" i="5"/>
  <c r="D428" i="5"/>
  <c r="C428" i="5"/>
  <c r="E427" i="5"/>
  <c r="D427" i="5"/>
  <c r="C427" i="5"/>
  <c r="E426" i="5"/>
  <c r="D426" i="5"/>
  <c r="C426" i="5"/>
  <c r="E425" i="5"/>
  <c r="D425" i="5"/>
  <c r="C425" i="5"/>
  <c r="E424" i="5"/>
  <c r="D424" i="5"/>
  <c r="C424" i="5"/>
  <c r="E423" i="5"/>
  <c r="D423" i="5"/>
  <c r="C423" i="5"/>
  <c r="E422" i="5"/>
  <c r="D422" i="5"/>
  <c r="C422" i="5"/>
  <c r="E421" i="5"/>
  <c r="D421" i="5"/>
  <c r="C421" i="5"/>
  <c r="E420" i="5"/>
  <c r="D420" i="5"/>
  <c r="C420" i="5"/>
  <c r="E419" i="5"/>
  <c r="D419" i="5"/>
  <c r="C419" i="5"/>
  <c r="E418" i="5"/>
  <c r="D418" i="5"/>
  <c r="C418" i="5"/>
  <c r="E417" i="5"/>
  <c r="D417" i="5"/>
  <c r="C417" i="5"/>
  <c r="E416" i="5"/>
  <c r="D416" i="5"/>
  <c r="C416" i="5"/>
  <c r="E415" i="5"/>
  <c r="D415" i="5"/>
  <c r="C415" i="5"/>
  <c r="E414" i="5"/>
  <c r="D414" i="5"/>
  <c r="C414" i="5"/>
  <c r="E413" i="5"/>
  <c r="D413" i="5"/>
  <c r="C413" i="5"/>
  <c r="E412" i="5"/>
  <c r="D412" i="5"/>
  <c r="C412" i="5"/>
  <c r="E411" i="5"/>
  <c r="D411" i="5"/>
  <c r="C411" i="5"/>
  <c r="E410" i="5"/>
  <c r="D410" i="5"/>
  <c r="C410" i="5"/>
  <c r="E409" i="5"/>
  <c r="D409" i="5"/>
  <c r="C409" i="5"/>
  <c r="E408" i="5"/>
  <c r="D408" i="5"/>
  <c r="C408" i="5"/>
  <c r="E407" i="5"/>
  <c r="D407" i="5"/>
  <c r="C407" i="5"/>
  <c r="E406" i="5"/>
  <c r="D406" i="5"/>
  <c r="C406" i="5"/>
  <c r="E405" i="5"/>
  <c r="D405" i="5"/>
  <c r="C405" i="5"/>
  <c r="E404" i="5"/>
  <c r="D404" i="5"/>
  <c r="C404" i="5"/>
  <c r="E403" i="5"/>
  <c r="D403" i="5"/>
  <c r="C403" i="5"/>
  <c r="E402" i="5"/>
  <c r="D402" i="5"/>
  <c r="C402" i="5"/>
  <c r="E401" i="5"/>
  <c r="D401" i="5"/>
  <c r="C401" i="5"/>
  <c r="E400" i="5"/>
  <c r="D400" i="5"/>
  <c r="C400" i="5"/>
  <c r="E399" i="5"/>
  <c r="D399" i="5"/>
  <c r="C399" i="5"/>
  <c r="E398" i="5"/>
  <c r="D398" i="5"/>
  <c r="C398" i="5"/>
  <c r="E397" i="5"/>
  <c r="D397" i="5"/>
  <c r="C397" i="5"/>
  <c r="E396" i="5"/>
  <c r="D396" i="5"/>
  <c r="C396" i="5"/>
  <c r="E395" i="5"/>
  <c r="D395" i="5"/>
  <c r="C395" i="5"/>
  <c r="E394" i="5"/>
  <c r="D394" i="5"/>
  <c r="C394" i="5"/>
  <c r="E393" i="5"/>
  <c r="D393" i="5"/>
  <c r="C393" i="5"/>
  <c r="E392" i="5"/>
  <c r="D392" i="5"/>
  <c r="C392" i="5"/>
  <c r="E391" i="5"/>
  <c r="D391" i="5"/>
  <c r="C391" i="5"/>
  <c r="E390" i="5"/>
  <c r="D390" i="5"/>
  <c r="C390" i="5"/>
  <c r="E389" i="5"/>
  <c r="D389" i="5"/>
  <c r="C389" i="5"/>
  <c r="E388" i="5"/>
  <c r="D388" i="5"/>
  <c r="C388" i="5"/>
  <c r="E387" i="5"/>
  <c r="D387" i="5"/>
  <c r="C387" i="5"/>
  <c r="E386" i="5"/>
  <c r="D386" i="5"/>
  <c r="C386" i="5"/>
  <c r="E385" i="5"/>
  <c r="D385" i="5"/>
  <c r="C385" i="5"/>
  <c r="E384" i="5"/>
  <c r="D384" i="5"/>
  <c r="C384" i="5"/>
  <c r="E383" i="5"/>
  <c r="D383" i="5"/>
  <c r="C383" i="5"/>
  <c r="E382" i="5"/>
  <c r="D382" i="5"/>
  <c r="C382" i="5"/>
  <c r="E381" i="5"/>
  <c r="D381" i="5"/>
  <c r="C381" i="5"/>
  <c r="E380" i="5"/>
  <c r="D380" i="5"/>
  <c r="C380" i="5"/>
  <c r="E379" i="5"/>
  <c r="D379" i="5"/>
  <c r="C379" i="5"/>
  <c r="E378" i="5"/>
  <c r="D378" i="5"/>
  <c r="C378" i="5"/>
  <c r="E377" i="5"/>
  <c r="D377" i="5"/>
  <c r="C377" i="5"/>
  <c r="E376" i="5"/>
  <c r="D376" i="5"/>
  <c r="C376" i="5"/>
  <c r="E375" i="5"/>
  <c r="D375" i="5"/>
  <c r="C375" i="5"/>
  <c r="E374" i="5"/>
  <c r="D374" i="5"/>
  <c r="C374" i="5"/>
  <c r="E373" i="5"/>
  <c r="D373" i="5"/>
  <c r="C373" i="5"/>
  <c r="E372" i="5"/>
  <c r="D372" i="5"/>
  <c r="C372" i="5"/>
  <c r="E371" i="5"/>
  <c r="D371" i="5"/>
  <c r="C371" i="5"/>
  <c r="E370" i="5"/>
  <c r="D370" i="5"/>
  <c r="C370" i="5"/>
  <c r="E369" i="5"/>
  <c r="D369" i="5"/>
  <c r="C369" i="5"/>
  <c r="E368" i="5"/>
  <c r="D368" i="5"/>
  <c r="C368" i="5"/>
  <c r="E367" i="5"/>
  <c r="D367" i="5"/>
  <c r="C367" i="5"/>
  <c r="E366" i="5"/>
  <c r="D366" i="5"/>
  <c r="C366" i="5"/>
  <c r="E365" i="5"/>
  <c r="D365" i="5"/>
  <c r="C365" i="5"/>
  <c r="E364" i="5"/>
  <c r="D364" i="5"/>
  <c r="C364" i="5"/>
  <c r="E363" i="5"/>
  <c r="D363" i="5"/>
  <c r="C363" i="5"/>
  <c r="E362" i="5"/>
  <c r="D362" i="5"/>
  <c r="C362" i="5"/>
  <c r="E361" i="5"/>
  <c r="D361" i="5"/>
  <c r="C361" i="5"/>
  <c r="E360" i="5"/>
  <c r="D360" i="5"/>
  <c r="C360" i="5"/>
  <c r="E359" i="5"/>
  <c r="D359" i="5"/>
  <c r="C359" i="5"/>
  <c r="E358" i="5"/>
  <c r="D358" i="5"/>
  <c r="C358" i="5"/>
  <c r="E357" i="5"/>
  <c r="D357" i="5"/>
  <c r="C357" i="5"/>
  <c r="E356" i="5"/>
  <c r="D356" i="5"/>
  <c r="C356" i="5"/>
  <c r="E355" i="5"/>
  <c r="D355" i="5"/>
  <c r="C355" i="5"/>
  <c r="E354" i="5"/>
  <c r="D354" i="5"/>
  <c r="C354" i="5"/>
  <c r="E353" i="5"/>
  <c r="D353" i="5"/>
  <c r="C353" i="5"/>
  <c r="E352" i="5"/>
  <c r="D352" i="5"/>
  <c r="C352" i="5"/>
  <c r="E351" i="5"/>
  <c r="D351" i="5"/>
  <c r="C351" i="5"/>
  <c r="E350" i="5"/>
  <c r="D350" i="5"/>
  <c r="C350" i="5"/>
  <c r="E349" i="5"/>
  <c r="D349" i="5"/>
  <c r="C349" i="5"/>
  <c r="E348" i="5"/>
  <c r="D348" i="5"/>
  <c r="C348" i="5"/>
  <c r="E347" i="5"/>
  <c r="D347" i="5"/>
  <c r="C347" i="5"/>
  <c r="E346" i="5"/>
  <c r="D346" i="5"/>
  <c r="C346" i="5"/>
  <c r="E345" i="5"/>
  <c r="D345" i="5"/>
  <c r="C345" i="5"/>
  <c r="E344" i="5"/>
  <c r="D344" i="5"/>
  <c r="C344" i="5"/>
  <c r="E343" i="5"/>
  <c r="D343" i="5"/>
  <c r="C343" i="5"/>
  <c r="E342" i="5"/>
  <c r="D342" i="5"/>
  <c r="C342" i="5"/>
  <c r="E341" i="5"/>
  <c r="D341" i="5"/>
  <c r="C341" i="5"/>
  <c r="E340" i="5"/>
  <c r="D340" i="5"/>
  <c r="C340" i="5"/>
  <c r="E339" i="5"/>
  <c r="D339" i="5"/>
  <c r="C339" i="5"/>
  <c r="E338" i="5"/>
  <c r="D338" i="5"/>
  <c r="C338" i="5"/>
  <c r="E337" i="5"/>
  <c r="D337" i="5"/>
  <c r="C337" i="5"/>
  <c r="E336" i="5"/>
  <c r="D336" i="5"/>
  <c r="C336" i="5"/>
  <c r="E335" i="5"/>
  <c r="D335" i="5"/>
  <c r="C335" i="5"/>
  <c r="E334" i="5"/>
  <c r="D334" i="5"/>
  <c r="C334" i="5"/>
  <c r="E333" i="5"/>
  <c r="D333" i="5"/>
  <c r="C333" i="5"/>
  <c r="E332" i="5"/>
  <c r="D332" i="5"/>
  <c r="C332" i="5"/>
  <c r="E331" i="5"/>
  <c r="D331" i="5"/>
  <c r="C331" i="5"/>
  <c r="E330" i="5"/>
  <c r="D330" i="5"/>
  <c r="C330" i="5"/>
  <c r="E329" i="5"/>
  <c r="D329" i="5"/>
  <c r="C329" i="5"/>
  <c r="E328" i="5"/>
  <c r="D328" i="5"/>
  <c r="C328" i="5"/>
  <c r="E327" i="5"/>
  <c r="D327" i="5"/>
  <c r="C327" i="5"/>
  <c r="E326" i="5"/>
  <c r="D326" i="5"/>
  <c r="C326" i="5"/>
  <c r="E325" i="5"/>
  <c r="D325" i="5"/>
  <c r="C325" i="5"/>
  <c r="E324" i="5"/>
  <c r="D324" i="5"/>
  <c r="C324" i="5"/>
  <c r="E323" i="5"/>
  <c r="D323" i="5"/>
  <c r="C323" i="5"/>
  <c r="E322" i="5"/>
  <c r="D322" i="5"/>
  <c r="C322" i="5"/>
  <c r="E321" i="5"/>
  <c r="D321" i="5"/>
  <c r="C321" i="5"/>
  <c r="E320" i="5"/>
  <c r="D320" i="5"/>
  <c r="C320" i="5"/>
  <c r="E319" i="5"/>
  <c r="D319" i="5"/>
  <c r="C319" i="5"/>
  <c r="E318" i="5"/>
  <c r="D318" i="5"/>
  <c r="C318" i="5"/>
  <c r="E317" i="5"/>
  <c r="D317" i="5"/>
  <c r="C317" i="5"/>
  <c r="E316" i="5"/>
  <c r="D316" i="5"/>
  <c r="C316" i="5"/>
  <c r="E315" i="5"/>
  <c r="D315" i="5"/>
  <c r="C315" i="5"/>
  <c r="E314" i="5"/>
  <c r="D314" i="5"/>
  <c r="C314" i="5"/>
  <c r="E313" i="5"/>
  <c r="D313" i="5"/>
  <c r="C313" i="5"/>
  <c r="E312" i="5"/>
  <c r="D312" i="5"/>
  <c r="C312" i="5"/>
  <c r="E311" i="5"/>
  <c r="D311" i="5"/>
  <c r="C311" i="5"/>
  <c r="E310" i="5"/>
  <c r="D310" i="5"/>
  <c r="C310" i="5"/>
  <c r="E309" i="5"/>
  <c r="D309" i="5"/>
  <c r="C309" i="5"/>
  <c r="E308" i="5"/>
  <c r="D308" i="5"/>
  <c r="C308" i="5"/>
  <c r="E307" i="5"/>
  <c r="D307" i="5"/>
  <c r="C307" i="5"/>
  <c r="E306" i="5"/>
  <c r="D306" i="5"/>
  <c r="C306" i="5"/>
  <c r="E305" i="5"/>
  <c r="D305" i="5"/>
  <c r="C305" i="5"/>
  <c r="E304" i="5"/>
  <c r="D304" i="5"/>
  <c r="C304" i="5"/>
  <c r="E303" i="5"/>
  <c r="D303" i="5"/>
  <c r="C303" i="5"/>
  <c r="E302" i="5"/>
  <c r="D302" i="5"/>
  <c r="C302" i="5"/>
  <c r="E301" i="5"/>
  <c r="D301" i="5"/>
  <c r="C301" i="5"/>
  <c r="E300" i="5"/>
  <c r="D300" i="5"/>
  <c r="C300" i="5"/>
  <c r="E299" i="5"/>
  <c r="D299" i="5"/>
  <c r="C299" i="5"/>
  <c r="E298" i="5"/>
  <c r="D298" i="5"/>
  <c r="C298" i="5"/>
  <c r="E297" i="5"/>
  <c r="D297" i="5"/>
  <c r="C297" i="5"/>
  <c r="E296" i="5"/>
  <c r="D296" i="5"/>
  <c r="C296" i="5"/>
  <c r="E295" i="5"/>
  <c r="D295" i="5"/>
  <c r="C295" i="5"/>
  <c r="E294" i="5"/>
  <c r="D294" i="5"/>
  <c r="C294" i="5"/>
  <c r="E293" i="5"/>
  <c r="D293" i="5"/>
  <c r="C293" i="5"/>
  <c r="E292" i="5"/>
  <c r="D292" i="5"/>
  <c r="C292" i="5"/>
  <c r="E291" i="5"/>
  <c r="D291" i="5"/>
  <c r="C291" i="5"/>
  <c r="E290" i="5"/>
  <c r="D290" i="5"/>
  <c r="C290" i="5"/>
  <c r="E289" i="5"/>
  <c r="D289" i="5"/>
  <c r="C289" i="5"/>
  <c r="E288" i="5"/>
  <c r="D288" i="5"/>
  <c r="C288" i="5"/>
  <c r="E287" i="5"/>
  <c r="D287" i="5"/>
  <c r="C287" i="5"/>
  <c r="E286" i="5"/>
  <c r="D286" i="5"/>
  <c r="C286" i="5"/>
  <c r="E285" i="5"/>
  <c r="D285" i="5"/>
  <c r="C285" i="5"/>
  <c r="E284" i="5"/>
  <c r="D284" i="5"/>
  <c r="C284" i="5"/>
  <c r="E283" i="5"/>
  <c r="D283" i="5"/>
  <c r="C283" i="5"/>
  <c r="E282" i="5"/>
  <c r="D282" i="5"/>
  <c r="C282" i="5"/>
  <c r="E281" i="5"/>
  <c r="D281" i="5"/>
  <c r="C281" i="5"/>
  <c r="E280" i="5"/>
  <c r="D280" i="5"/>
  <c r="C280" i="5"/>
  <c r="E279" i="5"/>
  <c r="D279" i="5"/>
  <c r="C279" i="5"/>
  <c r="E278" i="5"/>
  <c r="D278" i="5"/>
  <c r="C278" i="5"/>
  <c r="E277" i="5"/>
  <c r="D277" i="5"/>
  <c r="C277" i="5"/>
  <c r="E276" i="5"/>
  <c r="D276" i="5"/>
  <c r="C276" i="5"/>
  <c r="E275" i="5"/>
  <c r="D275" i="5"/>
  <c r="C275" i="5"/>
  <c r="E274" i="5"/>
  <c r="D274" i="5"/>
  <c r="C274" i="5"/>
  <c r="E273" i="5"/>
  <c r="D273" i="5"/>
  <c r="C273" i="5"/>
  <c r="E272" i="5"/>
  <c r="D272" i="5"/>
  <c r="C272" i="5"/>
  <c r="E271" i="5"/>
  <c r="D271" i="5"/>
  <c r="C271" i="5"/>
  <c r="E270" i="5"/>
  <c r="D270" i="5"/>
  <c r="C270" i="5"/>
  <c r="E269" i="5"/>
  <c r="D269" i="5"/>
  <c r="C269" i="5"/>
  <c r="E268" i="5"/>
  <c r="D268" i="5"/>
  <c r="C268" i="5"/>
  <c r="E267" i="5"/>
  <c r="D267" i="5"/>
  <c r="C267" i="5"/>
  <c r="E266" i="5"/>
  <c r="D266" i="5"/>
  <c r="C266" i="5"/>
  <c r="E265" i="5"/>
  <c r="D265" i="5"/>
  <c r="C265" i="5"/>
  <c r="E264" i="5"/>
  <c r="D264" i="5"/>
  <c r="C264" i="5"/>
  <c r="E263" i="5"/>
  <c r="D263" i="5"/>
  <c r="C263" i="5"/>
  <c r="E262" i="5"/>
  <c r="D262" i="5"/>
  <c r="C262" i="5"/>
  <c r="E261" i="5"/>
  <c r="D261" i="5"/>
  <c r="C261" i="5"/>
  <c r="E260" i="5"/>
  <c r="D260" i="5"/>
  <c r="C260" i="5"/>
  <c r="E259" i="5"/>
  <c r="D259" i="5"/>
  <c r="C259" i="5"/>
  <c r="E258" i="5"/>
  <c r="D258" i="5"/>
  <c r="C258" i="5"/>
  <c r="E257" i="5"/>
  <c r="D257" i="5"/>
  <c r="C257" i="5"/>
  <c r="E256" i="5"/>
  <c r="D256" i="5"/>
  <c r="C256" i="5"/>
  <c r="E255" i="5"/>
  <c r="D255" i="5"/>
  <c r="C255" i="5"/>
  <c r="E254" i="5"/>
  <c r="D254" i="5"/>
  <c r="C254" i="5"/>
  <c r="E253" i="5"/>
  <c r="D253" i="5"/>
  <c r="C253" i="5"/>
  <c r="E252" i="5"/>
  <c r="D252" i="5"/>
  <c r="C252" i="5"/>
  <c r="E251" i="5"/>
  <c r="D251" i="5"/>
  <c r="C251" i="5"/>
  <c r="E250" i="5"/>
  <c r="D250" i="5"/>
  <c r="C250" i="5"/>
  <c r="E249" i="5"/>
  <c r="D249" i="5"/>
  <c r="C249" i="5"/>
  <c r="E248" i="5"/>
  <c r="D248" i="5"/>
  <c r="C248" i="5"/>
  <c r="E247" i="5"/>
  <c r="D247" i="5"/>
  <c r="C247" i="5"/>
  <c r="E246" i="5"/>
  <c r="D246" i="5"/>
  <c r="C246" i="5"/>
  <c r="E245" i="5"/>
  <c r="D245" i="5"/>
  <c r="C245" i="5"/>
  <c r="E244" i="5"/>
  <c r="D244" i="5"/>
  <c r="C244" i="5"/>
  <c r="E243" i="5"/>
  <c r="D243" i="5"/>
  <c r="C243" i="5"/>
  <c r="E242" i="5"/>
  <c r="D242" i="5"/>
  <c r="C242" i="5"/>
  <c r="E241" i="5"/>
  <c r="D241" i="5"/>
  <c r="C241" i="5"/>
  <c r="E240" i="5"/>
  <c r="D240" i="5"/>
  <c r="C240" i="5"/>
  <c r="E239" i="5"/>
  <c r="D239" i="5"/>
  <c r="C239" i="5"/>
  <c r="E238" i="5"/>
  <c r="D238" i="5"/>
  <c r="C238" i="5"/>
  <c r="E237" i="5"/>
  <c r="D237" i="5"/>
  <c r="C237" i="5"/>
  <c r="E236" i="5"/>
  <c r="D236" i="5"/>
  <c r="C236" i="5"/>
  <c r="E235" i="5"/>
  <c r="D235" i="5"/>
  <c r="C235" i="5"/>
  <c r="E234" i="5"/>
  <c r="D234" i="5"/>
  <c r="C234" i="5"/>
  <c r="E233" i="5"/>
  <c r="D233" i="5"/>
  <c r="C233" i="5"/>
  <c r="E232" i="5"/>
  <c r="D232" i="5"/>
  <c r="C232" i="5"/>
  <c r="E231" i="5"/>
  <c r="D231" i="5"/>
  <c r="C231" i="5"/>
  <c r="E230" i="5"/>
  <c r="D230" i="5"/>
  <c r="C230" i="5"/>
  <c r="E229" i="5"/>
  <c r="D229" i="5"/>
  <c r="C229" i="5"/>
  <c r="E228" i="5"/>
  <c r="D228" i="5"/>
  <c r="C228" i="5"/>
  <c r="E227" i="5"/>
  <c r="D227" i="5"/>
  <c r="C227" i="5"/>
  <c r="E226" i="5"/>
  <c r="D226" i="5"/>
  <c r="C226" i="5"/>
  <c r="E225" i="5"/>
  <c r="D225" i="5"/>
  <c r="C225" i="5"/>
  <c r="E224" i="5"/>
  <c r="D224" i="5"/>
  <c r="C224" i="5"/>
  <c r="E223" i="5"/>
  <c r="D223" i="5"/>
  <c r="C223" i="5"/>
  <c r="E222" i="5"/>
  <c r="D222" i="5"/>
  <c r="C222" i="5"/>
  <c r="E221" i="5"/>
  <c r="D221" i="5"/>
  <c r="C221" i="5"/>
  <c r="E220" i="5"/>
  <c r="D220" i="5"/>
  <c r="C220" i="5"/>
  <c r="E219" i="5"/>
  <c r="D219" i="5"/>
  <c r="C219" i="5"/>
  <c r="E218" i="5"/>
  <c r="D218" i="5"/>
  <c r="C218" i="5"/>
  <c r="E217" i="5"/>
  <c r="D217" i="5"/>
  <c r="C217" i="5"/>
  <c r="E216" i="5"/>
  <c r="D216" i="5"/>
  <c r="C216" i="5"/>
  <c r="E215" i="5"/>
  <c r="D215" i="5"/>
  <c r="C215" i="5"/>
  <c r="E214" i="5"/>
  <c r="D214" i="5"/>
  <c r="C214" i="5"/>
  <c r="E213" i="5"/>
  <c r="D213" i="5"/>
  <c r="C213" i="5"/>
  <c r="E212" i="5"/>
  <c r="D212" i="5"/>
  <c r="C212" i="5"/>
  <c r="E211" i="5"/>
  <c r="D211" i="5"/>
  <c r="C211" i="5"/>
  <c r="E210" i="5"/>
  <c r="D210" i="5"/>
  <c r="C210" i="5"/>
  <c r="E209" i="5"/>
  <c r="D209" i="5"/>
  <c r="C209" i="5"/>
  <c r="E208" i="5"/>
  <c r="D208" i="5"/>
  <c r="C208" i="5"/>
  <c r="E207" i="5"/>
  <c r="D207" i="5"/>
  <c r="C207" i="5"/>
  <c r="E206" i="5"/>
  <c r="D206" i="5"/>
  <c r="C206" i="5"/>
  <c r="E205" i="5"/>
  <c r="D205" i="5"/>
  <c r="C205" i="5"/>
  <c r="E204" i="5"/>
  <c r="D204" i="5"/>
  <c r="C204" i="5"/>
  <c r="E203" i="5"/>
  <c r="D203" i="5"/>
  <c r="C203" i="5"/>
  <c r="E202" i="5"/>
  <c r="D202" i="5"/>
  <c r="C202" i="5"/>
  <c r="E201" i="5"/>
  <c r="D201" i="5"/>
  <c r="C201" i="5"/>
  <c r="E200" i="5"/>
  <c r="D200" i="5"/>
  <c r="C200" i="5"/>
  <c r="E199" i="5"/>
  <c r="D199" i="5"/>
  <c r="C199" i="5"/>
  <c r="E198" i="5"/>
  <c r="D198" i="5"/>
  <c r="C198" i="5"/>
  <c r="E197" i="5"/>
  <c r="D197" i="5"/>
  <c r="C197" i="5"/>
  <c r="E196" i="5"/>
  <c r="D196" i="5"/>
  <c r="C196" i="5"/>
  <c r="E195" i="5"/>
  <c r="D195" i="5"/>
  <c r="C195" i="5"/>
  <c r="E194" i="5"/>
  <c r="D194" i="5"/>
  <c r="C194" i="5"/>
  <c r="E193" i="5"/>
  <c r="D193" i="5"/>
  <c r="C193" i="5"/>
  <c r="E192" i="5"/>
  <c r="D192" i="5"/>
  <c r="C192" i="5"/>
  <c r="E191" i="5"/>
  <c r="D191" i="5"/>
  <c r="C191" i="5"/>
  <c r="E190" i="5"/>
  <c r="D190" i="5"/>
  <c r="C190" i="5"/>
  <c r="E189" i="5"/>
  <c r="D189" i="5"/>
  <c r="C189" i="5"/>
  <c r="E188" i="5"/>
  <c r="D188" i="5"/>
  <c r="C188" i="5"/>
  <c r="E187" i="5"/>
  <c r="D187" i="5"/>
  <c r="C187" i="5"/>
  <c r="E186" i="5"/>
  <c r="D186" i="5"/>
  <c r="C186" i="5"/>
  <c r="E185" i="5"/>
  <c r="D185" i="5"/>
  <c r="C185" i="5"/>
  <c r="E184" i="5"/>
  <c r="D184" i="5"/>
  <c r="C184" i="5"/>
  <c r="E183" i="5"/>
  <c r="D183" i="5"/>
  <c r="C183" i="5"/>
  <c r="E182" i="5"/>
  <c r="D182" i="5"/>
  <c r="C182" i="5"/>
  <c r="E181" i="5"/>
  <c r="D181" i="5"/>
  <c r="C181" i="5"/>
  <c r="E180" i="5"/>
  <c r="D180" i="5"/>
  <c r="C180" i="5"/>
  <c r="E179" i="5"/>
  <c r="D179" i="5"/>
  <c r="C179" i="5"/>
  <c r="E178" i="5"/>
  <c r="D178" i="5"/>
  <c r="C178" i="5"/>
  <c r="E177" i="5"/>
  <c r="D177" i="5"/>
  <c r="C177" i="5"/>
  <c r="E176" i="5"/>
  <c r="D176" i="5"/>
  <c r="C176" i="5"/>
  <c r="E175" i="5"/>
  <c r="D175" i="5"/>
  <c r="C175" i="5"/>
  <c r="E174" i="5"/>
  <c r="D174" i="5"/>
  <c r="C174" i="5"/>
  <c r="E173" i="5"/>
  <c r="D173" i="5"/>
  <c r="C173" i="5"/>
  <c r="E172" i="5"/>
  <c r="D172" i="5"/>
  <c r="C172" i="5"/>
  <c r="E171" i="5"/>
  <c r="D171" i="5"/>
  <c r="C171" i="5"/>
  <c r="E170" i="5"/>
  <c r="D170" i="5"/>
  <c r="C170" i="5"/>
  <c r="E169" i="5"/>
  <c r="D169" i="5"/>
  <c r="C169" i="5"/>
  <c r="E168" i="5"/>
  <c r="D168" i="5"/>
  <c r="C168" i="5"/>
  <c r="E167" i="5"/>
  <c r="D167" i="5"/>
  <c r="C167" i="5"/>
  <c r="E166" i="5"/>
  <c r="D166" i="5"/>
  <c r="C166" i="5"/>
  <c r="E165" i="5"/>
  <c r="D165" i="5"/>
  <c r="C165" i="5"/>
  <c r="E164" i="5"/>
  <c r="D164" i="5"/>
  <c r="C164" i="5"/>
  <c r="E163" i="5"/>
  <c r="D163" i="5"/>
  <c r="C163" i="5"/>
  <c r="E162" i="5"/>
  <c r="D162" i="5"/>
  <c r="C162" i="5"/>
  <c r="E161" i="5"/>
  <c r="D161" i="5"/>
  <c r="C161" i="5"/>
  <c r="E160" i="5"/>
  <c r="D160" i="5"/>
  <c r="C160" i="5"/>
  <c r="E159" i="5"/>
  <c r="D159" i="5"/>
  <c r="C159" i="5"/>
  <c r="E158" i="5"/>
  <c r="D158" i="5"/>
  <c r="C158" i="5"/>
  <c r="E157" i="5"/>
  <c r="D157" i="5"/>
  <c r="C157" i="5"/>
  <c r="E156" i="5"/>
  <c r="D156" i="5"/>
  <c r="C156" i="5"/>
  <c r="E155" i="5"/>
  <c r="D155" i="5"/>
  <c r="C155" i="5"/>
  <c r="E154" i="5"/>
  <c r="D154" i="5"/>
  <c r="C154" i="5"/>
  <c r="E153" i="5"/>
  <c r="D153" i="5"/>
  <c r="C153" i="5"/>
  <c r="E152" i="5"/>
  <c r="D152" i="5"/>
  <c r="C152" i="5"/>
  <c r="E151" i="5"/>
  <c r="D151" i="5"/>
  <c r="C151" i="5"/>
  <c r="E150" i="5"/>
  <c r="D150" i="5"/>
  <c r="C150" i="5"/>
  <c r="E149" i="5"/>
  <c r="D149" i="5"/>
  <c r="C149" i="5"/>
  <c r="E148" i="5"/>
  <c r="D148" i="5"/>
  <c r="C148" i="5"/>
  <c r="E147" i="5"/>
  <c r="D147" i="5"/>
  <c r="C147" i="5"/>
  <c r="E146" i="5"/>
  <c r="D146" i="5"/>
  <c r="C146" i="5"/>
  <c r="E145" i="5"/>
  <c r="D145" i="5"/>
  <c r="C145" i="5"/>
  <c r="E144" i="5"/>
  <c r="D144" i="5"/>
  <c r="C144" i="5"/>
  <c r="E143" i="5"/>
  <c r="D143" i="5"/>
  <c r="C143" i="5"/>
  <c r="E142" i="5"/>
  <c r="D142" i="5"/>
  <c r="C142" i="5"/>
  <c r="E141" i="5"/>
  <c r="D141" i="5"/>
  <c r="C141" i="5"/>
  <c r="E140" i="5"/>
  <c r="D140" i="5"/>
  <c r="C140" i="5"/>
  <c r="E139" i="5"/>
  <c r="D139" i="5"/>
  <c r="C139" i="5"/>
  <c r="E138" i="5"/>
  <c r="D138" i="5"/>
  <c r="C138" i="5"/>
  <c r="E137" i="5"/>
  <c r="D137" i="5"/>
  <c r="C137" i="5"/>
  <c r="E136" i="5"/>
  <c r="D136" i="5"/>
  <c r="C136" i="5"/>
  <c r="E135" i="5"/>
  <c r="D135" i="5"/>
  <c r="C135" i="5"/>
  <c r="E134" i="5"/>
  <c r="D134" i="5"/>
  <c r="C134" i="5"/>
  <c r="E133" i="5"/>
  <c r="D133" i="5"/>
  <c r="C133" i="5"/>
  <c r="E132" i="5"/>
  <c r="D132" i="5"/>
  <c r="C132" i="5"/>
  <c r="E131" i="5"/>
  <c r="D131" i="5"/>
  <c r="C131" i="5"/>
  <c r="E130" i="5"/>
  <c r="D130" i="5"/>
  <c r="C130" i="5"/>
  <c r="E129" i="5"/>
  <c r="D129" i="5"/>
  <c r="C129" i="5"/>
  <c r="E128" i="5"/>
  <c r="D128" i="5"/>
  <c r="C128" i="5"/>
  <c r="E127" i="5"/>
  <c r="D127" i="5"/>
  <c r="C127" i="5"/>
  <c r="E126" i="5"/>
  <c r="D126" i="5"/>
  <c r="C126" i="5"/>
  <c r="E125" i="5"/>
  <c r="D125" i="5"/>
  <c r="C125" i="5"/>
  <c r="E124" i="5"/>
  <c r="D124" i="5"/>
  <c r="C124" i="5"/>
  <c r="E123" i="5"/>
  <c r="D123" i="5"/>
  <c r="C123" i="5"/>
  <c r="E122" i="5"/>
  <c r="D122" i="5"/>
  <c r="C122" i="5"/>
  <c r="E121" i="5"/>
  <c r="D121" i="5"/>
  <c r="C121" i="5"/>
  <c r="E120" i="5"/>
  <c r="D120" i="5"/>
  <c r="C120" i="5"/>
  <c r="E119" i="5"/>
  <c r="D119" i="5"/>
  <c r="C119" i="5"/>
  <c r="E118" i="5"/>
  <c r="D118" i="5"/>
  <c r="C118" i="5"/>
  <c r="E117" i="5"/>
  <c r="D117" i="5"/>
  <c r="C117" i="5"/>
  <c r="E116" i="5"/>
  <c r="D116" i="5"/>
  <c r="C116" i="5"/>
  <c r="E115" i="5"/>
  <c r="D115" i="5"/>
  <c r="C115" i="5"/>
  <c r="E114" i="5"/>
  <c r="D114" i="5"/>
  <c r="C114" i="5"/>
  <c r="E113" i="5"/>
  <c r="D113" i="5"/>
  <c r="C113" i="5"/>
  <c r="E112" i="5"/>
  <c r="D112" i="5"/>
  <c r="C112" i="5"/>
  <c r="E111" i="5"/>
  <c r="D111" i="5"/>
  <c r="C111" i="5"/>
  <c r="E110" i="5"/>
  <c r="D110" i="5"/>
  <c r="C110" i="5"/>
  <c r="E109" i="5"/>
  <c r="D109" i="5"/>
  <c r="C109" i="5"/>
  <c r="E108" i="5"/>
  <c r="D108" i="5"/>
  <c r="C108" i="5"/>
  <c r="E107" i="5"/>
  <c r="D107" i="5"/>
  <c r="C107" i="5"/>
  <c r="E106" i="5"/>
  <c r="D106" i="5"/>
  <c r="C106" i="5"/>
  <c r="E105" i="5"/>
  <c r="D105" i="5"/>
  <c r="C105" i="5"/>
  <c r="E104" i="5"/>
  <c r="D104" i="5"/>
  <c r="C104" i="5"/>
  <c r="E103" i="5"/>
  <c r="D103" i="5"/>
  <c r="C103" i="5"/>
  <c r="E102" i="5"/>
  <c r="D102" i="5"/>
  <c r="C102" i="5"/>
  <c r="E101" i="5"/>
  <c r="D101" i="5"/>
  <c r="C101" i="5"/>
  <c r="E100" i="5"/>
  <c r="D100" i="5"/>
  <c r="C100" i="5"/>
  <c r="E99" i="5"/>
  <c r="D99" i="5"/>
  <c r="C99" i="5"/>
  <c r="E98" i="5"/>
  <c r="D98" i="5"/>
  <c r="C98" i="5"/>
  <c r="E97" i="5"/>
  <c r="D97" i="5"/>
  <c r="C97" i="5"/>
  <c r="E96" i="5"/>
  <c r="D96" i="5"/>
  <c r="C96" i="5"/>
  <c r="E95" i="5"/>
  <c r="D95" i="5"/>
  <c r="C95" i="5"/>
  <c r="E94" i="5"/>
  <c r="D94" i="5"/>
  <c r="C94" i="5"/>
  <c r="E93" i="5"/>
  <c r="D93" i="5"/>
  <c r="C93" i="5"/>
  <c r="E92" i="5"/>
  <c r="D92" i="5"/>
  <c r="C92" i="5"/>
  <c r="E91" i="5"/>
  <c r="D91" i="5"/>
  <c r="C91" i="5"/>
  <c r="E90" i="5"/>
  <c r="D90" i="5"/>
  <c r="C90" i="5"/>
  <c r="E89" i="5"/>
  <c r="D89" i="5"/>
  <c r="C89" i="5"/>
  <c r="E88" i="5"/>
  <c r="D88" i="5"/>
  <c r="C88" i="5"/>
  <c r="E87" i="5"/>
  <c r="D87" i="5"/>
  <c r="C87" i="5"/>
  <c r="E86" i="5"/>
  <c r="D86" i="5"/>
  <c r="C86" i="5"/>
  <c r="E85" i="5"/>
  <c r="D85" i="5"/>
  <c r="C85" i="5"/>
  <c r="E84" i="5"/>
  <c r="D84" i="5"/>
  <c r="C84" i="5"/>
  <c r="E83" i="5"/>
  <c r="D83" i="5"/>
  <c r="C83" i="5"/>
  <c r="E82" i="5"/>
  <c r="D82" i="5"/>
  <c r="C82" i="5"/>
  <c r="E81" i="5"/>
  <c r="D81" i="5"/>
  <c r="C81" i="5"/>
  <c r="E80" i="5"/>
  <c r="D80" i="5"/>
  <c r="C80" i="5"/>
  <c r="E79" i="5"/>
  <c r="D79" i="5"/>
  <c r="C79" i="5"/>
  <c r="E78" i="5"/>
  <c r="D78" i="5"/>
  <c r="C78" i="5"/>
  <c r="E77" i="5"/>
  <c r="D77" i="5"/>
  <c r="C77" i="5"/>
  <c r="E76" i="5"/>
  <c r="D76" i="5"/>
  <c r="C76" i="5"/>
  <c r="E75" i="5"/>
  <c r="D75" i="5"/>
  <c r="C75" i="5"/>
  <c r="E74" i="5"/>
  <c r="D74" i="5"/>
  <c r="C74" i="5"/>
  <c r="E73" i="5"/>
  <c r="D73" i="5"/>
  <c r="C73" i="5"/>
  <c r="E72" i="5"/>
  <c r="D72" i="5"/>
  <c r="C72" i="5"/>
  <c r="E71" i="5"/>
  <c r="D71" i="5"/>
  <c r="C71" i="5"/>
  <c r="E70" i="5"/>
  <c r="D70" i="5"/>
  <c r="C70" i="5"/>
  <c r="E69" i="5"/>
  <c r="D69" i="5"/>
  <c r="C69" i="5"/>
  <c r="E68" i="5"/>
  <c r="D68" i="5"/>
  <c r="C68" i="5"/>
  <c r="E67" i="5"/>
  <c r="D67" i="5"/>
  <c r="C67" i="5"/>
  <c r="E66" i="5"/>
  <c r="D66" i="5"/>
  <c r="C66" i="5"/>
  <c r="E65" i="5"/>
  <c r="D65" i="5"/>
  <c r="C65" i="5"/>
  <c r="E64" i="5"/>
  <c r="D64" i="5"/>
  <c r="C64" i="5"/>
  <c r="E63" i="5"/>
  <c r="D63" i="5"/>
  <c r="C63" i="5"/>
  <c r="E62" i="5"/>
  <c r="D62" i="5"/>
  <c r="C62" i="5"/>
  <c r="E61" i="5"/>
  <c r="D61" i="5"/>
  <c r="C61" i="5"/>
  <c r="E60" i="5"/>
  <c r="D60" i="5"/>
  <c r="C60" i="5"/>
  <c r="E59" i="5"/>
  <c r="D59" i="5"/>
  <c r="C59" i="5"/>
  <c r="E58" i="5"/>
  <c r="D58" i="5"/>
  <c r="C58" i="5"/>
  <c r="E57" i="5"/>
  <c r="D57" i="5"/>
  <c r="C57" i="5"/>
  <c r="E56" i="5"/>
  <c r="D56" i="5"/>
  <c r="C56" i="5"/>
  <c r="E55" i="5"/>
  <c r="D55" i="5"/>
  <c r="C55" i="5"/>
  <c r="E54" i="5"/>
  <c r="D54" i="5"/>
  <c r="C54" i="5"/>
  <c r="E53" i="5"/>
  <c r="D53" i="5"/>
  <c r="C53" i="5"/>
  <c r="E52" i="5"/>
  <c r="D52" i="5"/>
  <c r="C52" i="5"/>
  <c r="E51" i="5"/>
  <c r="D51" i="5"/>
  <c r="C51" i="5"/>
  <c r="E50" i="5"/>
  <c r="D50" i="5"/>
  <c r="C50" i="5"/>
  <c r="E49" i="5"/>
  <c r="D49" i="5"/>
  <c r="C49" i="5"/>
  <c r="E48" i="5"/>
  <c r="D48" i="5"/>
  <c r="C48" i="5"/>
  <c r="E47" i="5"/>
  <c r="D47" i="5"/>
  <c r="C47" i="5"/>
  <c r="E46" i="5"/>
  <c r="D46" i="5"/>
  <c r="C46" i="5"/>
  <c r="E45" i="5"/>
  <c r="D45" i="5"/>
  <c r="C45" i="5"/>
  <c r="E44" i="5"/>
  <c r="D44" i="5"/>
  <c r="C44" i="5"/>
  <c r="E43" i="5"/>
  <c r="D43" i="5"/>
  <c r="C43" i="5"/>
  <c r="E42" i="5"/>
  <c r="D42" i="5"/>
  <c r="C42" i="5"/>
  <c r="E41" i="5"/>
  <c r="D41" i="5"/>
  <c r="C41" i="5"/>
  <c r="E40" i="5"/>
  <c r="D40" i="5"/>
  <c r="C40" i="5"/>
  <c r="E39" i="5"/>
  <c r="D39" i="5"/>
  <c r="C39" i="5"/>
  <c r="E38" i="5"/>
  <c r="D38" i="5"/>
  <c r="C38" i="5"/>
  <c r="E37" i="5"/>
  <c r="D37" i="5"/>
  <c r="C37" i="5"/>
  <c r="E36" i="5"/>
  <c r="D36" i="5"/>
  <c r="C36" i="5"/>
  <c r="E35" i="5"/>
  <c r="D35" i="5"/>
  <c r="C35" i="5"/>
  <c r="E34" i="5"/>
  <c r="D34" i="5"/>
  <c r="C34" i="5"/>
  <c r="E33" i="5"/>
  <c r="D33" i="5"/>
  <c r="C33" i="5"/>
  <c r="E32" i="5"/>
  <c r="D32" i="5"/>
  <c r="C32" i="5"/>
  <c r="E31" i="5"/>
  <c r="D31" i="5"/>
  <c r="C31" i="5"/>
  <c r="E30" i="5"/>
  <c r="D30" i="5"/>
  <c r="C30" i="5"/>
  <c r="E29" i="5"/>
  <c r="D29" i="5"/>
  <c r="C29" i="5"/>
  <c r="E28" i="5"/>
  <c r="D28" i="5"/>
  <c r="C28" i="5"/>
  <c r="E27" i="5"/>
  <c r="D27" i="5"/>
  <c r="C27" i="5"/>
  <c r="E26" i="5"/>
  <c r="D26" i="5"/>
  <c r="C26" i="5"/>
  <c r="E25" i="5"/>
  <c r="D25" i="5"/>
  <c r="C25" i="5"/>
  <c r="E24" i="5"/>
  <c r="D24" i="5"/>
  <c r="C24" i="5"/>
  <c r="E23" i="5"/>
  <c r="D23" i="5"/>
  <c r="C23" i="5"/>
  <c r="E22" i="5"/>
  <c r="D22" i="5"/>
  <c r="C22" i="5"/>
  <c r="E21" i="5"/>
  <c r="D21" i="5"/>
  <c r="C21" i="5"/>
  <c r="E20" i="5"/>
  <c r="D20" i="5"/>
  <c r="C20" i="5"/>
  <c r="E19" i="5"/>
  <c r="D19" i="5"/>
  <c r="C19" i="5"/>
  <c r="E18" i="5"/>
  <c r="D18" i="5"/>
  <c r="C18" i="5"/>
  <c r="E17" i="5"/>
  <c r="D17" i="5"/>
  <c r="C17" i="5"/>
  <c r="E16" i="5"/>
  <c r="D16" i="5"/>
  <c r="C16" i="5"/>
  <c r="E15" i="5"/>
  <c r="D15" i="5"/>
  <c r="C15" i="5"/>
  <c r="E14" i="5"/>
  <c r="D14" i="5"/>
  <c r="C14" i="5"/>
  <c r="E13" i="5"/>
  <c r="D13" i="5"/>
  <c r="C13" i="5"/>
  <c r="E12" i="5"/>
  <c r="D12" i="5"/>
  <c r="C12" i="5"/>
  <c r="E11" i="5"/>
  <c r="D11" i="5"/>
  <c r="C11" i="5"/>
  <c r="E10" i="5"/>
  <c r="D10" i="5"/>
  <c r="C10" i="5"/>
  <c r="E9" i="5"/>
  <c r="D9" i="5"/>
  <c r="C9" i="5"/>
  <c r="E8" i="5"/>
  <c r="D8" i="5"/>
  <c r="C8" i="5"/>
  <c r="E7" i="5"/>
  <c r="D7" i="5"/>
  <c r="C7" i="5"/>
  <c r="E6" i="5"/>
  <c r="D6" i="5"/>
  <c r="C6" i="5"/>
  <c r="W155" i="4"/>
  <c r="V155" i="4"/>
  <c r="S155" i="4"/>
  <c r="R155" i="4"/>
  <c r="Q155" i="4"/>
  <c r="W154" i="4"/>
  <c r="AA154" i="4" s="1"/>
  <c r="V154" i="4"/>
  <c r="S154" i="4"/>
  <c r="R154" i="4"/>
  <c r="Q154" i="4"/>
  <c r="W153" i="4"/>
  <c r="V153" i="4"/>
  <c r="S153" i="4"/>
  <c r="R153" i="4"/>
  <c r="Q153" i="4"/>
  <c r="W152" i="4"/>
  <c r="V152" i="4"/>
  <c r="S152" i="4"/>
  <c r="R152" i="4"/>
  <c r="Q152" i="4"/>
  <c r="W151" i="4"/>
  <c r="AA151" i="4" s="1"/>
  <c r="V151" i="4"/>
  <c r="S151" i="4"/>
  <c r="R151" i="4"/>
  <c r="Q151" i="4"/>
  <c r="W150" i="4"/>
  <c r="V150" i="4"/>
  <c r="S150" i="4"/>
  <c r="R150" i="4"/>
  <c r="Q150" i="4"/>
  <c r="W149" i="4"/>
  <c r="V149" i="4"/>
  <c r="S149" i="4"/>
  <c r="R149" i="4"/>
  <c r="Q149" i="4"/>
  <c r="W148" i="4"/>
  <c r="AA148" i="4" s="1"/>
  <c r="V148" i="4"/>
  <c r="S148" i="4"/>
  <c r="R148" i="4"/>
  <c r="Q148" i="4"/>
  <c r="W147" i="4"/>
  <c r="V147" i="4"/>
  <c r="S147" i="4"/>
  <c r="R147" i="4"/>
  <c r="Q147" i="4"/>
  <c r="W146" i="4"/>
  <c r="V146" i="4"/>
  <c r="S146" i="4"/>
  <c r="R146" i="4"/>
  <c r="Q146" i="4"/>
  <c r="W145" i="4"/>
  <c r="AA145" i="4" s="1"/>
  <c r="V145" i="4"/>
  <c r="S145" i="4"/>
  <c r="R145" i="4"/>
  <c r="Q145" i="4"/>
  <c r="W144" i="4"/>
  <c r="V144" i="4"/>
  <c r="S144" i="4"/>
  <c r="R144" i="4"/>
  <c r="Q144" i="4"/>
  <c r="W143" i="4"/>
  <c r="V143" i="4"/>
  <c r="S143" i="4"/>
  <c r="R143" i="4"/>
  <c r="Q143" i="4"/>
  <c r="W142" i="4"/>
  <c r="AA142" i="4" s="1"/>
  <c r="V142" i="4"/>
  <c r="S142" i="4"/>
  <c r="R142" i="4"/>
  <c r="Q142" i="4"/>
  <c r="W141" i="4"/>
  <c r="V141" i="4"/>
  <c r="S141" i="4"/>
  <c r="R141" i="4"/>
  <c r="Q141" i="4"/>
  <c r="W140" i="4"/>
  <c r="V140" i="4"/>
  <c r="S140" i="4"/>
  <c r="R140" i="4"/>
  <c r="Q140" i="4"/>
  <c r="W139" i="4"/>
  <c r="AA139" i="4" s="1"/>
  <c r="V139" i="4"/>
  <c r="S139" i="4"/>
  <c r="R139" i="4"/>
  <c r="Q139" i="4"/>
  <c r="W138" i="4"/>
  <c r="V138" i="4"/>
  <c r="S138" i="4"/>
  <c r="R138" i="4"/>
  <c r="Q138" i="4"/>
  <c r="W137" i="4"/>
  <c r="V137" i="4"/>
  <c r="S137" i="4"/>
  <c r="R137" i="4"/>
  <c r="Q137" i="4"/>
  <c r="W136" i="4"/>
  <c r="AA136" i="4" s="1"/>
  <c r="V136" i="4"/>
  <c r="S136" i="4"/>
  <c r="R136" i="4"/>
  <c r="Q136" i="4"/>
  <c r="W135" i="4"/>
  <c r="V135" i="4"/>
  <c r="S135" i="4"/>
  <c r="R135" i="4"/>
  <c r="Q135" i="4"/>
  <c r="W134" i="4"/>
  <c r="V134" i="4"/>
  <c r="S134" i="4"/>
  <c r="R134" i="4"/>
  <c r="Q134" i="4"/>
  <c r="W133" i="4"/>
  <c r="AA133" i="4" s="1"/>
  <c r="V133" i="4"/>
  <c r="S133" i="4"/>
  <c r="R133" i="4"/>
  <c r="Q133" i="4"/>
  <c r="W132" i="4"/>
  <c r="V132" i="4"/>
  <c r="S132" i="4"/>
  <c r="R132" i="4"/>
  <c r="Q132" i="4"/>
  <c r="W131" i="4"/>
  <c r="V131" i="4"/>
  <c r="S131" i="4"/>
  <c r="R131" i="4"/>
  <c r="Q131" i="4"/>
  <c r="W130" i="4"/>
  <c r="AA130" i="4" s="1"/>
  <c r="V130" i="4"/>
  <c r="S130" i="4"/>
  <c r="R130" i="4"/>
  <c r="Q130" i="4"/>
  <c r="W129" i="4"/>
  <c r="V129" i="4"/>
  <c r="S129" i="4"/>
  <c r="R129" i="4"/>
  <c r="Q129" i="4"/>
  <c r="W128" i="4"/>
  <c r="V128" i="4"/>
  <c r="S128" i="4"/>
  <c r="R128" i="4"/>
  <c r="Q128" i="4"/>
  <c r="AA127" i="4"/>
  <c r="W127" i="4"/>
  <c r="V127" i="4"/>
  <c r="S127" i="4"/>
  <c r="R127" i="4"/>
  <c r="Q127" i="4"/>
  <c r="W126" i="4"/>
  <c r="AA126" i="4" s="1"/>
  <c r="V126" i="4"/>
  <c r="S126" i="4"/>
  <c r="R126" i="4"/>
  <c r="Q126" i="4"/>
  <c r="W125" i="4"/>
  <c r="V125" i="4"/>
  <c r="S125" i="4"/>
  <c r="R125" i="4"/>
  <c r="Q125" i="4"/>
  <c r="W124" i="4"/>
  <c r="V124" i="4"/>
  <c r="S124" i="4"/>
  <c r="R124" i="4"/>
  <c r="Q124" i="4"/>
  <c r="W123" i="4"/>
  <c r="V123" i="4"/>
  <c r="S123" i="4"/>
  <c r="R123" i="4"/>
  <c r="Q123" i="4"/>
  <c r="W122" i="4"/>
  <c r="V122" i="4"/>
  <c r="S122" i="4"/>
  <c r="R122" i="4"/>
  <c r="Q122" i="4"/>
  <c r="W121" i="4"/>
  <c r="V121" i="4"/>
  <c r="S121" i="4"/>
  <c r="R121" i="4"/>
  <c r="Q121" i="4"/>
  <c r="W120" i="4"/>
  <c r="V120" i="4"/>
  <c r="S120" i="4"/>
  <c r="R120" i="4"/>
  <c r="Q120" i="4"/>
  <c r="W119" i="4"/>
  <c r="V119" i="4"/>
  <c r="S119" i="4"/>
  <c r="R119" i="4"/>
  <c r="Q119" i="4"/>
  <c r="W118" i="4"/>
  <c r="V118" i="4"/>
  <c r="S118" i="4"/>
  <c r="R118" i="4"/>
  <c r="Q118" i="4"/>
  <c r="W117" i="4"/>
  <c r="V117" i="4"/>
  <c r="S117" i="4"/>
  <c r="R117" i="4"/>
  <c r="Q117" i="4"/>
  <c r="W116" i="4"/>
  <c r="V116" i="4"/>
  <c r="S116" i="4"/>
  <c r="R116" i="4"/>
  <c r="Q116" i="4"/>
  <c r="W115" i="4"/>
  <c r="V115" i="4"/>
  <c r="S115" i="4"/>
  <c r="R115" i="4"/>
  <c r="Q115" i="4"/>
  <c r="W114" i="4"/>
  <c r="V114" i="4"/>
  <c r="S114" i="4"/>
  <c r="R114" i="4"/>
  <c r="Q114" i="4"/>
  <c r="W113" i="4"/>
  <c r="V113" i="4"/>
  <c r="S113" i="4"/>
  <c r="R113" i="4"/>
  <c r="Q113" i="4"/>
  <c r="W112" i="4"/>
  <c r="V112" i="4"/>
  <c r="AA112" i="4" s="1"/>
  <c r="S112" i="4"/>
  <c r="R112" i="4"/>
  <c r="Q112" i="4"/>
  <c r="W111" i="4"/>
  <c r="V111" i="4"/>
  <c r="S111" i="4"/>
  <c r="R111" i="4"/>
  <c r="Q111" i="4"/>
  <c r="W110" i="4"/>
  <c r="V110" i="4"/>
  <c r="S110" i="4"/>
  <c r="R110" i="4"/>
  <c r="Q110" i="4"/>
  <c r="W109" i="4"/>
  <c r="V109" i="4"/>
  <c r="S109" i="4"/>
  <c r="R109" i="4"/>
  <c r="Q109" i="4"/>
  <c r="W108" i="4"/>
  <c r="V108" i="4"/>
  <c r="S108" i="4"/>
  <c r="R108" i="4"/>
  <c r="Q108" i="4"/>
  <c r="W107" i="4"/>
  <c r="V107" i="4"/>
  <c r="S107" i="4"/>
  <c r="R107" i="4"/>
  <c r="Q107" i="4"/>
  <c r="W106" i="4"/>
  <c r="V106" i="4"/>
  <c r="S106" i="4"/>
  <c r="R106" i="4"/>
  <c r="Q106" i="4"/>
  <c r="W105" i="4"/>
  <c r="V105" i="4"/>
  <c r="S105" i="4"/>
  <c r="R105" i="4"/>
  <c r="Q105" i="4"/>
  <c r="W104" i="4"/>
  <c r="V104" i="4"/>
  <c r="S104" i="4"/>
  <c r="R104" i="4"/>
  <c r="Q104" i="4"/>
  <c r="W103" i="4"/>
  <c r="V103" i="4"/>
  <c r="S103" i="4"/>
  <c r="R103" i="4"/>
  <c r="Q103" i="4"/>
  <c r="W102" i="4"/>
  <c r="V102" i="4"/>
  <c r="S102" i="4"/>
  <c r="R102" i="4"/>
  <c r="Q102" i="4"/>
  <c r="W101" i="4"/>
  <c r="V101" i="4"/>
  <c r="S101" i="4"/>
  <c r="R101" i="4"/>
  <c r="Q101" i="4"/>
  <c r="W100" i="4"/>
  <c r="V100" i="4"/>
  <c r="S100" i="4"/>
  <c r="R100" i="4"/>
  <c r="Q100" i="4"/>
  <c r="W99" i="4"/>
  <c r="V99" i="4"/>
  <c r="S99" i="4"/>
  <c r="R99" i="4"/>
  <c r="Q99" i="4"/>
  <c r="W98" i="4"/>
  <c r="V98" i="4"/>
  <c r="S98" i="4"/>
  <c r="R98" i="4"/>
  <c r="Q98" i="4"/>
  <c r="W97" i="4"/>
  <c r="V97" i="4"/>
  <c r="S97" i="4"/>
  <c r="R97" i="4"/>
  <c r="Q97" i="4"/>
  <c r="W96" i="4"/>
  <c r="V96" i="4"/>
  <c r="S96" i="4"/>
  <c r="R96" i="4"/>
  <c r="Q96" i="4"/>
  <c r="W95" i="4"/>
  <c r="V95" i="4"/>
  <c r="S95" i="4"/>
  <c r="R95" i="4"/>
  <c r="Q95" i="4"/>
  <c r="W94" i="4"/>
  <c r="V94" i="4"/>
  <c r="S94" i="4"/>
  <c r="R94" i="4"/>
  <c r="X94" i="4" s="1"/>
  <c r="Q94" i="4"/>
  <c r="W93" i="4"/>
  <c r="V93" i="4"/>
  <c r="S93" i="4"/>
  <c r="R93" i="4"/>
  <c r="Q93" i="4"/>
  <c r="W92" i="4"/>
  <c r="V92" i="4"/>
  <c r="S92" i="4"/>
  <c r="R92" i="4"/>
  <c r="Q92" i="4"/>
  <c r="W91" i="4"/>
  <c r="V91" i="4"/>
  <c r="S91" i="4"/>
  <c r="R91" i="4"/>
  <c r="Q91" i="4"/>
  <c r="W90" i="4"/>
  <c r="V90" i="4"/>
  <c r="S90" i="4"/>
  <c r="R90" i="4"/>
  <c r="Q90" i="4"/>
  <c r="W89" i="4"/>
  <c r="V89" i="4"/>
  <c r="S89" i="4"/>
  <c r="R89" i="4"/>
  <c r="Q89" i="4"/>
  <c r="W88" i="4"/>
  <c r="V88" i="4"/>
  <c r="S88" i="4"/>
  <c r="R88" i="4"/>
  <c r="Q88" i="4"/>
  <c r="W87" i="4"/>
  <c r="V87" i="4"/>
  <c r="S87" i="4"/>
  <c r="R87" i="4"/>
  <c r="Q87" i="4"/>
  <c r="W86" i="4"/>
  <c r="V86" i="4"/>
  <c r="S86" i="4"/>
  <c r="R86" i="4"/>
  <c r="Q86" i="4"/>
  <c r="W85" i="4"/>
  <c r="V85" i="4"/>
  <c r="S85" i="4"/>
  <c r="R85" i="4"/>
  <c r="Q85" i="4"/>
  <c r="W84" i="4"/>
  <c r="V84" i="4"/>
  <c r="S84" i="4"/>
  <c r="R84" i="4"/>
  <c r="Q84" i="4"/>
  <c r="W83" i="4"/>
  <c r="V83" i="4"/>
  <c r="S83" i="4"/>
  <c r="R83" i="4"/>
  <c r="Q83" i="4"/>
  <c r="W82" i="4"/>
  <c r="V82" i="4"/>
  <c r="S82" i="4"/>
  <c r="R82" i="4"/>
  <c r="Q82" i="4"/>
  <c r="W81" i="4"/>
  <c r="V81" i="4"/>
  <c r="S81" i="4"/>
  <c r="R81" i="4"/>
  <c r="Q81" i="4"/>
  <c r="W80" i="4"/>
  <c r="V80" i="4"/>
  <c r="S80" i="4"/>
  <c r="R80" i="4"/>
  <c r="Q80" i="4"/>
  <c r="W79" i="4"/>
  <c r="V79" i="4"/>
  <c r="S79" i="4"/>
  <c r="R79" i="4"/>
  <c r="Q79" i="4"/>
  <c r="W78" i="4"/>
  <c r="V78" i="4"/>
  <c r="S78" i="4"/>
  <c r="R78" i="4"/>
  <c r="Q78" i="4"/>
  <c r="W77" i="4"/>
  <c r="V77" i="4"/>
  <c r="S77" i="4"/>
  <c r="R77" i="4"/>
  <c r="Q77" i="4"/>
  <c r="W76" i="4"/>
  <c r="V76" i="4"/>
  <c r="S76" i="4"/>
  <c r="R76" i="4"/>
  <c r="X76" i="4" s="1"/>
  <c r="Q76" i="4"/>
  <c r="W75" i="4"/>
  <c r="V75" i="4"/>
  <c r="S75" i="4"/>
  <c r="R75" i="4"/>
  <c r="Q75" i="4"/>
  <c r="W74" i="4"/>
  <c r="V74" i="4"/>
  <c r="S74" i="4"/>
  <c r="R74" i="4"/>
  <c r="Q74" i="4"/>
  <c r="W73" i="4"/>
  <c r="V73" i="4"/>
  <c r="S73" i="4"/>
  <c r="R73" i="4"/>
  <c r="Q73" i="4"/>
  <c r="W72" i="4"/>
  <c r="V72" i="4"/>
  <c r="S72" i="4"/>
  <c r="R72" i="4"/>
  <c r="Q72" i="4"/>
  <c r="W71" i="4"/>
  <c r="V71" i="4"/>
  <c r="S71" i="4"/>
  <c r="R71" i="4"/>
  <c r="Q71" i="4"/>
  <c r="W70" i="4"/>
  <c r="V70" i="4"/>
  <c r="S70" i="4"/>
  <c r="R70" i="4"/>
  <c r="Q70" i="4"/>
  <c r="W69" i="4"/>
  <c r="V69" i="4"/>
  <c r="S69" i="4"/>
  <c r="R69" i="4"/>
  <c r="Q69" i="4"/>
  <c r="W68" i="4"/>
  <c r="V68" i="4"/>
  <c r="S68" i="4"/>
  <c r="R68" i="4"/>
  <c r="Q68" i="4"/>
  <c r="W67" i="4"/>
  <c r="V67" i="4"/>
  <c r="S67" i="4"/>
  <c r="R67" i="4"/>
  <c r="Q67" i="4"/>
  <c r="W66" i="4"/>
  <c r="V66" i="4"/>
  <c r="S66" i="4"/>
  <c r="R66" i="4"/>
  <c r="Q66" i="4"/>
  <c r="W65" i="4"/>
  <c r="V65" i="4"/>
  <c r="S65" i="4"/>
  <c r="R65" i="4"/>
  <c r="Q65" i="4"/>
  <c r="W64" i="4"/>
  <c r="V64" i="4"/>
  <c r="AA64" i="4" s="1"/>
  <c r="S64" i="4"/>
  <c r="R64" i="4"/>
  <c r="X64" i="4" s="1"/>
  <c r="Q64" i="4"/>
  <c r="W63" i="4"/>
  <c r="AA63" i="4" s="1"/>
  <c r="V63" i="4"/>
  <c r="S63" i="4"/>
  <c r="R63" i="4"/>
  <c r="Q63" i="4"/>
  <c r="W62" i="4"/>
  <c r="V62" i="4"/>
  <c r="S62" i="4"/>
  <c r="R62" i="4"/>
  <c r="Q62" i="4"/>
  <c r="W61" i="4"/>
  <c r="V61" i="4"/>
  <c r="S61" i="4"/>
  <c r="R61" i="4"/>
  <c r="Q61" i="4"/>
  <c r="W60" i="4"/>
  <c r="V60" i="4"/>
  <c r="S60" i="4"/>
  <c r="R60" i="4"/>
  <c r="Q60" i="4"/>
  <c r="W59" i="4"/>
  <c r="V59" i="4"/>
  <c r="S59" i="4"/>
  <c r="R59" i="4"/>
  <c r="Q59" i="4"/>
  <c r="W58" i="4"/>
  <c r="V58" i="4"/>
  <c r="S58" i="4"/>
  <c r="R58" i="4"/>
  <c r="X58" i="4" s="1"/>
  <c r="Q58" i="4"/>
  <c r="W57" i="4"/>
  <c r="AA57" i="4" s="1"/>
  <c r="V57" i="4"/>
  <c r="S57" i="4"/>
  <c r="R57" i="4"/>
  <c r="Q57" i="4"/>
  <c r="W56" i="4"/>
  <c r="V56" i="4"/>
  <c r="S56" i="4"/>
  <c r="R56" i="4"/>
  <c r="Q56" i="4"/>
  <c r="W55" i="4"/>
  <c r="V55" i="4"/>
  <c r="S55" i="4"/>
  <c r="R55" i="4"/>
  <c r="Q55" i="4"/>
  <c r="W54" i="4"/>
  <c r="V54" i="4"/>
  <c r="S54" i="4"/>
  <c r="R54" i="4"/>
  <c r="Q54" i="4"/>
  <c r="W53" i="4"/>
  <c r="V53" i="4"/>
  <c r="S53" i="4"/>
  <c r="R53" i="4"/>
  <c r="Q53" i="4"/>
  <c r="W52" i="4"/>
  <c r="V52" i="4"/>
  <c r="S52" i="4"/>
  <c r="R52" i="4"/>
  <c r="Q52" i="4"/>
  <c r="W51" i="4"/>
  <c r="V51" i="4"/>
  <c r="S51" i="4"/>
  <c r="R51" i="4"/>
  <c r="Q51" i="4"/>
  <c r="W50" i="4"/>
  <c r="V50" i="4"/>
  <c r="S50" i="4"/>
  <c r="R50" i="4"/>
  <c r="Q50" i="4"/>
  <c r="W49" i="4"/>
  <c r="V49" i="4"/>
  <c r="S49" i="4"/>
  <c r="R49" i="4"/>
  <c r="Q49" i="4"/>
  <c r="W48" i="4"/>
  <c r="V48" i="4"/>
  <c r="S48" i="4"/>
  <c r="R48" i="4"/>
  <c r="Q48" i="4"/>
  <c r="W47" i="4"/>
  <c r="V47" i="4"/>
  <c r="S47" i="4"/>
  <c r="R47" i="4"/>
  <c r="Q47" i="4"/>
  <c r="W46" i="4"/>
  <c r="V46" i="4"/>
  <c r="AA46" i="4" s="1"/>
  <c r="S46" i="4"/>
  <c r="R46" i="4"/>
  <c r="X46" i="4" s="1"/>
  <c r="Q46" i="4"/>
  <c r="W45" i="4"/>
  <c r="V45" i="4"/>
  <c r="S45" i="4"/>
  <c r="R45" i="4"/>
  <c r="Q45" i="4"/>
  <c r="W44" i="4"/>
  <c r="V44" i="4"/>
  <c r="S44" i="4"/>
  <c r="R44" i="4"/>
  <c r="Q44" i="4"/>
  <c r="W43" i="4"/>
  <c r="V43" i="4"/>
  <c r="S43" i="4"/>
  <c r="R43" i="4"/>
  <c r="Q43" i="4"/>
  <c r="W42" i="4"/>
  <c r="V42" i="4"/>
  <c r="S42" i="4"/>
  <c r="R42" i="4"/>
  <c r="Q42" i="4"/>
  <c r="W41" i="4"/>
  <c r="V41" i="4"/>
  <c r="S41" i="4"/>
  <c r="R41" i="4"/>
  <c r="Q41" i="4"/>
  <c r="W40" i="4"/>
  <c r="V40" i="4"/>
  <c r="S40" i="4"/>
  <c r="R40" i="4"/>
  <c r="Q40" i="4"/>
  <c r="W39" i="4"/>
  <c r="V39" i="4"/>
  <c r="S39" i="4"/>
  <c r="R39" i="4"/>
  <c r="Q39" i="4"/>
  <c r="W38" i="4"/>
  <c r="V38" i="4"/>
  <c r="S38" i="4"/>
  <c r="R38" i="4"/>
  <c r="Q38" i="4"/>
  <c r="W37" i="4"/>
  <c r="V37" i="4"/>
  <c r="S37" i="4"/>
  <c r="R37" i="4"/>
  <c r="Q37" i="4"/>
  <c r="W36" i="4"/>
  <c r="V36" i="4"/>
  <c r="S36" i="4"/>
  <c r="R36" i="4"/>
  <c r="Q36" i="4"/>
  <c r="W35" i="4"/>
  <c r="V35" i="4"/>
  <c r="S35" i="4"/>
  <c r="R35" i="4"/>
  <c r="Q35" i="4"/>
  <c r="W34" i="4"/>
  <c r="V34" i="4"/>
  <c r="S34" i="4"/>
  <c r="R34" i="4"/>
  <c r="Q34" i="4"/>
  <c r="W33" i="4"/>
  <c r="V33" i="4"/>
  <c r="S33" i="4"/>
  <c r="R33" i="4"/>
  <c r="Q33" i="4"/>
  <c r="W32" i="4"/>
  <c r="V32" i="4"/>
  <c r="S32" i="4"/>
  <c r="R32" i="4"/>
  <c r="Q32" i="4"/>
  <c r="W31" i="4"/>
  <c r="V31" i="4"/>
  <c r="S31" i="4"/>
  <c r="R31" i="4"/>
  <c r="Q31" i="4"/>
  <c r="W30" i="4"/>
  <c r="V30" i="4"/>
  <c r="S30" i="4"/>
  <c r="R30" i="4"/>
  <c r="Q30" i="4"/>
  <c r="W29" i="4"/>
  <c r="V29" i="4"/>
  <c r="S29" i="4"/>
  <c r="R29" i="4"/>
  <c r="Q29" i="4"/>
  <c r="W28" i="4"/>
  <c r="V28" i="4"/>
  <c r="S28" i="4"/>
  <c r="R28" i="4"/>
  <c r="X28" i="4" s="1"/>
  <c r="Q28" i="4"/>
  <c r="W27" i="4"/>
  <c r="V27" i="4"/>
  <c r="S27" i="4"/>
  <c r="R27" i="4"/>
  <c r="Q27" i="4"/>
  <c r="W26" i="4"/>
  <c r="V26" i="4"/>
  <c r="S26" i="4"/>
  <c r="R26" i="4"/>
  <c r="Q26" i="4"/>
  <c r="W25" i="4"/>
  <c r="V25" i="4"/>
  <c r="S25" i="4"/>
  <c r="R25" i="4"/>
  <c r="Q25" i="4"/>
  <c r="W24" i="4"/>
  <c r="V24" i="4"/>
  <c r="S24" i="4"/>
  <c r="R24" i="4"/>
  <c r="Q24" i="4"/>
  <c r="W23" i="4"/>
  <c r="V23" i="4"/>
  <c r="S23" i="4"/>
  <c r="R23" i="4"/>
  <c r="Q23" i="4"/>
  <c r="W22" i="4"/>
  <c r="V22" i="4"/>
  <c r="S22" i="4"/>
  <c r="R22" i="4"/>
  <c r="X22" i="4" s="1"/>
  <c r="Q22" i="4"/>
  <c r="W21" i="4"/>
  <c r="V21" i="4"/>
  <c r="S21" i="4"/>
  <c r="R21" i="4"/>
  <c r="Q21" i="4"/>
  <c r="W20" i="4"/>
  <c r="V20" i="4"/>
  <c r="S20" i="4"/>
  <c r="R20" i="4"/>
  <c r="Q20" i="4"/>
  <c r="W19" i="4"/>
  <c r="V19" i="4"/>
  <c r="S19" i="4"/>
  <c r="R19" i="4"/>
  <c r="Q19" i="4"/>
  <c r="W18" i="4"/>
  <c r="V18" i="4"/>
  <c r="S18" i="4"/>
  <c r="R18" i="4"/>
  <c r="Q18" i="4"/>
  <c r="W17" i="4"/>
  <c r="V17" i="4"/>
  <c r="S17" i="4"/>
  <c r="R17" i="4"/>
  <c r="Q17" i="4"/>
  <c r="W16" i="4"/>
  <c r="V16" i="4"/>
  <c r="S16" i="4"/>
  <c r="R16" i="4"/>
  <c r="Q16" i="4"/>
  <c r="W15" i="4"/>
  <c r="V15" i="4"/>
  <c r="S15" i="4"/>
  <c r="R15" i="4"/>
  <c r="Q15" i="4"/>
  <c r="W14" i="4"/>
  <c r="V14" i="4"/>
  <c r="S14" i="4"/>
  <c r="R14" i="4"/>
  <c r="Q14" i="4"/>
  <c r="W13" i="4"/>
  <c r="V13" i="4"/>
  <c r="S13" i="4"/>
  <c r="R13" i="4"/>
  <c r="Q13" i="4"/>
  <c r="W12" i="4"/>
  <c r="AA12" i="4" s="1"/>
  <c r="V12" i="4"/>
  <c r="S12" i="4"/>
  <c r="R12" i="4"/>
  <c r="Q12" i="4"/>
  <c r="W11" i="4"/>
  <c r="V11" i="4"/>
  <c r="S11" i="4"/>
  <c r="R11" i="4"/>
  <c r="Q11" i="4"/>
  <c r="W10" i="4"/>
  <c r="V10" i="4"/>
  <c r="S10" i="4"/>
  <c r="R10" i="4"/>
  <c r="X10" i="4" s="1"/>
  <c r="Q10" i="4"/>
  <c r="W9" i="4"/>
  <c r="V9" i="4"/>
  <c r="S9" i="4"/>
  <c r="R9" i="4"/>
  <c r="Q9" i="4"/>
  <c r="W8" i="4"/>
  <c r="V8" i="4"/>
  <c r="S8" i="4"/>
  <c r="R8" i="4"/>
  <c r="Q8" i="4"/>
  <c r="W7" i="4"/>
  <c r="V7" i="4"/>
  <c r="S7" i="4"/>
  <c r="R7" i="4"/>
  <c r="Q7" i="4"/>
  <c r="W6" i="4"/>
  <c r="V6" i="4"/>
  <c r="S6" i="4"/>
  <c r="R6" i="4"/>
  <c r="Q6" i="4"/>
  <c r="W5" i="4"/>
  <c r="V5" i="4"/>
  <c r="S5" i="4"/>
  <c r="R5" i="4"/>
  <c r="Q5" i="4"/>
  <c r="B5" i="4"/>
  <c r="E5" i="4" s="1"/>
  <c r="W4" i="4"/>
  <c r="V4" i="4"/>
  <c r="S4" i="4"/>
  <c r="K5" i="4" s="1"/>
  <c r="R4" i="4"/>
  <c r="J5" i="4" s="1"/>
  <c r="Q4" i="4"/>
  <c r="F4" i="4"/>
  <c r="D4" i="4" s="1"/>
  <c r="E4" i="4"/>
  <c r="C4" i="4"/>
  <c r="C5" i="4" s="1"/>
  <c r="B4" i="4"/>
  <c r="M91" i="2"/>
  <c r="N91" i="2" s="1"/>
  <c r="M88" i="2"/>
  <c r="N88" i="2" s="1"/>
  <c r="M58" i="2"/>
  <c r="N58" i="2" s="1"/>
  <c r="M55" i="2"/>
  <c r="N55" i="2" s="1"/>
  <c r="M52" i="2"/>
  <c r="N52" i="2" s="1"/>
  <c r="M49" i="2"/>
  <c r="N49" i="2" s="1"/>
  <c r="M46" i="2"/>
  <c r="N46" i="2" s="1"/>
  <c r="M43" i="2"/>
  <c r="N43" i="2" s="1"/>
  <c r="M40" i="2"/>
  <c r="N40" i="2" s="1"/>
  <c r="M37" i="2"/>
  <c r="N37" i="2" s="1"/>
  <c r="M34" i="2"/>
  <c r="N34" i="2" s="1"/>
  <c r="M31" i="2"/>
  <c r="N31" i="2" s="1"/>
  <c r="M28" i="2"/>
  <c r="N28" i="2" s="1"/>
  <c r="M25" i="2"/>
  <c r="N25" i="2" s="1"/>
  <c r="M22" i="2"/>
  <c r="N22" i="2" s="1"/>
  <c r="D16" i="2"/>
  <c r="D15" i="2"/>
  <c r="B15" i="2"/>
  <c r="D14" i="2"/>
  <c r="D13" i="2"/>
  <c r="D12" i="2"/>
  <c r="D11" i="2"/>
  <c r="D10" i="2"/>
  <c r="D9" i="2"/>
  <c r="D8" i="2"/>
  <c r="D7" i="2"/>
  <c r="D3" i="2"/>
  <c r="K83" i="1"/>
  <c r="B16" i="2" s="1"/>
  <c r="K82" i="1"/>
  <c r="M94" i="2" s="1"/>
  <c r="N94" i="2" s="1"/>
  <c r="M81" i="1"/>
  <c r="N81" i="1" s="1"/>
  <c r="K81" i="1"/>
  <c r="M93" i="2" s="1"/>
  <c r="N93" i="2" s="1"/>
  <c r="I80" i="1"/>
  <c r="K80" i="1" s="1"/>
  <c r="M79" i="1"/>
  <c r="N79" i="1" s="1"/>
  <c r="K79" i="1"/>
  <c r="M78" i="1"/>
  <c r="N78" i="1" s="1"/>
  <c r="K78" i="1"/>
  <c r="M90" i="2" s="1"/>
  <c r="N90" i="2" s="1"/>
  <c r="K77" i="1"/>
  <c r="M76" i="1"/>
  <c r="N76" i="1" s="1"/>
  <c r="K76" i="1"/>
  <c r="M75" i="1"/>
  <c r="N75" i="1" s="1"/>
  <c r="K75" i="1"/>
  <c r="B12" i="2" s="1"/>
  <c r="I75" i="1"/>
  <c r="I74" i="1"/>
  <c r="K74" i="1" s="1"/>
  <c r="K73" i="1"/>
  <c r="I73" i="1"/>
  <c r="K72" i="1"/>
  <c r="M84" i="2" s="1"/>
  <c r="N84" i="2" s="1"/>
  <c r="K71" i="1"/>
  <c r="M83" i="2" s="1"/>
  <c r="N83" i="2" s="1"/>
  <c r="M70" i="1"/>
  <c r="N70" i="1" s="1"/>
  <c r="K70" i="1"/>
  <c r="M82" i="2" s="1"/>
  <c r="N82" i="2" s="1"/>
  <c r="K69" i="1"/>
  <c r="M81" i="2" s="1"/>
  <c r="N81" i="2" s="1"/>
  <c r="K68" i="1"/>
  <c r="M80" i="2" s="1"/>
  <c r="N80" i="2" s="1"/>
  <c r="M67" i="1"/>
  <c r="N67" i="1" s="1"/>
  <c r="K67" i="1"/>
  <c r="M79" i="2" s="1"/>
  <c r="N79" i="2" s="1"/>
  <c r="K66" i="1"/>
  <c r="M78" i="2" s="1"/>
  <c r="N78" i="2" s="1"/>
  <c r="K65" i="1"/>
  <c r="M77" i="2" s="1"/>
  <c r="N77" i="2" s="1"/>
  <c r="M64" i="1"/>
  <c r="N64" i="1" s="1"/>
  <c r="K64" i="1"/>
  <c r="M76" i="2" s="1"/>
  <c r="N76" i="2" s="1"/>
  <c r="K63" i="1"/>
  <c r="M75" i="2" s="1"/>
  <c r="N75" i="2" s="1"/>
  <c r="K62" i="1"/>
  <c r="M74" i="2" s="1"/>
  <c r="N74" i="2" s="1"/>
  <c r="M61" i="1"/>
  <c r="N61" i="1" s="1"/>
  <c r="K61" i="1"/>
  <c r="M73" i="2" s="1"/>
  <c r="N73" i="2" s="1"/>
  <c r="K60" i="1"/>
  <c r="M72" i="2" s="1"/>
  <c r="N72" i="2" s="1"/>
  <c r="K59" i="1"/>
  <c r="M71" i="2" s="1"/>
  <c r="N71" i="2" s="1"/>
  <c r="M58" i="1"/>
  <c r="N58" i="1" s="1"/>
  <c r="K58" i="1"/>
  <c r="M70" i="2" s="1"/>
  <c r="N70" i="2" s="1"/>
  <c r="K57" i="1"/>
  <c r="M69" i="2" s="1"/>
  <c r="N69" i="2" s="1"/>
  <c r="K56" i="1"/>
  <c r="M68" i="2" s="1"/>
  <c r="N68" i="2" s="1"/>
  <c r="M55" i="1"/>
  <c r="N55" i="1" s="1"/>
  <c r="K55" i="1"/>
  <c r="M67" i="2" s="1"/>
  <c r="N67" i="2" s="1"/>
  <c r="K54" i="1"/>
  <c r="M66" i="2" s="1"/>
  <c r="N66" i="2" s="1"/>
  <c r="K53" i="1"/>
  <c r="M65" i="2" s="1"/>
  <c r="N65" i="2" s="1"/>
  <c r="I52" i="1"/>
  <c r="K52" i="1" s="1"/>
  <c r="K51" i="1"/>
  <c r="M63" i="2" s="1"/>
  <c r="N63" i="2" s="1"/>
  <c r="I50" i="1"/>
  <c r="K50" i="1" s="1"/>
  <c r="K49" i="1"/>
  <c r="M61" i="2" s="1"/>
  <c r="N61" i="2" s="1"/>
  <c r="I48" i="1"/>
  <c r="K48" i="1" s="1"/>
  <c r="K47" i="1"/>
  <c r="M47" i="1" s="1"/>
  <c r="N47" i="1" s="1"/>
  <c r="M46" i="1"/>
  <c r="N46" i="1" s="1"/>
  <c r="K46" i="1"/>
  <c r="M45" i="1"/>
  <c r="N45" i="1" s="1"/>
  <c r="K45" i="1"/>
  <c r="M57" i="2" s="1"/>
  <c r="N57" i="2" s="1"/>
  <c r="K44" i="1"/>
  <c r="M43" i="1"/>
  <c r="N43" i="1" s="1"/>
  <c r="K43" i="1"/>
  <c r="M42" i="1"/>
  <c r="N42" i="1" s="1"/>
  <c r="K42" i="1"/>
  <c r="M54" i="2" s="1"/>
  <c r="N54" i="2" s="1"/>
  <c r="K41" i="1"/>
  <c r="M40" i="1"/>
  <c r="N40" i="1" s="1"/>
  <c r="K40" i="1"/>
  <c r="M39" i="1"/>
  <c r="N39" i="1" s="1"/>
  <c r="K39" i="1"/>
  <c r="M51" i="2" s="1"/>
  <c r="N51" i="2" s="1"/>
  <c r="K38" i="1"/>
  <c r="M37" i="1"/>
  <c r="N37" i="1" s="1"/>
  <c r="K37" i="1"/>
  <c r="M36" i="1"/>
  <c r="N36" i="1" s="1"/>
  <c r="K36" i="1"/>
  <c r="M48" i="2" s="1"/>
  <c r="N48" i="2" s="1"/>
  <c r="K35" i="1"/>
  <c r="M35" i="1" s="1"/>
  <c r="N35" i="1" s="1"/>
  <c r="M34" i="1"/>
  <c r="N34" i="1" s="1"/>
  <c r="K34" i="1"/>
  <c r="M33" i="1"/>
  <c r="N33" i="1" s="1"/>
  <c r="K33" i="1"/>
  <c r="M45" i="2" s="1"/>
  <c r="N45" i="2" s="1"/>
  <c r="K32" i="1"/>
  <c r="M32" i="1" s="1"/>
  <c r="N32" i="1" s="1"/>
  <c r="M31" i="1"/>
  <c r="N31" i="1" s="1"/>
  <c r="K31" i="1"/>
  <c r="M30" i="1"/>
  <c r="N30" i="1" s="1"/>
  <c r="K30" i="1"/>
  <c r="M42" i="2" s="1"/>
  <c r="N42" i="2" s="1"/>
  <c r="K29" i="1"/>
  <c r="M28" i="1"/>
  <c r="N28" i="1" s="1"/>
  <c r="K28" i="1"/>
  <c r="M27" i="1"/>
  <c r="N27" i="1" s="1"/>
  <c r="K27" i="1"/>
  <c r="M39" i="2" s="1"/>
  <c r="N39" i="2" s="1"/>
  <c r="K26" i="1"/>
  <c r="M25" i="1"/>
  <c r="N25" i="1" s="1"/>
  <c r="K25" i="1"/>
  <c r="M24" i="1"/>
  <c r="N24" i="1" s="1"/>
  <c r="K24" i="1"/>
  <c r="M36" i="2" s="1"/>
  <c r="N36" i="2" s="1"/>
  <c r="K23" i="1"/>
  <c r="B9" i="2" s="1"/>
  <c r="M22" i="1"/>
  <c r="N22" i="1" s="1"/>
  <c r="K22" i="1"/>
  <c r="M21" i="1"/>
  <c r="N21" i="1" s="1"/>
  <c r="K21" i="1"/>
  <c r="M33" i="2" s="1"/>
  <c r="N33" i="2" s="1"/>
  <c r="K20" i="1"/>
  <c r="M19" i="1"/>
  <c r="N19" i="1" s="1"/>
  <c r="K19" i="1"/>
  <c r="M18" i="1"/>
  <c r="N18" i="1" s="1"/>
  <c r="K18" i="1"/>
  <c r="M30" i="2" s="1"/>
  <c r="N30" i="2" s="1"/>
  <c r="K17" i="1"/>
  <c r="B8" i="2" s="1"/>
  <c r="K16" i="1"/>
  <c r="M16" i="1" s="1"/>
  <c r="N16" i="1" s="1"/>
  <c r="M15" i="1"/>
  <c r="N15" i="1" s="1"/>
  <c r="K15" i="1"/>
  <c r="M27" i="2" s="1"/>
  <c r="N27" i="2" s="1"/>
  <c r="K14" i="1"/>
  <c r="M14" i="1" s="1"/>
  <c r="N14" i="1" s="1"/>
  <c r="M13" i="1"/>
  <c r="N13" i="1" s="1"/>
  <c r="K13" i="1"/>
  <c r="M12" i="1"/>
  <c r="N12" i="1" s="1"/>
  <c r="K12" i="1"/>
  <c r="M24" i="2" s="1"/>
  <c r="N24" i="2" s="1"/>
  <c r="K11" i="1"/>
  <c r="M11" i="1" s="1"/>
  <c r="N11" i="1" s="1"/>
  <c r="M10" i="1"/>
  <c r="N10" i="1" s="1"/>
  <c r="K10" i="1"/>
  <c r="M9" i="1"/>
  <c r="N9" i="1" s="1"/>
  <c r="K9" i="1"/>
  <c r="M21" i="2" s="1"/>
  <c r="N21" i="2" s="1"/>
  <c r="AQ998" i="7" l="1"/>
  <c r="AR998" i="7"/>
  <c r="AA1213" i="7"/>
  <c r="AB1213" i="7"/>
  <c r="AA1290" i="7"/>
  <c r="AB1290" i="7"/>
  <c r="D1413" i="7"/>
  <c r="C1413" i="7"/>
  <c r="AA1454" i="7"/>
  <c r="AB1454" i="7"/>
  <c r="AQ1680" i="7"/>
  <c r="AR1680" i="7"/>
  <c r="K1808" i="7"/>
  <c r="L1808" i="7"/>
  <c r="AA2109" i="7"/>
  <c r="AB2109" i="7"/>
  <c r="AI3003" i="7"/>
  <c r="AJ3003" i="7"/>
  <c r="AA70" i="4"/>
  <c r="AA82" i="4"/>
  <c r="AA88" i="4"/>
  <c r="AA94" i="4"/>
  <c r="AA100" i="4"/>
  <c r="AA106" i="4"/>
  <c r="AA118" i="4"/>
  <c r="AA124" i="4"/>
  <c r="C60" i="7"/>
  <c r="AQ90" i="7"/>
  <c r="AB133" i="7"/>
  <c r="AQ315" i="7"/>
  <c r="AB327" i="7"/>
  <c r="AQ351" i="7"/>
  <c r="AB391" i="7"/>
  <c r="AJ465" i="7"/>
  <c r="AI514" i="7"/>
  <c r="AR603" i="7"/>
  <c r="L613" i="7"/>
  <c r="AR635" i="7"/>
  <c r="L645" i="7"/>
  <c r="AR667" i="7"/>
  <c r="T868" i="7"/>
  <c r="S868" i="7"/>
  <c r="R868" i="7" s="1"/>
  <c r="K890" i="7"/>
  <c r="L890" i="7"/>
  <c r="J890" i="7" s="1"/>
  <c r="L977" i="7"/>
  <c r="K977" i="7"/>
  <c r="AA994" i="7"/>
  <c r="AB994" i="7"/>
  <c r="AI1209" i="7"/>
  <c r="AJ1209" i="7"/>
  <c r="C1342" i="7"/>
  <c r="D1342" i="7"/>
  <c r="AA1370" i="7"/>
  <c r="AB1370" i="7"/>
  <c r="AR1529" i="7"/>
  <c r="AQ1529" i="7"/>
  <c r="AR1598" i="7"/>
  <c r="AQ1598" i="7"/>
  <c r="D1792" i="7"/>
  <c r="C1792" i="7"/>
  <c r="B1792" i="7" s="1"/>
  <c r="AQ1876" i="7"/>
  <c r="AR1876" i="7"/>
  <c r="AJ1921" i="7"/>
  <c r="AI1921" i="7"/>
  <c r="AH1921" i="7" s="1"/>
  <c r="AA2040" i="7"/>
  <c r="AB2040" i="7"/>
  <c r="AQ2076" i="7"/>
  <c r="AR2076" i="7"/>
  <c r="AB2483" i="7"/>
  <c r="AA2483" i="7"/>
  <c r="AJ2683" i="7"/>
  <c r="AI2683" i="7"/>
  <c r="AH2683" i="7" s="1"/>
  <c r="AB2841" i="7"/>
  <c r="AA2841" i="7"/>
  <c r="AA864" i="7"/>
  <c r="AB864" i="7"/>
  <c r="L905" i="7"/>
  <c r="K905" i="7"/>
  <c r="L1118" i="7"/>
  <c r="K1118" i="7"/>
  <c r="S1156" i="7"/>
  <c r="T1156" i="7"/>
  <c r="S1203" i="7"/>
  <c r="T1203" i="7"/>
  <c r="AR1255" i="7"/>
  <c r="AQ1255" i="7"/>
  <c r="AQ1669" i="7"/>
  <c r="AR1669" i="7"/>
  <c r="AI1775" i="7"/>
  <c r="AJ1775" i="7"/>
  <c r="K1859" i="7"/>
  <c r="L1859" i="7"/>
  <c r="AQ1967" i="7"/>
  <c r="AR1967" i="7"/>
  <c r="K2109" i="7"/>
  <c r="L2109" i="7"/>
  <c r="L2136" i="7"/>
  <c r="K2136" i="7"/>
  <c r="J2136" i="7" s="1"/>
  <c r="AA2449" i="7"/>
  <c r="AB2449" i="7"/>
  <c r="AQ40" i="7"/>
  <c r="S363" i="7"/>
  <c r="S385" i="7"/>
  <c r="AJ437" i="7"/>
  <c r="AJ483" i="7"/>
  <c r="AI622" i="7"/>
  <c r="AI654" i="7"/>
  <c r="L812" i="7"/>
  <c r="J812" i="7" s="1"/>
  <c r="C819" i="7"/>
  <c r="B819" i="7" s="1"/>
  <c r="K861" i="7"/>
  <c r="L861" i="7"/>
  <c r="AA1356" i="7"/>
  <c r="AB1356" i="7"/>
  <c r="D1425" i="7"/>
  <c r="C1425" i="7"/>
  <c r="T1566" i="7"/>
  <c r="S1566" i="7"/>
  <c r="C1593" i="7"/>
  <c r="D1593" i="7"/>
  <c r="B1593" i="7" s="1"/>
  <c r="S1748" i="7"/>
  <c r="T1748" i="7"/>
  <c r="S1892" i="7"/>
  <c r="T1892" i="7"/>
  <c r="D1914" i="7"/>
  <c r="C1914" i="7"/>
  <c r="B1914" i="7" s="1"/>
  <c r="AI1986" i="7"/>
  <c r="AJ1986" i="7"/>
  <c r="AB2661" i="7"/>
  <c r="AA2661" i="7"/>
  <c r="Z2682" i="7"/>
  <c r="X100" i="4"/>
  <c r="X112" i="4"/>
  <c r="X118" i="4"/>
  <c r="AA121" i="4"/>
  <c r="K72" i="7"/>
  <c r="AQ337" i="7"/>
  <c r="AJ446" i="7"/>
  <c r="AI584" i="7"/>
  <c r="AR619" i="7"/>
  <c r="L629" i="7"/>
  <c r="AR651" i="7"/>
  <c r="L661" i="7"/>
  <c r="AA1016" i="7"/>
  <c r="AB1016" i="7"/>
  <c r="Z1016" i="7" s="1"/>
  <c r="K1140" i="7"/>
  <c r="L1140" i="7"/>
  <c r="AB1469" i="7"/>
  <c r="AA1469" i="7"/>
  <c r="S1626" i="7"/>
  <c r="T1626" i="7"/>
  <c r="S1689" i="7"/>
  <c r="T1689" i="7"/>
  <c r="K1822" i="7"/>
  <c r="L1822" i="7"/>
  <c r="D1888" i="7"/>
  <c r="C1888" i="7"/>
  <c r="B1888" i="7" s="1"/>
  <c r="AJ1935" i="7"/>
  <c r="AI1935" i="7"/>
  <c r="S1978" i="7"/>
  <c r="T1978" i="7"/>
  <c r="T2035" i="7"/>
  <c r="S2035" i="7"/>
  <c r="AQ2109" i="7"/>
  <c r="AR2109" i="7"/>
  <c r="AI2152" i="7"/>
  <c r="AJ2152" i="7"/>
  <c r="AI2886" i="7"/>
  <c r="AJ2886" i="7"/>
  <c r="M5" i="4"/>
  <c r="M6" i="4" s="1"/>
  <c r="AB233" i="7"/>
  <c r="AR295" i="7"/>
  <c r="AB337" i="7"/>
  <c r="T373" i="7"/>
  <c r="C407" i="7"/>
  <c r="B407" i="7" s="1"/>
  <c r="K456" i="7"/>
  <c r="AJ496" i="7"/>
  <c r="T526" i="7"/>
  <c r="C806" i="7"/>
  <c r="B806" i="7" s="1"/>
  <c r="AJ846" i="7"/>
  <c r="AA856" i="7"/>
  <c r="AA947" i="7"/>
  <c r="AB947" i="7"/>
  <c r="AQ1056" i="7"/>
  <c r="AR1056" i="7"/>
  <c r="S1134" i="7"/>
  <c r="T1134" i="7"/>
  <c r="AR1215" i="7"/>
  <c r="AQ1215" i="7"/>
  <c r="AQ1302" i="7"/>
  <c r="AR1302" i="7"/>
  <c r="C1350" i="7"/>
  <c r="D1350" i="7"/>
  <c r="AB1490" i="7"/>
  <c r="AA1490" i="7"/>
  <c r="C1543" i="7"/>
  <c r="D1543" i="7"/>
  <c r="S1580" i="7"/>
  <c r="T1580" i="7"/>
  <c r="S1642" i="7"/>
  <c r="T1642" i="7"/>
  <c r="AB1815" i="7"/>
  <c r="AA1815" i="7"/>
  <c r="Z1815" i="7" s="1"/>
  <c r="D1976" i="7"/>
  <c r="C1976" i="7"/>
  <c r="S2041" i="7"/>
  <c r="T2041" i="7"/>
  <c r="AA2630" i="7"/>
  <c r="AB2630" i="7"/>
  <c r="AA2883" i="7"/>
  <c r="AB2883" i="7"/>
  <c r="AB3011" i="7"/>
  <c r="AA3011" i="7"/>
  <c r="Z3011" i="7" s="1"/>
  <c r="AJ938" i="7"/>
  <c r="AI938" i="7"/>
  <c r="AH938" i="7" s="1"/>
  <c r="D981" i="7"/>
  <c r="C981" i="7"/>
  <c r="B981" i="7" s="1"/>
  <c r="L2017" i="7"/>
  <c r="K2017" i="7"/>
  <c r="J2017" i="7" s="1"/>
  <c r="AR875" i="7"/>
  <c r="AB883" i="7"/>
  <c r="K918" i="7"/>
  <c r="AB950" i="7"/>
  <c r="L967" i="7"/>
  <c r="AA986" i="7"/>
  <c r="S1001" i="7"/>
  <c r="T1040" i="7"/>
  <c r="L1155" i="7"/>
  <c r="J1155" i="7" s="1"/>
  <c r="L1160" i="7"/>
  <c r="AB1165" i="7"/>
  <c r="AR1176" i="7"/>
  <c r="AI1188" i="7"/>
  <c r="AH1188" i="7" s="1"/>
  <c r="Z1414" i="7"/>
  <c r="AQ1414" i="7"/>
  <c r="AB1479" i="7"/>
  <c r="D1506" i="7"/>
  <c r="S1512" i="7"/>
  <c r="AI1618" i="7"/>
  <c r="S1631" i="7"/>
  <c r="R1654" i="7"/>
  <c r="AI1654" i="7"/>
  <c r="S1717" i="7"/>
  <c r="T1741" i="7"/>
  <c r="AI1744" i="7"/>
  <c r="K1829" i="7"/>
  <c r="J1829" i="7" s="1"/>
  <c r="T1883" i="7"/>
  <c r="AQ1893" i="7"/>
  <c r="AR1902" i="7"/>
  <c r="AI1927" i="7"/>
  <c r="AH1927" i="7" s="1"/>
  <c r="C1934" i="7"/>
  <c r="AI1944" i="7"/>
  <c r="K1962" i="7"/>
  <c r="J1962" i="7" s="1"/>
  <c r="T1970" i="7"/>
  <c r="K2003" i="7"/>
  <c r="J2003" i="7" s="1"/>
  <c r="S2039" i="7"/>
  <c r="R2039" i="7" s="1"/>
  <c r="T2080" i="7"/>
  <c r="K2147" i="7"/>
  <c r="J2147" i="7" s="1"/>
  <c r="AA2149" i="7"/>
  <c r="AI2166" i="7"/>
  <c r="AH2166" i="7" s="1"/>
  <c r="AI2274" i="7"/>
  <c r="AH2274" i="7" s="1"/>
  <c r="AJ2302" i="7"/>
  <c r="AI2653" i="7"/>
  <c r="AI2785" i="7"/>
  <c r="AJ2940" i="7"/>
  <c r="AI3072" i="7"/>
  <c r="AH3072" i="7" s="1"/>
  <c r="S1278" i="7"/>
  <c r="AB1308" i="7"/>
  <c r="T1339" i="7"/>
  <c r="AQ1346" i="7"/>
  <c r="AQ1376" i="7"/>
  <c r="AP1376" i="7" s="1"/>
  <c r="D1405" i="7"/>
  <c r="C1441" i="7"/>
  <c r="B1441" i="7" s="1"/>
  <c r="AI1595" i="7"/>
  <c r="AH1595" i="7" s="1"/>
  <c r="C2079" i="7"/>
  <c r="B2079" i="7" s="1"/>
  <c r="AQ2100" i="7"/>
  <c r="C2110" i="7"/>
  <c r="AA2152" i="7"/>
  <c r="AI2172" i="7"/>
  <c r="AH2172" i="7" s="1"/>
  <c r="AI2189" i="7"/>
  <c r="AB2301" i="7"/>
  <c r="AI2366" i="7"/>
  <c r="AH2366" i="7" s="1"/>
  <c r="AB2379" i="7"/>
  <c r="AB2720" i="7"/>
  <c r="AA2865" i="7"/>
  <c r="AI2995" i="7"/>
  <c r="AH2995" i="7" s="1"/>
  <c r="AI3014" i="7"/>
  <c r="AB3025" i="7"/>
  <c r="AR878" i="7"/>
  <c r="AR898" i="7"/>
  <c r="K902" i="7"/>
  <c r="L1019" i="7"/>
  <c r="S1024" i="7"/>
  <c r="K1029" i="7"/>
  <c r="AR1088" i="7"/>
  <c r="K1106" i="7"/>
  <c r="AR1132" i="7"/>
  <c r="AB1325" i="7"/>
  <c r="AQ1396" i="7"/>
  <c r="AA1463" i="7"/>
  <c r="D1485" i="7"/>
  <c r="AQ1515" i="7"/>
  <c r="AQ1570" i="7"/>
  <c r="S1639" i="7"/>
  <c r="S1686" i="7"/>
  <c r="R1686" i="7" s="1"/>
  <c r="S1722" i="7"/>
  <c r="AR1894" i="7"/>
  <c r="C1957" i="7"/>
  <c r="S2027" i="7"/>
  <c r="AB2048" i="7"/>
  <c r="AB2520" i="7"/>
  <c r="AI2692" i="7"/>
  <c r="K872" i="7"/>
  <c r="L885" i="7"/>
  <c r="AA896" i="7"/>
  <c r="AR982" i="7"/>
  <c r="K990" i="7"/>
  <c r="AI1156" i="7"/>
  <c r="AH1156" i="7" s="1"/>
  <c r="AB1248" i="7"/>
  <c r="Z1248" i="7" s="1"/>
  <c r="D1354" i="7"/>
  <c r="D1370" i="7"/>
  <c r="AR1370" i="7"/>
  <c r="AJ1373" i="7"/>
  <c r="S1399" i="7"/>
  <c r="R1399" i="7" s="1"/>
  <c r="AB1421" i="7"/>
  <c r="AA1447" i="7"/>
  <c r="S1474" i="7"/>
  <c r="R1474" i="7" s="1"/>
  <c r="L1483" i="7"/>
  <c r="AQ1543" i="7"/>
  <c r="T1576" i="7"/>
  <c r="AI1583" i="7"/>
  <c r="AH1583" i="7" s="1"/>
  <c r="AI1627" i="7"/>
  <c r="AI1671" i="7"/>
  <c r="T1727" i="7"/>
  <c r="S1745" i="7"/>
  <c r="AJ1877" i="7"/>
  <c r="AJ1892" i="7"/>
  <c r="K1898" i="7"/>
  <c r="AQ1916" i="7"/>
  <c r="AP1916" i="7" s="1"/>
  <c r="AQ1952" i="7"/>
  <c r="L1955" i="7"/>
  <c r="C1959" i="7"/>
  <c r="B1959" i="7" s="1"/>
  <c r="AQ1966" i="7"/>
  <c r="AP1966" i="7" s="1"/>
  <c r="L1968" i="7"/>
  <c r="AB2067" i="7"/>
  <c r="AQ2071" i="7"/>
  <c r="AP2071" i="7" s="1"/>
  <c r="T2086" i="7"/>
  <c r="AJ2269" i="7"/>
  <c r="AI2346" i="7"/>
  <c r="AA2425" i="7"/>
  <c r="Z2425" i="7" s="1"/>
  <c r="AB2775" i="7"/>
  <c r="AA2806" i="7"/>
  <c r="AA2966" i="7"/>
  <c r="Z2966" i="7" s="1"/>
  <c r="T126" i="7"/>
  <c r="AB198" i="7"/>
  <c r="AQ233" i="7"/>
  <c r="T267" i="7"/>
  <c r="S372" i="7"/>
  <c r="AQ381" i="7"/>
  <c r="AI397" i="7"/>
  <c r="AB406" i="7"/>
  <c r="T408" i="7"/>
  <c r="L411" i="7"/>
  <c r="L442" i="7"/>
  <c r="AJ463" i="7"/>
  <c r="L493" i="7"/>
  <c r="AQ506" i="7"/>
  <c r="AR506" i="7"/>
  <c r="AJ517" i="7"/>
  <c r="AI517" i="7"/>
  <c r="S96" i="7"/>
  <c r="AB151" i="7"/>
  <c r="AQ178" i="7"/>
  <c r="AQ206" i="7"/>
  <c r="S274" i="7"/>
  <c r="AQ516" i="7"/>
  <c r="AR516" i="7"/>
  <c r="L528" i="7"/>
  <c r="K528" i="7"/>
  <c r="AA67" i="4"/>
  <c r="AA73" i="4"/>
  <c r="AA79" i="4"/>
  <c r="AA85" i="4"/>
  <c r="AA91" i="4"/>
  <c r="AA103" i="4"/>
  <c r="AA109" i="4"/>
  <c r="AQ109" i="7"/>
  <c r="T133" i="7"/>
  <c r="AB159" i="7"/>
  <c r="S212" i="7"/>
  <c r="S242" i="7"/>
  <c r="S279" i="7"/>
  <c r="AB300" i="7"/>
  <c r="S360" i="7"/>
  <c r="T375" i="7"/>
  <c r="AI426" i="7"/>
  <c r="AI447" i="7"/>
  <c r="AJ472" i="7"/>
  <c r="AA90" i="4"/>
  <c r="AA102" i="4"/>
  <c r="AA108" i="4"/>
  <c r="D33" i="7"/>
  <c r="AQ52" i="7"/>
  <c r="K55" i="7"/>
  <c r="AQ78" i="7"/>
  <c r="S118" i="7"/>
  <c r="R118" i="7" s="1"/>
  <c r="T182" i="7"/>
  <c r="AQ217" i="7"/>
  <c r="S283" i="7"/>
  <c r="AQ322" i="7"/>
  <c r="AQ342" i="7"/>
  <c r="K500" i="7"/>
  <c r="L500" i="7"/>
  <c r="M7" i="4"/>
  <c r="T138" i="7"/>
  <c r="T227" i="7"/>
  <c r="T259" i="7"/>
  <c r="T292" i="7"/>
  <c r="AQ316" i="7"/>
  <c r="AB331" i="7"/>
  <c r="T388" i="7"/>
  <c r="K441" i="7"/>
  <c r="AA76" i="4"/>
  <c r="K64" i="7"/>
  <c r="AQ91" i="7"/>
  <c r="AI128" i="7"/>
  <c r="AH128" i="7" s="1"/>
  <c r="AQ318" i="7"/>
  <c r="T328" i="7"/>
  <c r="AQ336" i="7"/>
  <c r="S351" i="7"/>
  <c r="R351" i="7" s="1"/>
  <c r="L462" i="7"/>
  <c r="AI486" i="7"/>
  <c r="L605" i="7"/>
  <c r="L621" i="7"/>
  <c r="L637" i="7"/>
  <c r="L653" i="7"/>
  <c r="L669" i="7"/>
  <c r="T784" i="7"/>
  <c r="L843" i="7"/>
  <c r="L857" i="7"/>
  <c r="S862" i="7"/>
  <c r="R862" i="7" s="1"/>
  <c r="K863" i="7"/>
  <c r="C873" i="7"/>
  <c r="B873" i="7" s="1"/>
  <c r="L878" i="7"/>
  <c r="K898" i="7"/>
  <c r="L904" i="7"/>
  <c r="AA905" i="7"/>
  <c r="K933" i="7"/>
  <c r="AJ988" i="7"/>
  <c r="L995" i="7"/>
  <c r="S1011" i="7"/>
  <c r="AB1046" i="7"/>
  <c r="Z1046" i="7" s="1"/>
  <c r="AR1048" i="7"/>
  <c r="S1103" i="7"/>
  <c r="R1103" i="7" s="1"/>
  <c r="L1109" i="7"/>
  <c r="T1147" i="7"/>
  <c r="AR1155" i="7"/>
  <c r="AR1158" i="7"/>
  <c r="AI1159" i="7"/>
  <c r="AH1159" i="7" s="1"/>
  <c r="AR1165" i="7"/>
  <c r="L1169" i="7"/>
  <c r="AJ1200" i="7"/>
  <c r="AJ1206" i="7"/>
  <c r="AQ1209" i="7"/>
  <c r="AQ1214" i="7"/>
  <c r="AP1214" i="7" s="1"/>
  <c r="T1223" i="7"/>
  <c r="R1223" i="7" s="1"/>
  <c r="AQ1256" i="7"/>
  <c r="AB1291" i="7"/>
  <c r="AR1293" i="7"/>
  <c r="AB1302" i="7"/>
  <c r="AB1323" i="7"/>
  <c r="T1350" i="7"/>
  <c r="AR1360" i="7"/>
  <c r="D1381" i="7"/>
  <c r="AQ1384" i="7"/>
  <c r="L1445" i="7"/>
  <c r="AB1445" i="7"/>
  <c r="D1453" i="7"/>
  <c r="AA1471" i="7"/>
  <c r="D1494" i="7"/>
  <c r="S1537" i="7"/>
  <c r="R1537" i="7" s="1"/>
  <c r="AQ1546" i="7"/>
  <c r="S1575" i="7"/>
  <c r="S1584" i="7"/>
  <c r="R1584" i="7" s="1"/>
  <c r="AI1585" i="7"/>
  <c r="AH1585" i="7" s="1"/>
  <c r="S1597" i="7"/>
  <c r="S1606" i="7"/>
  <c r="AI1608" i="7"/>
  <c r="S1616" i="7"/>
  <c r="S1624" i="7"/>
  <c r="T1630" i="7"/>
  <c r="AI1631" i="7"/>
  <c r="AH1631" i="7" s="1"/>
  <c r="AQ1651" i="7"/>
  <c r="AR1651" i="7"/>
  <c r="AJ1714" i="7"/>
  <c r="AI1714" i="7"/>
  <c r="AJ1736" i="7"/>
  <c r="AI1736" i="7"/>
  <c r="K1768" i="7"/>
  <c r="L1768" i="7"/>
  <c r="AI1804" i="7"/>
  <c r="AJ1804" i="7"/>
  <c r="AQ1889" i="7"/>
  <c r="AR1889" i="7"/>
  <c r="D1939" i="7"/>
  <c r="C1939" i="7"/>
  <c r="L1981" i="7"/>
  <c r="K1981" i="7"/>
  <c r="J1981" i="7" s="1"/>
  <c r="L2013" i="7"/>
  <c r="K2013" i="7"/>
  <c r="J2013" i="7" s="1"/>
  <c r="AQ2031" i="7"/>
  <c r="AR2031" i="7"/>
  <c r="T793" i="7"/>
  <c r="K801" i="7"/>
  <c r="J801" i="7" s="1"/>
  <c r="C808" i="7"/>
  <c r="B808" i="7" s="1"/>
  <c r="AR825" i="7"/>
  <c r="AP825" i="7" s="1"/>
  <c r="L830" i="7"/>
  <c r="AB835" i="7"/>
  <c r="S837" i="7"/>
  <c r="AA938" i="7"/>
  <c r="Z938" i="7" s="1"/>
  <c r="L950" i="7"/>
  <c r="AB958" i="7"/>
  <c r="AR980" i="7"/>
  <c r="K981" i="7"/>
  <c r="AR1026" i="7"/>
  <c r="S1087" i="7"/>
  <c r="R1087" i="7" s="1"/>
  <c r="AI1122" i="7"/>
  <c r="AH1122" i="7" s="1"/>
  <c r="AB1129" i="7"/>
  <c r="AB1146" i="7"/>
  <c r="L1151" i="7"/>
  <c r="T1178" i="7"/>
  <c r="AQ1280" i="7"/>
  <c r="AB1293" i="7"/>
  <c r="D1340" i="7"/>
  <c r="D1382" i="7"/>
  <c r="AA1396" i="7"/>
  <c r="L1408" i="7"/>
  <c r="AQ1417" i="7"/>
  <c r="AQ1640" i="7"/>
  <c r="AR1640" i="7"/>
  <c r="S1690" i="7"/>
  <c r="T1690" i="7"/>
  <c r="L1938" i="7"/>
  <c r="K1938" i="7"/>
  <c r="T1979" i="7"/>
  <c r="S1979" i="7"/>
  <c r="R1979" i="7" s="1"/>
  <c r="T2045" i="7"/>
  <c r="S2045" i="7"/>
  <c r="T796" i="7"/>
  <c r="L848" i="7"/>
  <c r="J848" i="7" s="1"/>
  <c r="C849" i="7"/>
  <c r="B849" i="7" s="1"/>
  <c r="AR849" i="7"/>
  <c r="C855" i="7"/>
  <c r="B855" i="7" s="1"/>
  <c r="AB867" i="7"/>
  <c r="K880" i="7"/>
  <c r="AR883" i="7"/>
  <c r="L899" i="7"/>
  <c r="L922" i="7"/>
  <c r="AI934" i="7"/>
  <c r="K957" i="7"/>
  <c r="AA992" i="7"/>
  <c r="L998" i="7"/>
  <c r="AR1016" i="7"/>
  <c r="L1023" i="7"/>
  <c r="T1120" i="7"/>
  <c r="AB1138" i="7"/>
  <c r="T1140" i="7"/>
  <c r="S1212" i="7"/>
  <c r="R1212" i="7" s="1"/>
  <c r="K1214" i="7"/>
  <c r="J1214" i="7" s="1"/>
  <c r="AR1217" i="7"/>
  <c r="AQ1230" i="7"/>
  <c r="T1262" i="7"/>
  <c r="AB1280" i="7"/>
  <c r="AB1304" i="7"/>
  <c r="AB1326" i="7"/>
  <c r="L1437" i="7"/>
  <c r="AA1457" i="7"/>
  <c r="L1460" i="7"/>
  <c r="AB1474" i="7"/>
  <c r="L1525" i="7"/>
  <c r="S1556" i="7"/>
  <c r="S1578" i="7"/>
  <c r="AI1582" i="7"/>
  <c r="AH1582" i="7" s="1"/>
  <c r="S1593" i="7"/>
  <c r="R1593" i="7" s="1"/>
  <c r="AJ1662" i="7"/>
  <c r="AI1662" i="7"/>
  <c r="S1672" i="7"/>
  <c r="T1672" i="7"/>
  <c r="S1713" i="7"/>
  <c r="T1713" i="7"/>
  <c r="S1756" i="7"/>
  <c r="T1756" i="7"/>
  <c r="R1756" i="7" s="1"/>
  <c r="AI1872" i="7"/>
  <c r="AJ1872" i="7"/>
  <c r="AI1886" i="7"/>
  <c r="AJ1886" i="7"/>
  <c r="AR1900" i="7"/>
  <c r="AQ1900" i="7"/>
  <c r="AP1900" i="7" s="1"/>
  <c r="L1925" i="7"/>
  <c r="K1925" i="7"/>
  <c r="L945" i="7"/>
  <c r="C953" i="7"/>
  <c r="B953" i="7" s="1"/>
  <c r="L979" i="7"/>
  <c r="K983" i="7"/>
  <c r="AR1021" i="7"/>
  <c r="K1024" i="7"/>
  <c r="AB1038" i="7"/>
  <c r="AB1066" i="7"/>
  <c r="Z1066" i="7" s="1"/>
  <c r="L1080" i="7"/>
  <c r="T1090" i="7"/>
  <c r="R1090" i="7" s="1"/>
  <c r="AB1149" i="7"/>
  <c r="AB1167" i="7"/>
  <c r="T1185" i="7"/>
  <c r="S1201" i="7"/>
  <c r="AI1201" i="7"/>
  <c r="AQ1218" i="7"/>
  <c r="AP1218" i="7" s="1"/>
  <c r="S1249" i="7"/>
  <c r="AB1294" i="7"/>
  <c r="AB1331" i="7"/>
  <c r="AB1342" i="7"/>
  <c r="D1346" i="7"/>
  <c r="T1347" i="7"/>
  <c r="D1351" i="7"/>
  <c r="AB1376" i="7"/>
  <c r="AQ1378" i="7"/>
  <c r="AP1378" i="7" s="1"/>
  <c r="C1389" i="7"/>
  <c r="D1397" i="7"/>
  <c r="AB1405" i="7"/>
  <c r="AQ1426" i="7"/>
  <c r="AB1442" i="7"/>
  <c r="C1477" i="7"/>
  <c r="AQ1482" i="7"/>
  <c r="AB1487" i="7"/>
  <c r="S1491" i="7"/>
  <c r="D1508" i="7"/>
  <c r="L1513" i="7"/>
  <c r="AA1514" i="7"/>
  <c r="S1516" i="7"/>
  <c r="S1543" i="7"/>
  <c r="R1543" i="7" s="1"/>
  <c r="L1544" i="7"/>
  <c r="AA1549" i="7"/>
  <c r="AQ1561" i="7"/>
  <c r="AQ1600" i="7"/>
  <c r="AI1604" i="7"/>
  <c r="AH1604" i="7" s="1"/>
  <c r="AQ1610" i="7"/>
  <c r="AQ1632" i="7"/>
  <c r="T1645" i="7"/>
  <c r="AI1650" i="7"/>
  <c r="S1657" i="7"/>
  <c r="T1657" i="7"/>
  <c r="AR1658" i="7"/>
  <c r="S1684" i="7"/>
  <c r="R1684" i="7" s="1"/>
  <c r="T1684" i="7"/>
  <c r="AQ1718" i="7"/>
  <c r="AR1718" i="7"/>
  <c r="AI1845" i="7"/>
  <c r="AJ1845" i="7"/>
  <c r="D1920" i="7"/>
  <c r="C1920" i="7"/>
  <c r="AQ1937" i="7"/>
  <c r="AR1937" i="7"/>
  <c r="T1992" i="7"/>
  <c r="S1992" i="7"/>
  <c r="AI592" i="7"/>
  <c r="AR611" i="7"/>
  <c r="AI614" i="7"/>
  <c r="AR627" i="7"/>
  <c r="AI630" i="7"/>
  <c r="AR643" i="7"/>
  <c r="AI646" i="7"/>
  <c r="AR659" i="7"/>
  <c r="AI662" i="7"/>
  <c r="T775" i="7"/>
  <c r="K816" i="7"/>
  <c r="AA816" i="7"/>
  <c r="L822" i="7"/>
  <c r="C829" i="7"/>
  <c r="B829" i="7" s="1"/>
  <c r="AR831" i="7"/>
  <c r="L836" i="7"/>
  <c r="S860" i="7"/>
  <c r="R860" i="7" s="1"/>
  <c r="S865" i="7"/>
  <c r="R865" i="7" s="1"/>
  <c r="AB868" i="7"/>
  <c r="AI876" i="7"/>
  <c r="AH876" i="7" s="1"/>
  <c r="K882" i="7"/>
  <c r="AR887" i="7"/>
  <c r="AI890" i="7"/>
  <c r="AH890" i="7" s="1"/>
  <c r="L912" i="7"/>
  <c r="AB919" i="7"/>
  <c r="Z919" i="7" s="1"/>
  <c r="AI924" i="7"/>
  <c r="AH924" i="7" s="1"/>
  <c r="AA941" i="7"/>
  <c r="AJ960" i="7"/>
  <c r="K986" i="7"/>
  <c r="K999" i="7"/>
  <c r="AB1000" i="7"/>
  <c r="T1003" i="7"/>
  <c r="T1018" i="7"/>
  <c r="AB1050" i="7"/>
  <c r="S1053" i="7"/>
  <c r="R1053" i="7" s="1"/>
  <c r="K1058" i="7"/>
  <c r="T1098" i="7"/>
  <c r="R1098" i="7" s="1"/>
  <c r="S1117" i="7"/>
  <c r="T1125" i="7"/>
  <c r="T1144" i="7"/>
  <c r="AB1156" i="7"/>
  <c r="AR1156" i="7"/>
  <c r="T1171" i="7"/>
  <c r="AB1182" i="7"/>
  <c r="AI1195" i="7"/>
  <c r="AH1195" i="7" s="1"/>
  <c r="T1209" i="7"/>
  <c r="AQ1236" i="7"/>
  <c r="AQ1253" i="7"/>
  <c r="AQ1271" i="7"/>
  <c r="AB1299" i="7"/>
  <c r="AB1310" i="7"/>
  <c r="AB1335" i="7"/>
  <c r="T1349" i="7"/>
  <c r="D1357" i="7"/>
  <c r="T1359" i="7"/>
  <c r="D1363" i="7"/>
  <c r="AR1365" i="7"/>
  <c r="C1391" i="7"/>
  <c r="AQ1393" i="7"/>
  <c r="AB1406" i="7"/>
  <c r="L1417" i="7"/>
  <c r="D1420" i="7"/>
  <c r="S1423" i="7"/>
  <c r="R1423" i="7" s="1"/>
  <c r="L1441" i="7"/>
  <c r="L1446" i="7"/>
  <c r="AA1448" i="7"/>
  <c r="AA1531" i="7"/>
  <c r="S1572" i="7"/>
  <c r="AI1591" i="7"/>
  <c r="AH1591" i="7" s="1"/>
  <c r="AQ1595" i="7"/>
  <c r="AR1602" i="7"/>
  <c r="S1613" i="7"/>
  <c r="AQ1620" i="7"/>
  <c r="AR1627" i="7"/>
  <c r="T1636" i="7"/>
  <c r="S1636" i="7"/>
  <c r="T1637" i="7"/>
  <c r="AR1666" i="7"/>
  <c r="AQ1666" i="7"/>
  <c r="S1668" i="7"/>
  <c r="R1668" i="7" s="1"/>
  <c r="T1707" i="7"/>
  <c r="S1707" i="7"/>
  <c r="AI1793" i="7"/>
  <c r="AJ1793" i="7"/>
  <c r="S1868" i="7"/>
  <c r="T1868" i="7"/>
  <c r="AQ1973" i="7"/>
  <c r="AR1973" i="7"/>
  <c r="T778" i="7"/>
  <c r="L810" i="7"/>
  <c r="AA813" i="7"/>
  <c r="AR815" i="7"/>
  <c r="S819" i="7"/>
  <c r="R819" i="7" s="1"/>
  <c r="S838" i="7"/>
  <c r="R838" i="7" s="1"/>
  <c r="S848" i="7"/>
  <c r="R848" i="7" s="1"/>
  <c r="AI849" i="7"/>
  <c r="AH849" i="7" s="1"/>
  <c r="C852" i="7"/>
  <c r="B852" i="7" s="1"/>
  <c r="K932" i="7"/>
  <c r="K940" i="7"/>
  <c r="AI947" i="7"/>
  <c r="AH947" i="7" s="1"/>
  <c r="AR950" i="7"/>
  <c r="AA956" i="7"/>
  <c r="K965" i="7"/>
  <c r="AA966" i="7"/>
  <c r="Z966" i="7" s="1"/>
  <c r="T967" i="7"/>
  <c r="AA974" i="7"/>
  <c r="Z974" i="7" s="1"/>
  <c r="AB1028" i="7"/>
  <c r="Z1028" i="7" s="1"/>
  <c r="AR1029" i="7"/>
  <c r="AB1041" i="7"/>
  <c r="AB1074" i="7"/>
  <c r="Z1074" i="7" s="1"/>
  <c r="L1133" i="7"/>
  <c r="AB1143" i="7"/>
  <c r="J1177" i="7"/>
  <c r="T1191" i="7"/>
  <c r="AQ1245" i="7"/>
  <c r="AB1319" i="7"/>
  <c r="D1339" i="7"/>
  <c r="T1369" i="7"/>
  <c r="AB1371" i="7"/>
  <c r="AB1400" i="7"/>
  <c r="AQ1402" i="7"/>
  <c r="C1451" i="7"/>
  <c r="L1459" i="7"/>
  <c r="C1512" i="7"/>
  <c r="AQ1566" i="7"/>
  <c r="T1574" i="7"/>
  <c r="AI1584" i="7"/>
  <c r="AH1584" i="7" s="1"/>
  <c r="D1587" i="7"/>
  <c r="B1587" i="7" s="1"/>
  <c r="AI1607" i="7"/>
  <c r="AH1607" i="7" s="1"/>
  <c r="T1614" i="7"/>
  <c r="T1628" i="7"/>
  <c r="S1678" i="7"/>
  <c r="T1678" i="7"/>
  <c r="R1678" i="7" s="1"/>
  <c r="AJ1749" i="7"/>
  <c r="AI1749" i="7"/>
  <c r="K1877" i="7"/>
  <c r="L1877" i="7"/>
  <c r="AR1914" i="7"/>
  <c r="AQ1914" i="7"/>
  <c r="AA2052" i="7"/>
  <c r="AB2052" i="7"/>
  <c r="C2063" i="7"/>
  <c r="D2063" i="7"/>
  <c r="R1677" i="7"/>
  <c r="K2073" i="7"/>
  <c r="AQ2090" i="7"/>
  <c r="AI2093" i="7"/>
  <c r="K2099" i="7"/>
  <c r="AQ2108" i="7"/>
  <c r="AI2125" i="7"/>
  <c r="AH2125" i="7" s="1"/>
  <c r="AB2128" i="7"/>
  <c r="AQ2138" i="7"/>
  <c r="AB2167" i="7"/>
  <c r="AI2175" i="7"/>
  <c r="AH2175" i="7" s="1"/>
  <c r="AI2208" i="7"/>
  <c r="AJ2282" i="7"/>
  <c r="AI2345" i="7"/>
  <c r="AI2381" i="7"/>
  <c r="AB2481" i="7"/>
  <c r="AA2602" i="7"/>
  <c r="AB2660" i="7"/>
  <c r="AA2667" i="7"/>
  <c r="AB2672" i="7"/>
  <c r="AB2749" i="7"/>
  <c r="AB2752" i="7"/>
  <c r="AI2779" i="7"/>
  <c r="AA2791" i="7"/>
  <c r="AA2833" i="7"/>
  <c r="AI2887" i="7"/>
  <c r="AH2887" i="7" s="1"/>
  <c r="AJ2922" i="7"/>
  <c r="AB2953" i="7"/>
  <c r="Z2953" i="7" s="1"/>
  <c r="AI2955" i="7"/>
  <c r="AB2958" i="7"/>
  <c r="AI2962" i="7"/>
  <c r="AH2962" i="7" s="1"/>
  <c r="AA2964" i="7"/>
  <c r="AB3031" i="7"/>
  <c r="AJ3035" i="7"/>
  <c r="AI3038" i="7"/>
  <c r="AJ3049" i="7"/>
  <c r="AI1879" i="7"/>
  <c r="AH1892" i="7"/>
  <c r="AI1913" i="7"/>
  <c r="K1928" i="7"/>
  <c r="K2007" i="7"/>
  <c r="J2007" i="7" s="1"/>
  <c r="K2021" i="7"/>
  <c r="J2021" i="7" s="1"/>
  <c r="AA2021" i="7"/>
  <c r="Z2021" i="7" s="1"/>
  <c r="AB2039" i="7"/>
  <c r="AB2054" i="7"/>
  <c r="AR2062" i="7"/>
  <c r="AA2098" i="7"/>
  <c r="K2100" i="7"/>
  <c r="J2100" i="7" s="1"/>
  <c r="C2102" i="7"/>
  <c r="B2102" i="7" s="1"/>
  <c r="L2151" i="7"/>
  <c r="AB2364" i="7"/>
  <c r="Z2865" i="7"/>
  <c r="AQ1642" i="7"/>
  <c r="AQ1662" i="7"/>
  <c r="AQ1714" i="7"/>
  <c r="AR1724" i="7"/>
  <c r="AQ1736" i="7"/>
  <c r="C1763" i="7"/>
  <c r="B1763" i="7" s="1"/>
  <c r="AA1803" i="7"/>
  <c r="Z1803" i="7" s="1"/>
  <c r="L1827" i="7"/>
  <c r="J1827" i="7" s="1"/>
  <c r="C1834" i="7"/>
  <c r="B1834" i="7" s="1"/>
  <c r="AR1849" i="7"/>
  <c r="L1853" i="7"/>
  <c r="C1855" i="7"/>
  <c r="K1874" i="7"/>
  <c r="AJ1899" i="7"/>
  <c r="AH1899" i="7" s="1"/>
  <c r="K1937" i="7"/>
  <c r="C1938" i="7"/>
  <c r="B1938" i="7" s="1"/>
  <c r="K1940" i="7"/>
  <c r="J1940" i="7" s="1"/>
  <c r="C1949" i="7"/>
  <c r="AQ1959" i="7"/>
  <c r="AP1959" i="7" s="1"/>
  <c r="K1965" i="7"/>
  <c r="S1986" i="7"/>
  <c r="K1990" i="7"/>
  <c r="J1990" i="7" s="1"/>
  <c r="AA2022" i="7"/>
  <c r="Z2022" i="7" s="1"/>
  <c r="T2024" i="7"/>
  <c r="Z2040" i="7"/>
  <c r="R2041" i="7"/>
  <c r="T2049" i="7"/>
  <c r="AB2056" i="7"/>
  <c r="AR2074" i="7"/>
  <c r="AP2074" i="7" s="1"/>
  <c r="L2089" i="7"/>
  <c r="C2111" i="7"/>
  <c r="B2111" i="7" s="1"/>
  <c r="AJ2355" i="7"/>
  <c r="Z2379" i="7"/>
  <c r="AB2511" i="7"/>
  <c r="AJ2527" i="7"/>
  <c r="AJ2764" i="7"/>
  <c r="AJ2781" i="7"/>
  <c r="AH2781" i="7" s="1"/>
  <c r="AJ2784" i="7"/>
  <c r="AH2784" i="7" s="1"/>
  <c r="AI2786" i="7"/>
  <c r="AH2786" i="7" s="1"/>
  <c r="AJ2791" i="7"/>
  <c r="AA2818" i="7"/>
  <c r="Z2818" i="7" s="1"/>
  <c r="AI2864" i="7"/>
  <c r="AH2864" i="7" s="1"/>
  <c r="AB2955" i="7"/>
  <c r="AB2982" i="7"/>
  <c r="AR1639" i="7"/>
  <c r="AQ1644" i="7"/>
  <c r="AQ1650" i="7"/>
  <c r="S1665" i="7"/>
  <c r="AR1676" i="7"/>
  <c r="AR1698" i="7"/>
  <c r="S1738" i="7"/>
  <c r="T1751" i="7"/>
  <c r="AJ1802" i="7"/>
  <c r="AJ1883" i="7"/>
  <c r="AJ2212" i="7"/>
  <c r="AB2307" i="7"/>
  <c r="AB2403" i="7"/>
  <c r="Z2403" i="7" s="1"/>
  <c r="AJ2416" i="7"/>
  <c r="AJ2430" i="7"/>
  <c r="AA2442" i="7"/>
  <c r="AI2650" i="7"/>
  <c r="AI2656" i="7"/>
  <c r="AH2656" i="7" s="1"/>
  <c r="AI2861" i="7"/>
  <c r="AB2900" i="7"/>
  <c r="AI1653" i="7"/>
  <c r="T1666" i="7"/>
  <c r="AI1672" i="7"/>
  <c r="S1704" i="7"/>
  <c r="R1704" i="7" s="1"/>
  <c r="AI1713" i="7"/>
  <c r="AR1729" i="7"/>
  <c r="S1746" i="7"/>
  <c r="R1746" i="7" s="1"/>
  <c r="AR1752" i="7"/>
  <c r="T1786" i="7"/>
  <c r="AA1799" i="7"/>
  <c r="Z1799" i="7" s="1"/>
  <c r="AR1864" i="7"/>
  <c r="AJ1868" i="7"/>
  <c r="K1890" i="7"/>
  <c r="AR1931" i="7"/>
  <c r="AI1933" i="7"/>
  <c r="AH1933" i="7" s="1"/>
  <c r="AR1956" i="7"/>
  <c r="K1957" i="7"/>
  <c r="K1995" i="7"/>
  <c r="J1995" i="7" s="1"/>
  <c r="S2021" i="7"/>
  <c r="R2021" i="7" s="1"/>
  <c r="AA2038" i="7"/>
  <c r="T2043" i="7"/>
  <c r="S2054" i="7"/>
  <c r="R2054" i="7" s="1"/>
  <c r="AR2077" i="7"/>
  <c r="AP2077" i="7" s="1"/>
  <c r="AI2092" i="7"/>
  <c r="AH2092" i="7" s="1"/>
  <c r="AA2094" i="7"/>
  <c r="C2104" i="7"/>
  <c r="AB2292" i="7"/>
  <c r="AB2302" i="7"/>
  <c r="AI2303" i="7"/>
  <c r="AH2303" i="7" s="1"/>
  <c r="AJ2347" i="7"/>
  <c r="AJ2394" i="7"/>
  <c r="AH2394" i="7" s="1"/>
  <c r="AJ2436" i="7"/>
  <c r="AB2477" i="7"/>
  <c r="Z2477" i="7" s="1"/>
  <c r="AI2482" i="7"/>
  <c r="AH2482" i="7" s="1"/>
  <c r="AB2648" i="7"/>
  <c r="AB2688" i="7"/>
  <c r="AI2710" i="7"/>
  <c r="AJ2716" i="7"/>
  <c r="AH2716" i="7" s="1"/>
  <c r="AI2738" i="7"/>
  <c r="AA2836" i="7"/>
  <c r="Z2836" i="7" s="1"/>
  <c r="AA2909" i="7"/>
  <c r="AA2972" i="7"/>
  <c r="Z2972" i="7" s="1"/>
  <c r="AA4" i="4"/>
  <c r="AQ24" i="7"/>
  <c r="AP24" i="7" s="1"/>
  <c r="L59" i="7"/>
  <c r="J64" i="7"/>
  <c r="K65" i="7"/>
  <c r="AQ80" i="7"/>
  <c r="S110" i="7"/>
  <c r="AQ118" i="7"/>
  <c r="AP118" i="7" s="1"/>
  <c r="T153" i="7"/>
  <c r="AQ163" i="7"/>
  <c r="AP163" i="7" s="1"/>
  <c r="R180" i="7"/>
  <c r="AR198" i="7"/>
  <c r="AB210" i="7"/>
  <c r="AQ214" i="7"/>
  <c r="T247" i="7"/>
  <c r="AQ252" i="7"/>
  <c r="AP252" i="7" s="1"/>
  <c r="T268" i="7"/>
  <c r="T280" i="7"/>
  <c r="AB291" i="7"/>
  <c r="AH483" i="7"/>
  <c r="Z950" i="7"/>
  <c r="AA1044" i="7"/>
  <c r="AB1044" i="7"/>
  <c r="S1054" i="7"/>
  <c r="T1054" i="7"/>
  <c r="AQ1074" i="7"/>
  <c r="AR1074" i="7"/>
  <c r="AQ1077" i="7"/>
  <c r="AR1077" i="7"/>
  <c r="J1080" i="7"/>
  <c r="K1084" i="7"/>
  <c r="L1084" i="7"/>
  <c r="K1100" i="7"/>
  <c r="L1100" i="7"/>
  <c r="AJ1192" i="7"/>
  <c r="AI1192" i="7"/>
  <c r="AA1296" i="7"/>
  <c r="AB1296" i="7"/>
  <c r="AA1332" i="7"/>
  <c r="AB1332" i="7"/>
  <c r="C1352" i="7"/>
  <c r="D1352" i="7"/>
  <c r="AA1362" i="7"/>
  <c r="AB1362" i="7"/>
  <c r="C1399" i="7"/>
  <c r="D1399" i="7"/>
  <c r="B1399" i="7" s="1"/>
  <c r="AB1443" i="7"/>
  <c r="AA1443" i="7"/>
  <c r="AB1465" i="7"/>
  <c r="AA1465" i="7"/>
  <c r="AA1466" i="7"/>
  <c r="AB1466" i="7"/>
  <c r="T1565" i="7"/>
  <c r="S1565" i="7"/>
  <c r="AQ1571" i="7"/>
  <c r="AR1571" i="7"/>
  <c r="T1620" i="7"/>
  <c r="S1620" i="7"/>
  <c r="T1634" i="7"/>
  <c r="S1634" i="7"/>
  <c r="AJ1741" i="7"/>
  <c r="AI1741" i="7"/>
  <c r="AQ1746" i="7"/>
  <c r="AR1746" i="7"/>
  <c r="X13" i="4"/>
  <c r="X19" i="4"/>
  <c r="X31" i="4"/>
  <c r="X37" i="4"/>
  <c r="X49" i="4"/>
  <c r="X55" i="4"/>
  <c r="X67" i="4"/>
  <c r="X85" i="4"/>
  <c r="X91" i="4"/>
  <c r="X103" i="4"/>
  <c r="X109" i="4"/>
  <c r="X121" i="4"/>
  <c r="X127" i="4"/>
  <c r="C13" i="7"/>
  <c r="AQ15" i="7"/>
  <c r="C24" i="7"/>
  <c r="B24" i="7" s="1"/>
  <c r="AQ27" i="7"/>
  <c r="AQ45" i="7"/>
  <c r="J65" i="7"/>
  <c r="K67" i="7"/>
  <c r="AQ82" i="7"/>
  <c r="AI125" i="7"/>
  <c r="AH125" i="7" s="1"/>
  <c r="AI179" i="7"/>
  <c r="AH179" i="7" s="1"/>
  <c r="S185" i="7"/>
  <c r="R185" i="7" s="1"/>
  <c r="T207" i="7"/>
  <c r="AB252" i="7"/>
  <c r="AQ259" i="7"/>
  <c r="S312" i="7"/>
  <c r="AB322" i="7"/>
  <c r="AP336" i="7"/>
  <c r="S342" i="7"/>
  <c r="AB352" i="7"/>
  <c r="K417" i="7"/>
  <c r="AI432" i="7"/>
  <c r="AH432" i="7" s="1"/>
  <c r="L465" i="7"/>
  <c r="AJ475" i="7"/>
  <c r="AH475" i="7" s="1"/>
  <c r="AJ489" i="7"/>
  <c r="K499" i="7"/>
  <c r="AA501" i="7"/>
  <c r="Z501" i="7" s="1"/>
  <c r="L509" i="7"/>
  <c r="J509" i="7" s="1"/>
  <c r="K522" i="7"/>
  <c r="T781" i="7"/>
  <c r="AI788" i="7"/>
  <c r="C810" i="7"/>
  <c r="B810" i="7" s="1"/>
  <c r="AI826" i="7"/>
  <c r="AJ832" i="7"/>
  <c r="L845" i="7"/>
  <c r="J845" i="7" s="1"/>
  <c r="K851" i="7"/>
  <c r="AA853" i="7"/>
  <c r="AR857" i="7"/>
  <c r="L859" i="7"/>
  <c r="C861" i="7"/>
  <c r="B861" i="7" s="1"/>
  <c r="AR864" i="7"/>
  <c r="AR869" i="7"/>
  <c r="AR896" i="7"/>
  <c r="AI898" i="7"/>
  <c r="AA902" i="7"/>
  <c r="AR904" i="7"/>
  <c r="L934" i="7"/>
  <c r="J1024" i="7"/>
  <c r="AA1031" i="7"/>
  <c r="AB1031" i="7"/>
  <c r="T1097" i="7"/>
  <c r="S1097" i="7"/>
  <c r="R1097" i="7" s="1"/>
  <c r="S1119" i="7"/>
  <c r="T1119" i="7"/>
  <c r="AI1202" i="7"/>
  <c r="AJ1202" i="7"/>
  <c r="S1222" i="7"/>
  <c r="T1222" i="7"/>
  <c r="AA1288" i="7"/>
  <c r="AB1288" i="7"/>
  <c r="K1463" i="7"/>
  <c r="L1463" i="7"/>
  <c r="D1534" i="7"/>
  <c r="C1534" i="7"/>
  <c r="K1549" i="7"/>
  <c r="L1549" i="7"/>
  <c r="S1708" i="7"/>
  <c r="T1708" i="7"/>
  <c r="AJ1710" i="7"/>
  <c r="AI1710" i="7"/>
  <c r="S1719" i="7"/>
  <c r="T1719" i="7"/>
  <c r="L1857" i="7"/>
  <c r="K1857" i="7"/>
  <c r="K1895" i="7"/>
  <c r="L1895" i="7"/>
  <c r="S2055" i="7"/>
  <c r="T2055" i="7"/>
  <c r="AB2100" i="7"/>
  <c r="AA2100" i="7"/>
  <c r="AB2136" i="7"/>
  <c r="AA2136" i="7"/>
  <c r="AI2162" i="7"/>
  <c r="AJ2162" i="7"/>
  <c r="AB2198" i="7"/>
  <c r="AA2198" i="7"/>
  <c r="AB2319" i="7"/>
  <c r="AA2319" i="7"/>
  <c r="Z2319" i="7" s="1"/>
  <c r="AA2468" i="7"/>
  <c r="AB2468" i="7"/>
  <c r="AA2504" i="7"/>
  <c r="AB2504" i="7"/>
  <c r="AB2620" i="7"/>
  <c r="AA2620" i="7"/>
  <c r="Z2620" i="7" s="1"/>
  <c r="AJ2813" i="7"/>
  <c r="AI2813" i="7"/>
  <c r="AA2907" i="7"/>
  <c r="AB2907" i="7"/>
  <c r="AA2928" i="7"/>
  <c r="AB2928" i="7"/>
  <c r="I5" i="4"/>
  <c r="I6" i="4" s="1"/>
  <c r="AA75" i="4"/>
  <c r="AA99" i="4"/>
  <c r="AA111" i="4"/>
  <c r="AU3" i="7"/>
  <c r="AU4" i="7" s="1" a="1"/>
  <c r="AU4" i="7" s="1"/>
  <c r="AQ19" i="7"/>
  <c r="AP19" i="7" s="1"/>
  <c r="AQ31" i="7"/>
  <c r="C42" i="7"/>
  <c r="J67" i="7"/>
  <c r="K68" i="7"/>
  <c r="J68" i="7" s="1"/>
  <c r="AQ84" i="7"/>
  <c r="D142" i="7"/>
  <c r="T154" i="7"/>
  <c r="AQ192" i="7"/>
  <c r="AQ202" i="7"/>
  <c r="AQ218" i="7"/>
  <c r="AB229" i="7"/>
  <c r="AQ231" i="7"/>
  <c r="AP231" i="7" s="1"/>
  <c r="AQ234" i="7"/>
  <c r="AQ249" i="7"/>
  <c r="AP249" i="7" s="1"/>
  <c r="S262" i="7"/>
  <c r="AQ274" i="7"/>
  <c r="S285" i="7"/>
  <c r="AB292" i="7"/>
  <c r="AQ297" i="7"/>
  <c r="S313" i="7"/>
  <c r="AB316" i="7"/>
  <c r="S327" i="7"/>
  <c r="S331" i="7"/>
  <c r="S357" i="7"/>
  <c r="S366" i="7"/>
  <c r="T378" i="7"/>
  <c r="AQ384" i="7"/>
  <c r="AQ388" i="7"/>
  <c r="T398" i="7"/>
  <c r="T402" i="7"/>
  <c r="R402" i="7" s="1"/>
  <c r="AI443" i="7"/>
  <c r="K450" i="7"/>
  <c r="K459" i="7"/>
  <c r="L477" i="7"/>
  <c r="L597" i="7"/>
  <c r="AI841" i="7"/>
  <c r="C843" i="7"/>
  <c r="B843" i="7" s="1"/>
  <c r="S843" i="7"/>
  <c r="R843" i="7" s="1"/>
  <c r="K846" i="7"/>
  <c r="AA846" i="7"/>
  <c r="Z846" i="7" s="1"/>
  <c r="AA879" i="7"/>
  <c r="Z879" i="7" s="1"/>
  <c r="K891" i="7"/>
  <c r="AA909" i="7"/>
  <c r="Z909" i="7" s="1"/>
  <c r="AI914" i="7"/>
  <c r="AH914" i="7" s="1"/>
  <c r="AA916" i="7"/>
  <c r="Z916" i="7" s="1"/>
  <c r="AI928" i="7"/>
  <c r="AR944" i="7"/>
  <c r="K946" i="7"/>
  <c r="AA951" i="7"/>
  <c r="Z951" i="7" s="1"/>
  <c r="L956" i="7"/>
  <c r="J956" i="7" s="1"/>
  <c r="AJ962" i="7"/>
  <c r="C969" i="7"/>
  <c r="B969" i="7" s="1"/>
  <c r="AB976" i="7"/>
  <c r="K996" i="7"/>
  <c r="S1005" i="7"/>
  <c r="T1013" i="7"/>
  <c r="AR1023" i="7"/>
  <c r="AA1035" i="7"/>
  <c r="AB1035" i="7"/>
  <c r="AA1047" i="7"/>
  <c r="AB1047" i="7"/>
  <c r="R1050" i="7"/>
  <c r="AB1054" i="7"/>
  <c r="Z1054" i="7" s="1"/>
  <c r="AR1084" i="7"/>
  <c r="J1085" i="7"/>
  <c r="AA1132" i="7"/>
  <c r="AB1132" i="7"/>
  <c r="AJ1198" i="7"/>
  <c r="AI1198" i="7"/>
  <c r="C1250" i="7"/>
  <c r="D1250" i="7"/>
  <c r="AA1321" i="7"/>
  <c r="AB1321" i="7"/>
  <c r="C1348" i="7"/>
  <c r="D1348" i="7"/>
  <c r="C1379" i="7"/>
  <c r="D1379" i="7"/>
  <c r="AA1393" i="7"/>
  <c r="AB1393" i="7"/>
  <c r="AB1434" i="7"/>
  <c r="AA1434" i="7"/>
  <c r="AA1522" i="7"/>
  <c r="AB1522" i="7"/>
  <c r="AJ1599" i="7"/>
  <c r="AI1599" i="7"/>
  <c r="AR1614" i="7"/>
  <c r="AQ1614" i="7"/>
  <c r="AJ1850" i="7"/>
  <c r="AI1850" i="7"/>
  <c r="AH1850" i="7" s="1"/>
  <c r="AA13" i="4"/>
  <c r="AQ10" i="7"/>
  <c r="AQ21" i="7"/>
  <c r="AQ49" i="7"/>
  <c r="K61" i="7"/>
  <c r="AQ74" i="7"/>
  <c r="AQ86" i="7"/>
  <c r="AP86" i="7" s="1"/>
  <c r="AQ99" i="7"/>
  <c r="T115" i="7"/>
  <c r="R115" i="7" s="1"/>
  <c r="AB123" i="7"/>
  <c r="AB145" i="7"/>
  <c r="S151" i="7"/>
  <c r="D154" i="7"/>
  <c r="AQ158" i="7"/>
  <c r="AB175" i="7"/>
  <c r="Z175" i="7" s="1"/>
  <c r="AQ193" i="7"/>
  <c r="AB202" i="7"/>
  <c r="AR208" i="7"/>
  <c r="AQ223" i="7"/>
  <c r="AP223" i="7" s="1"/>
  <c r="AB231" i="7"/>
  <c r="AQ237" i="7"/>
  <c r="AB249" i="7"/>
  <c r="AQ253" i="7"/>
  <c r="AQ263" i="7"/>
  <c r="AR275" i="7"/>
  <c r="AP275" i="7" s="1"/>
  <c r="AQ288" i="7"/>
  <c r="S318" i="7"/>
  <c r="AQ321" i="7"/>
  <c r="T337" i="7"/>
  <c r="T345" i="7"/>
  <c r="S352" i="7"/>
  <c r="AQ372" i="7"/>
  <c r="R378" i="7"/>
  <c r="AQ378" i="7"/>
  <c r="AB384" i="7"/>
  <c r="T391" i="7"/>
  <c r="S399" i="7"/>
  <c r="R399" i="7" s="1"/>
  <c r="AI399" i="7"/>
  <c r="AH399" i="7" s="1"/>
  <c r="AB400" i="7"/>
  <c r="AI417" i="7"/>
  <c r="AJ438" i="7"/>
  <c r="K444" i="7"/>
  <c r="K453" i="7"/>
  <c r="J453" i="7" s="1"/>
  <c r="AJ466" i="7"/>
  <c r="AJ480" i="7"/>
  <c r="AH480" i="7" s="1"/>
  <c r="AI494" i="7"/>
  <c r="AI516" i="7"/>
  <c r="AJ525" i="7"/>
  <c r="L599" i="7"/>
  <c r="L609" i="7"/>
  <c r="L617" i="7"/>
  <c r="L625" i="7"/>
  <c r="L633" i="7"/>
  <c r="L641" i="7"/>
  <c r="L649" i="7"/>
  <c r="J649" i="7" s="1"/>
  <c r="L657" i="7"/>
  <c r="L665" i="7"/>
  <c r="T769" i="7"/>
  <c r="AB802" i="7"/>
  <c r="C812" i="7"/>
  <c r="B812" i="7" s="1"/>
  <c r="C823" i="7"/>
  <c r="B823" i="7" s="1"/>
  <c r="K829" i="7"/>
  <c r="AA831" i="7"/>
  <c r="AJ835" i="7"/>
  <c r="AB836" i="7"/>
  <c r="S841" i="7"/>
  <c r="R841" i="7" s="1"/>
  <c r="AR855" i="7"/>
  <c r="AB861" i="7"/>
  <c r="J863" i="7"/>
  <c r="L864" i="7"/>
  <c r="S872" i="7"/>
  <c r="R872" i="7" s="1"/>
  <c r="AI873" i="7"/>
  <c r="L879" i="7"/>
  <c r="L896" i="7"/>
  <c r="J896" i="7" s="1"/>
  <c r="AA899" i="7"/>
  <c r="Z899" i="7" s="1"/>
  <c r="AI907" i="7"/>
  <c r="K916" i="7"/>
  <c r="AR919" i="7"/>
  <c r="AI920" i="7"/>
  <c r="AH920" i="7" s="1"/>
  <c r="AR927" i="7"/>
  <c r="AI930" i="7"/>
  <c r="AH930" i="7" s="1"/>
  <c r="AI936" i="7"/>
  <c r="AH936" i="7" s="1"/>
  <c r="AI942" i="7"/>
  <c r="AH942" i="7" s="1"/>
  <c r="AA944" i="7"/>
  <c r="L951" i="7"/>
  <c r="K964" i="7"/>
  <c r="AJ968" i="7"/>
  <c r="AB970" i="7"/>
  <c r="K988" i="7"/>
  <c r="C989" i="7"/>
  <c r="B989" i="7" s="1"/>
  <c r="AR995" i="7"/>
  <c r="AP995" i="7" s="1"/>
  <c r="AP998" i="7"/>
  <c r="T1009" i="7"/>
  <c r="K1011" i="7"/>
  <c r="AB1012" i="7"/>
  <c r="K1017" i="7"/>
  <c r="J1017" i="7" s="1"/>
  <c r="K1034" i="7"/>
  <c r="J1034" i="7" s="1"/>
  <c r="L1054" i="7"/>
  <c r="S1059" i="7"/>
  <c r="T1059" i="7"/>
  <c r="K1069" i="7"/>
  <c r="L1069" i="7"/>
  <c r="AA1093" i="7"/>
  <c r="AB1093" i="7"/>
  <c r="T1102" i="7"/>
  <c r="R1102" i="7" s="1"/>
  <c r="S1102" i="7"/>
  <c r="L1107" i="7"/>
  <c r="K1107" i="7"/>
  <c r="L1108" i="7"/>
  <c r="J1108" i="7" s="1"/>
  <c r="AB1113" i="7"/>
  <c r="T1116" i="7"/>
  <c r="AJ1171" i="7"/>
  <c r="AI1171" i="7"/>
  <c r="L1173" i="7"/>
  <c r="AJ1185" i="7"/>
  <c r="AI1185" i="7"/>
  <c r="L1186" i="7"/>
  <c r="S1197" i="7"/>
  <c r="T1197" i="7"/>
  <c r="AA1344" i="7"/>
  <c r="AB1344" i="7"/>
  <c r="C1454" i="7"/>
  <c r="D1454" i="7"/>
  <c r="B1454" i="7" s="1"/>
  <c r="S1598" i="7"/>
  <c r="T1598" i="7"/>
  <c r="AR1681" i="7"/>
  <c r="AQ1681" i="7"/>
  <c r="AQ1687" i="7"/>
  <c r="AR1687" i="7"/>
  <c r="S1695" i="7"/>
  <c r="T1695" i="7"/>
  <c r="AQ11" i="7"/>
  <c r="AQ23" i="7"/>
  <c r="AP23" i="7" s="1"/>
  <c r="AQ35" i="7"/>
  <c r="D47" i="7"/>
  <c r="AQ51" i="7"/>
  <c r="K62" i="7"/>
  <c r="K70" i="7"/>
  <c r="J70" i="7" s="1"/>
  <c r="D73" i="7"/>
  <c r="B73" i="7" s="1"/>
  <c r="AQ76" i="7"/>
  <c r="AQ88" i="7"/>
  <c r="AQ106" i="7"/>
  <c r="AB113" i="7"/>
  <c r="T117" i="7"/>
  <c r="D124" i="7"/>
  <c r="S136" i="7"/>
  <c r="D151" i="7"/>
  <c r="AR179" i="7"/>
  <c r="AQ194" i="7"/>
  <c r="AB208" i="7"/>
  <c r="S224" i="7"/>
  <c r="R224" i="7" s="1"/>
  <c r="AQ232" i="7"/>
  <c r="AQ238" i="7"/>
  <c r="AP238" i="7" s="1"/>
  <c r="T252" i="7"/>
  <c r="AB253" i="7"/>
  <c r="R267" i="7"/>
  <c r="S277" i="7"/>
  <c r="R277" i="7" s="1"/>
  <c r="S303" i="7"/>
  <c r="T315" i="7"/>
  <c r="T322" i="7"/>
  <c r="AQ327" i="7"/>
  <c r="R345" i="7"/>
  <c r="S348" i="7"/>
  <c r="R348" i="7" s="1"/>
  <c r="T358" i="7"/>
  <c r="AQ366" i="7"/>
  <c r="AP366" i="7" s="1"/>
  <c r="AB372" i="7"/>
  <c r="R381" i="7"/>
  <c r="S417" i="7"/>
  <c r="AI420" i="7"/>
  <c r="AH420" i="7" s="1"/>
  <c r="AI440" i="7"/>
  <c r="K454" i="7"/>
  <c r="AJ460" i="7"/>
  <c r="AJ469" i="7"/>
  <c r="L483" i="7"/>
  <c r="K504" i="7"/>
  <c r="J504" i="7" s="1"/>
  <c r="AR524" i="7"/>
  <c r="L601" i="7"/>
  <c r="J601" i="7" s="1"/>
  <c r="AR607" i="7"/>
  <c r="AI610" i="7"/>
  <c r="AR615" i="7"/>
  <c r="AI618" i="7"/>
  <c r="AH618" i="7" s="1"/>
  <c r="AR623" i="7"/>
  <c r="AI626" i="7"/>
  <c r="AR631" i="7"/>
  <c r="AI634" i="7"/>
  <c r="AR639" i="7"/>
  <c r="AI642" i="7"/>
  <c r="AH642" i="7" s="1"/>
  <c r="AR647" i="7"/>
  <c r="AI650" i="7"/>
  <c r="AR655" i="7"/>
  <c r="AI658" i="7"/>
  <c r="AR663" i="7"/>
  <c r="AI666" i="7"/>
  <c r="AH666" i="7" s="1"/>
  <c r="AH835" i="7"/>
  <c r="AA1057" i="7"/>
  <c r="AB1057" i="7"/>
  <c r="AA1080" i="7"/>
  <c r="AB1080" i="7"/>
  <c r="Z1080" i="7" s="1"/>
  <c r="S1086" i="7"/>
  <c r="T1086" i="7"/>
  <c r="S1105" i="7"/>
  <c r="T1105" i="7"/>
  <c r="AI1208" i="7"/>
  <c r="AJ1208" i="7"/>
  <c r="K1393" i="7"/>
  <c r="L1393" i="7"/>
  <c r="T1479" i="7"/>
  <c r="S1479" i="7"/>
  <c r="T1508" i="7"/>
  <c r="S1508" i="7"/>
  <c r="R1508" i="7" s="1"/>
  <c r="C1590" i="7"/>
  <c r="D1590" i="7"/>
  <c r="T1644" i="7"/>
  <c r="S1644" i="7"/>
  <c r="AQ1664" i="7"/>
  <c r="AR1664" i="7"/>
  <c r="AQ1675" i="7"/>
  <c r="AR1675" i="7"/>
  <c r="AB1793" i="7"/>
  <c r="AA1793" i="7"/>
  <c r="J62" i="7"/>
  <c r="Z839" i="7"/>
  <c r="K1038" i="7"/>
  <c r="L1038" i="7"/>
  <c r="K1056" i="7"/>
  <c r="J1056" i="7" s="1"/>
  <c r="L1056" i="7"/>
  <c r="AA1179" i="7"/>
  <c r="AB1179" i="7"/>
  <c r="R1185" i="7"/>
  <c r="AR1232" i="7"/>
  <c r="AQ1232" i="7"/>
  <c r="T1266" i="7"/>
  <c r="S1266" i="7"/>
  <c r="AA1306" i="7"/>
  <c r="AB1306" i="7"/>
  <c r="AR1337" i="7"/>
  <c r="AQ1337" i="7"/>
  <c r="C1356" i="7"/>
  <c r="D1356" i="7"/>
  <c r="AA1387" i="7"/>
  <c r="AB1387" i="7"/>
  <c r="AB1417" i="7"/>
  <c r="AA1417" i="7"/>
  <c r="AA1446" i="7"/>
  <c r="AB1446" i="7"/>
  <c r="AA1476" i="7"/>
  <c r="AB1476" i="7"/>
  <c r="AQ1578" i="7"/>
  <c r="AR1578" i="7"/>
  <c r="AJ1588" i="7"/>
  <c r="AI1588" i="7"/>
  <c r="AA1464" i="7"/>
  <c r="AB1464" i="7"/>
  <c r="K1472" i="7"/>
  <c r="L1472" i="7"/>
  <c r="AR1477" i="7"/>
  <c r="AQ1477" i="7"/>
  <c r="AA1484" i="7"/>
  <c r="AB1484" i="7"/>
  <c r="D1498" i="7"/>
  <c r="C1498" i="7"/>
  <c r="T1506" i="7"/>
  <c r="S1506" i="7"/>
  <c r="C1518" i="7"/>
  <c r="D1518" i="7"/>
  <c r="AR1534" i="7"/>
  <c r="AQ1534" i="7"/>
  <c r="K1546" i="7"/>
  <c r="L1546" i="7"/>
  <c r="C1584" i="7"/>
  <c r="D1584" i="7"/>
  <c r="AJ1594" i="7"/>
  <c r="AI1594" i="7"/>
  <c r="T1603" i="7"/>
  <c r="S1603" i="7"/>
  <c r="AJ1616" i="7"/>
  <c r="AI1616" i="7"/>
  <c r="S1619" i="7"/>
  <c r="T1619" i="7"/>
  <c r="S1627" i="7"/>
  <c r="T1627" i="7"/>
  <c r="T1650" i="7"/>
  <c r="S1650" i="7"/>
  <c r="AJ1665" i="7"/>
  <c r="AI1665" i="7"/>
  <c r="AJ1696" i="7"/>
  <c r="AI1696" i="7"/>
  <c r="S1732" i="7"/>
  <c r="T1732" i="7"/>
  <c r="S1739" i="7"/>
  <c r="T1739" i="7"/>
  <c r="R1739" i="7" s="1"/>
  <c r="R1741" i="7"/>
  <c r="R1751" i="7"/>
  <c r="D1826" i="7"/>
  <c r="C1826" i="7"/>
  <c r="AQ1854" i="7"/>
  <c r="AR1854" i="7"/>
  <c r="AP1854" i="7" s="1"/>
  <c r="D1896" i="7"/>
  <c r="C1896" i="7"/>
  <c r="K1464" i="7"/>
  <c r="L1464" i="7"/>
  <c r="K1465" i="7"/>
  <c r="L1465" i="7"/>
  <c r="AA1468" i="7"/>
  <c r="AB1468" i="7"/>
  <c r="K1500" i="7"/>
  <c r="L1500" i="7"/>
  <c r="AB1507" i="7"/>
  <c r="AA1507" i="7"/>
  <c r="T1528" i="7"/>
  <c r="S1528" i="7"/>
  <c r="AA1536" i="7"/>
  <c r="AB1536" i="7"/>
  <c r="T1546" i="7"/>
  <c r="S1546" i="7"/>
  <c r="AQ1572" i="7"/>
  <c r="AR1572" i="7"/>
  <c r="T1582" i="7"/>
  <c r="S1582" i="7"/>
  <c r="AJ1624" i="7"/>
  <c r="AI1624" i="7"/>
  <c r="S1640" i="7"/>
  <c r="T1640" i="7"/>
  <c r="S1651" i="7"/>
  <c r="T1651" i="7"/>
  <c r="AJ1678" i="7"/>
  <c r="AI1678" i="7"/>
  <c r="AR1696" i="7"/>
  <c r="AQ1696" i="7"/>
  <c r="S1735" i="7"/>
  <c r="T1735" i="7"/>
  <c r="D1799" i="7"/>
  <c r="C1799" i="7"/>
  <c r="L1803" i="7"/>
  <c r="K1803" i="7"/>
  <c r="AI1824" i="7"/>
  <c r="AJ1824" i="7"/>
  <c r="AB1831" i="7"/>
  <c r="AA1831" i="7"/>
  <c r="AQ1845" i="7"/>
  <c r="AR1845" i="7"/>
  <c r="S1871" i="7"/>
  <c r="T1871" i="7"/>
  <c r="AJ1960" i="7"/>
  <c r="AI1960" i="7"/>
  <c r="AI2018" i="7"/>
  <c r="AJ2018" i="7"/>
  <c r="L1062" i="7"/>
  <c r="K1077" i="7"/>
  <c r="J1077" i="7" s="1"/>
  <c r="AI1081" i="7"/>
  <c r="AH1081" i="7" s="1"/>
  <c r="AR1091" i="7"/>
  <c r="K1095" i="7"/>
  <c r="S1122" i="7"/>
  <c r="L1125" i="7"/>
  <c r="K1136" i="7"/>
  <c r="L1191" i="7"/>
  <c r="S1194" i="7"/>
  <c r="R1194" i="7" s="1"/>
  <c r="S1241" i="7"/>
  <c r="AQ1273" i="7"/>
  <c r="S1283" i="7"/>
  <c r="AP1293" i="7"/>
  <c r="AB1313" i="7"/>
  <c r="AQ1359" i="7"/>
  <c r="AQ1366" i="7"/>
  <c r="C1407" i="7"/>
  <c r="AA1456" i="7"/>
  <c r="AA1462" i="7"/>
  <c r="K1466" i="7"/>
  <c r="L1466" i="7"/>
  <c r="K1467" i="7"/>
  <c r="L1467" i="7"/>
  <c r="AA1470" i="7"/>
  <c r="AB1470" i="7"/>
  <c r="T1473" i="7"/>
  <c r="S1473" i="7"/>
  <c r="AR1491" i="7"/>
  <c r="AQ1491" i="7"/>
  <c r="AQ1588" i="7"/>
  <c r="AR1588" i="7"/>
  <c r="AR1622" i="7"/>
  <c r="AQ1622" i="7"/>
  <c r="AQ1628" i="7"/>
  <c r="AR1628" i="7"/>
  <c r="AJ1668" i="7"/>
  <c r="AI1668" i="7"/>
  <c r="AJ1680" i="7"/>
  <c r="AI1680" i="7"/>
  <c r="AR1683" i="7"/>
  <c r="AQ1683" i="7"/>
  <c r="AJ1690" i="7"/>
  <c r="AI1690" i="7"/>
  <c r="AQ1700" i="7"/>
  <c r="AR1700" i="7"/>
  <c r="AR1710" i="7"/>
  <c r="AQ1710" i="7"/>
  <c r="S1724" i="7"/>
  <c r="T1724" i="7"/>
  <c r="D1808" i="7"/>
  <c r="C1808" i="7"/>
  <c r="AI1828" i="7"/>
  <c r="AJ1828" i="7"/>
  <c r="AP1849" i="7"/>
  <c r="AJ1853" i="7"/>
  <c r="AH1853" i="7" s="1"/>
  <c r="AI1853" i="7"/>
  <c r="AI1882" i="7"/>
  <c r="AJ1882" i="7"/>
  <c r="D1945" i="7"/>
  <c r="C1945" i="7"/>
  <c r="AB1128" i="7"/>
  <c r="T1135" i="7"/>
  <c r="L1142" i="7"/>
  <c r="AR1146" i="7"/>
  <c r="AI1147" i="7"/>
  <c r="AH1147" i="7" s="1"/>
  <c r="AR1152" i="7"/>
  <c r="L1164" i="7"/>
  <c r="J1164" i="7" s="1"/>
  <c r="T1168" i="7"/>
  <c r="AR1173" i="7"/>
  <c r="AA1177" i="7"/>
  <c r="AI1183" i="7"/>
  <c r="AH1183" i="7" s="1"/>
  <c r="AH1201" i="7"/>
  <c r="AR1204" i="7"/>
  <c r="AP1204" i="7" s="1"/>
  <c r="AJ1207" i="7"/>
  <c r="AA1212" i="7"/>
  <c r="Z1212" i="7" s="1"/>
  <c r="AQ1213" i="7"/>
  <c r="S1228" i="7"/>
  <c r="R1228" i="7" s="1"/>
  <c r="S1244" i="7"/>
  <c r="AI1255" i="7"/>
  <c r="AH1255" i="7" s="1"/>
  <c r="S1260" i="7"/>
  <c r="AQ1276" i="7"/>
  <c r="AB1317" i="7"/>
  <c r="AB1329" i="7"/>
  <c r="T1341" i="7"/>
  <c r="AB1350" i="7"/>
  <c r="D1362" i="7"/>
  <c r="AB1366" i="7"/>
  <c r="T1372" i="7"/>
  <c r="L1373" i="7"/>
  <c r="AA1374" i="7"/>
  <c r="Z1374" i="7" s="1"/>
  <c r="AQ1375" i="7"/>
  <c r="AP1375" i="7" s="1"/>
  <c r="AJ1376" i="7"/>
  <c r="AB1385" i="7"/>
  <c r="Z1385" i="7" s="1"/>
  <c r="L1396" i="7"/>
  <c r="AQ1408" i="7"/>
  <c r="L1411" i="7"/>
  <c r="D1416" i="7"/>
  <c r="B1416" i="7" s="1"/>
  <c r="D1428" i="7"/>
  <c r="AQ1429" i="7"/>
  <c r="C1442" i="7"/>
  <c r="L1456" i="7"/>
  <c r="AB1460" i="7"/>
  <c r="L1462" i="7"/>
  <c r="K1468" i="7"/>
  <c r="L1468" i="7"/>
  <c r="K1469" i="7"/>
  <c r="L1469" i="7"/>
  <c r="AA1472" i="7"/>
  <c r="AB1472" i="7"/>
  <c r="D1473" i="7"/>
  <c r="AB1482" i="7"/>
  <c r="AA1482" i="7"/>
  <c r="C1491" i="7"/>
  <c r="D1491" i="7"/>
  <c r="T1496" i="7"/>
  <c r="S1496" i="7"/>
  <c r="AB1510" i="7"/>
  <c r="C1546" i="7"/>
  <c r="D1546" i="7"/>
  <c r="AQ1549" i="7"/>
  <c r="AQ1575" i="7"/>
  <c r="AR1575" i="7"/>
  <c r="AJ1592" i="7"/>
  <c r="AI1592" i="7"/>
  <c r="AJ1597" i="7"/>
  <c r="AI1597" i="7"/>
  <c r="S1617" i="7"/>
  <c r="T1617" i="7"/>
  <c r="S1618" i="7"/>
  <c r="R1618" i="7" s="1"/>
  <c r="T1638" i="7"/>
  <c r="AI1639" i="7"/>
  <c r="AQ1657" i="7"/>
  <c r="AR1657" i="7"/>
  <c r="S1679" i="7"/>
  <c r="T1679" i="7"/>
  <c r="AQ1705" i="7"/>
  <c r="AJ1731" i="7"/>
  <c r="AI1731" i="7"/>
  <c r="AJ1738" i="7"/>
  <c r="AI1738" i="7"/>
  <c r="AQ1743" i="7"/>
  <c r="AR1743" i="7"/>
  <c r="AJ1751" i="7"/>
  <c r="AI1751" i="7"/>
  <c r="AI1752" i="7"/>
  <c r="AI1778" i="7"/>
  <c r="AJ1778" i="7"/>
  <c r="AI1798" i="7"/>
  <c r="AJ1798" i="7"/>
  <c r="AI1805" i="7"/>
  <c r="AJ1805" i="7"/>
  <c r="AJ1806" i="7"/>
  <c r="C1823" i="7"/>
  <c r="B1823" i="7" s="1"/>
  <c r="AJ1867" i="7"/>
  <c r="AI1867" i="7"/>
  <c r="AQ1892" i="7"/>
  <c r="AP1892" i="7" s="1"/>
  <c r="AR1892" i="7"/>
  <c r="L1944" i="7"/>
  <c r="K1944" i="7"/>
  <c r="K1470" i="7"/>
  <c r="L1470" i="7"/>
  <c r="K1471" i="7"/>
  <c r="L1471" i="7"/>
  <c r="T1476" i="7"/>
  <c r="S1476" i="7"/>
  <c r="T1485" i="7"/>
  <c r="S1485" i="7"/>
  <c r="AA1492" i="7"/>
  <c r="Z1492" i="7" s="1"/>
  <c r="AB1492" i="7"/>
  <c r="AQ1568" i="7"/>
  <c r="AR1568" i="7"/>
  <c r="AJ1586" i="7"/>
  <c r="AI1586" i="7"/>
  <c r="AH1586" i="7" s="1"/>
  <c r="T1591" i="7"/>
  <c r="S1591" i="7"/>
  <c r="S1596" i="7"/>
  <c r="T1596" i="7"/>
  <c r="T1601" i="7"/>
  <c r="S1601" i="7"/>
  <c r="AQ1611" i="7"/>
  <c r="AR1611" i="7"/>
  <c r="S1647" i="7"/>
  <c r="T1647" i="7"/>
  <c r="S1661" i="7"/>
  <c r="T1661" i="7"/>
  <c r="AR1668" i="7"/>
  <c r="AQ1668" i="7"/>
  <c r="AQ1690" i="7"/>
  <c r="AR1690" i="7"/>
  <c r="AJ1708" i="7"/>
  <c r="AI1708" i="7"/>
  <c r="AQ1712" i="7"/>
  <c r="AR1712" i="7"/>
  <c r="AQ1728" i="7"/>
  <c r="AR1728" i="7"/>
  <c r="AJ1746" i="7"/>
  <c r="AI1746" i="7"/>
  <c r="AJ1837" i="7"/>
  <c r="AI1837" i="7"/>
  <c r="C1851" i="7"/>
  <c r="D1851" i="7"/>
  <c r="AQ1928" i="7"/>
  <c r="AR1928" i="7"/>
  <c r="AQ1936" i="7"/>
  <c r="AP1936" i="7" s="1"/>
  <c r="AR1936" i="7"/>
  <c r="D1917" i="7"/>
  <c r="C1917" i="7"/>
  <c r="AJ1942" i="7"/>
  <c r="AI1942" i="7"/>
  <c r="AH1942" i="7" s="1"/>
  <c r="AR1958" i="7"/>
  <c r="AQ1958" i="7"/>
  <c r="AA2041" i="7"/>
  <c r="AB2041" i="7"/>
  <c r="AA2053" i="7"/>
  <c r="AB2053" i="7"/>
  <c r="T2070" i="7"/>
  <c r="S2070" i="7"/>
  <c r="K2081" i="7"/>
  <c r="L2081" i="7"/>
  <c r="AI2203" i="7"/>
  <c r="AJ2203" i="7"/>
  <c r="AB2322" i="7"/>
  <c r="AA2322" i="7"/>
  <c r="AI2367" i="7"/>
  <c r="AJ2367" i="7"/>
  <c r="AI2400" i="7"/>
  <c r="AJ2400" i="7"/>
  <c r="AH2400" i="7" s="1"/>
  <c r="AJ2578" i="7"/>
  <c r="AI2578" i="7"/>
  <c r="AB2824" i="7"/>
  <c r="AA2824" i="7"/>
  <c r="AI2860" i="7"/>
  <c r="AJ2860" i="7"/>
  <c r="AJ2879" i="7"/>
  <c r="AI2879" i="7"/>
  <c r="AA2910" i="7"/>
  <c r="AB2910" i="7"/>
  <c r="D1928" i="7"/>
  <c r="C1928" i="7"/>
  <c r="AA2045" i="7"/>
  <c r="AB2045" i="7"/>
  <c r="S2061" i="7"/>
  <c r="T2061" i="7"/>
  <c r="D2078" i="7"/>
  <c r="C2078" i="7"/>
  <c r="B2078" i="7" s="1"/>
  <c r="AI2104" i="7"/>
  <c r="AJ2104" i="7"/>
  <c r="AR2133" i="7"/>
  <c r="AQ2133" i="7"/>
  <c r="AB2195" i="7"/>
  <c r="AA2195" i="7"/>
  <c r="Z2195" i="7" s="1"/>
  <c r="AJ2259" i="7"/>
  <c r="AI2259" i="7"/>
  <c r="AA2316" i="7"/>
  <c r="AB2316" i="7"/>
  <c r="AA2361" i="7"/>
  <c r="AB2361" i="7"/>
  <c r="AA2461" i="7"/>
  <c r="Z2461" i="7" s="1"/>
  <c r="AB2461" i="7"/>
  <c r="AA2492" i="7"/>
  <c r="AB2492" i="7"/>
  <c r="AI2544" i="7"/>
  <c r="AJ2544" i="7"/>
  <c r="AJ2671" i="7"/>
  <c r="AI2671" i="7"/>
  <c r="AA2787" i="7"/>
  <c r="AB2787" i="7"/>
  <c r="AA2868" i="7"/>
  <c r="AB2868" i="7"/>
  <c r="R1689" i="7"/>
  <c r="R1690" i="7"/>
  <c r="R1738" i="7"/>
  <c r="AJ1826" i="7"/>
  <c r="C1828" i="7"/>
  <c r="B1828" i="7" s="1"/>
  <c r="L1832" i="7"/>
  <c r="K1851" i="7"/>
  <c r="AR1853" i="7"/>
  <c r="AI1854" i="7"/>
  <c r="AH1854" i="7" s="1"/>
  <c r="AP1855" i="7"/>
  <c r="K1861" i="7"/>
  <c r="K1869" i="7"/>
  <c r="AH1877" i="7"/>
  <c r="L1879" i="7"/>
  <c r="AH1894" i="7"/>
  <c r="AQ1968" i="7"/>
  <c r="AR1968" i="7"/>
  <c r="AR2017" i="7"/>
  <c r="AQ2017" i="7"/>
  <c r="AR2093" i="7"/>
  <c r="AQ2093" i="7"/>
  <c r="AQ2103" i="7"/>
  <c r="AR2103" i="7"/>
  <c r="AB2161" i="7"/>
  <c r="AA2161" i="7"/>
  <c r="AI2194" i="7"/>
  <c r="AJ2194" i="7"/>
  <c r="AJ2354" i="7"/>
  <c r="AI2354" i="7"/>
  <c r="AI2568" i="7"/>
  <c r="AJ2568" i="7"/>
  <c r="AB2652" i="7"/>
  <c r="AA2652" i="7"/>
  <c r="AJ2905" i="7"/>
  <c r="AI2905" i="7"/>
  <c r="AB2924" i="7"/>
  <c r="AA2924" i="7"/>
  <c r="C1811" i="7"/>
  <c r="AA1819" i="7"/>
  <c r="K1885" i="7"/>
  <c r="AQ1886" i="7"/>
  <c r="K1910" i="7"/>
  <c r="C1911" i="7"/>
  <c r="B1911" i="7" s="1"/>
  <c r="AR1913" i="7"/>
  <c r="K1914" i="7"/>
  <c r="AQ1924" i="7"/>
  <c r="AR1924" i="7"/>
  <c r="D1932" i="7"/>
  <c r="C1932" i="7"/>
  <c r="L1950" i="7"/>
  <c r="K1950" i="7"/>
  <c r="AI2564" i="7"/>
  <c r="AJ2564" i="7"/>
  <c r="AA2772" i="7"/>
  <c r="AB2772" i="7"/>
  <c r="AA2826" i="7"/>
  <c r="AB2826" i="7"/>
  <c r="AJ2867" i="7"/>
  <c r="AI2867" i="7"/>
  <c r="AA2880" i="7"/>
  <c r="AB2880" i="7"/>
  <c r="AB2921" i="7"/>
  <c r="AA2921" i="7"/>
  <c r="AB1480" i="7"/>
  <c r="B1508" i="7"/>
  <c r="C1513" i="7"/>
  <c r="S1562" i="7"/>
  <c r="AR1582" i="7"/>
  <c r="AI1601" i="7"/>
  <c r="AH1601" i="7" s="1"/>
  <c r="AI1617" i="7"/>
  <c r="AI1619" i="7"/>
  <c r="AH1619" i="7" s="1"/>
  <c r="AI1634" i="7"/>
  <c r="AH1634" i="7" s="1"/>
  <c r="AI1647" i="7"/>
  <c r="T1660" i="7"/>
  <c r="AI1692" i="7"/>
  <c r="T1699" i="7"/>
  <c r="T1743" i="7"/>
  <c r="AR1750" i="7"/>
  <c r="T1753" i="7"/>
  <c r="R1753" i="7" s="1"/>
  <c r="K1782" i="7"/>
  <c r="L1795" i="7"/>
  <c r="AJ1800" i="7"/>
  <c r="AA1802" i="7"/>
  <c r="K1809" i="7"/>
  <c r="AA1813" i="7"/>
  <c r="L1824" i="7"/>
  <c r="AA1825" i="7"/>
  <c r="Z1825" i="7" s="1"/>
  <c r="AJ1834" i="7"/>
  <c r="C1839" i="7"/>
  <c r="AQ1884" i="7"/>
  <c r="L1893" i="7"/>
  <c r="AQ1897" i="7"/>
  <c r="AP1897" i="7" s="1"/>
  <c r="C1923" i="7"/>
  <c r="B1923" i="7" s="1"/>
  <c r="K1931" i="7"/>
  <c r="L1931" i="7"/>
  <c r="AQ1965" i="7"/>
  <c r="AR1965" i="7"/>
  <c r="L1997" i="7"/>
  <c r="K1997" i="7"/>
  <c r="C2025" i="7"/>
  <c r="D2025" i="7"/>
  <c r="AA2073" i="7"/>
  <c r="AB2073" i="7"/>
  <c r="AA2103" i="7"/>
  <c r="AB2103" i="7"/>
  <c r="D2126" i="7"/>
  <c r="C2126" i="7"/>
  <c r="AJ2184" i="7"/>
  <c r="AI2184" i="7"/>
  <c r="AB2326" i="7"/>
  <c r="AA2326" i="7"/>
  <c r="AJ2370" i="7"/>
  <c r="AI2370" i="7"/>
  <c r="AJ2965" i="7"/>
  <c r="AI2965" i="7"/>
  <c r="AJ2987" i="7"/>
  <c r="AI2987" i="7"/>
  <c r="AH2143" i="7"/>
  <c r="Z2364" i="7"/>
  <c r="J1919" i="7"/>
  <c r="Z2028" i="7"/>
  <c r="Z2038" i="7"/>
  <c r="K2120" i="7"/>
  <c r="C2129" i="7"/>
  <c r="B2129" i="7" s="1"/>
  <c r="AQ2129" i="7"/>
  <c r="AJ2165" i="7"/>
  <c r="AJ2279" i="7"/>
  <c r="AH2279" i="7" s="1"/>
  <c r="AB2284" i="7"/>
  <c r="AA2374" i="7"/>
  <c r="AH2430" i="7"/>
  <c r="AA2474" i="7"/>
  <c r="AA2527" i="7"/>
  <c r="Z2527" i="7" s="1"/>
  <c r="AI2563" i="7"/>
  <c r="AH2563" i="7" s="1"/>
  <c r="AI2572" i="7"/>
  <c r="AH2572" i="7" s="1"/>
  <c r="AH2623" i="7"/>
  <c r="AB2624" i="7"/>
  <c r="AB2642" i="7"/>
  <c r="AB2675" i="7"/>
  <c r="AI2677" i="7"/>
  <c r="AH2677" i="7" s="1"/>
  <c r="AI2704" i="7"/>
  <c r="AJ2760" i="7"/>
  <c r="AA2762" i="7"/>
  <c r="Z2762" i="7" s="1"/>
  <c r="AI2839" i="7"/>
  <c r="AH2839" i="7" s="1"/>
  <c r="AI2870" i="7"/>
  <c r="AB2915" i="7"/>
  <c r="AI2971" i="7"/>
  <c r="AH2971" i="7" s="1"/>
  <c r="AJ2979" i="7"/>
  <c r="AB2987" i="7"/>
  <c r="AI2990" i="7"/>
  <c r="AB2997" i="7"/>
  <c r="AA3037" i="7"/>
  <c r="Z3037" i="7" s="1"/>
  <c r="AB3039" i="7"/>
  <c r="C1926" i="7"/>
  <c r="B1926" i="7" s="1"/>
  <c r="AR1934" i="7"/>
  <c r="K1947" i="7"/>
  <c r="AI1956" i="7"/>
  <c r="AR1957" i="7"/>
  <c r="AP1957" i="7" s="1"/>
  <c r="K1993" i="7"/>
  <c r="J1993" i="7" s="1"/>
  <c r="K2009" i="7"/>
  <c r="J2009" i="7" s="1"/>
  <c r="AJ2036" i="7"/>
  <c r="AA2044" i="7"/>
  <c r="Z2044" i="7" s="1"/>
  <c r="AB2050" i="7"/>
  <c r="AA2055" i="7"/>
  <c r="T2058" i="7"/>
  <c r="B2063" i="7"/>
  <c r="AR2063" i="7"/>
  <c r="C2077" i="7"/>
  <c r="B2077" i="7" s="1"/>
  <c r="AI2087" i="7"/>
  <c r="AH2087" i="7" s="1"/>
  <c r="AQ2092" i="7"/>
  <c r="AP2092" i="7" s="1"/>
  <c r="C2096" i="7"/>
  <c r="B2096" i="7" s="1"/>
  <c r="Z2109" i="7"/>
  <c r="AI2138" i="7"/>
  <c r="C2146" i="7"/>
  <c r="B2146" i="7" s="1"/>
  <c r="AA2189" i="7"/>
  <c r="Z2189" i="7" s="1"/>
  <c r="AJ2206" i="7"/>
  <c r="AJ2210" i="7"/>
  <c r="AI2238" i="7"/>
  <c r="AH2238" i="7" s="1"/>
  <c r="Z2275" i="7"/>
  <c r="AA2278" i="7"/>
  <c r="Z2278" i="7" s="1"/>
  <c r="AA2340" i="7"/>
  <c r="Z2340" i="7" s="1"/>
  <c r="AI2364" i="7"/>
  <c r="AI2379" i="7"/>
  <c r="AI2387" i="7"/>
  <c r="AJ2404" i="7"/>
  <c r="AA2413" i="7"/>
  <c r="Z2413" i="7" s="1"/>
  <c r="AB2424" i="7"/>
  <c r="AJ2477" i="7"/>
  <c r="AH2477" i="7" s="1"/>
  <c r="AI2513" i="7"/>
  <c r="AI2524" i="7"/>
  <c r="AB2552" i="7"/>
  <c r="AI2554" i="7"/>
  <c r="AH2554" i="7" s="1"/>
  <c r="AI2584" i="7"/>
  <c r="AB2781" i="7"/>
  <c r="AB2862" i="7"/>
  <c r="AB3002" i="7"/>
  <c r="Z3002" i="7" s="1"/>
  <c r="AB3051" i="7"/>
  <c r="K1969" i="7"/>
  <c r="T1974" i="7"/>
  <c r="K2018" i="7"/>
  <c r="J2018" i="7" s="1"/>
  <c r="AA2019" i="7"/>
  <c r="Z2019" i="7" s="1"/>
  <c r="AJ2031" i="7"/>
  <c r="AA2033" i="7"/>
  <c r="Z2033" i="7" s="1"/>
  <c r="T2042" i="7"/>
  <c r="AI2120" i="7"/>
  <c r="AH2120" i="7" s="1"/>
  <c r="AA2575" i="7"/>
  <c r="Z2575" i="7" s="1"/>
  <c r="AB2582" i="7"/>
  <c r="AI2614" i="7"/>
  <c r="AH2614" i="7" s="1"/>
  <c r="AI2629" i="7"/>
  <c r="AI2754" i="7"/>
  <c r="AH2754" i="7" s="1"/>
  <c r="AA2767" i="7"/>
  <c r="Z2955" i="7"/>
  <c r="AB2988" i="7"/>
  <c r="AJ3015" i="7"/>
  <c r="AA3028" i="7"/>
  <c r="D16" i="7"/>
  <c r="C23" i="7"/>
  <c r="D41" i="7"/>
  <c r="B41" i="7" s="1"/>
  <c r="C56" i="7"/>
  <c r="AQ71" i="7"/>
  <c r="J72" i="7"/>
  <c r="L77" i="7"/>
  <c r="L83" i="7"/>
  <c r="L89" i="7"/>
  <c r="J89" i="7" s="1"/>
  <c r="AQ96" i="7"/>
  <c r="S105" i="7"/>
  <c r="AQ115" i="7"/>
  <c r="S132" i="7"/>
  <c r="AB137" i="7"/>
  <c r="S143" i="7"/>
  <c r="R143" i="7" s="1"/>
  <c r="AB163" i="7"/>
  <c r="D169" i="7"/>
  <c r="AR169" i="7"/>
  <c r="S190" i="7"/>
  <c r="AQ195" i="7"/>
  <c r="AQ199" i="7"/>
  <c r="AP199" i="7" s="1"/>
  <c r="AQ203" i="7"/>
  <c r="AQ207" i="7"/>
  <c r="T219" i="7"/>
  <c r="AQ227" i="7"/>
  <c r="AP233" i="7"/>
  <c r="AQ236" i="7"/>
  <c r="AP236" i="7" s="1"/>
  <c r="AQ242" i="7"/>
  <c r="AB259" i="7"/>
  <c r="AQ270" i="7"/>
  <c r="AP270" i="7" s="1"/>
  <c r="AR289" i="7"/>
  <c r="AQ309" i="7"/>
  <c r="AQ354" i="7"/>
  <c r="AP354" i="7" s="1"/>
  <c r="AQ360" i="7"/>
  <c r="AQ393" i="7"/>
  <c r="K406" i="7"/>
  <c r="J406" i="7" s="1"/>
  <c r="K425" i="7"/>
  <c r="K434" i="7"/>
  <c r="AJ459" i="7"/>
  <c r="AH459" i="7" s="1"/>
  <c r="L464" i="7"/>
  <c r="L471" i="7"/>
  <c r="J471" i="7" s="1"/>
  <c r="AJ490" i="7"/>
  <c r="AR498" i="7"/>
  <c r="K502" i="7"/>
  <c r="J502" i="7" s="1"/>
  <c r="D12" i="7"/>
  <c r="B12" i="7" s="1"/>
  <c r="AQ29" i="7"/>
  <c r="AQ44" i="7"/>
  <c r="D46" i="7"/>
  <c r="AQ48" i="7"/>
  <c r="D52" i="7"/>
  <c r="D57" i="7"/>
  <c r="B57" i="7" s="1"/>
  <c r="K63" i="7"/>
  <c r="J63" i="7" s="1"/>
  <c r="K66" i="7"/>
  <c r="J66" i="7" s="1"/>
  <c r="K69" i="7"/>
  <c r="AQ92" i="7"/>
  <c r="S99" i="7"/>
  <c r="S113" i="7"/>
  <c r="R113" i="7" s="1"/>
  <c r="AB115" i="7"/>
  <c r="AR124" i="7"/>
  <c r="AP124" i="7" s="1"/>
  <c r="R136" i="7"/>
  <c r="R154" i="7"/>
  <c r="S164" i="7"/>
  <c r="AB169" i="7"/>
  <c r="Z169" i="7" s="1"/>
  <c r="AP169" i="7"/>
  <c r="S171" i="7"/>
  <c r="D178" i="7"/>
  <c r="AQ183" i="7"/>
  <c r="T192" i="7"/>
  <c r="T198" i="7"/>
  <c r="R198" i="7" s="1"/>
  <c r="AB199" i="7"/>
  <c r="AB203" i="7"/>
  <c r="S213" i="7"/>
  <c r="AQ216" i="7"/>
  <c r="S221" i="7"/>
  <c r="AQ267" i="7"/>
  <c r="AP267" i="7" s="1"/>
  <c r="AB270" i="7"/>
  <c r="AB281" i="7"/>
  <c r="AQ293" i="7"/>
  <c r="T302" i="7"/>
  <c r="AQ319" i="7"/>
  <c r="AQ330" i="7"/>
  <c r="AP330" i="7" s="1"/>
  <c r="AQ333" i="7"/>
  <c r="AP342" i="7"/>
  <c r="R363" i="7"/>
  <c r="S384" i="7"/>
  <c r="AB388" i="7"/>
  <c r="Z388" i="7" s="1"/>
  <c r="L399" i="7"/>
  <c r="K401" i="7"/>
  <c r="S405" i="7"/>
  <c r="L436" i="7"/>
  <c r="K451" i="7"/>
  <c r="AJ478" i="7"/>
  <c r="AH478" i="7" s="1"/>
  <c r="AJ484" i="7"/>
  <c r="AJ492" i="7"/>
  <c r="AH492" i="7" s="1"/>
  <c r="AA97" i="4"/>
  <c r="AA115" i="4"/>
  <c r="D28" i="7"/>
  <c r="AQ39" i="7"/>
  <c r="K60" i="7"/>
  <c r="J69" i="7"/>
  <c r="AQ72" i="7"/>
  <c r="K73" i="7"/>
  <c r="L79" i="7"/>
  <c r="L85" i="7"/>
  <c r="K91" i="7"/>
  <c r="J91" i="7" s="1"/>
  <c r="AQ93" i="7"/>
  <c r="J94" i="7"/>
  <c r="S108" i="7"/>
  <c r="AB110" i="7"/>
  <c r="S122" i="7"/>
  <c r="R122" i="7" s="1"/>
  <c r="D136" i="7"/>
  <c r="AQ139" i="7"/>
  <c r="AR145" i="7"/>
  <c r="AR151" i="7"/>
  <c r="AQ154" i="7"/>
  <c r="AP154" i="7" s="1"/>
  <c r="AQ159" i="7"/>
  <c r="AB216" i="7"/>
  <c r="AR229" i="7"/>
  <c r="AP229" i="7" s="1"/>
  <c r="Z231" i="7"/>
  <c r="AQ256" i="7"/>
  <c r="AQ262" i="7"/>
  <c r="AP262" i="7" s="1"/>
  <c r="AP274" i="7"/>
  <c r="AR291" i="7"/>
  <c r="AP291" i="7" s="1"/>
  <c r="AB293" i="7"/>
  <c r="AQ298" i="7"/>
  <c r="AP298" i="7" s="1"/>
  <c r="AB301" i="7"/>
  <c r="S336" i="7"/>
  <c r="R336" i="7" s="1"/>
  <c r="AB342" i="7"/>
  <c r="AP348" i="7"/>
  <c r="AB366" i="7"/>
  <c r="AP378" i="7"/>
  <c r="K419" i="7"/>
  <c r="K428" i="7"/>
  <c r="J428" i="7" s="1"/>
  <c r="L448" i="7"/>
  <c r="L461" i="7"/>
  <c r="J461" i="7" s="1"/>
  <c r="L473" i="7"/>
  <c r="L480" i="7"/>
  <c r="AI497" i="7"/>
  <c r="S509" i="7"/>
  <c r="T509" i="7"/>
  <c r="M8" i="4"/>
  <c r="M9" i="4" s="1"/>
  <c r="M10" i="4" s="1"/>
  <c r="M11" i="4" s="1"/>
  <c r="M12" i="4" s="1"/>
  <c r="M13" i="4" s="1"/>
  <c r="M14" i="4" s="1"/>
  <c r="M15" i="4" s="1"/>
  <c r="M16" i="4" s="1"/>
  <c r="M17" i="4" s="1"/>
  <c r="M18" i="4" s="1"/>
  <c r="M19" i="4" s="1"/>
  <c r="M20" i="4" s="1"/>
  <c r="M21" i="4" s="1"/>
  <c r="M22" i="4" s="1"/>
  <c r="M23" i="4" s="1"/>
  <c r="M24" i="4" s="1"/>
  <c r="M25" i="4" s="1"/>
  <c r="M26" i="4" s="1"/>
  <c r="M27" i="4" s="1"/>
  <c r="M28" i="4" s="1"/>
  <c r="M29" i="4" s="1"/>
  <c r="M30" i="4" s="1"/>
  <c r="M31" i="4" s="1"/>
  <c r="M32" i="4" s="1"/>
  <c r="M33" i="4" s="1"/>
  <c r="M34" i="4" s="1"/>
  <c r="M35" i="4" s="1"/>
  <c r="M36" i="4" s="1"/>
  <c r="M37" i="4" s="1"/>
  <c r="M38" i="4" s="1"/>
  <c r="M39" i="4" s="1"/>
  <c r="M40" i="4" s="1"/>
  <c r="M41" i="4" s="1"/>
  <c r="M42" i="4" s="1"/>
  <c r="M43" i="4" s="1"/>
  <c r="M44" i="4" s="1"/>
  <c r="M45" i="4" s="1"/>
  <c r="M46" i="4" s="1"/>
  <c r="M47" i="4" s="1"/>
  <c r="M48" i="4" s="1"/>
  <c r="M49" i="4" s="1"/>
  <c r="M50" i="4" s="1"/>
  <c r="M51" i="4" s="1"/>
  <c r="M52" i="4" s="1"/>
  <c r="M53" i="4" s="1"/>
  <c r="M54" i="4" s="1"/>
  <c r="M55" i="4" s="1"/>
  <c r="M56" i="4" s="1"/>
  <c r="M57" i="4" s="1"/>
  <c r="M58" i="4" s="1"/>
  <c r="M59" i="4" s="1"/>
  <c r="M60" i="4" s="1"/>
  <c r="M61" i="4" s="1"/>
  <c r="M62" i="4" s="1"/>
  <c r="M63" i="4" s="1"/>
  <c r="M64" i="4" s="1"/>
  <c r="M65" i="4" s="1"/>
  <c r="M66" i="4" s="1"/>
  <c r="M67" i="4" s="1"/>
  <c r="M68" i="4" s="1"/>
  <c r="M69" i="4" s="1"/>
  <c r="M70" i="4" s="1"/>
  <c r="M71" i="4" s="1"/>
  <c r="M72" i="4" s="1"/>
  <c r="M73" i="4" s="1"/>
  <c r="M74" i="4" s="1"/>
  <c r="M75" i="4" s="1"/>
  <c r="M76" i="4" s="1"/>
  <c r="M77" i="4" s="1"/>
  <c r="M78" i="4" s="1"/>
  <c r="M79" i="4" s="1"/>
  <c r="M80" i="4" s="1"/>
  <c r="M81" i="4" s="1"/>
  <c r="M82" i="4" s="1"/>
  <c r="M83" i="4" s="1"/>
  <c r="M84" i="4" s="1"/>
  <c r="M85" i="4" s="1"/>
  <c r="M86" i="4" s="1"/>
  <c r="M87" i="4" s="1"/>
  <c r="M88" i="4" s="1"/>
  <c r="M89" i="4" s="1"/>
  <c r="M90" i="4" s="1"/>
  <c r="M91" i="4" s="1"/>
  <c r="M92" i="4" s="1"/>
  <c r="M93" i="4" s="1"/>
  <c r="M94" i="4" s="1"/>
  <c r="M95" i="4" s="1"/>
  <c r="M96" i="4" s="1"/>
  <c r="M97" i="4" s="1"/>
  <c r="M98" i="4" s="1"/>
  <c r="M99" i="4" s="1"/>
  <c r="M100" i="4" s="1"/>
  <c r="M101" i="4" s="1"/>
  <c r="M102" i="4" s="1"/>
  <c r="M103" i="4" s="1"/>
  <c r="M104" i="4" s="1"/>
  <c r="M105" i="4" s="1"/>
  <c r="M106" i="4" s="1"/>
  <c r="M107" i="4" s="1"/>
  <c r="M108" i="4" s="1"/>
  <c r="M109" i="4" s="1"/>
  <c r="M110" i="4" s="1"/>
  <c r="M111" i="4" s="1"/>
  <c r="M112" i="4" s="1"/>
  <c r="M113" i="4" s="1"/>
  <c r="M114" i="4" s="1"/>
  <c r="M115" i="4" s="1"/>
  <c r="M116" i="4" s="1"/>
  <c r="M117" i="4" s="1"/>
  <c r="M118" i="4" s="1"/>
  <c r="M119" i="4" s="1"/>
  <c r="M120" i="4" s="1"/>
  <c r="M121" i="4" s="1"/>
  <c r="M122" i="4" s="1"/>
  <c r="M123" i="4" s="1"/>
  <c r="M124" i="4" s="1"/>
  <c r="M125" i="4" s="1"/>
  <c r="M126" i="4" s="1"/>
  <c r="M127" i="4" s="1"/>
  <c r="M128" i="4" s="1"/>
  <c r="M129" i="4" s="1"/>
  <c r="M130" i="4" s="1"/>
  <c r="M131" i="4" s="1"/>
  <c r="M132" i="4" s="1"/>
  <c r="M133" i="4" s="1"/>
  <c r="M134" i="4" s="1"/>
  <c r="M135" i="4" s="1"/>
  <c r="M136" i="4" s="1"/>
  <c r="M137" i="4" s="1"/>
  <c r="M138" i="4" s="1"/>
  <c r="M139" i="4" s="1"/>
  <c r="M140" i="4" s="1"/>
  <c r="M141" i="4" s="1"/>
  <c r="M142" i="4" s="1"/>
  <c r="M143" i="4" s="1"/>
  <c r="M144" i="4" s="1"/>
  <c r="M145" i="4" s="1"/>
  <c r="M146" i="4" s="1"/>
  <c r="M147" i="4" s="1"/>
  <c r="M148" i="4" s="1"/>
  <c r="M149" i="4" s="1"/>
  <c r="M150" i="4" s="1"/>
  <c r="M151" i="4" s="1"/>
  <c r="M152" i="4" s="1"/>
  <c r="M153" i="4" s="1"/>
  <c r="M154" i="4" s="1"/>
  <c r="M155" i="4" s="1"/>
  <c r="AA84" i="4"/>
  <c r="AA120" i="4"/>
  <c r="X130" i="4"/>
  <c r="X136" i="4"/>
  <c r="X148" i="4"/>
  <c r="X154" i="4"/>
  <c r="D10" i="7"/>
  <c r="D20" i="7"/>
  <c r="AQ22" i="7"/>
  <c r="AQ32" i="7"/>
  <c r="AP32" i="7" s="1"/>
  <c r="D36" i="7"/>
  <c r="D53" i="7"/>
  <c r="J73" i="7"/>
  <c r="AQ100" i="7"/>
  <c r="AR114" i="7"/>
  <c r="AB126" i="7"/>
  <c r="S129" i="7"/>
  <c r="R129" i="7" s="1"/>
  <c r="AR133" i="7"/>
  <c r="AP133" i="7" s="1"/>
  <c r="AR136" i="7"/>
  <c r="AB139" i="7"/>
  <c r="AB154" i="7"/>
  <c r="Z154" i="7" s="1"/>
  <c r="T161" i="7"/>
  <c r="AR175" i="7"/>
  <c r="AP175" i="7" s="1"/>
  <c r="AB179" i="7"/>
  <c r="AQ186" i="7"/>
  <c r="AP208" i="7"/>
  <c r="AQ209" i="7"/>
  <c r="AP209" i="7" s="1"/>
  <c r="AQ221" i="7"/>
  <c r="AQ224" i="7"/>
  <c r="S231" i="7"/>
  <c r="AQ247" i="7"/>
  <c r="T250" i="7"/>
  <c r="S270" i="7"/>
  <c r="R270" i="7" s="1"/>
  <c r="AQ271" i="7"/>
  <c r="AB274" i="7"/>
  <c r="AB277" i="7"/>
  <c r="AQ279" i="7"/>
  <c r="AB283" i="7"/>
  <c r="AQ285" i="7"/>
  <c r="AP285" i="7" s="1"/>
  <c r="AB298" i="7"/>
  <c r="AQ303" i="7"/>
  <c r="AP303" i="7" s="1"/>
  <c r="AB315" i="7"/>
  <c r="AB348" i="7"/>
  <c r="AQ363" i="7"/>
  <c r="AP363" i="7" s="1"/>
  <c r="R369" i="7"/>
  <c r="AB378" i="7"/>
  <c r="Z378" i="7" s="1"/>
  <c r="AP384" i="7"/>
  <c r="AB385" i="7"/>
  <c r="R398" i="7"/>
  <c r="K404" i="7"/>
  <c r="AI406" i="7"/>
  <c r="K412" i="7"/>
  <c r="J412" i="7" s="1"/>
  <c r="AI429" i="7"/>
  <c r="L445" i="7"/>
  <c r="K449" i="7"/>
  <c r="K452" i="7"/>
  <c r="J452" i="7" s="1"/>
  <c r="K455" i="7"/>
  <c r="L458" i="7"/>
  <c r="J458" i="7" s="1"/>
  <c r="J473" i="7"/>
  <c r="L488" i="7"/>
  <c r="T497" i="7"/>
  <c r="K501" i="7"/>
  <c r="J501" i="7" s="1"/>
  <c r="D15" i="7"/>
  <c r="AQ26" i="7"/>
  <c r="C45" i="7"/>
  <c r="K58" i="7"/>
  <c r="AQ69" i="7"/>
  <c r="L75" i="7"/>
  <c r="L81" i="7"/>
  <c r="J81" i="7" s="1"/>
  <c r="L87" i="7"/>
  <c r="K92" i="7"/>
  <c r="J92" i="7" s="1"/>
  <c r="AQ94" i="7"/>
  <c r="S102" i="7"/>
  <c r="R102" i="7" s="1"/>
  <c r="S135" i="7"/>
  <c r="S141" i="7"/>
  <c r="AR157" i="7"/>
  <c r="Z159" i="7"/>
  <c r="S177" i="7"/>
  <c r="AQ187" i="7"/>
  <c r="AB214" i="7"/>
  <c r="T218" i="7"/>
  <c r="AB221" i="7"/>
  <c r="S226" i="7"/>
  <c r="AB232" i="7"/>
  <c r="AB234" i="7"/>
  <c r="AB238" i="7"/>
  <c r="AQ239" i="7"/>
  <c r="AB247" i="7"/>
  <c r="AQ264" i="7"/>
  <c r="AP264" i="7" s="1"/>
  <c r="AB271" i="7"/>
  <c r="AQ287" i="7"/>
  <c r="R309" i="7"/>
  <c r="AQ313" i="7"/>
  <c r="AQ324" i="7"/>
  <c r="AQ328" i="7"/>
  <c r="AP328" i="7" s="1"/>
  <c r="AQ339" i="7"/>
  <c r="AQ358" i="7"/>
  <c r="R366" i="7"/>
  <c r="AB375" i="7"/>
  <c r="S409" i="7"/>
  <c r="AI409" i="7"/>
  <c r="AH409" i="7" s="1"/>
  <c r="S411" i="7"/>
  <c r="K416" i="7"/>
  <c r="J416" i="7" s="1"/>
  <c r="K422" i="7"/>
  <c r="K431" i="7"/>
  <c r="AJ439" i="7"/>
  <c r="AJ442" i="7"/>
  <c r="AH442" i="7" s="1"/>
  <c r="K446" i="7"/>
  <c r="AJ462" i="7"/>
  <c r="AH462" i="7" s="1"/>
  <c r="L468" i="7"/>
  <c r="AJ474" i="7"/>
  <c r="AJ481" i="7"/>
  <c r="AH481" i="7" s="1"/>
  <c r="L489" i="7"/>
  <c r="AR500" i="7"/>
  <c r="AR504" i="7"/>
  <c r="C11" i="7"/>
  <c r="AQ18" i="7"/>
  <c r="D25" i="7"/>
  <c r="B25" i="7" s="1"/>
  <c r="AQ34" i="7"/>
  <c r="D50" i="7"/>
  <c r="B50" i="7" s="1"/>
  <c r="AQ103" i="7"/>
  <c r="D118" i="7"/>
  <c r="AI119" i="7"/>
  <c r="AH119" i="7" s="1"/>
  <c r="AR123" i="7"/>
  <c r="T131" i="7"/>
  <c r="D148" i="7"/>
  <c r="AB167" i="7"/>
  <c r="AQ180" i="7"/>
  <c r="AR210" i="7"/>
  <c r="AQ215" i="7"/>
  <c r="AQ222" i="7"/>
  <c r="T235" i="7"/>
  <c r="R235" i="7" s="1"/>
  <c r="T249" i="7"/>
  <c r="S273" i="7"/>
  <c r="R273" i="7" s="1"/>
  <c r="T276" i="7"/>
  <c r="R276" i="7" s="1"/>
  <c r="R280" i="7"/>
  <c r="AR292" i="7"/>
  <c r="AP292" i="7" s="1"/>
  <c r="AB295" i="7"/>
  <c r="T296" i="7"/>
  <c r="AQ300" i="7"/>
  <c r="AP300" i="7" s="1"/>
  <c r="AB318" i="7"/>
  <c r="AB336" i="7"/>
  <c r="AQ345" i="7"/>
  <c r="AQ369" i="7"/>
  <c r="AQ373" i="7"/>
  <c r="K407" i="7"/>
  <c r="J407" i="7" s="1"/>
  <c r="AA408" i="7"/>
  <c r="AH474" i="7"/>
  <c r="J499" i="7"/>
  <c r="AI512" i="7"/>
  <c r="L521" i="7"/>
  <c r="AI538" i="7"/>
  <c r="AI550" i="7"/>
  <c r="AI562" i="7"/>
  <c r="AI574" i="7"/>
  <c r="AI586" i="7"/>
  <c r="T773" i="7"/>
  <c r="T782" i="7"/>
  <c r="K804" i="7"/>
  <c r="J804" i="7" s="1"/>
  <c r="AA804" i="7"/>
  <c r="AB808" i="7"/>
  <c r="S834" i="7"/>
  <c r="R834" i="7" s="1"/>
  <c r="R837" i="7"/>
  <c r="AR843" i="7"/>
  <c r="AP843" i="7" s="1"/>
  <c r="AJ844" i="7"/>
  <c r="AB845" i="7"/>
  <c r="Z845" i="7" s="1"/>
  <c r="C847" i="7"/>
  <c r="B847" i="7" s="1"/>
  <c r="S850" i="7"/>
  <c r="R850" i="7" s="1"/>
  <c r="S856" i="7"/>
  <c r="R856" i="7" s="1"/>
  <c r="L876" i="7"/>
  <c r="J876" i="7" s="1"/>
  <c r="AI904" i="7"/>
  <c r="AB913" i="7"/>
  <c r="AR928" i="7"/>
  <c r="L929" i="7"/>
  <c r="AB931" i="7"/>
  <c r="AR939" i="7"/>
  <c r="J957" i="7"/>
  <c r="AR970" i="7"/>
  <c r="K976" i="7"/>
  <c r="T994" i="7"/>
  <c r="AB995" i="7"/>
  <c r="L1007" i="7"/>
  <c r="AB1010" i="7"/>
  <c r="K1014" i="7"/>
  <c r="J1014" i="7" s="1"/>
  <c r="J1029" i="7"/>
  <c r="AB1029" i="7"/>
  <c r="S1030" i="7"/>
  <c r="K1048" i="7"/>
  <c r="J1048" i="7" s="1"/>
  <c r="S1052" i="7"/>
  <c r="R1052" i="7" s="1"/>
  <c r="S1056" i="7"/>
  <c r="AB1077" i="7"/>
  <c r="Z1077" i="7" s="1"/>
  <c r="K1081" i="7"/>
  <c r="J1081" i="7" s="1"/>
  <c r="AQ1162" i="7"/>
  <c r="AR1162" i="7"/>
  <c r="AJ1165" i="7"/>
  <c r="AI1165" i="7"/>
  <c r="AA1173" i="7"/>
  <c r="AB1173" i="7"/>
  <c r="AQ1182" i="7"/>
  <c r="AR1182" i="7"/>
  <c r="C1203" i="7"/>
  <c r="D1203" i="7"/>
  <c r="T1206" i="7"/>
  <c r="S1206" i="7"/>
  <c r="AR1227" i="7"/>
  <c r="AQ1227" i="7"/>
  <c r="AR1241" i="7"/>
  <c r="AQ1241" i="7"/>
  <c r="AR1283" i="7"/>
  <c r="AQ1283" i="7"/>
  <c r="AR1340" i="7"/>
  <c r="AQ1340" i="7"/>
  <c r="S1344" i="7"/>
  <c r="T1344" i="7"/>
  <c r="AR1347" i="7"/>
  <c r="AQ1347" i="7"/>
  <c r="S1351" i="7"/>
  <c r="T1351" i="7"/>
  <c r="AR1354" i="7"/>
  <c r="AQ1354" i="7"/>
  <c r="T1408" i="7"/>
  <c r="S1408" i="7"/>
  <c r="T1417" i="7"/>
  <c r="S1417" i="7"/>
  <c r="C1423" i="7"/>
  <c r="D1423" i="7"/>
  <c r="K1455" i="7"/>
  <c r="L1455" i="7"/>
  <c r="T1494" i="7"/>
  <c r="S1494" i="7"/>
  <c r="AR1522" i="7"/>
  <c r="AQ1522" i="7"/>
  <c r="S1564" i="7"/>
  <c r="T1564" i="7"/>
  <c r="AR1677" i="7"/>
  <c r="AQ1677" i="7"/>
  <c r="AJ1704" i="7"/>
  <c r="AI1704" i="7"/>
  <c r="AJ1756" i="7"/>
  <c r="AI1756" i="7"/>
  <c r="K1762" i="7"/>
  <c r="L1762" i="7"/>
  <c r="D1830" i="7"/>
  <c r="C1830" i="7"/>
  <c r="AJ1915" i="7"/>
  <c r="AI1915" i="7"/>
  <c r="D1922" i="7"/>
  <c r="C1922" i="7"/>
  <c r="K526" i="7"/>
  <c r="AI529" i="7"/>
  <c r="AH529" i="7" s="1"/>
  <c r="AI541" i="7"/>
  <c r="AI553" i="7"/>
  <c r="AH553" i="7" s="1"/>
  <c r="AI565" i="7"/>
  <c r="AI577" i="7"/>
  <c r="AI589" i="7"/>
  <c r="AI798" i="7"/>
  <c r="C800" i="7"/>
  <c r="B800" i="7" s="1"/>
  <c r="AA801" i="7"/>
  <c r="AB812" i="7"/>
  <c r="AR813" i="7"/>
  <c r="AB814" i="7"/>
  <c r="AR819" i="7"/>
  <c r="K821" i="7"/>
  <c r="L832" i="7"/>
  <c r="AR834" i="7"/>
  <c r="K866" i="7"/>
  <c r="J866" i="7" s="1"/>
  <c r="AR885" i="7"/>
  <c r="L888" i="7"/>
  <c r="AB890" i="7"/>
  <c r="Z890" i="7" s="1"/>
  <c r="AR890" i="7"/>
  <c r="L897" i="7"/>
  <c r="AB898" i="7"/>
  <c r="AB903" i="7"/>
  <c r="AR910" i="7"/>
  <c r="J916" i="7"/>
  <c r="K938" i="7"/>
  <c r="J938" i="7" s="1"/>
  <c r="AR951" i="7"/>
  <c r="AJ952" i="7"/>
  <c r="AR956" i="7"/>
  <c r="AA968" i="7"/>
  <c r="Z968" i="7" s="1"/>
  <c r="L972" i="7"/>
  <c r="AJ986" i="7"/>
  <c r="T1006" i="7"/>
  <c r="AR1009" i="7"/>
  <c r="S1026" i="7"/>
  <c r="S1041" i="7"/>
  <c r="L1047" i="7"/>
  <c r="J1047" i="7" s="1"/>
  <c r="AR1047" i="7"/>
  <c r="K1051" i="7"/>
  <c r="J1051" i="7" s="1"/>
  <c r="K1055" i="7"/>
  <c r="K1057" i="7"/>
  <c r="J1057" i="7" s="1"/>
  <c r="AI1059" i="7"/>
  <c r="AH1059" i="7" s="1"/>
  <c r="AB1062" i="7"/>
  <c r="Z1062" i="7" s="1"/>
  <c r="K1065" i="7"/>
  <c r="J1065" i="7" s="1"/>
  <c r="S1067" i="7"/>
  <c r="AR1080" i="7"/>
  <c r="AB1101" i="7"/>
  <c r="AB1105" i="7"/>
  <c r="AB1108" i="7"/>
  <c r="S1109" i="7"/>
  <c r="R1109" i="7" s="1"/>
  <c r="R1117" i="7"/>
  <c r="J1118" i="7"/>
  <c r="L1130" i="7"/>
  <c r="K1130" i="7"/>
  <c r="AJ1137" i="7"/>
  <c r="AI1137" i="7"/>
  <c r="AJ1150" i="7"/>
  <c r="AI1150" i="7"/>
  <c r="AA1162" i="7"/>
  <c r="AB1162" i="7"/>
  <c r="S1165" i="7"/>
  <c r="R1165" i="7" s="1"/>
  <c r="T1165" i="7"/>
  <c r="K1167" i="7"/>
  <c r="L1167" i="7"/>
  <c r="AQ1170" i="7"/>
  <c r="AR1170" i="7"/>
  <c r="R1197" i="7"/>
  <c r="AQ1261" i="7"/>
  <c r="AR1261" i="7"/>
  <c r="AQ1296" i="7"/>
  <c r="AR1296" i="7"/>
  <c r="AA1318" i="7"/>
  <c r="AB1318" i="7"/>
  <c r="AA1330" i="7"/>
  <c r="AB1330" i="7"/>
  <c r="S1367" i="7"/>
  <c r="T1367" i="7"/>
  <c r="C1408" i="7"/>
  <c r="D1408" i="7"/>
  <c r="C1417" i="7"/>
  <c r="D1417" i="7"/>
  <c r="AR1435" i="7"/>
  <c r="AQ1435" i="7"/>
  <c r="AR1446" i="7"/>
  <c r="AQ1446" i="7"/>
  <c r="AR1478" i="7"/>
  <c r="AQ1478" i="7"/>
  <c r="C1522" i="7"/>
  <c r="D1522" i="7"/>
  <c r="S1669" i="7"/>
  <c r="T1669" i="7"/>
  <c r="AR1672" i="7"/>
  <c r="AQ1672" i="7"/>
  <c r="AQ1702" i="7"/>
  <c r="AR1702" i="7"/>
  <c r="AJ1748" i="7"/>
  <c r="AI1748" i="7"/>
  <c r="K1812" i="7"/>
  <c r="L1812" i="7"/>
  <c r="L1821" i="7"/>
  <c r="K1821" i="7"/>
  <c r="J1821" i="7" s="1"/>
  <c r="K1868" i="7"/>
  <c r="L1868" i="7"/>
  <c r="AJ1912" i="7"/>
  <c r="AI1912" i="7"/>
  <c r="AA519" i="7"/>
  <c r="Z519" i="7" s="1"/>
  <c r="L523" i="7"/>
  <c r="AR525" i="7"/>
  <c r="T528" i="7"/>
  <c r="AI530" i="7"/>
  <c r="AI542" i="7"/>
  <c r="AI554" i="7"/>
  <c r="AI566" i="7"/>
  <c r="AI578" i="7"/>
  <c r="AI590" i="7"/>
  <c r="AH590" i="7" s="1"/>
  <c r="L603" i="7"/>
  <c r="AR605" i="7"/>
  <c r="L607" i="7"/>
  <c r="AR609" i="7"/>
  <c r="L611" i="7"/>
  <c r="AR613" i="7"/>
  <c r="AP613" i="7" s="1"/>
  <c r="L615" i="7"/>
  <c r="AR617" i="7"/>
  <c r="L619" i="7"/>
  <c r="AR621" i="7"/>
  <c r="L623" i="7"/>
  <c r="AR625" i="7"/>
  <c r="AP625" i="7" s="1"/>
  <c r="L627" i="7"/>
  <c r="AR629" i="7"/>
  <c r="L631" i="7"/>
  <c r="AR633" i="7"/>
  <c r="L635" i="7"/>
  <c r="AR637" i="7"/>
  <c r="AP637" i="7" s="1"/>
  <c r="L639" i="7"/>
  <c r="AR641" i="7"/>
  <c r="L643" i="7"/>
  <c r="AR645" i="7"/>
  <c r="L647" i="7"/>
  <c r="AR649" i="7"/>
  <c r="AP649" i="7" s="1"/>
  <c r="L651" i="7"/>
  <c r="AR653" i="7"/>
  <c r="L655" i="7"/>
  <c r="AR657" i="7"/>
  <c r="L659" i="7"/>
  <c r="AR661" i="7"/>
  <c r="AP661" i="7" s="1"/>
  <c r="L663" i="7"/>
  <c r="AR665" i="7"/>
  <c r="L667" i="7"/>
  <c r="AR669" i="7"/>
  <c r="T776" i="7"/>
  <c r="T785" i="7"/>
  <c r="T792" i="7"/>
  <c r="AJ793" i="7"/>
  <c r="AH793" i="7" s="1"/>
  <c r="T798" i="7"/>
  <c r="AB822" i="7"/>
  <c r="S823" i="7"/>
  <c r="R823" i="7" s="1"/>
  <c r="AJ825" i="7"/>
  <c r="AH825" i="7" s="1"/>
  <c r="AR827" i="7"/>
  <c r="C831" i="7"/>
  <c r="B831" i="7" s="1"/>
  <c r="AR842" i="7"/>
  <c r="AB852" i="7"/>
  <c r="AR852" i="7"/>
  <c r="AI855" i="7"/>
  <c r="AH855" i="7" s="1"/>
  <c r="S863" i="7"/>
  <c r="R863" i="7" s="1"/>
  <c r="C867" i="7"/>
  <c r="B867" i="7" s="1"/>
  <c r="AR870" i="7"/>
  <c r="L874" i="7"/>
  <c r="AB875" i="7"/>
  <c r="AB878" i="7"/>
  <c r="Z878" i="7" s="1"/>
  <c r="AI892" i="7"/>
  <c r="AI902" i="7"/>
  <c r="AH902" i="7" s="1"/>
  <c r="K917" i="7"/>
  <c r="J920" i="7"/>
  <c r="L928" i="7"/>
  <c r="AA932" i="7"/>
  <c r="K962" i="7"/>
  <c r="C963" i="7"/>
  <c r="B963" i="7" s="1"/>
  <c r="L968" i="7"/>
  <c r="J968" i="7" s="1"/>
  <c r="AR968" i="7"/>
  <c r="K969" i="7"/>
  <c r="L973" i="7"/>
  <c r="T979" i="7"/>
  <c r="AR994" i="7"/>
  <c r="S1032" i="7"/>
  <c r="S1035" i="7"/>
  <c r="K1042" i="7"/>
  <c r="J1042" i="7" s="1"/>
  <c r="AR1054" i="7"/>
  <c r="AR1071" i="7"/>
  <c r="R1079" i="7"/>
  <c r="S1096" i="7"/>
  <c r="R1096" i="7" s="1"/>
  <c r="S1111" i="7"/>
  <c r="K1112" i="7"/>
  <c r="J1112" i="7" s="1"/>
  <c r="K1115" i="7"/>
  <c r="J1115" i="7" s="1"/>
  <c r="L1124" i="7"/>
  <c r="K1124" i="7"/>
  <c r="K1131" i="7"/>
  <c r="L1131" i="7"/>
  <c r="AJ1134" i="7"/>
  <c r="AI1134" i="7"/>
  <c r="L1139" i="7"/>
  <c r="K1139" i="7"/>
  <c r="AQ1149" i="7"/>
  <c r="AR1149" i="7"/>
  <c r="AJ1152" i="7"/>
  <c r="AI1152" i="7"/>
  <c r="K1179" i="7"/>
  <c r="L1179" i="7"/>
  <c r="J1179" i="7" s="1"/>
  <c r="AJ1186" i="7"/>
  <c r="AI1186" i="7"/>
  <c r="AB1205" i="7"/>
  <c r="AA1205" i="7"/>
  <c r="AJ1270" i="7"/>
  <c r="AI1270" i="7"/>
  <c r="AH1270" i="7" s="1"/>
  <c r="AR1279" i="7"/>
  <c r="AQ1279" i="7"/>
  <c r="AA1295" i="7"/>
  <c r="AB1295" i="7"/>
  <c r="AA1305" i="7"/>
  <c r="AB1305" i="7"/>
  <c r="AR1336" i="7"/>
  <c r="AQ1336" i="7"/>
  <c r="AA1340" i="7"/>
  <c r="AB1340" i="7"/>
  <c r="AA1347" i="7"/>
  <c r="AB1347" i="7"/>
  <c r="AR1349" i="7"/>
  <c r="AQ1349" i="7"/>
  <c r="AA1354" i="7"/>
  <c r="AB1354" i="7"/>
  <c r="S1363" i="7"/>
  <c r="T1363" i="7"/>
  <c r="C1372" i="7"/>
  <c r="D1372" i="7"/>
  <c r="T1381" i="7"/>
  <c r="S1381" i="7"/>
  <c r="C1398" i="7"/>
  <c r="D1398" i="7"/>
  <c r="B1398" i="7" s="1"/>
  <c r="AA1453" i="7"/>
  <c r="AB1453" i="7"/>
  <c r="AB1477" i="7"/>
  <c r="AA1477" i="7"/>
  <c r="AR1554" i="7"/>
  <c r="AQ1554" i="7"/>
  <c r="S1609" i="7"/>
  <c r="T1609" i="7"/>
  <c r="AQ1617" i="7"/>
  <c r="AR1617" i="7"/>
  <c r="AR1744" i="7"/>
  <c r="AQ1744" i="7"/>
  <c r="S1853" i="7"/>
  <c r="T1853" i="7"/>
  <c r="L1903" i="7"/>
  <c r="K1903" i="7"/>
  <c r="AI509" i="7"/>
  <c r="AI515" i="7"/>
  <c r="AI532" i="7"/>
  <c r="AH532" i="7" s="1"/>
  <c r="AI544" i="7"/>
  <c r="AI556" i="7"/>
  <c r="AI568" i="7"/>
  <c r="AI580" i="7"/>
  <c r="T787" i="7"/>
  <c r="C804" i="7"/>
  <c r="B804" i="7" s="1"/>
  <c r="AB806" i="7"/>
  <c r="J829" i="7"/>
  <c r="L834" i="7"/>
  <c r="AP837" i="7"/>
  <c r="AR839" i="7"/>
  <c r="AB844" i="7"/>
  <c r="Z844" i="7" s="1"/>
  <c r="AA850" i="7"/>
  <c r="S853" i="7"/>
  <c r="R853" i="7" s="1"/>
  <c r="S859" i="7"/>
  <c r="R859" i="7" s="1"/>
  <c r="AR861" i="7"/>
  <c r="AR867" i="7"/>
  <c r="AI874" i="7"/>
  <c r="AI894" i="7"/>
  <c r="AH894" i="7" s="1"/>
  <c r="K900" i="7"/>
  <c r="AA904" i="7"/>
  <c r="Z904" i="7" s="1"/>
  <c r="L914" i="7"/>
  <c r="AB915" i="7"/>
  <c r="Z915" i="7" s="1"/>
  <c r="AI925" i="7"/>
  <c r="AA927" i="7"/>
  <c r="Z927" i="7" s="1"/>
  <c r="T955" i="7"/>
  <c r="J977" i="7"/>
  <c r="T997" i="7"/>
  <c r="S1007" i="7"/>
  <c r="K1008" i="7"/>
  <c r="AR1011" i="7"/>
  <c r="AB1013" i="7"/>
  <c r="Z1013" i="7" s="1"/>
  <c r="AR1014" i="7"/>
  <c r="AB1023" i="7"/>
  <c r="AB1034" i="7"/>
  <c r="Z1034" i="7" s="1"/>
  <c r="AB1037" i="7"/>
  <c r="Z1037" i="7" s="1"/>
  <c r="S1038" i="7"/>
  <c r="K1039" i="7"/>
  <c r="L1052" i="7"/>
  <c r="AR1052" i="7"/>
  <c r="S1073" i="7"/>
  <c r="R1073" i="7" s="1"/>
  <c r="AB1075" i="7"/>
  <c r="AI1077" i="7"/>
  <c r="AH1077" i="7" s="1"/>
  <c r="AB1078" i="7"/>
  <c r="Z1078" i="7" s="1"/>
  <c r="AB1084" i="7"/>
  <c r="T1092" i="7"/>
  <c r="AB1095" i="7"/>
  <c r="AB1099" i="7"/>
  <c r="AR1100" i="7"/>
  <c r="AR1103" i="7"/>
  <c r="AR1114" i="7"/>
  <c r="AB1119" i="7"/>
  <c r="AR1119" i="7"/>
  <c r="AI1120" i="7"/>
  <c r="AH1120" i="7" s="1"/>
  <c r="T1123" i="7"/>
  <c r="AQ1129" i="7"/>
  <c r="AR1129" i="7"/>
  <c r="K1161" i="7"/>
  <c r="L1161" i="7"/>
  <c r="J1161" i="7" s="1"/>
  <c r="AA1164" i="7"/>
  <c r="AB1164" i="7"/>
  <c r="AJ1168" i="7"/>
  <c r="AI1168" i="7"/>
  <c r="AJ1174" i="7"/>
  <c r="AI1174" i="7"/>
  <c r="AJ1176" i="7"/>
  <c r="AI1176" i="7"/>
  <c r="L1180" i="7"/>
  <c r="K1180" i="7"/>
  <c r="AQ1185" i="7"/>
  <c r="AR1185" i="7"/>
  <c r="AJ1189" i="7"/>
  <c r="AI1189" i="7"/>
  <c r="AJ1194" i="7"/>
  <c r="AI1194" i="7"/>
  <c r="S1199" i="7"/>
  <c r="T1199" i="7"/>
  <c r="R1199" i="7" s="1"/>
  <c r="S1200" i="7"/>
  <c r="R1200" i="7" s="1"/>
  <c r="S1202" i="7"/>
  <c r="T1202" i="7"/>
  <c r="T1235" i="7"/>
  <c r="S1235" i="7"/>
  <c r="AJ1258" i="7"/>
  <c r="AI1258" i="7"/>
  <c r="S1268" i="7"/>
  <c r="T1268" i="7"/>
  <c r="AR1338" i="7"/>
  <c r="AQ1338" i="7"/>
  <c r="S1357" i="7"/>
  <c r="T1357" i="7"/>
  <c r="AA1379" i="7"/>
  <c r="AB1379" i="7"/>
  <c r="T1420" i="7"/>
  <c r="S1420" i="7"/>
  <c r="AB1473" i="7"/>
  <c r="AA1473" i="7"/>
  <c r="C1484" i="7"/>
  <c r="D1484" i="7"/>
  <c r="D1507" i="7"/>
  <c r="C1507" i="7"/>
  <c r="T1653" i="7"/>
  <c r="S1653" i="7"/>
  <c r="AR1689" i="7"/>
  <c r="AQ1689" i="7"/>
  <c r="AQ1731" i="7"/>
  <c r="AR1731" i="7"/>
  <c r="S1737" i="7"/>
  <c r="T1737" i="7"/>
  <c r="L1799" i="7"/>
  <c r="K1799" i="7"/>
  <c r="D1846" i="7"/>
  <c r="C1846" i="7"/>
  <c r="L1897" i="7"/>
  <c r="K1897" i="7"/>
  <c r="T515" i="7"/>
  <c r="R515" i="7" s="1"/>
  <c r="L525" i="7"/>
  <c r="AJ526" i="7"/>
  <c r="AI535" i="7"/>
  <c r="AI547" i="7"/>
  <c r="AH547" i="7" s="1"/>
  <c r="AI559" i="7"/>
  <c r="AI571" i="7"/>
  <c r="AI583" i="7"/>
  <c r="L595" i="7"/>
  <c r="AI604" i="7"/>
  <c r="AI608" i="7"/>
  <c r="AH608" i="7" s="1"/>
  <c r="AI612" i="7"/>
  <c r="AI616" i="7"/>
  <c r="AI620" i="7"/>
  <c r="AI624" i="7"/>
  <c r="AI628" i="7"/>
  <c r="AI632" i="7"/>
  <c r="AH632" i="7" s="1"/>
  <c r="AI636" i="7"/>
  <c r="AI640" i="7"/>
  <c r="AI644" i="7"/>
  <c r="AI648" i="7"/>
  <c r="AI652" i="7"/>
  <c r="AI656" i="7"/>
  <c r="AH656" i="7" s="1"/>
  <c r="AI660" i="7"/>
  <c r="AI664" i="7"/>
  <c r="AI668" i="7"/>
  <c r="T770" i="7"/>
  <c r="T779" i="7"/>
  <c r="AI790" i="7"/>
  <c r="K800" i="7"/>
  <c r="J800" i="7" s="1"/>
  <c r="AA800" i="7"/>
  <c r="AA807" i="7"/>
  <c r="AB810" i="7"/>
  <c r="C814" i="7"/>
  <c r="B814" i="7" s="1"/>
  <c r="K818" i="7"/>
  <c r="J818" i="7" s="1"/>
  <c r="AA818" i="7"/>
  <c r="AJ819" i="7"/>
  <c r="AA820" i="7"/>
  <c r="AR821" i="7"/>
  <c r="K826" i="7"/>
  <c r="L858" i="7"/>
  <c r="J858" i="7" s="1"/>
  <c r="AR871" i="7"/>
  <c r="AI918" i="7"/>
  <c r="AH918" i="7" s="1"/>
  <c r="K927" i="7"/>
  <c r="AB933" i="7"/>
  <c r="K935" i="7"/>
  <c r="AB937" i="7"/>
  <c r="Z937" i="7" s="1"/>
  <c r="AR945" i="7"/>
  <c r="K954" i="7"/>
  <c r="K959" i="7"/>
  <c r="J959" i="7" s="1"/>
  <c r="C965" i="7"/>
  <c r="B965" i="7" s="1"/>
  <c r="AR976" i="7"/>
  <c r="AB982" i="7"/>
  <c r="T991" i="7"/>
  <c r="S1004" i="7"/>
  <c r="S1016" i="7"/>
  <c r="S1017" i="7"/>
  <c r="L1026" i="7"/>
  <c r="AR1033" i="7"/>
  <c r="J1058" i="7"/>
  <c r="L1063" i="7"/>
  <c r="T1065" i="7"/>
  <c r="AI1069" i="7"/>
  <c r="AH1069" i="7" s="1"/>
  <c r="J1106" i="7"/>
  <c r="T1131" i="7"/>
  <c r="S1131" i="7"/>
  <c r="AQ1138" i="7"/>
  <c r="AR1138" i="7"/>
  <c r="S1152" i="7"/>
  <c r="T1152" i="7"/>
  <c r="K1158" i="7"/>
  <c r="J1158" i="7" s="1"/>
  <c r="L1158" i="7"/>
  <c r="AQ1167" i="7"/>
  <c r="AR1167" i="7"/>
  <c r="K1170" i="7"/>
  <c r="L1170" i="7"/>
  <c r="L1183" i="7"/>
  <c r="J1183" i="7" s="1"/>
  <c r="K1183" i="7"/>
  <c r="AA1185" i="7"/>
  <c r="AB1185" i="7"/>
  <c r="T1188" i="7"/>
  <c r="S1188" i="7"/>
  <c r="L1205" i="7"/>
  <c r="K1205" i="7"/>
  <c r="S1256" i="7"/>
  <c r="T1256" i="7"/>
  <c r="AA1300" i="7"/>
  <c r="AB1300" i="7"/>
  <c r="AA1324" i="7"/>
  <c r="AB1324" i="7"/>
  <c r="AA1336" i="7"/>
  <c r="AB1336" i="7"/>
  <c r="S1361" i="7"/>
  <c r="T1361" i="7"/>
  <c r="AA1369" i="7"/>
  <c r="AB1369" i="7"/>
  <c r="AA1390" i="7"/>
  <c r="AB1390" i="7"/>
  <c r="D1395" i="7"/>
  <c r="C1395" i="7"/>
  <c r="D1400" i="7"/>
  <c r="C1400" i="7"/>
  <c r="AR1411" i="7"/>
  <c r="AQ1411" i="7"/>
  <c r="D1418" i="7"/>
  <c r="C1418" i="7"/>
  <c r="T1432" i="7"/>
  <c r="S1432" i="7"/>
  <c r="AR1451" i="7"/>
  <c r="AQ1451" i="7"/>
  <c r="AB1455" i="7"/>
  <c r="AA1455" i="7"/>
  <c r="K1477" i="7"/>
  <c r="L1477" i="7"/>
  <c r="B1491" i="7"/>
  <c r="AR1599" i="7"/>
  <c r="AQ1599" i="7"/>
  <c r="S1840" i="7"/>
  <c r="T1840" i="7"/>
  <c r="AR1890" i="7"/>
  <c r="AQ1890" i="7"/>
  <c r="AJ1923" i="7"/>
  <c r="AI1923" i="7"/>
  <c r="AI510" i="7"/>
  <c r="AH510" i="7" s="1"/>
  <c r="AI536" i="7"/>
  <c r="AH536" i="7" s="1"/>
  <c r="AI548" i="7"/>
  <c r="AI560" i="7"/>
  <c r="AI572" i="7"/>
  <c r="T790" i="7"/>
  <c r="T795" i="7"/>
  <c r="AJ796" i="7"/>
  <c r="AH796" i="7" s="1"/>
  <c r="AR817" i="7"/>
  <c r="C825" i="7"/>
  <c r="B825" i="7" s="1"/>
  <c r="AB849" i="7"/>
  <c r="AI852" i="7"/>
  <c r="AH852" i="7" s="1"/>
  <c r="AB855" i="7"/>
  <c r="AR860" i="7"/>
  <c r="AP860" i="7" s="1"/>
  <c r="C864" i="7"/>
  <c r="B864" i="7" s="1"/>
  <c r="S866" i="7"/>
  <c r="R866" i="7" s="1"/>
  <c r="L867" i="7"/>
  <c r="L870" i="7"/>
  <c r="AA871" i="7"/>
  <c r="C874" i="7"/>
  <c r="B874" i="7" s="1"/>
  <c r="AI878" i="7"/>
  <c r="AH878" i="7" s="1"/>
  <c r="AI881" i="7"/>
  <c r="AH881" i="7" s="1"/>
  <c r="AR884" i="7"/>
  <c r="AI906" i="7"/>
  <c r="AH906" i="7" s="1"/>
  <c r="AA908" i="7"/>
  <c r="AI922" i="7"/>
  <c r="AA923" i="7"/>
  <c r="AI950" i="7"/>
  <c r="AH950" i="7" s="1"/>
  <c r="T953" i="7"/>
  <c r="AR958" i="7"/>
  <c r="C961" i="7"/>
  <c r="B961" i="7" s="1"/>
  <c r="J971" i="7"/>
  <c r="AA980" i="7"/>
  <c r="T985" i="7"/>
  <c r="AR1000" i="7"/>
  <c r="K1003" i="7"/>
  <c r="AB1003" i="7"/>
  <c r="AR1010" i="7"/>
  <c r="AP1010" i="7" s="1"/>
  <c r="AB1026" i="7"/>
  <c r="AR1027" i="7"/>
  <c r="S1036" i="7"/>
  <c r="S1044" i="7"/>
  <c r="K1045" i="7"/>
  <c r="T1049" i="7"/>
  <c r="AR1057" i="7"/>
  <c r="L1064" i="7"/>
  <c r="S1066" i="7"/>
  <c r="AB1068" i="7"/>
  <c r="Z1068" i="7" s="1"/>
  <c r="K1070" i="7"/>
  <c r="AR1082" i="7"/>
  <c r="AR1085" i="7"/>
  <c r="AB1087" i="7"/>
  <c r="K1091" i="7"/>
  <c r="AR1094" i="7"/>
  <c r="AR1097" i="7"/>
  <c r="AB1107" i="7"/>
  <c r="L1114" i="7"/>
  <c r="J1114" i="7" s="1"/>
  <c r="K1128" i="7"/>
  <c r="L1128" i="7"/>
  <c r="K1143" i="7"/>
  <c r="L1143" i="7"/>
  <c r="S1174" i="7"/>
  <c r="R1174" i="7" s="1"/>
  <c r="T1174" i="7"/>
  <c r="S1176" i="7"/>
  <c r="T1176" i="7"/>
  <c r="AQ1179" i="7"/>
  <c r="AR1179" i="7"/>
  <c r="AA1312" i="7"/>
  <c r="AB1312" i="7"/>
  <c r="AA1338" i="7"/>
  <c r="AB1338" i="7"/>
  <c r="K1376" i="7"/>
  <c r="L1376" i="7"/>
  <c r="C1383" i="7"/>
  <c r="D1383" i="7"/>
  <c r="AR1423" i="7"/>
  <c r="AQ1423" i="7"/>
  <c r="D1432" i="7"/>
  <c r="C1432" i="7"/>
  <c r="D1450" i="7"/>
  <c r="C1450" i="7"/>
  <c r="AR1460" i="7"/>
  <c r="AQ1460" i="7"/>
  <c r="D1476" i="7"/>
  <c r="C1476" i="7"/>
  <c r="C1480" i="7"/>
  <c r="B1480" i="7" s="1"/>
  <c r="D1480" i="7"/>
  <c r="S1577" i="7"/>
  <c r="T1577" i="7"/>
  <c r="AJ1587" i="7"/>
  <c r="AI1587" i="7"/>
  <c r="AQ1726" i="7"/>
  <c r="AR1726" i="7"/>
  <c r="AQ1883" i="7"/>
  <c r="AR1883" i="7"/>
  <c r="AJ1888" i="7"/>
  <c r="AI1888" i="7"/>
  <c r="AQ1922" i="7"/>
  <c r="AP1922" i="7" s="1"/>
  <c r="AR1922" i="7"/>
  <c r="S1976" i="7"/>
  <c r="T1976" i="7"/>
  <c r="AR1979" i="7"/>
  <c r="AQ1979" i="7"/>
  <c r="AA2025" i="7"/>
  <c r="Z2025" i="7" s="1"/>
  <c r="AB2025" i="7"/>
  <c r="D2098" i="7"/>
  <c r="C2098" i="7"/>
  <c r="AJ2114" i="7"/>
  <c r="AI2114" i="7"/>
  <c r="AA2645" i="7"/>
  <c r="AB2645" i="7"/>
  <c r="AI2806" i="7"/>
  <c r="AJ2806" i="7"/>
  <c r="AI2818" i="7"/>
  <c r="AJ2818" i="7"/>
  <c r="AI2833" i="7"/>
  <c r="AH2833" i="7" s="1"/>
  <c r="AJ2833" i="7"/>
  <c r="AJ2941" i="7"/>
  <c r="AI2941" i="7"/>
  <c r="AB3022" i="7"/>
  <c r="AA3022" i="7"/>
  <c r="AI1125" i="7"/>
  <c r="AH1125" i="7" s="1"/>
  <c r="AR1128" i="7"/>
  <c r="AI1140" i="7"/>
  <c r="AH1140" i="7" s="1"/>
  <c r="AR1143" i="7"/>
  <c r="AI1144" i="7"/>
  <c r="AH1144" i="7" s="1"/>
  <c r="L1149" i="7"/>
  <c r="J1149" i="7" s="1"/>
  <c r="AI1153" i="7"/>
  <c r="AH1153" i="7" s="1"/>
  <c r="AR1161" i="7"/>
  <c r="AB1171" i="7"/>
  <c r="AR1171" i="7"/>
  <c r="K1176" i="7"/>
  <c r="T1181" i="7"/>
  <c r="AI1191" i="7"/>
  <c r="AH1191" i="7" s="1"/>
  <c r="AB1197" i="7"/>
  <c r="AR1197" i="7"/>
  <c r="AJ1203" i="7"/>
  <c r="AB1207" i="7"/>
  <c r="AQ1207" i="7"/>
  <c r="K1208" i="7"/>
  <c r="J1208" i="7" s="1"/>
  <c r="AA1208" i="7"/>
  <c r="Z1208" i="7" s="1"/>
  <c r="K1216" i="7"/>
  <c r="J1216" i="7" s="1"/>
  <c r="T1220" i="7"/>
  <c r="AR1224" i="7"/>
  <c r="AQ1244" i="7"/>
  <c r="S1263" i="7"/>
  <c r="S1275" i="7"/>
  <c r="AI1282" i="7"/>
  <c r="AH1282" i="7" s="1"/>
  <c r="AB1292" i="7"/>
  <c r="AP1302" i="7"/>
  <c r="AB1307" i="7"/>
  <c r="AB1314" i="7"/>
  <c r="AB1320" i="7"/>
  <c r="AB1346" i="7"/>
  <c r="T1356" i="7"/>
  <c r="R1356" i="7" s="1"/>
  <c r="AQ1364" i="7"/>
  <c r="AA1377" i="7"/>
  <c r="C1388" i="7"/>
  <c r="Z1396" i="7"/>
  <c r="K1499" i="7"/>
  <c r="L1499" i="7"/>
  <c r="AR1505" i="7"/>
  <c r="AQ1505" i="7"/>
  <c r="R1600" i="7"/>
  <c r="AJ1606" i="7"/>
  <c r="AI1606" i="7"/>
  <c r="AJ1613" i="7"/>
  <c r="AI1613" i="7"/>
  <c r="AR1645" i="7"/>
  <c r="AQ1645" i="7"/>
  <c r="AR1663" i="7"/>
  <c r="AQ1663" i="7"/>
  <c r="AJ1676" i="7"/>
  <c r="AI1676" i="7"/>
  <c r="T1687" i="7"/>
  <c r="S1687" i="7"/>
  <c r="AR1693" i="7"/>
  <c r="AQ1693" i="7"/>
  <c r="T1714" i="7"/>
  <c r="S1714" i="7"/>
  <c r="AJ1729" i="7"/>
  <c r="AI1729" i="7"/>
  <c r="T1734" i="7"/>
  <c r="S1734" i="7"/>
  <c r="D1773" i="7"/>
  <c r="C1773" i="7"/>
  <c r="D1789" i="7"/>
  <c r="C1789" i="7"/>
  <c r="D1798" i="7"/>
  <c r="C1798" i="7"/>
  <c r="AI1860" i="7"/>
  <c r="AJ1860" i="7"/>
  <c r="AR1866" i="7"/>
  <c r="AQ1866" i="7"/>
  <c r="AR1871" i="7"/>
  <c r="AQ1871" i="7"/>
  <c r="AR1879" i="7"/>
  <c r="AQ1879" i="7"/>
  <c r="D1900" i="7"/>
  <c r="C1900" i="7"/>
  <c r="AR1919" i="7"/>
  <c r="AQ1919" i="7"/>
  <c r="AR1950" i="7"/>
  <c r="AQ1950" i="7"/>
  <c r="AJ1958" i="7"/>
  <c r="AI1958" i="7"/>
  <c r="AJ1964" i="7"/>
  <c r="AI1964" i="7"/>
  <c r="AQ1969" i="7"/>
  <c r="AR1969" i="7"/>
  <c r="T1996" i="7"/>
  <c r="S1996" i="7"/>
  <c r="AR2022" i="7"/>
  <c r="AQ2022" i="7"/>
  <c r="AJ2063" i="7"/>
  <c r="AI2063" i="7"/>
  <c r="AR2094" i="7"/>
  <c r="AQ2094" i="7"/>
  <c r="D2101" i="7"/>
  <c r="C2101" i="7"/>
  <c r="AB2147" i="7"/>
  <c r="AA2147" i="7"/>
  <c r="AA2639" i="7"/>
  <c r="AB2639" i="7"/>
  <c r="AJ2803" i="7"/>
  <c r="AI2803" i="7"/>
  <c r="AI2815" i="7"/>
  <c r="AJ2815" i="7"/>
  <c r="AB2827" i="7"/>
  <c r="AA2827" i="7"/>
  <c r="AB3009" i="7"/>
  <c r="AA3009" i="7"/>
  <c r="AB3047" i="7"/>
  <c r="AA3047" i="7"/>
  <c r="AI1131" i="7"/>
  <c r="AH1131" i="7" s="1"/>
  <c r="L1137" i="7"/>
  <c r="J1137" i="7" s="1"/>
  <c r="L1146" i="7"/>
  <c r="L1152" i="7"/>
  <c r="J1152" i="7" s="1"/>
  <c r="AB1152" i="7"/>
  <c r="AB1161" i="7"/>
  <c r="T1162" i="7"/>
  <c r="AR1164" i="7"/>
  <c r="AB1174" i="7"/>
  <c r="AR1174" i="7"/>
  <c r="AB1176" i="7"/>
  <c r="AA1180" i="7"/>
  <c r="AQ1220" i="7"/>
  <c r="S1225" i="7"/>
  <c r="S1231" i="7"/>
  <c r="S1237" i="7"/>
  <c r="AI1252" i="7"/>
  <c r="AH1252" i="7" s="1"/>
  <c r="AB1253" i="7"/>
  <c r="Z1253" i="7" s="1"/>
  <c r="S1265" i="7"/>
  <c r="AQ1270" i="7"/>
  <c r="AB1297" i="7"/>
  <c r="AB1315" i="7"/>
  <c r="AB1327" i="7"/>
  <c r="AB1333" i="7"/>
  <c r="AB1337" i="7"/>
  <c r="AQ1341" i="7"/>
  <c r="T1343" i="7"/>
  <c r="R1343" i="7" s="1"/>
  <c r="AQ1348" i="7"/>
  <c r="R1350" i="7"/>
  <c r="AQ1352" i="7"/>
  <c r="AQ1358" i="7"/>
  <c r="R1362" i="7"/>
  <c r="D1364" i="7"/>
  <c r="AB1368" i="7"/>
  <c r="Z1368" i="7" s="1"/>
  <c r="AB1381" i="7"/>
  <c r="D1386" i="7"/>
  <c r="S1387" i="7"/>
  <c r="R1387" i="7" s="1"/>
  <c r="S1390" i="7"/>
  <c r="R1390" i="7" s="1"/>
  <c r="AB1391" i="7"/>
  <c r="Z1391" i="7" s="1"/>
  <c r="AB1412" i="7"/>
  <c r="AB1420" i="7"/>
  <c r="C1424" i="7"/>
  <c r="D1452" i="7"/>
  <c r="B1452" i="7" s="1"/>
  <c r="C1475" i="7"/>
  <c r="S1475" i="7"/>
  <c r="AA1488" i="7"/>
  <c r="T1497" i="7"/>
  <c r="S1497" i="7"/>
  <c r="AB1504" i="7"/>
  <c r="AA1516" i="7"/>
  <c r="AB1516" i="7"/>
  <c r="S1518" i="7"/>
  <c r="AB1548" i="7"/>
  <c r="AA1548" i="7"/>
  <c r="C1549" i="7"/>
  <c r="L1550" i="7"/>
  <c r="AR1560" i="7"/>
  <c r="AJ1581" i="7"/>
  <c r="AI1581" i="7"/>
  <c r="T1595" i="7"/>
  <c r="S1595" i="7"/>
  <c r="S1612" i="7"/>
  <c r="T1612" i="7"/>
  <c r="AJ1660" i="7"/>
  <c r="AI1660" i="7"/>
  <c r="T1671" i="7"/>
  <c r="S1671" i="7"/>
  <c r="S1681" i="7"/>
  <c r="T1681" i="7"/>
  <c r="T1705" i="7"/>
  <c r="R1705" i="7" s="1"/>
  <c r="S1705" i="7"/>
  <c r="AJ1724" i="7"/>
  <c r="AI1724" i="7"/>
  <c r="T1729" i="7"/>
  <c r="R1729" i="7" s="1"/>
  <c r="T1752" i="7"/>
  <c r="S1752" i="7"/>
  <c r="T1758" i="7"/>
  <c r="S1758" i="7"/>
  <c r="K1772" i="7"/>
  <c r="L1772" i="7"/>
  <c r="AJ1772" i="7"/>
  <c r="AJ1787" i="7"/>
  <c r="K1797" i="7"/>
  <c r="L1797" i="7"/>
  <c r="AJ1797" i="7"/>
  <c r="AJ1808" i="7"/>
  <c r="AA1809" i="7"/>
  <c r="Z1809" i="7" s="1"/>
  <c r="S1834" i="7"/>
  <c r="T1834" i="7"/>
  <c r="AQ1858" i="7"/>
  <c r="AR1858" i="7"/>
  <c r="J1893" i="7"/>
  <c r="AR1903" i="7"/>
  <c r="AQ1903" i="7"/>
  <c r="AJ1946" i="7"/>
  <c r="AI1946" i="7"/>
  <c r="L1991" i="7"/>
  <c r="K1991" i="7"/>
  <c r="T2000" i="7"/>
  <c r="S2000" i="7"/>
  <c r="L2005" i="7"/>
  <c r="K2005" i="7"/>
  <c r="AB2061" i="7"/>
  <c r="AA2061" i="7"/>
  <c r="K2093" i="7"/>
  <c r="L2093" i="7"/>
  <c r="C2128" i="7"/>
  <c r="D2128" i="7"/>
  <c r="AB2133" i="7"/>
  <c r="AA2133" i="7"/>
  <c r="AI2257" i="7"/>
  <c r="AJ2257" i="7"/>
  <c r="AI2275" i="7"/>
  <c r="AJ2275" i="7"/>
  <c r="AA2600" i="7"/>
  <c r="AB2600" i="7"/>
  <c r="R1134" i="7"/>
  <c r="D1209" i="7"/>
  <c r="B1209" i="7" s="1"/>
  <c r="K1210" i="7"/>
  <c r="J1210" i="7" s="1"/>
  <c r="T1213" i="7"/>
  <c r="AI1213" i="7"/>
  <c r="AH1213" i="7" s="1"/>
  <c r="T1214" i="7"/>
  <c r="R1214" i="7" s="1"/>
  <c r="AJ1214" i="7"/>
  <c r="D1215" i="7"/>
  <c r="B1215" i="7" s="1"/>
  <c r="S1232" i="7"/>
  <c r="S1240" i="7"/>
  <c r="S1246" i="7"/>
  <c r="S1251" i="7"/>
  <c r="AQ1259" i="7"/>
  <c r="T1271" i="7"/>
  <c r="AI1273" i="7"/>
  <c r="AH1273" i="7" s="1"/>
  <c r="S1277" i="7"/>
  <c r="AB1289" i="7"/>
  <c r="AR1290" i="7"/>
  <c r="AP1290" i="7" s="1"/>
  <c r="AB1298" i="7"/>
  <c r="AB1303" i="7"/>
  <c r="AB1309" i="7"/>
  <c r="AB1316" i="7"/>
  <c r="AB1322" i="7"/>
  <c r="AB1328" i="7"/>
  <c r="AB1334" i="7"/>
  <c r="AB1341" i="7"/>
  <c r="AQ1343" i="7"/>
  <c r="T1345" i="7"/>
  <c r="AB1348" i="7"/>
  <c r="AR1350" i="7"/>
  <c r="AB1352" i="7"/>
  <c r="AR1356" i="7"/>
  <c r="AB1358" i="7"/>
  <c r="D1360" i="7"/>
  <c r="AR1362" i="7"/>
  <c r="T1365" i="7"/>
  <c r="D1366" i="7"/>
  <c r="D1369" i="7"/>
  <c r="R1369" i="7"/>
  <c r="D1371" i="7"/>
  <c r="AB1373" i="7"/>
  <c r="Z1373" i="7" s="1"/>
  <c r="S1374" i="7"/>
  <c r="R1374" i="7" s="1"/>
  <c r="B1379" i="7"/>
  <c r="B1386" i="7"/>
  <c r="D1387" i="7"/>
  <c r="D1390" i="7"/>
  <c r="D1393" i="7"/>
  <c r="S1393" i="7"/>
  <c r="R1393" i="7" s="1"/>
  <c r="AB1394" i="7"/>
  <c r="L1399" i="7"/>
  <c r="AA1399" i="7"/>
  <c r="AB1403" i="7"/>
  <c r="Z1403" i="7" s="1"/>
  <c r="S1405" i="7"/>
  <c r="R1405" i="7" s="1"/>
  <c r="AB1409" i="7"/>
  <c r="Z1409" i="7" s="1"/>
  <c r="D1415" i="7"/>
  <c r="C1421" i="7"/>
  <c r="AB1424" i="7"/>
  <c r="D1427" i="7"/>
  <c r="C1431" i="7"/>
  <c r="C1433" i="7"/>
  <c r="AQ1433" i="7"/>
  <c r="AP1433" i="7" s="1"/>
  <c r="C1438" i="7"/>
  <c r="B1438" i="7" s="1"/>
  <c r="L1442" i="7"/>
  <c r="D1443" i="7"/>
  <c r="B1443" i="7" s="1"/>
  <c r="AQ1443" i="7"/>
  <c r="D1448" i="7"/>
  <c r="L1454" i="7"/>
  <c r="D1457" i="7"/>
  <c r="B1457" i="7" s="1"/>
  <c r="AQ1457" i="7"/>
  <c r="D1460" i="7"/>
  <c r="B1473" i="7"/>
  <c r="L1482" i="7"/>
  <c r="C1486" i="7"/>
  <c r="L1488" i="7"/>
  <c r="D1490" i="7"/>
  <c r="L1491" i="7"/>
  <c r="AB1496" i="7"/>
  <c r="AA1496" i="7"/>
  <c r="D1497" i="7"/>
  <c r="B1497" i="7" s="1"/>
  <c r="L1503" i="7"/>
  <c r="AR1513" i="7"/>
  <c r="AQ1513" i="7"/>
  <c r="T1571" i="7"/>
  <c r="S1571" i="7"/>
  <c r="AR1634" i="7"/>
  <c r="AP1634" i="7" s="1"/>
  <c r="AJ1656" i="7"/>
  <c r="AI1656" i="7"/>
  <c r="AR1678" i="7"/>
  <c r="AQ1678" i="7"/>
  <c r="AJ1701" i="7"/>
  <c r="AI1701" i="7"/>
  <c r="AR1716" i="7"/>
  <c r="AQ1716" i="7"/>
  <c r="AQ1742" i="7"/>
  <c r="AR1742" i="7"/>
  <c r="L1774" i="7"/>
  <c r="K1774" i="7"/>
  <c r="S1794" i="7"/>
  <c r="T1794" i="7"/>
  <c r="AB1833" i="7"/>
  <c r="AA1833" i="7"/>
  <c r="AI1848" i="7"/>
  <c r="AJ1848" i="7"/>
  <c r="AH1852" i="7"/>
  <c r="L1863" i="7"/>
  <c r="K1863" i="7"/>
  <c r="L1870" i="7"/>
  <c r="AJ1875" i="7"/>
  <c r="AI1875" i="7"/>
  <c r="AJ1878" i="7"/>
  <c r="AH1878" i="7" s="1"/>
  <c r="AI1878" i="7"/>
  <c r="AR1885" i="7"/>
  <c r="AQ1885" i="7"/>
  <c r="AJ1918" i="7"/>
  <c r="AI1918" i="7"/>
  <c r="AJ1929" i="7"/>
  <c r="AI1929" i="7"/>
  <c r="D1943" i="7"/>
  <c r="C1943" i="7"/>
  <c r="S1988" i="7"/>
  <c r="R1988" i="7" s="1"/>
  <c r="T1988" i="7"/>
  <c r="AJ2126" i="7"/>
  <c r="AI2126" i="7"/>
  <c r="K2127" i="7"/>
  <c r="AA2215" i="7"/>
  <c r="AB2215" i="7"/>
  <c r="Z2215" i="7" s="1"/>
  <c r="AB2239" i="7"/>
  <c r="AA2239" i="7"/>
  <c r="AI2580" i="7"/>
  <c r="AJ2580" i="7"/>
  <c r="AB1539" i="7"/>
  <c r="AA1539" i="7"/>
  <c r="C1541" i="7"/>
  <c r="S1567" i="7"/>
  <c r="T1567" i="7"/>
  <c r="AI1593" i="7"/>
  <c r="AH1593" i="7" s="1"/>
  <c r="AR1601" i="7"/>
  <c r="AQ1601" i="7"/>
  <c r="T1602" i="7"/>
  <c r="AJ1609" i="7"/>
  <c r="AI1609" i="7"/>
  <c r="T1622" i="7"/>
  <c r="AI1623" i="7"/>
  <c r="T1632" i="7"/>
  <c r="T1648" i="7"/>
  <c r="R1648" i="7" s="1"/>
  <c r="AR1654" i="7"/>
  <c r="AQ1654" i="7"/>
  <c r="S1656" i="7"/>
  <c r="R1656" i="7" s="1"/>
  <c r="R1660" i="7"/>
  <c r="AR1684" i="7"/>
  <c r="AQ1684" i="7"/>
  <c r="T1685" i="7"/>
  <c r="AI1686" i="7"/>
  <c r="T1692" i="7"/>
  <c r="S1692" i="7"/>
  <c r="T1701" i="7"/>
  <c r="R1701" i="7" s="1"/>
  <c r="R1724" i="7"/>
  <c r="S1740" i="7"/>
  <c r="R1740" i="7" s="1"/>
  <c r="T1740" i="7"/>
  <c r="AR1740" i="7"/>
  <c r="AP1740" i="7" s="1"/>
  <c r="R1743" i="7"/>
  <c r="L1802" i="7"/>
  <c r="K1802" i="7"/>
  <c r="AJ1823" i="7"/>
  <c r="L1833" i="7"/>
  <c r="AJ1840" i="7"/>
  <c r="AH1840" i="7" s="1"/>
  <c r="AR1847" i="7"/>
  <c r="AJ1855" i="7"/>
  <c r="AI1855" i="7"/>
  <c r="AH1855" i="7" s="1"/>
  <c r="AQ1862" i="7"/>
  <c r="AP1862" i="7" s="1"/>
  <c r="AR1868" i="7"/>
  <c r="AQ1868" i="7"/>
  <c r="S1877" i="7"/>
  <c r="T1877" i="7"/>
  <c r="J1879" i="7"/>
  <c r="AJ1884" i="7"/>
  <c r="AI1884" i="7"/>
  <c r="L1891" i="7"/>
  <c r="K1891" i="7"/>
  <c r="AQ1898" i="7"/>
  <c r="AR1898" i="7"/>
  <c r="AP1898" i="7" s="1"/>
  <c r="AR1925" i="7"/>
  <c r="AP1925" i="7" s="1"/>
  <c r="K1926" i="7"/>
  <c r="L1941" i="7"/>
  <c r="K1941" i="7"/>
  <c r="AA2051" i="7"/>
  <c r="AB2051" i="7"/>
  <c r="L2088" i="7"/>
  <c r="K2088" i="7"/>
  <c r="C2116" i="7"/>
  <c r="D2116" i="7"/>
  <c r="D2125" i="7"/>
  <c r="C2125" i="7"/>
  <c r="B2125" i="7" s="1"/>
  <c r="AI2186" i="7"/>
  <c r="AJ2186" i="7"/>
  <c r="J1133" i="7"/>
  <c r="R1349" i="7"/>
  <c r="R1372" i="7"/>
  <c r="Z1376" i="7"/>
  <c r="Z1421" i="7"/>
  <c r="AB1499" i="7"/>
  <c r="AA1499" i="7"/>
  <c r="Z1499" i="7" s="1"/>
  <c r="T1553" i="7"/>
  <c r="S1553" i="7"/>
  <c r="AR1563" i="7"/>
  <c r="AQ1563" i="7"/>
  <c r="AJ1590" i="7"/>
  <c r="AI1590" i="7"/>
  <c r="AH1590" i="7" s="1"/>
  <c r="T1662" i="7"/>
  <c r="S1662" i="7"/>
  <c r="AJ1674" i="7"/>
  <c r="AI1674" i="7"/>
  <c r="T1696" i="7"/>
  <c r="S1696" i="7"/>
  <c r="R1696" i="7" s="1"/>
  <c r="T1710" i="7"/>
  <c r="S1710" i="7"/>
  <c r="AJ1719" i="7"/>
  <c r="AI1719" i="7"/>
  <c r="R1748" i="7"/>
  <c r="AR1754" i="7"/>
  <c r="AQ1754" i="7"/>
  <c r="D1783" i="7"/>
  <c r="C1783" i="7"/>
  <c r="L1793" i="7"/>
  <c r="K1793" i="7"/>
  <c r="D1822" i="7"/>
  <c r="C1822" i="7"/>
  <c r="J1833" i="7"/>
  <c r="AP1847" i="7"/>
  <c r="D1861" i="7"/>
  <c r="C1861" i="7"/>
  <c r="AR1874" i="7"/>
  <c r="AQ1874" i="7"/>
  <c r="L1880" i="7"/>
  <c r="K1880" i="7"/>
  <c r="L1896" i="7"/>
  <c r="K1896" i="7"/>
  <c r="K1912" i="7"/>
  <c r="L1912" i="7"/>
  <c r="D1979" i="7"/>
  <c r="C1979" i="7"/>
  <c r="L1983" i="7"/>
  <c r="K1983" i="7"/>
  <c r="L1986" i="7"/>
  <c r="K1986" i="7"/>
  <c r="D2108" i="7"/>
  <c r="C2108" i="7"/>
  <c r="C1503" i="7"/>
  <c r="B1503" i="7" s="1"/>
  <c r="L1507" i="7"/>
  <c r="AQ1520" i="7"/>
  <c r="AQ1656" i="7"/>
  <c r="S1659" i="7"/>
  <c r="R1659" i="7" s="1"/>
  <c r="AI1659" i="7"/>
  <c r="AQ1660" i="7"/>
  <c r="S1663" i="7"/>
  <c r="AQ1674" i="7"/>
  <c r="AI1698" i="7"/>
  <c r="AQ1699" i="7"/>
  <c r="S1702" i="7"/>
  <c r="R1702" i="7" s="1"/>
  <c r="AI1702" i="7"/>
  <c r="AR1706" i="7"/>
  <c r="T1711" i="7"/>
  <c r="R1711" i="7" s="1"/>
  <c r="AI1716" i="7"/>
  <c r="AQ1717" i="7"/>
  <c r="S1720" i="7"/>
  <c r="R1720" i="7" s="1"/>
  <c r="AI1720" i="7"/>
  <c r="AQ1722" i="7"/>
  <c r="AI1723" i="7"/>
  <c r="AI1726" i="7"/>
  <c r="AQ1727" i="7"/>
  <c r="AQ1732" i="7"/>
  <c r="S1744" i="7"/>
  <c r="R1744" i="7" s="1"/>
  <c r="AI1757" i="7"/>
  <c r="C1759" i="7"/>
  <c r="B1759" i="7" s="1"/>
  <c r="K1766" i="7"/>
  <c r="J1766" i="7" s="1"/>
  <c r="K1773" i="7"/>
  <c r="K1779" i="7"/>
  <c r="K1783" i="7"/>
  <c r="L1789" i="7"/>
  <c r="L1794" i="7"/>
  <c r="J1794" i="7" s="1"/>
  <c r="C1812" i="7"/>
  <c r="B1812" i="7" s="1"/>
  <c r="K1815" i="7"/>
  <c r="J1815" i="7" s="1"/>
  <c r="L1830" i="7"/>
  <c r="T1837" i="7"/>
  <c r="R1837" i="7" s="1"/>
  <c r="AJ1844" i="7"/>
  <c r="AH1844" i="7" s="1"/>
  <c r="AI1846" i="7"/>
  <c r="AI1857" i="7"/>
  <c r="AH1857" i="7" s="1"/>
  <c r="AR1860" i="7"/>
  <c r="AQ1863" i="7"/>
  <c r="K1887" i="7"/>
  <c r="AQ1891" i="7"/>
  <c r="C1899" i="7"/>
  <c r="B1899" i="7" s="1"/>
  <c r="AR1918" i="7"/>
  <c r="J1925" i="7"/>
  <c r="AR1930" i="7"/>
  <c r="AP1930" i="7" s="1"/>
  <c r="AJ1955" i="7"/>
  <c r="AI1955" i="7"/>
  <c r="L1979" i="7"/>
  <c r="K1979" i="7"/>
  <c r="T1984" i="7"/>
  <c r="T1990" i="7"/>
  <c r="R1990" i="7" s="1"/>
  <c r="AB2047" i="7"/>
  <c r="AA2047" i="7"/>
  <c r="AB2057" i="7"/>
  <c r="L2097" i="7"/>
  <c r="K2097" i="7"/>
  <c r="AA2110" i="7"/>
  <c r="AB2110" i="7"/>
  <c r="AJ2132" i="7"/>
  <c r="AI2132" i="7"/>
  <c r="AB2144" i="7"/>
  <c r="AA2144" i="7"/>
  <c r="AA2227" i="7"/>
  <c r="AB2227" i="7"/>
  <c r="AI2383" i="7"/>
  <c r="AJ2383" i="7"/>
  <c r="AA2400" i="7"/>
  <c r="AB2400" i="7"/>
  <c r="AJ2771" i="7"/>
  <c r="AI2771" i="7"/>
  <c r="AI3006" i="7"/>
  <c r="AJ3006" i="7"/>
  <c r="S1503" i="7"/>
  <c r="C1519" i="7"/>
  <c r="AQ1521" i="7"/>
  <c r="AB1524" i="7"/>
  <c r="AQ1525" i="7"/>
  <c r="AQ1531" i="7"/>
  <c r="AQ1551" i="7"/>
  <c r="S1559" i="7"/>
  <c r="AR1562" i="7"/>
  <c r="AP1562" i="7" s="1"/>
  <c r="AI1605" i="7"/>
  <c r="AR1607" i="7"/>
  <c r="AP1607" i="7" s="1"/>
  <c r="AI1625" i="7"/>
  <c r="AH1625" i="7" s="1"/>
  <c r="AQ1631" i="7"/>
  <c r="AI1637" i="7"/>
  <c r="AH1637" i="7" s="1"/>
  <c r="AI1641" i="7"/>
  <c r="AI1644" i="7"/>
  <c r="AR1652" i="7"/>
  <c r="R1666" i="7"/>
  <c r="AI1666" i="7"/>
  <c r="AR1670" i="7"/>
  <c r="AI1677" i="7"/>
  <c r="AI1683" i="7"/>
  <c r="AQ1686" i="7"/>
  <c r="AI1689" i="7"/>
  <c r="T1693" i="7"/>
  <c r="R1693" i="7" s="1"/>
  <c r="S1698" i="7"/>
  <c r="R1698" i="7" s="1"/>
  <c r="AQ1704" i="7"/>
  <c r="R1707" i="7"/>
  <c r="AI1707" i="7"/>
  <c r="AI1712" i="7"/>
  <c r="S1716" i="7"/>
  <c r="R1716" i="7" s="1"/>
  <c r="T1725" i="7"/>
  <c r="R1725" i="7" s="1"/>
  <c r="S1731" i="7"/>
  <c r="R1731" i="7" s="1"/>
  <c r="AR1738" i="7"/>
  <c r="AI1747" i="7"/>
  <c r="AI1750" i="7"/>
  <c r="T1754" i="7"/>
  <c r="R1754" i="7" s="1"/>
  <c r="AR1756" i="7"/>
  <c r="S1765" i="7"/>
  <c r="L1767" i="7"/>
  <c r="C1782" i="7"/>
  <c r="B1782" i="7" s="1"/>
  <c r="AJ1785" i="7"/>
  <c r="AA1787" i="7"/>
  <c r="Z1787" i="7" s="1"/>
  <c r="AA1805" i="7"/>
  <c r="Z1805" i="7" s="1"/>
  <c r="AA1808" i="7"/>
  <c r="C1816" i="7"/>
  <c r="B1816" i="7" s="1"/>
  <c r="L1820" i="7"/>
  <c r="J1820" i="7" s="1"/>
  <c r="AA1823" i="7"/>
  <c r="AA1826" i="7"/>
  <c r="Z1826" i="7" s="1"/>
  <c r="L1828" i="7"/>
  <c r="C1829" i="7"/>
  <c r="B1829" i="7" s="1"/>
  <c r="C1836" i="7"/>
  <c r="T1844" i="7"/>
  <c r="K1845" i="7"/>
  <c r="L1847" i="7"/>
  <c r="C1852" i="7"/>
  <c r="B1852" i="7" s="1"/>
  <c r="AR1852" i="7"/>
  <c r="AJ1861" i="7"/>
  <c r="AQ1875" i="7"/>
  <c r="AP1875" i="7" s="1"/>
  <c r="AP1893" i="7"/>
  <c r="AJ1902" i="7"/>
  <c r="C1903" i="7"/>
  <c r="AR1908" i="7"/>
  <c r="J1937" i="7"/>
  <c r="AQ1962" i="7"/>
  <c r="AR1962" i="7"/>
  <c r="D1967" i="7"/>
  <c r="C1967" i="7"/>
  <c r="S1973" i="7"/>
  <c r="T1973" i="7"/>
  <c r="AQ1978" i="7"/>
  <c r="AR1978" i="7"/>
  <c r="AB1989" i="7"/>
  <c r="AA1989" i="7"/>
  <c r="AB1999" i="7"/>
  <c r="AA1999" i="7"/>
  <c r="T2014" i="7"/>
  <c r="R2014" i="7" s="1"/>
  <c r="S2014" i="7"/>
  <c r="T2060" i="7"/>
  <c r="S2060" i="7"/>
  <c r="AQ2066" i="7"/>
  <c r="AR2066" i="7"/>
  <c r="D2073" i="7"/>
  <c r="C2073" i="7"/>
  <c r="L2075" i="7"/>
  <c r="AQ2096" i="7"/>
  <c r="AJ2108" i="7"/>
  <c r="AI2108" i="7"/>
  <c r="D2120" i="7"/>
  <c r="C2120" i="7"/>
  <c r="AB2179" i="7"/>
  <c r="AA2179" i="7"/>
  <c r="AI2222" i="7"/>
  <c r="AJ2222" i="7"/>
  <c r="AI2226" i="7"/>
  <c r="AA2355" i="7"/>
  <c r="AB2355" i="7"/>
  <c r="AJ2369" i="7"/>
  <c r="AI2369" i="7"/>
  <c r="AA2380" i="7"/>
  <c r="AB2380" i="7"/>
  <c r="AI2747" i="7"/>
  <c r="AJ2747" i="7"/>
  <c r="D1510" i="7"/>
  <c r="B1510" i="7" s="1"/>
  <c r="L1534" i="7"/>
  <c r="AA1543" i="7"/>
  <c r="S1560" i="7"/>
  <c r="AQ1573" i="7"/>
  <c r="AQ1576" i="7"/>
  <c r="AQ1579" i="7"/>
  <c r="AR1585" i="7"/>
  <c r="AR1591" i="7"/>
  <c r="AQ1621" i="7"/>
  <c r="AI1646" i="7"/>
  <c r="AH1646" i="7" s="1"/>
  <c r="AQ1647" i="7"/>
  <c r="K1875" i="7"/>
  <c r="J1875" i="7" s="1"/>
  <c r="K1876" i="7"/>
  <c r="K1886" i="7"/>
  <c r="L1906" i="7"/>
  <c r="AI1917" i="7"/>
  <c r="C1935" i="7"/>
  <c r="B1935" i="7" s="1"/>
  <c r="C1947" i="7"/>
  <c r="B1947" i="7" s="1"/>
  <c r="AJ1949" i="7"/>
  <c r="AI1949" i="7"/>
  <c r="D1961" i="7"/>
  <c r="C1961" i="7"/>
  <c r="S1965" i="7"/>
  <c r="T1965" i="7"/>
  <c r="AI1988" i="7"/>
  <c r="AJ1988" i="7"/>
  <c r="K1989" i="7"/>
  <c r="J1989" i="7" s="1"/>
  <c r="T2008" i="7"/>
  <c r="S2008" i="7"/>
  <c r="T2056" i="7"/>
  <c r="R2056" i="7" s="1"/>
  <c r="AB2059" i="7"/>
  <c r="T2082" i="7"/>
  <c r="S2082" i="7"/>
  <c r="AR2082" i="7"/>
  <c r="AP2082" i="7" s="1"/>
  <c r="AP2100" i="7"/>
  <c r="D2114" i="7"/>
  <c r="C2114" i="7"/>
  <c r="K2118" i="7"/>
  <c r="C2132" i="7"/>
  <c r="L2144" i="7"/>
  <c r="K2144" i="7"/>
  <c r="AA2155" i="7"/>
  <c r="AB2155" i="7"/>
  <c r="AA2156" i="7"/>
  <c r="AJ2170" i="7"/>
  <c r="AI2460" i="7"/>
  <c r="AJ2460" i="7"/>
  <c r="AI2495" i="7"/>
  <c r="AJ2495" i="7"/>
  <c r="AJ2522" i="7"/>
  <c r="AI2522" i="7"/>
  <c r="AI2725" i="7"/>
  <c r="AJ2725" i="7"/>
  <c r="J1795" i="7"/>
  <c r="J1832" i="7"/>
  <c r="AH1834" i="7"/>
  <c r="AH1845" i="7"/>
  <c r="AJ1950" i="7"/>
  <c r="AI1950" i="7"/>
  <c r="AH1950" i="7" s="1"/>
  <c r="L1951" i="7"/>
  <c r="K1951" i="7"/>
  <c r="J1951" i="7" s="1"/>
  <c r="D1954" i="7"/>
  <c r="C1954" i="7"/>
  <c r="AR1975" i="7"/>
  <c r="AQ1975" i="7"/>
  <c r="AP1975" i="7" s="1"/>
  <c r="S2010" i="7"/>
  <c r="T2010" i="7"/>
  <c r="R2043" i="7"/>
  <c r="AA2065" i="7"/>
  <c r="AB2065" i="7"/>
  <c r="AQ2070" i="7"/>
  <c r="AR2070" i="7"/>
  <c r="D2107" i="7"/>
  <c r="C2107" i="7"/>
  <c r="L2111" i="7"/>
  <c r="K2111" i="7"/>
  <c r="AJ2134" i="7"/>
  <c r="AH2134" i="7" s="1"/>
  <c r="AI2134" i="7"/>
  <c r="AI2329" i="7"/>
  <c r="AJ2329" i="7"/>
  <c r="AI2474" i="7"/>
  <c r="AJ2474" i="7"/>
  <c r="AJ2611" i="7"/>
  <c r="AI2611" i="7"/>
  <c r="AB2628" i="7"/>
  <c r="AA2628" i="7"/>
  <c r="AB2903" i="7"/>
  <c r="AA2903" i="7"/>
  <c r="AA2973" i="7"/>
  <c r="Z2973" i="7" s="1"/>
  <c r="AB2973" i="7"/>
  <c r="AR1961" i="7"/>
  <c r="C1964" i="7"/>
  <c r="AR1964" i="7"/>
  <c r="C1970" i="7"/>
  <c r="AR1970" i="7"/>
  <c r="AP1970" i="7" s="1"/>
  <c r="K1988" i="7"/>
  <c r="J1988" i="7" s="1"/>
  <c r="T2059" i="7"/>
  <c r="AB2060" i="7"/>
  <c r="C2067" i="7"/>
  <c r="AR2097" i="7"/>
  <c r="AQ2099" i="7"/>
  <c r="AP2099" i="7" s="1"/>
  <c r="AI2110" i="7"/>
  <c r="AH2110" i="7" s="1"/>
  <c r="K2114" i="7"/>
  <c r="AQ2114" i="7"/>
  <c r="K2115" i="7"/>
  <c r="AA2115" i="7"/>
  <c r="AQ2115" i="7"/>
  <c r="AP2115" i="7" s="1"/>
  <c r="AA2137" i="7"/>
  <c r="Z2137" i="7" s="1"/>
  <c r="AA2146" i="7"/>
  <c r="Z2146" i="7" s="1"/>
  <c r="AA2170" i="7"/>
  <c r="AJ2179" i="7"/>
  <c r="AA2182" i="7"/>
  <c r="AA2191" i="7"/>
  <c r="Z2191" i="7" s="1"/>
  <c r="AI2192" i="7"/>
  <c r="AA2194" i="7"/>
  <c r="AA2233" i="7"/>
  <c r="AA2315" i="7"/>
  <c r="AB2315" i="7"/>
  <c r="AJ2316" i="7"/>
  <c r="AH2316" i="7" s="1"/>
  <c r="AA2377" i="7"/>
  <c r="AI2392" i="7"/>
  <c r="AJ2392" i="7"/>
  <c r="AA2445" i="7"/>
  <c r="AB2445" i="7"/>
  <c r="AA2493" i="7"/>
  <c r="Z2493" i="7" s="1"/>
  <c r="AB2493" i="7"/>
  <c r="AB2501" i="7"/>
  <c r="AA2501" i="7"/>
  <c r="AJ2560" i="7"/>
  <c r="AB2561" i="7"/>
  <c r="AJ2620" i="7"/>
  <c r="AI2620" i="7"/>
  <c r="AB2797" i="7"/>
  <c r="AA2797" i="7"/>
  <c r="AB2808" i="7"/>
  <c r="AA2808" i="7"/>
  <c r="AJ2866" i="7"/>
  <c r="AH2866" i="7" s="1"/>
  <c r="AI2866" i="7"/>
  <c r="AB2871" i="7"/>
  <c r="Z2871" i="7" s="1"/>
  <c r="AJ2902" i="7"/>
  <c r="AI2902" i="7"/>
  <c r="AI2931" i="7"/>
  <c r="AJ2931" i="7"/>
  <c r="AJ2997" i="7"/>
  <c r="AB3015" i="7"/>
  <c r="AB3029" i="7"/>
  <c r="AA3029" i="7"/>
  <c r="K2020" i="7"/>
  <c r="J2020" i="7" s="1"/>
  <c r="AI2026" i="7"/>
  <c r="T2037" i="7"/>
  <c r="T2040" i="7"/>
  <c r="AJ2042" i="7"/>
  <c r="S2051" i="7"/>
  <c r="R2051" i="7" s="1"/>
  <c r="T2057" i="7"/>
  <c r="R2057" i="7" s="1"/>
  <c r="AA2058" i="7"/>
  <c r="AQ2068" i="7"/>
  <c r="AP2068" i="7" s="1"/>
  <c r="AQ2078" i="7"/>
  <c r="L2079" i="7"/>
  <c r="AR2081" i="7"/>
  <c r="AP2081" i="7" s="1"/>
  <c r="C2085" i="7"/>
  <c r="B2085" i="7" s="1"/>
  <c r="K2087" i="7"/>
  <c r="J2087" i="7" s="1"/>
  <c r="S2089" i="7"/>
  <c r="K2091" i="7"/>
  <c r="AA2095" i="7"/>
  <c r="Z2095" i="7" s="1"/>
  <c r="AI2096" i="7"/>
  <c r="AH2096" i="7" s="1"/>
  <c r="K2108" i="7"/>
  <c r="J2108" i="7" s="1"/>
  <c r="AJ2116" i="7"/>
  <c r="AQ2127" i="7"/>
  <c r="AQ2130" i="7"/>
  <c r="AP2130" i="7" s="1"/>
  <c r="K2132" i="7"/>
  <c r="AQ2135" i="7"/>
  <c r="K2139" i="7"/>
  <c r="D2140" i="7"/>
  <c r="AI2157" i="7"/>
  <c r="AH2157" i="7" s="1"/>
  <c r="AA2158" i="7"/>
  <c r="Z2158" i="7" s="1"/>
  <c r="AJ2168" i="7"/>
  <c r="AI2181" i="7"/>
  <c r="AH2181" i="7" s="1"/>
  <c r="AI2190" i="7"/>
  <c r="AH2190" i="7" s="1"/>
  <c r="AI2193" i="7"/>
  <c r="AH2193" i="7" s="1"/>
  <c r="AJ2201" i="7"/>
  <c r="AB2206" i="7"/>
  <c r="AB2209" i="7"/>
  <c r="AI2220" i="7"/>
  <c r="AB2260" i="7"/>
  <c r="AB2331" i="7"/>
  <c r="AA2331" i="7"/>
  <c r="AJ2363" i="7"/>
  <c r="AI2363" i="7"/>
  <c r="AB2391" i="7"/>
  <c r="Z2391" i="7" s="1"/>
  <c r="AB2419" i="7"/>
  <c r="AA2419" i="7"/>
  <c r="AB2430" i="7"/>
  <c r="AB2443" i="7"/>
  <c r="Z2443" i="7" s="1"/>
  <c r="AJ2468" i="7"/>
  <c r="AI2468" i="7"/>
  <c r="AB2486" i="7"/>
  <c r="AA2486" i="7"/>
  <c r="AJ2492" i="7"/>
  <c r="AJ2500" i="7"/>
  <c r="AI2500" i="7"/>
  <c r="AB2679" i="7"/>
  <c r="AA2679" i="7"/>
  <c r="AB2729" i="7"/>
  <c r="AA2729" i="7"/>
  <c r="AJ2737" i="7"/>
  <c r="AA2790" i="7"/>
  <c r="AJ2824" i="7"/>
  <c r="AI2824" i="7"/>
  <c r="AB2859" i="7"/>
  <c r="AA2859" i="7"/>
  <c r="AB2886" i="7"/>
  <c r="AA2886" i="7"/>
  <c r="AB2901" i="7"/>
  <c r="AA2901" i="7"/>
  <c r="AB2945" i="7"/>
  <c r="AA2945" i="7"/>
  <c r="AB2976" i="7"/>
  <c r="AA2976" i="7"/>
  <c r="AB2981" i="7"/>
  <c r="AI3012" i="7"/>
  <c r="AJ3012" i="7"/>
  <c r="AJ2358" i="7"/>
  <c r="AI2358" i="7"/>
  <c r="AH2358" i="7" s="1"/>
  <c r="AI2371" i="7"/>
  <c r="AJ2371" i="7"/>
  <c r="AB2385" i="7"/>
  <c r="AA2385" i="7"/>
  <c r="AB2406" i="7"/>
  <c r="AA2406" i="7"/>
  <c r="Z2406" i="7" s="1"/>
  <c r="AI2440" i="7"/>
  <c r="AJ2440" i="7"/>
  <c r="AJ2545" i="7"/>
  <c r="AI2545" i="7"/>
  <c r="AJ2807" i="7"/>
  <c r="AI2807" i="7"/>
  <c r="AJ2821" i="7"/>
  <c r="AI2821" i="7"/>
  <c r="AJ2880" i="7"/>
  <c r="AI2880" i="7"/>
  <c r="AB2993" i="7"/>
  <c r="AA2993" i="7"/>
  <c r="AB2242" i="7"/>
  <c r="AA2242" i="7"/>
  <c r="AA2298" i="7"/>
  <c r="AB2298" i="7"/>
  <c r="Z2301" i="7"/>
  <c r="AJ2330" i="7"/>
  <c r="AI2330" i="7"/>
  <c r="AI2483" i="7"/>
  <c r="AJ2483" i="7"/>
  <c r="AA2499" i="7"/>
  <c r="AB2499" i="7"/>
  <c r="AI2586" i="7"/>
  <c r="AJ2586" i="7"/>
  <c r="AJ2647" i="7"/>
  <c r="AI2647" i="7"/>
  <c r="AA2721" i="7"/>
  <c r="AB2721" i="7"/>
  <c r="AA2879" i="7"/>
  <c r="AB2879" i="7"/>
  <c r="AB2943" i="7"/>
  <c r="AA2943" i="7"/>
  <c r="AJ2975" i="7"/>
  <c r="AI2975" i="7"/>
  <c r="AH2975" i="7" s="1"/>
  <c r="AJ3005" i="7"/>
  <c r="AI3005" i="7"/>
  <c r="Z3028" i="7"/>
  <c r="AA2257" i="7"/>
  <c r="AI2343" i="7"/>
  <c r="AH2343" i="7" s="1"/>
  <c r="AA2376" i="7"/>
  <c r="Z2376" i="7" s="1"/>
  <c r="AB2437" i="7"/>
  <c r="AJ2448" i="7"/>
  <c r="AH2448" i="7" s="1"/>
  <c r="AA2454" i="7"/>
  <c r="Z2454" i="7" s="1"/>
  <c r="AJ2469" i="7"/>
  <c r="AI2506" i="7"/>
  <c r="AJ2622" i="7"/>
  <c r="Z2717" i="7"/>
  <c r="AJ2719" i="7"/>
  <c r="AH2719" i="7" s="1"/>
  <c r="AH2876" i="7"/>
  <c r="AI2908" i="7"/>
  <c r="AA2916" i="7"/>
  <c r="AI2923" i="7"/>
  <c r="AH2923" i="7" s="1"/>
  <c r="AB2930" i="7"/>
  <c r="AA2934" i="7"/>
  <c r="AA2936" i="7"/>
  <c r="AI2947" i="7"/>
  <c r="AH2947" i="7" s="1"/>
  <c r="AA2948" i="7"/>
  <c r="AA2985" i="7"/>
  <c r="AJ2994" i="7"/>
  <c r="AB2996" i="7"/>
  <c r="Z2996" i="7" s="1"/>
  <c r="AI3004" i="7"/>
  <c r="AH3004" i="7" s="1"/>
  <c r="AI3016" i="7"/>
  <c r="AJ3053" i="7"/>
  <c r="AI3056" i="7"/>
  <c r="AI2246" i="7"/>
  <c r="AI2256" i="7"/>
  <c r="AH2256" i="7" s="1"/>
  <c r="AI2258" i="7"/>
  <c r="AH2258" i="7" s="1"/>
  <c r="AI2264" i="7"/>
  <c r="AH2264" i="7" s="1"/>
  <c r="AI2311" i="7"/>
  <c r="AH2346" i="7"/>
  <c r="AA2436" i="7"/>
  <c r="AB2457" i="7"/>
  <c r="Z2457" i="7" s="1"/>
  <c r="AI2504" i="7"/>
  <c r="AI2509" i="7"/>
  <c r="AJ2551" i="7"/>
  <c r="AH2551" i="7" s="1"/>
  <c r="AJ2613" i="7"/>
  <c r="AB2657" i="7"/>
  <c r="AB2718" i="7"/>
  <c r="AH2738" i="7"/>
  <c r="AJ2740" i="7"/>
  <c r="Z2767" i="7"/>
  <c r="AI2788" i="7"/>
  <c r="AI2840" i="7"/>
  <c r="AA2897" i="7"/>
  <c r="AI2899" i="7"/>
  <c r="AI2929" i="7"/>
  <c r="AI2935" i="7"/>
  <c r="AA2939" i="7"/>
  <c r="AB2991" i="7"/>
  <c r="AJ3022" i="7"/>
  <c r="AH3022" i="7" s="1"/>
  <c r="AA3055" i="7"/>
  <c r="Z3055" i="7" s="1"/>
  <c r="AA3058" i="7"/>
  <c r="AA3059" i="7"/>
  <c r="Z3059" i="7" s="1"/>
  <c r="AJ2243" i="7"/>
  <c r="AI2297" i="7"/>
  <c r="AH2297" i="7" s="1"/>
  <c r="AI2348" i="7"/>
  <c r="AH2348" i="7" s="1"/>
  <c r="AA2404" i="7"/>
  <c r="Z2404" i="7" s="1"/>
  <c r="AB2475" i="7"/>
  <c r="AB2498" i="7"/>
  <c r="Z2498" i="7" s="1"/>
  <c r="AJ2536" i="7"/>
  <c r="AJ2542" i="7"/>
  <c r="AI2759" i="7"/>
  <c r="AH2759" i="7" s="1"/>
  <c r="AI2825" i="7"/>
  <c r="AA2851" i="7"/>
  <c r="AB2875" i="7"/>
  <c r="Z2875" i="7" s="1"/>
  <c r="AJ2895" i="7"/>
  <c r="AJ2913" i="7"/>
  <c r="AB2937" i="7"/>
  <c r="Z2937" i="7" s="1"/>
  <c r="AI3013" i="7"/>
  <c r="AH3013" i="7" s="1"/>
  <c r="D70" i="7"/>
  <c r="D92" i="7"/>
  <c r="AP109" i="7"/>
  <c r="S120" i="7"/>
  <c r="R120" i="7" s="1"/>
  <c r="T146" i="7"/>
  <c r="AB161" i="7"/>
  <c r="AQ162" i="7"/>
  <c r="S165" i="7"/>
  <c r="T172" i="7"/>
  <c r="R172" i="7" s="1"/>
  <c r="AQ185" i="7"/>
  <c r="AP185" i="7" s="1"/>
  <c r="AP194" i="7"/>
  <c r="Z202" i="7"/>
  <c r="T203" i="7"/>
  <c r="AR204" i="7"/>
  <c r="AB206" i="7"/>
  <c r="AB212" i="7"/>
  <c r="Z212" i="7" s="1"/>
  <c r="AQ213" i="7"/>
  <c r="AB215" i="7"/>
  <c r="AB217" i="7"/>
  <c r="R219" i="7"/>
  <c r="AP221" i="7"/>
  <c r="AB227" i="7"/>
  <c r="Z227" i="7" s="1"/>
  <c r="AQ235" i="7"/>
  <c r="AP235" i="7" s="1"/>
  <c r="AP237" i="7"/>
  <c r="AP239" i="7"/>
  <c r="R242" i="7"/>
  <c r="AQ250" i="7"/>
  <c r="AP256" i="7"/>
  <c r="R268" i="7"/>
  <c r="T272" i="7"/>
  <c r="R272" i="7" s="1"/>
  <c r="AR277" i="7"/>
  <c r="AR283" i="7"/>
  <c r="T288" i="7"/>
  <c r="R288" i="7" s="1"/>
  <c r="S291" i="7"/>
  <c r="S295" i="7"/>
  <c r="AR301" i="7"/>
  <c r="AP301" i="7" s="1"/>
  <c r="AA304" i="7"/>
  <c r="AB304" i="7"/>
  <c r="AA305" i="7"/>
  <c r="AB305" i="7"/>
  <c r="AA307" i="7"/>
  <c r="AB307" i="7"/>
  <c r="S346" i="7"/>
  <c r="T346" i="7"/>
  <c r="AA349" i="7"/>
  <c r="AB349" i="7"/>
  <c r="AP360" i="7"/>
  <c r="S370" i="7"/>
  <c r="T370" i="7"/>
  <c r="AA379" i="7"/>
  <c r="AB379" i="7"/>
  <c r="Z379" i="7" s="1"/>
  <c r="AA387" i="7"/>
  <c r="AB387" i="7"/>
  <c r="L400" i="7"/>
  <c r="K400" i="7"/>
  <c r="T404" i="7"/>
  <c r="S404" i="7"/>
  <c r="R404" i="7" s="1"/>
  <c r="T415" i="7"/>
  <c r="S415" i="7"/>
  <c r="L424" i="7"/>
  <c r="K424" i="7"/>
  <c r="L433" i="7"/>
  <c r="K433" i="7"/>
  <c r="J433" i="7" s="1"/>
  <c r="K490" i="7"/>
  <c r="L490" i="7"/>
  <c r="AQ495" i="7"/>
  <c r="AR495" i="7"/>
  <c r="AQ598" i="7"/>
  <c r="AR598" i="7"/>
  <c r="AJ601" i="7"/>
  <c r="AI601" i="7"/>
  <c r="AI769" i="7"/>
  <c r="AJ769" i="7"/>
  <c r="AI778" i="7"/>
  <c r="AJ778" i="7"/>
  <c r="AI787" i="7"/>
  <c r="AJ787" i="7"/>
  <c r="AA830" i="7"/>
  <c r="AB830" i="7"/>
  <c r="AQ848" i="7"/>
  <c r="AR848" i="7"/>
  <c r="T854" i="7"/>
  <c r="S854" i="7"/>
  <c r="AQ858" i="7"/>
  <c r="AR858" i="7"/>
  <c r="K862" i="7"/>
  <c r="L862" i="7"/>
  <c r="J862" i="7" s="1"/>
  <c r="K868" i="7"/>
  <c r="L868" i="7"/>
  <c r="AJ871" i="7"/>
  <c r="AI871" i="7"/>
  <c r="AA895" i="7"/>
  <c r="AB895" i="7"/>
  <c r="AA901" i="7"/>
  <c r="AB901" i="7"/>
  <c r="AJ912" i="7"/>
  <c r="AI912" i="7"/>
  <c r="AJ916" i="7"/>
  <c r="AI916" i="7"/>
  <c r="L924" i="7"/>
  <c r="K924" i="7"/>
  <c r="AA943" i="7"/>
  <c r="AB943" i="7"/>
  <c r="K961" i="7"/>
  <c r="L961" i="7"/>
  <c r="J961" i="7" s="1"/>
  <c r="L1015" i="7"/>
  <c r="K1015" i="7"/>
  <c r="AQ1045" i="7"/>
  <c r="AR1045" i="7"/>
  <c r="AQ1075" i="7"/>
  <c r="AR1075" i="7"/>
  <c r="AQ1102" i="7"/>
  <c r="AR1102" i="7"/>
  <c r="K1127" i="7"/>
  <c r="L1127" i="7"/>
  <c r="S1187" i="7"/>
  <c r="T1187" i="7"/>
  <c r="AQ1194" i="7"/>
  <c r="AR1194" i="7"/>
  <c r="D1412" i="7"/>
  <c r="C1412" i="7"/>
  <c r="AB1508" i="7"/>
  <c r="AA1508" i="7"/>
  <c r="AA1512" i="7"/>
  <c r="AB1512" i="7"/>
  <c r="AR1527" i="7"/>
  <c r="AQ1527" i="7"/>
  <c r="AB1537" i="7"/>
  <c r="AA1537" i="7"/>
  <c r="AR1540" i="7"/>
  <c r="AQ1540" i="7"/>
  <c r="AA10" i="4"/>
  <c r="AA16" i="4"/>
  <c r="AA22" i="4"/>
  <c r="AA28" i="4"/>
  <c r="AA34" i="4"/>
  <c r="AA40" i="4"/>
  <c r="AA52" i="4"/>
  <c r="AA58" i="4"/>
  <c r="AA138" i="4"/>
  <c r="AA144" i="4"/>
  <c r="AQ8" i="7"/>
  <c r="C18" i="7"/>
  <c r="B20" i="7"/>
  <c r="B28" i="7"/>
  <c r="C31" i="7"/>
  <c r="B33" i="7"/>
  <c r="B36" i="7"/>
  <c r="AQ37" i="7"/>
  <c r="C39" i="7"/>
  <c r="B39" i="7" s="1"/>
  <c r="D44" i="7"/>
  <c r="B46" i="7"/>
  <c r="D49" i="7"/>
  <c r="B55" i="7"/>
  <c r="AQ58" i="7"/>
  <c r="J59" i="7"/>
  <c r="B70" i="7"/>
  <c r="AQ70" i="7"/>
  <c r="K71" i="7"/>
  <c r="J71" i="7" s="1"/>
  <c r="AQ73" i="7"/>
  <c r="K74" i="7"/>
  <c r="J74" i="7" s="1"/>
  <c r="K76" i="7"/>
  <c r="J76" i="7" s="1"/>
  <c r="K78" i="7"/>
  <c r="J78" i="7" s="1"/>
  <c r="K80" i="7"/>
  <c r="J80" i="7" s="1"/>
  <c r="K82" i="7"/>
  <c r="J82" i="7" s="1"/>
  <c r="K84" i="7"/>
  <c r="J84" i="7" s="1"/>
  <c r="K86" i="7"/>
  <c r="J86" i="7" s="1"/>
  <c r="K88" i="7"/>
  <c r="J88" i="7" s="1"/>
  <c r="K90" i="7"/>
  <c r="J90" i="7" s="1"/>
  <c r="B92" i="7"/>
  <c r="K93" i="7"/>
  <c r="J93" i="7" s="1"/>
  <c r="AQ97" i="7"/>
  <c r="S101" i="7"/>
  <c r="R101" i="7" s="1"/>
  <c r="S104" i="7"/>
  <c r="R104" i="7" s="1"/>
  <c r="S107" i="7"/>
  <c r="D115" i="7"/>
  <c r="R117" i="7"/>
  <c r="AQ117" i="7"/>
  <c r="AP117" i="7" s="1"/>
  <c r="AB118" i="7"/>
  <c r="S127" i="7"/>
  <c r="R127" i="7" s="1"/>
  <c r="AR130" i="7"/>
  <c r="D133" i="7"/>
  <c r="R133" i="7"/>
  <c r="AQ135" i="7"/>
  <c r="AP135" i="7" s="1"/>
  <c r="AB136" i="7"/>
  <c r="Z136" i="7" s="1"/>
  <c r="AP136" i="7"/>
  <c r="T140" i="7"/>
  <c r="AQ142" i="7"/>
  <c r="AP142" i="7" s="1"/>
  <c r="AQ144" i="7"/>
  <c r="R146" i="7"/>
  <c r="T152" i="7"/>
  <c r="R152" i="7" s="1"/>
  <c r="S156" i="7"/>
  <c r="S159" i="7"/>
  <c r="R159" i="7" s="1"/>
  <c r="AQ160" i="7"/>
  <c r="AP160" i="7" s="1"/>
  <c r="S173" i="7"/>
  <c r="S176" i="7"/>
  <c r="AB180" i="7"/>
  <c r="AI181" i="7"/>
  <c r="AH181" i="7" s="1"/>
  <c r="R182" i="7"/>
  <c r="AQ182" i="7"/>
  <c r="AB185" i="7"/>
  <c r="Z185" i="7" s="1"/>
  <c r="T188" i="7"/>
  <c r="R188" i="7" s="1"/>
  <c r="AB190" i="7"/>
  <c r="S191" i="7"/>
  <c r="R191" i="7" s="1"/>
  <c r="R192" i="7"/>
  <c r="AB194" i="7"/>
  <c r="Z194" i="7" s="1"/>
  <c r="AQ196" i="7"/>
  <c r="AP196" i="7" s="1"/>
  <c r="S200" i="7"/>
  <c r="R200" i="7" s="1"/>
  <c r="AQ201" i="7"/>
  <c r="R203" i="7"/>
  <c r="AB204" i="7"/>
  <c r="AP204" i="7"/>
  <c r="S205" i="7"/>
  <c r="Z215" i="7"/>
  <c r="AQ219" i="7"/>
  <c r="AQ226" i="7"/>
  <c r="AP226" i="7" s="1"/>
  <c r="S229" i="7"/>
  <c r="R229" i="7" s="1"/>
  <c r="AR230" i="7"/>
  <c r="AP230" i="7" s="1"/>
  <c r="Z233" i="7"/>
  <c r="AB235" i="7"/>
  <c r="Z235" i="7" s="1"/>
  <c r="AB237" i="7"/>
  <c r="AB239" i="7"/>
  <c r="AQ243" i="7"/>
  <c r="AP243" i="7" s="1"/>
  <c r="AQ245" i="7"/>
  <c r="AP245" i="7" s="1"/>
  <c r="R247" i="7"/>
  <c r="R249" i="7"/>
  <c r="AB250" i="7"/>
  <c r="T253" i="7"/>
  <c r="AQ255" i="7"/>
  <c r="AP255" i="7" s="1"/>
  <c r="AB256" i="7"/>
  <c r="Z256" i="7" s="1"/>
  <c r="R259" i="7"/>
  <c r="AQ261" i="7"/>
  <c r="AP261" i="7" s="1"/>
  <c r="AB262" i="7"/>
  <c r="AB264" i="7"/>
  <c r="AQ268" i="7"/>
  <c r="AQ276" i="7"/>
  <c r="AP276" i="7" s="1"/>
  <c r="AP277" i="7"/>
  <c r="AQ280" i="7"/>
  <c r="AP280" i="7" s="1"/>
  <c r="AQ282" i="7"/>
  <c r="AP282" i="7" s="1"/>
  <c r="AP283" i="7"/>
  <c r="S284" i="7"/>
  <c r="R284" i="7" s="1"/>
  <c r="AQ286" i="7"/>
  <c r="AP286" i="7" s="1"/>
  <c r="AQ299" i="7"/>
  <c r="AP299" i="7" s="1"/>
  <c r="S310" i="7"/>
  <c r="T310" i="7"/>
  <c r="T355" i="7"/>
  <c r="S355" i="7"/>
  <c r="AR361" i="7"/>
  <c r="AQ361" i="7"/>
  <c r="AP361" i="7" s="1"/>
  <c r="S382" i="7"/>
  <c r="T382" i="7"/>
  <c r="T394" i="7"/>
  <c r="S394" i="7"/>
  <c r="T396" i="7"/>
  <c r="S396" i="7"/>
  <c r="AI398" i="7"/>
  <c r="AJ398" i="7"/>
  <c r="AB402" i="7"/>
  <c r="AA402" i="7"/>
  <c r="T416" i="7"/>
  <c r="S416" i="7"/>
  <c r="AI453" i="7"/>
  <c r="AJ453" i="7"/>
  <c r="K460" i="7"/>
  <c r="L460" i="7"/>
  <c r="K472" i="7"/>
  <c r="L472" i="7"/>
  <c r="K478" i="7"/>
  <c r="L478" i="7"/>
  <c r="K484" i="7"/>
  <c r="L484" i="7"/>
  <c r="AJ499" i="7"/>
  <c r="AI499" i="7"/>
  <c r="S508" i="7"/>
  <c r="T508" i="7"/>
  <c r="AJ531" i="7"/>
  <c r="AI531" i="7"/>
  <c r="AJ543" i="7"/>
  <c r="AI543" i="7"/>
  <c r="AJ555" i="7"/>
  <c r="AI555" i="7"/>
  <c r="AJ567" i="7"/>
  <c r="AI567" i="7"/>
  <c r="AJ579" i="7"/>
  <c r="AI579" i="7"/>
  <c r="AJ591" i="7"/>
  <c r="AI591" i="7"/>
  <c r="AQ600" i="7"/>
  <c r="AR600" i="7"/>
  <c r="AJ603" i="7"/>
  <c r="AI603" i="7"/>
  <c r="AJ607" i="7"/>
  <c r="AI607" i="7"/>
  <c r="AJ611" i="7"/>
  <c r="AI611" i="7"/>
  <c r="AJ615" i="7"/>
  <c r="AI615" i="7"/>
  <c r="AJ619" i="7"/>
  <c r="AI619" i="7"/>
  <c r="AJ623" i="7"/>
  <c r="AI623" i="7"/>
  <c r="AJ627" i="7"/>
  <c r="AI627" i="7"/>
  <c r="AJ631" i="7"/>
  <c r="AI631" i="7"/>
  <c r="AJ635" i="7"/>
  <c r="AI635" i="7"/>
  <c r="AJ639" i="7"/>
  <c r="AI639" i="7"/>
  <c r="AJ643" i="7"/>
  <c r="AI643" i="7"/>
  <c r="AJ647" i="7"/>
  <c r="AI647" i="7"/>
  <c r="AJ651" i="7"/>
  <c r="AI651" i="7"/>
  <c r="AJ655" i="7"/>
  <c r="AI655" i="7"/>
  <c r="AJ659" i="7"/>
  <c r="AI659" i="7"/>
  <c r="AJ663" i="7"/>
  <c r="AI663" i="7"/>
  <c r="AJ667" i="7"/>
  <c r="AI667" i="7"/>
  <c r="AQ811" i="7"/>
  <c r="AR811" i="7"/>
  <c r="L819" i="7"/>
  <c r="K819" i="7"/>
  <c r="AI829" i="7"/>
  <c r="AJ829" i="7"/>
  <c r="D844" i="7"/>
  <c r="C844" i="7"/>
  <c r="AA858" i="7"/>
  <c r="AB858" i="7"/>
  <c r="AQ873" i="7"/>
  <c r="AR873" i="7"/>
  <c r="K884" i="7"/>
  <c r="L884" i="7"/>
  <c r="AB885" i="7"/>
  <c r="AA885" i="7"/>
  <c r="I7" i="4"/>
  <c r="AA9" i="4"/>
  <c r="AA21" i="4"/>
  <c r="AA27" i="4"/>
  <c r="AA45" i="4"/>
  <c r="B10" i="7"/>
  <c r="AQ13" i="7"/>
  <c r="B15" i="7"/>
  <c r="AQ16" i="7"/>
  <c r="D21" i="7"/>
  <c r="B21" i="7" s="1"/>
  <c r="D26" i="7"/>
  <c r="D29" i="7"/>
  <c r="B29" i="7" s="1"/>
  <c r="D34" i="7"/>
  <c r="D37" i="7"/>
  <c r="AQ42" i="7"/>
  <c r="AP42" i="7" s="1"/>
  <c r="B44" i="7"/>
  <c r="AQ47" i="7"/>
  <c r="B49" i="7"/>
  <c r="AQ50" i="7"/>
  <c r="B52" i="7"/>
  <c r="AQ53" i="7"/>
  <c r="AP53" i="7" s="1"/>
  <c r="AQ56" i="7"/>
  <c r="D61" i="7"/>
  <c r="B61" i="7" s="1"/>
  <c r="D63" i="7"/>
  <c r="B63" i="7" s="1"/>
  <c r="D65" i="7"/>
  <c r="D67" i="7"/>
  <c r="D69" i="7"/>
  <c r="D72" i="7"/>
  <c r="B72" i="7" s="1"/>
  <c r="AQ75" i="7"/>
  <c r="AQ77" i="7"/>
  <c r="AQ79" i="7"/>
  <c r="AQ81" i="7"/>
  <c r="AQ83" i="7"/>
  <c r="AP83" i="7" s="1"/>
  <c r="AQ85" i="7"/>
  <c r="AQ87" i="7"/>
  <c r="AQ89" i="7"/>
  <c r="AP89" i="7" s="1"/>
  <c r="D91" i="7"/>
  <c r="D94" i="7"/>
  <c r="B94" i="7" s="1"/>
  <c r="S98" i="7"/>
  <c r="R98" i="7" s="1"/>
  <c r="AR113" i="7"/>
  <c r="AI116" i="7"/>
  <c r="AH116" i="7" s="1"/>
  <c r="Z118" i="7"/>
  <c r="T119" i="7"/>
  <c r="Z123" i="7"/>
  <c r="T124" i="7"/>
  <c r="D127" i="7"/>
  <c r="AB128" i="7"/>
  <c r="AB130" i="7"/>
  <c r="Z130" i="7" s="1"/>
  <c r="AP130" i="7"/>
  <c r="AI134" i="7"/>
  <c r="AH134" i="7" s="1"/>
  <c r="R140" i="7"/>
  <c r="AB142" i="7"/>
  <c r="Z142" i="7" s="1"/>
  <c r="AB144" i="7"/>
  <c r="Z144" i="7" s="1"/>
  <c r="T148" i="7"/>
  <c r="R148" i="7" s="1"/>
  <c r="AB149" i="7"/>
  <c r="R151" i="7"/>
  <c r="R153" i="7"/>
  <c r="AB155" i="7"/>
  <c r="AB160" i="7"/>
  <c r="AQ168" i="7"/>
  <c r="Z180" i="7"/>
  <c r="T181" i="7"/>
  <c r="S183" i="7"/>
  <c r="AB184" i="7"/>
  <c r="AQ184" i="7"/>
  <c r="S189" i="7"/>
  <c r="AB193" i="7"/>
  <c r="AB196" i="7"/>
  <c r="Z196" i="7" s="1"/>
  <c r="AP198" i="7"/>
  <c r="AB201" i="7"/>
  <c r="Z201" i="7" s="1"/>
  <c r="AP203" i="7"/>
  <c r="R206" i="7"/>
  <c r="R207" i="7"/>
  <c r="Z208" i="7"/>
  <c r="T211" i="7"/>
  <c r="R211" i="7" s="1"/>
  <c r="AP216" i="7"/>
  <c r="R218" i="7"/>
  <c r="AB219" i="7"/>
  <c r="Z221" i="7"/>
  <c r="AB226" i="7"/>
  <c r="AB230" i="7"/>
  <c r="AP234" i="7"/>
  <c r="Z237" i="7"/>
  <c r="T240" i="7"/>
  <c r="R240" i="7" s="1"/>
  <c r="AB243" i="7"/>
  <c r="Z243" i="7" s="1"/>
  <c r="AB245" i="7"/>
  <c r="Z245" i="7" s="1"/>
  <c r="R252" i="7"/>
  <c r="R253" i="7"/>
  <c r="AB255" i="7"/>
  <c r="S258" i="7"/>
  <c r="AB261" i="7"/>
  <c r="Z261" i="7" s="1"/>
  <c r="Z264" i="7"/>
  <c r="T265" i="7"/>
  <c r="AB268" i="7"/>
  <c r="T271" i="7"/>
  <c r="R271" i="7" s="1"/>
  <c r="AQ273" i="7"/>
  <c r="AB276" i="7"/>
  <c r="Z276" i="7" s="1"/>
  <c r="AB280" i="7"/>
  <c r="AB282" i="7"/>
  <c r="AB286" i="7"/>
  <c r="S289" i="7"/>
  <c r="AB297" i="7"/>
  <c r="Z297" i="7" s="1"/>
  <c r="T298" i="7"/>
  <c r="R298" i="7" s="1"/>
  <c r="AB299" i="7"/>
  <c r="AR312" i="7"/>
  <c r="AQ312" i="7"/>
  <c r="S334" i="7"/>
  <c r="T334" i="7"/>
  <c r="T390" i="7"/>
  <c r="S390" i="7"/>
  <c r="AA412" i="7"/>
  <c r="AB412" i="7"/>
  <c r="AB414" i="7"/>
  <c r="AA414" i="7"/>
  <c r="L418" i="7"/>
  <c r="J418" i="7" s="1"/>
  <c r="K418" i="7"/>
  <c r="L427" i="7"/>
  <c r="K427" i="7"/>
  <c r="L437" i="7"/>
  <c r="K437" i="7"/>
  <c r="L519" i="7"/>
  <c r="J519" i="7" s="1"/>
  <c r="K519" i="7"/>
  <c r="AQ602" i="7"/>
  <c r="AR602" i="7"/>
  <c r="AQ606" i="7"/>
  <c r="AR606" i="7"/>
  <c r="AQ610" i="7"/>
  <c r="AP610" i="7" s="1"/>
  <c r="AR610" i="7"/>
  <c r="AQ614" i="7"/>
  <c r="AR614" i="7"/>
  <c r="AQ618" i="7"/>
  <c r="AR618" i="7"/>
  <c r="AQ622" i="7"/>
  <c r="AP622" i="7" s="1"/>
  <c r="AR622" i="7"/>
  <c r="AQ626" i="7"/>
  <c r="AR626" i="7"/>
  <c r="AQ630" i="7"/>
  <c r="AR630" i="7"/>
  <c r="AQ634" i="7"/>
  <c r="AP634" i="7" s="1"/>
  <c r="AR634" i="7"/>
  <c r="AQ638" i="7"/>
  <c r="AR638" i="7"/>
  <c r="AQ642" i="7"/>
  <c r="AR642" i="7"/>
  <c r="AQ646" i="7"/>
  <c r="AP646" i="7" s="1"/>
  <c r="AR646" i="7"/>
  <c r="AQ650" i="7"/>
  <c r="AR650" i="7"/>
  <c r="AQ654" i="7"/>
  <c r="AR654" i="7"/>
  <c r="AQ658" i="7"/>
  <c r="AP658" i="7" s="1"/>
  <c r="AR658" i="7"/>
  <c r="AQ662" i="7"/>
  <c r="AR662" i="7"/>
  <c r="AQ666" i="7"/>
  <c r="AR666" i="7"/>
  <c r="AI772" i="7"/>
  <c r="AH772" i="7" s="1"/>
  <c r="AJ772" i="7"/>
  <c r="AI781" i="7"/>
  <c r="AJ781" i="7"/>
  <c r="AI795" i="7"/>
  <c r="AJ795" i="7"/>
  <c r="K802" i="7"/>
  <c r="L802" i="7"/>
  <c r="T825" i="7"/>
  <c r="S825" i="7"/>
  <c r="D835" i="7"/>
  <c r="C835" i="7"/>
  <c r="K852" i="7"/>
  <c r="L852" i="7"/>
  <c r="AA870" i="7"/>
  <c r="AB870" i="7"/>
  <c r="AB873" i="7"/>
  <c r="AA873" i="7"/>
  <c r="X139" i="4"/>
  <c r="X145" i="4"/>
  <c r="B26" i="7"/>
  <c r="B34" i="7"/>
  <c r="B37" i="7"/>
  <c r="J58" i="7"/>
  <c r="B65" i="7"/>
  <c r="B67" i="7"/>
  <c r="B69" i="7"/>
  <c r="B91" i="7"/>
  <c r="R119" i="7"/>
  <c r="R124" i="7"/>
  <c r="Z128" i="7"/>
  <c r="R181" i="7"/>
  <c r="R190" i="7"/>
  <c r="AP218" i="7"/>
  <c r="R221" i="7"/>
  <c r="AP242" i="7"/>
  <c r="R265" i="7"/>
  <c r="AP279" i="7"/>
  <c r="R283" i="7"/>
  <c r="Z299" i="7"/>
  <c r="AR343" i="7"/>
  <c r="AQ343" i="7"/>
  <c r="AR357" i="7"/>
  <c r="AQ357" i="7"/>
  <c r="AA361" i="7"/>
  <c r="AB361" i="7"/>
  <c r="Z361" i="7" s="1"/>
  <c r="AR367" i="7"/>
  <c r="AQ367" i="7"/>
  <c r="AJ403" i="7"/>
  <c r="AI403" i="7"/>
  <c r="AJ411" i="7"/>
  <c r="AI411" i="7"/>
  <c r="AH411" i="7" s="1"/>
  <c r="AJ444" i="7"/>
  <c r="AI444" i="7"/>
  <c r="AI451" i="7"/>
  <c r="AJ451" i="7"/>
  <c r="AI457" i="7"/>
  <c r="AJ457" i="7"/>
  <c r="K466" i="7"/>
  <c r="L466" i="7"/>
  <c r="AI487" i="7"/>
  <c r="AJ487" i="7"/>
  <c r="AI493" i="7"/>
  <c r="AJ493" i="7"/>
  <c r="K505" i="7"/>
  <c r="L505" i="7"/>
  <c r="AJ527" i="7"/>
  <c r="AI527" i="7"/>
  <c r="AJ595" i="7"/>
  <c r="AI595" i="7"/>
  <c r="AH595" i="7" s="1"/>
  <c r="S789" i="7"/>
  <c r="T789" i="7"/>
  <c r="AA823" i="7"/>
  <c r="AB823" i="7"/>
  <c r="AB824" i="7"/>
  <c r="AA824" i="7"/>
  <c r="T829" i="7"/>
  <c r="S829" i="7"/>
  <c r="AQ833" i="7"/>
  <c r="AR833" i="7"/>
  <c r="T847" i="7"/>
  <c r="S847" i="7"/>
  <c r="T851" i="7"/>
  <c r="S851" i="7"/>
  <c r="T857" i="7"/>
  <c r="S857" i="7"/>
  <c r="K865" i="7"/>
  <c r="L865" i="7"/>
  <c r="AQ877" i="7"/>
  <c r="AR877" i="7"/>
  <c r="L881" i="7"/>
  <c r="K881" i="7"/>
  <c r="AA7" i="4"/>
  <c r="AA19" i="4"/>
  <c r="AA25" i="4"/>
  <c r="AA31" i="4"/>
  <c r="AA37" i="4"/>
  <c r="AA43" i="4"/>
  <c r="AA49" i="4"/>
  <c r="AA55" i="4"/>
  <c r="AA61" i="4"/>
  <c r="AA129" i="4"/>
  <c r="AA135" i="4"/>
  <c r="AA147" i="4"/>
  <c r="AA153" i="4"/>
  <c r="AR7" i="7"/>
  <c r="AP7" i="7" s="1"/>
  <c r="AI8" i="7"/>
  <c r="AQ9" i="7"/>
  <c r="AQ14" i="7"/>
  <c r="B16" i="7"/>
  <c r="AQ17" i="7"/>
  <c r="D19" i="7"/>
  <c r="B19" i="7" s="1"/>
  <c r="D22" i="7"/>
  <c r="D27" i="7"/>
  <c r="C30" i="7"/>
  <c r="AQ30" i="7"/>
  <c r="D32" i="7"/>
  <c r="B32" i="7" s="1"/>
  <c r="D35" i="7"/>
  <c r="B35" i="7" s="1"/>
  <c r="C38" i="7"/>
  <c r="AQ38" i="7"/>
  <c r="D40" i="7"/>
  <c r="AQ43" i="7"/>
  <c r="B53" i="7"/>
  <c r="D71" i="7"/>
  <c r="B71" i="7" s="1"/>
  <c r="D74" i="7"/>
  <c r="D93" i="7"/>
  <c r="S95" i="7"/>
  <c r="AP99" i="7"/>
  <c r="AQ102" i="7"/>
  <c r="AP102" i="7" s="1"/>
  <c r="AQ105" i="7"/>
  <c r="AQ108" i="7"/>
  <c r="AR122" i="7"/>
  <c r="AR127" i="7"/>
  <c r="AP127" i="7" s="1"/>
  <c r="Z133" i="7"/>
  <c r="Z137" i="7"/>
  <c r="AB140" i="7"/>
  <c r="AQ143" i="7"/>
  <c r="AQ148" i="7"/>
  <c r="AP148" i="7" s="1"/>
  <c r="S155" i="7"/>
  <c r="AB157" i="7"/>
  <c r="Z157" i="7" s="1"/>
  <c r="AP157" i="7"/>
  <c r="S158" i="7"/>
  <c r="R161" i="7"/>
  <c r="Z163" i="7"/>
  <c r="T169" i="7"/>
  <c r="R169" i="7" s="1"/>
  <c r="AB170" i="7"/>
  <c r="S174" i="7"/>
  <c r="R174" i="7" s="1"/>
  <c r="AQ181" i="7"/>
  <c r="S184" i="7"/>
  <c r="AB186" i="7"/>
  <c r="Z186" i="7" s="1"/>
  <c r="AI190" i="7"/>
  <c r="AH190" i="7" s="1"/>
  <c r="AQ191" i="7"/>
  <c r="AP191" i="7" s="1"/>
  <c r="AB192" i="7"/>
  <c r="Z192" i="7" s="1"/>
  <c r="T194" i="7"/>
  <c r="R194" i="7" s="1"/>
  <c r="AB195" i="7"/>
  <c r="Z195" i="7" s="1"/>
  <c r="AQ197" i="7"/>
  <c r="AP197" i="7" s="1"/>
  <c r="AQ200" i="7"/>
  <c r="AP200" i="7" s="1"/>
  <c r="AP202" i="7"/>
  <c r="T204" i="7"/>
  <c r="R204" i="7" s="1"/>
  <c r="AB207" i="7"/>
  <c r="AB209" i="7"/>
  <c r="AB218" i="7"/>
  <c r="AB222" i="7"/>
  <c r="AB224" i="7"/>
  <c r="Z224" i="7" s="1"/>
  <c r="R227" i="7"/>
  <c r="AB236" i="7"/>
  <c r="AQ240" i="7"/>
  <c r="AP240" i="7" s="1"/>
  <c r="AB242" i="7"/>
  <c r="AQ244" i="7"/>
  <c r="AQ246" i="7"/>
  <c r="AP246" i="7" s="1"/>
  <c r="AQ248" i="7"/>
  <c r="AQ258" i="7"/>
  <c r="AP258" i="7" s="1"/>
  <c r="S261" i="7"/>
  <c r="R261" i="7" s="1"/>
  <c r="AB263" i="7"/>
  <c r="S264" i="7"/>
  <c r="AQ265" i="7"/>
  <c r="AP265" i="7" s="1"/>
  <c r="AB267" i="7"/>
  <c r="AB275" i="7"/>
  <c r="AB279" i="7"/>
  <c r="AQ281" i="7"/>
  <c r="AP281" i="7" s="1"/>
  <c r="S304" i="7"/>
  <c r="T304" i="7"/>
  <c r="AR305" i="7"/>
  <c r="AQ305" i="7"/>
  <c r="T308" i="7"/>
  <c r="S308" i="7"/>
  <c r="S364" i="7"/>
  <c r="T364" i="7"/>
  <c r="AR379" i="7"/>
  <c r="AQ379" i="7"/>
  <c r="AR387" i="7"/>
  <c r="AQ387" i="7"/>
  <c r="J404" i="7"/>
  <c r="AJ404" i="7"/>
  <c r="AI404" i="7"/>
  <c r="AJ415" i="7"/>
  <c r="AI415" i="7"/>
  <c r="L421" i="7"/>
  <c r="K421" i="7"/>
  <c r="J421" i="7" s="1"/>
  <c r="L430" i="7"/>
  <c r="K430" i="7"/>
  <c r="L439" i="7"/>
  <c r="K439" i="7"/>
  <c r="K481" i="7"/>
  <c r="L481" i="7"/>
  <c r="AQ518" i="7"/>
  <c r="AR518" i="7"/>
  <c r="AJ537" i="7"/>
  <c r="AI537" i="7"/>
  <c r="AJ549" i="7"/>
  <c r="AI549" i="7"/>
  <c r="AH549" i="7" s="1"/>
  <c r="AJ561" i="7"/>
  <c r="AI561" i="7"/>
  <c r="AJ573" i="7"/>
  <c r="AI573" i="7"/>
  <c r="AJ585" i="7"/>
  <c r="AI585" i="7"/>
  <c r="AH585" i="7" s="1"/>
  <c r="AQ594" i="7"/>
  <c r="AR594" i="7"/>
  <c r="AJ597" i="7"/>
  <c r="AI597" i="7"/>
  <c r="AJ605" i="7"/>
  <c r="AI605" i="7"/>
  <c r="AH605" i="7" s="1"/>
  <c r="AJ609" i="7"/>
  <c r="AI609" i="7"/>
  <c r="AJ613" i="7"/>
  <c r="AI613" i="7"/>
  <c r="AJ617" i="7"/>
  <c r="AI617" i="7"/>
  <c r="AH617" i="7" s="1"/>
  <c r="AJ621" i="7"/>
  <c r="AI621" i="7"/>
  <c r="AJ625" i="7"/>
  <c r="AI625" i="7"/>
  <c r="AJ629" i="7"/>
  <c r="AI629" i="7"/>
  <c r="AH629" i="7" s="1"/>
  <c r="AJ633" i="7"/>
  <c r="AI633" i="7"/>
  <c r="AJ637" i="7"/>
  <c r="AI637" i="7"/>
  <c r="AJ641" i="7"/>
  <c r="AI641" i="7"/>
  <c r="AH641" i="7" s="1"/>
  <c r="AJ645" i="7"/>
  <c r="AI645" i="7"/>
  <c r="AJ649" i="7"/>
  <c r="AI649" i="7"/>
  <c r="AJ653" i="7"/>
  <c r="AI653" i="7"/>
  <c r="AH653" i="7" s="1"/>
  <c r="AJ657" i="7"/>
  <c r="AI657" i="7"/>
  <c r="AJ661" i="7"/>
  <c r="AI661" i="7"/>
  <c r="AJ665" i="7"/>
  <c r="AI665" i="7"/>
  <c r="AH665" i="7" s="1"/>
  <c r="AJ669" i="7"/>
  <c r="AI669" i="7"/>
  <c r="AI775" i="7"/>
  <c r="AJ775" i="7"/>
  <c r="AI784" i="7"/>
  <c r="AJ784" i="7"/>
  <c r="AQ801" i="7"/>
  <c r="AR801" i="7"/>
  <c r="L807" i="7"/>
  <c r="K807" i="7"/>
  <c r="L823" i="7"/>
  <c r="K823" i="7"/>
  <c r="AI831" i="7"/>
  <c r="AJ831" i="7"/>
  <c r="AB840" i="7"/>
  <c r="AA840" i="7"/>
  <c r="AB859" i="7"/>
  <c r="AA859" i="7"/>
  <c r="Z859" i="7" s="1"/>
  <c r="T869" i="7"/>
  <c r="S869" i="7"/>
  <c r="K873" i="7"/>
  <c r="L873" i="7"/>
  <c r="AA18" i="4"/>
  <c r="AA30" i="4"/>
  <c r="AA36" i="4"/>
  <c r="AA48" i="4"/>
  <c r="AQ12" i="7"/>
  <c r="D14" i="7"/>
  <c r="B14" i="7" s="1"/>
  <c r="D17" i="7"/>
  <c r="B17" i="7" s="1"/>
  <c r="AQ20" i="7"/>
  <c r="B22" i="7"/>
  <c r="AQ25" i="7"/>
  <c r="B27" i="7"/>
  <c r="AQ28" i="7"/>
  <c r="AP28" i="7" s="1"/>
  <c r="AQ33" i="7"/>
  <c r="AQ36" i="7"/>
  <c r="B40" i="7"/>
  <c r="AQ41" i="7"/>
  <c r="AP41" i="7" s="1"/>
  <c r="D43" i="7"/>
  <c r="B43" i="7" s="1"/>
  <c r="AQ46" i="7"/>
  <c r="D48" i="7"/>
  <c r="B48" i="7" s="1"/>
  <c r="D51" i="7"/>
  <c r="B51" i="7" s="1"/>
  <c r="D54" i="7"/>
  <c r="B54" i="7" s="1"/>
  <c r="B60" i="7"/>
  <c r="D62" i="7"/>
  <c r="B62" i="7" s="1"/>
  <c r="D64" i="7"/>
  <c r="B64" i="7" s="1"/>
  <c r="D66" i="7"/>
  <c r="B66" i="7" s="1"/>
  <c r="D68" i="7"/>
  <c r="B68" i="7" s="1"/>
  <c r="B74" i="7"/>
  <c r="J75" i="7"/>
  <c r="J77" i="7"/>
  <c r="J79" i="7"/>
  <c r="J83" i="7"/>
  <c r="J85" i="7"/>
  <c r="J87" i="7"/>
  <c r="B93" i="7"/>
  <c r="S111" i="7"/>
  <c r="AB114" i="7"/>
  <c r="Z114" i="7" s="1"/>
  <c r="AQ116" i="7"/>
  <c r="AB119" i="7"/>
  <c r="AB124" i="7"/>
  <c r="AR126" i="7"/>
  <c r="AB127" i="7"/>
  <c r="T128" i="7"/>
  <c r="R128" i="7" s="1"/>
  <c r="S130" i="7"/>
  <c r="T142" i="7"/>
  <c r="R142" i="7" s="1"/>
  <c r="AB148" i="7"/>
  <c r="Z148" i="7" s="1"/>
  <c r="S162" i="7"/>
  <c r="AB173" i="7"/>
  <c r="Z173" i="7" s="1"/>
  <c r="T178" i="7"/>
  <c r="R178" i="7" s="1"/>
  <c r="AI184" i="7"/>
  <c r="AH184" i="7" s="1"/>
  <c r="AB191" i="7"/>
  <c r="Z191" i="7" s="1"/>
  <c r="T193" i="7"/>
  <c r="R193" i="7" s="1"/>
  <c r="AI193" i="7"/>
  <c r="AH193" i="7" s="1"/>
  <c r="T196" i="7"/>
  <c r="R196" i="7" s="1"/>
  <c r="AB197" i="7"/>
  <c r="AB200" i="7"/>
  <c r="Z200" i="7" s="1"/>
  <c r="AP206" i="7"/>
  <c r="AP215" i="7"/>
  <c r="AP217" i="7"/>
  <c r="AB240" i="7"/>
  <c r="T243" i="7"/>
  <c r="R243" i="7" s="1"/>
  <c r="AB244" i="7"/>
  <c r="AB246" i="7"/>
  <c r="R250" i="7"/>
  <c r="AQ254" i="7"/>
  <c r="AB258" i="7"/>
  <c r="Z263" i="7"/>
  <c r="AB265" i="7"/>
  <c r="Z267" i="7"/>
  <c r="T286" i="7"/>
  <c r="R286" i="7" s="1"/>
  <c r="AB287" i="7"/>
  <c r="AB289" i="7"/>
  <c r="AP289" i="7"/>
  <c r="T290" i="7"/>
  <c r="R290" i="7" s="1"/>
  <c r="R292" i="7"/>
  <c r="AQ294" i="7"/>
  <c r="R296" i="7"/>
  <c r="S297" i="7"/>
  <c r="T325" i="7"/>
  <c r="S325" i="7"/>
  <c r="T340" i="7"/>
  <c r="S340" i="7"/>
  <c r="AA343" i="7"/>
  <c r="AB343" i="7"/>
  <c r="AA367" i="7"/>
  <c r="AB367" i="7"/>
  <c r="T376" i="7"/>
  <c r="S376" i="7"/>
  <c r="T403" i="7"/>
  <c r="S403" i="7"/>
  <c r="AJ416" i="7"/>
  <c r="AI416" i="7"/>
  <c r="K443" i="7"/>
  <c r="L443" i="7"/>
  <c r="AI449" i="7"/>
  <c r="AJ449" i="7"/>
  <c r="AI455" i="7"/>
  <c r="AJ455" i="7"/>
  <c r="K463" i="7"/>
  <c r="L463" i="7"/>
  <c r="K469" i="7"/>
  <c r="L469" i="7"/>
  <c r="K475" i="7"/>
  <c r="L475" i="7"/>
  <c r="AJ507" i="7"/>
  <c r="AI507" i="7"/>
  <c r="AJ508" i="7"/>
  <c r="AI508" i="7"/>
  <c r="S527" i="7"/>
  <c r="T527" i="7"/>
  <c r="AQ596" i="7"/>
  <c r="AR596" i="7"/>
  <c r="AJ599" i="7"/>
  <c r="AI599" i="7"/>
  <c r="AQ604" i="7"/>
  <c r="AR604" i="7"/>
  <c r="AQ608" i="7"/>
  <c r="AR608" i="7"/>
  <c r="AQ612" i="7"/>
  <c r="AR612" i="7"/>
  <c r="AQ616" i="7"/>
  <c r="AR616" i="7"/>
  <c r="AQ620" i="7"/>
  <c r="AR620" i="7"/>
  <c r="AQ624" i="7"/>
  <c r="AR624" i="7"/>
  <c r="AQ628" i="7"/>
  <c r="AR628" i="7"/>
  <c r="AQ632" i="7"/>
  <c r="AR632" i="7"/>
  <c r="AQ636" i="7"/>
  <c r="AR636" i="7"/>
  <c r="AQ640" i="7"/>
  <c r="AR640" i="7"/>
  <c r="AQ644" i="7"/>
  <c r="AR644" i="7"/>
  <c r="AQ648" i="7"/>
  <c r="AR648" i="7"/>
  <c r="AQ652" i="7"/>
  <c r="AR652" i="7"/>
  <c r="AQ656" i="7"/>
  <c r="AR656" i="7"/>
  <c r="AQ660" i="7"/>
  <c r="AR660" i="7"/>
  <c r="AQ664" i="7"/>
  <c r="AR664" i="7"/>
  <c r="AQ668" i="7"/>
  <c r="AR668" i="7"/>
  <c r="AI792" i="7"/>
  <c r="AJ792" i="7"/>
  <c r="L824" i="7"/>
  <c r="K824" i="7"/>
  <c r="T831" i="7"/>
  <c r="S831" i="7"/>
  <c r="AH844" i="7"/>
  <c r="K849" i="7"/>
  <c r="L849" i="7"/>
  <c r="K855" i="7"/>
  <c r="L855" i="7"/>
  <c r="AQ880" i="7"/>
  <c r="AR880" i="7"/>
  <c r="AB884" i="7"/>
  <c r="AA884" i="7"/>
  <c r="Z884" i="7" s="1"/>
  <c r="R302" i="7"/>
  <c r="AQ304" i="7"/>
  <c r="AP304" i="7" s="1"/>
  <c r="AQ306" i="7"/>
  <c r="AP306" i="7" s="1"/>
  <c r="AQ310" i="7"/>
  <c r="S324" i="7"/>
  <c r="R324" i="7" s="1"/>
  <c r="AQ325" i="7"/>
  <c r="Z327" i="7"/>
  <c r="S333" i="7"/>
  <c r="R333" i="7" s="1"/>
  <c r="AQ334" i="7"/>
  <c r="S339" i="7"/>
  <c r="R339" i="7" s="1"/>
  <c r="AQ340" i="7"/>
  <c r="AQ346" i="7"/>
  <c r="S354" i="7"/>
  <c r="R354" i="7" s="1"/>
  <c r="AQ355" i="7"/>
  <c r="AP355" i="7" s="1"/>
  <c r="R358" i="7"/>
  <c r="AB360" i="7"/>
  <c r="AQ364" i="7"/>
  <c r="AQ370" i="7"/>
  <c r="AQ376" i="7"/>
  <c r="AQ382" i="7"/>
  <c r="AP382" i="7" s="1"/>
  <c r="S387" i="7"/>
  <c r="R387" i="7" s="1"/>
  <c r="R388" i="7"/>
  <c r="AQ390" i="7"/>
  <c r="AP390" i="7" s="1"/>
  <c r="S393" i="7"/>
  <c r="R393" i="7" s="1"/>
  <c r="AQ394" i="7"/>
  <c r="L396" i="7"/>
  <c r="J396" i="7" s="1"/>
  <c r="T397" i="7"/>
  <c r="R397" i="7" s="1"/>
  <c r="J399" i="7"/>
  <c r="AI400" i="7"/>
  <c r="C401" i="7"/>
  <c r="B401" i="7" s="1"/>
  <c r="J405" i="7"/>
  <c r="R408" i="7"/>
  <c r="S410" i="7"/>
  <c r="R410" i="7" s="1"/>
  <c r="AJ410" i="7"/>
  <c r="C413" i="7"/>
  <c r="B413" i="7" s="1"/>
  <c r="S414" i="7"/>
  <c r="AI419" i="7"/>
  <c r="AI422" i="7"/>
  <c r="AH422" i="7" s="1"/>
  <c r="AI425" i="7"/>
  <c r="AI428" i="7"/>
  <c r="AI431" i="7"/>
  <c r="AJ434" i="7"/>
  <c r="AH434" i="7" s="1"/>
  <c r="AH437" i="7"/>
  <c r="K438" i="7"/>
  <c r="J438" i="7" s="1"/>
  <c r="AH439" i="7"/>
  <c r="K440" i="7"/>
  <c r="AJ441" i="7"/>
  <c r="J445" i="7"/>
  <c r="AI445" i="7"/>
  <c r="K447" i="7"/>
  <c r="J447" i="7" s="1"/>
  <c r="AI448" i="7"/>
  <c r="AJ458" i="7"/>
  <c r="AH460" i="7"/>
  <c r="AH463" i="7"/>
  <c r="AH466" i="7"/>
  <c r="L467" i="7"/>
  <c r="J467" i="7" s="1"/>
  <c r="AH469" i="7"/>
  <c r="L470" i="7"/>
  <c r="AH472" i="7"/>
  <c r="L476" i="7"/>
  <c r="J476" i="7" s="1"/>
  <c r="L479" i="7"/>
  <c r="L482" i="7"/>
  <c r="J482" i="7" s="1"/>
  <c r="AH484" i="7"/>
  <c r="L485" i="7"/>
  <c r="J485" i="7" s="1"/>
  <c r="AI488" i="7"/>
  <c r="AH490" i="7"/>
  <c r="AJ491" i="7"/>
  <c r="T498" i="7"/>
  <c r="AI498" i="7"/>
  <c r="AI500" i="7"/>
  <c r="AH500" i="7" s="1"/>
  <c r="K503" i="7"/>
  <c r="AA507" i="7"/>
  <c r="Z507" i="7" s="1"/>
  <c r="K508" i="7"/>
  <c r="J508" i="7" s="1"/>
  <c r="T510" i="7"/>
  <c r="AI511" i="7"/>
  <c r="AH511" i="7" s="1"/>
  <c r="T514" i="7"/>
  <c r="T516" i="7"/>
  <c r="AI518" i="7"/>
  <c r="K520" i="7"/>
  <c r="AR522" i="7"/>
  <c r="J523" i="7"/>
  <c r="K524" i="7"/>
  <c r="K527" i="7"/>
  <c r="AI533" i="7"/>
  <c r="AH533" i="7" s="1"/>
  <c r="AI539" i="7"/>
  <c r="AI545" i="7"/>
  <c r="AI551" i="7"/>
  <c r="AH551" i="7" s="1"/>
  <c r="AI557" i="7"/>
  <c r="AI563" i="7"/>
  <c r="AI569" i="7"/>
  <c r="AI575" i="7"/>
  <c r="AI581" i="7"/>
  <c r="AI587" i="7"/>
  <c r="AH587" i="7" s="1"/>
  <c r="AI593" i="7"/>
  <c r="L596" i="7"/>
  <c r="L598" i="7"/>
  <c r="J598" i="7" s="1"/>
  <c r="L600" i="7"/>
  <c r="J600" i="7" s="1"/>
  <c r="L602" i="7"/>
  <c r="J602" i="7" s="1"/>
  <c r="L604" i="7"/>
  <c r="J604" i="7" s="1"/>
  <c r="L606" i="7"/>
  <c r="J606" i="7" s="1"/>
  <c r="L608" i="7"/>
  <c r="L610" i="7"/>
  <c r="J610" i="7" s="1"/>
  <c r="L612" i="7"/>
  <c r="J612" i="7" s="1"/>
  <c r="L614" i="7"/>
  <c r="J614" i="7" s="1"/>
  <c r="L616" i="7"/>
  <c r="J616" i="7" s="1"/>
  <c r="L618" i="7"/>
  <c r="L620" i="7"/>
  <c r="L622" i="7"/>
  <c r="J622" i="7" s="1"/>
  <c r="L624" i="7"/>
  <c r="L626" i="7"/>
  <c r="J626" i="7" s="1"/>
  <c r="L628" i="7"/>
  <c r="L630" i="7"/>
  <c r="J630" i="7" s="1"/>
  <c r="L632" i="7"/>
  <c r="L634" i="7"/>
  <c r="J634" i="7" s="1"/>
  <c r="L636" i="7"/>
  <c r="J636" i="7" s="1"/>
  <c r="L638" i="7"/>
  <c r="J638" i="7" s="1"/>
  <c r="L640" i="7"/>
  <c r="J640" i="7" s="1"/>
  <c r="L642" i="7"/>
  <c r="L644" i="7"/>
  <c r="L646" i="7"/>
  <c r="J646" i="7" s="1"/>
  <c r="L648" i="7"/>
  <c r="L650" i="7"/>
  <c r="J650" i="7" s="1"/>
  <c r="L652" i="7"/>
  <c r="J652" i="7" s="1"/>
  <c r="L654" i="7"/>
  <c r="L656" i="7"/>
  <c r="J656" i="7" s="1"/>
  <c r="L658" i="7"/>
  <c r="J658" i="7" s="1"/>
  <c r="L660" i="7"/>
  <c r="L662" i="7"/>
  <c r="J662" i="7" s="1"/>
  <c r="L664" i="7"/>
  <c r="J664" i="7" s="1"/>
  <c r="L666" i="7"/>
  <c r="J666" i="7" s="1"/>
  <c r="L668" i="7"/>
  <c r="L670" i="7"/>
  <c r="J670" i="7" s="1"/>
  <c r="AJ770" i="7"/>
  <c r="AH770" i="7" s="1"/>
  <c r="AJ773" i="7"/>
  <c r="AH773" i="7" s="1"/>
  <c r="AJ776" i="7"/>
  <c r="AH776" i="7" s="1"/>
  <c r="AJ779" i="7"/>
  <c r="AJ782" i="7"/>
  <c r="AJ785" i="7"/>
  <c r="AH785" i="7" s="1"/>
  <c r="Z810" i="7"/>
  <c r="J816" i="7"/>
  <c r="Z822" i="7"/>
  <c r="J826" i="7"/>
  <c r="Z836" i="7"/>
  <c r="AP857" i="7"/>
  <c r="J870" i="7"/>
  <c r="Z875" i="7"/>
  <c r="Z877" i="7"/>
  <c r="L893" i="7"/>
  <c r="K893" i="7"/>
  <c r="AJ899" i="7"/>
  <c r="AI899" i="7"/>
  <c r="AQ907" i="7"/>
  <c r="AR907" i="7"/>
  <c r="L942" i="7"/>
  <c r="K942" i="7"/>
  <c r="AQ947" i="7"/>
  <c r="AR947" i="7"/>
  <c r="AA1001" i="7"/>
  <c r="AB1001" i="7"/>
  <c r="AA1009" i="7"/>
  <c r="AB1009" i="7"/>
  <c r="K1027" i="7"/>
  <c r="L1027" i="7"/>
  <c r="AA1063" i="7"/>
  <c r="AB1063" i="7"/>
  <c r="L1094" i="7"/>
  <c r="K1094" i="7"/>
  <c r="L1202" i="7"/>
  <c r="K1202" i="7"/>
  <c r="AR1250" i="7"/>
  <c r="AQ1250" i="7"/>
  <c r="AA1262" i="7"/>
  <c r="AB1262" i="7"/>
  <c r="AB306" i="7"/>
  <c r="Z306" i="7" s="1"/>
  <c r="AB310" i="7"/>
  <c r="AP315" i="7"/>
  <c r="R318" i="7"/>
  <c r="R319" i="7"/>
  <c r="AB325" i="7"/>
  <c r="Z325" i="7" s="1"/>
  <c r="R328" i="7"/>
  <c r="AB334" i="7"/>
  <c r="AB340" i="7"/>
  <c r="T343" i="7"/>
  <c r="R343" i="7" s="1"/>
  <c r="AB346" i="7"/>
  <c r="T349" i="7"/>
  <c r="R349" i="7" s="1"/>
  <c r="AB355" i="7"/>
  <c r="T361" i="7"/>
  <c r="AB364" i="7"/>
  <c r="T367" i="7"/>
  <c r="R367" i="7" s="1"/>
  <c r="AB370" i="7"/>
  <c r="R373" i="7"/>
  <c r="AP375" i="7"/>
  <c r="AB376" i="7"/>
  <c r="T379" i="7"/>
  <c r="R379" i="7" s="1"/>
  <c r="AB382" i="7"/>
  <c r="AB390" i="7"/>
  <c r="Z390" i="7" s="1"/>
  <c r="AB394" i="7"/>
  <c r="C397" i="7"/>
  <c r="B397" i="7" s="1"/>
  <c r="L398" i="7"/>
  <c r="J398" i="7" s="1"/>
  <c r="AI405" i="7"/>
  <c r="AH405" i="7" s="1"/>
  <c r="AI412" i="7"/>
  <c r="AI435" i="7"/>
  <c r="AH441" i="7"/>
  <c r="AJ450" i="7"/>
  <c r="AH450" i="7" s="1"/>
  <c r="AJ452" i="7"/>
  <c r="AH452" i="7" s="1"/>
  <c r="AJ454" i="7"/>
  <c r="AH454" i="7" s="1"/>
  <c r="AJ456" i="7"/>
  <c r="AH456" i="7" s="1"/>
  <c r="AH458" i="7"/>
  <c r="AJ461" i="7"/>
  <c r="J464" i="7"/>
  <c r="AJ464" i="7"/>
  <c r="AH464" i="7" s="1"/>
  <c r="AJ467" i="7"/>
  <c r="AH467" i="7" s="1"/>
  <c r="J470" i="7"/>
  <c r="AJ470" i="7"/>
  <c r="AH470" i="7" s="1"/>
  <c r="AJ473" i="7"/>
  <c r="AH473" i="7" s="1"/>
  <c r="AJ476" i="7"/>
  <c r="J479" i="7"/>
  <c r="AJ479" i="7"/>
  <c r="AH479" i="7" s="1"/>
  <c r="AJ482" i="7"/>
  <c r="AJ485" i="7"/>
  <c r="AH485" i="7" s="1"/>
  <c r="AH491" i="7"/>
  <c r="L492" i="7"/>
  <c r="AI495" i="7"/>
  <c r="L507" i="7"/>
  <c r="J507" i="7" s="1"/>
  <c r="AR507" i="7"/>
  <c r="K512" i="7"/>
  <c r="J512" i="7" s="1"/>
  <c r="T518" i="7"/>
  <c r="R518" i="7" s="1"/>
  <c r="AA525" i="7"/>
  <c r="Z525" i="7" s="1"/>
  <c r="J526" i="7"/>
  <c r="AI528" i="7"/>
  <c r="AH528" i="7" s="1"/>
  <c r="AI534" i="7"/>
  <c r="AI540" i="7"/>
  <c r="AH540" i="7" s="1"/>
  <c r="AI546" i="7"/>
  <c r="AI552" i="7"/>
  <c r="AI558" i="7"/>
  <c r="AI564" i="7"/>
  <c r="AI570" i="7"/>
  <c r="AI576" i="7"/>
  <c r="AH576" i="7" s="1"/>
  <c r="AI582" i="7"/>
  <c r="AI588" i="7"/>
  <c r="AI594" i="7"/>
  <c r="AR595" i="7"/>
  <c r="J596" i="7"/>
  <c r="AI596" i="7"/>
  <c r="AH596" i="7" s="1"/>
  <c r="AR597" i="7"/>
  <c r="AI598" i="7"/>
  <c r="AR599" i="7"/>
  <c r="AI600" i="7"/>
  <c r="AR601" i="7"/>
  <c r="AP601" i="7" s="1"/>
  <c r="AI602" i="7"/>
  <c r="J608" i="7"/>
  <c r="J618" i="7"/>
  <c r="J620" i="7"/>
  <c r="J624" i="7"/>
  <c r="J628" i="7"/>
  <c r="J632" i="7"/>
  <c r="J642" i="7"/>
  <c r="J644" i="7"/>
  <c r="J648" i="7"/>
  <c r="J654" i="7"/>
  <c r="J660" i="7"/>
  <c r="J668" i="7"/>
  <c r="AH779" i="7"/>
  <c r="AH782" i="7"/>
  <c r="T788" i="7"/>
  <c r="C802" i="7"/>
  <c r="B802" i="7" s="1"/>
  <c r="J814" i="7"/>
  <c r="Z814" i="7"/>
  <c r="Z820" i="7"/>
  <c r="J822" i="7"/>
  <c r="AI823" i="7"/>
  <c r="AA828" i="7"/>
  <c r="Z828" i="7" s="1"/>
  <c r="AB829" i="7"/>
  <c r="K835" i="7"/>
  <c r="K841" i="7"/>
  <c r="J841" i="7" s="1"/>
  <c r="K844" i="7"/>
  <c r="AA847" i="7"/>
  <c r="J851" i="7"/>
  <c r="J854" i="7"/>
  <c r="J857" i="7"/>
  <c r="K860" i="7"/>
  <c r="J860" i="7" s="1"/>
  <c r="J872" i="7"/>
  <c r="J880" i="7"/>
  <c r="J882" i="7"/>
  <c r="AI882" i="7"/>
  <c r="AH882" i="7" s="1"/>
  <c r="AA907" i="7"/>
  <c r="AB907" i="7"/>
  <c r="AQ923" i="7"/>
  <c r="AR923" i="7"/>
  <c r="L926" i="7"/>
  <c r="K926" i="7"/>
  <c r="J932" i="7"/>
  <c r="AI992" i="7"/>
  <c r="AJ992" i="7"/>
  <c r="L1040" i="7"/>
  <c r="K1040" i="7"/>
  <c r="K1163" i="7"/>
  <c r="L1163" i="7"/>
  <c r="AR1247" i="7"/>
  <c r="AQ1247" i="7"/>
  <c r="Z310" i="7"/>
  <c r="R312" i="7"/>
  <c r="AP333" i="7"/>
  <c r="R342" i="7"/>
  <c r="AP345" i="7"/>
  <c r="R357" i="7"/>
  <c r="AB358" i="7"/>
  <c r="R361" i="7"/>
  <c r="AP369" i="7"/>
  <c r="AP381" i="7"/>
  <c r="R384" i="7"/>
  <c r="AH461" i="7"/>
  <c r="AH476" i="7"/>
  <c r="AH482" i="7"/>
  <c r="AJ768" i="7"/>
  <c r="AH768" i="7" s="1"/>
  <c r="AJ771" i="7"/>
  <c r="AH771" i="7" s="1"/>
  <c r="AJ774" i="7"/>
  <c r="AH774" i="7" s="1"/>
  <c r="AJ777" i="7"/>
  <c r="AH777" i="7" s="1"/>
  <c r="AJ780" i="7"/>
  <c r="AH780" i="7" s="1"/>
  <c r="AJ783" i="7"/>
  <c r="AH783" i="7" s="1"/>
  <c r="AJ786" i="7"/>
  <c r="AH786" i="7" s="1"/>
  <c r="AJ791" i="7"/>
  <c r="AJ794" i="7"/>
  <c r="AJ797" i="7"/>
  <c r="AH797" i="7" s="1"/>
  <c r="AR799" i="7"/>
  <c r="AR803" i="7"/>
  <c r="AR805" i="7"/>
  <c r="L806" i="7"/>
  <c r="Z806" i="7"/>
  <c r="AR807" i="7"/>
  <c r="L808" i="7"/>
  <c r="Z808" i="7"/>
  <c r="K813" i="7"/>
  <c r="J813" i="7" s="1"/>
  <c r="C816" i="7"/>
  <c r="B816" i="7" s="1"/>
  <c r="C818" i="7"/>
  <c r="B818" i="7" s="1"/>
  <c r="AA821" i="7"/>
  <c r="L828" i="7"/>
  <c r="AP831" i="7"/>
  <c r="K837" i="7"/>
  <c r="AB837" i="7"/>
  <c r="Z837" i="7" s="1"/>
  <c r="AA838" i="7"/>
  <c r="Z838" i="7" s="1"/>
  <c r="C840" i="7"/>
  <c r="B840" i="7" s="1"/>
  <c r="J846" i="7"/>
  <c r="L850" i="7"/>
  <c r="J850" i="7" s="1"/>
  <c r="L853" i="7"/>
  <c r="J853" i="7" s="1"/>
  <c r="L856" i="7"/>
  <c r="J856" i="7" s="1"/>
  <c r="C858" i="7"/>
  <c r="B858" i="7" s="1"/>
  <c r="AI861" i="7"/>
  <c r="AH861" i="7" s="1"/>
  <c r="AI864" i="7"/>
  <c r="AH864" i="7" s="1"/>
  <c r="AI867" i="7"/>
  <c r="AH867" i="7" s="1"/>
  <c r="C870" i="7"/>
  <c r="B870" i="7" s="1"/>
  <c r="L871" i="7"/>
  <c r="J871" i="7" s="1"/>
  <c r="Z871" i="7"/>
  <c r="AP871" i="7"/>
  <c r="AI872" i="7"/>
  <c r="AI875" i="7"/>
  <c r="AH875" i="7" s="1"/>
  <c r="K886" i="7"/>
  <c r="AQ892" i="7"/>
  <c r="AR892" i="7"/>
  <c r="L906" i="7"/>
  <c r="K906" i="7"/>
  <c r="AJ910" i="7"/>
  <c r="AI910" i="7"/>
  <c r="L915" i="7"/>
  <c r="K915" i="7"/>
  <c r="Z941" i="7"/>
  <c r="AQ941" i="7"/>
  <c r="AR941" i="7"/>
  <c r="K989" i="7"/>
  <c r="L989" i="7"/>
  <c r="AQ1035" i="7"/>
  <c r="AR1035" i="7"/>
  <c r="AA1072" i="7"/>
  <c r="AB1072" i="7"/>
  <c r="T1085" i="7"/>
  <c r="S1085" i="7"/>
  <c r="AJ1161" i="7"/>
  <c r="AI1161" i="7"/>
  <c r="T1234" i="7"/>
  <c r="S1234" i="7"/>
  <c r="AB303" i="7"/>
  <c r="Z303" i="7" s="1"/>
  <c r="AR307" i="7"/>
  <c r="AP307" i="7" s="1"/>
  <c r="AB309" i="7"/>
  <c r="AB313" i="7"/>
  <c r="T316" i="7"/>
  <c r="R316" i="7" s="1"/>
  <c r="AB319" i="7"/>
  <c r="AB328" i="7"/>
  <c r="AB345" i="7"/>
  <c r="AR349" i="7"/>
  <c r="AP349" i="7" s="1"/>
  <c r="AB363" i="7"/>
  <c r="AB369" i="7"/>
  <c r="Z369" i="7" s="1"/>
  <c r="AB373" i="7"/>
  <c r="Z375" i="7"/>
  <c r="AB381" i="7"/>
  <c r="R391" i="7"/>
  <c r="Z408" i="7"/>
  <c r="L410" i="7"/>
  <c r="J410" i="7" s="1"/>
  <c r="K413" i="7"/>
  <c r="J413" i="7" s="1"/>
  <c r="J436" i="7"/>
  <c r="AH438" i="7"/>
  <c r="J462" i="7"/>
  <c r="J465" i="7"/>
  <c r="J468" i="7"/>
  <c r="AJ468" i="7"/>
  <c r="AH468" i="7" s="1"/>
  <c r="AJ471" i="7"/>
  <c r="AH471" i="7" s="1"/>
  <c r="J474" i="7"/>
  <c r="J477" i="7"/>
  <c r="AJ477" i="7"/>
  <c r="AH477" i="7" s="1"/>
  <c r="J480" i="7"/>
  <c r="J483" i="7"/>
  <c r="R497" i="7"/>
  <c r="L498" i="7"/>
  <c r="J498" i="7" s="1"/>
  <c r="AA498" i="7"/>
  <c r="Z498" i="7" s="1"/>
  <c r="K510" i="7"/>
  <c r="J510" i="7" s="1"/>
  <c r="AJ513" i="7"/>
  <c r="AH513" i="7" s="1"/>
  <c r="J525" i="7"/>
  <c r="T768" i="7"/>
  <c r="R768" i="7" s="1"/>
  <c r="T771" i="7"/>
  <c r="T774" i="7"/>
  <c r="T777" i="7"/>
  <c r="T780" i="7"/>
  <c r="T783" i="7"/>
  <c r="T786" i="7"/>
  <c r="AJ789" i="7"/>
  <c r="AH789" i="7" s="1"/>
  <c r="T791" i="7"/>
  <c r="AH791" i="7"/>
  <c r="T794" i="7"/>
  <c r="AH794" i="7"/>
  <c r="T797" i="7"/>
  <c r="J828" i="7"/>
  <c r="AJ886" i="7"/>
  <c r="AI886" i="7"/>
  <c r="AJ887" i="7"/>
  <c r="AI887" i="7"/>
  <c r="AJ896" i="7"/>
  <c r="AI896" i="7"/>
  <c r="AQ903" i="7"/>
  <c r="AR903" i="7"/>
  <c r="AQ925" i="7"/>
  <c r="AR925" i="7"/>
  <c r="AJ944" i="7"/>
  <c r="AI944" i="7"/>
  <c r="AI974" i="7"/>
  <c r="AJ974" i="7"/>
  <c r="D983" i="7"/>
  <c r="C983" i="7"/>
  <c r="AQ988" i="7"/>
  <c r="AR988" i="7"/>
  <c r="K1035" i="7"/>
  <c r="L1035" i="7"/>
  <c r="L1059" i="7"/>
  <c r="K1059" i="7"/>
  <c r="AJ1071" i="7"/>
  <c r="AI1071" i="7"/>
  <c r="S1080" i="7"/>
  <c r="T1080" i="7"/>
  <c r="AQ1115" i="7"/>
  <c r="AR1115" i="7"/>
  <c r="AQ1134" i="7"/>
  <c r="AR1134" i="7"/>
  <c r="T1143" i="7"/>
  <c r="S1143" i="7"/>
  <c r="K1172" i="7"/>
  <c r="L1172" i="7"/>
  <c r="K1198" i="7"/>
  <c r="L1198" i="7"/>
  <c r="AA1225" i="7"/>
  <c r="AB1225" i="7"/>
  <c r="R315" i="7"/>
  <c r="AP318" i="7"/>
  <c r="R321" i="7"/>
  <c r="AP327" i="7"/>
  <c r="R330" i="7"/>
  <c r="Z363" i="7"/>
  <c r="AP372" i="7"/>
  <c r="R375" i="7"/>
  <c r="AH465" i="7"/>
  <c r="AH489" i="7"/>
  <c r="J595" i="7"/>
  <c r="J597" i="7"/>
  <c r="J599" i="7"/>
  <c r="J603" i="7"/>
  <c r="J605" i="7"/>
  <c r="J607" i="7"/>
  <c r="J609" i="7"/>
  <c r="J611" i="7"/>
  <c r="J613" i="7"/>
  <c r="J615" i="7"/>
  <c r="J617" i="7"/>
  <c r="J619" i="7"/>
  <c r="J621" i="7"/>
  <c r="J623" i="7"/>
  <c r="J625" i="7"/>
  <c r="J627" i="7"/>
  <c r="J629" i="7"/>
  <c r="J631" i="7"/>
  <c r="J633" i="7"/>
  <c r="J635" i="7"/>
  <c r="J637" i="7"/>
  <c r="J639" i="7"/>
  <c r="J641" i="7"/>
  <c r="J643" i="7"/>
  <c r="J645" i="7"/>
  <c r="J647" i="7"/>
  <c r="J651" i="7"/>
  <c r="J653" i="7"/>
  <c r="J655" i="7"/>
  <c r="J657" i="7"/>
  <c r="J659" i="7"/>
  <c r="J661" i="7"/>
  <c r="J663" i="7"/>
  <c r="J665" i="7"/>
  <c r="J667" i="7"/>
  <c r="J669" i="7"/>
  <c r="Z802" i="7"/>
  <c r="AP819" i="7"/>
  <c r="J821" i="7"/>
  <c r="L908" i="7"/>
  <c r="K908" i="7"/>
  <c r="AA925" i="7"/>
  <c r="AB925" i="7"/>
  <c r="L941" i="7"/>
  <c r="K941" i="7"/>
  <c r="S1034" i="7"/>
  <c r="T1034" i="7"/>
  <c r="K1068" i="7"/>
  <c r="L1068" i="7"/>
  <c r="AJ1170" i="7"/>
  <c r="AI1170" i="7"/>
  <c r="K1197" i="7"/>
  <c r="L1197" i="7"/>
  <c r="AA887" i="7"/>
  <c r="Z887" i="7" s="1"/>
  <c r="AB889" i="7"/>
  <c r="Z889" i="7" s="1"/>
  <c r="AR889" i="7"/>
  <c r="K892" i="7"/>
  <c r="J892" i="7" s="1"/>
  <c r="AA897" i="7"/>
  <c r="Z897" i="7" s="1"/>
  <c r="J900" i="7"/>
  <c r="K903" i="7"/>
  <c r="J903" i="7" s="1"/>
  <c r="Z903" i="7"/>
  <c r="K909" i="7"/>
  <c r="K911" i="7"/>
  <c r="AA914" i="7"/>
  <c r="Z914" i="7" s="1"/>
  <c r="J917" i="7"/>
  <c r="AI919" i="7"/>
  <c r="K921" i="7"/>
  <c r="J921" i="7" s="1"/>
  <c r="AA922" i="7"/>
  <c r="Z922" i="7" s="1"/>
  <c r="AR922" i="7"/>
  <c r="Z923" i="7"/>
  <c r="AI926" i="7"/>
  <c r="AH926" i="7" s="1"/>
  <c r="AP928" i="7"/>
  <c r="K930" i="7"/>
  <c r="J930" i="7" s="1"/>
  <c r="AR931" i="7"/>
  <c r="AA934" i="7"/>
  <c r="AR934" i="7"/>
  <c r="AP934" i="7" s="1"/>
  <c r="AR937" i="7"/>
  <c r="AA945" i="7"/>
  <c r="AI946" i="7"/>
  <c r="Z947" i="7"/>
  <c r="L953" i="7"/>
  <c r="K953" i="7"/>
  <c r="J962" i="7"/>
  <c r="D971" i="7"/>
  <c r="C971" i="7"/>
  <c r="T971" i="7"/>
  <c r="R971" i="7" s="1"/>
  <c r="S977" i="7"/>
  <c r="T977" i="7"/>
  <c r="AI982" i="7"/>
  <c r="AJ982" i="7"/>
  <c r="AA988" i="7"/>
  <c r="AB988" i="7"/>
  <c r="T995" i="7"/>
  <c r="S995" i="7"/>
  <c r="K1001" i="7"/>
  <c r="L1001" i="7"/>
  <c r="AQ1003" i="7"/>
  <c r="AR1003" i="7"/>
  <c r="AA1006" i="7"/>
  <c r="AB1006" i="7"/>
  <c r="L1009" i="7"/>
  <c r="K1009" i="7"/>
  <c r="T1019" i="7"/>
  <c r="AB1020" i="7"/>
  <c r="AQ1024" i="7"/>
  <c r="AR1024" i="7"/>
  <c r="T1025" i="7"/>
  <c r="T1029" i="7"/>
  <c r="S1029" i="7"/>
  <c r="K1030" i="7"/>
  <c r="J1030" i="7" s="1"/>
  <c r="L1033" i="7"/>
  <c r="K1033" i="7"/>
  <c r="AR1039" i="7"/>
  <c r="T1042" i="7"/>
  <c r="S1042" i="7"/>
  <c r="T1043" i="7"/>
  <c r="L1053" i="7"/>
  <c r="R1054" i="7"/>
  <c r="AR1062" i="7"/>
  <c r="J1063" i="7"/>
  <c r="AJ1065" i="7"/>
  <c r="AI1065" i="7"/>
  <c r="AR1070" i="7"/>
  <c r="L1075" i="7"/>
  <c r="J1075" i="7" s="1"/>
  <c r="T1084" i="7"/>
  <c r="R1084" i="7" s="1"/>
  <c r="K1102" i="7"/>
  <c r="L1102" i="7"/>
  <c r="AB1102" i="7"/>
  <c r="S1110" i="7"/>
  <c r="T1110" i="7"/>
  <c r="R1111" i="7"/>
  <c r="R1116" i="7"/>
  <c r="S1126" i="7"/>
  <c r="T1126" i="7"/>
  <c r="AA1134" i="7"/>
  <c r="AB1134" i="7"/>
  <c r="R1135" i="7"/>
  <c r="AJ1138" i="7"/>
  <c r="AI1138" i="7"/>
  <c r="L1148" i="7"/>
  <c r="K1148" i="7"/>
  <c r="L1157" i="7"/>
  <c r="J1157" i="7" s="1"/>
  <c r="T1161" i="7"/>
  <c r="S1161" i="7"/>
  <c r="L1166" i="7"/>
  <c r="J1166" i="7" s="1"/>
  <c r="T1170" i="7"/>
  <c r="S1170" i="7"/>
  <c r="R1170" i="7" s="1"/>
  <c r="L1175" i="7"/>
  <c r="J1175" i="7" s="1"/>
  <c r="R1176" i="7"/>
  <c r="L1182" i="7"/>
  <c r="J1182" i="7" s="1"/>
  <c r="AB1186" i="7"/>
  <c r="AA1186" i="7"/>
  <c r="L1189" i="7"/>
  <c r="K1189" i="7"/>
  <c r="AA1194" i="7"/>
  <c r="AB1194" i="7"/>
  <c r="AQ1195" i="7"/>
  <c r="AR1195" i="7"/>
  <c r="T1196" i="7"/>
  <c r="R1196" i="7" s="1"/>
  <c r="Z1205" i="7"/>
  <c r="AH1209" i="7"/>
  <c r="S1215" i="7"/>
  <c r="T1215" i="7"/>
  <c r="R1220" i="7"/>
  <c r="AP1224" i="7"/>
  <c r="B1250" i="7"/>
  <c r="AA1506" i="7"/>
  <c r="AB1506" i="7"/>
  <c r="J911" i="7"/>
  <c r="Z931" i="7"/>
  <c r="J934" i="7"/>
  <c r="Z945" i="7"/>
  <c r="AI970" i="7"/>
  <c r="AJ970" i="7"/>
  <c r="L1002" i="7"/>
  <c r="K1002" i="7"/>
  <c r="AA1018" i="7"/>
  <c r="AB1018" i="7"/>
  <c r="Z1018" i="7" s="1"/>
  <c r="T1023" i="7"/>
  <c r="S1023" i="7"/>
  <c r="J1053" i="7"/>
  <c r="AQ1058" i="7"/>
  <c r="AR1058" i="7"/>
  <c r="S1077" i="7"/>
  <c r="T1077" i="7"/>
  <c r="AA1083" i="7"/>
  <c r="AB1083" i="7"/>
  <c r="T1114" i="7"/>
  <c r="S1114" i="7"/>
  <c r="S1138" i="7"/>
  <c r="T1138" i="7"/>
  <c r="AJ1155" i="7"/>
  <c r="AI1155" i="7"/>
  <c r="AJ1164" i="7"/>
  <c r="AI1164" i="7"/>
  <c r="AJ1173" i="7"/>
  <c r="AI1173" i="7"/>
  <c r="AJ1179" i="7"/>
  <c r="AI1179" i="7"/>
  <c r="AB1195" i="7"/>
  <c r="AA1195" i="7"/>
  <c r="AR1201" i="7"/>
  <c r="AQ1201" i="7"/>
  <c r="AR1229" i="7"/>
  <c r="AQ1229" i="7"/>
  <c r="T1243" i="7"/>
  <c r="S1243" i="7"/>
  <c r="S1253" i="7"/>
  <c r="T1253" i="7"/>
  <c r="D1440" i="7"/>
  <c r="C1440" i="7"/>
  <c r="AR1444" i="7"/>
  <c r="AQ1444" i="7"/>
  <c r="AR1455" i="7"/>
  <c r="AQ1455" i="7"/>
  <c r="AR1473" i="7"/>
  <c r="AQ1473" i="7"/>
  <c r="T1480" i="7"/>
  <c r="S1480" i="7"/>
  <c r="T1484" i="7"/>
  <c r="S1484" i="7"/>
  <c r="AA1486" i="7"/>
  <c r="AB1486" i="7"/>
  <c r="D1492" i="7"/>
  <c r="C1492" i="7"/>
  <c r="AR1497" i="7"/>
  <c r="AQ1497" i="7"/>
  <c r="D1500" i="7"/>
  <c r="C1500" i="7"/>
  <c r="AR1500" i="7"/>
  <c r="AQ1500" i="7"/>
  <c r="J899" i="7"/>
  <c r="Z905" i="7"/>
  <c r="AP910" i="7"/>
  <c r="AR913" i="7"/>
  <c r="AR915" i="7"/>
  <c r="AR917" i="7"/>
  <c r="AA920" i="7"/>
  <c r="J927" i="7"/>
  <c r="AI932" i="7"/>
  <c r="AH932" i="7" s="1"/>
  <c r="J940" i="7"/>
  <c r="AA949" i="7"/>
  <c r="AB949" i="7"/>
  <c r="K985" i="7"/>
  <c r="L985" i="7"/>
  <c r="J988" i="7"/>
  <c r="T998" i="7"/>
  <c r="S998" i="7"/>
  <c r="J1003" i="7"/>
  <c r="AQ1032" i="7"/>
  <c r="AR1032" i="7"/>
  <c r="J1052" i="7"/>
  <c r="AJ1057" i="7"/>
  <c r="AI1057" i="7"/>
  <c r="J1069" i="7"/>
  <c r="L1082" i="7"/>
  <c r="K1082" i="7"/>
  <c r="AA1089" i="7"/>
  <c r="AB1089" i="7"/>
  <c r="AA1096" i="7"/>
  <c r="AB1096" i="7"/>
  <c r="R1105" i="7"/>
  <c r="K1119" i="7"/>
  <c r="L1119" i="7"/>
  <c r="J1142" i="7"/>
  <c r="J1146" i="7"/>
  <c r="AQ1147" i="7"/>
  <c r="AR1147" i="7"/>
  <c r="R1152" i="7"/>
  <c r="T1155" i="7"/>
  <c r="S1155" i="7"/>
  <c r="T1164" i="7"/>
  <c r="S1164" i="7"/>
  <c r="T1173" i="7"/>
  <c r="S1173" i="7"/>
  <c r="T1179" i="7"/>
  <c r="S1179" i="7"/>
  <c r="K1185" i="7"/>
  <c r="L1185" i="7"/>
  <c r="J1186" i="7"/>
  <c r="AQ1188" i="7"/>
  <c r="AR1188" i="7"/>
  <c r="S1193" i="7"/>
  <c r="T1193" i="7"/>
  <c r="AR1203" i="7"/>
  <c r="AQ1203" i="7"/>
  <c r="R1213" i="7"/>
  <c r="AR1361" i="7"/>
  <c r="AQ1361" i="7"/>
  <c r="AR1363" i="7"/>
  <c r="AQ1363" i="7"/>
  <c r="T1377" i="7"/>
  <c r="S1377" i="7"/>
  <c r="AR1387" i="7"/>
  <c r="AQ1387" i="7"/>
  <c r="AI889" i="7"/>
  <c r="AR895" i="7"/>
  <c r="Z898" i="7"/>
  <c r="J902" i="7"/>
  <c r="AA926" i="7"/>
  <c r="Z933" i="7"/>
  <c r="K939" i="7"/>
  <c r="AB939" i="7"/>
  <c r="Z939" i="7" s="1"/>
  <c r="AI940" i="7"/>
  <c r="AR943" i="7"/>
  <c r="L948" i="7"/>
  <c r="K948" i="7"/>
  <c r="AI948" i="7"/>
  <c r="AH948" i="7" s="1"/>
  <c r="D975" i="7"/>
  <c r="C975" i="7"/>
  <c r="C993" i="7"/>
  <c r="B993" i="7" s="1"/>
  <c r="J999" i="7"/>
  <c r="AQ1001" i="7"/>
  <c r="AR1001" i="7"/>
  <c r="AB1015" i="7"/>
  <c r="S1028" i="7"/>
  <c r="T1028" i="7"/>
  <c r="K1032" i="7"/>
  <c r="L1032" i="7"/>
  <c r="AB1032" i="7"/>
  <c r="L1036" i="7"/>
  <c r="K1036" i="7"/>
  <c r="K1046" i="7"/>
  <c r="J1046" i="7" s="1"/>
  <c r="T1057" i="7"/>
  <c r="S1057" i="7"/>
  <c r="T1061" i="7"/>
  <c r="R1061" i="7" s="1"/>
  <c r="J1062" i="7"/>
  <c r="AR1063" i="7"/>
  <c r="J1064" i="7"/>
  <c r="L1074" i="7"/>
  <c r="J1074" i="7" s="1"/>
  <c r="L1076" i="7"/>
  <c r="K1089" i="7"/>
  <c r="J1089" i="7" s="1"/>
  <c r="S1091" i="7"/>
  <c r="R1091" i="7" s="1"/>
  <c r="T1099" i="7"/>
  <c r="S1099" i="7"/>
  <c r="J1100" i="7"/>
  <c r="L1103" i="7"/>
  <c r="K1103" i="7"/>
  <c r="AR1108" i="7"/>
  <c r="J1109" i="7"/>
  <c r="K1122" i="7"/>
  <c r="L1122" i="7"/>
  <c r="AB1122" i="7"/>
  <c r="AR1122" i="7"/>
  <c r="AI1123" i="7"/>
  <c r="AH1123" i="7" s="1"/>
  <c r="R1125" i="7"/>
  <c r="T1128" i="7"/>
  <c r="AI1128" i="7"/>
  <c r="AH1128" i="7" s="1"/>
  <c r="AJ1132" i="7"/>
  <c r="AI1132" i="7"/>
  <c r="S1141" i="7"/>
  <c r="T1141" i="7"/>
  <c r="AA1147" i="7"/>
  <c r="AB1147" i="7"/>
  <c r="AJ1149" i="7"/>
  <c r="AI1149" i="7"/>
  <c r="AB1150" i="7"/>
  <c r="AR1150" i="7"/>
  <c r="J1151" i="7"/>
  <c r="AJ1158" i="7"/>
  <c r="AI1158" i="7"/>
  <c r="AB1159" i="7"/>
  <c r="AR1159" i="7"/>
  <c r="J1160" i="7"/>
  <c r="AJ1167" i="7"/>
  <c r="AI1167" i="7"/>
  <c r="AB1168" i="7"/>
  <c r="AR1168" i="7"/>
  <c r="J1169" i="7"/>
  <c r="AA1183" i="7"/>
  <c r="T1184" i="7"/>
  <c r="R1184" i="7" s="1"/>
  <c r="AA1188" i="7"/>
  <c r="AB1188" i="7"/>
  <c r="L1195" i="7"/>
  <c r="K1195" i="7"/>
  <c r="J1195" i="7" s="1"/>
  <c r="AB1198" i="7"/>
  <c r="Z1198" i="7" s="1"/>
  <c r="AR1198" i="7"/>
  <c r="AA1200" i="7"/>
  <c r="Z1200" i="7" s="1"/>
  <c r="R1201" i="7"/>
  <c r="AR1202" i="7"/>
  <c r="AP1202" i="7" s="1"/>
  <c r="K1203" i="7"/>
  <c r="J1203" i="7" s="1"/>
  <c r="T1207" i="7"/>
  <c r="S1207" i="7"/>
  <c r="AH1207" i="7"/>
  <c r="R1208" i="7"/>
  <c r="L1211" i="7"/>
  <c r="K1211" i="7"/>
  <c r="J1211" i="7" s="1"/>
  <c r="AR1225" i="7"/>
  <c r="AP1225" i="7" s="1"/>
  <c r="AR1238" i="7"/>
  <c r="AQ1238" i="7"/>
  <c r="AQ1239" i="7"/>
  <c r="S1358" i="7"/>
  <c r="T1358" i="7"/>
  <c r="C1361" i="7"/>
  <c r="D1361" i="7"/>
  <c r="AB1429" i="7"/>
  <c r="AA1429" i="7"/>
  <c r="J898" i="7"/>
  <c r="Z913" i="7"/>
  <c r="J933" i="7"/>
  <c r="L955" i="7"/>
  <c r="K955" i="7"/>
  <c r="J955" i="7" s="1"/>
  <c r="Z956" i="7"/>
  <c r="L978" i="7"/>
  <c r="K978" i="7"/>
  <c r="T1031" i="7"/>
  <c r="S1031" i="7"/>
  <c r="AA1040" i="7"/>
  <c r="AB1040" i="7"/>
  <c r="R1067" i="7"/>
  <c r="AQ1112" i="7"/>
  <c r="AR1112" i="7"/>
  <c r="AA1117" i="7"/>
  <c r="AB1117" i="7"/>
  <c r="S1132" i="7"/>
  <c r="T1132" i="7"/>
  <c r="AJ1135" i="7"/>
  <c r="AI1135" i="7"/>
  <c r="J1136" i="7"/>
  <c r="R1137" i="7"/>
  <c r="AJ1143" i="7"/>
  <c r="AI1143" i="7"/>
  <c r="T1149" i="7"/>
  <c r="S1149" i="7"/>
  <c r="L1154" i="7"/>
  <c r="K1154" i="7"/>
  <c r="T1158" i="7"/>
  <c r="S1158" i="7"/>
  <c r="T1167" i="7"/>
  <c r="S1167" i="7"/>
  <c r="AJ1177" i="7"/>
  <c r="AI1177" i="7"/>
  <c r="R1191" i="7"/>
  <c r="AB1202" i="7"/>
  <c r="AA1202" i="7"/>
  <c r="AQ1210" i="7"/>
  <c r="AR1210" i="7"/>
  <c r="S1250" i="7"/>
  <c r="T1250" i="7"/>
  <c r="AQ1289" i="7"/>
  <c r="AR1289" i="7"/>
  <c r="AQ1298" i="7"/>
  <c r="AR1298" i="7"/>
  <c r="AQ1303" i="7"/>
  <c r="AR1303" i="7"/>
  <c r="AQ1309" i="7"/>
  <c r="AR1309" i="7"/>
  <c r="AQ1316" i="7"/>
  <c r="AR1316" i="7"/>
  <c r="AQ1322" i="7"/>
  <c r="AR1322" i="7"/>
  <c r="AQ1328" i="7"/>
  <c r="AR1328" i="7"/>
  <c r="AQ1334" i="7"/>
  <c r="AR1334" i="7"/>
  <c r="AR1339" i="7"/>
  <c r="AQ1339" i="7"/>
  <c r="C1341" i="7"/>
  <c r="D1341" i="7"/>
  <c r="AA1351" i="7"/>
  <c r="AB1351" i="7"/>
  <c r="C1355" i="7"/>
  <c r="D1355" i="7"/>
  <c r="AA1355" i="7"/>
  <c r="AB1355" i="7"/>
  <c r="AR1420" i="7"/>
  <c r="AQ1420" i="7"/>
  <c r="AJ1267" i="7"/>
  <c r="AI1267" i="7"/>
  <c r="AA1274" i="7"/>
  <c r="AB1274" i="7"/>
  <c r="AJ1279" i="7"/>
  <c r="AI1279" i="7"/>
  <c r="Z1280" i="7"/>
  <c r="AQ1294" i="7"/>
  <c r="AR1294" i="7"/>
  <c r="AQ1304" i="7"/>
  <c r="AR1304" i="7"/>
  <c r="AQ1310" i="7"/>
  <c r="AR1310" i="7"/>
  <c r="S1340" i="7"/>
  <c r="T1340" i="7"/>
  <c r="S1354" i="7"/>
  <c r="T1354" i="7"/>
  <c r="AA1357" i="7"/>
  <c r="AB1357" i="7"/>
  <c r="S1360" i="7"/>
  <c r="T1360" i="7"/>
  <c r="AA1361" i="7"/>
  <c r="AB1361" i="7"/>
  <c r="S1364" i="7"/>
  <c r="T1364" i="7"/>
  <c r="C1367" i="7"/>
  <c r="D1367" i="7"/>
  <c r="AQ1368" i="7"/>
  <c r="AR1368" i="7"/>
  <c r="T1378" i="7"/>
  <c r="S1378" i="7"/>
  <c r="C1380" i="7"/>
  <c r="D1380" i="7"/>
  <c r="C1384" i="7"/>
  <c r="D1384" i="7"/>
  <c r="AB1384" i="7"/>
  <c r="AA1384" i="7"/>
  <c r="K1387" i="7"/>
  <c r="L1387" i="7"/>
  <c r="K1390" i="7"/>
  <c r="L1390" i="7"/>
  <c r="Z1390" i="7"/>
  <c r="T1396" i="7"/>
  <c r="S1396" i="7"/>
  <c r="AA1397" i="7"/>
  <c r="AB1397" i="7"/>
  <c r="C1410" i="7"/>
  <c r="D1410" i="7"/>
  <c r="D1449" i="7"/>
  <c r="C1449" i="7"/>
  <c r="D1462" i="7"/>
  <c r="C1462" i="7"/>
  <c r="D1464" i="7"/>
  <c r="C1464" i="7"/>
  <c r="D1466" i="7"/>
  <c r="C1466" i="7"/>
  <c r="D1468" i="7"/>
  <c r="C1468" i="7"/>
  <c r="D1470" i="7"/>
  <c r="C1470" i="7"/>
  <c r="D1472" i="7"/>
  <c r="C1472" i="7"/>
  <c r="K1473" i="7"/>
  <c r="L1473" i="7"/>
  <c r="AR1487" i="7"/>
  <c r="AQ1487" i="7"/>
  <c r="AB1493" i="7"/>
  <c r="AA1493" i="7"/>
  <c r="D1504" i="7"/>
  <c r="C1504" i="7"/>
  <c r="K1506" i="7"/>
  <c r="L1506" i="7"/>
  <c r="AR1507" i="7"/>
  <c r="AQ1507" i="7"/>
  <c r="AR1511" i="7"/>
  <c r="AQ1511" i="7"/>
  <c r="T1522" i="7"/>
  <c r="S1522" i="7"/>
  <c r="K1537" i="7"/>
  <c r="L1537" i="7"/>
  <c r="C1547" i="7"/>
  <c r="D1547" i="7"/>
  <c r="L1587" i="7"/>
  <c r="K1587" i="7"/>
  <c r="S1589" i="7"/>
  <c r="T1589" i="7"/>
  <c r="AQ1608" i="7"/>
  <c r="AR1608" i="7"/>
  <c r="S1625" i="7"/>
  <c r="T1625" i="7"/>
  <c r="S1629" i="7"/>
  <c r="T1629" i="7"/>
  <c r="AJ1632" i="7"/>
  <c r="AI1632" i="7"/>
  <c r="S1641" i="7"/>
  <c r="T1641" i="7"/>
  <c r="AJ1651" i="7"/>
  <c r="AI1651" i="7"/>
  <c r="AJ1703" i="7"/>
  <c r="AI1703" i="7"/>
  <c r="AJ1721" i="7"/>
  <c r="AI1721" i="7"/>
  <c r="AQ1723" i="7"/>
  <c r="AR1723" i="7"/>
  <c r="S1742" i="7"/>
  <c r="T1742" i="7"/>
  <c r="AJ1743" i="7"/>
  <c r="AI1743" i="7"/>
  <c r="AI1769" i="7"/>
  <c r="AJ1769" i="7"/>
  <c r="L1770" i="7"/>
  <c r="K1770" i="7"/>
  <c r="L1771" i="7"/>
  <c r="K1771" i="7"/>
  <c r="AI1792" i="7"/>
  <c r="AJ1792" i="7"/>
  <c r="K1796" i="7"/>
  <c r="L1796" i="7"/>
  <c r="D1814" i="7"/>
  <c r="C1814" i="7"/>
  <c r="L1826" i="7"/>
  <c r="K1826" i="7"/>
  <c r="D1843" i="7"/>
  <c r="C1843" i="7"/>
  <c r="AQ1846" i="7"/>
  <c r="AR1846" i="7"/>
  <c r="AQ1857" i="7"/>
  <c r="AR1857" i="7"/>
  <c r="AR1865" i="7"/>
  <c r="AQ1865" i="7"/>
  <c r="AJ1869" i="7"/>
  <c r="AI1869" i="7"/>
  <c r="AJ1873" i="7"/>
  <c r="AI1873" i="7"/>
  <c r="AI1876" i="7"/>
  <c r="AJ1876" i="7"/>
  <c r="D1885" i="7"/>
  <c r="C1885" i="7"/>
  <c r="AR1901" i="7"/>
  <c r="AQ1901" i="7"/>
  <c r="L1907" i="7"/>
  <c r="K1907" i="7"/>
  <c r="D1908" i="7"/>
  <c r="C1908" i="7"/>
  <c r="AJ1911" i="7"/>
  <c r="AI1911" i="7"/>
  <c r="D1916" i="7"/>
  <c r="C1916" i="7"/>
  <c r="L1945" i="7"/>
  <c r="K1945" i="7"/>
  <c r="AR1947" i="7"/>
  <c r="AQ1947" i="7"/>
  <c r="AJ1952" i="7"/>
  <c r="AI1952" i="7"/>
  <c r="L1956" i="7"/>
  <c r="K1956" i="7"/>
  <c r="L1963" i="7"/>
  <c r="K1963" i="7"/>
  <c r="T1994" i="7"/>
  <c r="S1994" i="7"/>
  <c r="AJ2098" i="7"/>
  <c r="AI2098" i="7"/>
  <c r="AJ2102" i="7"/>
  <c r="AI2102" i="7"/>
  <c r="L2126" i="7"/>
  <c r="K2126" i="7"/>
  <c r="AJ2128" i="7"/>
  <c r="AI2128" i="7"/>
  <c r="K2150" i="7"/>
  <c r="L2150" i="7"/>
  <c r="AB2159" i="7"/>
  <c r="AA2159" i="7"/>
  <c r="AI2245" i="7"/>
  <c r="AJ2245" i="7"/>
  <c r="AJ2262" i="7"/>
  <c r="AI2262" i="7"/>
  <c r="AI2308" i="7"/>
  <c r="AJ2308" i="7"/>
  <c r="AI2349" i="7"/>
  <c r="AJ2349" i="7"/>
  <c r="J952" i="7"/>
  <c r="Z954" i="7"/>
  <c r="J967" i="7"/>
  <c r="Z976" i="7"/>
  <c r="J979" i="7"/>
  <c r="Z980" i="7"/>
  <c r="J983" i="7"/>
  <c r="J986" i="7"/>
  <c r="Z992" i="7"/>
  <c r="J1023" i="7"/>
  <c r="J1045" i="7"/>
  <c r="J1070" i="7"/>
  <c r="R1086" i="7"/>
  <c r="J1091" i="7"/>
  <c r="J1095" i="7"/>
  <c r="R1120" i="7"/>
  <c r="R1123" i="7"/>
  <c r="J1143" i="7"/>
  <c r="J1170" i="7"/>
  <c r="J1173" i="7"/>
  <c r="J1176" i="7"/>
  <c r="R1181" i="7"/>
  <c r="C1260" i="7"/>
  <c r="D1260" i="7"/>
  <c r="AR1265" i="7"/>
  <c r="AQ1265" i="7"/>
  <c r="AR1277" i="7"/>
  <c r="AQ1277" i="7"/>
  <c r="AR1282" i="7"/>
  <c r="AQ1282" i="7"/>
  <c r="AQ1295" i="7"/>
  <c r="AR1295" i="7"/>
  <c r="AQ1300" i="7"/>
  <c r="AR1300" i="7"/>
  <c r="AQ1312" i="7"/>
  <c r="AR1312" i="7"/>
  <c r="AQ1318" i="7"/>
  <c r="AR1318" i="7"/>
  <c r="AQ1324" i="7"/>
  <c r="AR1324" i="7"/>
  <c r="AQ1330" i="7"/>
  <c r="AR1330" i="7"/>
  <c r="AA1339" i="7"/>
  <c r="AB1339" i="7"/>
  <c r="C1343" i="7"/>
  <c r="D1343" i="7"/>
  <c r="AR1345" i="7"/>
  <c r="AQ1345" i="7"/>
  <c r="C1347" i="7"/>
  <c r="D1347" i="7"/>
  <c r="AA1363" i="7"/>
  <c r="AB1363" i="7"/>
  <c r="S1366" i="7"/>
  <c r="T1366" i="7"/>
  <c r="AA1367" i="7"/>
  <c r="AB1367" i="7"/>
  <c r="S1371" i="7"/>
  <c r="T1371" i="7"/>
  <c r="D1373" i="7"/>
  <c r="C1373" i="7"/>
  <c r="K1379" i="7"/>
  <c r="L1379" i="7"/>
  <c r="AR1381" i="7"/>
  <c r="AQ1381" i="7"/>
  <c r="D1385" i="7"/>
  <c r="C1385" i="7"/>
  <c r="C1396" i="7"/>
  <c r="D1396" i="7"/>
  <c r="T1402" i="7"/>
  <c r="S1402" i="7"/>
  <c r="AR1405" i="7"/>
  <c r="AQ1405" i="7"/>
  <c r="T1414" i="7"/>
  <c r="S1414" i="7"/>
  <c r="AA1415" i="7"/>
  <c r="AB1415" i="7"/>
  <c r="K1420" i="7"/>
  <c r="L1420" i="7"/>
  <c r="Z1420" i="7"/>
  <c r="AA1432" i="7"/>
  <c r="Z1432" i="7" s="1"/>
  <c r="C1435" i="7"/>
  <c r="D1435" i="7"/>
  <c r="AA1441" i="7"/>
  <c r="AB1441" i="7"/>
  <c r="K1443" i="7"/>
  <c r="L1443" i="7"/>
  <c r="AB1444" i="7"/>
  <c r="AA1444" i="7"/>
  <c r="B1451" i="7"/>
  <c r="D1456" i="7"/>
  <c r="C1456" i="7"/>
  <c r="K1457" i="7"/>
  <c r="L1457" i="7"/>
  <c r="AB1458" i="7"/>
  <c r="AA1458" i="7"/>
  <c r="C1459" i="7"/>
  <c r="D1459" i="7"/>
  <c r="AR1462" i="7"/>
  <c r="AQ1462" i="7"/>
  <c r="AR1464" i="7"/>
  <c r="AQ1464" i="7"/>
  <c r="AR1466" i="7"/>
  <c r="AQ1466" i="7"/>
  <c r="AR1468" i="7"/>
  <c r="AQ1468" i="7"/>
  <c r="AR1470" i="7"/>
  <c r="AQ1470" i="7"/>
  <c r="AR1472" i="7"/>
  <c r="AQ1472" i="7"/>
  <c r="K1475" i="7"/>
  <c r="L1475" i="7"/>
  <c r="T1482" i="7"/>
  <c r="R1482" i="7" s="1"/>
  <c r="S1482" i="7"/>
  <c r="T1488" i="7"/>
  <c r="S1488" i="7"/>
  <c r="AA1502" i="7"/>
  <c r="AB1505" i="7"/>
  <c r="AA1505" i="7"/>
  <c r="C1526" i="7"/>
  <c r="D1526" i="7"/>
  <c r="AP951" i="7"/>
  <c r="Z970" i="7"/>
  <c r="J976" i="7"/>
  <c r="L980" i="7"/>
  <c r="J980" i="7" s="1"/>
  <c r="C987" i="7"/>
  <c r="B987" i="7" s="1"/>
  <c r="T989" i="7"/>
  <c r="AA990" i="7"/>
  <c r="Z990" i="7" s="1"/>
  <c r="L992" i="7"/>
  <c r="AR992" i="7"/>
  <c r="K993" i="7"/>
  <c r="K997" i="7"/>
  <c r="AB997" i="7"/>
  <c r="AP997" i="7"/>
  <c r="S999" i="7"/>
  <c r="K1005" i="7"/>
  <c r="L1010" i="7"/>
  <c r="J1010" i="7" s="1"/>
  <c r="T1012" i="7"/>
  <c r="L1013" i="7"/>
  <c r="J1013" i="7" s="1"/>
  <c r="AR1013" i="7"/>
  <c r="T1015" i="7"/>
  <c r="L1016" i="7"/>
  <c r="K1021" i="7"/>
  <c r="J1021" i="7" s="1"/>
  <c r="AB1025" i="7"/>
  <c r="Z1025" i="7" s="1"/>
  <c r="Z1029" i="7"/>
  <c r="AR1038" i="7"/>
  <c r="L1041" i="7"/>
  <c r="J1041" i="7" s="1"/>
  <c r="AR1041" i="7"/>
  <c r="AR1044" i="7"/>
  <c r="AP1044" i="7" s="1"/>
  <c r="T1046" i="7"/>
  <c r="S1062" i="7"/>
  <c r="R1062" i="7" s="1"/>
  <c r="S1063" i="7"/>
  <c r="R1063" i="7" s="1"/>
  <c r="AI1063" i="7"/>
  <c r="AH1063" i="7" s="1"/>
  <c r="AR1064" i="7"/>
  <c r="L1067" i="7"/>
  <c r="J1067" i="7" s="1"/>
  <c r="S1068" i="7"/>
  <c r="T1072" i="7"/>
  <c r="L1073" i="7"/>
  <c r="S1074" i="7"/>
  <c r="R1074" i="7" s="1"/>
  <c r="S1075" i="7"/>
  <c r="R1075" i="7" s="1"/>
  <c r="AI1075" i="7"/>
  <c r="AH1075" i="7" s="1"/>
  <c r="AR1076" i="7"/>
  <c r="K1088" i="7"/>
  <c r="J1088" i="7" s="1"/>
  <c r="L1090" i="7"/>
  <c r="J1090" i="7" s="1"/>
  <c r="AR1090" i="7"/>
  <c r="R1092" i="7"/>
  <c r="S1093" i="7"/>
  <c r="R1093" i="7" s="1"/>
  <c r="K1097" i="7"/>
  <c r="J1097" i="7" s="1"/>
  <c r="J1101" i="7"/>
  <c r="S1108" i="7"/>
  <c r="R1108" i="7" s="1"/>
  <c r="K1121" i="7"/>
  <c r="K1145" i="7"/>
  <c r="S1146" i="7"/>
  <c r="R1146" i="7" s="1"/>
  <c r="R1147" i="7"/>
  <c r="R1178" i="7"/>
  <c r="S1182" i="7"/>
  <c r="R1182" i="7" s="1"/>
  <c r="K1192" i="7"/>
  <c r="J1192" i="7" s="1"/>
  <c r="AA1192" i="7"/>
  <c r="Z1192" i="7" s="1"/>
  <c r="R1202" i="7"/>
  <c r="AH1203" i="7"/>
  <c r="Z1207" i="7"/>
  <c r="AQ1208" i="7"/>
  <c r="AP1208" i="7" s="1"/>
  <c r="S1217" i="7"/>
  <c r="R1217" i="7" s="1"/>
  <c r="S1219" i="7"/>
  <c r="AQ1221" i="7"/>
  <c r="AP1221" i="7" s="1"/>
  <c r="AQ1223" i="7"/>
  <c r="AQ1252" i="7"/>
  <c r="AP1252" i="7" s="1"/>
  <c r="AQ1291" i="7"/>
  <c r="AR1291" i="7"/>
  <c r="AQ1301" i="7"/>
  <c r="AR1301" i="7"/>
  <c r="AQ1306" i="7"/>
  <c r="AR1306" i="7"/>
  <c r="AQ1313" i="7"/>
  <c r="AR1313" i="7"/>
  <c r="AQ1319" i="7"/>
  <c r="AR1319" i="7"/>
  <c r="AQ1325" i="7"/>
  <c r="AR1325" i="7"/>
  <c r="AQ1331" i="7"/>
  <c r="AR1331" i="7"/>
  <c r="S1342" i="7"/>
  <c r="T1342" i="7"/>
  <c r="AA1343" i="7"/>
  <c r="AB1343" i="7"/>
  <c r="S1346" i="7"/>
  <c r="T1346" i="7"/>
  <c r="AQ1371" i="7"/>
  <c r="AR1371" i="7"/>
  <c r="AP1371" i="7" s="1"/>
  <c r="AA1388" i="7"/>
  <c r="AB1388" i="7"/>
  <c r="K1405" i="7"/>
  <c r="L1405" i="7"/>
  <c r="C1414" i="7"/>
  <c r="D1414" i="7"/>
  <c r="T1426" i="7"/>
  <c r="S1426" i="7"/>
  <c r="AA1427" i="7"/>
  <c r="AB1427" i="7"/>
  <c r="AA1430" i="7"/>
  <c r="AB1430" i="7"/>
  <c r="Z1430" i="7" s="1"/>
  <c r="D1437" i="7"/>
  <c r="C1437" i="7"/>
  <c r="AR1442" i="7"/>
  <c r="AQ1442" i="7"/>
  <c r="AR1447" i="7"/>
  <c r="AQ1447" i="7"/>
  <c r="AP1447" i="7" s="1"/>
  <c r="K1453" i="7"/>
  <c r="L1453" i="7"/>
  <c r="AR1454" i="7"/>
  <c r="AQ1454" i="7"/>
  <c r="AR1456" i="7"/>
  <c r="AQ1456" i="7"/>
  <c r="AP1456" i="7" s="1"/>
  <c r="AB1481" i="7"/>
  <c r="AA1481" i="7"/>
  <c r="C1482" i="7"/>
  <c r="D1482" i="7"/>
  <c r="AR1485" i="7"/>
  <c r="AQ1485" i="7"/>
  <c r="AP1485" i="7" s="1"/>
  <c r="D1488" i="7"/>
  <c r="C1488" i="7"/>
  <c r="AR1488" i="7"/>
  <c r="AQ1488" i="7"/>
  <c r="K1493" i="7"/>
  <c r="L1493" i="7"/>
  <c r="J1493" i="7" s="1"/>
  <c r="AA1498" i="7"/>
  <c r="AB1498" i="7"/>
  <c r="D1511" i="7"/>
  <c r="C1511" i="7"/>
  <c r="AJ956" i="7"/>
  <c r="C957" i="7"/>
  <c r="B957" i="7" s="1"/>
  <c r="AJ958" i="7"/>
  <c r="C959" i="7"/>
  <c r="B959" i="7" s="1"/>
  <c r="J964" i="7"/>
  <c r="AJ964" i="7"/>
  <c r="T965" i="7"/>
  <c r="T973" i="7"/>
  <c r="R973" i="7" s="1"/>
  <c r="J974" i="7"/>
  <c r="AJ976" i="7"/>
  <c r="C977" i="7"/>
  <c r="B977" i="7" s="1"/>
  <c r="AA978" i="7"/>
  <c r="Z978" i="7" s="1"/>
  <c r="K984" i="7"/>
  <c r="J984" i="7" s="1"/>
  <c r="J997" i="7"/>
  <c r="L1004" i="7"/>
  <c r="AR1004" i="7"/>
  <c r="AP1004" i="7" s="1"/>
  <c r="AR1006" i="7"/>
  <c r="AP1006" i="7" s="1"/>
  <c r="AB1007" i="7"/>
  <c r="AR1007" i="7"/>
  <c r="AP1007" i="7" s="1"/>
  <c r="J1016" i="7"/>
  <c r="AB1022" i="7"/>
  <c r="Z1022" i="7" s="1"/>
  <c r="AB1056" i="7"/>
  <c r="Z1056" i="7" s="1"/>
  <c r="T1060" i="7"/>
  <c r="R1060" i="7" s="1"/>
  <c r="T1078" i="7"/>
  <c r="L1079" i="7"/>
  <c r="J1079" i="7" s="1"/>
  <c r="AB1090" i="7"/>
  <c r="L1096" i="7"/>
  <c r="J1096" i="7" s="1"/>
  <c r="AR1096" i="7"/>
  <c r="T1104" i="7"/>
  <c r="R1104" i="7" s="1"/>
  <c r="AR1106" i="7"/>
  <c r="J1107" i="7"/>
  <c r="AR1109" i="7"/>
  <c r="AB1111" i="7"/>
  <c r="K1113" i="7"/>
  <c r="J1113" i="7" s="1"/>
  <c r="S1115" i="7"/>
  <c r="R1115" i="7" s="1"/>
  <c r="AB1120" i="7"/>
  <c r="AR1120" i="7"/>
  <c r="AP1120" i="7" s="1"/>
  <c r="J1125" i="7"/>
  <c r="AB1125" i="7"/>
  <c r="AR1125" i="7"/>
  <c r="AI1126" i="7"/>
  <c r="AH1126" i="7" s="1"/>
  <c r="T1129" i="7"/>
  <c r="R1129" i="7" s="1"/>
  <c r="AI1129" i="7"/>
  <c r="AH1129" i="7" s="1"/>
  <c r="AB1131" i="7"/>
  <c r="AR1131" i="7"/>
  <c r="L1134" i="7"/>
  <c r="J1134" i="7" s="1"/>
  <c r="AB1137" i="7"/>
  <c r="AR1137" i="7"/>
  <c r="J1140" i="7"/>
  <c r="AB1140" i="7"/>
  <c r="AR1140" i="7"/>
  <c r="AI1141" i="7"/>
  <c r="AH1141" i="7" s="1"/>
  <c r="R1144" i="7"/>
  <c r="AI1146" i="7"/>
  <c r="AH1146" i="7" s="1"/>
  <c r="R1150" i="7"/>
  <c r="T1153" i="7"/>
  <c r="R1153" i="7" s="1"/>
  <c r="R1156" i="7"/>
  <c r="R1159" i="7"/>
  <c r="R1162" i="7"/>
  <c r="R1168" i="7"/>
  <c r="R1171" i="7"/>
  <c r="AI1180" i="7"/>
  <c r="AH1180" i="7" s="1"/>
  <c r="AI1182" i="7"/>
  <c r="AH1182" i="7" s="1"/>
  <c r="L1188" i="7"/>
  <c r="J1188" i="7" s="1"/>
  <c r="AA1189" i="7"/>
  <c r="T1190" i="7"/>
  <c r="R1190" i="7" s="1"/>
  <c r="J1191" i="7"/>
  <c r="AB1191" i="7"/>
  <c r="AR1191" i="7"/>
  <c r="AR1192" i="7"/>
  <c r="L1194" i="7"/>
  <c r="J1194" i="7" s="1"/>
  <c r="AB1201" i="7"/>
  <c r="Z1201" i="7" s="1"/>
  <c r="R1203" i="7"/>
  <c r="K1204" i="7"/>
  <c r="J1204" i="7" s="1"/>
  <c r="D1205" i="7"/>
  <c r="B1205" i="7" s="1"/>
  <c r="AA1206" i="7"/>
  <c r="Z1206" i="7" s="1"/>
  <c r="K1209" i="7"/>
  <c r="J1209" i="7" s="1"/>
  <c r="AA1211" i="7"/>
  <c r="Z1213" i="7"/>
  <c r="AJ1215" i="7"/>
  <c r="AH1215" i="7" s="1"/>
  <c r="S1229" i="7"/>
  <c r="AQ1233" i="7"/>
  <c r="S1238" i="7"/>
  <c r="AQ1242" i="7"/>
  <c r="S1247" i="7"/>
  <c r="S1254" i="7"/>
  <c r="AQ1262" i="7"/>
  <c r="AJ1264" i="7"/>
  <c r="AI1264" i="7"/>
  <c r="AJ1276" i="7"/>
  <c r="AI1276" i="7"/>
  <c r="AQ1292" i="7"/>
  <c r="AR1292" i="7"/>
  <c r="AQ1307" i="7"/>
  <c r="AR1307" i="7"/>
  <c r="AA1345" i="7"/>
  <c r="AB1345" i="7"/>
  <c r="C1349" i="7"/>
  <c r="D1349" i="7"/>
  <c r="AR1351" i="7"/>
  <c r="AQ1351" i="7"/>
  <c r="C1353" i="7"/>
  <c r="D1353" i="7"/>
  <c r="AQ1355" i="7"/>
  <c r="AQ1369" i="7"/>
  <c r="AR1369" i="7"/>
  <c r="K1375" i="7"/>
  <c r="L1375" i="7"/>
  <c r="D1376" i="7"/>
  <c r="C1376" i="7"/>
  <c r="K1381" i="7"/>
  <c r="L1381" i="7"/>
  <c r="Z1381" i="7"/>
  <c r="C1392" i="7"/>
  <c r="D1392" i="7"/>
  <c r="C1394" i="7"/>
  <c r="AR1399" i="7"/>
  <c r="AQ1399" i="7"/>
  <c r="C1402" i="7"/>
  <c r="D1402" i="7"/>
  <c r="AB1402" i="7"/>
  <c r="AA1402" i="7"/>
  <c r="D1406" i="7"/>
  <c r="C1406" i="7"/>
  <c r="AA1408" i="7"/>
  <c r="Z1408" i="7" s="1"/>
  <c r="AA1418" i="7"/>
  <c r="AB1418" i="7"/>
  <c r="C1419" i="7"/>
  <c r="C1422" i="7"/>
  <c r="D1422" i="7"/>
  <c r="C1426" i="7"/>
  <c r="D1426" i="7"/>
  <c r="AA1437" i="7"/>
  <c r="AB1437" i="7"/>
  <c r="K1444" i="7"/>
  <c r="L1444" i="7"/>
  <c r="C1447" i="7"/>
  <c r="D1447" i="7"/>
  <c r="K1458" i="7"/>
  <c r="L1458" i="7"/>
  <c r="C1461" i="7"/>
  <c r="D1461" i="7"/>
  <c r="D1463" i="7"/>
  <c r="C1463" i="7"/>
  <c r="D1465" i="7"/>
  <c r="C1465" i="7"/>
  <c r="D1467" i="7"/>
  <c r="C1467" i="7"/>
  <c r="D1469" i="7"/>
  <c r="C1469" i="7"/>
  <c r="D1471" i="7"/>
  <c r="C1471" i="7"/>
  <c r="T1477" i="7"/>
  <c r="S1477" i="7"/>
  <c r="C1479" i="7"/>
  <c r="D1479" i="7"/>
  <c r="B1485" i="7"/>
  <c r="AB1494" i="7"/>
  <c r="AA1494" i="7"/>
  <c r="C1496" i="7"/>
  <c r="D1496" i="7"/>
  <c r="AR1499" i="7"/>
  <c r="AQ1499" i="7"/>
  <c r="K1505" i="7"/>
  <c r="L1505" i="7"/>
  <c r="AR1509" i="7"/>
  <c r="AQ1509" i="7"/>
  <c r="AP1009" i="7"/>
  <c r="Z1041" i="7"/>
  <c r="Z1047" i="7"/>
  <c r="S1259" i="7"/>
  <c r="T1259" i="7"/>
  <c r="S1274" i="7"/>
  <c r="T1274" i="7"/>
  <c r="AR1274" i="7"/>
  <c r="AQ1274" i="7"/>
  <c r="AQ1288" i="7"/>
  <c r="AR1288" i="7"/>
  <c r="AQ1297" i="7"/>
  <c r="AR1297" i="7"/>
  <c r="AQ1315" i="7"/>
  <c r="AR1315" i="7"/>
  <c r="AQ1321" i="7"/>
  <c r="AR1321" i="7"/>
  <c r="AQ1327" i="7"/>
  <c r="AR1327" i="7"/>
  <c r="AQ1333" i="7"/>
  <c r="AR1333" i="7"/>
  <c r="S1348" i="7"/>
  <c r="T1348" i="7"/>
  <c r="AA1349" i="7"/>
  <c r="AB1349" i="7"/>
  <c r="S1352" i="7"/>
  <c r="T1352" i="7"/>
  <c r="AR1357" i="7"/>
  <c r="AQ1357" i="7"/>
  <c r="C1359" i="7"/>
  <c r="D1359" i="7"/>
  <c r="C1365" i="7"/>
  <c r="D1365" i="7"/>
  <c r="S1370" i="7"/>
  <c r="T1370" i="7"/>
  <c r="AI1377" i="7"/>
  <c r="AJ1377" i="7"/>
  <c r="K1378" i="7"/>
  <c r="L1378" i="7"/>
  <c r="T1384" i="7"/>
  <c r="S1384" i="7"/>
  <c r="AR1390" i="7"/>
  <c r="AQ1390" i="7"/>
  <c r="D1403" i="7"/>
  <c r="C1403" i="7"/>
  <c r="D1439" i="7"/>
  <c r="C1439" i="7"/>
  <c r="D1455" i="7"/>
  <c r="C1455" i="7"/>
  <c r="AR1461" i="7"/>
  <c r="AQ1461" i="7"/>
  <c r="AR1463" i="7"/>
  <c r="AQ1463" i="7"/>
  <c r="AR1465" i="7"/>
  <c r="AQ1465" i="7"/>
  <c r="AR1467" i="7"/>
  <c r="AQ1467" i="7"/>
  <c r="AR1469" i="7"/>
  <c r="AQ1469" i="7"/>
  <c r="AR1471" i="7"/>
  <c r="AQ1471" i="7"/>
  <c r="K1478" i="7"/>
  <c r="L1478" i="7"/>
  <c r="K1481" i="7"/>
  <c r="L1481" i="7"/>
  <c r="AR1483" i="7"/>
  <c r="AQ1483" i="7"/>
  <c r="K1494" i="7"/>
  <c r="L1494" i="7"/>
  <c r="T1500" i="7"/>
  <c r="S1500" i="7"/>
  <c r="AA1518" i="7"/>
  <c r="AB1518" i="7"/>
  <c r="AA1528" i="7"/>
  <c r="AB1528" i="7"/>
  <c r="R1341" i="7"/>
  <c r="R1347" i="7"/>
  <c r="R1353" i="7"/>
  <c r="R1359" i="7"/>
  <c r="R1365" i="7"/>
  <c r="Z1379" i="7"/>
  <c r="B1393" i="7"/>
  <c r="Z1405" i="7"/>
  <c r="Z1406" i="7"/>
  <c r="B1411" i="7"/>
  <c r="B1423" i="7"/>
  <c r="AP1435" i="7"/>
  <c r="B1453" i="7"/>
  <c r="B1460" i="7"/>
  <c r="B1475" i="7"/>
  <c r="Z1487" i="7"/>
  <c r="B1506" i="7"/>
  <c r="Z1510" i="7"/>
  <c r="AR1552" i="7"/>
  <c r="AQ1552" i="7"/>
  <c r="S1570" i="7"/>
  <c r="T1570" i="7"/>
  <c r="S1579" i="7"/>
  <c r="T1579" i="7"/>
  <c r="AQ1596" i="7"/>
  <c r="AR1596" i="7"/>
  <c r="R1597" i="7"/>
  <c r="S1604" i="7"/>
  <c r="T1604" i="7"/>
  <c r="S1615" i="7"/>
  <c r="T1615" i="7"/>
  <c r="S1621" i="7"/>
  <c r="T1621" i="7"/>
  <c r="AQ1643" i="7"/>
  <c r="AR1643" i="7"/>
  <c r="AJ1673" i="7"/>
  <c r="AI1673" i="7"/>
  <c r="AJ1681" i="7"/>
  <c r="AI1681" i="7"/>
  <c r="AJ1687" i="7"/>
  <c r="AI1687" i="7"/>
  <c r="T1726" i="7"/>
  <c r="S1726" i="7"/>
  <c r="T1728" i="7"/>
  <c r="S1728" i="7"/>
  <c r="R1728" i="7" s="1"/>
  <c r="D1775" i="7"/>
  <c r="C1775" i="7"/>
  <c r="S1281" i="7"/>
  <c r="S1284" i="7"/>
  <c r="AR1299" i="7"/>
  <c r="AR1305" i="7"/>
  <c r="AR1308" i="7"/>
  <c r="AR1311" i="7"/>
  <c r="AP1311" i="7" s="1"/>
  <c r="AR1314" i="7"/>
  <c r="AP1314" i="7" s="1"/>
  <c r="AR1317" i="7"/>
  <c r="AP1317" i="7" s="1"/>
  <c r="AR1320" i="7"/>
  <c r="AR1323" i="7"/>
  <c r="AP1323" i="7" s="1"/>
  <c r="AR1326" i="7"/>
  <c r="AR1329" i="7"/>
  <c r="AP1329" i="7" s="1"/>
  <c r="AR1332" i="7"/>
  <c r="AP1332" i="7" s="1"/>
  <c r="AR1335" i="7"/>
  <c r="AP1335" i="7" s="1"/>
  <c r="R1339" i="7"/>
  <c r="R1345" i="7"/>
  <c r="R1351" i="7"/>
  <c r="AB1359" i="7"/>
  <c r="R1363" i="7"/>
  <c r="B1375" i="7"/>
  <c r="S1375" i="7"/>
  <c r="R1375" i="7" s="1"/>
  <c r="B1381" i="7"/>
  <c r="B1390" i="7"/>
  <c r="Z1394" i="7"/>
  <c r="D1404" i="7"/>
  <c r="B1404" i="7" s="1"/>
  <c r="C1409" i="7"/>
  <c r="AA1411" i="7"/>
  <c r="Z1411" i="7" s="1"/>
  <c r="Z1412" i="7"/>
  <c r="B1420" i="7"/>
  <c r="L1423" i="7"/>
  <c r="AA1423" i="7"/>
  <c r="Z1423" i="7" s="1"/>
  <c r="B1428" i="7"/>
  <c r="D1429" i="7"/>
  <c r="B1429" i="7" s="1"/>
  <c r="S1429" i="7"/>
  <c r="R1429" i="7" s="1"/>
  <c r="D1436" i="7"/>
  <c r="B1448" i="7"/>
  <c r="AQ1459" i="7"/>
  <c r="AP1459" i="7" s="1"/>
  <c r="AQ1475" i="7"/>
  <c r="Z1480" i="7"/>
  <c r="J1483" i="7"/>
  <c r="B1484" i="7"/>
  <c r="L1485" i="7"/>
  <c r="S1490" i="7"/>
  <c r="R1490" i="7" s="1"/>
  <c r="L1497" i="7"/>
  <c r="S1502" i="7"/>
  <c r="R1502" i="7" s="1"/>
  <c r="Z1504" i="7"/>
  <c r="C1517" i="7"/>
  <c r="AQ1519" i="7"/>
  <c r="B1522" i="7"/>
  <c r="Z1524" i="7"/>
  <c r="C1529" i="7"/>
  <c r="L1531" i="7"/>
  <c r="L1540" i="7"/>
  <c r="AA1545" i="7"/>
  <c r="AQ1586" i="7"/>
  <c r="AR1586" i="7"/>
  <c r="AJ1598" i="7"/>
  <c r="AI1598" i="7"/>
  <c r="AH1598" i="7" s="1"/>
  <c r="AQ1605" i="7"/>
  <c r="AR1605" i="7"/>
  <c r="R1606" i="7"/>
  <c r="AQ1612" i="7"/>
  <c r="AR1612" i="7"/>
  <c r="AJ1620" i="7"/>
  <c r="AI1620" i="7"/>
  <c r="S1646" i="7"/>
  <c r="T1646" i="7"/>
  <c r="AJ1667" i="7"/>
  <c r="AI1667" i="7"/>
  <c r="AQ1737" i="7"/>
  <c r="AR1737" i="7"/>
  <c r="S1257" i="7"/>
  <c r="AB1259" i="7"/>
  <c r="Z1259" i="7" s="1"/>
  <c r="R1262" i="7"/>
  <c r="AQ1264" i="7"/>
  <c r="AQ1267" i="7"/>
  <c r="AB1268" i="7"/>
  <c r="Z1268" i="7" s="1"/>
  <c r="S1269" i="7"/>
  <c r="S1272" i="7"/>
  <c r="T1280" i="7"/>
  <c r="AP1299" i="7"/>
  <c r="AP1305" i="7"/>
  <c r="AP1308" i="7"/>
  <c r="AB1311" i="7"/>
  <c r="AP1320" i="7"/>
  <c r="AP1326" i="7"/>
  <c r="B1339" i="7"/>
  <c r="T1355" i="7"/>
  <c r="R1355" i="7" s="1"/>
  <c r="AB1364" i="7"/>
  <c r="AP1370" i="7"/>
  <c r="D1378" i="7"/>
  <c r="AB1382" i="7"/>
  <c r="L1384" i="7"/>
  <c r="L1402" i="7"/>
  <c r="B1417" i="7"/>
  <c r="B1436" i="7"/>
  <c r="AQ1458" i="7"/>
  <c r="AQ1481" i="7"/>
  <c r="AQ1493" i="7"/>
  <c r="AQ1494" i="7"/>
  <c r="D1502" i="7"/>
  <c r="AQ1503" i="7"/>
  <c r="L1509" i="7"/>
  <c r="L1511" i="7"/>
  <c r="AA1519" i="7"/>
  <c r="AA1525" i="7"/>
  <c r="AR1555" i="7"/>
  <c r="AQ1555" i="7"/>
  <c r="S1561" i="7"/>
  <c r="R1561" i="7" s="1"/>
  <c r="T1561" i="7"/>
  <c r="AQ1574" i="7"/>
  <c r="AR1574" i="7"/>
  <c r="S1581" i="7"/>
  <c r="T1581" i="7"/>
  <c r="S1590" i="7"/>
  <c r="R1590" i="7" s="1"/>
  <c r="T1590" i="7"/>
  <c r="AJ1614" i="7"/>
  <c r="AI1614" i="7"/>
  <c r="AJ1628" i="7"/>
  <c r="AI1628" i="7"/>
  <c r="AQ1630" i="7"/>
  <c r="AR1630" i="7"/>
  <c r="AJ1636" i="7"/>
  <c r="AI1636" i="7"/>
  <c r="AJ1640" i="7"/>
  <c r="AI1640" i="7"/>
  <c r="AJ1697" i="7"/>
  <c r="AI1697" i="7"/>
  <c r="AJ1715" i="7"/>
  <c r="AI1715" i="7"/>
  <c r="K1764" i="7"/>
  <c r="L1764" i="7"/>
  <c r="R1280" i="7"/>
  <c r="S1514" i="7"/>
  <c r="R1514" i="7" s="1"/>
  <c r="L1519" i="7"/>
  <c r="Z1522" i="7"/>
  <c r="AQ1523" i="7"/>
  <c r="AB1530" i="7"/>
  <c r="Z1530" i="7" s="1"/>
  <c r="C1532" i="7"/>
  <c r="C1540" i="7"/>
  <c r="AA1542" i="7"/>
  <c r="L1543" i="7"/>
  <c r="AQ1565" i="7"/>
  <c r="AR1565" i="7"/>
  <c r="AR1587" i="7"/>
  <c r="AQ1587" i="7"/>
  <c r="AJ1603" i="7"/>
  <c r="AI1603" i="7"/>
  <c r="S1607" i="7"/>
  <c r="T1607" i="7"/>
  <c r="S1610" i="7"/>
  <c r="T1610" i="7"/>
  <c r="AQ1626" i="7"/>
  <c r="AR1626" i="7"/>
  <c r="AJ1645" i="7"/>
  <c r="AI1645" i="7"/>
  <c r="AJ1663" i="7"/>
  <c r="AI1663" i="7"/>
  <c r="AJ1754" i="7"/>
  <c r="AI1754" i="7"/>
  <c r="D1780" i="7"/>
  <c r="C1780" i="7"/>
  <c r="B1780" i="7" s="1"/>
  <c r="D1514" i="7"/>
  <c r="B1514" i="7" s="1"/>
  <c r="L1515" i="7"/>
  <c r="D1516" i="7"/>
  <c r="B1516" i="7" s="1"/>
  <c r="C1523" i="7"/>
  <c r="S1526" i="7"/>
  <c r="R1526" i="7" s="1"/>
  <c r="AQ1528" i="7"/>
  <c r="AP1528" i="7" s="1"/>
  <c r="D1531" i="7"/>
  <c r="B1531" i="7" s="1"/>
  <c r="S1531" i="7"/>
  <c r="R1531" i="7" s="1"/>
  <c r="AB1533" i="7"/>
  <c r="Z1533" i="7" s="1"/>
  <c r="C1535" i="7"/>
  <c r="AQ1537" i="7"/>
  <c r="S1540" i="7"/>
  <c r="AQ1544" i="7"/>
  <c r="AR1558" i="7"/>
  <c r="AQ1558" i="7"/>
  <c r="S1585" i="7"/>
  <c r="T1585" i="7"/>
  <c r="S1594" i="7"/>
  <c r="T1594" i="7"/>
  <c r="S1599" i="7"/>
  <c r="T1599" i="7"/>
  <c r="AQ1618" i="7"/>
  <c r="AR1618" i="7"/>
  <c r="AQ1623" i="7"/>
  <c r="AR1623" i="7"/>
  <c r="R1624" i="7"/>
  <c r="S1633" i="7"/>
  <c r="T1633" i="7"/>
  <c r="AQ1638" i="7"/>
  <c r="AR1638" i="7"/>
  <c r="R1639" i="7"/>
  <c r="AJ1657" i="7"/>
  <c r="AI1657" i="7"/>
  <c r="AJ1691" i="7"/>
  <c r="AI1691" i="7"/>
  <c r="AJ1709" i="7"/>
  <c r="AI1709" i="7"/>
  <c r="S1730" i="7"/>
  <c r="T1730" i="7"/>
  <c r="AR1730" i="7"/>
  <c r="AQ1730" i="7"/>
  <c r="T1749" i="7"/>
  <c r="S1749" i="7"/>
  <c r="R1603" i="7"/>
  <c r="R1636" i="7"/>
  <c r="R1665" i="7"/>
  <c r="AJ1669" i="7"/>
  <c r="AI1669" i="7"/>
  <c r="AJ1675" i="7"/>
  <c r="AI1675" i="7"/>
  <c r="AJ1693" i="7"/>
  <c r="AI1693" i="7"/>
  <c r="AJ1699" i="7"/>
  <c r="AI1699" i="7"/>
  <c r="AJ1705" i="7"/>
  <c r="AI1705" i="7"/>
  <c r="AJ1717" i="7"/>
  <c r="AI1717" i="7"/>
  <c r="T1723" i="7"/>
  <c r="S1723" i="7"/>
  <c r="AR1725" i="7"/>
  <c r="AQ1725" i="7"/>
  <c r="AJ1735" i="7"/>
  <c r="AI1735" i="7"/>
  <c r="AQ1748" i="7"/>
  <c r="AP1748" i="7" s="1"/>
  <c r="AR1748" i="7"/>
  <c r="AJ1753" i="7"/>
  <c r="AI1753" i="7"/>
  <c r="T1759" i="7"/>
  <c r="S1759" i="7"/>
  <c r="L1763" i="7"/>
  <c r="K1763" i="7"/>
  <c r="T1767" i="7"/>
  <c r="S1767" i="7"/>
  <c r="AI1786" i="7"/>
  <c r="AJ1786" i="7"/>
  <c r="S1798" i="7"/>
  <c r="T1798" i="7"/>
  <c r="K1804" i="7"/>
  <c r="L1804" i="7"/>
  <c r="AB1817" i="7"/>
  <c r="AA1817" i="7"/>
  <c r="Z1817" i="7" s="1"/>
  <c r="AI1820" i="7"/>
  <c r="AJ1820" i="7"/>
  <c r="AI1847" i="7"/>
  <c r="AJ1847" i="7"/>
  <c r="D1882" i="7"/>
  <c r="C1882" i="7"/>
  <c r="AH1883" i="7"/>
  <c r="AJ1890" i="7"/>
  <c r="AI1890" i="7"/>
  <c r="AH1902" i="7"/>
  <c r="AJ1905" i="7"/>
  <c r="AI1905" i="7"/>
  <c r="AP1908" i="7"/>
  <c r="L1939" i="7"/>
  <c r="K1939" i="7"/>
  <c r="AQ1953" i="7"/>
  <c r="AR1953" i="7"/>
  <c r="L1958" i="7"/>
  <c r="K1958" i="7"/>
  <c r="AB1997" i="7"/>
  <c r="AA1997" i="7"/>
  <c r="AI2607" i="7"/>
  <c r="AJ2607" i="7"/>
  <c r="AJ2635" i="7"/>
  <c r="AI2635" i="7"/>
  <c r="AB2946" i="7"/>
  <c r="AA2946" i="7"/>
  <c r="AJ2959" i="7"/>
  <c r="AI2959" i="7"/>
  <c r="AB2994" i="7"/>
  <c r="AA2994" i="7"/>
  <c r="AJ3059" i="7"/>
  <c r="AI3059" i="7"/>
  <c r="AI3096" i="7"/>
  <c r="AJ3096" i="7"/>
  <c r="AI3114" i="7"/>
  <c r="AJ3114" i="7"/>
  <c r="Z1549" i="7"/>
  <c r="T1573" i="7"/>
  <c r="AR1577" i="7"/>
  <c r="AQ1581" i="7"/>
  <c r="T1583" i="7"/>
  <c r="AR1589" i="7"/>
  <c r="K1590" i="7"/>
  <c r="J1590" i="7" s="1"/>
  <c r="AQ1590" i="7"/>
  <c r="T1592" i="7"/>
  <c r="AR1594" i="7"/>
  <c r="AP1594" i="7" s="1"/>
  <c r="AI1596" i="7"/>
  <c r="AI1602" i="7"/>
  <c r="AR1604" i="7"/>
  <c r="AP1604" i="7" s="1"/>
  <c r="AI1612" i="7"/>
  <c r="AQ1615" i="7"/>
  <c r="AR1625" i="7"/>
  <c r="AP1625" i="7" s="1"/>
  <c r="AR1629" i="7"/>
  <c r="AQ1633" i="7"/>
  <c r="S1635" i="7"/>
  <c r="AI1635" i="7"/>
  <c r="AR1641" i="7"/>
  <c r="AP1641" i="7" s="1"/>
  <c r="S1643" i="7"/>
  <c r="R1643" i="7" s="1"/>
  <c r="AI1643" i="7"/>
  <c r="AH1643" i="7" s="1"/>
  <c r="AQ1646" i="7"/>
  <c r="S1649" i="7"/>
  <c r="R1649" i="7" s="1"/>
  <c r="AJ1649" i="7"/>
  <c r="AI1649" i="7"/>
  <c r="AJ1655" i="7"/>
  <c r="AI1655" i="7"/>
  <c r="AJ1661" i="7"/>
  <c r="AI1661" i="7"/>
  <c r="AQ1665" i="7"/>
  <c r="T1667" i="7"/>
  <c r="R1667" i="7" s="1"/>
  <c r="AQ1671" i="7"/>
  <c r="T1673" i="7"/>
  <c r="R1673" i="7" s="1"/>
  <c r="AJ1679" i="7"/>
  <c r="AI1679" i="7"/>
  <c r="AJ1685" i="7"/>
  <c r="AI1685" i="7"/>
  <c r="T1691" i="7"/>
  <c r="AQ1695" i="7"/>
  <c r="T1697" i="7"/>
  <c r="R1697" i="7" s="1"/>
  <c r="R1699" i="7"/>
  <c r="AQ1701" i="7"/>
  <c r="T1703" i="7"/>
  <c r="AQ1707" i="7"/>
  <c r="T1709" i="7"/>
  <c r="R1709" i="7" s="1"/>
  <c r="AQ1713" i="7"/>
  <c r="AP1713" i="7" s="1"/>
  <c r="T1715" i="7"/>
  <c r="R1715" i="7" s="1"/>
  <c r="AQ1719" i="7"/>
  <c r="T1721" i="7"/>
  <c r="T1733" i="7"/>
  <c r="S1733" i="7"/>
  <c r="AR1733" i="7"/>
  <c r="AP1733" i="7" s="1"/>
  <c r="AR1735" i="7"/>
  <c r="AQ1735" i="7"/>
  <c r="S1736" i="7"/>
  <c r="R1736" i="7" s="1"/>
  <c r="R1745" i="7"/>
  <c r="AI1745" i="7"/>
  <c r="T1747" i="7"/>
  <c r="S1747" i="7"/>
  <c r="AQ1751" i="7"/>
  <c r="S1763" i="7"/>
  <c r="R1763" i="7" s="1"/>
  <c r="C1768" i="7"/>
  <c r="B1768" i="7" s="1"/>
  <c r="K1784" i="7"/>
  <c r="J1784" i="7" s="1"/>
  <c r="L1784" i="7"/>
  <c r="L1785" i="7"/>
  <c r="C1786" i="7"/>
  <c r="B1786" i="7" s="1"/>
  <c r="L1788" i="7"/>
  <c r="AB1807" i="7"/>
  <c r="AA1807" i="7"/>
  <c r="AI1812" i="7"/>
  <c r="AJ1812" i="7"/>
  <c r="AI1816" i="7"/>
  <c r="AJ1816" i="7"/>
  <c r="AI1849" i="7"/>
  <c r="AJ1849" i="7"/>
  <c r="L1881" i="7"/>
  <c r="K1881" i="7"/>
  <c r="AJ1889" i="7"/>
  <c r="AI1889" i="7"/>
  <c r="AP1890" i="7"/>
  <c r="AR1904" i="7"/>
  <c r="AQ1904" i="7"/>
  <c r="AR1910" i="7"/>
  <c r="AQ1910" i="7"/>
  <c r="AR1971" i="7"/>
  <c r="AQ1971" i="7"/>
  <c r="L1985" i="7"/>
  <c r="K1985" i="7"/>
  <c r="S1554" i="7"/>
  <c r="S1557" i="7"/>
  <c r="AQ1564" i="7"/>
  <c r="AP1568" i="7"/>
  <c r="S1569" i="7"/>
  <c r="S1587" i="7"/>
  <c r="R1587" i="7" s="1"/>
  <c r="AQ1603" i="7"/>
  <c r="S1605" i="7"/>
  <c r="S1608" i="7"/>
  <c r="S1623" i="7"/>
  <c r="AI1626" i="7"/>
  <c r="R1630" i="7"/>
  <c r="AI1630" i="7"/>
  <c r="AH1630" i="7" s="1"/>
  <c r="AR1636" i="7"/>
  <c r="AI1638" i="7"/>
  <c r="AI1642" i="7"/>
  <c r="AI1648" i="7"/>
  <c r="AQ1653" i="7"/>
  <c r="T1655" i="7"/>
  <c r="R1655" i="7" s="1"/>
  <c r="AQ1659" i="7"/>
  <c r="AR1667" i="7"/>
  <c r="AQ1667" i="7"/>
  <c r="AR1673" i="7"/>
  <c r="AQ1673" i="7"/>
  <c r="R1691" i="7"/>
  <c r="AR1691" i="7"/>
  <c r="AQ1691" i="7"/>
  <c r="AR1697" i="7"/>
  <c r="AQ1697" i="7"/>
  <c r="R1703" i="7"/>
  <c r="AR1703" i="7"/>
  <c r="AQ1703" i="7"/>
  <c r="AR1709" i="7"/>
  <c r="AQ1709" i="7"/>
  <c r="T1712" i="7"/>
  <c r="S1712" i="7"/>
  <c r="AR1715" i="7"/>
  <c r="AQ1715" i="7"/>
  <c r="R1721" i="7"/>
  <c r="AR1721" i="7"/>
  <c r="AQ1721" i="7"/>
  <c r="AJ1727" i="7"/>
  <c r="AI1727" i="7"/>
  <c r="AQ1747" i="7"/>
  <c r="AR1747" i="7"/>
  <c r="T1750" i="7"/>
  <c r="S1750" i="7"/>
  <c r="T1757" i="7"/>
  <c r="S1757" i="7"/>
  <c r="D1777" i="7"/>
  <c r="C1777" i="7"/>
  <c r="AB1791" i="7"/>
  <c r="AA1791" i="7"/>
  <c r="AB1801" i="7"/>
  <c r="AA1801" i="7"/>
  <c r="K1806" i="7"/>
  <c r="L1806" i="7"/>
  <c r="D1820" i="7"/>
  <c r="C1820" i="7"/>
  <c r="AI1829" i="7"/>
  <c r="AJ1829" i="7"/>
  <c r="AJ1841" i="7"/>
  <c r="AI1841" i="7"/>
  <c r="AJ1856" i="7"/>
  <c r="AI1856" i="7"/>
  <c r="AQ1867" i="7"/>
  <c r="AR1867" i="7"/>
  <c r="D1894" i="7"/>
  <c r="C1894" i="7"/>
  <c r="AJ1897" i="7"/>
  <c r="AI1897" i="7"/>
  <c r="AQ1906" i="7"/>
  <c r="AR1906" i="7"/>
  <c r="L1913" i="7"/>
  <c r="K1913" i="7"/>
  <c r="AJ1924" i="7"/>
  <c r="AI1924" i="7"/>
  <c r="AR1951" i="7"/>
  <c r="AQ1951" i="7"/>
  <c r="AQ1955" i="7"/>
  <c r="AR1955" i="7"/>
  <c r="T2016" i="7"/>
  <c r="S2016" i="7"/>
  <c r="T2034" i="7"/>
  <c r="S2034" i="7"/>
  <c r="S2046" i="7"/>
  <c r="T2046" i="7"/>
  <c r="AQ1557" i="7"/>
  <c r="AR1580" i="7"/>
  <c r="AR1583" i="7"/>
  <c r="K1584" i="7"/>
  <c r="J1584" i="7" s="1"/>
  <c r="AQ1584" i="7"/>
  <c r="T1586" i="7"/>
  <c r="AR1592" i="7"/>
  <c r="K1593" i="7"/>
  <c r="J1593" i="7" s="1"/>
  <c r="AQ1593" i="7"/>
  <c r="AQ1597" i="7"/>
  <c r="AI1600" i="7"/>
  <c r="AR1606" i="7"/>
  <c r="AR1609" i="7"/>
  <c r="S1611" i="7"/>
  <c r="AI1611" i="7"/>
  <c r="AQ1613" i="7"/>
  <c r="AQ1619" i="7"/>
  <c r="AI1622" i="7"/>
  <c r="AH1622" i="7" s="1"/>
  <c r="AR1624" i="7"/>
  <c r="AR1649" i="7"/>
  <c r="AQ1649" i="7"/>
  <c r="AR1655" i="7"/>
  <c r="AQ1655" i="7"/>
  <c r="R1661" i="7"/>
  <c r="AR1661" i="7"/>
  <c r="AQ1661" i="7"/>
  <c r="T1670" i="7"/>
  <c r="S1670" i="7"/>
  <c r="T1676" i="7"/>
  <c r="S1676" i="7"/>
  <c r="R1679" i="7"/>
  <c r="AR1679" i="7"/>
  <c r="AQ1679" i="7"/>
  <c r="R1685" i="7"/>
  <c r="AR1685" i="7"/>
  <c r="AQ1685" i="7"/>
  <c r="T1694" i="7"/>
  <c r="S1694" i="7"/>
  <c r="T1700" i="7"/>
  <c r="S1700" i="7"/>
  <c r="T1706" i="7"/>
  <c r="S1706" i="7"/>
  <c r="T1718" i="7"/>
  <c r="S1718" i="7"/>
  <c r="AJ1725" i="7"/>
  <c r="AI1725" i="7"/>
  <c r="AJ1732" i="7"/>
  <c r="AI1732" i="7"/>
  <c r="AJ1737" i="7"/>
  <c r="AI1737" i="7"/>
  <c r="AJ1739" i="7"/>
  <c r="AI1739" i="7"/>
  <c r="AP1743" i="7"/>
  <c r="K1760" i="7"/>
  <c r="L1760" i="7"/>
  <c r="L1761" i="7"/>
  <c r="K1761" i="7"/>
  <c r="J1767" i="7"/>
  <c r="D1769" i="7"/>
  <c r="C1769" i="7"/>
  <c r="D1774" i="7"/>
  <c r="C1774" i="7"/>
  <c r="L1776" i="7"/>
  <c r="AI1781" i="7"/>
  <c r="AJ1781" i="7"/>
  <c r="D1787" i="7"/>
  <c r="C1787" i="7"/>
  <c r="K1800" i="7"/>
  <c r="L1800" i="7"/>
  <c r="AB1811" i="7"/>
  <c r="AA1811" i="7"/>
  <c r="AI1814" i="7"/>
  <c r="AJ1814" i="7"/>
  <c r="AI1818" i="7"/>
  <c r="AJ1818" i="7"/>
  <c r="AI1871" i="7"/>
  <c r="AJ1871" i="7"/>
  <c r="AQ1878" i="7"/>
  <c r="AR1878" i="7"/>
  <c r="AR1880" i="7"/>
  <c r="AQ1880" i="7"/>
  <c r="AQ1888" i="7"/>
  <c r="AR1888" i="7"/>
  <c r="L1900" i="7"/>
  <c r="K1900" i="7"/>
  <c r="AJ1909" i="7"/>
  <c r="AI1909" i="7"/>
  <c r="AJ1936" i="7"/>
  <c r="AI1936" i="7"/>
  <c r="AP1937" i="7"/>
  <c r="AJ1943" i="7"/>
  <c r="AI1943" i="7"/>
  <c r="S1968" i="7"/>
  <c r="T1968" i="7"/>
  <c r="T2004" i="7"/>
  <c r="S2004" i="7"/>
  <c r="AB2009" i="7"/>
  <c r="AA2009" i="7"/>
  <c r="S1547" i="7"/>
  <c r="R1547" i="7" s="1"/>
  <c r="S1549" i="7"/>
  <c r="R1549" i="7" s="1"/>
  <c r="S1563" i="7"/>
  <c r="R1567" i="7"/>
  <c r="AQ1567" i="7"/>
  <c r="AI1610" i="7"/>
  <c r="AH1610" i="7" s="1"/>
  <c r="AI1615" i="7"/>
  <c r="AI1621" i="7"/>
  <c r="AI1629" i="7"/>
  <c r="AI1633" i="7"/>
  <c r="AR1635" i="7"/>
  <c r="T1652" i="7"/>
  <c r="S1652" i="7"/>
  <c r="T1658" i="7"/>
  <c r="S1658" i="7"/>
  <c r="T1664" i="7"/>
  <c r="S1664" i="7"/>
  <c r="T1682" i="7"/>
  <c r="S1682" i="7"/>
  <c r="T1688" i="7"/>
  <c r="S1688" i="7"/>
  <c r="AJ1711" i="7"/>
  <c r="AI1711" i="7"/>
  <c r="R1727" i="7"/>
  <c r="AJ1730" i="7"/>
  <c r="AI1730" i="7"/>
  <c r="AJ1740" i="7"/>
  <c r="AI1740" i="7"/>
  <c r="AJ1742" i="7"/>
  <c r="AI1742" i="7"/>
  <c r="AQ1745" i="7"/>
  <c r="AR1745" i="7"/>
  <c r="T1755" i="7"/>
  <c r="S1755" i="7"/>
  <c r="AQ1755" i="7"/>
  <c r="AR1755" i="7"/>
  <c r="D1765" i="7"/>
  <c r="C1765" i="7"/>
  <c r="D1770" i="7"/>
  <c r="C1770" i="7"/>
  <c r="AI1789" i="7"/>
  <c r="AJ1789" i="7"/>
  <c r="D1805" i="7"/>
  <c r="C1805" i="7"/>
  <c r="AI1810" i="7"/>
  <c r="AJ1810" i="7"/>
  <c r="AI1822" i="7"/>
  <c r="AJ1822" i="7"/>
  <c r="AB1832" i="7"/>
  <c r="AA1832" i="7"/>
  <c r="AQ1843" i="7"/>
  <c r="AR1843" i="7"/>
  <c r="S1850" i="7"/>
  <c r="T1850" i="7"/>
  <c r="S1856" i="7"/>
  <c r="T1856" i="7"/>
  <c r="L1858" i="7"/>
  <c r="K1858" i="7"/>
  <c r="AR1870" i="7"/>
  <c r="AQ1870" i="7"/>
  <c r="AJ1885" i="7"/>
  <c r="AI1885" i="7"/>
  <c r="AQ1912" i="7"/>
  <c r="AR1912" i="7"/>
  <c r="AR1932" i="7"/>
  <c r="AQ1932" i="7"/>
  <c r="AJ1954" i="7"/>
  <c r="AI1954" i="7"/>
  <c r="D1960" i="7"/>
  <c r="C1960" i="7"/>
  <c r="AR1974" i="7"/>
  <c r="AQ1974" i="7"/>
  <c r="L2001" i="7"/>
  <c r="K2001" i="7"/>
  <c r="J1797" i="7"/>
  <c r="J1828" i="7"/>
  <c r="AH1846" i="7"/>
  <c r="AP1866" i="7"/>
  <c r="AH1867" i="7"/>
  <c r="AH1868" i="7"/>
  <c r="AH1879" i="7"/>
  <c r="AP1884" i="7"/>
  <c r="AH1886" i="7"/>
  <c r="J1888" i="7"/>
  <c r="AH1888" i="7"/>
  <c r="AP1894" i="7"/>
  <c r="K1918" i="7"/>
  <c r="L1918" i="7"/>
  <c r="AP1919" i="7"/>
  <c r="AJ1940" i="7"/>
  <c r="AI1940" i="7"/>
  <c r="AJ1967" i="7"/>
  <c r="AI1967" i="7"/>
  <c r="S1972" i="7"/>
  <c r="T1972" i="7"/>
  <c r="AJ1973" i="7"/>
  <c r="AI1973" i="7"/>
  <c r="AB1981" i="7"/>
  <c r="AA1981" i="7"/>
  <c r="R1984" i="7"/>
  <c r="T2006" i="7"/>
  <c r="R2006" i="7" s="1"/>
  <c r="S2006" i="7"/>
  <c r="AJ2028" i="7"/>
  <c r="AI2028" i="7"/>
  <c r="AA2032" i="7"/>
  <c r="AB2032" i="7"/>
  <c r="Z2057" i="7"/>
  <c r="T2074" i="7"/>
  <c r="S2074" i="7"/>
  <c r="L2085" i="7"/>
  <c r="K2085" i="7"/>
  <c r="AA2090" i="7"/>
  <c r="AB2090" i="7"/>
  <c r="T2092" i="7"/>
  <c r="S2092" i="7"/>
  <c r="R2092" i="7" s="1"/>
  <c r="AI2122" i="7"/>
  <c r="AJ2122" i="7"/>
  <c r="C2143" i="7"/>
  <c r="D2143" i="7"/>
  <c r="AJ2146" i="7"/>
  <c r="AI2146" i="7"/>
  <c r="AA2203" i="7"/>
  <c r="AB2203" i="7"/>
  <c r="AI2233" i="7"/>
  <c r="AJ2233" i="7"/>
  <c r="AB2305" i="7"/>
  <c r="AA2305" i="7"/>
  <c r="Z2305" i="7" s="1"/>
  <c r="AB2415" i="7"/>
  <c r="AA2415" i="7"/>
  <c r="AI2422" i="7"/>
  <c r="AJ2422" i="7"/>
  <c r="AB2428" i="7"/>
  <c r="AA2428" i="7"/>
  <c r="AA2451" i="7"/>
  <c r="AB2451" i="7"/>
  <c r="AJ2473" i="7"/>
  <c r="AH2473" i="7" s="1"/>
  <c r="AI2473" i="7"/>
  <c r="AI2567" i="7"/>
  <c r="AJ2567" i="7"/>
  <c r="AH2567" i="7" s="1"/>
  <c r="AB2615" i="7"/>
  <c r="AA2615" i="7"/>
  <c r="AI2619" i="7"/>
  <c r="AH2619" i="7" s="1"/>
  <c r="AJ2619" i="7"/>
  <c r="AB2640" i="7"/>
  <c r="AA2640" i="7"/>
  <c r="AB2646" i="7"/>
  <c r="AA2646" i="7"/>
  <c r="AA2666" i="7"/>
  <c r="AB2666" i="7"/>
  <c r="AB2769" i="7"/>
  <c r="AA2769" i="7"/>
  <c r="Z2769" i="7" s="1"/>
  <c r="AB2839" i="7"/>
  <c r="AA2839" i="7"/>
  <c r="AJ2851" i="7"/>
  <c r="AI2851" i="7"/>
  <c r="AI2937" i="7"/>
  <c r="AJ2937" i="7"/>
  <c r="AJ3092" i="7"/>
  <c r="AI3092" i="7"/>
  <c r="AJ3110" i="7"/>
  <c r="AH3110" i="7" s="1"/>
  <c r="AI3110" i="7"/>
  <c r="AI1652" i="7"/>
  <c r="AI1658" i="7"/>
  <c r="AH1658" i="7" s="1"/>
  <c r="AI1664" i="7"/>
  <c r="AI1670" i="7"/>
  <c r="AI1682" i="7"/>
  <c r="AH1682" i="7" s="1"/>
  <c r="AI1688" i="7"/>
  <c r="AI1694" i="7"/>
  <c r="AI1700" i="7"/>
  <c r="AH1700" i="7" s="1"/>
  <c r="AI1706" i="7"/>
  <c r="AI1718" i="7"/>
  <c r="AI1728" i="7"/>
  <c r="AH1728" i="7" s="1"/>
  <c r="AI1733" i="7"/>
  <c r="AR1739" i="7"/>
  <c r="AP1746" i="7"/>
  <c r="AP1749" i="7"/>
  <c r="AR1753" i="7"/>
  <c r="AI1755" i="7"/>
  <c r="AH1755" i="7" s="1"/>
  <c r="C1761" i="7"/>
  <c r="B1761" i="7" s="1"/>
  <c r="S1761" i="7"/>
  <c r="R1761" i="7" s="1"/>
  <c r="S1764" i="7"/>
  <c r="R1764" i="7" s="1"/>
  <c r="C1771" i="7"/>
  <c r="B1771" i="7" s="1"/>
  <c r="K1777" i="7"/>
  <c r="K1787" i="7"/>
  <c r="J1787" i="7" s="1"/>
  <c r="AJ1788" i="7"/>
  <c r="T1790" i="7"/>
  <c r="AA1795" i="7"/>
  <c r="Z1795" i="7" s="1"/>
  <c r="C1800" i="7"/>
  <c r="C1804" i="7"/>
  <c r="B1804" i="7" s="1"/>
  <c r="C1806" i="7"/>
  <c r="AJ1811" i="7"/>
  <c r="AA1814" i="7"/>
  <c r="Z1814" i="7" s="1"/>
  <c r="AJ1817" i="7"/>
  <c r="AH1817" i="7" s="1"/>
  <c r="AA1820" i="7"/>
  <c r="C1824" i="7"/>
  <c r="AA1827" i="7"/>
  <c r="Z1827" i="7" s="1"/>
  <c r="AA1829" i="7"/>
  <c r="AJ1830" i="7"/>
  <c r="C1832" i="7"/>
  <c r="B1832" i="7" s="1"/>
  <c r="AJ1832" i="7"/>
  <c r="C1835" i="7"/>
  <c r="AH1837" i="7"/>
  <c r="C1838" i="7"/>
  <c r="C1841" i="7"/>
  <c r="AJ1843" i="7"/>
  <c r="K1848" i="7"/>
  <c r="C1849" i="7"/>
  <c r="B1849" i="7" s="1"/>
  <c r="L1850" i="7"/>
  <c r="AJ1851" i="7"/>
  <c r="AP1852" i="7"/>
  <c r="AP1853" i="7"/>
  <c r="L1865" i="7"/>
  <c r="K1872" i="7"/>
  <c r="J1872" i="7" s="1"/>
  <c r="AP1873" i="7"/>
  <c r="C1879" i="7"/>
  <c r="B1879" i="7" s="1"/>
  <c r="AQ1881" i="7"/>
  <c r="AP1881" i="7" s="1"/>
  <c r="AH1882" i="7"/>
  <c r="L1884" i="7"/>
  <c r="J1885" i="7"/>
  <c r="AP1891" i="7"/>
  <c r="AI1893" i="7"/>
  <c r="AJ1896" i="7"/>
  <c r="C1902" i="7"/>
  <c r="B1902" i="7" s="1"/>
  <c r="C1905" i="7"/>
  <c r="B1905" i="7" s="1"/>
  <c r="AI1906" i="7"/>
  <c r="AH1906" i="7" s="1"/>
  <c r="AP1907" i="7"/>
  <c r="K1908" i="7"/>
  <c r="L1916" i="7"/>
  <c r="K1920" i="7"/>
  <c r="K1930" i="7"/>
  <c r="L1930" i="7"/>
  <c r="J1930" i="7" s="1"/>
  <c r="AI1930" i="7"/>
  <c r="AH1930" i="7" s="1"/>
  <c r="AP1931" i="7"/>
  <c r="AR1939" i="7"/>
  <c r="AQ1939" i="7"/>
  <c r="AR1945" i="7"/>
  <c r="AQ1945" i="7"/>
  <c r="AP1945" i="7" s="1"/>
  <c r="C1948" i="7"/>
  <c r="AR1963" i="7"/>
  <c r="L1966" i="7"/>
  <c r="K1966" i="7"/>
  <c r="T1967" i="7"/>
  <c r="J1968" i="7"/>
  <c r="AR1972" i="7"/>
  <c r="AQ1972" i="7"/>
  <c r="L1974" i="7"/>
  <c r="J1974" i="7" s="1"/>
  <c r="AJ1976" i="7"/>
  <c r="AI1976" i="7"/>
  <c r="K1977" i="7"/>
  <c r="L1980" i="7"/>
  <c r="K1980" i="7"/>
  <c r="AI1980" i="7"/>
  <c r="AJ1980" i="7"/>
  <c r="C2071" i="7"/>
  <c r="D2071" i="7"/>
  <c r="AR2072" i="7"/>
  <c r="AP2072" i="7" s="1"/>
  <c r="AQ2083" i="7"/>
  <c r="AR2083" i="7"/>
  <c r="AR2087" i="7"/>
  <c r="AQ2087" i="7"/>
  <c r="AR2136" i="7"/>
  <c r="AQ2136" i="7"/>
  <c r="L2138" i="7"/>
  <c r="K2138" i="7"/>
  <c r="AI2140" i="7"/>
  <c r="AJ2140" i="7"/>
  <c r="AI2218" i="7"/>
  <c r="AJ2218" i="7"/>
  <c r="AA2344" i="7"/>
  <c r="AB2344" i="7"/>
  <c r="AA2407" i="7"/>
  <c r="AB2407" i="7"/>
  <c r="AI2412" i="7"/>
  <c r="AJ2412" i="7"/>
  <c r="AA2433" i="7"/>
  <c r="AB2433" i="7"/>
  <c r="AA2465" i="7"/>
  <c r="AB2465" i="7"/>
  <c r="Z2468" i="7"/>
  <c r="R1657" i="7"/>
  <c r="R1663" i="7"/>
  <c r="R1675" i="7"/>
  <c r="R1687" i="7"/>
  <c r="R1717" i="7"/>
  <c r="L1775" i="7"/>
  <c r="C1776" i="7"/>
  <c r="B1776" i="7" s="1"/>
  <c r="L1778" i="7"/>
  <c r="C1779" i="7"/>
  <c r="B1779" i="7" s="1"/>
  <c r="K1780" i="7"/>
  <c r="K1786" i="7"/>
  <c r="J1786" i="7" s="1"/>
  <c r="C1788" i="7"/>
  <c r="B1788" i="7" s="1"/>
  <c r="T1788" i="7"/>
  <c r="J1792" i="7"/>
  <c r="AH1851" i="7"/>
  <c r="J1861" i="7"/>
  <c r="AH1875" i="7"/>
  <c r="J1876" i="7"/>
  <c r="AH1884" i="7"/>
  <c r="AH1895" i="7"/>
  <c r="J1914" i="7"/>
  <c r="AR1926" i="7"/>
  <c r="AQ1926" i="7"/>
  <c r="J1957" i="7"/>
  <c r="AP1963" i="7"/>
  <c r="T2025" i="7"/>
  <c r="S2025" i="7"/>
  <c r="AA2027" i="7"/>
  <c r="AB2027" i="7"/>
  <c r="S2064" i="7"/>
  <c r="T2064" i="7"/>
  <c r="AA2071" i="7"/>
  <c r="AB2071" i="7"/>
  <c r="AA2116" i="7"/>
  <c r="AB2116" i="7"/>
  <c r="AJ2119" i="7"/>
  <c r="AI2119" i="7"/>
  <c r="L2133" i="7"/>
  <c r="K2133" i="7"/>
  <c r="C2134" i="7"/>
  <c r="D2134" i="7"/>
  <c r="AB2171" i="7"/>
  <c r="AA2171" i="7"/>
  <c r="AJ2177" i="7"/>
  <c r="AI2177" i="7"/>
  <c r="AJ2178" i="7"/>
  <c r="AI2178" i="7"/>
  <c r="AJ2296" i="7"/>
  <c r="AI2296" i="7"/>
  <c r="AB2373" i="7"/>
  <c r="AA2373" i="7"/>
  <c r="AJ2384" i="7"/>
  <c r="AI2384" i="7"/>
  <c r="AI2386" i="7"/>
  <c r="AJ2386" i="7"/>
  <c r="C1793" i="7"/>
  <c r="B1793" i="7" s="1"/>
  <c r="L1810" i="7"/>
  <c r="J1810" i="7" s="1"/>
  <c r="L1816" i="7"/>
  <c r="C1817" i="7"/>
  <c r="B1817" i="7" s="1"/>
  <c r="C1837" i="7"/>
  <c r="B1837" i="7" s="1"/>
  <c r="C1840" i="7"/>
  <c r="B1840" i="7" s="1"/>
  <c r="C1842" i="7"/>
  <c r="AH1848" i="7"/>
  <c r="AI1859" i="7"/>
  <c r="AP1860" i="7"/>
  <c r="K1866" i="7"/>
  <c r="L1873" i="7"/>
  <c r="AI1874" i="7"/>
  <c r="AJ1887" i="7"/>
  <c r="L1889" i="7"/>
  <c r="C1892" i="7"/>
  <c r="B1892" i="7" s="1"/>
  <c r="T1895" i="7"/>
  <c r="AR1899" i="7"/>
  <c r="C1906" i="7"/>
  <c r="D1910" i="7"/>
  <c r="C1910" i="7"/>
  <c r="C1912" i="7"/>
  <c r="AP1913" i="7"/>
  <c r="C1929" i="7"/>
  <c r="B1929" i="7" s="1"/>
  <c r="J1931" i="7"/>
  <c r="AR1938" i="7"/>
  <c r="AR1944" i="7"/>
  <c r="AP1944" i="7" s="1"/>
  <c r="K1952" i="7"/>
  <c r="C1955" i="7"/>
  <c r="L1959" i="7"/>
  <c r="K1959" i="7"/>
  <c r="AI1961" i="7"/>
  <c r="T1962" i="7"/>
  <c r="S1964" i="7"/>
  <c r="T1964" i="7"/>
  <c r="T1966" i="7"/>
  <c r="S1971" i="7"/>
  <c r="T1971" i="7"/>
  <c r="K1972" i="7"/>
  <c r="D1973" i="7"/>
  <c r="C1973" i="7"/>
  <c r="T2019" i="7"/>
  <c r="S2019" i="7"/>
  <c r="AI2020" i="7"/>
  <c r="AJ2020" i="7"/>
  <c r="T2062" i="7"/>
  <c r="S2062" i="7"/>
  <c r="AR2065" i="7"/>
  <c r="AQ2065" i="7"/>
  <c r="AJ2107" i="7"/>
  <c r="AI2107" i="7"/>
  <c r="AR2117" i="7"/>
  <c r="AQ2117" i="7"/>
  <c r="AB2314" i="7"/>
  <c r="AA2314" i="7"/>
  <c r="AB2389" i="7"/>
  <c r="AA2389" i="7"/>
  <c r="AJ2390" i="7"/>
  <c r="AI2390" i="7"/>
  <c r="AA2397" i="7"/>
  <c r="AB2397" i="7"/>
  <c r="J1781" i="7"/>
  <c r="J1789" i="7"/>
  <c r="J1873" i="7"/>
  <c r="AH1887" i="7"/>
  <c r="AP1899" i="7"/>
  <c r="K1924" i="7"/>
  <c r="L1924" i="7"/>
  <c r="K1936" i="7"/>
  <c r="L1936" i="7"/>
  <c r="AP1938" i="7"/>
  <c r="AR1941" i="7"/>
  <c r="AQ1941" i="7"/>
  <c r="AJ1970" i="7"/>
  <c r="AI1970" i="7"/>
  <c r="S1982" i="7"/>
  <c r="T1982" i="7"/>
  <c r="AI1984" i="7"/>
  <c r="AJ1984" i="7"/>
  <c r="AB1991" i="7"/>
  <c r="AA1991" i="7"/>
  <c r="AR2019" i="7"/>
  <c r="AQ2019" i="7"/>
  <c r="R2049" i="7"/>
  <c r="AB2097" i="7"/>
  <c r="AA2097" i="7"/>
  <c r="AP2103" i="7"/>
  <c r="AP2108" i="7"/>
  <c r="AR2111" i="7"/>
  <c r="AQ2111" i="7"/>
  <c r="J2114" i="7"/>
  <c r="AP2114" i="7"/>
  <c r="Z2115" i="7"/>
  <c r="AA2151" i="7"/>
  <c r="AB2151" i="7"/>
  <c r="Z2152" i="7"/>
  <c r="AI2164" i="7"/>
  <c r="AJ2164" i="7"/>
  <c r="AI2251" i="7"/>
  <c r="AJ2251" i="7"/>
  <c r="AB2287" i="7"/>
  <c r="AA2287" i="7"/>
  <c r="S2023" i="7"/>
  <c r="T2023" i="7"/>
  <c r="T2030" i="7"/>
  <c r="S2030" i="7"/>
  <c r="AA2046" i="7"/>
  <c r="AB2046" i="7"/>
  <c r="Z2067" i="7"/>
  <c r="D2084" i="7"/>
  <c r="C2084" i="7"/>
  <c r="S2088" i="7"/>
  <c r="T2088" i="7"/>
  <c r="AR2118" i="7"/>
  <c r="AQ2118" i="7"/>
  <c r="J2120" i="7"/>
  <c r="AB2127" i="7"/>
  <c r="AA2127" i="7"/>
  <c r="AP2132" i="7"/>
  <c r="D2137" i="7"/>
  <c r="C2137" i="7"/>
  <c r="AB2139" i="7"/>
  <c r="AA2139" i="7"/>
  <c r="J2151" i="7"/>
  <c r="AA2176" i="7"/>
  <c r="AB2176" i="7"/>
  <c r="Z2185" i="7"/>
  <c r="AH2186" i="7"/>
  <c r="AJ2234" i="7"/>
  <c r="AI2234" i="7"/>
  <c r="AI2267" i="7"/>
  <c r="AJ2267" i="7"/>
  <c r="AB2272" i="7"/>
  <c r="AA2272" i="7"/>
  <c r="AH2282" i="7"/>
  <c r="Z2292" i="7"/>
  <c r="AJ2306" i="7"/>
  <c r="AI2306" i="7"/>
  <c r="AB2368" i="7"/>
  <c r="AA2368" i="7"/>
  <c r="AI2373" i="7"/>
  <c r="AJ2373" i="7"/>
  <c r="AI2410" i="7"/>
  <c r="AJ2410" i="7"/>
  <c r="AB2421" i="7"/>
  <c r="Z2421" i="7" s="1"/>
  <c r="AA2421" i="7"/>
  <c r="AB2532" i="7"/>
  <c r="AA2532" i="7"/>
  <c r="AJ2548" i="7"/>
  <c r="AI2548" i="7"/>
  <c r="AB2555" i="7"/>
  <c r="AA2555" i="7"/>
  <c r="AI2604" i="7"/>
  <c r="AJ2604" i="7"/>
  <c r="AA2693" i="7"/>
  <c r="AB2693" i="7"/>
  <c r="AJ2748" i="7"/>
  <c r="AI2748" i="7"/>
  <c r="AI2797" i="7"/>
  <c r="AJ2797" i="7"/>
  <c r="AB2803" i="7"/>
  <c r="AA2803" i="7"/>
  <c r="AB2817" i="7"/>
  <c r="AA2817" i="7"/>
  <c r="AB2835" i="7"/>
  <c r="AA2835" i="7"/>
  <c r="AB2845" i="7"/>
  <c r="AA2845" i="7"/>
  <c r="AB2874" i="7"/>
  <c r="AA2874" i="7"/>
  <c r="AB2889" i="7"/>
  <c r="AA2889" i="7"/>
  <c r="AA2894" i="7"/>
  <c r="AB2894" i="7"/>
  <c r="AP1924" i="7"/>
  <c r="C1951" i="7"/>
  <c r="L1975" i="7"/>
  <c r="K1975" i="7"/>
  <c r="AQ1976" i="7"/>
  <c r="AR1976" i="7"/>
  <c r="S1980" i="7"/>
  <c r="T1980" i="7"/>
  <c r="AI1982" i="7"/>
  <c r="AJ1982" i="7"/>
  <c r="L1987" i="7"/>
  <c r="K1987" i="7"/>
  <c r="L1999" i="7"/>
  <c r="K1999" i="7"/>
  <c r="AB2015" i="7"/>
  <c r="AA2015" i="7"/>
  <c r="S2050" i="7"/>
  <c r="T2050" i="7"/>
  <c r="R2059" i="7"/>
  <c r="C2069" i="7"/>
  <c r="D2069" i="7"/>
  <c r="AA2069" i="7"/>
  <c r="AB2069" i="7"/>
  <c r="T2076" i="7"/>
  <c r="S2076" i="7"/>
  <c r="AP2096" i="7"/>
  <c r="AB2101" i="7"/>
  <c r="AA2101" i="7"/>
  <c r="AB2112" i="7"/>
  <c r="AA2112" i="7"/>
  <c r="C2122" i="7"/>
  <c r="D2122" i="7"/>
  <c r="J2132" i="7"/>
  <c r="K2148" i="7"/>
  <c r="L2148" i="7"/>
  <c r="AB2174" i="7"/>
  <c r="AA2174" i="7"/>
  <c r="AH2179" i="7"/>
  <c r="AJ2214" i="7"/>
  <c r="AI2214" i="7"/>
  <c r="AA2221" i="7"/>
  <c r="AB2221" i="7"/>
  <c r="AI2231" i="7"/>
  <c r="AJ2231" i="7"/>
  <c r="AH2243" i="7"/>
  <c r="AA2269" i="7"/>
  <c r="AB2269" i="7"/>
  <c r="AA2296" i="7"/>
  <c r="AB2296" i="7"/>
  <c r="AI2326" i="7"/>
  <c r="AJ2326" i="7"/>
  <c r="AB2349" i="7"/>
  <c r="AA2352" i="7"/>
  <c r="AB2352" i="7"/>
  <c r="AB2356" i="7"/>
  <c r="AB2358" i="7"/>
  <c r="AA2395" i="7"/>
  <c r="AB2395" i="7"/>
  <c r="AI2418" i="7"/>
  <c r="AJ2418" i="7"/>
  <c r="Z2424" i="7"/>
  <c r="AJ2488" i="7"/>
  <c r="AI2488" i="7"/>
  <c r="AI2489" i="7"/>
  <c r="AJ2489" i="7"/>
  <c r="AJ2494" i="7"/>
  <c r="AI2494" i="7"/>
  <c r="AP1914" i="7"/>
  <c r="AP1920" i="7"/>
  <c r="AP1928" i="7"/>
  <c r="AP1934" i="7"/>
  <c r="AP1952" i="7"/>
  <c r="L1978" i="7"/>
  <c r="K1978" i="7"/>
  <c r="L1984" i="7"/>
  <c r="K1984" i="7"/>
  <c r="T1998" i="7"/>
  <c r="R1998" i="7" s="1"/>
  <c r="L2011" i="7"/>
  <c r="K2011" i="7"/>
  <c r="K2015" i="7"/>
  <c r="J2015" i="7" s="1"/>
  <c r="L2019" i="7"/>
  <c r="K2019" i="7"/>
  <c r="AA2023" i="7"/>
  <c r="AB2023" i="7"/>
  <c r="R2024" i="7"/>
  <c r="AQ2027" i="7"/>
  <c r="AP2027" i="7" s="1"/>
  <c r="S2032" i="7"/>
  <c r="R2032" i="7" s="1"/>
  <c r="R2040" i="7"/>
  <c r="AB2049" i="7"/>
  <c r="AA2049" i="7"/>
  <c r="S2053" i="7"/>
  <c r="R2053" i="7" s="1"/>
  <c r="Z2054" i="7"/>
  <c r="K2065" i="7"/>
  <c r="L2065" i="7"/>
  <c r="C2075" i="7"/>
  <c r="D2075" i="7"/>
  <c r="AP2076" i="7"/>
  <c r="L2080" i="7"/>
  <c r="T2081" i="7"/>
  <c r="R2081" i="7" s="1"/>
  <c r="L2082" i="7"/>
  <c r="AQ2089" i="7"/>
  <c r="AP2089" i="7" s="1"/>
  <c r="S2093" i="7"/>
  <c r="J2096" i="7"/>
  <c r="AB2118" i="7"/>
  <c r="AA2118" i="7"/>
  <c r="AB2119" i="7"/>
  <c r="AA2119" i="7"/>
  <c r="L2121" i="7"/>
  <c r="J2121" i="7" s="1"/>
  <c r="AQ2126" i="7"/>
  <c r="B2128" i="7"/>
  <c r="K2130" i="7"/>
  <c r="J2130" i="7" s="1"/>
  <c r="AA2131" i="7"/>
  <c r="Z2131" i="7" s="1"/>
  <c r="L2149" i="7"/>
  <c r="K2149" i="7"/>
  <c r="AB2150" i="7"/>
  <c r="AA2164" i="7"/>
  <c r="Z2167" i="7"/>
  <c r="AA2177" i="7"/>
  <c r="Z2177" i="7" s="1"/>
  <c r="AI2183" i="7"/>
  <c r="AJ2183" i="7"/>
  <c r="AJ2185" i="7"/>
  <c r="AI2204" i="7"/>
  <c r="AJ2204" i="7"/>
  <c r="AJ2250" i="7"/>
  <c r="AI2250" i="7"/>
  <c r="AI2268" i="7"/>
  <c r="AH2268" i="7" s="1"/>
  <c r="AJ2271" i="7"/>
  <c r="AI2271" i="7"/>
  <c r="AJ2283" i="7"/>
  <c r="AI2283" i="7"/>
  <c r="AA2304" i="7"/>
  <c r="Z2304" i="7" s="1"/>
  <c r="AJ2310" i="7"/>
  <c r="AI2310" i="7"/>
  <c r="AB2313" i="7"/>
  <c r="AB2328" i="7"/>
  <c r="AJ2335" i="7"/>
  <c r="AJ2351" i="7"/>
  <c r="AI2351" i="7"/>
  <c r="Z2358" i="7"/>
  <c r="AJ2375" i="7"/>
  <c r="AI2375" i="7"/>
  <c r="AA2409" i="7"/>
  <c r="AB2409" i="7"/>
  <c r="AB2412" i="7"/>
  <c r="Z2412" i="7" s="1"/>
  <c r="AA2513" i="7"/>
  <c r="AB2513" i="7"/>
  <c r="AB2525" i="7"/>
  <c r="AB2540" i="7"/>
  <c r="AA2540" i="7"/>
  <c r="AB2546" i="7"/>
  <c r="AA2546" i="7"/>
  <c r="AQ2021" i="7"/>
  <c r="AR2021" i="7"/>
  <c r="T2048" i="7"/>
  <c r="S2048" i="7"/>
  <c r="R2058" i="7"/>
  <c r="K2069" i="7"/>
  <c r="L2069" i="7"/>
  <c r="AA2075" i="7"/>
  <c r="AB2075" i="7"/>
  <c r="AA2078" i="7"/>
  <c r="AB2078" i="7"/>
  <c r="AJ2091" i="7"/>
  <c r="AI2091" i="7"/>
  <c r="AB2104" i="7"/>
  <c r="AA2104" i="7"/>
  <c r="AJ2111" i="7"/>
  <c r="AI2111" i="7"/>
  <c r="AP2126" i="7"/>
  <c r="K2135" i="7"/>
  <c r="L2135" i="7"/>
  <c r="J2135" i="7" s="1"/>
  <c r="AA2173" i="7"/>
  <c r="AB2173" i="7"/>
  <c r="AJ2174" i="7"/>
  <c r="AI2174" i="7"/>
  <c r="AA2178" i="7"/>
  <c r="AB2178" i="7"/>
  <c r="Z2178" i="7" s="1"/>
  <c r="AH2185" i="7"/>
  <c r="AI2228" i="7"/>
  <c r="AJ2228" i="7"/>
  <c r="AJ2232" i="7"/>
  <c r="AI2232" i="7"/>
  <c r="AB2263" i="7"/>
  <c r="Z2263" i="7" s="1"/>
  <c r="AA2263" i="7"/>
  <c r="AI2281" i="7"/>
  <c r="AJ2281" i="7"/>
  <c r="AA2318" i="7"/>
  <c r="AB2318" i="7"/>
  <c r="Z2328" i="7"/>
  <c r="AA2365" i="7"/>
  <c r="AB2365" i="7"/>
  <c r="AI2398" i="7"/>
  <c r="AJ2398" i="7"/>
  <c r="AA2401" i="7"/>
  <c r="AB2401" i="7"/>
  <c r="AI2424" i="7"/>
  <c r="AJ2424" i="7"/>
  <c r="AI2434" i="7"/>
  <c r="AJ2434" i="7"/>
  <c r="AA2439" i="7"/>
  <c r="AB2439" i="7"/>
  <c r="AA2487" i="7"/>
  <c r="AB2487" i="7"/>
  <c r="AA2523" i="7"/>
  <c r="AB2523" i="7"/>
  <c r="Z2525" i="7"/>
  <c r="S1977" i="7"/>
  <c r="T1977" i="7"/>
  <c r="AP1977" i="7"/>
  <c r="L1982" i="7"/>
  <c r="K1982" i="7"/>
  <c r="AB1983" i="7"/>
  <c r="AA1983" i="7"/>
  <c r="AB2003" i="7"/>
  <c r="AA2003" i="7"/>
  <c r="R2010" i="7"/>
  <c r="R2055" i="7"/>
  <c r="AP2062" i="7"/>
  <c r="T2068" i="7"/>
  <c r="S2068" i="7"/>
  <c r="J2081" i="7"/>
  <c r="J2086" i="7"/>
  <c r="AA2089" i="7"/>
  <c r="AB2089" i="7"/>
  <c r="AP2090" i="7"/>
  <c r="AJ2101" i="7"/>
  <c r="AI2101" i="7"/>
  <c r="D2138" i="7"/>
  <c r="C2138" i="7"/>
  <c r="AB2140" i="7"/>
  <c r="AA2140" i="7"/>
  <c r="Z2149" i="7"/>
  <c r="AI2159" i="7"/>
  <c r="AH2159" i="7" s="1"/>
  <c r="AJ2159" i="7"/>
  <c r="AA2184" i="7"/>
  <c r="AB2184" i="7"/>
  <c r="Z2184" i="7" s="1"/>
  <c r="Z2209" i="7"/>
  <c r="AI2216" i="7"/>
  <c r="AJ2216" i="7"/>
  <c r="Z2251" i="7"/>
  <c r="Z2284" i="7"/>
  <c r="Z2298" i="7"/>
  <c r="AJ2304" i="7"/>
  <c r="AI2304" i="7"/>
  <c r="AB2337" i="7"/>
  <c r="AA2337" i="7"/>
  <c r="AI2352" i="7"/>
  <c r="AJ2352" i="7"/>
  <c r="AI2389" i="7"/>
  <c r="AJ2389" i="7"/>
  <c r="Z2400" i="7"/>
  <c r="AA2427" i="7"/>
  <c r="Z2427" i="7" s="1"/>
  <c r="AB2431" i="7"/>
  <c r="AI2446" i="7"/>
  <c r="AJ2446" i="7"/>
  <c r="AA2460" i="7"/>
  <c r="AB2460" i="7"/>
  <c r="AI2464" i="7"/>
  <c r="AJ2464" i="7"/>
  <c r="AJ2467" i="7"/>
  <c r="AI2467" i="7"/>
  <c r="AA2472" i="7"/>
  <c r="AB2472" i="7"/>
  <c r="AJ2476" i="7"/>
  <c r="AI2476" i="7"/>
  <c r="AB2480" i="7"/>
  <c r="Z2480" i="7" s="1"/>
  <c r="AA2519" i="7"/>
  <c r="AB2519" i="7"/>
  <c r="AB2537" i="7"/>
  <c r="AA2537" i="7"/>
  <c r="AJ2593" i="7"/>
  <c r="AB2690" i="7"/>
  <c r="AA2690" i="7"/>
  <c r="Z2431" i="7"/>
  <c r="AB2434" i="7"/>
  <c r="AA2434" i="7"/>
  <c r="AI2442" i="7"/>
  <c r="AJ2442" i="7"/>
  <c r="AB2455" i="7"/>
  <c r="AA2455" i="7"/>
  <c r="AB2489" i="7"/>
  <c r="AA2489" i="7"/>
  <c r="AJ2491" i="7"/>
  <c r="AI2491" i="7"/>
  <c r="AJ2501" i="7"/>
  <c r="AI2501" i="7"/>
  <c r="AI2533" i="7"/>
  <c r="AJ2533" i="7"/>
  <c r="AB2538" i="7"/>
  <c r="AA2538" i="7"/>
  <c r="AI2577" i="7"/>
  <c r="AJ2577" i="7"/>
  <c r="AJ2680" i="7"/>
  <c r="AI2680" i="7"/>
  <c r="Z2260" i="7"/>
  <c r="Z2316" i="7"/>
  <c r="AJ2319" i="7"/>
  <c r="AI2319" i="7"/>
  <c r="AJ2337" i="7"/>
  <c r="AI2337" i="7"/>
  <c r="AI2353" i="7"/>
  <c r="AJ2353" i="7"/>
  <c r="AI2377" i="7"/>
  <c r="AJ2377" i="7"/>
  <c r="AA2388" i="7"/>
  <c r="AB2388" i="7"/>
  <c r="AB2418" i="7"/>
  <c r="AA2418" i="7"/>
  <c r="AA2448" i="7"/>
  <c r="AB2448" i="7"/>
  <c r="AA2463" i="7"/>
  <c r="AB2463" i="7"/>
  <c r="AA2517" i="7"/>
  <c r="AB2517" i="7"/>
  <c r="AB2587" i="7"/>
  <c r="AA2587" i="7"/>
  <c r="AB2649" i="7"/>
  <c r="AA2649" i="7"/>
  <c r="AA2678" i="7"/>
  <c r="AB2678" i="7"/>
  <c r="Z2052" i="7"/>
  <c r="AP2078" i="7"/>
  <c r="J2079" i="7"/>
  <c r="J2089" i="7"/>
  <c r="Z2094" i="7"/>
  <c r="AH2152" i="7"/>
  <c r="AH2170" i="7"/>
  <c r="AH2355" i="7"/>
  <c r="Z2430" i="7"/>
  <c r="Z2436" i="7"/>
  <c r="Z2437" i="7"/>
  <c r="AB2466" i="7"/>
  <c r="AA2466" i="7"/>
  <c r="Z2474" i="7"/>
  <c r="Z2492" i="7"/>
  <c r="AA2507" i="7"/>
  <c r="AI2515" i="7"/>
  <c r="AJ2519" i="7"/>
  <c r="AI2521" i="7"/>
  <c r="AJ2537" i="7"/>
  <c r="AI2537" i="7"/>
  <c r="AI2546" i="7"/>
  <c r="AJ2546" i="7"/>
  <c r="AJ2547" i="7"/>
  <c r="AI2556" i="7"/>
  <c r="AJ2556" i="7"/>
  <c r="AJ2590" i="7"/>
  <c r="AI2590" i="7"/>
  <c r="AI2598" i="7"/>
  <c r="AJ2598" i="7"/>
  <c r="AJ2605" i="7"/>
  <c r="AB2634" i="7"/>
  <c r="AA2634" i="7"/>
  <c r="AJ2644" i="7"/>
  <c r="AI2644" i="7"/>
  <c r="AB2654" i="7"/>
  <c r="AA2658" i="7"/>
  <c r="Z2658" i="7" s="1"/>
  <c r="AA2673" i="7"/>
  <c r="Z2673" i="7" s="1"/>
  <c r="AA2687" i="7"/>
  <c r="AB2687" i="7"/>
  <c r="Z2688" i="7"/>
  <c r="AI2689" i="7"/>
  <c r="AH2689" i="7" s="1"/>
  <c r="AJ2872" i="7"/>
  <c r="AI2872" i="7"/>
  <c r="AH2872" i="7" s="1"/>
  <c r="AA2933" i="7"/>
  <c r="AB2933" i="7"/>
  <c r="AJ3047" i="7"/>
  <c r="AI3047" i="7"/>
  <c r="AA2516" i="7"/>
  <c r="Z2516" i="7" s="1"/>
  <c r="AI2525" i="7"/>
  <c r="AA2530" i="7"/>
  <c r="Z2530" i="7" s="1"/>
  <c r="AI2538" i="7"/>
  <c r="AJ2538" i="7"/>
  <c r="AJ2566" i="7"/>
  <c r="AJ2587" i="7"/>
  <c r="AA2596" i="7"/>
  <c r="Z2596" i="7" s="1"/>
  <c r="AI2616" i="7"/>
  <c r="AJ2616" i="7"/>
  <c r="AB2651" i="7"/>
  <c r="AA2655" i="7"/>
  <c r="Z2655" i="7" s="1"/>
  <c r="AA2684" i="7"/>
  <c r="AB2684" i="7"/>
  <c r="Z2685" i="7"/>
  <c r="AI2686" i="7"/>
  <c r="AH2686" i="7" s="1"/>
  <c r="AB2726" i="7"/>
  <c r="Z2726" i="7" s="1"/>
  <c r="AA2741" i="7"/>
  <c r="AB2741" i="7"/>
  <c r="AJ2770" i="7"/>
  <c r="AI2770" i="7"/>
  <c r="AB2800" i="7"/>
  <c r="AA2800" i="7"/>
  <c r="AJ2816" i="7"/>
  <c r="AI2816" i="7"/>
  <c r="AJ2834" i="7"/>
  <c r="AI2834" i="7"/>
  <c r="AI2932" i="7"/>
  <c r="AH2932" i="7" s="1"/>
  <c r="Z2936" i="7"/>
  <c r="AB2593" i="7"/>
  <c r="AA2593" i="7"/>
  <c r="AJ2599" i="7"/>
  <c r="AI2599" i="7"/>
  <c r="AB2637" i="7"/>
  <c r="AA2637" i="7"/>
  <c r="AA2663" i="7"/>
  <c r="AB2663" i="7"/>
  <c r="AB2670" i="7"/>
  <c r="AA2670" i="7"/>
  <c r="AA2681" i="7"/>
  <c r="AB2681" i="7"/>
  <c r="AA2739" i="7"/>
  <c r="AB2739" i="7"/>
  <c r="AA2765" i="7"/>
  <c r="AB2765" i="7"/>
  <c r="AJ2852" i="7"/>
  <c r="AI2852" i="7"/>
  <c r="AI2928" i="7"/>
  <c r="AJ2928" i="7"/>
  <c r="AP2063" i="7"/>
  <c r="Z2065" i="7"/>
  <c r="Z2073" i="7"/>
  <c r="Z2128" i="7"/>
  <c r="AP2138" i="7"/>
  <c r="B2140" i="7"/>
  <c r="Z2361" i="7"/>
  <c r="AB2422" i="7"/>
  <c r="AA2422" i="7"/>
  <c r="AI2428" i="7"/>
  <c r="AJ2428" i="7"/>
  <c r="Z2445" i="7"/>
  <c r="Z2449" i="7"/>
  <c r="AB2452" i="7"/>
  <c r="AA2452" i="7"/>
  <c r="AB2464" i="7"/>
  <c r="AA2464" i="7"/>
  <c r="AJ2507" i="7"/>
  <c r="AI2507" i="7"/>
  <c r="AH2522" i="7"/>
  <c r="AH2536" i="7"/>
  <c r="AJ2539" i="7"/>
  <c r="AI2539" i="7"/>
  <c r="AH2544" i="7"/>
  <c r="AA2573" i="7"/>
  <c r="AB2573" i="7"/>
  <c r="AI2617" i="7"/>
  <c r="AJ2617" i="7"/>
  <c r="Z2630" i="7"/>
  <c r="AJ2668" i="7"/>
  <c r="AI2668" i="7"/>
  <c r="AH2668" i="7" s="1"/>
  <c r="AJ2711" i="7"/>
  <c r="AI2711" i="7"/>
  <c r="AA2732" i="7"/>
  <c r="AB2732" i="7"/>
  <c r="AJ2763" i="7"/>
  <c r="AI2763" i="7"/>
  <c r="AA2777" i="7"/>
  <c r="AB2777" i="7"/>
  <c r="AI2842" i="7"/>
  <c r="AJ2842" i="7"/>
  <c r="AA2906" i="7"/>
  <c r="AB2906" i="7"/>
  <c r="Z2906" i="7" s="1"/>
  <c r="Z2907" i="7"/>
  <c r="AJ3001" i="7"/>
  <c r="AI3001" i="7"/>
  <c r="AJ3011" i="7"/>
  <c r="AI3011" i="7"/>
  <c r="AJ3017" i="7"/>
  <c r="AI3017" i="7"/>
  <c r="AH2509" i="7"/>
  <c r="AH2725" i="7"/>
  <c r="AH2740" i="7"/>
  <c r="AB2799" i="7"/>
  <c r="AA2799" i="7"/>
  <c r="AB2844" i="7"/>
  <c r="AA2844" i="7"/>
  <c r="AB2912" i="7"/>
  <c r="AA2912" i="7"/>
  <c r="AJ2945" i="7"/>
  <c r="AI2945" i="7"/>
  <c r="AH2945" i="7" s="1"/>
  <c r="AJ2956" i="7"/>
  <c r="AI2956" i="7"/>
  <c r="Z2958" i="7"/>
  <c r="AB2969" i="7"/>
  <c r="Z2969" i="7" s="1"/>
  <c r="AA2969" i="7"/>
  <c r="AJ2993" i="7"/>
  <c r="AI2993" i="7"/>
  <c r="AB3003" i="7"/>
  <c r="AA3003" i="7"/>
  <c r="AH3006" i="7"/>
  <c r="AB3024" i="7"/>
  <c r="AJ3028" i="7"/>
  <c r="AJ3031" i="7"/>
  <c r="AH3031" i="7" s="1"/>
  <c r="AI3090" i="7"/>
  <c r="AJ3090" i="7"/>
  <c r="AI3108" i="7"/>
  <c r="AJ3108" i="7"/>
  <c r="AA2885" i="7"/>
  <c r="AI2914" i="7"/>
  <c r="Z2916" i="7"/>
  <c r="AB2919" i="7"/>
  <c r="Z2921" i="7"/>
  <c r="AB2940" i="7"/>
  <c r="AA2940" i="7"/>
  <c r="Z2940" i="7" s="1"/>
  <c r="AB2942" i="7"/>
  <c r="Z2942" i="7" s="1"/>
  <c r="Z3024" i="7"/>
  <c r="AJ3063" i="7"/>
  <c r="AI3063" i="7"/>
  <c r="AI3087" i="7"/>
  <c r="AJ3087" i="7"/>
  <c r="AI3105" i="7"/>
  <c r="AJ3105" i="7"/>
  <c r="AB2636" i="7"/>
  <c r="AI2638" i="7"/>
  <c r="AH2638" i="7" s="1"/>
  <c r="AI2641" i="7"/>
  <c r="AH2641" i="7" s="1"/>
  <c r="AJ2695" i="7"/>
  <c r="AI2695" i="7"/>
  <c r="AB2738" i="7"/>
  <c r="Z2738" i="7" s="1"/>
  <c r="AJ2798" i="7"/>
  <c r="AI2798" i="7"/>
  <c r="AJ2843" i="7"/>
  <c r="AI2843" i="7"/>
  <c r="Z2862" i="7"/>
  <c r="AA2876" i="7"/>
  <c r="AB2876" i="7"/>
  <c r="Z2879" i="7"/>
  <c r="AB2892" i="7"/>
  <c r="AA2892" i="7"/>
  <c r="AJ2911" i="7"/>
  <c r="AI2911" i="7"/>
  <c r="Z2919" i="7"/>
  <c r="Z2943" i="7"/>
  <c r="Z2945" i="7"/>
  <c r="Z2987" i="7"/>
  <c r="Z2991" i="7"/>
  <c r="AJ3002" i="7"/>
  <c r="AI3002" i="7"/>
  <c r="AB3012" i="7"/>
  <c r="AA3012" i="7"/>
  <c r="AB3018" i="7"/>
  <c r="AA3018" i="7"/>
  <c r="AA3020" i="7"/>
  <c r="Z3020" i="7" s="1"/>
  <c r="AJ3044" i="7"/>
  <c r="AI3044" i="7"/>
  <c r="AI3061" i="7"/>
  <c r="AJ3061" i="7"/>
  <c r="AJ3083" i="7"/>
  <c r="AI3083" i="7"/>
  <c r="AJ3101" i="7"/>
  <c r="AI3101" i="7"/>
  <c r="AH2406" i="7"/>
  <c r="AH2542" i="7"/>
  <c r="Z2699" i="7"/>
  <c r="AH2710" i="7"/>
  <c r="AJ2741" i="7"/>
  <c r="AI2741" i="7"/>
  <c r="AI2772" i="7"/>
  <c r="AJ2772" i="7"/>
  <c r="AJ2812" i="7"/>
  <c r="AI2812" i="7"/>
  <c r="AH2815" i="7"/>
  <c r="AJ2830" i="7"/>
  <c r="AI2830" i="7"/>
  <c r="AJ2857" i="7"/>
  <c r="AI2857" i="7"/>
  <c r="AB2873" i="7"/>
  <c r="AA2873" i="7"/>
  <c r="AB2904" i="7"/>
  <c r="AA2904" i="7"/>
  <c r="AB2931" i="7"/>
  <c r="AA2931" i="7"/>
  <c r="AB2979" i="7"/>
  <c r="AA2979" i="7"/>
  <c r="Z2979" i="7" s="1"/>
  <c r="AJ2996" i="7"/>
  <c r="AI2996" i="7"/>
  <c r="AI3041" i="7"/>
  <c r="AJ3041" i="7"/>
  <c r="AB3056" i="7"/>
  <c r="AA3056" i="7"/>
  <c r="Z3056" i="7" s="1"/>
  <c r="AI3081" i="7"/>
  <c r="AJ3081" i="7"/>
  <c r="AI3099" i="7"/>
  <c r="AJ3099" i="7"/>
  <c r="AH3008" i="7"/>
  <c r="AH3053" i="7"/>
  <c r="AI2726" i="7"/>
  <c r="AJ2731" i="7"/>
  <c r="AI2732" i="7"/>
  <c r="AH2732" i="7" s="1"/>
  <c r="AA2753" i="7"/>
  <c r="Z2753" i="7" s="1"/>
  <c r="AA2755" i="7"/>
  <c r="AI2762" i="7"/>
  <c r="AH2762" i="7" s="1"/>
  <c r="AI2767" i="7"/>
  <c r="AJ2775" i="7"/>
  <c r="AH2775" i="7" s="1"/>
  <c r="AA2778" i="7"/>
  <c r="AI2789" i="7"/>
  <c r="AH2789" i="7" s="1"/>
  <c r="Z2859" i="7"/>
  <c r="Z2909" i="7"/>
  <c r="AA2954" i="7"/>
  <c r="Z2954" i="7" s="1"/>
  <c r="AJ2961" i="7"/>
  <c r="Z2984" i="7"/>
  <c r="AB3006" i="7"/>
  <c r="AA3014" i="7"/>
  <c r="Z3014" i="7" s="1"/>
  <c r="AH3049" i="7"/>
  <c r="AJ3067" i="7"/>
  <c r="AI3069" i="7"/>
  <c r="AH3069" i="7" s="1"/>
  <c r="Z2702" i="7"/>
  <c r="AH2752" i="7"/>
  <c r="AA2758" i="7"/>
  <c r="AB2774" i="7"/>
  <c r="Z2774" i="7" s="1"/>
  <c r="AA2776" i="7"/>
  <c r="Z2776" i="7" s="1"/>
  <c r="AI2777" i="7"/>
  <c r="AH2777" i="7" s="1"/>
  <c r="AB2853" i="7"/>
  <c r="AI2858" i="7"/>
  <c r="AH2858" i="7" s="1"/>
  <c r="AB2870" i="7"/>
  <c r="Z2870" i="7" s="1"/>
  <c r="AI2871" i="7"/>
  <c r="AI2890" i="7"/>
  <c r="AI2893" i="7"/>
  <c r="Z2939" i="7"/>
  <c r="AB2951" i="7"/>
  <c r="Z2982" i="7"/>
  <c r="AI2986" i="7"/>
  <c r="AH2986" i="7" s="1"/>
  <c r="AA3032" i="7"/>
  <c r="Z3032" i="7" s="1"/>
  <c r="AB3045" i="7"/>
  <c r="AJ3052" i="7"/>
  <c r="Z2853" i="7"/>
  <c r="AC5" i="4"/>
  <c r="AC6" i="4" s="1"/>
  <c r="AC7" i="4" s="1"/>
  <c r="AC8" i="4" s="1"/>
  <c r="AC9" i="4" s="1"/>
  <c r="AC10" i="4" s="1"/>
  <c r="AC11" i="4" s="1"/>
  <c r="AC12" i="4" s="1"/>
  <c r="AC13" i="4" s="1"/>
  <c r="AC14" i="4" s="1"/>
  <c r="AC15" i="4" s="1"/>
  <c r="AC16" i="4" s="1"/>
  <c r="AC17" i="4" s="1"/>
  <c r="AC18" i="4" s="1"/>
  <c r="AC19" i="4" s="1"/>
  <c r="AC20" i="4" s="1"/>
  <c r="AC21" i="4" s="1"/>
  <c r="AC22" i="4" s="1"/>
  <c r="AC23" i="4" s="1"/>
  <c r="AC24" i="4" s="1"/>
  <c r="AC25" i="4" s="1"/>
  <c r="AC26" i="4" s="1"/>
  <c r="AC27" i="4" s="1"/>
  <c r="AC28" i="4" s="1"/>
  <c r="AC29" i="4" s="1"/>
  <c r="AC30" i="4" s="1"/>
  <c r="AC31" i="4" s="1"/>
  <c r="AC32" i="4" s="1"/>
  <c r="AC33" i="4" s="1"/>
  <c r="AC34" i="4" s="1"/>
  <c r="AC35" i="4" s="1"/>
  <c r="AC36" i="4" s="1"/>
  <c r="AC37" i="4" s="1"/>
  <c r="AC38" i="4" s="1"/>
  <c r="AC39" i="4" s="1"/>
  <c r="AC40" i="4" s="1"/>
  <c r="AC41" i="4" s="1"/>
  <c r="AC42" i="4" s="1"/>
  <c r="AC43" i="4" s="1"/>
  <c r="AC44" i="4" s="1"/>
  <c r="AC45" i="4" s="1"/>
  <c r="AC46" i="4" s="1"/>
  <c r="AC47" i="4" s="1"/>
  <c r="AC48" i="4" s="1"/>
  <c r="AC49" i="4" s="1"/>
  <c r="AC50" i="4" s="1"/>
  <c r="AC51" i="4" s="1"/>
  <c r="AC52" i="4" s="1"/>
  <c r="AC53" i="4" s="1"/>
  <c r="AC54" i="4" s="1"/>
  <c r="AC55" i="4" s="1"/>
  <c r="AC56" i="4" s="1"/>
  <c r="AC57" i="4" s="1"/>
  <c r="AC58" i="4" s="1"/>
  <c r="AC59" i="4" s="1"/>
  <c r="AC60" i="4" s="1"/>
  <c r="AC61" i="4" s="1"/>
  <c r="AC62" i="4" s="1"/>
  <c r="AC63" i="4" s="1"/>
  <c r="AC64" i="4" s="1"/>
  <c r="AC65" i="4" s="1"/>
  <c r="AC66" i="4" s="1"/>
  <c r="AC67" i="4" s="1"/>
  <c r="AC68" i="4" s="1"/>
  <c r="AC69" i="4" s="1"/>
  <c r="AC70" i="4" s="1"/>
  <c r="AC71" i="4" s="1"/>
  <c r="AC72" i="4" s="1"/>
  <c r="AC73" i="4" s="1"/>
  <c r="AC74" i="4" s="1"/>
  <c r="AC75" i="4" s="1"/>
  <c r="AC76" i="4" s="1"/>
  <c r="AC77" i="4" s="1"/>
  <c r="AC78" i="4" s="1"/>
  <c r="AC79" i="4" s="1"/>
  <c r="AC80" i="4" s="1"/>
  <c r="AC81" i="4" s="1"/>
  <c r="AC82" i="4" s="1"/>
  <c r="AC83" i="4" s="1"/>
  <c r="AC84" i="4" s="1"/>
  <c r="AC85" i="4" s="1"/>
  <c r="AC86" i="4" s="1"/>
  <c r="AC87" i="4" s="1"/>
  <c r="AC88" i="4" s="1"/>
  <c r="AC89" i="4" s="1"/>
  <c r="AC90" i="4" s="1"/>
  <c r="AC91" i="4" s="1"/>
  <c r="AC92" i="4" s="1"/>
  <c r="AC93" i="4" s="1"/>
  <c r="AC94" i="4" s="1"/>
  <c r="AC95" i="4" s="1"/>
  <c r="AC96" i="4" s="1"/>
  <c r="AC97" i="4" s="1"/>
  <c r="AC98" i="4" s="1"/>
  <c r="AC99" i="4" s="1"/>
  <c r="AC100" i="4" s="1"/>
  <c r="AC101" i="4" s="1"/>
  <c r="AC102" i="4" s="1"/>
  <c r="AC103" i="4" s="1"/>
  <c r="AC104" i="4" s="1"/>
  <c r="AC105" i="4" s="1"/>
  <c r="AC106" i="4" s="1"/>
  <c r="AC107" i="4" s="1"/>
  <c r="AC108" i="4" s="1"/>
  <c r="AC109" i="4" s="1"/>
  <c r="AC110" i="4" s="1"/>
  <c r="AC111" i="4" s="1"/>
  <c r="AC112" i="4" s="1"/>
  <c r="AC113" i="4" s="1"/>
  <c r="AC114" i="4" s="1"/>
  <c r="AC115" i="4" s="1"/>
  <c r="AC116" i="4" s="1"/>
  <c r="AC117" i="4" s="1"/>
  <c r="AC118" i="4" s="1"/>
  <c r="AC119" i="4" s="1"/>
  <c r="AC120" i="4" s="1"/>
  <c r="AC121" i="4" s="1"/>
  <c r="AC122" i="4" s="1"/>
  <c r="AC123" i="4" s="1"/>
  <c r="AC124" i="4" s="1"/>
  <c r="AC125" i="4" s="1"/>
  <c r="AC126" i="4" s="1"/>
  <c r="AC127" i="4" s="1"/>
  <c r="AC128" i="4" s="1"/>
  <c r="AC129" i="4" s="1"/>
  <c r="AC130" i="4" s="1"/>
  <c r="AC131" i="4" s="1"/>
  <c r="AC132" i="4" s="1"/>
  <c r="AC133" i="4" s="1"/>
  <c r="AC134" i="4" s="1"/>
  <c r="AC135" i="4" s="1"/>
  <c r="AC136" i="4" s="1"/>
  <c r="AC137" i="4" s="1"/>
  <c r="AC138" i="4" s="1"/>
  <c r="AC139" i="4" s="1"/>
  <c r="AC140" i="4" s="1"/>
  <c r="AC141" i="4" s="1"/>
  <c r="AC142" i="4" s="1"/>
  <c r="AC143" i="4" s="1"/>
  <c r="AC144" i="4" s="1"/>
  <c r="AC145" i="4" s="1"/>
  <c r="AC146" i="4" s="1"/>
  <c r="AC147" i="4" s="1"/>
  <c r="AC148" i="4" s="1"/>
  <c r="AC149" i="4" s="1"/>
  <c r="AC150" i="4" s="1"/>
  <c r="AC151" i="4" s="1"/>
  <c r="AC152" i="4" s="1"/>
  <c r="AC153" i="4" s="1"/>
  <c r="AC154" i="4" s="1"/>
  <c r="AC155" i="4" s="1"/>
  <c r="I8" i="4"/>
  <c r="I9" i="4" s="1"/>
  <c r="I10" i="4" s="1"/>
  <c r="I11" i="4" s="1"/>
  <c r="I12" i="4" s="1"/>
  <c r="I13" i="4" s="1"/>
  <c r="D75" i="7"/>
  <c r="B75" i="7" s="1"/>
  <c r="D76" i="7"/>
  <c r="B76" i="7" s="1"/>
  <c r="D77" i="7"/>
  <c r="B77" i="7" s="1"/>
  <c r="D78" i="7"/>
  <c r="B78" i="7" s="1"/>
  <c r="D79" i="7"/>
  <c r="B79" i="7" s="1"/>
  <c r="D80" i="7"/>
  <c r="B80" i="7" s="1"/>
  <c r="D81" i="7"/>
  <c r="B81" i="7" s="1"/>
  <c r="D82" i="7"/>
  <c r="B82" i="7" s="1"/>
  <c r="D83" i="7"/>
  <c r="B83" i="7" s="1"/>
  <c r="D84" i="7"/>
  <c r="B84" i="7" s="1"/>
  <c r="D85" i="7"/>
  <c r="B85" i="7" s="1"/>
  <c r="D86" i="7"/>
  <c r="B86" i="7" s="1"/>
  <c r="D87" i="7"/>
  <c r="B87" i="7" s="1"/>
  <c r="D88" i="7"/>
  <c r="B88" i="7" s="1"/>
  <c r="D89" i="7"/>
  <c r="B89" i="7" s="1"/>
  <c r="D90" i="7"/>
  <c r="B90" i="7" s="1"/>
  <c r="AQ95" i="7"/>
  <c r="AP95" i="7" s="1"/>
  <c r="S97" i="7"/>
  <c r="R97" i="7" s="1"/>
  <c r="AQ98" i="7"/>
  <c r="AP98" i="7" s="1"/>
  <c r="S100" i="7"/>
  <c r="R100" i="7" s="1"/>
  <c r="AQ101" i="7"/>
  <c r="AP101" i="7" s="1"/>
  <c r="S103" i="7"/>
  <c r="R103" i="7" s="1"/>
  <c r="AQ104" i="7"/>
  <c r="AP104" i="7" s="1"/>
  <c r="S106" i="7"/>
  <c r="R106" i="7" s="1"/>
  <c r="AQ107" i="7"/>
  <c r="AP107" i="7" s="1"/>
  <c r="S109" i="7"/>
  <c r="R109" i="7" s="1"/>
  <c r="AI110" i="7"/>
  <c r="AH110" i="7" s="1"/>
  <c r="S112" i="7"/>
  <c r="R112" i="7" s="1"/>
  <c r="S114" i="7"/>
  <c r="R114" i="7" s="1"/>
  <c r="Z115" i="7"/>
  <c r="S116" i="7"/>
  <c r="R116" i="7" s="1"/>
  <c r="AB117" i="7"/>
  <c r="Z117" i="7" s="1"/>
  <c r="Z119" i="7"/>
  <c r="AQ119" i="7"/>
  <c r="AQ120" i="7"/>
  <c r="AQ121" i="7"/>
  <c r="AP121" i="7" s="1"/>
  <c r="AB122" i="7"/>
  <c r="Z122" i="7" s="1"/>
  <c r="X7" i="4"/>
  <c r="X16" i="4"/>
  <c r="X25" i="4"/>
  <c r="X34" i="4"/>
  <c r="AA39" i="4"/>
  <c r="X43" i="4"/>
  <c r="X52" i="4"/>
  <c r="X61" i="4"/>
  <c r="AA66" i="4"/>
  <c r="X70" i="4"/>
  <c r="X79" i="4"/>
  <c r="X88" i="4"/>
  <c r="AA93" i="4"/>
  <c r="X97" i="4"/>
  <c r="X106" i="4"/>
  <c r="X115" i="4"/>
  <c r="X124" i="4"/>
  <c r="X133" i="4"/>
  <c r="X142" i="4"/>
  <c r="X151" i="4"/>
  <c r="AH8" i="7"/>
  <c r="D9" i="7"/>
  <c r="B9" i="7" s="1"/>
  <c r="AP10" i="7"/>
  <c r="L11" i="7"/>
  <c r="J11" i="7" s="1"/>
  <c r="AP13" i="7"/>
  <c r="L14" i="7"/>
  <c r="J14" i="7" s="1"/>
  <c r="AP16" i="7"/>
  <c r="L17" i="7"/>
  <c r="J17" i="7" s="1"/>
  <c r="B18" i="7"/>
  <c r="L20" i="7"/>
  <c r="J20" i="7" s="1"/>
  <c r="AP22" i="7"/>
  <c r="L23" i="7"/>
  <c r="J23" i="7" s="1"/>
  <c r="AP25" i="7"/>
  <c r="L26" i="7"/>
  <c r="J26" i="7" s="1"/>
  <c r="L29" i="7"/>
  <c r="J29" i="7" s="1"/>
  <c r="B30" i="7"/>
  <c r="AP31" i="7"/>
  <c r="L32" i="7"/>
  <c r="J32" i="7" s="1"/>
  <c r="AP34" i="7"/>
  <c r="L35" i="7"/>
  <c r="J35" i="7" s="1"/>
  <c r="AP37" i="7"/>
  <c r="L38" i="7"/>
  <c r="J38" i="7" s="1"/>
  <c r="AP40" i="7"/>
  <c r="L41" i="7"/>
  <c r="B42" i="7"/>
  <c r="AP43" i="7"/>
  <c r="L44" i="7"/>
  <c r="J44" i="7" s="1"/>
  <c r="B45" i="7"/>
  <c r="AP46" i="7"/>
  <c r="L47" i="7"/>
  <c r="J47" i="7" s="1"/>
  <c r="AP49" i="7"/>
  <c r="L50" i="7"/>
  <c r="J50" i="7" s="1"/>
  <c r="AP52" i="7"/>
  <c r="L53" i="7"/>
  <c r="J53" i="7" s="1"/>
  <c r="AQ55" i="7"/>
  <c r="AP55" i="7" s="1"/>
  <c r="AP56" i="7"/>
  <c r="K57" i="7"/>
  <c r="J57" i="7" s="1"/>
  <c r="C59" i="7"/>
  <c r="B59" i="7" s="1"/>
  <c r="D112" i="7"/>
  <c r="AI113" i="7"/>
  <c r="AH113" i="7" s="1"/>
  <c r="AB120" i="7"/>
  <c r="Z120" i="7" s="1"/>
  <c r="AB121" i="7"/>
  <c r="Z121" i="7" s="1"/>
  <c r="AB125" i="7"/>
  <c r="Z125" i="7" s="1"/>
  <c r="AI7" i="7"/>
  <c r="AH7" i="7" s="1"/>
  <c r="J41" i="7"/>
  <c r="AQ54" i="7"/>
  <c r="K56" i="7"/>
  <c r="J56" i="7" s="1"/>
  <c r="C58" i="7"/>
  <c r="B58" i="7" s="1"/>
  <c r="AQ60" i="7"/>
  <c r="AP60" i="7" s="1"/>
  <c r="AQ61" i="7"/>
  <c r="AP61" i="7" s="1"/>
  <c r="AQ62" i="7"/>
  <c r="AQ63" i="7"/>
  <c r="AP63" i="7" s="1"/>
  <c r="AQ64" i="7"/>
  <c r="AP64" i="7" s="1"/>
  <c r="AQ65" i="7"/>
  <c r="AP65" i="7" s="1"/>
  <c r="AQ66" i="7"/>
  <c r="AP66" i="7" s="1"/>
  <c r="AQ67" i="7"/>
  <c r="AP67" i="7" s="1"/>
  <c r="AQ68" i="7"/>
  <c r="AP94" i="7"/>
  <c r="R96" i="7"/>
  <c r="AP97" i="7"/>
  <c r="R99" i="7"/>
  <c r="AP100" i="7"/>
  <c r="AP103" i="7"/>
  <c r="R105" i="7"/>
  <c r="AP106" i="7"/>
  <c r="R108" i="7"/>
  <c r="K6" i="4"/>
  <c r="K7" i="4" s="1"/>
  <c r="K8" i="4" s="1"/>
  <c r="K9" i="4" s="1"/>
  <c r="K10" i="4" s="1"/>
  <c r="K11" i="4" s="1"/>
  <c r="K12" i="4" s="1"/>
  <c r="K13" i="4" s="1"/>
  <c r="K14" i="4" s="1"/>
  <c r="K15" i="4" s="1"/>
  <c r="K16" i="4" s="1"/>
  <c r="K17" i="4" s="1"/>
  <c r="K18" i="4" s="1"/>
  <c r="K19" i="4" s="1"/>
  <c r="K20" i="4" s="1"/>
  <c r="K21" i="4" s="1"/>
  <c r="K22" i="4" s="1"/>
  <c r="K23" i="4" s="1"/>
  <c r="K24" i="4" s="1"/>
  <c r="K25" i="4" s="1"/>
  <c r="K26" i="4" s="1"/>
  <c r="K27" i="4" s="1"/>
  <c r="K28" i="4" s="1"/>
  <c r="K29" i="4" s="1"/>
  <c r="K30" i="4" s="1"/>
  <c r="K31" i="4" s="1"/>
  <c r="K32" i="4" s="1"/>
  <c r="K33" i="4" s="1"/>
  <c r="K34" i="4" s="1"/>
  <c r="K35" i="4" s="1"/>
  <c r="K36" i="4" s="1"/>
  <c r="K37" i="4" s="1"/>
  <c r="K38" i="4" s="1"/>
  <c r="K39" i="4" s="1"/>
  <c r="K40" i="4" s="1"/>
  <c r="K41" i="4" s="1"/>
  <c r="K42" i="4" s="1"/>
  <c r="K43" i="4" s="1"/>
  <c r="K44" i="4" s="1"/>
  <c r="K45" i="4" s="1"/>
  <c r="K46" i="4" s="1"/>
  <c r="K47" i="4" s="1"/>
  <c r="K48" i="4" s="1"/>
  <c r="K49" i="4" s="1"/>
  <c r="K50" i="4" s="1"/>
  <c r="K51" i="4" s="1"/>
  <c r="K52" i="4" s="1"/>
  <c r="K53" i="4" s="1"/>
  <c r="K54" i="4" s="1"/>
  <c r="K55" i="4" s="1"/>
  <c r="K56" i="4" s="1"/>
  <c r="K57" i="4" s="1"/>
  <c r="K58" i="4" s="1"/>
  <c r="K59" i="4" s="1"/>
  <c r="K60" i="4" s="1"/>
  <c r="K61" i="4" s="1"/>
  <c r="K62" i="4" s="1"/>
  <c r="K63" i="4" s="1"/>
  <c r="K64" i="4" s="1"/>
  <c r="K65" i="4" s="1"/>
  <c r="K66" i="4" s="1"/>
  <c r="K67" i="4" s="1"/>
  <c r="K68" i="4" s="1"/>
  <c r="K69" i="4" s="1"/>
  <c r="K70" i="4" s="1"/>
  <c r="K71" i="4" s="1"/>
  <c r="K72" i="4" s="1"/>
  <c r="K73" i="4" s="1"/>
  <c r="K74" i="4" s="1"/>
  <c r="K75" i="4" s="1"/>
  <c r="K76" i="4" s="1"/>
  <c r="K77" i="4" s="1"/>
  <c r="K78" i="4" s="1"/>
  <c r="K79" i="4" s="1"/>
  <c r="K80" i="4" s="1"/>
  <c r="K81" i="4" s="1"/>
  <c r="K82" i="4" s="1"/>
  <c r="K83" i="4" s="1"/>
  <c r="K84" i="4" s="1"/>
  <c r="K85" i="4" s="1"/>
  <c r="K86" i="4" s="1"/>
  <c r="K87" i="4" s="1"/>
  <c r="K88" i="4" s="1"/>
  <c r="K89" i="4" s="1"/>
  <c r="K90" i="4" s="1"/>
  <c r="K91" i="4" s="1"/>
  <c r="K92" i="4" s="1"/>
  <c r="K93" i="4" s="1"/>
  <c r="K94" i="4" s="1"/>
  <c r="K95" i="4" s="1"/>
  <c r="K96" i="4" s="1"/>
  <c r="K97" i="4" s="1"/>
  <c r="K98" i="4" s="1"/>
  <c r="K99" i="4" s="1"/>
  <c r="K100" i="4" s="1"/>
  <c r="K101" i="4" s="1"/>
  <c r="K102" i="4" s="1"/>
  <c r="K103" i="4" s="1"/>
  <c r="K104" i="4" s="1"/>
  <c r="K105" i="4" s="1"/>
  <c r="K106" i="4" s="1"/>
  <c r="K107" i="4" s="1"/>
  <c r="K108" i="4" s="1"/>
  <c r="K109" i="4" s="1"/>
  <c r="K110" i="4" s="1"/>
  <c r="K111" i="4" s="1"/>
  <c r="K112" i="4" s="1"/>
  <c r="K113" i="4" s="1"/>
  <c r="K114" i="4" s="1"/>
  <c r="K115" i="4" s="1"/>
  <c r="K116" i="4" s="1"/>
  <c r="K117" i="4" s="1"/>
  <c r="K118" i="4" s="1"/>
  <c r="K119" i="4" s="1"/>
  <c r="K120" i="4" s="1"/>
  <c r="K121" i="4" s="1"/>
  <c r="K122" i="4" s="1"/>
  <c r="K123" i="4" s="1"/>
  <c r="K124" i="4" s="1"/>
  <c r="K125" i="4" s="1"/>
  <c r="K126" i="4" s="1"/>
  <c r="K127" i="4" s="1"/>
  <c r="K128" i="4" s="1"/>
  <c r="K129" i="4" s="1"/>
  <c r="K130" i="4" s="1"/>
  <c r="K131" i="4" s="1"/>
  <c r="K132" i="4" s="1"/>
  <c r="K133" i="4" s="1"/>
  <c r="K134" i="4" s="1"/>
  <c r="K135" i="4" s="1"/>
  <c r="K136" i="4" s="1"/>
  <c r="K137" i="4" s="1"/>
  <c r="K138" i="4" s="1"/>
  <c r="K139" i="4" s="1"/>
  <c r="K140" i="4" s="1"/>
  <c r="K141" i="4" s="1"/>
  <c r="K142" i="4" s="1"/>
  <c r="K143" i="4" s="1"/>
  <c r="K144" i="4" s="1"/>
  <c r="K145" i="4" s="1"/>
  <c r="K146" i="4" s="1"/>
  <c r="K147" i="4" s="1"/>
  <c r="K148" i="4" s="1"/>
  <c r="K149" i="4" s="1"/>
  <c r="K150" i="4" s="1"/>
  <c r="K151" i="4" s="1"/>
  <c r="K152" i="4" s="1"/>
  <c r="K153" i="4" s="1"/>
  <c r="K154" i="4" s="1"/>
  <c r="K155" i="4" s="1"/>
  <c r="X40" i="4"/>
  <c r="AA54" i="4"/>
  <c r="AA72" i="4"/>
  <c r="AA81" i="4"/>
  <c r="AA117" i="4"/>
  <c r="AP8" i="7"/>
  <c r="AP9" i="7"/>
  <c r="L10" i="7"/>
  <c r="J10" i="7" s="1"/>
  <c r="B11" i="7"/>
  <c r="AP12" i="7"/>
  <c r="L13" i="7"/>
  <c r="J13" i="7" s="1"/>
  <c r="AP15" i="7"/>
  <c r="L16" i="7"/>
  <c r="AP18" i="7"/>
  <c r="L19" i="7"/>
  <c r="J19" i="7" s="1"/>
  <c r="AP21" i="7"/>
  <c r="L22" i="7"/>
  <c r="J22" i="7" s="1"/>
  <c r="B23" i="7"/>
  <c r="L25" i="7"/>
  <c r="J25" i="7" s="1"/>
  <c r="AP27" i="7"/>
  <c r="L28" i="7"/>
  <c r="AP30" i="7"/>
  <c r="L31" i="7"/>
  <c r="J31" i="7" s="1"/>
  <c r="AP33" i="7"/>
  <c r="L34" i="7"/>
  <c r="J34" i="7" s="1"/>
  <c r="AP36" i="7"/>
  <c r="L37" i="7"/>
  <c r="J37" i="7" s="1"/>
  <c r="B38" i="7"/>
  <c r="AP39" i="7"/>
  <c r="L40" i="7"/>
  <c r="J40" i="7" s="1"/>
  <c r="L43" i="7"/>
  <c r="J43" i="7" s="1"/>
  <c r="AP45" i="7"/>
  <c r="L46" i="7"/>
  <c r="J46" i="7" s="1"/>
  <c r="B47" i="7"/>
  <c r="AP48" i="7"/>
  <c r="L49" i="7"/>
  <c r="J49" i="7" s="1"/>
  <c r="AP51" i="7"/>
  <c r="L52" i="7"/>
  <c r="AP54" i="7"/>
  <c r="J55" i="7"/>
  <c r="AQ59" i="7"/>
  <c r="AP59" i="7" s="1"/>
  <c r="J61" i="7"/>
  <c r="AB61" i="7"/>
  <c r="Z61" i="7" s="1"/>
  <c r="AB62" i="7"/>
  <c r="Z62" i="7" s="1"/>
  <c r="AP62" i="7"/>
  <c r="AB63" i="7"/>
  <c r="Z63" i="7" s="1"/>
  <c r="AB64" i="7"/>
  <c r="Z64" i="7" s="1"/>
  <c r="AB65" i="7"/>
  <c r="Z65" i="7" s="1"/>
  <c r="AB66" i="7"/>
  <c r="Z66" i="7" s="1"/>
  <c r="AB67" i="7"/>
  <c r="Z67" i="7" s="1"/>
  <c r="AB68" i="7"/>
  <c r="Z68" i="7" s="1"/>
  <c r="AP68" i="7"/>
  <c r="AB69" i="7"/>
  <c r="Z69" i="7" s="1"/>
  <c r="AP69" i="7"/>
  <c r="AB70" i="7"/>
  <c r="Z70" i="7" s="1"/>
  <c r="AP70" i="7"/>
  <c r="AB71" i="7"/>
  <c r="AP71" i="7"/>
  <c r="AB72" i="7"/>
  <c r="Z72" i="7" s="1"/>
  <c r="AP72" i="7"/>
  <c r="AB73" i="7"/>
  <c r="Z73" i="7" s="1"/>
  <c r="AP73" i="7"/>
  <c r="AB74" i="7"/>
  <c r="Z74" i="7" s="1"/>
  <c r="AP74" i="7"/>
  <c r="AB75" i="7"/>
  <c r="Z75" i="7" s="1"/>
  <c r="AP75" i="7"/>
  <c r="AB76" i="7"/>
  <c r="Z76" i="7" s="1"/>
  <c r="AP76" i="7"/>
  <c r="AB77" i="7"/>
  <c r="Z77" i="7" s="1"/>
  <c r="AP77" i="7"/>
  <c r="AB78" i="7"/>
  <c r="Z78" i="7" s="1"/>
  <c r="AP78" i="7"/>
  <c r="AB79" i="7"/>
  <c r="Z79" i="7" s="1"/>
  <c r="AP79" i="7"/>
  <c r="AB80" i="7"/>
  <c r="Z80" i="7" s="1"/>
  <c r="AP80" i="7"/>
  <c r="AB81" i="7"/>
  <c r="Z81" i="7" s="1"/>
  <c r="AP81" i="7"/>
  <c r="AB82" i="7"/>
  <c r="Z82" i="7" s="1"/>
  <c r="AP82" i="7"/>
  <c r="AB83" i="7"/>
  <c r="Z83" i="7" s="1"/>
  <c r="AB84" i="7"/>
  <c r="Z84" i="7" s="1"/>
  <c r="AP84" i="7"/>
  <c r="AB85" i="7"/>
  <c r="Z85" i="7" s="1"/>
  <c r="AP85" i="7"/>
  <c r="AB86" i="7"/>
  <c r="Z86" i="7" s="1"/>
  <c r="AB87" i="7"/>
  <c r="Z87" i="7" s="1"/>
  <c r="AP87" i="7"/>
  <c r="AB88" i="7"/>
  <c r="Z88" i="7" s="1"/>
  <c r="AP88" i="7"/>
  <c r="AB89" i="7"/>
  <c r="Z89" i="7" s="1"/>
  <c r="AB90" i="7"/>
  <c r="Z90" i="7" s="1"/>
  <c r="AP90" i="7"/>
  <c r="AB91" i="7"/>
  <c r="Z91" i="7" s="1"/>
  <c r="AP91" i="7"/>
  <c r="AB92" i="7"/>
  <c r="Z92" i="7" s="1"/>
  <c r="AP92" i="7"/>
  <c r="AB93" i="7"/>
  <c r="Z93" i="7" s="1"/>
  <c r="AP93" i="7"/>
  <c r="AB94" i="7"/>
  <c r="Z94" i="7" s="1"/>
  <c r="Z110" i="7"/>
  <c r="AQ110" i="7"/>
  <c r="AQ111" i="7"/>
  <c r="AQ112" i="7"/>
  <c r="AP112" i="7" s="1"/>
  <c r="S121" i="7"/>
  <c r="R121" i="7" s="1"/>
  <c r="S123" i="7"/>
  <c r="R123" i="7" s="1"/>
  <c r="Z124" i="7"/>
  <c r="S125" i="7"/>
  <c r="R125" i="7" s="1"/>
  <c r="Z126" i="7"/>
  <c r="J16" i="7"/>
  <c r="J28" i="7"/>
  <c r="J52" i="7"/>
  <c r="B56" i="7"/>
  <c r="J60" i="7"/>
  <c r="Z71" i="7"/>
  <c r="R95" i="7"/>
  <c r="AP96" i="7"/>
  <c r="AP105" i="7"/>
  <c r="R107" i="7"/>
  <c r="AP108" i="7"/>
  <c r="R110" i="7"/>
  <c r="AB111" i="7"/>
  <c r="Z111" i="7" s="1"/>
  <c r="AB112" i="7"/>
  <c r="Z112" i="7" s="1"/>
  <c r="Z113" i="7"/>
  <c r="AP115" i="7"/>
  <c r="AB116" i="7"/>
  <c r="D121" i="7"/>
  <c r="AI122" i="7"/>
  <c r="AH122" i="7" s="1"/>
  <c r="R126" i="7"/>
  <c r="J400" i="7"/>
  <c r="AA6" i="4"/>
  <c r="AA15" i="4"/>
  <c r="AA24" i="4"/>
  <c r="AA33" i="4"/>
  <c r="AA42" i="4"/>
  <c r="AA51" i="4"/>
  <c r="AA60" i="4"/>
  <c r="AA69" i="4"/>
  <c r="X73" i="4"/>
  <c r="AA78" i="4"/>
  <c r="X82" i="4"/>
  <c r="AA87" i="4"/>
  <c r="AA96" i="4"/>
  <c r="AA105" i="4"/>
  <c r="AA114" i="4"/>
  <c r="AA123" i="4"/>
  <c r="AA132" i="4"/>
  <c r="AA141" i="4"/>
  <c r="AA150" i="4"/>
  <c r="AA7" i="7"/>
  <c r="Z7" i="7" s="1"/>
  <c r="L9" i="7"/>
  <c r="J9" i="7" s="1"/>
  <c r="AP11" i="7"/>
  <c r="L12" i="7"/>
  <c r="J12" i="7" s="1"/>
  <c r="B13" i="7"/>
  <c r="AP14" i="7"/>
  <c r="L15" i="7"/>
  <c r="J15" i="7" s="1"/>
  <c r="AP17" i="7"/>
  <c r="L18" i="7"/>
  <c r="J18" i="7" s="1"/>
  <c r="AP20" i="7"/>
  <c r="L21" i="7"/>
  <c r="J21" i="7" s="1"/>
  <c r="L24" i="7"/>
  <c r="J24" i="7" s="1"/>
  <c r="AP26" i="7"/>
  <c r="L27" i="7"/>
  <c r="J27" i="7" s="1"/>
  <c r="AP29" i="7"/>
  <c r="L30" i="7"/>
  <c r="J30" i="7" s="1"/>
  <c r="B31" i="7"/>
  <c r="L33" i="7"/>
  <c r="J33" i="7" s="1"/>
  <c r="AP35" i="7"/>
  <c r="L36" i="7"/>
  <c r="J36" i="7" s="1"/>
  <c r="AP38" i="7"/>
  <c r="L39" i="7"/>
  <c r="J39" i="7" s="1"/>
  <c r="L42" i="7"/>
  <c r="J42" i="7" s="1"/>
  <c r="AP44" i="7"/>
  <c r="L45" i="7"/>
  <c r="J45" i="7" s="1"/>
  <c r="AP47" i="7"/>
  <c r="L48" i="7"/>
  <c r="J48" i="7" s="1"/>
  <c r="AP50" i="7"/>
  <c r="L51" i="7"/>
  <c r="J51" i="7" s="1"/>
  <c r="L54" i="7"/>
  <c r="J54" i="7" s="1"/>
  <c r="AQ57" i="7"/>
  <c r="AP57" i="7" s="1"/>
  <c r="AP58" i="7"/>
  <c r="R111" i="7"/>
  <c r="Z116" i="7"/>
  <c r="R131" i="7"/>
  <c r="AR131" i="7"/>
  <c r="AB132" i="7"/>
  <c r="Z132" i="7" s="1"/>
  <c r="AR132" i="7"/>
  <c r="AQ134" i="7"/>
  <c r="AI143" i="7"/>
  <c r="AH143" i="7" s="1"/>
  <c r="T144" i="7"/>
  <c r="R144" i="7" s="1"/>
  <c r="S145" i="7"/>
  <c r="R145" i="7" s="1"/>
  <c r="S147" i="7"/>
  <c r="R147" i="7" s="1"/>
  <c r="S149" i="7"/>
  <c r="R149" i="7" s="1"/>
  <c r="AR149" i="7"/>
  <c r="AB150" i="7"/>
  <c r="Z150" i="7" s="1"/>
  <c r="AR150" i="7"/>
  <c r="AQ152" i="7"/>
  <c r="AQ153" i="7"/>
  <c r="D160" i="7"/>
  <c r="T160" i="7"/>
  <c r="R160" i="7" s="1"/>
  <c r="AI161" i="7"/>
  <c r="AH161" i="7" s="1"/>
  <c r="S163" i="7"/>
  <c r="R163" i="7" s="1"/>
  <c r="R165" i="7"/>
  <c r="S167" i="7"/>
  <c r="R167" i="7" s="1"/>
  <c r="AR167" i="7"/>
  <c r="AB168" i="7"/>
  <c r="Z168" i="7" s="1"/>
  <c r="Z170" i="7"/>
  <c r="AQ170" i="7"/>
  <c r="AQ171" i="7"/>
  <c r="AQ172" i="7"/>
  <c r="AP172" i="7" s="1"/>
  <c r="AQ188" i="7"/>
  <c r="AP188" i="7" s="1"/>
  <c r="AQ189" i="7"/>
  <c r="AQ190" i="7"/>
  <c r="Z193" i="7"/>
  <c r="S195" i="7"/>
  <c r="R195" i="7" s="1"/>
  <c r="T197" i="7"/>
  <c r="R197" i="7" s="1"/>
  <c r="S202" i="7"/>
  <c r="R202" i="7" s="1"/>
  <c r="AQ205" i="7"/>
  <c r="AP205" i="7" s="1"/>
  <c r="Z207" i="7"/>
  <c r="S208" i="7"/>
  <c r="R208" i="7" s="1"/>
  <c r="T209" i="7"/>
  <c r="R209" i="7" s="1"/>
  <c r="AQ211" i="7"/>
  <c r="AP211" i="7" s="1"/>
  <c r="AR212" i="7"/>
  <c r="AP212" i="7" s="1"/>
  <c r="S214" i="7"/>
  <c r="R214" i="7" s="1"/>
  <c r="T215" i="7"/>
  <c r="R215" i="7" s="1"/>
  <c r="Z219" i="7"/>
  <c r="S220" i="7"/>
  <c r="R220" i="7" s="1"/>
  <c r="R226" i="7"/>
  <c r="S232" i="7"/>
  <c r="R232" i="7" s="1"/>
  <c r="T233" i="7"/>
  <c r="R233" i="7" s="1"/>
  <c r="S238" i="7"/>
  <c r="R238" i="7" s="1"/>
  <c r="T239" i="7"/>
  <c r="R239" i="7" s="1"/>
  <c r="AQ241" i="7"/>
  <c r="AP241" i="7" s="1"/>
  <c r="S244" i="7"/>
  <c r="R244" i="7" s="1"/>
  <c r="T245" i="7"/>
  <c r="R245" i="7" s="1"/>
  <c r="AP247" i="7"/>
  <c r="AB248" i="7"/>
  <c r="Z248" i="7" s="1"/>
  <c r="Z249" i="7"/>
  <c r="T251" i="7"/>
  <c r="R251" i="7" s="1"/>
  <c r="AP253" i="7"/>
  <c r="AB254" i="7"/>
  <c r="Z255" i="7"/>
  <c r="R256" i="7"/>
  <c r="T257" i="7"/>
  <c r="R257" i="7" s="1"/>
  <c r="AP259" i="7"/>
  <c r="AB260" i="7"/>
  <c r="Z260" i="7" s="1"/>
  <c r="AR260" i="7"/>
  <c r="AP260" i="7" s="1"/>
  <c r="R262" i="7"/>
  <c r="T263" i="7"/>
  <c r="R263" i="7" s="1"/>
  <c r="AB266" i="7"/>
  <c r="Z266" i="7" s="1"/>
  <c r="AR266" i="7"/>
  <c r="AP266" i="7" s="1"/>
  <c r="T269" i="7"/>
  <c r="R269" i="7" s="1"/>
  <c r="AP271" i="7"/>
  <c r="AB272" i="7"/>
  <c r="Z272" i="7" s="1"/>
  <c r="AR272" i="7"/>
  <c r="AP272" i="7" s="1"/>
  <c r="R274" i="7"/>
  <c r="T275" i="7"/>
  <c r="R275" i="7" s="1"/>
  <c r="AB278" i="7"/>
  <c r="AR278" i="7"/>
  <c r="AP278" i="7" s="1"/>
  <c r="Z279" i="7"/>
  <c r="T281" i="7"/>
  <c r="R281" i="7" s="1"/>
  <c r="AB284" i="7"/>
  <c r="Z284" i="7" s="1"/>
  <c r="AR284" i="7"/>
  <c r="AP284" i="7" s="1"/>
  <c r="T287" i="7"/>
  <c r="R287" i="7" s="1"/>
  <c r="AB290" i="7"/>
  <c r="Z290" i="7" s="1"/>
  <c r="AR290" i="7"/>
  <c r="AP290" i="7" s="1"/>
  <c r="Z291" i="7"/>
  <c r="T293" i="7"/>
  <c r="R293" i="7" s="1"/>
  <c r="AP295" i="7"/>
  <c r="AB296" i="7"/>
  <c r="Z296" i="7" s="1"/>
  <c r="AR296" i="7"/>
  <c r="AP296" i="7" s="1"/>
  <c r="T299" i="7"/>
  <c r="R299" i="7" s="1"/>
  <c r="AB302" i="7"/>
  <c r="Z302" i="7" s="1"/>
  <c r="AR302" i="7"/>
  <c r="AP302" i="7" s="1"/>
  <c r="T305" i="7"/>
  <c r="R305" i="7" s="1"/>
  <c r="AB308" i="7"/>
  <c r="AR308" i="7"/>
  <c r="AP308" i="7" s="1"/>
  <c r="Z309" i="7"/>
  <c r="T311" i="7"/>
  <c r="R311" i="7" s="1"/>
  <c r="AP313" i="7"/>
  <c r="AB314" i="7"/>
  <c r="Z314" i="7" s="1"/>
  <c r="AR314" i="7"/>
  <c r="AP314" i="7" s="1"/>
  <c r="Z315" i="7"/>
  <c r="T317" i="7"/>
  <c r="R317" i="7" s="1"/>
  <c r="AP319" i="7"/>
  <c r="AB320" i="7"/>
  <c r="Z320" i="7" s="1"/>
  <c r="AR320" i="7"/>
  <c r="AP320" i="7" s="1"/>
  <c r="R322" i="7"/>
  <c r="T323" i="7"/>
  <c r="R323" i="7" s="1"/>
  <c r="AP325" i="7"/>
  <c r="AB326" i="7"/>
  <c r="Z326" i="7" s="1"/>
  <c r="AR326" i="7"/>
  <c r="AP326" i="7" s="1"/>
  <c r="T329" i="7"/>
  <c r="R329" i="7" s="1"/>
  <c r="AP331" i="7"/>
  <c r="AB332" i="7"/>
  <c r="Z332" i="7" s="1"/>
  <c r="AR332" i="7"/>
  <c r="AP332" i="7" s="1"/>
  <c r="T335" i="7"/>
  <c r="R335" i="7" s="1"/>
  <c r="AP337" i="7"/>
  <c r="AB338" i="7"/>
  <c r="AR338" i="7"/>
  <c r="AP338" i="7" s="1"/>
  <c r="T341" i="7"/>
  <c r="R341" i="7" s="1"/>
  <c r="AP343" i="7"/>
  <c r="AB344" i="7"/>
  <c r="Z344" i="7" s="1"/>
  <c r="AR344" i="7"/>
  <c r="AP344" i="7" s="1"/>
  <c r="Z345" i="7"/>
  <c r="T347" i="7"/>
  <c r="R347" i="7" s="1"/>
  <c r="AB350" i="7"/>
  <c r="Z350" i="7" s="1"/>
  <c r="AR350" i="7"/>
  <c r="AP350" i="7" s="1"/>
  <c r="R352" i="7"/>
  <c r="T353" i="7"/>
  <c r="R353" i="7" s="1"/>
  <c r="AB356" i="7"/>
  <c r="Z356" i="7" s="1"/>
  <c r="AR356" i="7"/>
  <c r="AP356" i="7" s="1"/>
  <c r="T359" i="7"/>
  <c r="R359" i="7" s="1"/>
  <c r="AB362" i="7"/>
  <c r="Z362" i="7" s="1"/>
  <c r="AR362" i="7"/>
  <c r="AP362" i="7" s="1"/>
  <c r="T365" i="7"/>
  <c r="R365" i="7" s="1"/>
  <c r="AP367" i="7"/>
  <c r="AB368" i="7"/>
  <c r="Z368" i="7" s="1"/>
  <c r="AR368" i="7"/>
  <c r="AP368" i="7" s="1"/>
  <c r="T371" i="7"/>
  <c r="R371" i="7" s="1"/>
  <c r="AP373" i="7"/>
  <c r="AB374" i="7"/>
  <c r="Z374" i="7" s="1"/>
  <c r="AR374" i="7"/>
  <c r="AP374" i="7" s="1"/>
  <c r="T377" i="7"/>
  <c r="R377" i="7" s="1"/>
  <c r="AB380" i="7"/>
  <c r="Z380" i="7" s="1"/>
  <c r="AR380" i="7"/>
  <c r="AP380" i="7" s="1"/>
  <c r="Z381" i="7"/>
  <c r="T383" i="7"/>
  <c r="R383" i="7" s="1"/>
  <c r="AP385" i="7"/>
  <c r="AB386" i="7"/>
  <c r="Z386" i="7" s="1"/>
  <c r="AR386" i="7"/>
  <c r="AP386" i="7" s="1"/>
  <c r="Z387" i="7"/>
  <c r="T389" i="7"/>
  <c r="R389" i="7" s="1"/>
  <c r="AP391" i="7"/>
  <c r="AB392" i="7"/>
  <c r="Z392" i="7" s="1"/>
  <c r="AR392" i="7"/>
  <c r="AP392" i="7" s="1"/>
  <c r="T395" i="7"/>
  <c r="R395" i="7" s="1"/>
  <c r="L397" i="7"/>
  <c r="J397" i="7" s="1"/>
  <c r="C399" i="7"/>
  <c r="B399" i="7" s="1"/>
  <c r="T401" i="7"/>
  <c r="R401" i="7" s="1"/>
  <c r="AJ401" i="7"/>
  <c r="AH401" i="7" s="1"/>
  <c r="L403" i="7"/>
  <c r="J403" i="7" s="1"/>
  <c r="C405" i="7"/>
  <c r="B405" i="7" s="1"/>
  <c r="T407" i="7"/>
  <c r="R407" i="7" s="1"/>
  <c r="AJ407" i="7"/>
  <c r="AH407" i="7" s="1"/>
  <c r="L409" i="7"/>
  <c r="J409" i="7" s="1"/>
  <c r="C411" i="7"/>
  <c r="B411" i="7" s="1"/>
  <c r="T413" i="7"/>
  <c r="R413" i="7" s="1"/>
  <c r="AJ413" i="7"/>
  <c r="AH413" i="7" s="1"/>
  <c r="R414" i="7"/>
  <c r="L415" i="7"/>
  <c r="J415" i="7" s="1"/>
  <c r="C417" i="7"/>
  <c r="B417" i="7" s="1"/>
  <c r="AJ418" i="7"/>
  <c r="AH418" i="7" s="1"/>
  <c r="L420" i="7"/>
  <c r="J420" i="7" s="1"/>
  <c r="AJ421" i="7"/>
  <c r="AH421" i="7" s="1"/>
  <c r="L423" i="7"/>
  <c r="J423" i="7" s="1"/>
  <c r="AJ424" i="7"/>
  <c r="AH424" i="7" s="1"/>
  <c r="L426" i="7"/>
  <c r="J426" i="7" s="1"/>
  <c r="AJ427" i="7"/>
  <c r="AH427" i="7" s="1"/>
  <c r="L429" i="7"/>
  <c r="J429" i="7" s="1"/>
  <c r="AJ430" i="7"/>
  <c r="AH430" i="7" s="1"/>
  <c r="L432" i="7"/>
  <c r="J432" i="7" s="1"/>
  <c r="AJ433" i="7"/>
  <c r="AH433" i="7" s="1"/>
  <c r="L435" i="7"/>
  <c r="J435" i="7" s="1"/>
  <c r="AJ436" i="7"/>
  <c r="AH436" i="7" s="1"/>
  <c r="AA438" i="7"/>
  <c r="Z438" i="7" s="1"/>
  <c r="J439" i="7"/>
  <c r="AA439" i="7"/>
  <c r="Z439" i="7" s="1"/>
  <c r="J440" i="7"/>
  <c r="AA440" i="7"/>
  <c r="Z440" i="7" s="1"/>
  <c r="J441" i="7"/>
  <c r="AA441" i="7"/>
  <c r="Z441" i="7" s="1"/>
  <c r="J442" i="7"/>
  <c r="AA442" i="7"/>
  <c r="Z442" i="7" s="1"/>
  <c r="AA443" i="7"/>
  <c r="Z443" i="7" s="1"/>
  <c r="J444" i="7"/>
  <c r="AA444" i="7"/>
  <c r="Z444" i="7" s="1"/>
  <c r="AA445" i="7"/>
  <c r="Z445" i="7" s="1"/>
  <c r="J446" i="7"/>
  <c r="AA446" i="7"/>
  <c r="Z446" i="7" s="1"/>
  <c r="AA447" i="7"/>
  <c r="Z447" i="7" s="1"/>
  <c r="J448" i="7"/>
  <c r="AA448" i="7"/>
  <c r="Z448" i="7" s="1"/>
  <c r="J449" i="7"/>
  <c r="AA449" i="7"/>
  <c r="Z449" i="7" s="1"/>
  <c r="J450" i="7"/>
  <c r="AA450" i="7"/>
  <c r="Z450" i="7" s="1"/>
  <c r="J451" i="7"/>
  <c r="AA451" i="7"/>
  <c r="Z451" i="7" s="1"/>
  <c r="AA452" i="7"/>
  <c r="Z452" i="7" s="1"/>
  <c r="AA453" i="7"/>
  <c r="Z453" i="7" s="1"/>
  <c r="J454" i="7"/>
  <c r="AA454" i="7"/>
  <c r="Z454" i="7" s="1"/>
  <c r="J455" i="7"/>
  <c r="AA455" i="7"/>
  <c r="Z455" i="7" s="1"/>
  <c r="J456" i="7"/>
  <c r="AA456" i="7"/>
  <c r="Z456" i="7" s="1"/>
  <c r="J457" i="7"/>
  <c r="AA457" i="7"/>
  <c r="Z457" i="7" s="1"/>
  <c r="AA458" i="7"/>
  <c r="Z458" i="7" s="1"/>
  <c r="J459" i="7"/>
  <c r="AA459" i="7"/>
  <c r="Z459" i="7" s="1"/>
  <c r="AA460" i="7"/>
  <c r="Z460" i="7" s="1"/>
  <c r="AA461" i="7"/>
  <c r="Z461" i="7" s="1"/>
  <c r="AA462" i="7"/>
  <c r="Z462" i="7" s="1"/>
  <c r="AA463" i="7"/>
  <c r="Z463" i="7" s="1"/>
  <c r="AA464" i="7"/>
  <c r="Z464" i="7" s="1"/>
  <c r="AA465" i="7"/>
  <c r="Z465" i="7" s="1"/>
  <c r="AA466" i="7"/>
  <c r="Z466" i="7" s="1"/>
  <c r="AA467" i="7"/>
  <c r="Z467" i="7" s="1"/>
  <c r="AA468" i="7"/>
  <c r="Z468" i="7" s="1"/>
  <c r="AA469" i="7"/>
  <c r="Z469" i="7" s="1"/>
  <c r="AA470" i="7"/>
  <c r="Z470" i="7" s="1"/>
  <c r="AA471" i="7"/>
  <c r="Z471" i="7" s="1"/>
  <c r="AA472" i="7"/>
  <c r="Z472" i="7" s="1"/>
  <c r="AA473" i="7"/>
  <c r="Z473" i="7" s="1"/>
  <c r="AA474" i="7"/>
  <c r="Z474" i="7" s="1"/>
  <c r="AA475" i="7"/>
  <c r="Z475" i="7" s="1"/>
  <c r="AA476" i="7"/>
  <c r="Z476" i="7" s="1"/>
  <c r="AA477" i="7"/>
  <c r="Z477" i="7" s="1"/>
  <c r="AA478" i="7"/>
  <c r="Z478" i="7" s="1"/>
  <c r="AA479" i="7"/>
  <c r="Z479" i="7" s="1"/>
  <c r="AA480" i="7"/>
  <c r="Z480" i="7" s="1"/>
  <c r="AA481" i="7"/>
  <c r="Z481" i="7" s="1"/>
  <c r="AA482" i="7"/>
  <c r="Z482" i="7" s="1"/>
  <c r="AA483" i="7"/>
  <c r="Z483" i="7" s="1"/>
  <c r="AA484" i="7"/>
  <c r="Z484" i="7" s="1"/>
  <c r="AA485" i="7"/>
  <c r="Z485" i="7" s="1"/>
  <c r="L486" i="7"/>
  <c r="J486" i="7" s="1"/>
  <c r="J488" i="7"/>
  <c r="L491" i="7"/>
  <c r="J491" i="7" s="1"/>
  <c r="L494" i="7"/>
  <c r="J494" i="7" s="1"/>
  <c r="L496" i="7"/>
  <c r="J496" i="7" s="1"/>
  <c r="S505" i="7"/>
  <c r="T505" i="7"/>
  <c r="AQ513" i="7"/>
  <c r="AR513" i="7"/>
  <c r="AQ515" i="7"/>
  <c r="AR515" i="7"/>
  <c r="J520" i="7"/>
  <c r="AI523" i="7"/>
  <c r="AJ523" i="7"/>
  <c r="J524" i="7"/>
  <c r="R130" i="7"/>
  <c r="R132" i="7"/>
  <c r="S134" i="7"/>
  <c r="R134" i="7" s="1"/>
  <c r="AB135" i="7"/>
  <c r="Z135" i="7" s="1"/>
  <c r="AQ137" i="7"/>
  <c r="AQ138" i="7"/>
  <c r="AP139" i="7"/>
  <c r="D145" i="7"/>
  <c r="B145" i="7" s="1"/>
  <c r="AI146" i="7"/>
  <c r="AH146" i="7" s="1"/>
  <c r="S150" i="7"/>
  <c r="R150" i="7" s="1"/>
  <c r="Z151" i="7"/>
  <c r="AB153" i="7"/>
  <c r="Z153" i="7" s="1"/>
  <c r="Z155" i="7"/>
  <c r="AQ155" i="7"/>
  <c r="AP155" i="7" s="1"/>
  <c r="AQ156" i="7"/>
  <c r="AB158" i="7"/>
  <c r="Z158" i="7" s="1"/>
  <c r="D163" i="7"/>
  <c r="AI164" i="7"/>
  <c r="AH164" i="7" s="1"/>
  <c r="S166" i="7"/>
  <c r="R166" i="7" s="1"/>
  <c r="S168" i="7"/>
  <c r="R168" i="7" s="1"/>
  <c r="S170" i="7"/>
  <c r="R170" i="7" s="1"/>
  <c r="AB171" i="7"/>
  <c r="Z171" i="7" s="1"/>
  <c r="AB172" i="7"/>
  <c r="Z172" i="7" s="1"/>
  <c r="AQ173" i="7"/>
  <c r="AQ174" i="7"/>
  <c r="AB176" i="7"/>
  <c r="Z176" i="7" s="1"/>
  <c r="AB187" i="7"/>
  <c r="Z187" i="7" s="1"/>
  <c r="AB188" i="7"/>
  <c r="Z188" i="7" s="1"/>
  <c r="AB189" i="7"/>
  <c r="Z189" i="7" s="1"/>
  <c r="Z190" i="7"/>
  <c r="S201" i="7"/>
  <c r="R201" i="7" s="1"/>
  <c r="AB205" i="7"/>
  <c r="Z205" i="7" s="1"/>
  <c r="Z206" i="7"/>
  <c r="AP210" i="7"/>
  <c r="AB211" i="7"/>
  <c r="Z211" i="7" s="1"/>
  <c r="R213" i="7"/>
  <c r="Z218" i="7"/>
  <c r="AP222" i="7"/>
  <c r="AB223" i="7"/>
  <c r="Z223" i="7" s="1"/>
  <c r="S225" i="7"/>
  <c r="R225" i="7" s="1"/>
  <c r="AQ228" i="7"/>
  <c r="AP228" i="7" s="1"/>
  <c r="Z230" i="7"/>
  <c r="R231" i="7"/>
  <c r="Z236" i="7"/>
  <c r="S237" i="7"/>
  <c r="R237" i="7" s="1"/>
  <c r="AB241" i="7"/>
  <c r="Z241" i="7" s="1"/>
  <c r="Z242" i="7"/>
  <c r="Z254" i="7"/>
  <c r="S255" i="7"/>
  <c r="R255" i="7" s="1"/>
  <c r="Z278" i="7"/>
  <c r="R279" i="7"/>
  <c r="R285" i="7"/>
  <c r="AP288" i="7"/>
  <c r="R291" i="7"/>
  <c r="AP294" i="7"/>
  <c r="R297" i="7"/>
  <c r="R303" i="7"/>
  <c r="Z308" i="7"/>
  <c r="AP312" i="7"/>
  <c r="AP324" i="7"/>
  <c r="R327" i="7"/>
  <c r="Z338" i="7"/>
  <c r="Z400" i="7"/>
  <c r="J401" i="7"/>
  <c r="R405" i="7"/>
  <c r="Z406" i="7"/>
  <c r="R411" i="7"/>
  <c r="Z412" i="7"/>
  <c r="R417" i="7"/>
  <c r="AH417" i="7"/>
  <c r="J419" i="7"/>
  <c r="J422" i="7"/>
  <c r="AH423" i="7"/>
  <c r="J425" i="7"/>
  <c r="AH426" i="7"/>
  <c r="AH429" i="7"/>
  <c r="J431" i="7"/>
  <c r="J434" i="7"/>
  <c r="AH435" i="7"/>
  <c r="D487" i="7"/>
  <c r="C487" i="7"/>
  <c r="AB489" i="7"/>
  <c r="AA489" i="7"/>
  <c r="AB492" i="7"/>
  <c r="AA492" i="7"/>
  <c r="S506" i="7"/>
  <c r="T506" i="7"/>
  <c r="AI524" i="7"/>
  <c r="AJ524" i="7"/>
  <c r="D130" i="7"/>
  <c r="AI131" i="7"/>
  <c r="AH131" i="7" s="1"/>
  <c r="R135" i="7"/>
  <c r="S137" i="7"/>
  <c r="R137" i="7" s="1"/>
  <c r="AB138" i="7"/>
  <c r="Z138" i="7" s="1"/>
  <c r="Z140" i="7"/>
  <c r="AQ140" i="7"/>
  <c r="AQ141" i="7"/>
  <c r="AB143" i="7"/>
  <c r="Z143" i="7" s="1"/>
  <c r="AI149" i="7"/>
  <c r="AH149" i="7" s="1"/>
  <c r="R155" i="7"/>
  <c r="AB156" i="7"/>
  <c r="Z156" i="7" s="1"/>
  <c r="D166" i="7"/>
  <c r="AI167" i="7"/>
  <c r="AH167" i="7" s="1"/>
  <c r="R171" i="7"/>
  <c r="R173" i="7"/>
  <c r="AB174" i="7"/>
  <c r="Z174" i="7" s="1"/>
  <c r="AQ176" i="7"/>
  <c r="AQ177" i="7"/>
  <c r="AP178" i="7"/>
  <c r="AP182" i="7"/>
  <c r="R189" i="7"/>
  <c r="Z199" i="7"/>
  <c r="R212" i="7"/>
  <c r="Z217" i="7"/>
  <c r="AP227" i="7"/>
  <c r="AB228" i="7"/>
  <c r="Z228" i="7" s="1"/>
  <c r="Z229" i="7"/>
  <c r="S230" i="7"/>
  <c r="R230" i="7" s="1"/>
  <c r="S236" i="7"/>
  <c r="R236" i="7" s="1"/>
  <c r="Z247" i="7"/>
  <c r="S248" i="7"/>
  <c r="R248" i="7" s="1"/>
  <c r="AQ251" i="7"/>
  <c r="AP251" i="7" s="1"/>
  <c r="Z253" i="7"/>
  <c r="S254" i="7"/>
  <c r="R254" i="7" s="1"/>
  <c r="AQ257" i="7"/>
  <c r="AP257" i="7" s="1"/>
  <c r="Z259" i="7"/>
  <c r="S260" i="7"/>
  <c r="R260" i="7" s="1"/>
  <c r="AP263" i="7"/>
  <c r="Z265" i="7"/>
  <c r="S266" i="7"/>
  <c r="R266" i="7" s="1"/>
  <c r="AQ269" i="7"/>
  <c r="AP269" i="7" s="1"/>
  <c r="Z271" i="7"/>
  <c r="Z277" i="7"/>
  <c r="S278" i="7"/>
  <c r="R278" i="7" s="1"/>
  <c r="Z283" i="7"/>
  <c r="AP287" i="7"/>
  <c r="AB288" i="7"/>
  <c r="Z288" i="7" s="1"/>
  <c r="Z289" i="7"/>
  <c r="AP293" i="7"/>
  <c r="AB294" i="7"/>
  <c r="Z294" i="7" s="1"/>
  <c r="Z295" i="7"/>
  <c r="Z301" i="7"/>
  <c r="Z307" i="7"/>
  <c r="R308" i="7"/>
  <c r="AQ311" i="7"/>
  <c r="AP311" i="7" s="1"/>
  <c r="AB312" i="7"/>
  <c r="Z312" i="7" s="1"/>
  <c r="Z313" i="7"/>
  <c r="S314" i="7"/>
  <c r="R314" i="7" s="1"/>
  <c r="AQ317" i="7"/>
  <c r="AP317" i="7" s="1"/>
  <c r="Z319" i="7"/>
  <c r="S320" i="7"/>
  <c r="R320" i="7" s="1"/>
  <c r="AQ323" i="7"/>
  <c r="AP323" i="7" s="1"/>
  <c r="AB324" i="7"/>
  <c r="Z324" i="7" s="1"/>
  <c r="S326" i="7"/>
  <c r="R326" i="7" s="1"/>
  <c r="AQ329" i="7"/>
  <c r="AP329" i="7" s="1"/>
  <c r="AB330" i="7"/>
  <c r="Z330" i="7" s="1"/>
  <c r="Z331" i="7"/>
  <c r="S332" i="7"/>
  <c r="R332" i="7" s="1"/>
  <c r="AQ335" i="7"/>
  <c r="AP335" i="7" s="1"/>
  <c r="Z337" i="7"/>
  <c r="S338" i="7"/>
  <c r="R338" i="7" s="1"/>
  <c r="AQ341" i="7"/>
  <c r="AP341" i="7" s="1"/>
  <c r="Z343" i="7"/>
  <c r="S344" i="7"/>
  <c r="R344" i="7" s="1"/>
  <c r="AQ347" i="7"/>
  <c r="AP347" i="7" s="1"/>
  <c r="S350" i="7"/>
  <c r="R350" i="7" s="1"/>
  <c r="AQ353" i="7"/>
  <c r="AP353" i="7" s="1"/>
  <c r="AB354" i="7"/>
  <c r="Z354" i="7" s="1"/>
  <c r="Z355" i="7"/>
  <c r="S356" i="7"/>
  <c r="R356" i="7" s="1"/>
  <c r="AQ359" i="7"/>
  <c r="AP359" i="7" s="1"/>
  <c r="S362" i="7"/>
  <c r="R362" i="7" s="1"/>
  <c r="AQ365" i="7"/>
  <c r="AP365" i="7" s="1"/>
  <c r="Z367" i="7"/>
  <c r="S368" i="7"/>
  <c r="R368" i="7" s="1"/>
  <c r="AQ371" i="7"/>
  <c r="AP371" i="7" s="1"/>
  <c r="Z373" i="7"/>
  <c r="S374" i="7"/>
  <c r="R374" i="7" s="1"/>
  <c r="AQ377" i="7"/>
  <c r="AP377" i="7" s="1"/>
  <c r="S380" i="7"/>
  <c r="R380" i="7" s="1"/>
  <c r="AQ383" i="7"/>
  <c r="AP383" i="7" s="1"/>
  <c r="Z385" i="7"/>
  <c r="S386" i="7"/>
  <c r="R386" i="7" s="1"/>
  <c r="AQ389" i="7"/>
  <c r="AP389" i="7" s="1"/>
  <c r="Z391" i="7"/>
  <c r="S392" i="7"/>
  <c r="R392" i="7" s="1"/>
  <c r="AQ395" i="7"/>
  <c r="AP395" i="7" s="1"/>
  <c r="AI396" i="7"/>
  <c r="AA398" i="7"/>
  <c r="Z398" i="7" s="1"/>
  <c r="S400" i="7"/>
  <c r="R400" i="7" s="1"/>
  <c r="K402" i="7"/>
  <c r="J402" i="7" s="1"/>
  <c r="AI402" i="7"/>
  <c r="C403" i="7"/>
  <c r="B403" i="7" s="1"/>
  <c r="AA404" i="7"/>
  <c r="Z404" i="7" s="1"/>
  <c r="S406" i="7"/>
  <c r="R406" i="7" s="1"/>
  <c r="K408" i="7"/>
  <c r="J408" i="7" s="1"/>
  <c r="AI408" i="7"/>
  <c r="C409" i="7"/>
  <c r="B409" i="7" s="1"/>
  <c r="AA410" i="7"/>
  <c r="Z410" i="7" s="1"/>
  <c r="S412" i="7"/>
  <c r="R412" i="7" s="1"/>
  <c r="K414" i="7"/>
  <c r="J414" i="7" s="1"/>
  <c r="AI414" i="7"/>
  <c r="C415" i="7"/>
  <c r="B415" i="7" s="1"/>
  <c r="AA416" i="7"/>
  <c r="Z416" i="7" s="1"/>
  <c r="AB487" i="7"/>
  <c r="AA487" i="7"/>
  <c r="AB495" i="7"/>
  <c r="AA495" i="7"/>
  <c r="AI504" i="7"/>
  <c r="AJ504" i="7"/>
  <c r="S523" i="7"/>
  <c r="T523" i="7"/>
  <c r="R138" i="7"/>
  <c r="Z139" i="7"/>
  <c r="AB141" i="7"/>
  <c r="Z141" i="7" s="1"/>
  <c r="AP145" i="7"/>
  <c r="AB146" i="7"/>
  <c r="Z146" i="7" s="1"/>
  <c r="AI152" i="7"/>
  <c r="AH152" i="7" s="1"/>
  <c r="R156" i="7"/>
  <c r="R158" i="7"/>
  <c r="Z161" i="7"/>
  <c r="AQ161" i="7"/>
  <c r="AB164" i="7"/>
  <c r="Z164" i="7" s="1"/>
  <c r="AI170" i="7"/>
  <c r="AH170" i="7" s="1"/>
  <c r="R176" i="7"/>
  <c r="AB177" i="7"/>
  <c r="Z177" i="7" s="1"/>
  <c r="AB178" i="7"/>
  <c r="Z178" i="7" s="1"/>
  <c r="Z179" i="7"/>
  <c r="AB181" i="7"/>
  <c r="Z181" i="7" s="1"/>
  <c r="AB182" i="7"/>
  <c r="Z182" i="7" s="1"/>
  <c r="AB183" i="7"/>
  <c r="Z183" i="7" s="1"/>
  <c r="Z184" i="7"/>
  <c r="S186" i="7"/>
  <c r="R186" i="7" s="1"/>
  <c r="S187" i="7"/>
  <c r="R187" i="7" s="1"/>
  <c r="Z198" i="7"/>
  <c r="S199" i="7"/>
  <c r="R199" i="7" s="1"/>
  <c r="Z204" i="7"/>
  <c r="R205" i="7"/>
  <c r="Z210" i="7"/>
  <c r="AP214" i="7"/>
  <c r="Z216" i="7"/>
  <c r="S217" i="7"/>
  <c r="R217" i="7" s="1"/>
  <c r="AQ220" i="7"/>
  <c r="AP220" i="7" s="1"/>
  <c r="Z222" i="7"/>
  <c r="S223" i="7"/>
  <c r="R223" i="7" s="1"/>
  <c r="AP232" i="7"/>
  <c r="Z234" i="7"/>
  <c r="Z240" i="7"/>
  <c r="S241" i="7"/>
  <c r="R241" i="7" s="1"/>
  <c r="AP244" i="7"/>
  <c r="Z246" i="7"/>
  <c r="AP250" i="7"/>
  <c r="AB251" i="7"/>
  <c r="Z251" i="7" s="1"/>
  <c r="Z252" i="7"/>
  <c r="AB257" i="7"/>
  <c r="Z257" i="7" s="1"/>
  <c r="Z258" i="7"/>
  <c r="AP268" i="7"/>
  <c r="AB269" i="7"/>
  <c r="Z270" i="7"/>
  <c r="Z282" i="7"/>
  <c r="R289" i="7"/>
  <c r="R295" i="7"/>
  <c r="Z300" i="7"/>
  <c r="S301" i="7"/>
  <c r="R301" i="7" s="1"/>
  <c r="S307" i="7"/>
  <c r="R307" i="7" s="1"/>
  <c r="AP310" i="7"/>
  <c r="AB311" i="7"/>
  <c r="Z311" i="7" s="1"/>
  <c r="R313" i="7"/>
  <c r="AP316" i="7"/>
  <c r="AB317" i="7"/>
  <c r="Z317" i="7" s="1"/>
  <c r="Z318" i="7"/>
  <c r="AP322" i="7"/>
  <c r="AB323" i="7"/>
  <c r="Z323" i="7" s="1"/>
  <c r="R325" i="7"/>
  <c r="AB329" i="7"/>
  <c r="Z329" i="7" s="1"/>
  <c r="R331" i="7"/>
  <c r="AP334" i="7"/>
  <c r="AB335" i="7"/>
  <c r="Z335" i="7" s="1"/>
  <c r="Z336" i="7"/>
  <c r="R337" i="7"/>
  <c r="AP340" i="7"/>
  <c r="AB341" i="7"/>
  <c r="Z341" i="7" s="1"/>
  <c r="Z342" i="7"/>
  <c r="AP346" i="7"/>
  <c r="AB347" i="7"/>
  <c r="Z347" i="7" s="1"/>
  <c r="Z348" i="7"/>
  <c r="AP352" i="7"/>
  <c r="AB353" i="7"/>
  <c r="Z353" i="7" s="1"/>
  <c r="AP358" i="7"/>
  <c r="AB359" i="7"/>
  <c r="Z359" i="7" s="1"/>
  <c r="Z360" i="7"/>
  <c r="AP364" i="7"/>
  <c r="AB365" i="7"/>
  <c r="Z365" i="7" s="1"/>
  <c r="Z366" i="7"/>
  <c r="AP370" i="7"/>
  <c r="AB371" i="7"/>
  <c r="Z372" i="7"/>
  <c r="AP376" i="7"/>
  <c r="AB377" i="7"/>
  <c r="Z377" i="7" s="1"/>
  <c r="AB383" i="7"/>
  <c r="Z383" i="7" s="1"/>
  <c r="Z384" i="7"/>
  <c r="R385" i="7"/>
  <c r="AP388" i="7"/>
  <c r="AB389" i="7"/>
  <c r="Z389" i="7" s="1"/>
  <c r="AP394" i="7"/>
  <c r="AB395" i="7"/>
  <c r="Z395" i="7" s="1"/>
  <c r="AH397" i="7"/>
  <c r="R403" i="7"/>
  <c r="AH403" i="7"/>
  <c r="R409" i="7"/>
  <c r="J411" i="7"/>
  <c r="R415" i="7"/>
  <c r="AH415" i="7"/>
  <c r="J417" i="7"/>
  <c r="AH419" i="7"/>
  <c r="J424" i="7"/>
  <c r="AH425" i="7"/>
  <c r="J427" i="7"/>
  <c r="AH428" i="7"/>
  <c r="J430" i="7"/>
  <c r="AH431" i="7"/>
  <c r="C438" i="7"/>
  <c r="B438" i="7" s="1"/>
  <c r="C439" i="7"/>
  <c r="B439" i="7" s="1"/>
  <c r="C440" i="7"/>
  <c r="B440" i="7" s="1"/>
  <c r="AH440" i="7"/>
  <c r="C441" i="7"/>
  <c r="B441" i="7" s="1"/>
  <c r="C442" i="7"/>
  <c r="B442" i="7" s="1"/>
  <c r="C443" i="7"/>
  <c r="B443" i="7" s="1"/>
  <c r="AH443" i="7"/>
  <c r="C444" i="7"/>
  <c r="B444" i="7" s="1"/>
  <c r="AH444" i="7"/>
  <c r="C445" i="7"/>
  <c r="B445" i="7" s="1"/>
  <c r="AH445" i="7"/>
  <c r="C446" i="7"/>
  <c r="B446" i="7" s="1"/>
  <c r="AH446" i="7"/>
  <c r="C447" i="7"/>
  <c r="B447" i="7" s="1"/>
  <c r="AH447" i="7"/>
  <c r="C448" i="7"/>
  <c r="B448" i="7" s="1"/>
  <c r="AH448" i="7"/>
  <c r="C449" i="7"/>
  <c r="B449" i="7" s="1"/>
  <c r="C450" i="7"/>
  <c r="B450" i="7" s="1"/>
  <c r="C451" i="7"/>
  <c r="B451" i="7" s="1"/>
  <c r="C452" i="7"/>
  <c r="B452" i="7" s="1"/>
  <c r="C453" i="7"/>
  <c r="B453" i="7" s="1"/>
  <c r="C454" i="7"/>
  <c r="B454" i="7" s="1"/>
  <c r="C455" i="7"/>
  <c r="B455" i="7" s="1"/>
  <c r="C456" i="7"/>
  <c r="B456" i="7" s="1"/>
  <c r="C457" i="7"/>
  <c r="B457" i="7" s="1"/>
  <c r="C458" i="7"/>
  <c r="B458" i="7" s="1"/>
  <c r="C459" i="7"/>
  <c r="B459" i="7" s="1"/>
  <c r="C460" i="7"/>
  <c r="B460" i="7" s="1"/>
  <c r="C461" i="7"/>
  <c r="B461" i="7" s="1"/>
  <c r="C462" i="7"/>
  <c r="B462" i="7" s="1"/>
  <c r="C463" i="7"/>
  <c r="B463" i="7" s="1"/>
  <c r="C464" i="7"/>
  <c r="B464" i="7" s="1"/>
  <c r="C465" i="7"/>
  <c r="B465" i="7" s="1"/>
  <c r="C466" i="7"/>
  <c r="B466" i="7" s="1"/>
  <c r="C467" i="7"/>
  <c r="B467" i="7" s="1"/>
  <c r="C468" i="7"/>
  <c r="B468" i="7" s="1"/>
  <c r="C469" i="7"/>
  <c r="B469" i="7" s="1"/>
  <c r="C470" i="7"/>
  <c r="B470" i="7" s="1"/>
  <c r="C471" i="7"/>
  <c r="B471" i="7" s="1"/>
  <c r="C472" i="7"/>
  <c r="B472" i="7" s="1"/>
  <c r="C473" i="7"/>
  <c r="B473" i="7" s="1"/>
  <c r="C474" i="7"/>
  <c r="B474" i="7" s="1"/>
  <c r="C475" i="7"/>
  <c r="B475" i="7" s="1"/>
  <c r="C476" i="7"/>
  <c r="B476" i="7" s="1"/>
  <c r="C477" i="7"/>
  <c r="B477" i="7" s="1"/>
  <c r="C478" i="7"/>
  <c r="B478" i="7" s="1"/>
  <c r="C479" i="7"/>
  <c r="B479" i="7" s="1"/>
  <c r="C480" i="7"/>
  <c r="B480" i="7" s="1"/>
  <c r="C481" i="7"/>
  <c r="B481" i="7" s="1"/>
  <c r="C482" i="7"/>
  <c r="B482" i="7" s="1"/>
  <c r="C483" i="7"/>
  <c r="B483" i="7" s="1"/>
  <c r="C484" i="7"/>
  <c r="B484" i="7" s="1"/>
  <c r="C485" i="7"/>
  <c r="B485" i="7" s="1"/>
  <c r="C486" i="7"/>
  <c r="B486" i="7" s="1"/>
  <c r="L487" i="7"/>
  <c r="J487" i="7" s="1"/>
  <c r="J489" i="7"/>
  <c r="AB490" i="7"/>
  <c r="AA490" i="7"/>
  <c r="J492" i="7"/>
  <c r="AB493" i="7"/>
  <c r="AA493" i="7"/>
  <c r="L495" i="7"/>
  <c r="J495" i="7" s="1"/>
  <c r="AR497" i="7"/>
  <c r="S507" i="7"/>
  <c r="T507" i="7"/>
  <c r="AB516" i="7"/>
  <c r="AA516" i="7"/>
  <c r="J522" i="7"/>
  <c r="S524" i="7"/>
  <c r="T524" i="7"/>
  <c r="AQ128" i="7"/>
  <c r="AQ129" i="7"/>
  <c r="AB131" i="7"/>
  <c r="Z131" i="7" s="1"/>
  <c r="AI137" i="7"/>
  <c r="AH137" i="7" s="1"/>
  <c r="S139" i="7"/>
  <c r="R139" i="7" s="1"/>
  <c r="R141" i="7"/>
  <c r="AQ146" i="7"/>
  <c r="AQ147" i="7"/>
  <c r="AI155" i="7"/>
  <c r="AH155" i="7" s="1"/>
  <c r="S157" i="7"/>
  <c r="R157" i="7" s="1"/>
  <c r="Z160" i="7"/>
  <c r="AB162" i="7"/>
  <c r="Z162" i="7" s="1"/>
  <c r="AQ164" i="7"/>
  <c r="AQ165" i="7"/>
  <c r="AQ166" i="7"/>
  <c r="AP166" i="7" s="1"/>
  <c r="D172" i="7"/>
  <c r="AI173" i="7"/>
  <c r="AH173" i="7" s="1"/>
  <c r="S175" i="7"/>
  <c r="R175" i="7" s="1"/>
  <c r="R177" i="7"/>
  <c r="S179" i="7"/>
  <c r="R179" i="7" s="1"/>
  <c r="R183" i="7"/>
  <c r="R184" i="7"/>
  <c r="AI187" i="7"/>
  <c r="AH187" i="7" s="1"/>
  <c r="Z197" i="7"/>
  <c r="AP201" i="7"/>
  <c r="Z203" i="7"/>
  <c r="AP207" i="7"/>
  <c r="Z209" i="7"/>
  <c r="S210" i="7"/>
  <c r="R210" i="7" s="1"/>
  <c r="AP213" i="7"/>
  <c r="S216" i="7"/>
  <c r="R216" i="7" s="1"/>
  <c r="AP219" i="7"/>
  <c r="AB220" i="7"/>
  <c r="S222" i="7"/>
  <c r="R222" i="7" s="1"/>
  <c r="AQ225" i="7"/>
  <c r="AP225" i="7" s="1"/>
  <c r="S228" i="7"/>
  <c r="R228" i="7" s="1"/>
  <c r="S234" i="7"/>
  <c r="R234" i="7" s="1"/>
  <c r="Z239" i="7"/>
  <c r="S246" i="7"/>
  <c r="R246" i="7" s="1"/>
  <c r="R258" i="7"/>
  <c r="R264" i="7"/>
  <c r="Z269" i="7"/>
  <c r="AP273" i="7"/>
  <c r="Z275" i="7"/>
  <c r="Z281" i="7"/>
  <c r="S282" i="7"/>
  <c r="R282" i="7" s="1"/>
  <c r="Z287" i="7"/>
  <c r="Z293" i="7"/>
  <c r="S294" i="7"/>
  <c r="R294" i="7" s="1"/>
  <c r="AP297" i="7"/>
  <c r="S300" i="7"/>
  <c r="R300" i="7" s="1"/>
  <c r="S306" i="7"/>
  <c r="R306" i="7" s="1"/>
  <c r="AP309" i="7"/>
  <c r="AP321" i="7"/>
  <c r="AP339" i="7"/>
  <c r="AP351" i="7"/>
  <c r="AP357" i="7"/>
  <c r="R360" i="7"/>
  <c r="Z371" i="7"/>
  <c r="R372" i="7"/>
  <c r="AP393" i="7"/>
  <c r="AB488" i="7"/>
  <c r="AA488" i="7"/>
  <c r="L497" i="7"/>
  <c r="K497" i="7"/>
  <c r="J497" i="7" s="1"/>
  <c r="AI505" i="7"/>
  <c r="AJ505" i="7"/>
  <c r="K514" i="7"/>
  <c r="L514" i="7"/>
  <c r="K516" i="7"/>
  <c r="L516" i="7"/>
  <c r="K518" i="7"/>
  <c r="L518" i="7"/>
  <c r="AI522" i="7"/>
  <c r="AJ522" i="7"/>
  <c r="Z127" i="7"/>
  <c r="AB129" i="7"/>
  <c r="Z129" i="7" s="1"/>
  <c r="AB134" i="7"/>
  <c r="Z134" i="7" s="1"/>
  <c r="D139" i="7"/>
  <c r="B139" i="7" s="1"/>
  <c r="AI140" i="7"/>
  <c r="AH140" i="7" s="1"/>
  <c r="Z145" i="7"/>
  <c r="AB147" i="7"/>
  <c r="Z147" i="7" s="1"/>
  <c r="Z149" i="7"/>
  <c r="AP151" i="7"/>
  <c r="AB152" i="7"/>
  <c r="Z152" i="7" s="1"/>
  <c r="D157" i="7"/>
  <c r="AI158" i="7"/>
  <c r="AH158" i="7" s="1"/>
  <c r="R162" i="7"/>
  <c r="R164" i="7"/>
  <c r="AB165" i="7"/>
  <c r="Z165" i="7" s="1"/>
  <c r="AB166" i="7"/>
  <c r="Z166" i="7" s="1"/>
  <c r="Z167" i="7"/>
  <c r="D175" i="7"/>
  <c r="AI176" i="7"/>
  <c r="AH176" i="7" s="1"/>
  <c r="AB213" i="7"/>
  <c r="Z213" i="7" s="1"/>
  <c r="Z214" i="7"/>
  <c r="Z220" i="7"/>
  <c r="AP224" i="7"/>
  <c r="AB225" i="7"/>
  <c r="Z225" i="7" s="1"/>
  <c r="Z226" i="7"/>
  <c r="Z232" i="7"/>
  <c r="Z238" i="7"/>
  <c r="Z244" i="7"/>
  <c r="AP248" i="7"/>
  <c r="Z250" i="7"/>
  <c r="AP254" i="7"/>
  <c r="Z262" i="7"/>
  <c r="Z268" i="7"/>
  <c r="AB273" i="7"/>
  <c r="Z273" i="7" s="1"/>
  <c r="Z274" i="7"/>
  <c r="Z280" i="7"/>
  <c r="AB285" i="7"/>
  <c r="Z285" i="7" s="1"/>
  <c r="Z286" i="7"/>
  <c r="Z292" i="7"/>
  <c r="Z298" i="7"/>
  <c r="Z304" i="7"/>
  <c r="Z316" i="7"/>
  <c r="AB321" i="7"/>
  <c r="Z321" i="7" s="1"/>
  <c r="Z322" i="7"/>
  <c r="Z328" i="7"/>
  <c r="AB333" i="7"/>
  <c r="Z333" i="7" s="1"/>
  <c r="Z334" i="7"/>
  <c r="AB339" i="7"/>
  <c r="Z339" i="7" s="1"/>
  <c r="Z340" i="7"/>
  <c r="Z346" i="7"/>
  <c r="AB351" i="7"/>
  <c r="Z351" i="7" s="1"/>
  <c r="Z352" i="7"/>
  <c r="AB357" i="7"/>
  <c r="Z357" i="7" s="1"/>
  <c r="Z358" i="7"/>
  <c r="Z364" i="7"/>
  <c r="Z370" i="7"/>
  <c r="Z376" i="7"/>
  <c r="Z382" i="7"/>
  <c r="AB393" i="7"/>
  <c r="Z393" i="7" s="1"/>
  <c r="Z394" i="7"/>
  <c r="AB396" i="7"/>
  <c r="Z396" i="7" s="1"/>
  <c r="AB486" i="7"/>
  <c r="AA486" i="7"/>
  <c r="AH487" i="7"/>
  <c r="J490" i="7"/>
  <c r="AB491" i="7"/>
  <c r="AA491" i="7"/>
  <c r="J493" i="7"/>
  <c r="AB494" i="7"/>
  <c r="AA494" i="7"/>
  <c r="J500" i="7"/>
  <c r="AI506" i="7"/>
  <c r="AJ506" i="7"/>
  <c r="S525" i="7"/>
  <c r="T525" i="7"/>
  <c r="J503" i="7"/>
  <c r="AH508" i="7"/>
  <c r="J517" i="7"/>
  <c r="J521" i="7"/>
  <c r="AH525" i="7"/>
  <c r="AH526" i="7"/>
  <c r="AP595" i="7"/>
  <c r="AP598" i="7"/>
  <c r="AP604" i="7"/>
  <c r="AP607" i="7"/>
  <c r="AP611" i="7"/>
  <c r="AP612" i="7"/>
  <c r="AP614" i="7"/>
  <c r="AP615" i="7"/>
  <c r="AP616" i="7"/>
  <c r="AP617" i="7"/>
  <c r="AP618" i="7"/>
  <c r="AP619" i="7"/>
  <c r="AP621" i="7"/>
  <c r="AP623" i="7"/>
  <c r="AP624" i="7"/>
  <c r="AP626" i="7"/>
  <c r="AP627" i="7"/>
  <c r="AP628" i="7"/>
  <c r="AP629" i="7"/>
  <c r="AP630" i="7"/>
  <c r="AP631" i="7"/>
  <c r="AP633" i="7"/>
  <c r="AP635" i="7"/>
  <c r="AP636" i="7"/>
  <c r="AP638" i="7"/>
  <c r="AP639" i="7"/>
  <c r="AP640" i="7"/>
  <c r="AP641" i="7"/>
  <c r="AP642" i="7"/>
  <c r="AP643" i="7"/>
  <c r="AP645" i="7"/>
  <c r="AP647" i="7"/>
  <c r="AP648" i="7"/>
  <c r="AP650" i="7"/>
  <c r="AP651" i="7"/>
  <c r="AP652" i="7"/>
  <c r="AP653" i="7"/>
  <c r="AP654" i="7"/>
  <c r="AP655" i="7"/>
  <c r="AP657" i="7"/>
  <c r="AP659" i="7"/>
  <c r="AP660" i="7"/>
  <c r="AP662" i="7"/>
  <c r="AP663" i="7"/>
  <c r="AP664" i="7"/>
  <c r="AP665" i="7"/>
  <c r="AP666" i="7"/>
  <c r="AP667" i="7"/>
  <c r="AP669" i="7"/>
  <c r="AH530" i="7"/>
  <c r="AH534" i="7"/>
  <c r="AH535" i="7"/>
  <c r="AH537" i="7"/>
  <c r="AH538" i="7"/>
  <c r="AH539" i="7"/>
  <c r="AH541" i="7"/>
  <c r="AH542" i="7"/>
  <c r="AH543" i="7"/>
  <c r="AH544" i="7"/>
  <c r="AH545" i="7"/>
  <c r="AH546" i="7"/>
  <c r="AH548" i="7"/>
  <c r="AH550" i="7"/>
  <c r="AH552" i="7"/>
  <c r="AH554" i="7"/>
  <c r="AH555" i="7"/>
  <c r="AH556" i="7"/>
  <c r="AH557" i="7"/>
  <c r="AH558" i="7"/>
  <c r="AH559" i="7"/>
  <c r="AH560" i="7"/>
  <c r="AH561" i="7"/>
  <c r="AH562" i="7"/>
  <c r="AH563" i="7"/>
  <c r="AH564" i="7"/>
  <c r="AH565" i="7"/>
  <c r="AH566" i="7"/>
  <c r="AH568" i="7"/>
  <c r="AH569" i="7"/>
  <c r="AH570" i="7"/>
  <c r="AH571" i="7"/>
  <c r="AH572" i="7"/>
  <c r="AH573" i="7"/>
  <c r="AH574" i="7"/>
  <c r="AH575" i="7"/>
  <c r="AH577" i="7"/>
  <c r="AH578" i="7"/>
  <c r="AH579" i="7"/>
  <c r="AH580" i="7"/>
  <c r="AH581" i="7"/>
  <c r="AH582" i="7"/>
  <c r="AH583" i="7"/>
  <c r="AH584" i="7"/>
  <c r="AH586" i="7"/>
  <c r="AH588" i="7"/>
  <c r="AH589" i="7"/>
  <c r="AH591" i="7"/>
  <c r="AH592" i="7"/>
  <c r="AH593" i="7"/>
  <c r="AH594" i="7"/>
  <c r="AH597" i="7"/>
  <c r="AH598" i="7"/>
  <c r="AH599" i="7"/>
  <c r="AH600" i="7"/>
  <c r="AH601" i="7"/>
  <c r="AH602" i="7"/>
  <c r="AH603" i="7"/>
  <c r="AH604" i="7"/>
  <c r="AH606" i="7"/>
  <c r="AH607" i="7"/>
  <c r="AH609" i="7"/>
  <c r="AH610" i="7"/>
  <c r="AH612" i="7"/>
  <c r="AH613" i="7"/>
  <c r="AH614" i="7"/>
  <c r="AH615" i="7"/>
  <c r="AH616" i="7"/>
  <c r="AH619" i="7"/>
  <c r="AH620" i="7"/>
  <c r="AH621" i="7"/>
  <c r="AH622" i="7"/>
  <c r="AH624" i="7"/>
  <c r="AH625" i="7"/>
  <c r="AH626" i="7"/>
  <c r="AH627" i="7"/>
  <c r="AH628" i="7"/>
  <c r="AH630" i="7"/>
  <c r="AH631" i="7"/>
  <c r="AH633" i="7"/>
  <c r="AH634" i="7"/>
  <c r="AH636" i="7"/>
  <c r="AH637" i="7"/>
  <c r="AH638" i="7"/>
  <c r="AH639" i="7"/>
  <c r="AH640" i="7"/>
  <c r="AH643" i="7"/>
  <c r="AH644" i="7"/>
  <c r="AH645" i="7"/>
  <c r="AH646" i="7"/>
  <c r="AH648" i="7"/>
  <c r="AH649" i="7"/>
  <c r="AH650" i="7"/>
  <c r="AH651" i="7"/>
  <c r="AH652" i="7"/>
  <c r="AH654" i="7"/>
  <c r="AH655" i="7"/>
  <c r="AH657" i="7"/>
  <c r="AH658" i="7"/>
  <c r="AH660" i="7"/>
  <c r="AH661" i="7"/>
  <c r="AH662" i="7"/>
  <c r="AH663" i="7"/>
  <c r="AH664" i="7"/>
  <c r="AH667" i="7"/>
  <c r="AH668" i="7"/>
  <c r="AH669" i="7"/>
  <c r="AJ670" i="7"/>
  <c r="AI670" i="7"/>
  <c r="K671" i="7"/>
  <c r="L671" i="7"/>
  <c r="AJ671" i="7"/>
  <c r="AI671" i="7"/>
  <c r="K672" i="7"/>
  <c r="L672" i="7"/>
  <c r="Z831" i="7"/>
  <c r="AH486" i="7"/>
  <c r="C488" i="7"/>
  <c r="B488" i="7" s="1"/>
  <c r="AH488" i="7"/>
  <c r="C489" i="7"/>
  <c r="B489" i="7" s="1"/>
  <c r="C490" i="7"/>
  <c r="B490" i="7" s="1"/>
  <c r="C491" i="7"/>
  <c r="B491" i="7" s="1"/>
  <c r="C492" i="7"/>
  <c r="B492" i="7" s="1"/>
  <c r="C493" i="7"/>
  <c r="B493" i="7" s="1"/>
  <c r="C494" i="7"/>
  <c r="B494" i="7" s="1"/>
  <c r="AH494" i="7"/>
  <c r="C495" i="7"/>
  <c r="B495" i="7" s="1"/>
  <c r="AH495" i="7"/>
  <c r="AH496" i="7"/>
  <c r="AR501" i="7"/>
  <c r="AR503" i="7"/>
  <c r="AA504" i="7"/>
  <c r="Z504" i="7" s="1"/>
  <c r="R508" i="7"/>
  <c r="R510" i="7"/>
  <c r="T511" i="7"/>
  <c r="R511" i="7" s="1"/>
  <c r="T512" i="7"/>
  <c r="R512" i="7" s="1"/>
  <c r="T513" i="7"/>
  <c r="R513" i="7" s="1"/>
  <c r="AH514" i="7"/>
  <c r="AR519" i="7"/>
  <c r="AR521" i="7"/>
  <c r="AA522" i="7"/>
  <c r="Z522" i="7" s="1"/>
  <c r="R526" i="7"/>
  <c r="J527" i="7"/>
  <c r="R528" i="7"/>
  <c r="T529" i="7"/>
  <c r="T530" i="7"/>
  <c r="T531" i="7"/>
  <c r="R531" i="7" s="1"/>
  <c r="T532" i="7"/>
  <c r="T533" i="7"/>
  <c r="T534" i="7"/>
  <c r="R534" i="7" s="1"/>
  <c r="T535" i="7"/>
  <c r="T536" i="7"/>
  <c r="T537" i="7"/>
  <c r="R537" i="7" s="1"/>
  <c r="T538" i="7"/>
  <c r="T539" i="7"/>
  <c r="T540" i="7"/>
  <c r="R540" i="7" s="1"/>
  <c r="T541" i="7"/>
  <c r="T542" i="7"/>
  <c r="T543" i="7"/>
  <c r="T544" i="7"/>
  <c r="T545" i="7"/>
  <c r="T546" i="7"/>
  <c r="R546" i="7" s="1"/>
  <c r="T547" i="7"/>
  <c r="T548" i="7"/>
  <c r="T549" i="7"/>
  <c r="R549" i="7" s="1"/>
  <c r="T550" i="7"/>
  <c r="T551" i="7"/>
  <c r="T552" i="7"/>
  <c r="R552" i="7" s="1"/>
  <c r="T553" i="7"/>
  <c r="T554" i="7"/>
  <c r="T555" i="7"/>
  <c r="R555" i="7" s="1"/>
  <c r="T556" i="7"/>
  <c r="T557" i="7"/>
  <c r="T558" i="7"/>
  <c r="R558" i="7" s="1"/>
  <c r="T559" i="7"/>
  <c r="T560" i="7"/>
  <c r="T561" i="7"/>
  <c r="R561" i="7" s="1"/>
  <c r="T562" i="7"/>
  <c r="T563" i="7"/>
  <c r="T564" i="7"/>
  <c r="R564" i="7" s="1"/>
  <c r="T565" i="7"/>
  <c r="T566" i="7"/>
  <c r="T567" i="7"/>
  <c r="R567" i="7" s="1"/>
  <c r="T568" i="7"/>
  <c r="T569" i="7"/>
  <c r="T570" i="7"/>
  <c r="R570" i="7" s="1"/>
  <c r="T571" i="7"/>
  <c r="T572" i="7"/>
  <c r="T573" i="7"/>
  <c r="R573" i="7" s="1"/>
  <c r="T574" i="7"/>
  <c r="T575" i="7"/>
  <c r="T576" i="7"/>
  <c r="R576" i="7" s="1"/>
  <c r="T577" i="7"/>
  <c r="T578" i="7"/>
  <c r="T579" i="7"/>
  <c r="R579" i="7" s="1"/>
  <c r="T580" i="7"/>
  <c r="T581" i="7"/>
  <c r="T582" i="7"/>
  <c r="R582" i="7" s="1"/>
  <c r="T583" i="7"/>
  <c r="T584" i="7"/>
  <c r="T585" i="7"/>
  <c r="T586" i="7"/>
  <c r="T587" i="7"/>
  <c r="T588" i="7"/>
  <c r="R588" i="7" s="1"/>
  <c r="T589" i="7"/>
  <c r="T590" i="7"/>
  <c r="T591" i="7"/>
  <c r="R591" i="7" s="1"/>
  <c r="T592" i="7"/>
  <c r="T593" i="7"/>
  <c r="T594" i="7"/>
  <c r="R594" i="7" s="1"/>
  <c r="T595" i="7"/>
  <c r="T596" i="7"/>
  <c r="T597" i="7"/>
  <c r="R597" i="7" s="1"/>
  <c r="T598" i="7"/>
  <c r="T599" i="7"/>
  <c r="T600" i="7"/>
  <c r="R600" i="7" s="1"/>
  <c r="T601" i="7"/>
  <c r="T602" i="7"/>
  <c r="T603" i="7"/>
  <c r="R603" i="7" s="1"/>
  <c r="T604" i="7"/>
  <c r="T605" i="7"/>
  <c r="T606" i="7"/>
  <c r="R606" i="7" s="1"/>
  <c r="T607" i="7"/>
  <c r="T608" i="7"/>
  <c r="R608" i="7" s="1"/>
  <c r="T609" i="7"/>
  <c r="R609" i="7" s="1"/>
  <c r="T610" i="7"/>
  <c r="R610" i="7" s="1"/>
  <c r="T611" i="7"/>
  <c r="R611" i="7" s="1"/>
  <c r="T612" i="7"/>
  <c r="R612" i="7" s="1"/>
  <c r="T613" i="7"/>
  <c r="R613" i="7" s="1"/>
  <c r="T614" i="7"/>
  <c r="R614" i="7" s="1"/>
  <c r="T615" i="7"/>
  <c r="T616" i="7"/>
  <c r="R616" i="7" s="1"/>
  <c r="T617" i="7"/>
  <c r="R617" i="7" s="1"/>
  <c r="T618" i="7"/>
  <c r="R618" i="7" s="1"/>
  <c r="T619" i="7"/>
  <c r="R619" i="7" s="1"/>
  <c r="T620" i="7"/>
  <c r="R620" i="7" s="1"/>
  <c r="T621" i="7"/>
  <c r="R621" i="7" s="1"/>
  <c r="T622" i="7"/>
  <c r="R622" i="7" s="1"/>
  <c r="T623" i="7"/>
  <c r="R623" i="7" s="1"/>
  <c r="T624" i="7"/>
  <c r="R624" i="7" s="1"/>
  <c r="T625" i="7"/>
  <c r="R625" i="7" s="1"/>
  <c r="T626" i="7"/>
  <c r="R626" i="7" s="1"/>
  <c r="T627" i="7"/>
  <c r="R627" i="7" s="1"/>
  <c r="T628" i="7"/>
  <c r="R628" i="7" s="1"/>
  <c r="T629" i="7"/>
  <c r="R629" i="7" s="1"/>
  <c r="T630" i="7"/>
  <c r="R630" i="7" s="1"/>
  <c r="T631" i="7"/>
  <c r="R631" i="7" s="1"/>
  <c r="T632" i="7"/>
  <c r="R632" i="7" s="1"/>
  <c r="T633" i="7"/>
  <c r="R633" i="7" s="1"/>
  <c r="T634" i="7"/>
  <c r="R634" i="7" s="1"/>
  <c r="T635" i="7"/>
  <c r="R635" i="7" s="1"/>
  <c r="T636" i="7"/>
  <c r="R636" i="7" s="1"/>
  <c r="T637" i="7"/>
  <c r="R637" i="7" s="1"/>
  <c r="T638" i="7"/>
  <c r="R638" i="7" s="1"/>
  <c r="T639" i="7"/>
  <c r="T640" i="7"/>
  <c r="R640" i="7" s="1"/>
  <c r="T641" i="7"/>
  <c r="R641" i="7" s="1"/>
  <c r="T642" i="7"/>
  <c r="R642" i="7" s="1"/>
  <c r="T643" i="7"/>
  <c r="R643" i="7" s="1"/>
  <c r="T644" i="7"/>
  <c r="R644" i="7" s="1"/>
  <c r="T645" i="7"/>
  <c r="R645" i="7" s="1"/>
  <c r="T646" i="7"/>
  <c r="R646" i="7" s="1"/>
  <c r="T647" i="7"/>
  <c r="R647" i="7" s="1"/>
  <c r="T648" i="7"/>
  <c r="R648" i="7" s="1"/>
  <c r="T649" i="7"/>
  <c r="R649" i="7" s="1"/>
  <c r="T650" i="7"/>
  <c r="R650" i="7" s="1"/>
  <c r="T651" i="7"/>
  <c r="R651" i="7" s="1"/>
  <c r="T652" i="7"/>
  <c r="R652" i="7" s="1"/>
  <c r="T653" i="7"/>
  <c r="R653" i="7" s="1"/>
  <c r="T654" i="7"/>
  <c r="R654" i="7" s="1"/>
  <c r="T655" i="7"/>
  <c r="R655" i="7" s="1"/>
  <c r="T656" i="7"/>
  <c r="R656" i="7" s="1"/>
  <c r="T657" i="7"/>
  <c r="R657" i="7" s="1"/>
  <c r="T658" i="7"/>
  <c r="R658" i="7" s="1"/>
  <c r="T659" i="7"/>
  <c r="R659" i="7" s="1"/>
  <c r="T660" i="7"/>
  <c r="R660" i="7" s="1"/>
  <c r="T661" i="7"/>
  <c r="R661" i="7" s="1"/>
  <c r="T662" i="7"/>
  <c r="R662" i="7" s="1"/>
  <c r="T663" i="7"/>
  <c r="R663" i="7" s="1"/>
  <c r="T664" i="7"/>
  <c r="R664" i="7" s="1"/>
  <c r="T665" i="7"/>
  <c r="R665" i="7" s="1"/>
  <c r="T666" i="7"/>
  <c r="R666" i="7" s="1"/>
  <c r="T667" i="7"/>
  <c r="R667" i="7" s="1"/>
  <c r="T668" i="7"/>
  <c r="R668" i="7" s="1"/>
  <c r="T669" i="7"/>
  <c r="T670" i="7"/>
  <c r="R670" i="7" s="1"/>
  <c r="AH498" i="7"/>
  <c r="AH499" i="7"/>
  <c r="AH516" i="7"/>
  <c r="AH517" i="7"/>
  <c r="J528" i="7"/>
  <c r="R529" i="7"/>
  <c r="R543" i="7"/>
  <c r="R585" i="7"/>
  <c r="R615" i="7"/>
  <c r="R639" i="7"/>
  <c r="R669" i="7"/>
  <c r="AQ670" i="7"/>
  <c r="AR670" i="7"/>
  <c r="S671" i="7"/>
  <c r="T671" i="7"/>
  <c r="AQ671" i="7"/>
  <c r="AR671" i="7"/>
  <c r="R496" i="7"/>
  <c r="R498" i="7"/>
  <c r="T499" i="7"/>
  <c r="T500" i="7"/>
  <c r="R500" i="7" s="1"/>
  <c r="T501" i="7"/>
  <c r="R501" i="7" s="1"/>
  <c r="AI501" i="7"/>
  <c r="AH501" i="7" s="1"/>
  <c r="AI502" i="7"/>
  <c r="AH502" i="7" s="1"/>
  <c r="AI503" i="7"/>
  <c r="AH503" i="7" s="1"/>
  <c r="AR509" i="7"/>
  <c r="AA510" i="7"/>
  <c r="Z510" i="7" s="1"/>
  <c r="K511" i="7"/>
  <c r="J511" i="7" s="1"/>
  <c r="K513" i="7"/>
  <c r="J513" i="7" s="1"/>
  <c r="R514" i="7"/>
  <c r="K515" i="7"/>
  <c r="J515" i="7" s="1"/>
  <c r="R516" i="7"/>
  <c r="T517" i="7"/>
  <c r="R517" i="7" s="1"/>
  <c r="T519" i="7"/>
  <c r="R519" i="7" s="1"/>
  <c r="AI519" i="7"/>
  <c r="AH519" i="7" s="1"/>
  <c r="AI520" i="7"/>
  <c r="AH520" i="7" s="1"/>
  <c r="AI521" i="7"/>
  <c r="AH521" i="7" s="1"/>
  <c r="AR527" i="7"/>
  <c r="AA528" i="7"/>
  <c r="Z528" i="7" s="1"/>
  <c r="K529" i="7"/>
  <c r="J529" i="7" s="1"/>
  <c r="K530" i="7"/>
  <c r="J530" i="7" s="1"/>
  <c r="K531" i="7"/>
  <c r="J531" i="7" s="1"/>
  <c r="K532" i="7"/>
  <c r="J532" i="7" s="1"/>
  <c r="K533" i="7"/>
  <c r="J533" i="7" s="1"/>
  <c r="K534" i="7"/>
  <c r="J534" i="7" s="1"/>
  <c r="K535" i="7"/>
  <c r="J535" i="7" s="1"/>
  <c r="K536" i="7"/>
  <c r="J536" i="7" s="1"/>
  <c r="K537" i="7"/>
  <c r="J537" i="7" s="1"/>
  <c r="K538" i="7"/>
  <c r="J538" i="7" s="1"/>
  <c r="K539" i="7"/>
  <c r="J539" i="7" s="1"/>
  <c r="K540" i="7"/>
  <c r="J540" i="7" s="1"/>
  <c r="K541" i="7"/>
  <c r="J541" i="7" s="1"/>
  <c r="K542" i="7"/>
  <c r="J542" i="7" s="1"/>
  <c r="K543" i="7"/>
  <c r="J543" i="7" s="1"/>
  <c r="K544" i="7"/>
  <c r="J544" i="7" s="1"/>
  <c r="K545" i="7"/>
  <c r="J545" i="7" s="1"/>
  <c r="K546" i="7"/>
  <c r="J546" i="7" s="1"/>
  <c r="K547" i="7"/>
  <c r="J547" i="7" s="1"/>
  <c r="K548" i="7"/>
  <c r="J548" i="7" s="1"/>
  <c r="K549" i="7"/>
  <c r="J549" i="7" s="1"/>
  <c r="K550" i="7"/>
  <c r="J550" i="7" s="1"/>
  <c r="K551" i="7"/>
  <c r="J551" i="7" s="1"/>
  <c r="K552" i="7"/>
  <c r="J552" i="7" s="1"/>
  <c r="K553" i="7"/>
  <c r="J553" i="7" s="1"/>
  <c r="K554" i="7"/>
  <c r="J554" i="7" s="1"/>
  <c r="K555" i="7"/>
  <c r="J555" i="7" s="1"/>
  <c r="K556" i="7"/>
  <c r="J556" i="7" s="1"/>
  <c r="K557" i="7"/>
  <c r="J557" i="7" s="1"/>
  <c r="K558" i="7"/>
  <c r="J558" i="7" s="1"/>
  <c r="K559" i="7"/>
  <c r="J559" i="7" s="1"/>
  <c r="K560" i="7"/>
  <c r="J560" i="7" s="1"/>
  <c r="K561" i="7"/>
  <c r="J561" i="7" s="1"/>
  <c r="K562" i="7"/>
  <c r="J562" i="7" s="1"/>
  <c r="K563" i="7"/>
  <c r="J563" i="7" s="1"/>
  <c r="K564" i="7"/>
  <c r="J564" i="7" s="1"/>
  <c r="K565" i="7"/>
  <c r="J565" i="7" s="1"/>
  <c r="K566" i="7"/>
  <c r="J566" i="7" s="1"/>
  <c r="K567" i="7"/>
  <c r="J567" i="7" s="1"/>
  <c r="K568" i="7"/>
  <c r="J568" i="7" s="1"/>
  <c r="K569" i="7"/>
  <c r="J569" i="7" s="1"/>
  <c r="K570" i="7"/>
  <c r="J570" i="7" s="1"/>
  <c r="K571" i="7"/>
  <c r="J571" i="7" s="1"/>
  <c r="K572" i="7"/>
  <c r="J572" i="7" s="1"/>
  <c r="K573" i="7"/>
  <c r="J573" i="7" s="1"/>
  <c r="K574" i="7"/>
  <c r="J574" i="7" s="1"/>
  <c r="K575" i="7"/>
  <c r="J575" i="7" s="1"/>
  <c r="K576" i="7"/>
  <c r="J576" i="7" s="1"/>
  <c r="K577" i="7"/>
  <c r="J577" i="7" s="1"/>
  <c r="K578" i="7"/>
  <c r="J578" i="7" s="1"/>
  <c r="K579" i="7"/>
  <c r="J579" i="7" s="1"/>
  <c r="K580" i="7"/>
  <c r="J580" i="7" s="1"/>
  <c r="K581" i="7"/>
  <c r="J581" i="7" s="1"/>
  <c r="K582" i="7"/>
  <c r="J582" i="7" s="1"/>
  <c r="K583" i="7"/>
  <c r="J583" i="7" s="1"/>
  <c r="K584" i="7"/>
  <c r="J584" i="7" s="1"/>
  <c r="K585" i="7"/>
  <c r="J585" i="7" s="1"/>
  <c r="K586" i="7"/>
  <c r="J586" i="7" s="1"/>
  <c r="K587" i="7"/>
  <c r="J587" i="7" s="1"/>
  <c r="K588" i="7"/>
  <c r="J588" i="7" s="1"/>
  <c r="K589" i="7"/>
  <c r="J589" i="7" s="1"/>
  <c r="K590" i="7"/>
  <c r="J590" i="7" s="1"/>
  <c r="K591" i="7"/>
  <c r="J591" i="7" s="1"/>
  <c r="K592" i="7"/>
  <c r="J592" i="7" s="1"/>
  <c r="K593" i="7"/>
  <c r="J593" i="7" s="1"/>
  <c r="K594" i="7"/>
  <c r="J594" i="7" s="1"/>
  <c r="J819" i="7"/>
  <c r="R499" i="7"/>
  <c r="T502" i="7"/>
  <c r="R502" i="7" s="1"/>
  <c r="T503" i="7"/>
  <c r="R503" i="7" s="1"/>
  <c r="T504" i="7"/>
  <c r="R504" i="7" s="1"/>
  <c r="AR510" i="7"/>
  <c r="AR512" i="7"/>
  <c r="AA513" i="7"/>
  <c r="Z513" i="7" s="1"/>
  <c r="T520" i="7"/>
  <c r="R520" i="7" s="1"/>
  <c r="T521" i="7"/>
  <c r="R521" i="7" s="1"/>
  <c r="T522" i="7"/>
  <c r="R522" i="7" s="1"/>
  <c r="AR528" i="7"/>
  <c r="AR529" i="7"/>
  <c r="AP529" i="7" s="1"/>
  <c r="AR530" i="7"/>
  <c r="AR531" i="7"/>
  <c r="AP531" i="7" s="1"/>
  <c r="AR532" i="7"/>
  <c r="AP532" i="7" s="1"/>
  <c r="AR533" i="7"/>
  <c r="AR534" i="7"/>
  <c r="AR535" i="7"/>
  <c r="AP535" i="7" s="1"/>
  <c r="AR536" i="7"/>
  <c r="AR537" i="7"/>
  <c r="AP537" i="7" s="1"/>
  <c r="AR538" i="7"/>
  <c r="AP538" i="7" s="1"/>
  <c r="AR539" i="7"/>
  <c r="AR540" i="7"/>
  <c r="AR541" i="7"/>
  <c r="AP541" i="7" s="1"/>
  <c r="AR542" i="7"/>
  <c r="AR543" i="7"/>
  <c r="AP543" i="7" s="1"/>
  <c r="AR544" i="7"/>
  <c r="AP544" i="7" s="1"/>
  <c r="AR545" i="7"/>
  <c r="AR546" i="7"/>
  <c r="AR547" i="7"/>
  <c r="AP547" i="7" s="1"/>
  <c r="AR548" i="7"/>
  <c r="AR549" i="7"/>
  <c r="AP549" i="7" s="1"/>
  <c r="AR550" i="7"/>
  <c r="AP550" i="7" s="1"/>
  <c r="AR551" i="7"/>
  <c r="AR552" i="7"/>
  <c r="AR553" i="7"/>
  <c r="AP553" i="7" s="1"/>
  <c r="AR554" i="7"/>
  <c r="AR555" i="7"/>
  <c r="AP555" i="7" s="1"/>
  <c r="AR556" i="7"/>
  <c r="AP556" i="7" s="1"/>
  <c r="AR557" i="7"/>
  <c r="AR558" i="7"/>
  <c r="AR559" i="7"/>
  <c r="AP559" i="7" s="1"/>
  <c r="AR560" i="7"/>
  <c r="AR561" i="7"/>
  <c r="AP561" i="7" s="1"/>
  <c r="AR562" i="7"/>
  <c r="AP562" i="7" s="1"/>
  <c r="AR563" i="7"/>
  <c r="AR564" i="7"/>
  <c r="AR565" i="7"/>
  <c r="AP565" i="7" s="1"/>
  <c r="AR566" i="7"/>
  <c r="AR567" i="7"/>
  <c r="AP567" i="7" s="1"/>
  <c r="AR568" i="7"/>
  <c r="AP568" i="7" s="1"/>
  <c r="AR569" i="7"/>
  <c r="AR570" i="7"/>
  <c r="AR571" i="7"/>
  <c r="AP571" i="7" s="1"/>
  <c r="AR572" i="7"/>
  <c r="AR573" i="7"/>
  <c r="AP573" i="7" s="1"/>
  <c r="AR574" i="7"/>
  <c r="AP574" i="7" s="1"/>
  <c r="AR575" i="7"/>
  <c r="AR576" i="7"/>
  <c r="AR577" i="7"/>
  <c r="AP577" i="7" s="1"/>
  <c r="AR578" i="7"/>
  <c r="AR579" i="7"/>
  <c r="AP579" i="7" s="1"/>
  <c r="AR580" i="7"/>
  <c r="AP580" i="7" s="1"/>
  <c r="AR581" i="7"/>
  <c r="AR582" i="7"/>
  <c r="AR583" i="7"/>
  <c r="AP583" i="7" s="1"/>
  <c r="AR584" i="7"/>
  <c r="AR585" i="7"/>
  <c r="AP585" i="7" s="1"/>
  <c r="AR586" i="7"/>
  <c r="AP586" i="7" s="1"/>
  <c r="AR587" i="7"/>
  <c r="AR588" i="7"/>
  <c r="AR589" i="7"/>
  <c r="AP589" i="7" s="1"/>
  <c r="AR590" i="7"/>
  <c r="AR591" i="7"/>
  <c r="AP591" i="7" s="1"/>
  <c r="AR592" i="7"/>
  <c r="AP592" i="7" s="1"/>
  <c r="AR593" i="7"/>
  <c r="AR672" i="7"/>
  <c r="AP672" i="7" s="1"/>
  <c r="L673" i="7"/>
  <c r="J673" i="7" s="1"/>
  <c r="AR673" i="7"/>
  <c r="L674" i="7"/>
  <c r="J674" i="7" s="1"/>
  <c r="AR674" i="7"/>
  <c r="AP674" i="7" s="1"/>
  <c r="L675" i="7"/>
  <c r="J675" i="7" s="1"/>
  <c r="AR675" i="7"/>
  <c r="AP675" i="7" s="1"/>
  <c r="L676" i="7"/>
  <c r="J676" i="7" s="1"/>
  <c r="AR676" i="7"/>
  <c r="AP676" i="7" s="1"/>
  <c r="L677" i="7"/>
  <c r="J677" i="7" s="1"/>
  <c r="AR677" i="7"/>
  <c r="AP677" i="7" s="1"/>
  <c r="L678" i="7"/>
  <c r="J678" i="7" s="1"/>
  <c r="AR678" i="7"/>
  <c r="L679" i="7"/>
  <c r="J679" i="7" s="1"/>
  <c r="AR679" i="7"/>
  <c r="AP679" i="7" s="1"/>
  <c r="L680" i="7"/>
  <c r="J680" i="7" s="1"/>
  <c r="AR680" i="7"/>
  <c r="L681" i="7"/>
  <c r="J681" i="7" s="1"/>
  <c r="AR681" i="7"/>
  <c r="L682" i="7"/>
  <c r="J682" i="7" s="1"/>
  <c r="AR682" i="7"/>
  <c r="L683" i="7"/>
  <c r="J683" i="7" s="1"/>
  <c r="AR683" i="7"/>
  <c r="AP683" i="7" s="1"/>
  <c r="L684" i="7"/>
  <c r="J684" i="7" s="1"/>
  <c r="AR684" i="7"/>
  <c r="L685" i="7"/>
  <c r="J685" i="7" s="1"/>
  <c r="AR685" i="7"/>
  <c r="AP685" i="7" s="1"/>
  <c r="L686" i="7"/>
  <c r="J686" i="7" s="1"/>
  <c r="AR686" i="7"/>
  <c r="AP686" i="7" s="1"/>
  <c r="L687" i="7"/>
  <c r="J687" i="7" s="1"/>
  <c r="AR687" i="7"/>
  <c r="L688" i="7"/>
  <c r="J688" i="7" s="1"/>
  <c r="AR688" i="7"/>
  <c r="L689" i="7"/>
  <c r="J689" i="7" s="1"/>
  <c r="AR689" i="7"/>
  <c r="AP689" i="7" s="1"/>
  <c r="L690" i="7"/>
  <c r="J690" i="7" s="1"/>
  <c r="AR690" i="7"/>
  <c r="AP690" i="7" s="1"/>
  <c r="L691" i="7"/>
  <c r="J691" i="7" s="1"/>
  <c r="AR691" i="7"/>
  <c r="L692" i="7"/>
  <c r="J692" i="7" s="1"/>
  <c r="AR692" i="7"/>
  <c r="AP692" i="7" s="1"/>
  <c r="L693" i="7"/>
  <c r="J693" i="7" s="1"/>
  <c r="AR693" i="7"/>
  <c r="L694" i="7"/>
  <c r="J694" i="7" s="1"/>
  <c r="AR694" i="7"/>
  <c r="AP694" i="7" s="1"/>
  <c r="L695" i="7"/>
  <c r="J695" i="7" s="1"/>
  <c r="AR695" i="7"/>
  <c r="AP695" i="7" s="1"/>
  <c r="L696" i="7"/>
  <c r="J696" i="7" s="1"/>
  <c r="AR696" i="7"/>
  <c r="AP696" i="7" s="1"/>
  <c r="L697" i="7"/>
  <c r="J697" i="7" s="1"/>
  <c r="AR697" i="7"/>
  <c r="L698" i="7"/>
  <c r="J698" i="7" s="1"/>
  <c r="AR698" i="7"/>
  <c r="AP698" i="7" s="1"/>
  <c r="L699" i="7"/>
  <c r="J699" i="7" s="1"/>
  <c r="AR699" i="7"/>
  <c r="L700" i="7"/>
  <c r="J700" i="7" s="1"/>
  <c r="AR700" i="7"/>
  <c r="AP700" i="7" s="1"/>
  <c r="L701" i="7"/>
  <c r="J701" i="7" s="1"/>
  <c r="AR701" i="7"/>
  <c r="AP701" i="7" s="1"/>
  <c r="L702" i="7"/>
  <c r="J702" i="7" s="1"/>
  <c r="AR702" i="7"/>
  <c r="L703" i="7"/>
  <c r="J703" i="7" s="1"/>
  <c r="AR703" i="7"/>
  <c r="AP703" i="7" s="1"/>
  <c r="L704" i="7"/>
  <c r="J704" i="7" s="1"/>
  <c r="AR704" i="7"/>
  <c r="AP704" i="7" s="1"/>
  <c r="L705" i="7"/>
  <c r="J705" i="7" s="1"/>
  <c r="AR705" i="7"/>
  <c r="AP705" i="7" s="1"/>
  <c r="L706" i="7"/>
  <c r="J706" i="7" s="1"/>
  <c r="AR706" i="7"/>
  <c r="L707" i="7"/>
  <c r="J707" i="7" s="1"/>
  <c r="AR707" i="7"/>
  <c r="AP707" i="7" s="1"/>
  <c r="L708" i="7"/>
  <c r="J708" i="7" s="1"/>
  <c r="AR708" i="7"/>
  <c r="L709" i="7"/>
  <c r="J709" i="7" s="1"/>
  <c r="AR709" i="7"/>
  <c r="AP709" i="7" s="1"/>
  <c r="L710" i="7"/>
  <c r="J710" i="7" s="1"/>
  <c r="AR710" i="7"/>
  <c r="AP710" i="7" s="1"/>
  <c r="L711" i="7"/>
  <c r="J711" i="7" s="1"/>
  <c r="AR711" i="7"/>
  <c r="AP711" i="7" s="1"/>
  <c r="L712" i="7"/>
  <c r="J712" i="7" s="1"/>
  <c r="AR712" i="7"/>
  <c r="AP712" i="7" s="1"/>
  <c r="L713" i="7"/>
  <c r="J713" i="7" s="1"/>
  <c r="AR713" i="7"/>
  <c r="AP713" i="7" s="1"/>
  <c r="L714" i="7"/>
  <c r="J714" i="7" s="1"/>
  <c r="AR714" i="7"/>
  <c r="L715" i="7"/>
  <c r="J715" i="7" s="1"/>
  <c r="AR715" i="7"/>
  <c r="L716" i="7"/>
  <c r="J716" i="7" s="1"/>
  <c r="AR716" i="7"/>
  <c r="AP716" i="7" s="1"/>
  <c r="L717" i="7"/>
  <c r="J717" i="7" s="1"/>
  <c r="AR717" i="7"/>
  <c r="L718" i="7"/>
  <c r="J718" i="7" s="1"/>
  <c r="AR718" i="7"/>
  <c r="AP718" i="7" s="1"/>
  <c r="L719" i="7"/>
  <c r="J719" i="7" s="1"/>
  <c r="AR719" i="7"/>
  <c r="AP719" i="7" s="1"/>
  <c r="L720" i="7"/>
  <c r="J720" i="7" s="1"/>
  <c r="AR720" i="7"/>
  <c r="L721" i="7"/>
  <c r="J721" i="7" s="1"/>
  <c r="AR721" i="7"/>
  <c r="AP721" i="7" s="1"/>
  <c r="L722" i="7"/>
  <c r="J722" i="7" s="1"/>
  <c r="AR722" i="7"/>
  <c r="AP722" i="7" s="1"/>
  <c r="L723" i="7"/>
  <c r="J723" i="7" s="1"/>
  <c r="AR723" i="7"/>
  <c r="L724" i="7"/>
  <c r="J724" i="7" s="1"/>
  <c r="AR724" i="7"/>
  <c r="AP724" i="7" s="1"/>
  <c r="L725" i="7"/>
  <c r="J725" i="7" s="1"/>
  <c r="AR725" i="7"/>
  <c r="AP725" i="7" s="1"/>
  <c r="L726" i="7"/>
  <c r="J726" i="7" s="1"/>
  <c r="AR726" i="7"/>
  <c r="AP726" i="7" s="1"/>
  <c r="L727" i="7"/>
  <c r="J727" i="7" s="1"/>
  <c r="AR727" i="7"/>
  <c r="AP727" i="7" s="1"/>
  <c r="L728" i="7"/>
  <c r="J728" i="7" s="1"/>
  <c r="AR728" i="7"/>
  <c r="AP728" i="7" s="1"/>
  <c r="L729" i="7"/>
  <c r="J729" i="7" s="1"/>
  <c r="AR729" i="7"/>
  <c r="AP729" i="7" s="1"/>
  <c r="L730" i="7"/>
  <c r="J730" i="7" s="1"/>
  <c r="AR730" i="7"/>
  <c r="AP730" i="7" s="1"/>
  <c r="L731" i="7"/>
  <c r="J731" i="7" s="1"/>
  <c r="AR731" i="7"/>
  <c r="AP731" i="7" s="1"/>
  <c r="L732" i="7"/>
  <c r="J732" i="7" s="1"/>
  <c r="AR732" i="7"/>
  <c r="L733" i="7"/>
  <c r="J733" i="7" s="1"/>
  <c r="AR733" i="7"/>
  <c r="AP733" i="7" s="1"/>
  <c r="L734" i="7"/>
  <c r="J734" i="7" s="1"/>
  <c r="AR734" i="7"/>
  <c r="L735" i="7"/>
  <c r="J735" i="7" s="1"/>
  <c r="AR735" i="7"/>
  <c r="L736" i="7"/>
  <c r="J736" i="7" s="1"/>
  <c r="AR736" i="7"/>
  <c r="L737" i="7"/>
  <c r="J737" i="7" s="1"/>
  <c r="AR737" i="7"/>
  <c r="AP737" i="7" s="1"/>
  <c r="L738" i="7"/>
  <c r="J738" i="7" s="1"/>
  <c r="AR738" i="7"/>
  <c r="L739" i="7"/>
  <c r="J739" i="7" s="1"/>
  <c r="AR739" i="7"/>
  <c r="AP739" i="7" s="1"/>
  <c r="L740" i="7"/>
  <c r="J740" i="7" s="1"/>
  <c r="AR740" i="7"/>
  <c r="AP740" i="7" s="1"/>
  <c r="L741" i="7"/>
  <c r="J741" i="7" s="1"/>
  <c r="AR741" i="7"/>
  <c r="L742" i="7"/>
  <c r="J742" i="7" s="1"/>
  <c r="AR742" i="7"/>
  <c r="L743" i="7"/>
  <c r="J743" i="7" s="1"/>
  <c r="AR743" i="7"/>
  <c r="AP743" i="7" s="1"/>
  <c r="L744" i="7"/>
  <c r="J744" i="7" s="1"/>
  <c r="AR744" i="7"/>
  <c r="L745" i="7"/>
  <c r="J745" i="7" s="1"/>
  <c r="AR745" i="7"/>
  <c r="L746" i="7"/>
  <c r="J746" i="7" s="1"/>
  <c r="AR746" i="7"/>
  <c r="AP746" i="7" s="1"/>
  <c r="L747" i="7"/>
  <c r="J747" i="7" s="1"/>
  <c r="AR747" i="7"/>
  <c r="AP747" i="7" s="1"/>
  <c r="L748" i="7"/>
  <c r="J748" i="7" s="1"/>
  <c r="AR748" i="7"/>
  <c r="AP748" i="7" s="1"/>
  <c r="L749" i="7"/>
  <c r="J749" i="7" s="1"/>
  <c r="AR749" i="7"/>
  <c r="AP749" i="7" s="1"/>
  <c r="L750" i="7"/>
  <c r="J750" i="7" s="1"/>
  <c r="AR750" i="7"/>
  <c r="AP750" i="7" s="1"/>
  <c r="L751" i="7"/>
  <c r="J751" i="7" s="1"/>
  <c r="AR751" i="7"/>
  <c r="AP751" i="7" s="1"/>
  <c r="L752" i="7"/>
  <c r="J752" i="7" s="1"/>
  <c r="AR752" i="7"/>
  <c r="AP752" i="7" s="1"/>
  <c r="L753" i="7"/>
  <c r="J753" i="7" s="1"/>
  <c r="AR753" i="7"/>
  <c r="L754" i="7"/>
  <c r="J754" i="7" s="1"/>
  <c r="AR754" i="7"/>
  <c r="L755" i="7"/>
  <c r="J755" i="7" s="1"/>
  <c r="AR755" i="7"/>
  <c r="AP755" i="7" s="1"/>
  <c r="L756" i="7"/>
  <c r="J756" i="7" s="1"/>
  <c r="AR756" i="7"/>
  <c r="L757" i="7"/>
  <c r="J757" i="7" s="1"/>
  <c r="AR757" i="7"/>
  <c r="AP757" i="7" s="1"/>
  <c r="L758" i="7"/>
  <c r="J758" i="7" s="1"/>
  <c r="AR758" i="7"/>
  <c r="L759" i="7"/>
  <c r="J759" i="7" s="1"/>
  <c r="AR759" i="7"/>
  <c r="L760" i="7"/>
  <c r="J760" i="7" s="1"/>
  <c r="AR760" i="7"/>
  <c r="AP760" i="7" s="1"/>
  <c r="L761" i="7"/>
  <c r="J761" i="7" s="1"/>
  <c r="AR761" i="7"/>
  <c r="AP761" i="7" s="1"/>
  <c r="L762" i="7"/>
  <c r="J762" i="7" s="1"/>
  <c r="AR762" i="7"/>
  <c r="AP762" i="7" s="1"/>
  <c r="L763" i="7"/>
  <c r="J763" i="7" s="1"/>
  <c r="AR763" i="7"/>
  <c r="L764" i="7"/>
  <c r="J764" i="7" s="1"/>
  <c r="AR764" i="7"/>
  <c r="AP764" i="7" s="1"/>
  <c r="L765" i="7"/>
  <c r="J765" i="7" s="1"/>
  <c r="AR765" i="7"/>
  <c r="L766" i="7"/>
  <c r="J766" i="7" s="1"/>
  <c r="AR766" i="7"/>
  <c r="L767" i="7"/>
  <c r="J767" i="7" s="1"/>
  <c r="AR767" i="7"/>
  <c r="AP767" i="7" s="1"/>
  <c r="L768" i="7"/>
  <c r="J768" i="7" s="1"/>
  <c r="AR768" i="7"/>
  <c r="L769" i="7"/>
  <c r="J769" i="7" s="1"/>
  <c r="AR769" i="7"/>
  <c r="AP769" i="7" s="1"/>
  <c r="L770" i="7"/>
  <c r="J770" i="7" s="1"/>
  <c r="AR770" i="7"/>
  <c r="L771" i="7"/>
  <c r="J771" i="7" s="1"/>
  <c r="AR771" i="7"/>
  <c r="AP771" i="7" s="1"/>
  <c r="L772" i="7"/>
  <c r="J772" i="7" s="1"/>
  <c r="AR772" i="7"/>
  <c r="AP772" i="7" s="1"/>
  <c r="L773" i="7"/>
  <c r="J773" i="7" s="1"/>
  <c r="AR773" i="7"/>
  <c r="AP773" i="7" s="1"/>
  <c r="L774" i="7"/>
  <c r="J774" i="7" s="1"/>
  <c r="AR774" i="7"/>
  <c r="AP774" i="7" s="1"/>
  <c r="L775" i="7"/>
  <c r="J775" i="7" s="1"/>
  <c r="AR775" i="7"/>
  <c r="L776" i="7"/>
  <c r="J776" i="7" s="1"/>
  <c r="AR776" i="7"/>
  <c r="AP776" i="7" s="1"/>
  <c r="L777" i="7"/>
  <c r="J777" i="7" s="1"/>
  <c r="AR777" i="7"/>
  <c r="L778" i="7"/>
  <c r="J778" i="7" s="1"/>
  <c r="AR778" i="7"/>
  <c r="L779" i="7"/>
  <c r="J779" i="7" s="1"/>
  <c r="AR779" i="7"/>
  <c r="AP779" i="7" s="1"/>
  <c r="L780" i="7"/>
  <c r="J780" i="7" s="1"/>
  <c r="AR780" i="7"/>
  <c r="L781" i="7"/>
  <c r="J781" i="7" s="1"/>
  <c r="AR781" i="7"/>
  <c r="L782" i="7"/>
  <c r="J782" i="7" s="1"/>
  <c r="AR782" i="7"/>
  <c r="AP782" i="7" s="1"/>
  <c r="L783" i="7"/>
  <c r="J783" i="7" s="1"/>
  <c r="AR783" i="7"/>
  <c r="AP783" i="7" s="1"/>
  <c r="L784" i="7"/>
  <c r="J784" i="7" s="1"/>
  <c r="AR784" i="7"/>
  <c r="AP784" i="7" s="1"/>
  <c r="L785" i="7"/>
  <c r="J785" i="7" s="1"/>
  <c r="AR785" i="7"/>
  <c r="AP785" i="7" s="1"/>
  <c r="L786" i="7"/>
  <c r="J786" i="7" s="1"/>
  <c r="AR786" i="7"/>
  <c r="AP786" i="7" s="1"/>
  <c r="L787" i="7"/>
  <c r="J787" i="7" s="1"/>
  <c r="AR787" i="7"/>
  <c r="AP787" i="7" s="1"/>
  <c r="L788" i="7"/>
  <c r="J788" i="7" s="1"/>
  <c r="AR788" i="7"/>
  <c r="AP788" i="7" s="1"/>
  <c r="L789" i="7"/>
  <c r="J789" i="7" s="1"/>
  <c r="AR789" i="7"/>
  <c r="L790" i="7"/>
  <c r="J790" i="7" s="1"/>
  <c r="AR790" i="7"/>
  <c r="L791" i="7"/>
  <c r="J791" i="7" s="1"/>
  <c r="AR791" i="7"/>
  <c r="AP791" i="7" s="1"/>
  <c r="L792" i="7"/>
  <c r="J792" i="7" s="1"/>
  <c r="AR792" i="7"/>
  <c r="L793" i="7"/>
  <c r="J793" i="7" s="1"/>
  <c r="AR793" i="7"/>
  <c r="AP793" i="7" s="1"/>
  <c r="L794" i="7"/>
  <c r="J794" i="7" s="1"/>
  <c r="AR794" i="7"/>
  <c r="AP794" i="7" s="1"/>
  <c r="L795" i="7"/>
  <c r="J795" i="7" s="1"/>
  <c r="AR795" i="7"/>
  <c r="L796" i="7"/>
  <c r="J796" i="7" s="1"/>
  <c r="AR796" i="7"/>
  <c r="AP796" i="7" s="1"/>
  <c r="L797" i="7"/>
  <c r="J797" i="7" s="1"/>
  <c r="AR797" i="7"/>
  <c r="AP797" i="7" s="1"/>
  <c r="L798" i="7"/>
  <c r="J798" i="7" s="1"/>
  <c r="AR798" i="7"/>
  <c r="AP798" i="7" s="1"/>
  <c r="C801" i="7"/>
  <c r="B801" i="7" s="1"/>
  <c r="L803" i="7"/>
  <c r="J803" i="7" s="1"/>
  <c r="AB803" i="7"/>
  <c r="Z803" i="7" s="1"/>
  <c r="AP803" i="7"/>
  <c r="Z804" i="7"/>
  <c r="AR804" i="7"/>
  <c r="C807" i="7"/>
  <c r="B807" i="7" s="1"/>
  <c r="L809" i="7"/>
  <c r="J809" i="7" s="1"/>
  <c r="AB809" i="7"/>
  <c r="Z809" i="7" s="1"/>
  <c r="AP809" i="7"/>
  <c r="AR810" i="7"/>
  <c r="AP810" i="7" s="1"/>
  <c r="C813" i="7"/>
  <c r="B813" i="7" s="1"/>
  <c r="L815" i="7"/>
  <c r="J815" i="7" s="1"/>
  <c r="AB815" i="7"/>
  <c r="Z815" i="7" s="1"/>
  <c r="AP815" i="7"/>
  <c r="Z816" i="7"/>
  <c r="AR816" i="7"/>
  <c r="AP816" i="7" s="1"/>
  <c r="AB819" i="7"/>
  <c r="Z819" i="7" s="1"/>
  <c r="S820" i="7"/>
  <c r="R820" i="7" s="1"/>
  <c r="C822" i="7"/>
  <c r="B822" i="7" s="1"/>
  <c r="L825" i="7"/>
  <c r="J825" i="7" s="1"/>
  <c r="C826" i="7"/>
  <c r="B826" i="7" s="1"/>
  <c r="AB826" i="7"/>
  <c r="Z826" i="7" s="1"/>
  <c r="L827" i="7"/>
  <c r="J827" i="7" s="1"/>
  <c r="AB827" i="7"/>
  <c r="Z827" i="7" s="1"/>
  <c r="AP827" i="7"/>
  <c r="AJ828" i="7"/>
  <c r="AH828" i="7" s="1"/>
  <c r="AR830" i="7"/>
  <c r="AP830" i="7" s="1"/>
  <c r="AB833" i="7"/>
  <c r="AA833" i="7"/>
  <c r="D837" i="7"/>
  <c r="C837" i="7"/>
  <c r="AI843" i="7"/>
  <c r="AJ843" i="7"/>
  <c r="J849" i="7"/>
  <c r="J852" i="7"/>
  <c r="J855" i="7"/>
  <c r="D860" i="7"/>
  <c r="C860" i="7"/>
  <c r="Z861" i="7"/>
  <c r="Z864" i="7"/>
  <c r="Z867" i="7"/>
  <c r="AQ872" i="7"/>
  <c r="AR872" i="7"/>
  <c r="AA882" i="7"/>
  <c r="AB882" i="7"/>
  <c r="K889" i="7"/>
  <c r="L889" i="7"/>
  <c r="Z896" i="7"/>
  <c r="K901" i="7"/>
  <c r="L901" i="7"/>
  <c r="Z907" i="7"/>
  <c r="K913" i="7"/>
  <c r="L913" i="7"/>
  <c r="J915" i="7"/>
  <c r="K919" i="7"/>
  <c r="L919" i="7"/>
  <c r="AA924" i="7"/>
  <c r="AB924" i="7"/>
  <c r="Z926" i="7"/>
  <c r="K937" i="7"/>
  <c r="L937" i="7"/>
  <c r="AQ942" i="7"/>
  <c r="AR942" i="7"/>
  <c r="J944" i="7"/>
  <c r="K949" i="7"/>
  <c r="L949" i="7"/>
  <c r="AQ960" i="7"/>
  <c r="AR960" i="7"/>
  <c r="S969" i="7"/>
  <c r="T969" i="7"/>
  <c r="D979" i="7"/>
  <c r="C979" i="7"/>
  <c r="S996" i="7"/>
  <c r="T996" i="7"/>
  <c r="AQ1012" i="7"/>
  <c r="AR1012" i="7"/>
  <c r="AQ1020" i="7"/>
  <c r="AR1020" i="7"/>
  <c r="K1044" i="7"/>
  <c r="L1044" i="7"/>
  <c r="AQ1046" i="7"/>
  <c r="AR1046" i="7"/>
  <c r="AQ1050" i="7"/>
  <c r="AR1050" i="7"/>
  <c r="AJ1051" i="7"/>
  <c r="AI1051" i="7"/>
  <c r="S1055" i="7"/>
  <c r="T1055" i="7"/>
  <c r="AQ1055" i="7"/>
  <c r="AR1055" i="7"/>
  <c r="AJ1061" i="7"/>
  <c r="AI1061" i="7"/>
  <c r="AA1064" i="7"/>
  <c r="AB1064" i="7"/>
  <c r="AA1069" i="7"/>
  <c r="AB1069" i="7"/>
  <c r="AQ1072" i="7"/>
  <c r="AR1072" i="7"/>
  <c r="AP1072" i="7" s="1"/>
  <c r="AA1086" i="7"/>
  <c r="AB1086" i="7"/>
  <c r="K1116" i="7"/>
  <c r="L1116" i="7"/>
  <c r="AP673" i="7"/>
  <c r="AP678" i="7"/>
  <c r="AP680" i="7"/>
  <c r="AP681" i="7"/>
  <c r="AP682" i="7"/>
  <c r="AP684" i="7"/>
  <c r="AP687" i="7"/>
  <c r="AP688" i="7"/>
  <c r="AP691" i="7"/>
  <c r="AP693" i="7"/>
  <c r="AP697" i="7"/>
  <c r="AP699" i="7"/>
  <c r="AP702" i="7"/>
  <c r="AP706" i="7"/>
  <c r="AP708" i="7"/>
  <c r="AP714" i="7"/>
  <c r="AP715" i="7"/>
  <c r="AP717" i="7"/>
  <c r="AP720" i="7"/>
  <c r="AP723" i="7"/>
  <c r="AP732" i="7"/>
  <c r="AP734" i="7"/>
  <c r="AP735" i="7"/>
  <c r="AP736" i="7"/>
  <c r="AP738" i="7"/>
  <c r="AP741" i="7"/>
  <c r="AP742" i="7"/>
  <c r="AP744" i="7"/>
  <c r="AP745" i="7"/>
  <c r="AP753" i="7"/>
  <c r="AP754" i="7"/>
  <c r="AP756" i="7"/>
  <c r="AP758" i="7"/>
  <c r="AP759" i="7"/>
  <c r="AP763" i="7"/>
  <c r="AP765" i="7"/>
  <c r="AP766" i="7"/>
  <c r="AP768" i="7"/>
  <c r="AP770" i="7"/>
  <c r="AP775" i="7"/>
  <c r="AP777" i="7"/>
  <c r="AP778" i="7"/>
  <c r="AP780" i="7"/>
  <c r="AP781" i="7"/>
  <c r="AP789" i="7"/>
  <c r="AP790" i="7"/>
  <c r="AP792" i="7"/>
  <c r="AP795" i="7"/>
  <c r="K799" i="7"/>
  <c r="J799" i="7" s="1"/>
  <c r="AA799" i="7"/>
  <c r="Z799" i="7" s="1"/>
  <c r="AP804" i="7"/>
  <c r="K805" i="7"/>
  <c r="J805" i="7" s="1"/>
  <c r="AA805" i="7"/>
  <c r="Z805" i="7" s="1"/>
  <c r="J810" i="7"/>
  <c r="K811" i="7"/>
  <c r="J811" i="7" s="1"/>
  <c r="AA811" i="7"/>
  <c r="Z811" i="7" s="1"/>
  <c r="K817" i="7"/>
  <c r="J817" i="7" s="1"/>
  <c r="AA817" i="7"/>
  <c r="Z817" i="7" s="1"/>
  <c r="K820" i="7"/>
  <c r="J820" i="7" s="1"/>
  <c r="AI820" i="7"/>
  <c r="AH820" i="7" s="1"/>
  <c r="AA825" i="7"/>
  <c r="Z825" i="7" s="1"/>
  <c r="Z829" i="7"/>
  <c r="J830" i="7"/>
  <c r="K831" i="7"/>
  <c r="J831" i="7" s="1"/>
  <c r="K842" i="7"/>
  <c r="L842" i="7"/>
  <c r="AA848" i="7"/>
  <c r="AB848" i="7"/>
  <c r="D863" i="7"/>
  <c r="C863" i="7"/>
  <c r="D866" i="7"/>
  <c r="C866" i="7"/>
  <c r="D869" i="7"/>
  <c r="C869" i="7"/>
  <c r="AA872" i="7"/>
  <c r="AB872" i="7"/>
  <c r="AJ879" i="7"/>
  <c r="AI879" i="7"/>
  <c r="AQ894" i="7"/>
  <c r="AR894" i="7"/>
  <c r="AP894" i="7" s="1"/>
  <c r="K907" i="7"/>
  <c r="L907" i="7"/>
  <c r="AQ930" i="7"/>
  <c r="AR930" i="7"/>
  <c r="AA942" i="7"/>
  <c r="AB942" i="7"/>
  <c r="AA960" i="7"/>
  <c r="AB960" i="7"/>
  <c r="AI966" i="7"/>
  <c r="AJ966" i="7"/>
  <c r="S981" i="7"/>
  <c r="T981" i="7"/>
  <c r="K987" i="7"/>
  <c r="L987" i="7"/>
  <c r="AI990" i="7"/>
  <c r="AJ990" i="7"/>
  <c r="S993" i="7"/>
  <c r="T993" i="7"/>
  <c r="AA999" i="7"/>
  <c r="AB999" i="7"/>
  <c r="K1006" i="7"/>
  <c r="L1006" i="7"/>
  <c r="S1014" i="7"/>
  <c r="T1014" i="7"/>
  <c r="R1014" i="7" s="1"/>
  <c r="K1018" i="7"/>
  <c r="L1018" i="7"/>
  <c r="K1020" i="7"/>
  <c r="L1020" i="7"/>
  <c r="K1050" i="7"/>
  <c r="L1050" i="7"/>
  <c r="T1081" i="7"/>
  <c r="S1081" i="7"/>
  <c r="K1086" i="7"/>
  <c r="L1086" i="7"/>
  <c r="AA1092" i="7"/>
  <c r="AB1092" i="7"/>
  <c r="S1139" i="7"/>
  <c r="T1139" i="7"/>
  <c r="AQ1144" i="7"/>
  <c r="AR1144" i="7"/>
  <c r="AJ1145" i="7"/>
  <c r="AI1145" i="7"/>
  <c r="AH1145" i="7" s="1"/>
  <c r="AI672" i="7"/>
  <c r="AH672" i="7" s="1"/>
  <c r="AI673" i="7"/>
  <c r="AH673" i="7" s="1"/>
  <c r="AI674" i="7"/>
  <c r="AH674" i="7" s="1"/>
  <c r="AI675" i="7"/>
  <c r="AH675" i="7" s="1"/>
  <c r="AI676" i="7"/>
  <c r="AH676" i="7" s="1"/>
  <c r="AI677" i="7"/>
  <c r="AH677" i="7" s="1"/>
  <c r="AI678" i="7"/>
  <c r="AH678" i="7" s="1"/>
  <c r="AI679" i="7"/>
  <c r="AH679" i="7" s="1"/>
  <c r="AI680" i="7"/>
  <c r="AH680" i="7" s="1"/>
  <c r="AI681" i="7"/>
  <c r="AH681" i="7" s="1"/>
  <c r="AI682" i="7"/>
  <c r="AH682" i="7" s="1"/>
  <c r="AI683" i="7"/>
  <c r="AH683" i="7" s="1"/>
  <c r="AI684" i="7"/>
  <c r="AH684" i="7" s="1"/>
  <c r="AI685" i="7"/>
  <c r="AH685" i="7" s="1"/>
  <c r="AI686" i="7"/>
  <c r="AH686" i="7" s="1"/>
  <c r="AI687" i="7"/>
  <c r="AH687" i="7" s="1"/>
  <c r="AI688" i="7"/>
  <c r="AH688" i="7" s="1"/>
  <c r="AI689" i="7"/>
  <c r="AH689" i="7" s="1"/>
  <c r="AI690" i="7"/>
  <c r="AH690" i="7" s="1"/>
  <c r="AI691" i="7"/>
  <c r="AH691" i="7" s="1"/>
  <c r="AI692" i="7"/>
  <c r="AH692" i="7" s="1"/>
  <c r="AI693" i="7"/>
  <c r="AH693" i="7" s="1"/>
  <c r="AI694" i="7"/>
  <c r="AH694" i="7" s="1"/>
  <c r="AI695" i="7"/>
  <c r="AH695" i="7" s="1"/>
  <c r="AI696" i="7"/>
  <c r="AH696" i="7" s="1"/>
  <c r="AI697" i="7"/>
  <c r="AH697" i="7" s="1"/>
  <c r="AI698" i="7"/>
  <c r="AH698" i="7" s="1"/>
  <c r="AI699" i="7"/>
  <c r="AH699" i="7" s="1"/>
  <c r="AI700" i="7"/>
  <c r="AH700" i="7" s="1"/>
  <c r="AI701" i="7"/>
  <c r="AH701" i="7" s="1"/>
  <c r="AI702" i="7"/>
  <c r="AH702" i="7" s="1"/>
  <c r="AI703" i="7"/>
  <c r="AH703" i="7" s="1"/>
  <c r="AI704" i="7"/>
  <c r="AH704" i="7" s="1"/>
  <c r="AI705" i="7"/>
  <c r="AH705" i="7" s="1"/>
  <c r="AI706" i="7"/>
  <c r="AH706" i="7" s="1"/>
  <c r="AI707" i="7"/>
  <c r="AH707" i="7" s="1"/>
  <c r="AI708" i="7"/>
  <c r="AH708" i="7" s="1"/>
  <c r="AI709" i="7"/>
  <c r="AH709" i="7" s="1"/>
  <c r="AI710" i="7"/>
  <c r="AH710" i="7" s="1"/>
  <c r="AI711" i="7"/>
  <c r="AH711" i="7" s="1"/>
  <c r="AI712" i="7"/>
  <c r="AH712" i="7" s="1"/>
  <c r="AI713" i="7"/>
  <c r="AH713" i="7" s="1"/>
  <c r="AI714" i="7"/>
  <c r="AH714" i="7" s="1"/>
  <c r="AI715" i="7"/>
  <c r="AH715" i="7" s="1"/>
  <c r="AI716" i="7"/>
  <c r="AH716" i="7" s="1"/>
  <c r="AI717" i="7"/>
  <c r="AH717" i="7" s="1"/>
  <c r="AI718" i="7"/>
  <c r="AH718" i="7" s="1"/>
  <c r="AI719" i="7"/>
  <c r="AH719" i="7" s="1"/>
  <c r="AI720" i="7"/>
  <c r="AH720" i="7" s="1"/>
  <c r="AI721" i="7"/>
  <c r="AH721" i="7" s="1"/>
  <c r="AI722" i="7"/>
  <c r="AH722" i="7" s="1"/>
  <c r="AI723" i="7"/>
  <c r="AH723" i="7" s="1"/>
  <c r="AI724" i="7"/>
  <c r="AH724" i="7" s="1"/>
  <c r="AI725" i="7"/>
  <c r="AH725" i="7" s="1"/>
  <c r="AI726" i="7"/>
  <c r="AH726" i="7" s="1"/>
  <c r="AI727" i="7"/>
  <c r="AH727" i="7" s="1"/>
  <c r="AI728" i="7"/>
  <c r="AH728" i="7" s="1"/>
  <c r="AI729" i="7"/>
  <c r="AH729" i="7" s="1"/>
  <c r="AI730" i="7"/>
  <c r="AH730" i="7" s="1"/>
  <c r="AI731" i="7"/>
  <c r="AH731" i="7" s="1"/>
  <c r="AI732" i="7"/>
  <c r="AH732" i="7" s="1"/>
  <c r="AI733" i="7"/>
  <c r="AH733" i="7" s="1"/>
  <c r="AI734" i="7"/>
  <c r="AH734" i="7" s="1"/>
  <c r="AI735" i="7"/>
  <c r="AH735" i="7" s="1"/>
  <c r="AI736" i="7"/>
  <c r="AH736" i="7" s="1"/>
  <c r="AI737" i="7"/>
  <c r="AH737" i="7" s="1"/>
  <c r="AI738" i="7"/>
  <c r="AH738" i="7" s="1"/>
  <c r="AI739" i="7"/>
  <c r="AH739" i="7" s="1"/>
  <c r="AI740" i="7"/>
  <c r="AH740" i="7" s="1"/>
  <c r="AI741" i="7"/>
  <c r="AH741" i="7" s="1"/>
  <c r="AI742" i="7"/>
  <c r="AH742" i="7" s="1"/>
  <c r="AI743" i="7"/>
  <c r="AH743" i="7" s="1"/>
  <c r="AI744" i="7"/>
  <c r="AH744" i="7" s="1"/>
  <c r="AI745" i="7"/>
  <c r="AH745" i="7" s="1"/>
  <c r="AI746" i="7"/>
  <c r="AH746" i="7" s="1"/>
  <c r="AI747" i="7"/>
  <c r="AH747" i="7" s="1"/>
  <c r="AI748" i="7"/>
  <c r="AH748" i="7" s="1"/>
  <c r="AI749" i="7"/>
  <c r="AH749" i="7" s="1"/>
  <c r="AI750" i="7"/>
  <c r="AH750" i="7" s="1"/>
  <c r="AI751" i="7"/>
  <c r="AH751" i="7" s="1"/>
  <c r="AI752" i="7"/>
  <c r="AH752" i="7" s="1"/>
  <c r="AI753" i="7"/>
  <c r="AH753" i="7" s="1"/>
  <c r="AI754" i="7"/>
  <c r="AH754" i="7" s="1"/>
  <c r="AI755" i="7"/>
  <c r="AH755" i="7" s="1"/>
  <c r="AI756" i="7"/>
  <c r="AH756" i="7" s="1"/>
  <c r="AI757" i="7"/>
  <c r="AH757" i="7" s="1"/>
  <c r="AI758" i="7"/>
  <c r="AH758" i="7" s="1"/>
  <c r="AI759" i="7"/>
  <c r="AH759" i="7" s="1"/>
  <c r="AI760" i="7"/>
  <c r="AH760" i="7" s="1"/>
  <c r="AI761" i="7"/>
  <c r="AH761" i="7" s="1"/>
  <c r="AI762" i="7"/>
  <c r="AH762" i="7" s="1"/>
  <c r="AI763" i="7"/>
  <c r="AH763" i="7" s="1"/>
  <c r="AI764" i="7"/>
  <c r="AH764" i="7" s="1"/>
  <c r="AI765" i="7"/>
  <c r="AH765" i="7" s="1"/>
  <c r="AI766" i="7"/>
  <c r="AH766" i="7" s="1"/>
  <c r="AI767" i="7"/>
  <c r="AH767" i="7" s="1"/>
  <c r="AH788" i="7"/>
  <c r="AH790" i="7"/>
  <c r="AH798" i="7"/>
  <c r="AP799" i="7"/>
  <c r="Z800" i="7"/>
  <c r="AR800" i="7"/>
  <c r="AP800" i="7" s="1"/>
  <c r="C803" i="7"/>
  <c r="B803" i="7" s="1"/>
  <c r="AP805" i="7"/>
  <c r="AR806" i="7"/>
  <c r="AP806" i="7" s="1"/>
  <c r="C809" i="7"/>
  <c r="B809" i="7" s="1"/>
  <c r="AP811" i="7"/>
  <c r="Z812" i="7"/>
  <c r="AR812" i="7"/>
  <c r="AP812" i="7" s="1"/>
  <c r="C815" i="7"/>
  <c r="B815" i="7" s="1"/>
  <c r="AP817" i="7"/>
  <c r="Z818" i="7"/>
  <c r="AR818" i="7"/>
  <c r="S822" i="7"/>
  <c r="R822" i="7" s="1"/>
  <c r="AR822" i="7"/>
  <c r="AP822" i="7" s="1"/>
  <c r="AH823" i="7"/>
  <c r="S826" i="7"/>
  <c r="R826" i="7" s="1"/>
  <c r="C828" i="7"/>
  <c r="B828" i="7" s="1"/>
  <c r="AH831" i="7"/>
  <c r="D832" i="7"/>
  <c r="C832" i="7"/>
  <c r="AH832" i="7"/>
  <c r="L833" i="7"/>
  <c r="K833" i="7"/>
  <c r="AP834" i="7"/>
  <c r="J837" i="7"/>
  <c r="AA851" i="7"/>
  <c r="AB851" i="7"/>
  <c r="AA854" i="7"/>
  <c r="AB854" i="7"/>
  <c r="AA857" i="7"/>
  <c r="AB857" i="7"/>
  <c r="J861" i="7"/>
  <c r="J864" i="7"/>
  <c r="J867" i="7"/>
  <c r="AA869" i="7"/>
  <c r="AB869" i="7"/>
  <c r="K877" i="7"/>
  <c r="L877" i="7"/>
  <c r="Z883" i="7"/>
  <c r="AJ885" i="7"/>
  <c r="AI885" i="7"/>
  <c r="AQ888" i="7"/>
  <c r="AR888" i="7"/>
  <c r="AP888" i="7" s="1"/>
  <c r="AA894" i="7"/>
  <c r="AB894" i="7"/>
  <c r="AQ900" i="7"/>
  <c r="AP900" i="7" s="1"/>
  <c r="AR900" i="7"/>
  <c r="Z902" i="7"/>
  <c r="J909" i="7"/>
  <c r="AQ912" i="7"/>
  <c r="AR912" i="7"/>
  <c r="J914" i="7"/>
  <c r="AJ915" i="7"/>
  <c r="AI915" i="7"/>
  <c r="AQ918" i="7"/>
  <c r="AR918" i="7"/>
  <c r="Z925" i="7"/>
  <c r="AJ927" i="7"/>
  <c r="AI927" i="7"/>
  <c r="AA930" i="7"/>
  <c r="AB930" i="7"/>
  <c r="Z932" i="7"/>
  <c r="AQ936" i="7"/>
  <c r="AR936" i="7"/>
  <c r="J939" i="7"/>
  <c r="AJ945" i="7"/>
  <c r="AI945" i="7"/>
  <c r="AH945" i="7" s="1"/>
  <c r="AQ948" i="7"/>
  <c r="AR948" i="7"/>
  <c r="J950" i="7"/>
  <c r="D955" i="7"/>
  <c r="C955" i="7"/>
  <c r="Z958" i="7"/>
  <c r="J973" i="7"/>
  <c r="K975" i="7"/>
  <c r="L975" i="7"/>
  <c r="AI978" i="7"/>
  <c r="AJ978" i="7"/>
  <c r="AQ984" i="7"/>
  <c r="AR984" i="7"/>
  <c r="Z986" i="7"/>
  <c r="J995" i="7"/>
  <c r="AP1000" i="7"/>
  <c r="S1008" i="7"/>
  <c r="T1008" i="7"/>
  <c r="R1008" i="7" s="1"/>
  <c r="K1012" i="7"/>
  <c r="L1012" i="7"/>
  <c r="AA1024" i="7"/>
  <c r="Z1024" i="7" s="1"/>
  <c r="AB1024" i="7"/>
  <c r="AA1060" i="7"/>
  <c r="AB1060" i="7"/>
  <c r="Z1060" i="7" s="1"/>
  <c r="S1071" i="7"/>
  <c r="T1071" i="7"/>
  <c r="K1092" i="7"/>
  <c r="J1092" i="7" s="1"/>
  <c r="L1092" i="7"/>
  <c r="AA1098" i="7"/>
  <c r="AB1098" i="7"/>
  <c r="AA1144" i="7"/>
  <c r="AB1144" i="7"/>
  <c r="AQ1212" i="7"/>
  <c r="AP1212" i="7" s="1"/>
  <c r="AR1212" i="7"/>
  <c r="T672" i="7"/>
  <c r="R672" i="7" s="1"/>
  <c r="T673" i="7"/>
  <c r="R673" i="7" s="1"/>
  <c r="T674" i="7"/>
  <c r="R674" i="7" s="1"/>
  <c r="T675" i="7"/>
  <c r="R675" i="7" s="1"/>
  <c r="T676" i="7"/>
  <c r="R676" i="7" s="1"/>
  <c r="T677" i="7"/>
  <c r="T678" i="7"/>
  <c r="R678" i="7" s="1"/>
  <c r="T679" i="7"/>
  <c r="R679" i="7" s="1"/>
  <c r="T680" i="7"/>
  <c r="T681" i="7"/>
  <c r="R681" i="7" s="1"/>
  <c r="T682" i="7"/>
  <c r="R682" i="7" s="1"/>
  <c r="T683" i="7"/>
  <c r="T684" i="7"/>
  <c r="R684" i="7" s="1"/>
  <c r="T685" i="7"/>
  <c r="R685" i="7" s="1"/>
  <c r="T686" i="7"/>
  <c r="R686" i="7" s="1"/>
  <c r="T687" i="7"/>
  <c r="R687" i="7" s="1"/>
  <c r="T688" i="7"/>
  <c r="R688" i="7" s="1"/>
  <c r="T689" i="7"/>
  <c r="T690" i="7"/>
  <c r="R690" i="7" s="1"/>
  <c r="T691" i="7"/>
  <c r="R691" i="7" s="1"/>
  <c r="T692" i="7"/>
  <c r="T693" i="7"/>
  <c r="R693" i="7" s="1"/>
  <c r="T694" i="7"/>
  <c r="R694" i="7" s="1"/>
  <c r="T695" i="7"/>
  <c r="T696" i="7"/>
  <c r="R696" i="7" s="1"/>
  <c r="T697" i="7"/>
  <c r="R697" i="7" s="1"/>
  <c r="T698" i="7"/>
  <c r="R698" i="7" s="1"/>
  <c r="T699" i="7"/>
  <c r="R699" i="7" s="1"/>
  <c r="T700" i="7"/>
  <c r="R700" i="7" s="1"/>
  <c r="T701" i="7"/>
  <c r="R701" i="7" s="1"/>
  <c r="T702" i="7"/>
  <c r="R702" i="7" s="1"/>
  <c r="T703" i="7"/>
  <c r="R703" i="7" s="1"/>
  <c r="T704" i="7"/>
  <c r="R704" i="7" s="1"/>
  <c r="T705" i="7"/>
  <c r="R705" i="7" s="1"/>
  <c r="T706" i="7"/>
  <c r="R706" i="7" s="1"/>
  <c r="T707" i="7"/>
  <c r="T708" i="7"/>
  <c r="R708" i="7" s="1"/>
  <c r="T709" i="7"/>
  <c r="R709" i="7" s="1"/>
  <c r="T710" i="7"/>
  <c r="R710" i="7" s="1"/>
  <c r="T711" i="7"/>
  <c r="R711" i="7" s="1"/>
  <c r="T712" i="7"/>
  <c r="R712" i="7" s="1"/>
  <c r="T713" i="7"/>
  <c r="T714" i="7"/>
  <c r="R714" i="7" s="1"/>
  <c r="T715" i="7"/>
  <c r="R715" i="7" s="1"/>
  <c r="T716" i="7"/>
  <c r="T717" i="7"/>
  <c r="R717" i="7" s="1"/>
  <c r="T718" i="7"/>
  <c r="R718" i="7" s="1"/>
  <c r="T719" i="7"/>
  <c r="T720" i="7"/>
  <c r="R720" i="7" s="1"/>
  <c r="T721" i="7"/>
  <c r="R721" i="7" s="1"/>
  <c r="T722" i="7"/>
  <c r="R722" i="7" s="1"/>
  <c r="T723" i="7"/>
  <c r="T724" i="7"/>
  <c r="R724" i="7" s="1"/>
  <c r="T725" i="7"/>
  <c r="R725" i="7" s="1"/>
  <c r="T726" i="7"/>
  <c r="R726" i="7" s="1"/>
  <c r="T727" i="7"/>
  <c r="R727" i="7" s="1"/>
  <c r="T728" i="7"/>
  <c r="T729" i="7"/>
  <c r="R729" i="7" s="1"/>
  <c r="T730" i="7"/>
  <c r="R730" i="7" s="1"/>
  <c r="T731" i="7"/>
  <c r="T732" i="7"/>
  <c r="R732" i="7" s="1"/>
  <c r="T733" i="7"/>
  <c r="R733" i="7" s="1"/>
  <c r="T734" i="7"/>
  <c r="R734" i="7" s="1"/>
  <c r="T735" i="7"/>
  <c r="R735" i="7" s="1"/>
  <c r="T736" i="7"/>
  <c r="R736" i="7" s="1"/>
  <c r="T737" i="7"/>
  <c r="T738" i="7"/>
  <c r="R738" i="7" s="1"/>
  <c r="T739" i="7"/>
  <c r="R739" i="7" s="1"/>
  <c r="T740" i="7"/>
  <c r="T741" i="7"/>
  <c r="R741" i="7" s="1"/>
  <c r="T742" i="7"/>
  <c r="R742" i="7" s="1"/>
  <c r="T743" i="7"/>
  <c r="T744" i="7"/>
  <c r="R744" i="7" s="1"/>
  <c r="T745" i="7"/>
  <c r="R745" i="7" s="1"/>
  <c r="T746" i="7"/>
  <c r="R746" i="7" s="1"/>
  <c r="T747" i="7"/>
  <c r="R747" i="7" s="1"/>
  <c r="T748" i="7"/>
  <c r="R748" i="7" s="1"/>
  <c r="T749" i="7"/>
  <c r="T750" i="7"/>
  <c r="R750" i="7" s="1"/>
  <c r="T751" i="7"/>
  <c r="R751" i="7" s="1"/>
  <c r="T752" i="7"/>
  <c r="T753" i="7"/>
  <c r="R753" i="7" s="1"/>
  <c r="T754" i="7"/>
  <c r="R754" i="7" s="1"/>
  <c r="T755" i="7"/>
  <c r="T756" i="7"/>
  <c r="R756" i="7" s="1"/>
  <c r="T757" i="7"/>
  <c r="R757" i="7" s="1"/>
  <c r="T758" i="7"/>
  <c r="R758" i="7" s="1"/>
  <c r="T759" i="7"/>
  <c r="R759" i="7" s="1"/>
  <c r="T760" i="7"/>
  <c r="R760" i="7" s="1"/>
  <c r="T761" i="7"/>
  <c r="R761" i="7" s="1"/>
  <c r="T762" i="7"/>
  <c r="R762" i="7" s="1"/>
  <c r="T763" i="7"/>
  <c r="R763" i="7" s="1"/>
  <c r="T764" i="7"/>
  <c r="R764" i="7" s="1"/>
  <c r="T765" i="7"/>
  <c r="T766" i="7"/>
  <c r="R766" i="7" s="1"/>
  <c r="T767" i="7"/>
  <c r="Z801" i="7"/>
  <c r="J806" i="7"/>
  <c r="Z807" i="7"/>
  <c r="Z813" i="7"/>
  <c r="AP818" i="7"/>
  <c r="Z821" i="7"/>
  <c r="AH826" i="7"/>
  <c r="AA834" i="7"/>
  <c r="AB834" i="7"/>
  <c r="AA841" i="7"/>
  <c r="AB841" i="7"/>
  <c r="K847" i="7"/>
  <c r="L847" i="7"/>
  <c r="AA860" i="7"/>
  <c r="AB860" i="7"/>
  <c r="K883" i="7"/>
  <c r="L883" i="7"/>
  <c r="AJ897" i="7"/>
  <c r="AI897" i="7"/>
  <c r="AJ903" i="7"/>
  <c r="AI903" i="7"/>
  <c r="AQ906" i="7"/>
  <c r="AR906" i="7"/>
  <c r="AA912" i="7"/>
  <c r="AB912" i="7"/>
  <c r="AA918" i="7"/>
  <c r="AB918" i="7"/>
  <c r="K925" i="7"/>
  <c r="L925" i="7"/>
  <c r="AJ933" i="7"/>
  <c r="AI933" i="7"/>
  <c r="AA936" i="7"/>
  <c r="AB936" i="7"/>
  <c r="AA948" i="7"/>
  <c r="AB948" i="7"/>
  <c r="K958" i="7"/>
  <c r="L958" i="7"/>
  <c r="K963" i="7"/>
  <c r="L963" i="7"/>
  <c r="AQ972" i="7"/>
  <c r="AR972" i="7"/>
  <c r="K1000" i="7"/>
  <c r="L1000" i="7"/>
  <c r="S1002" i="7"/>
  <c r="R1002" i="7" s="1"/>
  <c r="T1002" i="7"/>
  <c r="AQ1005" i="7"/>
  <c r="AR1005" i="7"/>
  <c r="AQ1019" i="7"/>
  <c r="AR1019" i="7"/>
  <c r="S1022" i="7"/>
  <c r="R1022" i="7" s="1"/>
  <c r="T1022" i="7"/>
  <c r="AA1042" i="7"/>
  <c r="AB1042" i="7"/>
  <c r="K1060" i="7"/>
  <c r="L1060" i="7"/>
  <c r="AQ1067" i="7"/>
  <c r="AR1067" i="7"/>
  <c r="L1083" i="7"/>
  <c r="K1083" i="7"/>
  <c r="K1098" i="7"/>
  <c r="L1098" i="7"/>
  <c r="AA1104" i="7"/>
  <c r="AB1104" i="7"/>
  <c r="S1121" i="7"/>
  <c r="T1121" i="7"/>
  <c r="AQ1126" i="7"/>
  <c r="AR1126" i="7"/>
  <c r="AJ1127" i="7"/>
  <c r="AH1127" i="7" s="1"/>
  <c r="AI1127" i="7"/>
  <c r="K1144" i="7"/>
  <c r="L1144" i="7"/>
  <c r="R677" i="7"/>
  <c r="R680" i="7"/>
  <c r="R683" i="7"/>
  <c r="R689" i="7"/>
  <c r="R692" i="7"/>
  <c r="R695" i="7"/>
  <c r="R707" i="7"/>
  <c r="R713" i="7"/>
  <c r="R716" i="7"/>
  <c r="R719" i="7"/>
  <c r="R723" i="7"/>
  <c r="R728" i="7"/>
  <c r="R731" i="7"/>
  <c r="R737" i="7"/>
  <c r="R740" i="7"/>
  <c r="R743" i="7"/>
  <c r="R749" i="7"/>
  <c r="R752" i="7"/>
  <c r="R755" i="7"/>
  <c r="R765" i="7"/>
  <c r="R767" i="7"/>
  <c r="R769" i="7"/>
  <c r="R770" i="7"/>
  <c r="R771" i="7"/>
  <c r="R772" i="7"/>
  <c r="R773" i="7"/>
  <c r="R774" i="7"/>
  <c r="R775" i="7"/>
  <c r="R776" i="7"/>
  <c r="R777" i="7"/>
  <c r="R778" i="7"/>
  <c r="R779" i="7"/>
  <c r="R780" i="7"/>
  <c r="R781" i="7"/>
  <c r="R782" i="7"/>
  <c r="R783" i="7"/>
  <c r="R784" i="7"/>
  <c r="R785" i="7"/>
  <c r="R786" i="7"/>
  <c r="R787" i="7"/>
  <c r="R788" i="7"/>
  <c r="R789" i="7"/>
  <c r="R790" i="7"/>
  <c r="R791" i="7"/>
  <c r="R792" i="7"/>
  <c r="R793" i="7"/>
  <c r="R794" i="7"/>
  <c r="R795" i="7"/>
  <c r="R796" i="7"/>
  <c r="R797" i="7"/>
  <c r="R798" i="7"/>
  <c r="C799" i="7"/>
  <c r="B799" i="7" s="1"/>
  <c r="AP801" i="7"/>
  <c r="AR802" i="7"/>
  <c r="AP802" i="7" s="1"/>
  <c r="C805" i="7"/>
  <c r="B805" i="7" s="1"/>
  <c r="AP807" i="7"/>
  <c r="AR808" i="7"/>
  <c r="AP808" i="7" s="1"/>
  <c r="C811" i="7"/>
  <c r="B811" i="7" s="1"/>
  <c r="AP813" i="7"/>
  <c r="AR814" i="7"/>
  <c r="AP814" i="7" s="1"/>
  <c r="C817" i="7"/>
  <c r="B817" i="7" s="1"/>
  <c r="AH819" i="7"/>
  <c r="C820" i="7"/>
  <c r="B820" i="7" s="1"/>
  <c r="AP821" i="7"/>
  <c r="AJ822" i="7"/>
  <c r="AH822" i="7" s="1"/>
  <c r="Z824" i="7"/>
  <c r="AR824" i="7"/>
  <c r="AP824" i="7" s="1"/>
  <c r="S828" i="7"/>
  <c r="R828" i="7" s="1"/>
  <c r="AR828" i="7"/>
  <c r="AP828" i="7" s="1"/>
  <c r="J834" i="7"/>
  <c r="J843" i="7"/>
  <c r="D848" i="7"/>
  <c r="C848" i="7"/>
  <c r="Z849" i="7"/>
  <c r="Z852" i="7"/>
  <c r="Z855" i="7"/>
  <c r="J859" i="7"/>
  <c r="AA863" i="7"/>
  <c r="AB863" i="7"/>
  <c r="AA866" i="7"/>
  <c r="AB866" i="7"/>
  <c r="AQ876" i="7"/>
  <c r="AR876" i="7"/>
  <c r="J878" i="7"/>
  <c r="AA888" i="7"/>
  <c r="AB888" i="7"/>
  <c r="Z895" i="7"/>
  <c r="AA900" i="7"/>
  <c r="AB900" i="7"/>
  <c r="AA906" i="7"/>
  <c r="AB906" i="7"/>
  <c r="Z908" i="7"/>
  <c r="Z920" i="7"/>
  <c r="AJ921" i="7"/>
  <c r="AI921" i="7"/>
  <c r="Z934" i="7"/>
  <c r="AJ939" i="7"/>
  <c r="AI939" i="7"/>
  <c r="K943" i="7"/>
  <c r="L943" i="7"/>
  <c r="AI954" i="7"/>
  <c r="AJ954" i="7"/>
  <c r="K970" i="7"/>
  <c r="L970" i="7"/>
  <c r="Z982" i="7"/>
  <c r="AA984" i="7"/>
  <c r="AB984" i="7"/>
  <c r="J992" i="7"/>
  <c r="AP994" i="7"/>
  <c r="J1007" i="7"/>
  <c r="AA1017" i="7"/>
  <c r="AB1017" i="7"/>
  <c r="J1019" i="7"/>
  <c r="S1076" i="7"/>
  <c r="T1076" i="7"/>
  <c r="K1104" i="7"/>
  <c r="L1104" i="7"/>
  <c r="AA1110" i="7"/>
  <c r="AB1110" i="7"/>
  <c r="AA1126" i="7"/>
  <c r="AB1126" i="7"/>
  <c r="S1204" i="7"/>
  <c r="T1204" i="7"/>
  <c r="J802" i="7"/>
  <c r="J808" i="7"/>
  <c r="Z823" i="7"/>
  <c r="J832" i="7"/>
  <c r="AB832" i="7"/>
  <c r="AA832" i="7"/>
  <c r="T835" i="7"/>
  <c r="S835" i="7"/>
  <c r="K840" i="7"/>
  <c r="L840" i="7"/>
  <c r="D841" i="7"/>
  <c r="C841" i="7"/>
  <c r="AA842" i="7"/>
  <c r="AB842" i="7"/>
  <c r="AQ845" i="7"/>
  <c r="AR845" i="7"/>
  <c r="D851" i="7"/>
  <c r="C851" i="7"/>
  <c r="D854" i="7"/>
  <c r="C854" i="7"/>
  <c r="D857" i="7"/>
  <c r="C857" i="7"/>
  <c r="D872" i="7"/>
  <c r="C872" i="7"/>
  <c r="AA876" i="7"/>
  <c r="AB876" i="7"/>
  <c r="AQ882" i="7"/>
  <c r="AP882" i="7" s="1"/>
  <c r="AR882" i="7"/>
  <c r="AJ891" i="7"/>
  <c r="AI891" i="7"/>
  <c r="K895" i="7"/>
  <c r="L895" i="7"/>
  <c r="AJ909" i="7"/>
  <c r="AI909" i="7"/>
  <c r="AQ924" i="7"/>
  <c r="AR924" i="7"/>
  <c r="K931" i="7"/>
  <c r="L931" i="7"/>
  <c r="Z944" i="7"/>
  <c r="Z949" i="7"/>
  <c r="AJ951" i="7"/>
  <c r="AI951" i="7"/>
  <c r="S957" i="7"/>
  <c r="T957" i="7"/>
  <c r="D967" i="7"/>
  <c r="C967" i="7"/>
  <c r="AA972" i="7"/>
  <c r="AB972" i="7"/>
  <c r="K982" i="7"/>
  <c r="L982" i="7"/>
  <c r="D991" i="7"/>
  <c r="C991" i="7"/>
  <c r="K994" i="7"/>
  <c r="L994" i="7"/>
  <c r="AQ999" i="7"/>
  <c r="AR999" i="7"/>
  <c r="AA1005" i="7"/>
  <c r="AB1005" i="7"/>
  <c r="AA1011" i="7"/>
  <c r="AB1011" i="7"/>
  <c r="AQ1018" i="7"/>
  <c r="AR1018" i="7"/>
  <c r="AA1033" i="7"/>
  <c r="AB1033" i="7"/>
  <c r="AQ1069" i="7"/>
  <c r="AR1069" i="7"/>
  <c r="AA1073" i="7"/>
  <c r="AB1073" i="7"/>
  <c r="K1110" i="7"/>
  <c r="L1110" i="7"/>
  <c r="AA1116" i="7"/>
  <c r="AB1116" i="7"/>
  <c r="K1126" i="7"/>
  <c r="L1126" i="7"/>
  <c r="S1157" i="7"/>
  <c r="T1157" i="7"/>
  <c r="S1160" i="7"/>
  <c r="T1160" i="7"/>
  <c r="S1163" i="7"/>
  <c r="T1163" i="7"/>
  <c r="S1166" i="7"/>
  <c r="T1166" i="7"/>
  <c r="S1169" i="7"/>
  <c r="T1169" i="7"/>
  <c r="S1172" i="7"/>
  <c r="T1172" i="7"/>
  <c r="S1175" i="7"/>
  <c r="T1175" i="7"/>
  <c r="AP842" i="7"/>
  <c r="AP869" i="7"/>
  <c r="AP917" i="7"/>
  <c r="AP923" i="7"/>
  <c r="AP941" i="7"/>
  <c r="AP947" i="7"/>
  <c r="AH956" i="7"/>
  <c r="AH968" i="7"/>
  <c r="AH980" i="7"/>
  <c r="Z1010" i="7"/>
  <c r="J1027" i="7"/>
  <c r="AA1027" i="7"/>
  <c r="AB1027" i="7"/>
  <c r="J1039" i="7"/>
  <c r="AA1039" i="7"/>
  <c r="AB1039" i="7"/>
  <c r="AA1048" i="7"/>
  <c r="AB1048" i="7"/>
  <c r="AQ1053" i="7"/>
  <c r="AR1053" i="7"/>
  <c r="Z1057" i="7"/>
  <c r="AP1057" i="7"/>
  <c r="R1059" i="7"/>
  <c r="R1072" i="7"/>
  <c r="J1073" i="7"/>
  <c r="AQ1078" i="7"/>
  <c r="AR1078" i="7"/>
  <c r="AA1079" i="7"/>
  <c r="AB1079" i="7"/>
  <c r="R1080" i="7"/>
  <c r="S1082" i="7"/>
  <c r="T1082" i="7"/>
  <c r="S1088" i="7"/>
  <c r="T1088" i="7"/>
  <c r="S1094" i="7"/>
  <c r="T1094" i="7"/>
  <c r="S1100" i="7"/>
  <c r="T1100" i="7"/>
  <c r="S1106" i="7"/>
  <c r="T1106" i="7"/>
  <c r="S1112" i="7"/>
  <c r="T1112" i="7"/>
  <c r="S1118" i="7"/>
  <c r="T1118" i="7"/>
  <c r="K1123" i="7"/>
  <c r="L1123" i="7"/>
  <c r="AJ1124" i="7"/>
  <c r="AH1124" i="7" s="1"/>
  <c r="AI1124" i="7"/>
  <c r="J1130" i="7"/>
  <c r="R1131" i="7"/>
  <c r="S1136" i="7"/>
  <c r="T1136" i="7"/>
  <c r="K1141" i="7"/>
  <c r="L1141" i="7"/>
  <c r="AJ1142" i="7"/>
  <c r="AI1142" i="7"/>
  <c r="J1148" i="7"/>
  <c r="R1149" i="7"/>
  <c r="S1154" i="7"/>
  <c r="T1154" i="7"/>
  <c r="Z1177" i="7"/>
  <c r="AJ1178" i="7"/>
  <c r="AI1178" i="7"/>
  <c r="Z1180" i="7"/>
  <c r="AJ1181" i="7"/>
  <c r="AH1181" i="7" s="1"/>
  <c r="AI1181" i="7"/>
  <c r="Z1183" i="7"/>
  <c r="AJ1184" i="7"/>
  <c r="AI1184" i="7"/>
  <c r="Z1186" i="7"/>
  <c r="AJ1187" i="7"/>
  <c r="AH1187" i="7" s="1"/>
  <c r="AI1187" i="7"/>
  <c r="Z1189" i="7"/>
  <c r="AJ1190" i="7"/>
  <c r="AI1190" i="7"/>
  <c r="K1193" i="7"/>
  <c r="L1193" i="7"/>
  <c r="S1195" i="7"/>
  <c r="T1195" i="7"/>
  <c r="Z1197" i="7"/>
  <c r="AJ1199" i="7"/>
  <c r="AI1199" i="7"/>
  <c r="AQ1200" i="7"/>
  <c r="AR1200" i="7"/>
  <c r="AA1203" i="7"/>
  <c r="AB1203" i="7"/>
  <c r="S1210" i="7"/>
  <c r="T1210" i="7"/>
  <c r="Z1211" i="7"/>
  <c r="J835" i="7"/>
  <c r="K838" i="7"/>
  <c r="J838" i="7" s="1"/>
  <c r="AI838" i="7"/>
  <c r="AH838" i="7" s="1"/>
  <c r="AA843" i="7"/>
  <c r="Z843" i="7" s="1"/>
  <c r="AH846" i="7"/>
  <c r="Z847" i="7"/>
  <c r="AP849" i="7"/>
  <c r="Z850" i="7"/>
  <c r="AP852" i="7"/>
  <c r="Z853" i="7"/>
  <c r="AP855" i="7"/>
  <c r="Z856" i="7"/>
  <c r="AP858" i="7"/>
  <c r="AP861" i="7"/>
  <c r="Z862" i="7"/>
  <c r="AP864" i="7"/>
  <c r="Z865" i="7"/>
  <c r="AP867" i="7"/>
  <c r="Z868" i="7"/>
  <c r="AP870" i="7"/>
  <c r="AP877" i="7"/>
  <c r="J879" i="7"/>
  <c r="AP883" i="7"/>
  <c r="J885" i="7"/>
  <c r="AP889" i="7"/>
  <c r="J891" i="7"/>
  <c r="AA891" i="7"/>
  <c r="Z891" i="7" s="1"/>
  <c r="AI893" i="7"/>
  <c r="AH893" i="7" s="1"/>
  <c r="AP895" i="7"/>
  <c r="J897" i="7"/>
  <c r="AP901" i="7"/>
  <c r="AR902" i="7"/>
  <c r="AI905" i="7"/>
  <c r="AH905" i="7" s="1"/>
  <c r="AP907" i="7"/>
  <c r="AR908" i="7"/>
  <c r="K910" i="7"/>
  <c r="J910" i="7" s="1"/>
  <c r="AI911" i="7"/>
  <c r="AH911" i="7" s="1"/>
  <c r="AP913" i="7"/>
  <c r="AR914" i="7"/>
  <c r="AP914" i="7" s="1"/>
  <c r="AI917" i="7"/>
  <c r="AH917" i="7" s="1"/>
  <c r="AP919" i="7"/>
  <c r="AR920" i="7"/>
  <c r="AP920" i="7" s="1"/>
  <c r="AA921" i="7"/>
  <c r="Z921" i="7" s="1"/>
  <c r="AI923" i="7"/>
  <c r="AH923" i="7" s="1"/>
  <c r="AP925" i="7"/>
  <c r="AR926" i="7"/>
  <c r="AP926" i="7" s="1"/>
  <c r="AI929" i="7"/>
  <c r="AH929" i="7" s="1"/>
  <c r="AP931" i="7"/>
  <c r="AR932" i="7"/>
  <c r="AP932" i="7" s="1"/>
  <c r="AI935" i="7"/>
  <c r="AH935" i="7" s="1"/>
  <c r="AP937" i="7"/>
  <c r="AR938" i="7"/>
  <c r="AI941" i="7"/>
  <c r="AH941" i="7" s="1"/>
  <c r="AP943" i="7"/>
  <c r="J945" i="7"/>
  <c r="AP949" i="7"/>
  <c r="J951" i="7"/>
  <c r="AH952" i="7"/>
  <c r="J954" i="7"/>
  <c r="R955" i="7"/>
  <c r="AP958" i="7"/>
  <c r="AH964" i="7"/>
  <c r="J966" i="7"/>
  <c r="R967" i="7"/>
  <c r="J969" i="7"/>
  <c r="AP970" i="7"/>
  <c r="AH976" i="7"/>
  <c r="J978" i="7"/>
  <c r="R979" i="7"/>
  <c r="J981" i="7"/>
  <c r="AP982" i="7"/>
  <c r="AH988" i="7"/>
  <c r="J990" i="7"/>
  <c r="R991" i="7"/>
  <c r="J993" i="7"/>
  <c r="Z994" i="7"/>
  <c r="J996" i="7"/>
  <c r="Z1000" i="7"/>
  <c r="J1002" i="7"/>
  <c r="Z1006" i="7"/>
  <c r="J1008" i="7"/>
  <c r="Z1012" i="7"/>
  <c r="AQ1022" i="7"/>
  <c r="AR1022" i="7"/>
  <c r="AP1022" i="7" s="1"/>
  <c r="J1026" i="7"/>
  <c r="AA1030" i="7"/>
  <c r="AB1030" i="7"/>
  <c r="AA1036" i="7"/>
  <c r="AB1036" i="7"/>
  <c r="AQ1043" i="7"/>
  <c r="AP1043" i="7" s="1"/>
  <c r="AR1043" i="7"/>
  <c r="S1045" i="7"/>
  <c r="T1045" i="7"/>
  <c r="AQ1049" i="7"/>
  <c r="AR1049" i="7"/>
  <c r="AA1053" i="7"/>
  <c r="AB1053" i="7"/>
  <c r="S1058" i="7"/>
  <c r="T1058" i="7"/>
  <c r="K1078" i="7"/>
  <c r="L1078" i="7"/>
  <c r="AJ1079" i="7"/>
  <c r="AI1079" i="7"/>
  <c r="AA1082" i="7"/>
  <c r="AB1082" i="7"/>
  <c r="S1124" i="7"/>
  <c r="T1124" i="7"/>
  <c r="K1129" i="7"/>
  <c r="L1129" i="7"/>
  <c r="Z1129" i="7"/>
  <c r="AP1129" i="7"/>
  <c r="AJ1130" i="7"/>
  <c r="AI1130" i="7"/>
  <c r="S1142" i="7"/>
  <c r="T1142" i="7"/>
  <c r="K1147" i="7"/>
  <c r="L1147" i="7"/>
  <c r="Z1147" i="7"/>
  <c r="AP1147" i="7"/>
  <c r="AJ1148" i="7"/>
  <c r="AI1148" i="7"/>
  <c r="Z1176" i="7"/>
  <c r="Z1179" i="7"/>
  <c r="Z1182" i="7"/>
  <c r="Z1185" i="7"/>
  <c r="Z1188" i="7"/>
  <c r="Z1191" i="7"/>
  <c r="AJ1193" i="7"/>
  <c r="AI1193" i="7"/>
  <c r="K1196" i="7"/>
  <c r="L1196" i="7"/>
  <c r="S1198" i="7"/>
  <c r="T1198" i="7"/>
  <c r="R1215" i="7"/>
  <c r="AA1228" i="7"/>
  <c r="AB1228" i="7"/>
  <c r="AP833" i="7"/>
  <c r="AJ834" i="7"/>
  <c r="AH834" i="7" s="1"/>
  <c r="AR836" i="7"/>
  <c r="AP836" i="7" s="1"/>
  <c r="S840" i="7"/>
  <c r="R840" i="7" s="1"/>
  <c r="AR840" i="7"/>
  <c r="AP840" i="7" s="1"/>
  <c r="AH841" i="7"/>
  <c r="S844" i="7"/>
  <c r="R844" i="7" s="1"/>
  <c r="C846" i="7"/>
  <c r="B846" i="7" s="1"/>
  <c r="AR847" i="7"/>
  <c r="AP847" i="7" s="1"/>
  <c r="AR850" i="7"/>
  <c r="AP850" i="7" s="1"/>
  <c r="AR853" i="7"/>
  <c r="AP853" i="7" s="1"/>
  <c r="AR856" i="7"/>
  <c r="AP856" i="7" s="1"/>
  <c r="AR859" i="7"/>
  <c r="AP859" i="7" s="1"/>
  <c r="AR862" i="7"/>
  <c r="AP862" i="7" s="1"/>
  <c r="AR865" i="7"/>
  <c r="AP865" i="7" s="1"/>
  <c r="AR868" i="7"/>
  <c r="AP868" i="7" s="1"/>
  <c r="K869" i="7"/>
  <c r="J869" i="7" s="1"/>
  <c r="AP873" i="7"/>
  <c r="J874" i="7"/>
  <c r="AA874" i="7"/>
  <c r="Z874" i="7" s="1"/>
  <c r="K875" i="7"/>
  <c r="J875" i="7" s="1"/>
  <c r="AR879" i="7"/>
  <c r="AA880" i="7"/>
  <c r="Z880" i="7" s="1"/>
  <c r="J886" i="7"/>
  <c r="AA886" i="7"/>
  <c r="Z886" i="7" s="1"/>
  <c r="K887" i="7"/>
  <c r="J887" i="7" s="1"/>
  <c r="AI888" i="7"/>
  <c r="AH888" i="7" s="1"/>
  <c r="AR891" i="7"/>
  <c r="AA892" i="7"/>
  <c r="Z892" i="7" s="1"/>
  <c r="AR897" i="7"/>
  <c r="AI900" i="7"/>
  <c r="AH900" i="7" s="1"/>
  <c r="J904" i="7"/>
  <c r="AR909" i="7"/>
  <c r="AP909" i="7" s="1"/>
  <c r="AA910" i="7"/>
  <c r="Z910" i="7" s="1"/>
  <c r="AR921" i="7"/>
  <c r="J922" i="7"/>
  <c r="J928" i="7"/>
  <c r="AA928" i="7"/>
  <c r="Z928" i="7" s="1"/>
  <c r="AP938" i="7"/>
  <c r="AA940" i="7"/>
  <c r="Z940" i="7" s="1"/>
  <c r="AP944" i="7"/>
  <c r="J946" i="7"/>
  <c r="AA946" i="7"/>
  <c r="Z946" i="7" s="1"/>
  <c r="K947" i="7"/>
  <c r="J947" i="7" s="1"/>
  <c r="AP950" i="7"/>
  <c r="AA952" i="7"/>
  <c r="Z952" i="7" s="1"/>
  <c r="R953" i="7"/>
  <c r="AR954" i="7"/>
  <c r="AP954" i="7" s="1"/>
  <c r="AP956" i="7"/>
  <c r="AH962" i="7"/>
  <c r="T963" i="7"/>
  <c r="R963" i="7" s="1"/>
  <c r="AA964" i="7"/>
  <c r="Z964" i="7" s="1"/>
  <c r="R965" i="7"/>
  <c r="AR966" i="7"/>
  <c r="AP966" i="7" s="1"/>
  <c r="AP968" i="7"/>
  <c r="AJ972" i="7"/>
  <c r="AH972" i="7" s="1"/>
  <c r="C973" i="7"/>
  <c r="B973" i="7" s="1"/>
  <c r="AH974" i="7"/>
  <c r="T975" i="7"/>
  <c r="R975" i="7" s="1"/>
  <c r="R977" i="7"/>
  <c r="AR978" i="7"/>
  <c r="AP978" i="7" s="1"/>
  <c r="AP980" i="7"/>
  <c r="AJ984" i="7"/>
  <c r="AH984" i="7" s="1"/>
  <c r="C985" i="7"/>
  <c r="B985" i="7" s="1"/>
  <c r="AH986" i="7"/>
  <c r="T987" i="7"/>
  <c r="R987" i="7" s="1"/>
  <c r="R989" i="7"/>
  <c r="AR990" i="7"/>
  <c r="AP990" i="7" s="1"/>
  <c r="J991" i="7"/>
  <c r="AP992" i="7"/>
  <c r="Z995" i="7"/>
  <c r="AB996" i="7"/>
  <c r="Z996" i="7" s="1"/>
  <c r="AR996" i="7"/>
  <c r="AP996" i="7" s="1"/>
  <c r="Z1001" i="7"/>
  <c r="AB1002" i="7"/>
  <c r="Z1002" i="7" s="1"/>
  <c r="AR1002" i="7"/>
  <c r="AP1002" i="7" s="1"/>
  <c r="Z1007" i="7"/>
  <c r="AB1008" i="7"/>
  <c r="Z1008" i="7" s="1"/>
  <c r="AR1008" i="7"/>
  <c r="AP1008" i="7" s="1"/>
  <c r="AB1014" i="7"/>
  <c r="Z1014" i="7" s="1"/>
  <c r="AR1015" i="7"/>
  <c r="S1021" i="7"/>
  <c r="T1021" i="7"/>
  <c r="K1022" i="7"/>
  <c r="J1022" i="7" s="1"/>
  <c r="AQ1025" i="7"/>
  <c r="AR1025" i="7"/>
  <c r="AQ1028" i="7"/>
  <c r="AR1028" i="7"/>
  <c r="J1032" i="7"/>
  <c r="J1038" i="7"/>
  <c r="AQ1040" i="7"/>
  <c r="AR1040" i="7"/>
  <c r="AB1043" i="7"/>
  <c r="Z1043" i="7" s="1"/>
  <c r="S1048" i="7"/>
  <c r="AB1049" i="7"/>
  <c r="Z1049" i="7" s="1"/>
  <c r="S1051" i="7"/>
  <c r="T1051" i="7"/>
  <c r="AQ1051" i="7"/>
  <c r="AR1051" i="7"/>
  <c r="J1055" i="7"/>
  <c r="AA1055" i="7"/>
  <c r="AB1055" i="7"/>
  <c r="R1056" i="7"/>
  <c r="L1061" i="7"/>
  <c r="J1061" i="7" s="1"/>
  <c r="AQ1061" i="7"/>
  <c r="AR1061" i="7"/>
  <c r="Z1063" i="7"/>
  <c r="AP1063" i="7"/>
  <c r="R1065" i="7"/>
  <c r="AQ1066" i="7"/>
  <c r="AR1066" i="7"/>
  <c r="AA1067" i="7"/>
  <c r="AB1067" i="7"/>
  <c r="R1068" i="7"/>
  <c r="S1069" i="7"/>
  <c r="R1069" i="7" s="1"/>
  <c r="S1070" i="7"/>
  <c r="T1070" i="7"/>
  <c r="K1071" i="7"/>
  <c r="J1071" i="7" s="1"/>
  <c r="K1072" i="7"/>
  <c r="L1072" i="7"/>
  <c r="AJ1073" i="7"/>
  <c r="AI1073" i="7"/>
  <c r="J1076" i="7"/>
  <c r="AA1076" i="7"/>
  <c r="AB1076" i="7"/>
  <c r="AB1081" i="7"/>
  <c r="Z1081" i="7" s="1"/>
  <c r="AR1081" i="7"/>
  <c r="AP1081" i="7" s="1"/>
  <c r="T1083" i="7"/>
  <c r="R1083" i="7" s="1"/>
  <c r="L1087" i="7"/>
  <c r="J1087" i="7" s="1"/>
  <c r="AR1087" i="7"/>
  <c r="AP1087" i="7" s="1"/>
  <c r="T1089" i="7"/>
  <c r="R1089" i="7" s="1"/>
  <c r="L1093" i="7"/>
  <c r="J1093" i="7" s="1"/>
  <c r="AR1093" i="7"/>
  <c r="AP1093" i="7" s="1"/>
  <c r="T1095" i="7"/>
  <c r="R1095" i="7" s="1"/>
  <c r="L1099" i="7"/>
  <c r="J1099" i="7" s="1"/>
  <c r="AR1099" i="7"/>
  <c r="AP1099" i="7" s="1"/>
  <c r="T1101" i="7"/>
  <c r="R1101" i="7" s="1"/>
  <c r="L1105" i="7"/>
  <c r="J1105" i="7" s="1"/>
  <c r="AR1105" i="7"/>
  <c r="AP1105" i="7" s="1"/>
  <c r="T1107" i="7"/>
  <c r="R1107" i="7" s="1"/>
  <c r="L1111" i="7"/>
  <c r="J1111" i="7" s="1"/>
  <c r="AR1111" i="7"/>
  <c r="AP1111" i="7" s="1"/>
  <c r="T1113" i="7"/>
  <c r="R1113" i="7" s="1"/>
  <c r="L1117" i="7"/>
  <c r="J1117" i="7" s="1"/>
  <c r="AR1117" i="7"/>
  <c r="AP1117" i="7" s="1"/>
  <c r="J1121" i="7"/>
  <c r="R1122" i="7"/>
  <c r="S1127" i="7"/>
  <c r="T1127" i="7"/>
  <c r="K1132" i="7"/>
  <c r="L1132" i="7"/>
  <c r="Z1132" i="7"/>
  <c r="AP1132" i="7"/>
  <c r="AJ1133" i="7"/>
  <c r="AI1133" i="7"/>
  <c r="AB1135" i="7"/>
  <c r="Z1135" i="7" s="1"/>
  <c r="AR1135" i="7"/>
  <c r="AP1135" i="7" s="1"/>
  <c r="J1139" i="7"/>
  <c r="R1140" i="7"/>
  <c r="S1145" i="7"/>
  <c r="T1145" i="7"/>
  <c r="K1150" i="7"/>
  <c r="L1150" i="7"/>
  <c r="Z1150" i="7"/>
  <c r="AP1150" i="7"/>
  <c r="AJ1151" i="7"/>
  <c r="AI1151" i="7"/>
  <c r="AB1153" i="7"/>
  <c r="Z1153" i="7" s="1"/>
  <c r="AR1153" i="7"/>
  <c r="AP1153" i="7" s="1"/>
  <c r="L1207" i="7"/>
  <c r="K1207" i="7"/>
  <c r="R1209" i="7"/>
  <c r="AI1211" i="7"/>
  <c r="AJ1211" i="7"/>
  <c r="Z835" i="7"/>
  <c r="J836" i="7"/>
  <c r="AI870" i="7"/>
  <c r="AH870" i="7" s="1"/>
  <c r="S871" i="7"/>
  <c r="R871" i="7" s="1"/>
  <c r="AR874" i="7"/>
  <c r="AI877" i="7"/>
  <c r="J881" i="7"/>
  <c r="AA881" i="7"/>
  <c r="Z881" i="7" s="1"/>
  <c r="AI883" i="7"/>
  <c r="AR886" i="7"/>
  <c r="AP886" i="7" s="1"/>
  <c r="J893" i="7"/>
  <c r="AA893" i="7"/>
  <c r="Z893" i="7" s="1"/>
  <c r="K894" i="7"/>
  <c r="J894" i="7" s="1"/>
  <c r="AI895" i="7"/>
  <c r="AI901" i="7"/>
  <c r="J905" i="7"/>
  <c r="AA911" i="7"/>
  <c r="Z911" i="7" s="1"/>
  <c r="AI913" i="7"/>
  <c r="AP915" i="7"/>
  <c r="AR916" i="7"/>
  <c r="AP916" i="7" s="1"/>
  <c r="AA917" i="7"/>
  <c r="Z917" i="7" s="1"/>
  <c r="AP921" i="7"/>
  <c r="J923" i="7"/>
  <c r="AP927" i="7"/>
  <c r="J929" i="7"/>
  <c r="AA929" i="7"/>
  <c r="Z929" i="7" s="1"/>
  <c r="AI931" i="7"/>
  <c r="AP933" i="7"/>
  <c r="J935" i="7"/>
  <c r="AA935" i="7"/>
  <c r="Z935" i="7" s="1"/>
  <c r="K936" i="7"/>
  <c r="J936" i="7" s="1"/>
  <c r="AI937" i="7"/>
  <c r="AP939" i="7"/>
  <c r="AR940" i="7"/>
  <c r="AP940" i="7" s="1"/>
  <c r="AI943" i="7"/>
  <c r="AP945" i="7"/>
  <c r="AR946" i="7"/>
  <c r="AP946" i="7" s="1"/>
  <c r="AI949" i="7"/>
  <c r="AR952" i="7"/>
  <c r="AP952" i="7" s="1"/>
  <c r="J953" i="7"/>
  <c r="K960" i="7"/>
  <c r="J960" i="7" s="1"/>
  <c r="AH960" i="7"/>
  <c r="T961" i="7"/>
  <c r="R961" i="7" s="1"/>
  <c r="AA962" i="7"/>
  <c r="Z962" i="7" s="1"/>
  <c r="AR964" i="7"/>
  <c r="AP964" i="7" s="1"/>
  <c r="J965" i="7"/>
  <c r="J998" i="7"/>
  <c r="J1004" i="7"/>
  <c r="S1027" i="7"/>
  <c r="T1027" i="7"/>
  <c r="AQ1031" i="7"/>
  <c r="AR1031" i="7"/>
  <c r="AQ1034" i="7"/>
  <c r="AR1034" i="7"/>
  <c r="AQ1037" i="7"/>
  <c r="AR1037" i="7"/>
  <c r="S1039" i="7"/>
  <c r="T1039" i="7"/>
  <c r="K1043" i="7"/>
  <c r="L1043" i="7"/>
  <c r="AA1045" i="7"/>
  <c r="AB1045" i="7"/>
  <c r="K1049" i="7"/>
  <c r="L1049" i="7"/>
  <c r="AJ1053" i="7"/>
  <c r="AI1053" i="7"/>
  <c r="AA1058" i="7"/>
  <c r="AB1058" i="7"/>
  <c r="K1066" i="7"/>
  <c r="L1066" i="7"/>
  <c r="AQ1079" i="7"/>
  <c r="AR1079" i="7"/>
  <c r="AA1085" i="7"/>
  <c r="AB1085" i="7"/>
  <c r="AA1091" i="7"/>
  <c r="AB1091" i="7"/>
  <c r="AA1097" i="7"/>
  <c r="AB1097" i="7"/>
  <c r="AA1103" i="7"/>
  <c r="AB1103" i="7"/>
  <c r="AA1109" i="7"/>
  <c r="AB1109" i="7"/>
  <c r="AA1115" i="7"/>
  <c r="AB1115" i="7"/>
  <c r="AJ1118" i="7"/>
  <c r="AI1118" i="7"/>
  <c r="S1130" i="7"/>
  <c r="T1130" i="7"/>
  <c r="K1135" i="7"/>
  <c r="L1135" i="7"/>
  <c r="AJ1136" i="7"/>
  <c r="AI1136" i="7"/>
  <c r="S1148" i="7"/>
  <c r="T1148" i="7"/>
  <c r="K1153" i="7"/>
  <c r="L1153" i="7"/>
  <c r="AJ1154" i="7"/>
  <c r="AI1154" i="7"/>
  <c r="S1177" i="7"/>
  <c r="T1177" i="7"/>
  <c r="K1178" i="7"/>
  <c r="L1178" i="7"/>
  <c r="S1180" i="7"/>
  <c r="T1180" i="7"/>
  <c r="K1181" i="7"/>
  <c r="L1181" i="7"/>
  <c r="S1183" i="7"/>
  <c r="T1183" i="7"/>
  <c r="K1184" i="7"/>
  <c r="L1184" i="7"/>
  <c r="S1186" i="7"/>
  <c r="T1186" i="7"/>
  <c r="K1187" i="7"/>
  <c r="L1187" i="7"/>
  <c r="S1189" i="7"/>
  <c r="T1189" i="7"/>
  <c r="K1190" i="7"/>
  <c r="L1190" i="7"/>
  <c r="S1192" i="7"/>
  <c r="T1192" i="7"/>
  <c r="AJ1196" i="7"/>
  <c r="AI1196" i="7"/>
  <c r="K1199" i="7"/>
  <c r="L1199" i="7"/>
  <c r="L1201" i="7"/>
  <c r="K1201" i="7"/>
  <c r="AI1210" i="7"/>
  <c r="AJ1210" i="7"/>
  <c r="AA1215" i="7"/>
  <c r="AB1215" i="7"/>
  <c r="T1227" i="7"/>
  <c r="S1227" i="7"/>
  <c r="S832" i="7"/>
  <c r="R832" i="7" s="1"/>
  <c r="C834" i="7"/>
  <c r="B834" i="7" s="1"/>
  <c r="AH837" i="7"/>
  <c r="J839" i="7"/>
  <c r="AP839" i="7"/>
  <c r="AJ840" i="7"/>
  <c r="AH840" i="7" s="1"/>
  <c r="J844" i="7"/>
  <c r="S846" i="7"/>
  <c r="R846" i="7" s="1"/>
  <c r="AR846" i="7"/>
  <c r="AP846" i="7" s="1"/>
  <c r="AI847" i="7"/>
  <c r="AH847" i="7" s="1"/>
  <c r="AI850" i="7"/>
  <c r="AH850" i="7" s="1"/>
  <c r="AR851" i="7"/>
  <c r="AP851" i="7" s="1"/>
  <c r="AI853" i="7"/>
  <c r="AH853" i="7" s="1"/>
  <c r="AR854" i="7"/>
  <c r="AP854" i="7" s="1"/>
  <c r="AI856" i="7"/>
  <c r="AH856" i="7" s="1"/>
  <c r="AI859" i="7"/>
  <c r="AH859" i="7" s="1"/>
  <c r="AI862" i="7"/>
  <c r="AH862" i="7" s="1"/>
  <c r="AR863" i="7"/>
  <c r="AP863" i="7" s="1"/>
  <c r="AI865" i="7"/>
  <c r="AH865" i="7" s="1"/>
  <c r="AR866" i="7"/>
  <c r="AP866" i="7" s="1"/>
  <c r="AI868" i="7"/>
  <c r="AH868" i="7" s="1"/>
  <c r="AP874" i="7"/>
  <c r="AR881" i="7"/>
  <c r="AI884" i="7"/>
  <c r="AH884" i="7" s="1"/>
  <c r="J888" i="7"/>
  <c r="AR893" i="7"/>
  <c r="AP898" i="7"/>
  <c r="AR899" i="7"/>
  <c r="AP899" i="7" s="1"/>
  <c r="AP904" i="7"/>
  <c r="AR905" i="7"/>
  <c r="AI908" i="7"/>
  <c r="AH908" i="7" s="1"/>
  <c r="J912" i="7"/>
  <c r="J918" i="7"/>
  <c r="AP922" i="7"/>
  <c r="J924" i="7"/>
  <c r="AR929" i="7"/>
  <c r="AP929" i="7" s="1"/>
  <c r="AR935" i="7"/>
  <c r="AP935" i="7" s="1"/>
  <c r="J942" i="7"/>
  <c r="AH958" i="7"/>
  <c r="T959" i="7"/>
  <c r="R959" i="7" s="1"/>
  <c r="AR962" i="7"/>
  <c r="AP962" i="7" s="1"/>
  <c r="AH970" i="7"/>
  <c r="J972" i="7"/>
  <c r="AR974" i="7"/>
  <c r="AP974" i="7" s="1"/>
  <c r="AP976" i="7"/>
  <c r="AH982" i="7"/>
  <c r="T983" i="7"/>
  <c r="R983" i="7" s="1"/>
  <c r="R985" i="7"/>
  <c r="AR986" i="7"/>
  <c r="AP986" i="7" s="1"/>
  <c r="AP988" i="7"/>
  <c r="Z997" i="7"/>
  <c r="AB998" i="7"/>
  <c r="Z998" i="7" s="1"/>
  <c r="Z1003" i="7"/>
  <c r="AB1004" i="7"/>
  <c r="Z1004" i="7" s="1"/>
  <c r="J1005" i="7"/>
  <c r="Z1009" i="7"/>
  <c r="J1011" i="7"/>
  <c r="Z1015" i="7"/>
  <c r="AA1021" i="7"/>
  <c r="AB1021" i="7"/>
  <c r="K1025" i="7"/>
  <c r="L1025" i="7"/>
  <c r="K1031" i="7"/>
  <c r="L1031" i="7"/>
  <c r="S1033" i="7"/>
  <c r="T1033" i="7"/>
  <c r="K1037" i="7"/>
  <c r="L1037" i="7"/>
  <c r="AA1051" i="7"/>
  <c r="AB1051" i="7"/>
  <c r="J1054" i="7"/>
  <c r="AJ1055" i="7"/>
  <c r="AI1055" i="7"/>
  <c r="AQ1060" i="7"/>
  <c r="AR1060" i="7"/>
  <c r="AA1061" i="7"/>
  <c r="AB1061" i="7"/>
  <c r="S1064" i="7"/>
  <c r="T1064" i="7"/>
  <c r="AJ1067" i="7"/>
  <c r="AI1067" i="7"/>
  <c r="AA1070" i="7"/>
  <c r="AB1070" i="7"/>
  <c r="AQ1073" i="7"/>
  <c r="AR1073" i="7"/>
  <c r="Z1075" i="7"/>
  <c r="AP1075" i="7"/>
  <c r="R1077" i="7"/>
  <c r="R1078" i="7"/>
  <c r="AQ1083" i="7"/>
  <c r="AP1083" i="7" s="1"/>
  <c r="AR1083" i="7"/>
  <c r="AQ1086" i="7"/>
  <c r="AR1086" i="7"/>
  <c r="AQ1092" i="7"/>
  <c r="AR1092" i="7"/>
  <c r="AQ1098" i="7"/>
  <c r="AP1098" i="7" s="1"/>
  <c r="AR1098" i="7"/>
  <c r="AQ1104" i="7"/>
  <c r="AR1104" i="7"/>
  <c r="AQ1110" i="7"/>
  <c r="AR1110" i="7"/>
  <c r="AQ1116" i="7"/>
  <c r="AP1116" i="7" s="1"/>
  <c r="AR1116" i="7"/>
  <c r="K1120" i="7"/>
  <c r="L1120" i="7"/>
  <c r="Z1120" i="7"/>
  <c r="AJ1121" i="7"/>
  <c r="AI1121" i="7"/>
  <c r="AB1123" i="7"/>
  <c r="Z1123" i="7" s="1"/>
  <c r="AR1123" i="7"/>
  <c r="AP1123" i="7" s="1"/>
  <c r="J1127" i="7"/>
  <c r="R1128" i="7"/>
  <c r="S1133" i="7"/>
  <c r="T1133" i="7"/>
  <c r="K1138" i="7"/>
  <c r="L1138" i="7"/>
  <c r="Z1138" i="7"/>
  <c r="AP1138" i="7"/>
  <c r="AJ1139" i="7"/>
  <c r="AI1139" i="7"/>
  <c r="AB1141" i="7"/>
  <c r="Z1141" i="7" s="1"/>
  <c r="AR1141" i="7"/>
  <c r="AP1141" i="7" s="1"/>
  <c r="J1145" i="7"/>
  <c r="S1151" i="7"/>
  <c r="T1151" i="7"/>
  <c r="K1156" i="7"/>
  <c r="L1156" i="7"/>
  <c r="Z1156" i="7"/>
  <c r="AJ1157" i="7"/>
  <c r="AI1157" i="7"/>
  <c r="K1159" i="7"/>
  <c r="L1159" i="7"/>
  <c r="AJ1160" i="7"/>
  <c r="AI1160" i="7"/>
  <c r="K1162" i="7"/>
  <c r="L1162" i="7"/>
  <c r="AJ1163" i="7"/>
  <c r="AI1163" i="7"/>
  <c r="K1165" i="7"/>
  <c r="L1165" i="7"/>
  <c r="AJ1166" i="7"/>
  <c r="AI1166" i="7"/>
  <c r="K1168" i="7"/>
  <c r="L1168" i="7"/>
  <c r="AJ1169" i="7"/>
  <c r="AI1169" i="7"/>
  <c r="K1171" i="7"/>
  <c r="L1171" i="7"/>
  <c r="AJ1172" i="7"/>
  <c r="AI1172" i="7"/>
  <c r="K1174" i="7"/>
  <c r="L1174" i="7"/>
  <c r="AJ1175" i="7"/>
  <c r="AI1175" i="7"/>
  <c r="AI1204" i="7"/>
  <c r="AJ1204" i="7"/>
  <c r="AI1205" i="7"/>
  <c r="AJ1205" i="7"/>
  <c r="AQ1206" i="7"/>
  <c r="AR1206" i="7"/>
  <c r="AA1209" i="7"/>
  <c r="AB1209" i="7"/>
  <c r="L1213" i="7"/>
  <c r="K1213" i="7"/>
  <c r="S1216" i="7"/>
  <c r="T1216" i="7"/>
  <c r="AA1226" i="7"/>
  <c r="AB1226" i="7"/>
  <c r="Z1023" i="7"/>
  <c r="Z1035" i="7"/>
  <c r="AP1071" i="7"/>
  <c r="AP1077" i="7"/>
  <c r="Z1084" i="7"/>
  <c r="AP1085" i="7"/>
  <c r="Z1090" i="7"/>
  <c r="AP1091" i="7"/>
  <c r="Z1096" i="7"/>
  <c r="AP1097" i="7"/>
  <c r="Z1102" i="7"/>
  <c r="AP1103" i="7"/>
  <c r="Z1108" i="7"/>
  <c r="AP1109" i="7"/>
  <c r="Z1114" i="7"/>
  <c r="AP1115" i="7"/>
  <c r="Z1119" i="7"/>
  <c r="AP1119" i="7"/>
  <c r="Z1122" i="7"/>
  <c r="AP1122" i="7"/>
  <c r="Z1125" i="7"/>
  <c r="AP1125" i="7"/>
  <c r="Z1128" i="7"/>
  <c r="AP1128" i="7"/>
  <c r="Z1131" i="7"/>
  <c r="AP1131" i="7"/>
  <c r="Z1134" i="7"/>
  <c r="AP1134" i="7"/>
  <c r="Z1137" i="7"/>
  <c r="AP1137" i="7"/>
  <c r="Z1140" i="7"/>
  <c r="AP1140" i="7"/>
  <c r="Z1143" i="7"/>
  <c r="AP1143" i="7"/>
  <c r="Z1146" i="7"/>
  <c r="AP1146" i="7"/>
  <c r="Z1149" i="7"/>
  <c r="Z1152" i="7"/>
  <c r="AP1152" i="7"/>
  <c r="Z1155" i="7"/>
  <c r="AP1155" i="7"/>
  <c r="Z1158" i="7"/>
  <c r="AP1158" i="7"/>
  <c r="Z1161" i="7"/>
  <c r="AP1161" i="7"/>
  <c r="Z1164" i="7"/>
  <c r="AP1164" i="7"/>
  <c r="Z1167" i="7"/>
  <c r="AP1167" i="7"/>
  <c r="Z1170" i="7"/>
  <c r="AP1170" i="7"/>
  <c r="Z1173" i="7"/>
  <c r="AP1173" i="7"/>
  <c r="AP1192" i="7"/>
  <c r="AP1195" i="7"/>
  <c r="AP1198" i="7"/>
  <c r="AP1217" i="7"/>
  <c r="R1219" i="7"/>
  <c r="AP1220" i="7"/>
  <c r="R1222" i="7"/>
  <c r="AP1223" i="7"/>
  <c r="R1225" i="7"/>
  <c r="C1228" i="7"/>
  <c r="D1228" i="7"/>
  <c r="AP1156" i="7"/>
  <c r="Z1159" i="7"/>
  <c r="AP1159" i="7"/>
  <c r="Z1162" i="7"/>
  <c r="AP1162" i="7"/>
  <c r="Z1165" i="7"/>
  <c r="AP1165" i="7"/>
  <c r="Z1168" i="7"/>
  <c r="AP1168" i="7"/>
  <c r="Z1171" i="7"/>
  <c r="AP1171" i="7"/>
  <c r="Z1174" i="7"/>
  <c r="AP1174" i="7"/>
  <c r="AP1176" i="7"/>
  <c r="AA1178" i="7"/>
  <c r="Z1178" i="7" s="1"/>
  <c r="AP1179" i="7"/>
  <c r="AA1181" i="7"/>
  <c r="Z1181" i="7" s="1"/>
  <c r="AP1182" i="7"/>
  <c r="AA1184" i="7"/>
  <c r="Z1184" i="7" s="1"/>
  <c r="AP1185" i="7"/>
  <c r="AA1187" i="7"/>
  <c r="Z1187" i="7" s="1"/>
  <c r="AP1188" i="7"/>
  <c r="AA1190" i="7"/>
  <c r="Z1190" i="7" s="1"/>
  <c r="AP1191" i="7"/>
  <c r="AA1193" i="7"/>
  <c r="Z1193" i="7" s="1"/>
  <c r="AP1194" i="7"/>
  <c r="AA1196" i="7"/>
  <c r="Z1196" i="7" s="1"/>
  <c r="AP1197" i="7"/>
  <c r="AA1199" i="7"/>
  <c r="Z1199" i="7" s="1"/>
  <c r="S1205" i="7"/>
  <c r="R1205" i="7" s="1"/>
  <c r="S1211" i="7"/>
  <c r="R1211" i="7" s="1"/>
  <c r="AJ1212" i="7"/>
  <c r="AH1212" i="7" s="1"/>
  <c r="K1215" i="7"/>
  <c r="J1215" i="7" s="1"/>
  <c r="AQ1216" i="7"/>
  <c r="AP1216" i="7" s="1"/>
  <c r="S1218" i="7"/>
  <c r="R1218" i="7" s="1"/>
  <c r="AQ1219" i="7"/>
  <c r="AP1219" i="7" s="1"/>
  <c r="S1221" i="7"/>
  <c r="R1221" i="7" s="1"/>
  <c r="AQ1222" i="7"/>
  <c r="AP1222" i="7" s="1"/>
  <c r="S1224" i="7"/>
  <c r="R1224" i="7" s="1"/>
  <c r="S1226" i="7"/>
  <c r="R1226" i="7" s="1"/>
  <c r="AP1227" i="7"/>
  <c r="AP1229" i="7"/>
  <c r="Z1020" i="7"/>
  <c r="Z1026" i="7"/>
  <c r="Z1032" i="7"/>
  <c r="Z1038" i="7"/>
  <c r="Z1044" i="7"/>
  <c r="Z1050" i="7"/>
  <c r="R1066" i="7"/>
  <c r="AB1088" i="7"/>
  <c r="AP1088" i="7"/>
  <c r="AR1089" i="7"/>
  <c r="AP1089" i="7" s="1"/>
  <c r="Z1093" i="7"/>
  <c r="AB1094" i="7"/>
  <c r="Z1094" i="7" s="1"/>
  <c r="AP1094" i="7"/>
  <c r="AR1095" i="7"/>
  <c r="AP1095" i="7" s="1"/>
  <c r="Z1099" i="7"/>
  <c r="AB1100" i="7"/>
  <c r="Z1100" i="7" s="1"/>
  <c r="AP1100" i="7"/>
  <c r="AR1101" i="7"/>
  <c r="AP1101" i="7" s="1"/>
  <c r="Z1105" i="7"/>
  <c r="AB1106" i="7"/>
  <c r="AP1106" i="7"/>
  <c r="AR1107" i="7"/>
  <c r="AP1107" i="7" s="1"/>
  <c r="Z1111" i="7"/>
  <c r="AB1112" i="7"/>
  <c r="Z1112" i="7" s="1"/>
  <c r="AP1112" i="7"/>
  <c r="AR1113" i="7"/>
  <c r="AP1113" i="7" s="1"/>
  <c r="Z1117" i="7"/>
  <c r="AB1118" i="7"/>
  <c r="Z1118" i="7" s="1"/>
  <c r="AR1118" i="7"/>
  <c r="AP1118" i="7" s="1"/>
  <c r="AB1121" i="7"/>
  <c r="Z1121" i="7" s="1"/>
  <c r="AR1121" i="7"/>
  <c r="AP1121" i="7" s="1"/>
  <c r="AB1124" i="7"/>
  <c r="AR1124" i="7"/>
  <c r="AP1124" i="7" s="1"/>
  <c r="AB1127" i="7"/>
  <c r="Z1127" i="7" s="1"/>
  <c r="AR1127" i="7"/>
  <c r="AP1127" i="7" s="1"/>
  <c r="AB1130" i="7"/>
  <c r="Z1130" i="7" s="1"/>
  <c r="AR1130" i="7"/>
  <c r="AP1130" i="7" s="1"/>
  <c r="AB1133" i="7"/>
  <c r="Z1133" i="7" s="1"/>
  <c r="AR1133" i="7"/>
  <c r="AP1133" i="7" s="1"/>
  <c r="AB1136" i="7"/>
  <c r="Z1136" i="7" s="1"/>
  <c r="AR1136" i="7"/>
  <c r="AP1136" i="7" s="1"/>
  <c r="AB1139" i="7"/>
  <c r="Z1139" i="7" s="1"/>
  <c r="AR1139" i="7"/>
  <c r="AP1139" i="7" s="1"/>
  <c r="AB1142" i="7"/>
  <c r="Z1142" i="7" s="1"/>
  <c r="AR1142" i="7"/>
  <c r="AP1142" i="7" s="1"/>
  <c r="AB1145" i="7"/>
  <c r="Z1145" i="7" s="1"/>
  <c r="AR1145" i="7"/>
  <c r="AP1145" i="7" s="1"/>
  <c r="AB1148" i="7"/>
  <c r="Z1148" i="7" s="1"/>
  <c r="AR1148" i="7"/>
  <c r="AP1148" i="7" s="1"/>
  <c r="AB1151" i="7"/>
  <c r="AR1151" i="7"/>
  <c r="AP1151" i="7" s="1"/>
  <c r="AB1154" i="7"/>
  <c r="Z1154" i="7" s="1"/>
  <c r="AR1154" i="7"/>
  <c r="AP1154" i="7" s="1"/>
  <c r="AB1157" i="7"/>
  <c r="Z1157" i="7" s="1"/>
  <c r="AR1157" i="7"/>
  <c r="AP1157" i="7" s="1"/>
  <c r="AB1160" i="7"/>
  <c r="Z1160" i="7" s="1"/>
  <c r="AR1160" i="7"/>
  <c r="AP1160" i="7" s="1"/>
  <c r="AB1163" i="7"/>
  <c r="Z1163" i="7" s="1"/>
  <c r="AR1163" i="7"/>
  <c r="AP1163" i="7" s="1"/>
  <c r="AB1166" i="7"/>
  <c r="Z1166" i="7" s="1"/>
  <c r="AR1166" i="7"/>
  <c r="AP1166" i="7" s="1"/>
  <c r="AB1169" i="7"/>
  <c r="Z1169" i="7" s="1"/>
  <c r="AR1169" i="7"/>
  <c r="AP1169" i="7" s="1"/>
  <c r="AB1172" i="7"/>
  <c r="Z1172" i="7" s="1"/>
  <c r="AR1172" i="7"/>
  <c r="AP1172" i="7" s="1"/>
  <c r="AB1175" i="7"/>
  <c r="Z1175" i="7" s="1"/>
  <c r="AR1175" i="7"/>
  <c r="AP1175" i="7" s="1"/>
  <c r="AR1178" i="7"/>
  <c r="AR1181" i="7"/>
  <c r="AP1181" i="7" s="1"/>
  <c r="AR1184" i="7"/>
  <c r="AP1184" i="7" s="1"/>
  <c r="AR1187" i="7"/>
  <c r="AP1187" i="7" s="1"/>
  <c r="AR1190" i="7"/>
  <c r="AP1190" i="7" s="1"/>
  <c r="AR1193" i="7"/>
  <c r="AP1193" i="7" s="1"/>
  <c r="AR1196" i="7"/>
  <c r="AP1196" i="7" s="1"/>
  <c r="AR1199" i="7"/>
  <c r="AP1199" i="7" s="1"/>
  <c r="K1200" i="7"/>
  <c r="J1200" i="7" s="1"/>
  <c r="AH1200" i="7"/>
  <c r="D1201" i="7"/>
  <c r="B1201" i="7" s="1"/>
  <c r="AA1204" i="7"/>
  <c r="Z1204" i="7" s="1"/>
  <c r="AQ1205" i="7"/>
  <c r="K1206" i="7"/>
  <c r="J1206" i="7" s="1"/>
  <c r="AH1206" i="7"/>
  <c r="D1207" i="7"/>
  <c r="B1207" i="7" s="1"/>
  <c r="AA1210" i="7"/>
  <c r="AQ1211" i="7"/>
  <c r="AP1211" i="7" s="1"/>
  <c r="K1212" i="7"/>
  <c r="J1212" i="7" s="1"/>
  <c r="D1213" i="7"/>
  <c r="B1213" i="7" s="1"/>
  <c r="AA1216" i="7"/>
  <c r="D1226" i="7"/>
  <c r="B1226" i="7" s="1"/>
  <c r="C1227" i="7"/>
  <c r="D1227" i="7"/>
  <c r="Z1088" i="7"/>
  <c r="Z1106" i="7"/>
  <c r="Z1124" i="7"/>
  <c r="Z1151" i="7"/>
  <c r="AP1178" i="7"/>
  <c r="AR1030" i="7"/>
  <c r="AP1030" i="7" s="1"/>
  <c r="AR1036" i="7"/>
  <c r="AR1042" i="7"/>
  <c r="AB1059" i="7"/>
  <c r="Z1059" i="7" s="1"/>
  <c r="AR1059" i="7"/>
  <c r="AP1059" i="7" s="1"/>
  <c r="AB1065" i="7"/>
  <c r="Z1065" i="7" s="1"/>
  <c r="AR1065" i="7"/>
  <c r="AP1065" i="7" s="1"/>
  <c r="AB1071" i="7"/>
  <c r="Z1071" i="7" s="1"/>
  <c r="AP1084" i="7"/>
  <c r="AP1090" i="7"/>
  <c r="Z1095" i="7"/>
  <c r="AP1096" i="7"/>
  <c r="Z1101" i="7"/>
  <c r="AP1102" i="7"/>
  <c r="Z1107" i="7"/>
  <c r="AP1108" i="7"/>
  <c r="Z1113" i="7"/>
  <c r="AP1114" i="7"/>
  <c r="AR1177" i="7"/>
  <c r="AP1177" i="7" s="1"/>
  <c r="AR1180" i="7"/>
  <c r="AP1180" i="7" s="1"/>
  <c r="AR1183" i="7"/>
  <c r="AP1183" i="7" s="1"/>
  <c r="AR1186" i="7"/>
  <c r="AP1186" i="7" s="1"/>
  <c r="AR1189" i="7"/>
  <c r="AP1189" i="7" s="1"/>
  <c r="AH1202" i="7"/>
  <c r="AH1208" i="7"/>
  <c r="AH1214" i="7"/>
  <c r="AR1228" i="7"/>
  <c r="AQ1228" i="7"/>
  <c r="S1230" i="7"/>
  <c r="R1230" i="7" s="1"/>
  <c r="AQ1231" i="7"/>
  <c r="S1233" i="7"/>
  <c r="R1233" i="7" s="1"/>
  <c r="AQ1234" i="7"/>
  <c r="S1236" i="7"/>
  <c r="AQ1237" i="7"/>
  <c r="S1239" i="7"/>
  <c r="R1239" i="7" s="1"/>
  <c r="AQ1240" i="7"/>
  <c r="S1242" i="7"/>
  <c r="R1242" i="7" s="1"/>
  <c r="AQ1243" i="7"/>
  <c r="S1245" i="7"/>
  <c r="AQ1246" i="7"/>
  <c r="S1248" i="7"/>
  <c r="R1248" i="7" s="1"/>
  <c r="AQ1249" i="7"/>
  <c r="D1251" i="7"/>
  <c r="B1251" i="7" s="1"/>
  <c r="S1252" i="7"/>
  <c r="R1252" i="7" s="1"/>
  <c r="AQ1254" i="7"/>
  <c r="AP1254" i="7" s="1"/>
  <c r="D1257" i="7"/>
  <c r="S1258" i="7"/>
  <c r="R1258" i="7" s="1"/>
  <c r="AQ1260" i="7"/>
  <c r="AP1260" i="7" s="1"/>
  <c r="D1263" i="7"/>
  <c r="B1263" i="7" s="1"/>
  <c r="S1264" i="7"/>
  <c r="R1264" i="7" s="1"/>
  <c r="AB1265" i="7"/>
  <c r="Z1265" i="7" s="1"/>
  <c r="AQ1266" i="7"/>
  <c r="AP1266" i="7" s="1"/>
  <c r="D1269" i="7"/>
  <c r="B1269" i="7" s="1"/>
  <c r="S1270" i="7"/>
  <c r="R1270" i="7" s="1"/>
  <c r="AB1271" i="7"/>
  <c r="Z1271" i="7" s="1"/>
  <c r="AQ1272" i="7"/>
  <c r="AP1272" i="7" s="1"/>
  <c r="D1275" i="7"/>
  <c r="S1276" i="7"/>
  <c r="R1276" i="7" s="1"/>
  <c r="AB1277" i="7"/>
  <c r="Z1277" i="7" s="1"/>
  <c r="AQ1278" i="7"/>
  <c r="AP1278" i="7" s="1"/>
  <c r="D1281" i="7"/>
  <c r="S1282" i="7"/>
  <c r="R1282" i="7" s="1"/>
  <c r="AB1283" i="7"/>
  <c r="Z1283" i="7" s="1"/>
  <c r="AQ1284" i="7"/>
  <c r="AQ1285" i="7"/>
  <c r="AP1285" i="7" s="1"/>
  <c r="AQ1286" i="7"/>
  <c r="AP1286" i="7" s="1"/>
  <c r="AQ1287" i="7"/>
  <c r="AP1287" i="7" s="1"/>
  <c r="AP1337" i="7"/>
  <c r="AP1338" i="7"/>
  <c r="AP1339" i="7"/>
  <c r="AP1340" i="7"/>
  <c r="AP1341" i="7"/>
  <c r="AP1342" i="7"/>
  <c r="AP1343" i="7"/>
  <c r="AP1344" i="7"/>
  <c r="AP1345" i="7"/>
  <c r="AP1346" i="7"/>
  <c r="AP1347" i="7"/>
  <c r="AP1348" i="7"/>
  <c r="AP1350" i="7"/>
  <c r="AP1351" i="7"/>
  <c r="AP1352" i="7"/>
  <c r="AP1353" i="7"/>
  <c r="AP1354" i="7"/>
  <c r="AP1355" i="7"/>
  <c r="AP1356" i="7"/>
  <c r="AP1357" i="7"/>
  <c r="AP1358" i="7"/>
  <c r="AP1359" i="7"/>
  <c r="AP1360" i="7"/>
  <c r="AP1361" i="7"/>
  <c r="AP1362" i="7"/>
  <c r="AP1363" i="7"/>
  <c r="AP1364" i="7"/>
  <c r="AP1365" i="7"/>
  <c r="AP1366" i="7"/>
  <c r="AR1367" i="7"/>
  <c r="AP1367" i="7" s="1"/>
  <c r="K1377" i="7"/>
  <c r="L1377" i="7"/>
  <c r="AR1382" i="7"/>
  <c r="AQ1382" i="7"/>
  <c r="AR1395" i="7"/>
  <c r="AQ1395" i="7"/>
  <c r="AR1400" i="7"/>
  <c r="AQ1400" i="7"/>
  <c r="AA1407" i="7"/>
  <c r="AB1407" i="7"/>
  <c r="AR1413" i="7"/>
  <c r="AQ1413" i="7"/>
  <c r="Z1424" i="7"/>
  <c r="AR1425" i="7"/>
  <c r="AQ1425" i="7"/>
  <c r="K1452" i="7"/>
  <c r="L1452" i="7"/>
  <c r="AR1453" i="7"/>
  <c r="AQ1453" i="7"/>
  <c r="K1480" i="7"/>
  <c r="L1480" i="7"/>
  <c r="AA1485" i="7"/>
  <c r="AB1485" i="7"/>
  <c r="AA1497" i="7"/>
  <c r="AB1497" i="7"/>
  <c r="D1230" i="7"/>
  <c r="B1230" i="7" s="1"/>
  <c r="AB1231" i="7"/>
  <c r="Z1231" i="7" s="1"/>
  <c r="D1233" i="7"/>
  <c r="B1233" i="7" s="1"/>
  <c r="AB1234" i="7"/>
  <c r="Z1234" i="7" s="1"/>
  <c r="D1236" i="7"/>
  <c r="B1236" i="7" s="1"/>
  <c r="AB1237" i="7"/>
  <c r="Z1237" i="7" s="1"/>
  <c r="D1239" i="7"/>
  <c r="B1239" i="7" s="1"/>
  <c r="AB1240" i="7"/>
  <c r="Z1240" i="7" s="1"/>
  <c r="D1242" i="7"/>
  <c r="B1242" i="7" s="1"/>
  <c r="AB1243" i="7"/>
  <c r="Z1243" i="7" s="1"/>
  <c r="D1245" i="7"/>
  <c r="B1245" i="7" s="1"/>
  <c r="AB1246" i="7"/>
  <c r="Z1246" i="7" s="1"/>
  <c r="D1248" i="7"/>
  <c r="B1248" i="7" s="1"/>
  <c r="AB1249" i="7"/>
  <c r="Z1249" i="7" s="1"/>
  <c r="D1252" i="7"/>
  <c r="AB1254" i="7"/>
  <c r="Z1254" i="7" s="1"/>
  <c r="AB1255" i="7"/>
  <c r="Z1255" i="7" s="1"/>
  <c r="D1258" i="7"/>
  <c r="AB1260" i="7"/>
  <c r="Z1260" i="7" s="1"/>
  <c r="AB1261" i="7"/>
  <c r="Z1261" i="7" s="1"/>
  <c r="D1264" i="7"/>
  <c r="R1265" i="7"/>
  <c r="AB1266" i="7"/>
  <c r="Z1266" i="7" s="1"/>
  <c r="AB1267" i="7"/>
  <c r="Z1267" i="7" s="1"/>
  <c r="D1270" i="7"/>
  <c r="B1270" i="7" s="1"/>
  <c r="R1271" i="7"/>
  <c r="AB1272" i="7"/>
  <c r="Z1272" i="7" s="1"/>
  <c r="AB1273" i="7"/>
  <c r="Z1273" i="7" s="1"/>
  <c r="D1276" i="7"/>
  <c r="B1276" i="7" s="1"/>
  <c r="R1277" i="7"/>
  <c r="AB1278" i="7"/>
  <c r="Z1278" i="7" s="1"/>
  <c r="AB1279" i="7"/>
  <c r="Z1279" i="7" s="1"/>
  <c r="D1282" i="7"/>
  <c r="R1283" i="7"/>
  <c r="AB1284" i="7"/>
  <c r="Z1284" i="7" s="1"/>
  <c r="AB1285" i="7"/>
  <c r="Z1285" i="7" s="1"/>
  <c r="AB1286" i="7"/>
  <c r="Z1286" i="7" s="1"/>
  <c r="AB1287" i="7"/>
  <c r="Z1287" i="7" s="1"/>
  <c r="T1379" i="7"/>
  <c r="S1379" i="7"/>
  <c r="AR1388" i="7"/>
  <c r="AQ1388" i="7"/>
  <c r="K1394" i="7"/>
  <c r="L1394" i="7"/>
  <c r="K1412" i="7"/>
  <c r="L1412" i="7"/>
  <c r="AR1418" i="7"/>
  <c r="AQ1418" i="7"/>
  <c r="K1424" i="7"/>
  <c r="L1424" i="7"/>
  <c r="AR1430" i="7"/>
  <c r="AQ1430" i="7"/>
  <c r="K1440" i="7"/>
  <c r="L1440" i="7"/>
  <c r="AR1441" i="7"/>
  <c r="AQ1441" i="7"/>
  <c r="AA1451" i="7"/>
  <c r="AB1451" i="7"/>
  <c r="C1474" i="7"/>
  <c r="D1474" i="7"/>
  <c r="K1476" i="7"/>
  <c r="L1476" i="7"/>
  <c r="T1478" i="7"/>
  <c r="S1478" i="7"/>
  <c r="AR1486" i="7"/>
  <c r="AQ1486" i="7"/>
  <c r="C1489" i="7"/>
  <c r="D1489" i="7"/>
  <c r="K1492" i="7"/>
  <c r="L1492" i="7"/>
  <c r="AR1498" i="7"/>
  <c r="AQ1498" i="7"/>
  <c r="C1501" i="7"/>
  <c r="D1501" i="7"/>
  <c r="K1504" i="7"/>
  <c r="L1504" i="7"/>
  <c r="AR1506" i="7"/>
  <c r="AQ1506" i="7"/>
  <c r="R1231" i="7"/>
  <c r="R1254" i="7"/>
  <c r="AP1255" i="7"/>
  <c r="R1260" i="7"/>
  <c r="R1266" i="7"/>
  <c r="AP1267" i="7"/>
  <c r="R1272" i="7"/>
  <c r="AP1273" i="7"/>
  <c r="R1278" i="7"/>
  <c r="R1284" i="7"/>
  <c r="Z1288" i="7"/>
  <c r="Z1290" i="7"/>
  <c r="Z1291" i="7"/>
  <c r="Z1293" i="7"/>
  <c r="Z1294" i="7"/>
  <c r="Z1296" i="7"/>
  <c r="Z1297" i="7"/>
  <c r="Z1299" i="7"/>
  <c r="Z1300" i="7"/>
  <c r="Z1301" i="7"/>
  <c r="Z1303" i="7"/>
  <c r="Z1304" i="7"/>
  <c r="Z1306" i="7"/>
  <c r="Z1307" i="7"/>
  <c r="Z1309" i="7"/>
  <c r="Z1310" i="7"/>
  <c r="Z1312" i="7"/>
  <c r="Z1313" i="7"/>
  <c r="Z1315" i="7"/>
  <c r="Z1316" i="7"/>
  <c r="Z1318" i="7"/>
  <c r="Z1319" i="7"/>
  <c r="Z1320" i="7"/>
  <c r="Z1321" i="7"/>
  <c r="Z1322" i="7"/>
  <c r="Z1323" i="7"/>
  <c r="Z1324" i="7"/>
  <c r="Z1325" i="7"/>
  <c r="Z1326" i="7"/>
  <c r="Z1327" i="7"/>
  <c r="Z1328" i="7"/>
  <c r="Z1329" i="7"/>
  <c r="Z1330" i="7"/>
  <c r="Z1331" i="7"/>
  <c r="Z1332" i="7"/>
  <c r="Z1333" i="7"/>
  <c r="Z1334" i="7"/>
  <c r="Z1335" i="7"/>
  <c r="Z1336" i="7"/>
  <c r="Z1337" i="7"/>
  <c r="Z1338" i="7"/>
  <c r="Z1339" i="7"/>
  <c r="Z1340" i="7"/>
  <c r="Z1341" i="7"/>
  <c r="Z1342" i="7"/>
  <c r="Z1343" i="7"/>
  <c r="Z1344" i="7"/>
  <c r="Z1345" i="7"/>
  <c r="Z1346" i="7"/>
  <c r="Z1347" i="7"/>
  <c r="Z1348" i="7"/>
  <c r="Z1349" i="7"/>
  <c r="Z1350" i="7"/>
  <c r="Z1351" i="7"/>
  <c r="Z1352" i="7"/>
  <c r="Z1353" i="7"/>
  <c r="Z1354" i="7"/>
  <c r="Z1355" i="7"/>
  <c r="Z1356" i="7"/>
  <c r="Z1357" i="7"/>
  <c r="Z1358" i="7"/>
  <c r="Z1359" i="7"/>
  <c r="Z1360" i="7"/>
  <c r="Z1361" i="7"/>
  <c r="Z1362" i="7"/>
  <c r="Z1363" i="7"/>
  <c r="Z1364" i="7"/>
  <c r="Z1365" i="7"/>
  <c r="Z1366" i="7"/>
  <c r="Z1367" i="7"/>
  <c r="T1368" i="7"/>
  <c r="R1368" i="7" s="1"/>
  <c r="AR1372" i="7"/>
  <c r="AQ1372" i="7"/>
  <c r="B1378" i="7"/>
  <c r="Z1382" i="7"/>
  <c r="AR1383" i="7"/>
  <c r="AQ1383" i="7"/>
  <c r="B1387" i="7"/>
  <c r="AA1395" i="7"/>
  <c r="AB1395" i="7"/>
  <c r="T1397" i="7"/>
  <c r="S1397" i="7"/>
  <c r="Z1400" i="7"/>
  <c r="AR1401" i="7"/>
  <c r="AQ1401" i="7"/>
  <c r="B1405" i="7"/>
  <c r="AR1406" i="7"/>
  <c r="AQ1406" i="7"/>
  <c r="AA1413" i="7"/>
  <c r="AB1413" i="7"/>
  <c r="T1415" i="7"/>
  <c r="S1415" i="7"/>
  <c r="AA1425" i="7"/>
  <c r="AB1425" i="7"/>
  <c r="T1427" i="7"/>
  <c r="S1427" i="7"/>
  <c r="AR1452" i="7"/>
  <c r="AQ1452" i="7"/>
  <c r="AA1475" i="7"/>
  <c r="AB1475" i="7"/>
  <c r="C1478" i="7"/>
  <c r="D1478" i="7"/>
  <c r="T1483" i="7"/>
  <c r="S1483" i="7"/>
  <c r="B1490" i="7"/>
  <c r="T1495" i="7"/>
  <c r="S1495" i="7"/>
  <c r="B1502" i="7"/>
  <c r="AB1229" i="7"/>
  <c r="Z1229" i="7" s="1"/>
  <c r="D1231" i="7"/>
  <c r="B1231" i="7" s="1"/>
  <c r="AB1232" i="7"/>
  <c r="Z1232" i="7" s="1"/>
  <c r="D1234" i="7"/>
  <c r="B1234" i="7" s="1"/>
  <c r="AB1235" i="7"/>
  <c r="Z1235" i="7" s="1"/>
  <c r="D1237" i="7"/>
  <c r="B1237" i="7" s="1"/>
  <c r="AB1238" i="7"/>
  <c r="Z1238" i="7" s="1"/>
  <c r="D1240" i="7"/>
  <c r="B1240" i="7" s="1"/>
  <c r="AB1241" i="7"/>
  <c r="Z1241" i="7" s="1"/>
  <c r="D1243" i="7"/>
  <c r="B1243" i="7" s="1"/>
  <c r="AB1244" i="7"/>
  <c r="Z1244" i="7" s="1"/>
  <c r="D1246" i="7"/>
  <c r="B1246" i="7" s="1"/>
  <c r="AB1247" i="7"/>
  <c r="Z1247" i="7" s="1"/>
  <c r="D1249" i="7"/>
  <c r="B1249" i="7" s="1"/>
  <c r="AB1250" i="7"/>
  <c r="Z1250" i="7" s="1"/>
  <c r="AQ1251" i="7"/>
  <c r="AP1251" i="7" s="1"/>
  <c r="D1254" i="7"/>
  <c r="S1255" i="7"/>
  <c r="R1255" i="7" s="1"/>
  <c r="AB1256" i="7"/>
  <c r="Z1256" i="7" s="1"/>
  <c r="AQ1257" i="7"/>
  <c r="AP1257" i="7" s="1"/>
  <c r="S1261" i="7"/>
  <c r="R1261" i="7" s="1"/>
  <c r="AQ1263" i="7"/>
  <c r="AP1263" i="7" s="1"/>
  <c r="D1266" i="7"/>
  <c r="S1267" i="7"/>
  <c r="R1267" i="7" s="1"/>
  <c r="AQ1269" i="7"/>
  <c r="AP1269" i="7" s="1"/>
  <c r="D1272" i="7"/>
  <c r="S1273" i="7"/>
  <c r="R1273" i="7" s="1"/>
  <c r="AQ1275" i="7"/>
  <c r="AP1275" i="7" s="1"/>
  <c r="D1278" i="7"/>
  <c r="S1279" i="7"/>
  <c r="R1279" i="7" s="1"/>
  <c r="AQ1281" i="7"/>
  <c r="AP1281" i="7" s="1"/>
  <c r="D1284" i="7"/>
  <c r="S1285" i="7"/>
  <c r="R1285" i="7" s="1"/>
  <c r="S1286" i="7"/>
  <c r="R1286" i="7" s="1"/>
  <c r="S1287" i="7"/>
  <c r="R1287" i="7" s="1"/>
  <c r="S1288" i="7"/>
  <c r="R1288" i="7" s="1"/>
  <c r="S1289" i="7"/>
  <c r="R1289" i="7" s="1"/>
  <c r="S1290" i="7"/>
  <c r="R1290" i="7" s="1"/>
  <c r="S1291" i="7"/>
  <c r="R1291" i="7" s="1"/>
  <c r="S1292" i="7"/>
  <c r="R1292" i="7" s="1"/>
  <c r="S1293" i="7"/>
  <c r="R1293" i="7" s="1"/>
  <c r="S1294" i="7"/>
  <c r="R1294" i="7" s="1"/>
  <c r="S1295" i="7"/>
  <c r="R1295" i="7" s="1"/>
  <c r="S1296" i="7"/>
  <c r="R1296" i="7" s="1"/>
  <c r="S1297" i="7"/>
  <c r="R1297" i="7" s="1"/>
  <c r="S1298" i="7"/>
  <c r="R1298" i="7" s="1"/>
  <c r="S1299" i="7"/>
  <c r="R1299" i="7" s="1"/>
  <c r="S1300" i="7"/>
  <c r="R1300" i="7" s="1"/>
  <c r="S1301" i="7"/>
  <c r="R1301" i="7" s="1"/>
  <c r="S1302" i="7"/>
  <c r="R1302" i="7" s="1"/>
  <c r="S1303" i="7"/>
  <c r="R1303" i="7" s="1"/>
  <c r="S1304" i="7"/>
  <c r="R1304" i="7" s="1"/>
  <c r="S1305" i="7"/>
  <c r="R1305" i="7" s="1"/>
  <c r="S1306" i="7"/>
  <c r="R1306" i="7" s="1"/>
  <c r="S1307" i="7"/>
  <c r="R1307" i="7" s="1"/>
  <c r="S1308" i="7"/>
  <c r="R1308" i="7" s="1"/>
  <c r="S1309" i="7"/>
  <c r="R1309" i="7" s="1"/>
  <c r="S1310" i="7"/>
  <c r="R1310" i="7" s="1"/>
  <c r="S1311" i="7"/>
  <c r="R1311" i="7" s="1"/>
  <c r="S1312" i="7"/>
  <c r="R1312" i="7" s="1"/>
  <c r="S1313" i="7"/>
  <c r="R1313" i="7" s="1"/>
  <c r="S1314" i="7"/>
  <c r="R1314" i="7" s="1"/>
  <c r="S1315" i="7"/>
  <c r="R1315" i="7" s="1"/>
  <c r="S1316" i="7"/>
  <c r="R1316" i="7" s="1"/>
  <c r="S1317" i="7"/>
  <c r="R1317" i="7" s="1"/>
  <c r="S1318" i="7"/>
  <c r="R1318" i="7" s="1"/>
  <c r="S1319" i="7"/>
  <c r="R1319" i="7" s="1"/>
  <c r="S1320" i="7"/>
  <c r="R1320" i="7" s="1"/>
  <c r="S1321" i="7"/>
  <c r="R1321" i="7" s="1"/>
  <c r="S1322" i="7"/>
  <c r="R1322" i="7" s="1"/>
  <c r="S1323" i="7"/>
  <c r="R1323" i="7" s="1"/>
  <c r="S1324" i="7"/>
  <c r="R1324" i="7" s="1"/>
  <c r="S1325" i="7"/>
  <c r="R1325" i="7" s="1"/>
  <c r="S1326" i="7"/>
  <c r="R1326" i="7" s="1"/>
  <c r="S1327" i="7"/>
  <c r="R1327" i="7" s="1"/>
  <c r="S1328" i="7"/>
  <c r="R1328" i="7" s="1"/>
  <c r="S1329" i="7"/>
  <c r="R1329" i="7" s="1"/>
  <c r="S1330" i="7"/>
  <c r="R1330" i="7" s="1"/>
  <c r="S1331" i="7"/>
  <c r="R1331" i="7" s="1"/>
  <c r="S1332" i="7"/>
  <c r="R1332" i="7" s="1"/>
  <c r="S1333" i="7"/>
  <c r="R1333" i="7" s="1"/>
  <c r="S1334" i="7"/>
  <c r="R1334" i="7" s="1"/>
  <c r="S1335" i="7"/>
  <c r="R1335" i="7" s="1"/>
  <c r="S1336" i="7"/>
  <c r="R1336" i="7" s="1"/>
  <c r="S1337" i="7"/>
  <c r="R1337" i="7" s="1"/>
  <c r="S1338" i="7"/>
  <c r="R1338" i="7" s="1"/>
  <c r="D1368" i="7"/>
  <c r="AA1375" i="7"/>
  <c r="AB1375" i="7"/>
  <c r="K1382" i="7"/>
  <c r="L1382" i="7"/>
  <c r="T1385" i="7"/>
  <c r="S1385" i="7"/>
  <c r="AR1389" i="7"/>
  <c r="AQ1389" i="7"/>
  <c r="K1400" i="7"/>
  <c r="L1400" i="7"/>
  <c r="T1403" i="7"/>
  <c r="S1403" i="7"/>
  <c r="AR1419" i="7"/>
  <c r="AQ1419" i="7"/>
  <c r="AR1431" i="7"/>
  <c r="AQ1431" i="7"/>
  <c r="C1434" i="7"/>
  <c r="D1434" i="7"/>
  <c r="AA1439" i="7"/>
  <c r="AB1439" i="7"/>
  <c r="AR1440" i="7"/>
  <c r="AQ1440" i="7"/>
  <c r="C1446" i="7"/>
  <c r="D1446" i="7"/>
  <c r="B1447" i="7"/>
  <c r="K1451" i="7"/>
  <c r="L1451" i="7"/>
  <c r="C1483" i="7"/>
  <c r="D1483" i="7"/>
  <c r="Z1486" i="7"/>
  <c r="AA1491" i="7"/>
  <c r="AB1491" i="7"/>
  <c r="Z1498" i="7"/>
  <c r="AA1503" i="7"/>
  <c r="AB1503" i="7"/>
  <c r="R1229" i="7"/>
  <c r="AP1230" i="7"/>
  <c r="AB1251" i="7"/>
  <c r="Z1251" i="7" s="1"/>
  <c r="AB1252" i="7"/>
  <c r="D1255" i="7"/>
  <c r="R1256" i="7"/>
  <c r="AB1257" i="7"/>
  <c r="Z1257" i="7" s="1"/>
  <c r="AB1258" i="7"/>
  <c r="Z1258" i="7" s="1"/>
  <c r="D1261" i="7"/>
  <c r="AB1263" i="7"/>
  <c r="Z1263" i="7" s="1"/>
  <c r="AB1264" i="7"/>
  <c r="Z1264" i="7" s="1"/>
  <c r="D1267" i="7"/>
  <c r="R1268" i="7"/>
  <c r="AB1269" i="7"/>
  <c r="Z1269" i="7" s="1"/>
  <c r="AB1270" i="7"/>
  <c r="Z1270" i="7" s="1"/>
  <c r="D1273" i="7"/>
  <c r="AB1275" i="7"/>
  <c r="Z1275" i="7" s="1"/>
  <c r="AB1276" i="7"/>
  <c r="D1279" i="7"/>
  <c r="AB1281" i="7"/>
  <c r="Z1281" i="7" s="1"/>
  <c r="AB1282" i="7"/>
  <c r="Z1282" i="7" s="1"/>
  <c r="D1285" i="7"/>
  <c r="B1285" i="7" s="1"/>
  <c r="D1286" i="7"/>
  <c r="B1286" i="7" s="1"/>
  <c r="D1287" i="7"/>
  <c r="B1287" i="7" s="1"/>
  <c r="D1288" i="7"/>
  <c r="D1289" i="7"/>
  <c r="D1290" i="7"/>
  <c r="B1290" i="7" s="1"/>
  <c r="D1291" i="7"/>
  <c r="B1291" i="7" s="1"/>
  <c r="D1292" i="7"/>
  <c r="B1292" i="7" s="1"/>
  <c r="D1293" i="7"/>
  <c r="B1293" i="7" s="1"/>
  <c r="D1294" i="7"/>
  <c r="D1295" i="7"/>
  <c r="B1295" i="7" s="1"/>
  <c r="D1296" i="7"/>
  <c r="B1296" i="7" s="1"/>
  <c r="D1297" i="7"/>
  <c r="B1297" i="7" s="1"/>
  <c r="D1298" i="7"/>
  <c r="D1299" i="7"/>
  <c r="D1300" i="7"/>
  <c r="D1301" i="7"/>
  <c r="B1301" i="7" s="1"/>
  <c r="D1302" i="7"/>
  <c r="D1303" i="7"/>
  <c r="B1303" i="7" s="1"/>
  <c r="D1304" i="7"/>
  <c r="B1304" i="7" s="1"/>
  <c r="D1305" i="7"/>
  <c r="B1305" i="7" s="1"/>
  <c r="D1306" i="7"/>
  <c r="B1306" i="7" s="1"/>
  <c r="D1307" i="7"/>
  <c r="B1307" i="7" s="1"/>
  <c r="D1308" i="7"/>
  <c r="B1308" i="7" s="1"/>
  <c r="D1309" i="7"/>
  <c r="B1309" i="7" s="1"/>
  <c r="D1310" i="7"/>
  <c r="B1310" i="7" s="1"/>
  <c r="D1311" i="7"/>
  <c r="D1312" i="7"/>
  <c r="B1312" i="7" s="1"/>
  <c r="D1313" i="7"/>
  <c r="B1313" i="7" s="1"/>
  <c r="D1314" i="7"/>
  <c r="B1314" i="7" s="1"/>
  <c r="D1315" i="7"/>
  <c r="B1315" i="7" s="1"/>
  <c r="D1316" i="7"/>
  <c r="B1316" i="7" s="1"/>
  <c r="D1317" i="7"/>
  <c r="B1317" i="7" s="1"/>
  <c r="D1318" i="7"/>
  <c r="B1318" i="7" s="1"/>
  <c r="D1319" i="7"/>
  <c r="B1319" i="7" s="1"/>
  <c r="D1320" i="7"/>
  <c r="B1320" i="7" s="1"/>
  <c r="D1321" i="7"/>
  <c r="B1321" i="7" s="1"/>
  <c r="D1322" i="7"/>
  <c r="B1322" i="7" s="1"/>
  <c r="D1323" i="7"/>
  <c r="D1324" i="7"/>
  <c r="B1324" i="7" s="1"/>
  <c r="D1325" i="7"/>
  <c r="B1325" i="7" s="1"/>
  <c r="D1326" i="7"/>
  <c r="B1326" i="7" s="1"/>
  <c r="D1327" i="7"/>
  <c r="B1327" i="7" s="1"/>
  <c r="D1328" i="7"/>
  <c r="B1328" i="7" s="1"/>
  <c r="D1329" i="7"/>
  <c r="D1330" i="7"/>
  <c r="B1330" i="7" s="1"/>
  <c r="D1331" i="7"/>
  <c r="B1331" i="7" s="1"/>
  <c r="D1332" i="7"/>
  <c r="B1332" i="7" s="1"/>
  <c r="D1333" i="7"/>
  <c r="B1333" i="7" s="1"/>
  <c r="D1334" i="7"/>
  <c r="B1334" i="7" s="1"/>
  <c r="D1335" i="7"/>
  <c r="D1336" i="7"/>
  <c r="B1336" i="7" s="1"/>
  <c r="D1337" i="7"/>
  <c r="B1337" i="7" s="1"/>
  <c r="D1338" i="7"/>
  <c r="B1338" i="7" s="1"/>
  <c r="B1368" i="7"/>
  <c r="T1373" i="7"/>
  <c r="S1373" i="7"/>
  <c r="K1374" i="7"/>
  <c r="L1374" i="7"/>
  <c r="T1376" i="7"/>
  <c r="S1376" i="7"/>
  <c r="AA1383" i="7"/>
  <c r="AB1383" i="7"/>
  <c r="K1388" i="7"/>
  <c r="L1388" i="7"/>
  <c r="AR1394" i="7"/>
  <c r="AQ1394" i="7"/>
  <c r="AA1401" i="7"/>
  <c r="AB1401" i="7"/>
  <c r="AR1407" i="7"/>
  <c r="AQ1407" i="7"/>
  <c r="AR1412" i="7"/>
  <c r="AQ1412" i="7"/>
  <c r="K1418" i="7"/>
  <c r="L1418" i="7"/>
  <c r="AR1424" i="7"/>
  <c r="AQ1424" i="7"/>
  <c r="K1430" i="7"/>
  <c r="L1430" i="7"/>
  <c r="AA1452" i="7"/>
  <c r="AB1452" i="7"/>
  <c r="AR1480" i="7"/>
  <c r="AQ1480" i="7"/>
  <c r="K1486" i="7"/>
  <c r="L1486" i="7"/>
  <c r="AR1492" i="7"/>
  <c r="AQ1492" i="7"/>
  <c r="C1495" i="7"/>
  <c r="D1495" i="7"/>
  <c r="K1498" i="7"/>
  <c r="L1498" i="7"/>
  <c r="AR1504" i="7"/>
  <c r="AQ1504" i="7"/>
  <c r="AB1227" i="7"/>
  <c r="Z1227" i="7" s="1"/>
  <c r="D1229" i="7"/>
  <c r="B1229" i="7" s="1"/>
  <c r="AB1230" i="7"/>
  <c r="Z1230" i="7" s="1"/>
  <c r="D1232" i="7"/>
  <c r="B1232" i="7" s="1"/>
  <c r="AB1233" i="7"/>
  <c r="Z1233" i="7" s="1"/>
  <c r="D1235" i="7"/>
  <c r="B1235" i="7" s="1"/>
  <c r="AB1236" i="7"/>
  <c r="Z1236" i="7" s="1"/>
  <c r="D1238" i="7"/>
  <c r="B1238" i="7" s="1"/>
  <c r="AB1239" i="7"/>
  <c r="Z1239" i="7" s="1"/>
  <c r="D1241" i="7"/>
  <c r="B1241" i="7" s="1"/>
  <c r="AB1242" i="7"/>
  <c r="Z1242" i="7" s="1"/>
  <c r="D1244" i="7"/>
  <c r="B1244" i="7" s="1"/>
  <c r="AB1245" i="7"/>
  <c r="Z1245" i="7" s="1"/>
  <c r="D1247" i="7"/>
  <c r="B1247" i="7" s="1"/>
  <c r="R1251" i="7"/>
  <c r="Z1252" i="7"/>
  <c r="R1257" i="7"/>
  <c r="AP1258" i="7"/>
  <c r="AI1261" i="7"/>
  <c r="AH1261" i="7" s="1"/>
  <c r="R1263" i="7"/>
  <c r="AP1264" i="7"/>
  <c r="R1269" i="7"/>
  <c r="AP1270" i="7"/>
  <c r="R1275" i="7"/>
  <c r="Z1276" i="7"/>
  <c r="AP1276" i="7"/>
  <c r="R1281" i="7"/>
  <c r="AP1282" i="7"/>
  <c r="B1289" i="7"/>
  <c r="B1298" i="7"/>
  <c r="B1299" i="7"/>
  <c r="B1302" i="7"/>
  <c r="B1311" i="7"/>
  <c r="B1323" i="7"/>
  <c r="B1329" i="7"/>
  <c r="B1335" i="7"/>
  <c r="B1340" i="7"/>
  <c r="B1341" i="7"/>
  <c r="B1342" i="7"/>
  <c r="B1343" i="7"/>
  <c r="B1344" i="7"/>
  <c r="B1345" i="7"/>
  <c r="B1346" i="7"/>
  <c r="B1347" i="7"/>
  <c r="B1348" i="7"/>
  <c r="B1349" i="7"/>
  <c r="B1350" i="7"/>
  <c r="B1351" i="7"/>
  <c r="B1352" i="7"/>
  <c r="B1353" i="7"/>
  <c r="B1354" i="7"/>
  <c r="B1355" i="7"/>
  <c r="B1356" i="7"/>
  <c r="B1357" i="7"/>
  <c r="B1358" i="7"/>
  <c r="B1359" i="7"/>
  <c r="B1360" i="7"/>
  <c r="B1361" i="7"/>
  <c r="B1362" i="7"/>
  <c r="B1363" i="7"/>
  <c r="B1364" i="7"/>
  <c r="B1365" i="7"/>
  <c r="B1366" i="7"/>
  <c r="B1367" i="7"/>
  <c r="AP1368" i="7"/>
  <c r="Z1377" i="7"/>
  <c r="AA1378" i="7"/>
  <c r="AB1378" i="7"/>
  <c r="B1380" i="7"/>
  <c r="AA1389" i="7"/>
  <c r="AB1389" i="7"/>
  <c r="T1391" i="7"/>
  <c r="S1391" i="7"/>
  <c r="K1406" i="7"/>
  <c r="J1406" i="7" s="1"/>
  <c r="L1406" i="7"/>
  <c r="T1409" i="7"/>
  <c r="S1409" i="7"/>
  <c r="R1409" i="7" s="1"/>
  <c r="AA1419" i="7"/>
  <c r="AB1419" i="7"/>
  <c r="T1421" i="7"/>
  <c r="S1421" i="7"/>
  <c r="AA1431" i="7"/>
  <c r="AB1431" i="7"/>
  <c r="B1435" i="7"/>
  <c r="K1439" i="7"/>
  <c r="L1439" i="7"/>
  <c r="AA1440" i="7"/>
  <c r="AB1440" i="7"/>
  <c r="C1445" i="7"/>
  <c r="B1445" i="7" s="1"/>
  <c r="D1445" i="7"/>
  <c r="AR1476" i="7"/>
  <c r="AQ1476" i="7"/>
  <c r="B1479" i="7"/>
  <c r="T1489" i="7"/>
  <c r="S1489" i="7"/>
  <c r="R1489" i="7" s="1"/>
  <c r="B1496" i="7"/>
  <c r="T1501" i="7"/>
  <c r="S1501" i="7"/>
  <c r="AH1377" i="7"/>
  <c r="J1437" i="7"/>
  <c r="AP1451" i="7"/>
  <c r="J1475" i="7"/>
  <c r="AP1475" i="7"/>
  <c r="J1485" i="7"/>
  <c r="J1491" i="7"/>
  <c r="AP1491" i="7"/>
  <c r="J1497" i="7"/>
  <c r="AP1497" i="7"/>
  <c r="J1503" i="7"/>
  <c r="AP1503" i="7"/>
  <c r="Z1369" i="7"/>
  <c r="Z1370" i="7"/>
  <c r="Z1371" i="7"/>
  <c r="Z1372" i="7"/>
  <c r="AH1373" i="7"/>
  <c r="C1374" i="7"/>
  <c r="B1374" i="7" s="1"/>
  <c r="AH1376" i="7"/>
  <c r="C1377" i="7"/>
  <c r="B1377" i="7" s="1"/>
  <c r="AA1380" i="7"/>
  <c r="J1384" i="7"/>
  <c r="AP1384" i="7"/>
  <c r="AA1386" i="7"/>
  <c r="Z1386" i="7" s="1"/>
  <c r="J1390" i="7"/>
  <c r="AP1390" i="7"/>
  <c r="AA1392" i="7"/>
  <c r="J1396" i="7"/>
  <c r="AP1396" i="7"/>
  <c r="AA1398" i="7"/>
  <c r="Z1398" i="7" s="1"/>
  <c r="J1402" i="7"/>
  <c r="AP1402" i="7"/>
  <c r="AA1404" i="7"/>
  <c r="J1408" i="7"/>
  <c r="AP1408" i="7"/>
  <c r="AA1410" i="7"/>
  <c r="Z1410" i="7" s="1"/>
  <c r="J1414" i="7"/>
  <c r="AP1414" i="7"/>
  <c r="AA1416" i="7"/>
  <c r="J1420" i="7"/>
  <c r="AP1420" i="7"/>
  <c r="AA1422" i="7"/>
  <c r="Z1422" i="7" s="1"/>
  <c r="J1426" i="7"/>
  <c r="AP1426" i="7"/>
  <c r="AA1428" i="7"/>
  <c r="J1432" i="7"/>
  <c r="Z1433" i="7"/>
  <c r="J1441" i="7"/>
  <c r="J1442" i="7"/>
  <c r="AP1443" i="7"/>
  <c r="J1453" i="7"/>
  <c r="J1454" i="7"/>
  <c r="AP1455" i="7"/>
  <c r="AP1457" i="7"/>
  <c r="AP1458" i="7"/>
  <c r="AP1460" i="7"/>
  <c r="AP1461" i="7"/>
  <c r="AP1462" i="7"/>
  <c r="AP1463" i="7"/>
  <c r="AP1464" i="7"/>
  <c r="AP1465" i="7"/>
  <c r="AP1466" i="7"/>
  <c r="AP1467" i="7"/>
  <c r="AP1468" i="7"/>
  <c r="AP1469" i="7"/>
  <c r="AP1470" i="7"/>
  <c r="AP1471" i="7"/>
  <c r="AP1472" i="7"/>
  <c r="J1481" i="7"/>
  <c r="AP1481" i="7"/>
  <c r="Z1482" i="7"/>
  <c r="B1486" i="7"/>
  <c r="J1487" i="7"/>
  <c r="AP1487" i="7"/>
  <c r="Z1488" i="7"/>
  <c r="B1492" i="7"/>
  <c r="AP1493" i="7"/>
  <c r="Z1494" i="7"/>
  <c r="B1498" i="7"/>
  <c r="J1499" i="7"/>
  <c r="AP1499" i="7"/>
  <c r="Z1500" i="7"/>
  <c r="B1504" i="7"/>
  <c r="J1505" i="7"/>
  <c r="AP1505" i="7"/>
  <c r="J1373" i="7"/>
  <c r="AQ1374" i="7"/>
  <c r="AP1374" i="7" s="1"/>
  <c r="AJ1375" i="7"/>
  <c r="AH1375" i="7" s="1"/>
  <c r="J1376" i="7"/>
  <c r="AQ1377" i="7"/>
  <c r="AP1377" i="7" s="1"/>
  <c r="AJ1378" i="7"/>
  <c r="AH1378" i="7" s="1"/>
  <c r="J1379" i="7"/>
  <c r="AQ1379" i="7"/>
  <c r="AP1379" i="7" s="1"/>
  <c r="AQ1380" i="7"/>
  <c r="AP1380" i="7" s="1"/>
  <c r="S1382" i="7"/>
  <c r="R1382" i="7" s="1"/>
  <c r="B1383" i="7"/>
  <c r="L1385" i="7"/>
  <c r="J1385" i="7" s="1"/>
  <c r="AQ1385" i="7"/>
  <c r="AP1385" i="7" s="1"/>
  <c r="AQ1386" i="7"/>
  <c r="AP1386" i="7" s="1"/>
  <c r="S1388" i="7"/>
  <c r="R1388" i="7" s="1"/>
  <c r="B1389" i="7"/>
  <c r="L1391" i="7"/>
  <c r="J1391" i="7" s="1"/>
  <c r="AQ1391" i="7"/>
  <c r="AP1391" i="7" s="1"/>
  <c r="AQ1392" i="7"/>
  <c r="AP1392" i="7" s="1"/>
  <c r="S1394" i="7"/>
  <c r="R1394" i="7" s="1"/>
  <c r="B1395" i="7"/>
  <c r="L1397" i="7"/>
  <c r="J1397" i="7" s="1"/>
  <c r="AQ1397" i="7"/>
  <c r="AP1397" i="7" s="1"/>
  <c r="AQ1398" i="7"/>
  <c r="AP1398" i="7" s="1"/>
  <c r="S1400" i="7"/>
  <c r="R1400" i="7" s="1"/>
  <c r="B1401" i="7"/>
  <c r="L1403" i="7"/>
  <c r="J1403" i="7" s="1"/>
  <c r="AQ1403" i="7"/>
  <c r="AP1403" i="7" s="1"/>
  <c r="AQ1404" i="7"/>
  <c r="AP1404" i="7" s="1"/>
  <c r="S1406" i="7"/>
  <c r="R1406" i="7" s="1"/>
  <c r="B1407" i="7"/>
  <c r="L1409" i="7"/>
  <c r="J1409" i="7" s="1"/>
  <c r="AQ1409" i="7"/>
  <c r="AP1409" i="7" s="1"/>
  <c r="AQ1410" i="7"/>
  <c r="AP1410" i="7" s="1"/>
  <c r="S1412" i="7"/>
  <c r="R1412" i="7" s="1"/>
  <c r="B1413" i="7"/>
  <c r="L1415" i="7"/>
  <c r="J1415" i="7" s="1"/>
  <c r="AQ1415" i="7"/>
  <c r="AP1415" i="7" s="1"/>
  <c r="AQ1416" i="7"/>
  <c r="AP1416" i="7" s="1"/>
  <c r="S1418" i="7"/>
  <c r="R1418" i="7" s="1"/>
  <c r="B1419" i="7"/>
  <c r="L1421" i="7"/>
  <c r="J1421" i="7" s="1"/>
  <c r="AQ1421" i="7"/>
  <c r="AP1421" i="7" s="1"/>
  <c r="AQ1422" i="7"/>
  <c r="AP1422" i="7" s="1"/>
  <c r="S1424" i="7"/>
  <c r="R1424" i="7" s="1"/>
  <c r="B1425" i="7"/>
  <c r="L1427" i="7"/>
  <c r="J1427" i="7" s="1"/>
  <c r="AQ1427" i="7"/>
  <c r="AP1427" i="7" s="1"/>
  <c r="AQ1428" i="7"/>
  <c r="AP1428" i="7" s="1"/>
  <c r="S1430" i="7"/>
  <c r="R1430" i="7" s="1"/>
  <c r="B1431" i="7"/>
  <c r="B1432" i="7"/>
  <c r="L1433" i="7"/>
  <c r="J1433" i="7" s="1"/>
  <c r="L1434" i="7"/>
  <c r="J1434" i="7" s="1"/>
  <c r="AQ1434" i="7"/>
  <c r="AP1434" i="7" s="1"/>
  <c r="AA1435" i="7"/>
  <c r="AA1436" i="7"/>
  <c r="B1442" i="7"/>
  <c r="J1443" i="7"/>
  <c r="J1444" i="7"/>
  <c r="AP1445" i="7"/>
  <c r="J1455" i="7"/>
  <c r="J1456" i="7"/>
  <c r="J1457" i="7"/>
  <c r="J1458" i="7"/>
  <c r="J1459" i="7"/>
  <c r="J1460" i="7"/>
  <c r="J1461" i="7"/>
  <c r="J1462" i="7"/>
  <c r="J1463" i="7"/>
  <c r="J1464" i="7"/>
  <c r="J1465" i="7"/>
  <c r="J1466" i="7"/>
  <c r="J1467" i="7"/>
  <c r="J1468" i="7"/>
  <c r="J1469" i="7"/>
  <c r="J1470" i="7"/>
  <c r="J1471" i="7"/>
  <c r="J1472" i="7"/>
  <c r="J1473" i="7"/>
  <c r="AP1473" i="7"/>
  <c r="B1477" i="7"/>
  <c r="AP1477" i="7"/>
  <c r="AA1478" i="7"/>
  <c r="Z1478" i="7" s="1"/>
  <c r="C1481" i="7"/>
  <c r="B1481" i="7" s="1"/>
  <c r="J1482" i="7"/>
  <c r="AP1482" i="7"/>
  <c r="AA1483" i="7"/>
  <c r="Z1483" i="7" s="1"/>
  <c r="S1486" i="7"/>
  <c r="R1486" i="7" s="1"/>
  <c r="C1487" i="7"/>
  <c r="B1487" i="7" s="1"/>
  <c r="J1488" i="7"/>
  <c r="AP1488" i="7"/>
  <c r="L1489" i="7"/>
  <c r="J1489" i="7" s="1"/>
  <c r="AA1489" i="7"/>
  <c r="Z1489" i="7" s="1"/>
  <c r="AQ1489" i="7"/>
  <c r="AP1489" i="7" s="1"/>
  <c r="S1492" i="7"/>
  <c r="C1493" i="7"/>
  <c r="B1493" i="7" s="1"/>
  <c r="J1494" i="7"/>
  <c r="AP1494" i="7"/>
  <c r="L1495" i="7"/>
  <c r="J1495" i="7" s="1"/>
  <c r="AA1495" i="7"/>
  <c r="Z1495" i="7" s="1"/>
  <c r="AQ1495" i="7"/>
  <c r="AP1495" i="7" s="1"/>
  <c r="S1498" i="7"/>
  <c r="R1498" i="7" s="1"/>
  <c r="C1499" i="7"/>
  <c r="B1499" i="7" s="1"/>
  <c r="J1500" i="7"/>
  <c r="AP1500" i="7"/>
  <c r="L1501" i="7"/>
  <c r="J1501" i="7" s="1"/>
  <c r="AA1501" i="7"/>
  <c r="Z1501" i="7" s="1"/>
  <c r="AQ1501" i="7"/>
  <c r="AP1501" i="7" s="1"/>
  <c r="S1504" i="7"/>
  <c r="C1505" i="7"/>
  <c r="B1505" i="7" s="1"/>
  <c r="J1506" i="7"/>
  <c r="Z1506" i="7"/>
  <c r="B1507" i="7"/>
  <c r="B1376" i="7"/>
  <c r="Z1399" i="7"/>
  <c r="L1435" i="7"/>
  <c r="J1435" i="7" s="1"/>
  <c r="L1436" i="7"/>
  <c r="J1436" i="7" s="1"/>
  <c r="AQ1436" i="7"/>
  <c r="AP1436" i="7" s="1"/>
  <c r="AQ1437" i="7"/>
  <c r="AP1437" i="7" s="1"/>
  <c r="AA1438" i="7"/>
  <c r="Z1438" i="7" s="1"/>
  <c r="C1444" i="7"/>
  <c r="B1444" i="7" s="1"/>
  <c r="J1445" i="7"/>
  <c r="J1446" i="7"/>
  <c r="L1447" i="7"/>
  <c r="J1447" i="7" s="1"/>
  <c r="L1448" i="7"/>
  <c r="J1448" i="7" s="1"/>
  <c r="AQ1448" i="7"/>
  <c r="AP1448" i="7" s="1"/>
  <c r="AA1449" i="7"/>
  <c r="AQ1449" i="7"/>
  <c r="AP1449" i="7" s="1"/>
  <c r="AA1450" i="7"/>
  <c r="B1455" i="7"/>
  <c r="B1456" i="7"/>
  <c r="C1458" i="7"/>
  <c r="B1458" i="7" s="1"/>
  <c r="B1462" i="7"/>
  <c r="B1463" i="7"/>
  <c r="B1464" i="7"/>
  <c r="B1465" i="7"/>
  <c r="B1466" i="7"/>
  <c r="B1467" i="7"/>
  <c r="B1468" i="7"/>
  <c r="B1469" i="7"/>
  <c r="B1470" i="7"/>
  <c r="B1471" i="7"/>
  <c r="B1472" i="7"/>
  <c r="L1474" i="7"/>
  <c r="J1474" i="7" s="1"/>
  <c r="Z1474" i="7"/>
  <c r="AQ1474" i="7"/>
  <c r="AP1474" i="7" s="1"/>
  <c r="J1478" i="7"/>
  <c r="AP1478" i="7"/>
  <c r="L1479" i="7"/>
  <c r="J1479" i="7" s="1"/>
  <c r="AQ1479" i="7"/>
  <c r="AP1479" i="7" s="1"/>
  <c r="S1481" i="7"/>
  <c r="AP1483" i="7"/>
  <c r="L1484" i="7"/>
  <c r="J1484" i="7" s="1"/>
  <c r="AQ1484" i="7"/>
  <c r="AP1484" i="7" s="1"/>
  <c r="S1487" i="7"/>
  <c r="R1487" i="7" s="1"/>
  <c r="B1488" i="7"/>
  <c r="L1490" i="7"/>
  <c r="J1490" i="7" s="1"/>
  <c r="Z1490" i="7"/>
  <c r="AQ1490" i="7"/>
  <c r="S1493" i="7"/>
  <c r="R1493" i="7" s="1"/>
  <c r="B1494" i="7"/>
  <c r="L1496" i="7"/>
  <c r="J1496" i="7" s="1"/>
  <c r="Z1496" i="7"/>
  <c r="AQ1496" i="7"/>
  <c r="AP1496" i="7" s="1"/>
  <c r="S1499" i="7"/>
  <c r="R1499" i="7" s="1"/>
  <c r="B1500" i="7"/>
  <c r="L1502" i="7"/>
  <c r="J1502" i="7" s="1"/>
  <c r="Z1502" i="7"/>
  <c r="AQ1502" i="7"/>
  <c r="AP1502" i="7" s="1"/>
  <c r="S1505" i="7"/>
  <c r="R1505" i="7" s="1"/>
  <c r="B1369" i="7"/>
  <c r="B1370" i="7"/>
  <c r="B1371" i="7"/>
  <c r="AQ1373" i="7"/>
  <c r="AP1373" i="7" s="1"/>
  <c r="AJ1374" i="7"/>
  <c r="AH1374" i="7" s="1"/>
  <c r="J1375" i="7"/>
  <c r="J1378" i="7"/>
  <c r="J1381" i="7"/>
  <c r="AP1381" i="7"/>
  <c r="J1387" i="7"/>
  <c r="AP1387" i="7"/>
  <c r="J1393" i="7"/>
  <c r="AP1393" i="7"/>
  <c r="J1399" i="7"/>
  <c r="AP1399" i="7"/>
  <c r="J1405" i="7"/>
  <c r="AP1405" i="7"/>
  <c r="J1411" i="7"/>
  <c r="AP1411" i="7"/>
  <c r="J1417" i="7"/>
  <c r="AP1417" i="7"/>
  <c r="J1423" i="7"/>
  <c r="AP1423" i="7"/>
  <c r="J1429" i="7"/>
  <c r="AP1429" i="7"/>
  <c r="L1438" i="7"/>
  <c r="J1438" i="7" s="1"/>
  <c r="AQ1438" i="7"/>
  <c r="AP1438" i="7" s="1"/>
  <c r="AQ1439" i="7"/>
  <c r="AP1439" i="7" s="1"/>
  <c r="L1449" i="7"/>
  <c r="J1449" i="7" s="1"/>
  <c r="L1450" i="7"/>
  <c r="J1450" i="7" s="1"/>
  <c r="AQ1450" i="7"/>
  <c r="AP1450" i="7" s="1"/>
  <c r="AP1490" i="7"/>
  <c r="B1511" i="7"/>
  <c r="Z1513" i="7"/>
  <c r="B1517" i="7"/>
  <c r="Z1519" i="7"/>
  <c r="B1523" i="7"/>
  <c r="Z1525" i="7"/>
  <c r="B1529" i="7"/>
  <c r="Z1531" i="7"/>
  <c r="B1535" i="7"/>
  <c r="Z1537" i="7"/>
  <c r="B1541" i="7"/>
  <c r="Z1543" i="7"/>
  <c r="L1726" i="7"/>
  <c r="K1726" i="7"/>
  <c r="L1731" i="7"/>
  <c r="K1731" i="7"/>
  <c r="L1736" i="7"/>
  <c r="K1736" i="7"/>
  <c r="L1746" i="7"/>
  <c r="K1746" i="7"/>
  <c r="L1749" i="7"/>
  <c r="K1749" i="7"/>
  <c r="D1766" i="7"/>
  <c r="C1766" i="7"/>
  <c r="T1766" i="7"/>
  <c r="S1766" i="7"/>
  <c r="T1768" i="7"/>
  <c r="S1768" i="7"/>
  <c r="AI1771" i="7"/>
  <c r="AJ1771" i="7"/>
  <c r="L1790" i="7"/>
  <c r="K1790" i="7"/>
  <c r="D1791" i="7"/>
  <c r="C1791" i="7"/>
  <c r="AI1795" i="7"/>
  <c r="AJ1795" i="7"/>
  <c r="AB1797" i="7"/>
  <c r="AA1797" i="7"/>
  <c r="AB1800" i="7"/>
  <c r="AA1800" i="7"/>
  <c r="AI1803" i="7"/>
  <c r="AH1803" i="7" s="1"/>
  <c r="AJ1803" i="7"/>
  <c r="AB1804" i="7"/>
  <c r="AA1804" i="7"/>
  <c r="AB1810" i="7"/>
  <c r="AA1810" i="7"/>
  <c r="AI1819" i="7"/>
  <c r="AJ1819" i="7"/>
  <c r="D1831" i="7"/>
  <c r="C1831" i="7"/>
  <c r="D1833" i="7"/>
  <c r="C1833" i="7"/>
  <c r="S1835" i="7"/>
  <c r="T1835" i="7"/>
  <c r="AJ1836" i="7"/>
  <c r="AI1836" i="7"/>
  <c r="K1856" i="7"/>
  <c r="L1856" i="7"/>
  <c r="T2029" i="7"/>
  <c r="S2029" i="7"/>
  <c r="AI2809" i="7"/>
  <c r="AJ2809" i="7"/>
  <c r="J1507" i="7"/>
  <c r="AP1507" i="7"/>
  <c r="L1508" i="7"/>
  <c r="J1508" i="7" s="1"/>
  <c r="Z1508" i="7"/>
  <c r="AQ1508" i="7"/>
  <c r="AP1508" i="7" s="1"/>
  <c r="S1511" i="7"/>
  <c r="R1511" i="7" s="1"/>
  <c r="B1512" i="7"/>
  <c r="J1513" i="7"/>
  <c r="AP1513" i="7"/>
  <c r="L1514" i="7"/>
  <c r="J1514" i="7" s="1"/>
  <c r="Z1514" i="7"/>
  <c r="AQ1514" i="7"/>
  <c r="AP1514" i="7" s="1"/>
  <c r="S1517" i="7"/>
  <c r="R1517" i="7" s="1"/>
  <c r="J1519" i="7"/>
  <c r="AP1519" i="7"/>
  <c r="L1520" i="7"/>
  <c r="J1520" i="7" s="1"/>
  <c r="AA1520" i="7"/>
  <c r="Z1520" i="7" s="1"/>
  <c r="S1523" i="7"/>
  <c r="R1523" i="7" s="1"/>
  <c r="C1524" i="7"/>
  <c r="B1524" i="7" s="1"/>
  <c r="J1525" i="7"/>
  <c r="AP1525" i="7"/>
  <c r="L1526" i="7"/>
  <c r="J1526" i="7" s="1"/>
  <c r="AA1526" i="7"/>
  <c r="Z1526" i="7" s="1"/>
  <c r="AQ1526" i="7"/>
  <c r="AP1526" i="7" s="1"/>
  <c r="S1529" i="7"/>
  <c r="R1529" i="7" s="1"/>
  <c r="C1530" i="7"/>
  <c r="B1530" i="7" s="1"/>
  <c r="J1531" i="7"/>
  <c r="AP1531" i="7"/>
  <c r="L1532" i="7"/>
  <c r="J1532" i="7" s="1"/>
  <c r="AA1532" i="7"/>
  <c r="Z1532" i="7" s="1"/>
  <c r="AQ1532" i="7"/>
  <c r="S1535" i="7"/>
  <c r="R1535" i="7" s="1"/>
  <c r="C1536" i="7"/>
  <c r="B1536" i="7" s="1"/>
  <c r="J1537" i="7"/>
  <c r="AP1537" i="7"/>
  <c r="L1538" i="7"/>
  <c r="J1538" i="7" s="1"/>
  <c r="AA1538" i="7"/>
  <c r="Z1538" i="7" s="1"/>
  <c r="AQ1538" i="7"/>
  <c r="S1541" i="7"/>
  <c r="R1541" i="7" s="1"/>
  <c r="C1542" i="7"/>
  <c r="B1542" i="7" s="1"/>
  <c r="J1543" i="7"/>
  <c r="AP1543" i="7"/>
  <c r="AA1544" i="7"/>
  <c r="Z1544" i="7" s="1"/>
  <c r="C1548" i="7"/>
  <c r="B1548" i="7" s="1"/>
  <c r="J1549" i="7"/>
  <c r="AP1549" i="7"/>
  <c r="AA1550" i="7"/>
  <c r="Z1550" i="7" s="1"/>
  <c r="AQ1550" i="7"/>
  <c r="AP1550" i="7" s="1"/>
  <c r="S1552" i="7"/>
  <c r="R1552" i="7" s="1"/>
  <c r="AQ1553" i="7"/>
  <c r="AP1553" i="7" s="1"/>
  <c r="S1555" i="7"/>
  <c r="R1555" i="7" s="1"/>
  <c r="AQ1556" i="7"/>
  <c r="AP1556" i="7" s="1"/>
  <c r="S1558" i="7"/>
  <c r="R1558" i="7" s="1"/>
  <c r="AQ1559" i="7"/>
  <c r="AP1559" i="7" s="1"/>
  <c r="R1722" i="7"/>
  <c r="AI1722" i="7"/>
  <c r="L1725" i="7"/>
  <c r="K1725" i="7"/>
  <c r="L1730" i="7"/>
  <c r="K1730" i="7"/>
  <c r="L1735" i="7"/>
  <c r="K1735" i="7"/>
  <c r="L1739" i="7"/>
  <c r="J1739" i="7" s="1"/>
  <c r="K1739" i="7"/>
  <c r="AP1739" i="7"/>
  <c r="L1742" i="7"/>
  <c r="K1742" i="7"/>
  <c r="AP1742" i="7"/>
  <c r="L1753" i="7"/>
  <c r="J1753" i="7" s="1"/>
  <c r="K1753" i="7"/>
  <c r="AP1753" i="7"/>
  <c r="L1757" i="7"/>
  <c r="K1757" i="7"/>
  <c r="L1765" i="7"/>
  <c r="K1765" i="7"/>
  <c r="J1772" i="7"/>
  <c r="J1776" i="7"/>
  <c r="AI1776" i="7"/>
  <c r="AJ1776" i="7"/>
  <c r="J1785" i="7"/>
  <c r="J1788" i="7"/>
  <c r="AI1790" i="7"/>
  <c r="AJ1790" i="7"/>
  <c r="D1795" i="7"/>
  <c r="C1795" i="7"/>
  <c r="J1796" i="7"/>
  <c r="D1801" i="7"/>
  <c r="C1801" i="7"/>
  <c r="D1803" i="7"/>
  <c r="C1803" i="7"/>
  <c r="AB1806" i="7"/>
  <c r="AA1806" i="7"/>
  <c r="AI1809" i="7"/>
  <c r="AJ1809" i="7"/>
  <c r="AB1812" i="7"/>
  <c r="AA1812" i="7"/>
  <c r="AI1815" i="7"/>
  <c r="AJ1815" i="7"/>
  <c r="AB1816" i="7"/>
  <c r="Z1816" i="7" s="1"/>
  <c r="AA1816" i="7"/>
  <c r="L1825" i="7"/>
  <c r="K1825" i="7"/>
  <c r="J1830" i="7"/>
  <c r="S1838" i="7"/>
  <c r="T1838" i="7"/>
  <c r="AJ1839" i="7"/>
  <c r="AI1839" i="7"/>
  <c r="AP1843" i="7"/>
  <c r="D1845" i="7"/>
  <c r="C1845" i="7"/>
  <c r="AQ1851" i="7"/>
  <c r="AP1851" i="7" s="1"/>
  <c r="C1854" i="7"/>
  <c r="D1854" i="7"/>
  <c r="AA1509" i="7"/>
  <c r="Z1509" i="7" s="1"/>
  <c r="B1513" i="7"/>
  <c r="AA1515" i="7"/>
  <c r="Z1515" i="7" s="1"/>
  <c r="B1519" i="7"/>
  <c r="AP1520" i="7"/>
  <c r="L1521" i="7"/>
  <c r="J1521" i="7" s="1"/>
  <c r="AA1521" i="7"/>
  <c r="Z1521" i="7" s="1"/>
  <c r="S1524" i="7"/>
  <c r="R1524" i="7" s="1"/>
  <c r="C1525" i="7"/>
  <c r="B1525" i="7" s="1"/>
  <c r="L1527" i="7"/>
  <c r="J1527" i="7" s="1"/>
  <c r="AA1527" i="7"/>
  <c r="Z1527" i="7" s="1"/>
  <c r="S1530" i="7"/>
  <c r="AP1532" i="7"/>
  <c r="L1533" i="7"/>
  <c r="J1533" i="7" s="1"/>
  <c r="AQ1533" i="7"/>
  <c r="AP1533" i="7" s="1"/>
  <c r="S1536" i="7"/>
  <c r="B1537" i="7"/>
  <c r="AP1538" i="7"/>
  <c r="L1539" i="7"/>
  <c r="J1539" i="7" s="1"/>
  <c r="Z1539" i="7"/>
  <c r="AQ1539" i="7"/>
  <c r="AP1539" i="7" s="1"/>
  <c r="S1542" i="7"/>
  <c r="B1543" i="7"/>
  <c r="J1544" i="7"/>
  <c r="AP1544" i="7"/>
  <c r="L1545" i="7"/>
  <c r="J1545" i="7" s="1"/>
  <c r="Z1545" i="7"/>
  <c r="AQ1545" i="7"/>
  <c r="AP1545" i="7" s="1"/>
  <c r="S1548" i="7"/>
  <c r="B1549" i="7"/>
  <c r="J1550" i="7"/>
  <c r="L1724" i="7"/>
  <c r="K1724" i="7"/>
  <c r="L1745" i="7"/>
  <c r="K1745" i="7"/>
  <c r="L1748" i="7"/>
  <c r="K1748" i="7"/>
  <c r="J1748" i="7" s="1"/>
  <c r="L1752" i="7"/>
  <c r="K1752" i="7"/>
  <c r="L1756" i="7"/>
  <c r="K1756" i="7"/>
  <c r="D1764" i="7"/>
  <c r="C1764" i="7"/>
  <c r="AI1774" i="7"/>
  <c r="AJ1774" i="7"/>
  <c r="AI1779" i="7"/>
  <c r="AJ1779" i="7"/>
  <c r="S1784" i="7"/>
  <c r="T1784" i="7"/>
  <c r="L1791" i="7"/>
  <c r="K1791" i="7"/>
  <c r="S1792" i="7"/>
  <c r="T1792" i="7"/>
  <c r="D1807" i="7"/>
  <c r="C1807" i="7"/>
  <c r="D1809" i="7"/>
  <c r="C1809" i="7"/>
  <c r="D1813" i="7"/>
  <c r="C1813" i="7"/>
  <c r="D1815" i="7"/>
  <c r="C1815" i="7"/>
  <c r="AB1818" i="7"/>
  <c r="AA1818" i="7"/>
  <c r="AI1821" i="7"/>
  <c r="AJ1821" i="7"/>
  <c r="AB1822" i="7"/>
  <c r="AA1822" i="7"/>
  <c r="AI1825" i="7"/>
  <c r="AJ1825" i="7"/>
  <c r="L1831" i="7"/>
  <c r="K1831" i="7"/>
  <c r="S1836" i="7"/>
  <c r="T1836" i="7"/>
  <c r="S1841" i="7"/>
  <c r="T1841" i="7"/>
  <c r="AJ1842" i="7"/>
  <c r="AI1842" i="7"/>
  <c r="C1848" i="7"/>
  <c r="D1848" i="7"/>
  <c r="AR1848" i="7"/>
  <c r="AQ1848" i="7"/>
  <c r="D1927" i="7"/>
  <c r="C1927" i="7"/>
  <c r="AJ1928" i="7"/>
  <c r="AI1928" i="7"/>
  <c r="AH1928" i="7" s="1"/>
  <c r="D1933" i="7"/>
  <c r="C1933" i="7"/>
  <c r="AJ1934" i="7"/>
  <c r="AI1934" i="7"/>
  <c r="AR1940" i="7"/>
  <c r="AQ1940" i="7"/>
  <c r="S2020" i="7"/>
  <c r="T2020" i="7"/>
  <c r="S1507" i="7"/>
  <c r="R1507" i="7" s="1"/>
  <c r="J1509" i="7"/>
  <c r="AP1509" i="7"/>
  <c r="L1510" i="7"/>
  <c r="J1510" i="7" s="1"/>
  <c r="AQ1510" i="7"/>
  <c r="AP1510" i="7" s="1"/>
  <c r="S1513" i="7"/>
  <c r="R1513" i="7" s="1"/>
  <c r="J1515" i="7"/>
  <c r="AP1515" i="7"/>
  <c r="L1516" i="7"/>
  <c r="J1516" i="7" s="1"/>
  <c r="AQ1516" i="7"/>
  <c r="AP1516" i="7" s="1"/>
  <c r="S1519" i="7"/>
  <c r="R1519" i="7" s="1"/>
  <c r="C1520" i="7"/>
  <c r="B1520" i="7" s="1"/>
  <c r="AP1521" i="7"/>
  <c r="L1522" i="7"/>
  <c r="J1522" i="7" s="1"/>
  <c r="S1525" i="7"/>
  <c r="R1525" i="7" s="1"/>
  <c r="B1526" i="7"/>
  <c r="AP1527" i="7"/>
  <c r="L1528" i="7"/>
  <c r="J1528" i="7" s="1"/>
  <c r="B1532" i="7"/>
  <c r="AA1534" i="7"/>
  <c r="Z1534" i="7" s="1"/>
  <c r="C1538" i="7"/>
  <c r="B1538" i="7" s="1"/>
  <c r="AA1540" i="7"/>
  <c r="Z1540" i="7" s="1"/>
  <c r="C1544" i="7"/>
  <c r="B1544" i="7" s="1"/>
  <c r="AA1546" i="7"/>
  <c r="Z1546" i="7" s="1"/>
  <c r="C1550" i="7"/>
  <c r="B1550" i="7" s="1"/>
  <c r="S1551" i="7"/>
  <c r="R1551" i="7" s="1"/>
  <c r="AP1552" i="7"/>
  <c r="R1554" i="7"/>
  <c r="AP1555" i="7"/>
  <c r="R1557" i="7"/>
  <c r="AP1558" i="7"/>
  <c r="R1560" i="7"/>
  <c r="AP1561" i="7"/>
  <c r="R1563" i="7"/>
  <c r="AP1564" i="7"/>
  <c r="R1566" i="7"/>
  <c r="AP1567" i="7"/>
  <c r="R1569" i="7"/>
  <c r="L1729" i="7"/>
  <c r="K1729" i="7"/>
  <c r="AP1729" i="7"/>
  <c r="L1734" i="7"/>
  <c r="K1734" i="7"/>
  <c r="AP1734" i="7"/>
  <c r="L1738" i="7"/>
  <c r="K1738" i="7"/>
  <c r="AP1738" i="7"/>
  <c r="L1741" i="7"/>
  <c r="K1741" i="7"/>
  <c r="AP1741" i="7"/>
  <c r="L1744" i="7"/>
  <c r="K1744" i="7"/>
  <c r="L1751" i="7"/>
  <c r="K1751" i="7"/>
  <c r="L1758" i="7"/>
  <c r="K1758" i="7"/>
  <c r="T1762" i="7"/>
  <c r="S1762" i="7"/>
  <c r="AI1777" i="7"/>
  <c r="AJ1777" i="7"/>
  <c r="AI1782" i="7"/>
  <c r="AJ1782" i="7"/>
  <c r="AB1789" i="7"/>
  <c r="AA1789" i="7"/>
  <c r="AI1791" i="7"/>
  <c r="AJ1791" i="7"/>
  <c r="AI1794" i="7"/>
  <c r="AJ1794" i="7"/>
  <c r="S1796" i="7"/>
  <c r="T1796" i="7"/>
  <c r="L1801" i="7"/>
  <c r="K1801" i="7"/>
  <c r="J1806" i="7"/>
  <c r="J1812" i="7"/>
  <c r="J1816" i="7"/>
  <c r="D1819" i="7"/>
  <c r="C1819" i="7"/>
  <c r="D1821" i="7"/>
  <c r="C1821" i="7"/>
  <c r="AI1831" i="7"/>
  <c r="AJ1831" i="7"/>
  <c r="S1839" i="7"/>
  <c r="T1839" i="7"/>
  <c r="S1847" i="7"/>
  <c r="R1847" i="7" s="1"/>
  <c r="T1847" i="7"/>
  <c r="AR1850" i="7"/>
  <c r="AQ1850" i="7"/>
  <c r="AJ1891" i="7"/>
  <c r="AI1891" i="7"/>
  <c r="AR1896" i="7"/>
  <c r="AQ1896" i="7"/>
  <c r="L1902" i="7"/>
  <c r="K1902" i="7"/>
  <c r="L1905" i="7"/>
  <c r="K1905" i="7"/>
  <c r="D1909" i="7"/>
  <c r="C1909" i="7"/>
  <c r="AJ1910" i="7"/>
  <c r="AI1910" i="7"/>
  <c r="AR1911" i="7"/>
  <c r="AQ1911" i="7"/>
  <c r="C1509" i="7"/>
  <c r="B1509" i="7" s="1"/>
  <c r="AA1511" i="7"/>
  <c r="Z1511" i="7" s="1"/>
  <c r="C1515" i="7"/>
  <c r="B1515" i="7" s="1"/>
  <c r="L1517" i="7"/>
  <c r="J1517" i="7" s="1"/>
  <c r="AA1517" i="7"/>
  <c r="Z1517" i="7" s="1"/>
  <c r="AQ1517" i="7"/>
  <c r="AP1517" i="7" s="1"/>
  <c r="S1520" i="7"/>
  <c r="R1520" i="7" s="1"/>
  <c r="C1521" i="7"/>
  <c r="B1521" i="7" s="1"/>
  <c r="L1523" i="7"/>
  <c r="J1523" i="7" s="1"/>
  <c r="AA1523" i="7"/>
  <c r="Z1523" i="7" s="1"/>
  <c r="C1527" i="7"/>
  <c r="B1527" i="7" s="1"/>
  <c r="L1529" i="7"/>
  <c r="AA1529" i="7"/>
  <c r="Z1529" i="7" s="1"/>
  <c r="S1532" i="7"/>
  <c r="R1532" i="7" s="1"/>
  <c r="C1533" i="7"/>
  <c r="B1533" i="7" s="1"/>
  <c r="J1534" i="7"/>
  <c r="AP1534" i="7"/>
  <c r="L1535" i="7"/>
  <c r="AA1535" i="7"/>
  <c r="Z1535" i="7" s="1"/>
  <c r="AQ1535" i="7"/>
  <c r="AP1535" i="7" s="1"/>
  <c r="S1538" i="7"/>
  <c r="R1538" i="7" s="1"/>
  <c r="C1539" i="7"/>
  <c r="B1539" i="7" s="1"/>
  <c r="J1540" i="7"/>
  <c r="AP1540" i="7"/>
  <c r="L1541" i="7"/>
  <c r="J1541" i="7" s="1"/>
  <c r="AA1541" i="7"/>
  <c r="Z1541" i="7" s="1"/>
  <c r="AQ1541" i="7"/>
  <c r="AP1541" i="7" s="1"/>
  <c r="S1544" i="7"/>
  <c r="R1544" i="7" s="1"/>
  <c r="C1545" i="7"/>
  <c r="B1545" i="7" s="1"/>
  <c r="J1546" i="7"/>
  <c r="AP1546" i="7"/>
  <c r="L1547" i="7"/>
  <c r="J1547" i="7" s="1"/>
  <c r="AA1547" i="7"/>
  <c r="Z1547" i="7" s="1"/>
  <c r="AQ1547" i="7"/>
  <c r="AP1547" i="7" s="1"/>
  <c r="S1550" i="7"/>
  <c r="R1550" i="7" s="1"/>
  <c r="L1723" i="7"/>
  <c r="K1723" i="7"/>
  <c r="AP1723" i="7"/>
  <c r="L1728" i="7"/>
  <c r="K1728" i="7"/>
  <c r="L1733" i="7"/>
  <c r="K1733" i="7"/>
  <c r="L1747" i="7"/>
  <c r="K1747" i="7"/>
  <c r="AP1747" i="7"/>
  <c r="L1750" i="7"/>
  <c r="K1750" i="7"/>
  <c r="L1755" i="7"/>
  <c r="K1755" i="7"/>
  <c r="AP1755" i="7"/>
  <c r="D1760" i="7"/>
  <c r="C1760" i="7"/>
  <c r="T1760" i="7"/>
  <c r="S1760" i="7"/>
  <c r="AI1770" i="7"/>
  <c r="AJ1770" i="7"/>
  <c r="J1775" i="7"/>
  <c r="J1778" i="7"/>
  <c r="AI1780" i="7"/>
  <c r="AJ1780" i="7"/>
  <c r="D1790" i="7"/>
  <c r="C1790" i="7"/>
  <c r="D1794" i="7"/>
  <c r="C1794" i="7"/>
  <c r="K1798" i="7"/>
  <c r="J1798" i="7" s="1"/>
  <c r="AI1801" i="7"/>
  <c r="AJ1801" i="7"/>
  <c r="K1805" i="7"/>
  <c r="L1807" i="7"/>
  <c r="K1807" i="7"/>
  <c r="K1811" i="7"/>
  <c r="J1811" i="7" s="1"/>
  <c r="L1813" i="7"/>
  <c r="K1813" i="7"/>
  <c r="J1818" i="7"/>
  <c r="J1822" i="7"/>
  <c r="AB1824" i="7"/>
  <c r="AA1824" i="7"/>
  <c r="AI1827" i="7"/>
  <c r="AJ1827" i="7"/>
  <c r="AB1828" i="7"/>
  <c r="AA1828" i="7"/>
  <c r="AI1835" i="7"/>
  <c r="AH1835" i="7" s="1"/>
  <c r="S1842" i="7"/>
  <c r="T1842" i="7"/>
  <c r="AH1843" i="7"/>
  <c r="AQ1844" i="7"/>
  <c r="AP1844" i="7" s="1"/>
  <c r="L1923" i="7"/>
  <c r="K1923" i="7"/>
  <c r="L1929" i="7"/>
  <c r="K1929" i="7"/>
  <c r="L1935" i="7"/>
  <c r="K1935" i="7"/>
  <c r="L1942" i="7"/>
  <c r="K1942" i="7"/>
  <c r="L1946" i="7"/>
  <c r="K1946" i="7"/>
  <c r="S1509" i="7"/>
  <c r="J1511" i="7"/>
  <c r="AP1511" i="7"/>
  <c r="L1512" i="7"/>
  <c r="J1512" i="7" s="1"/>
  <c r="AQ1512" i="7"/>
  <c r="AP1512" i="7" s="1"/>
  <c r="S1515" i="7"/>
  <c r="L1518" i="7"/>
  <c r="J1518" i="7" s="1"/>
  <c r="AQ1518" i="7"/>
  <c r="AP1518" i="7" s="1"/>
  <c r="S1521" i="7"/>
  <c r="AP1523" i="7"/>
  <c r="L1524" i="7"/>
  <c r="J1524" i="7" s="1"/>
  <c r="AQ1524" i="7"/>
  <c r="AP1524" i="7" s="1"/>
  <c r="S1527" i="7"/>
  <c r="B1528" i="7"/>
  <c r="J1529" i="7"/>
  <c r="AP1529" i="7"/>
  <c r="L1530" i="7"/>
  <c r="J1530" i="7" s="1"/>
  <c r="AQ1530" i="7"/>
  <c r="AP1530" i="7" s="1"/>
  <c r="S1533" i="7"/>
  <c r="B1534" i="7"/>
  <c r="J1535" i="7"/>
  <c r="L1536" i="7"/>
  <c r="J1536" i="7" s="1"/>
  <c r="Z1536" i="7"/>
  <c r="AQ1536" i="7"/>
  <c r="AP1536" i="7" s="1"/>
  <c r="S1539" i="7"/>
  <c r="B1540" i="7"/>
  <c r="L1542" i="7"/>
  <c r="J1542" i="7" s="1"/>
  <c r="Z1542" i="7"/>
  <c r="AQ1542" i="7"/>
  <c r="AP1542" i="7" s="1"/>
  <c r="S1545" i="7"/>
  <c r="B1546" i="7"/>
  <c r="L1548" i="7"/>
  <c r="J1548" i="7" s="1"/>
  <c r="Z1548" i="7"/>
  <c r="AQ1548" i="7"/>
  <c r="AP1548" i="7" s="1"/>
  <c r="AP1551" i="7"/>
  <c r="R1553" i="7"/>
  <c r="AP1554" i="7"/>
  <c r="R1556" i="7"/>
  <c r="AP1557" i="7"/>
  <c r="R1559" i="7"/>
  <c r="AP1560" i="7"/>
  <c r="R1562" i="7"/>
  <c r="AP1563" i="7"/>
  <c r="R1565" i="7"/>
  <c r="AP1566" i="7"/>
  <c r="R1568" i="7"/>
  <c r="AP1569" i="7"/>
  <c r="AP1582" i="7"/>
  <c r="AP1585" i="7"/>
  <c r="AP1588" i="7"/>
  <c r="AP1591" i="7"/>
  <c r="K1595" i="7"/>
  <c r="AP1595" i="7"/>
  <c r="K1596" i="7"/>
  <c r="K1597" i="7"/>
  <c r="J1597" i="7" s="1"/>
  <c r="K1598" i="7"/>
  <c r="J1598" i="7" s="1"/>
  <c r="AP1598" i="7"/>
  <c r="K1599" i="7"/>
  <c r="K1600" i="7"/>
  <c r="J1600" i="7" s="1"/>
  <c r="K1601" i="7"/>
  <c r="AP1601" i="7"/>
  <c r="K1602" i="7"/>
  <c r="J1602" i="7" s="1"/>
  <c r="K1603" i="7"/>
  <c r="J1603" i="7" s="1"/>
  <c r="K1604" i="7"/>
  <c r="K1605" i="7"/>
  <c r="K1606" i="7"/>
  <c r="J1606" i="7" s="1"/>
  <c r="K1607" i="7"/>
  <c r="K1608" i="7"/>
  <c r="J1608" i="7" s="1"/>
  <c r="K1609" i="7"/>
  <c r="J1609" i="7" s="1"/>
  <c r="K1610" i="7"/>
  <c r="AP1610" i="7"/>
  <c r="K1611" i="7"/>
  <c r="K1612" i="7"/>
  <c r="J1612" i="7" s="1"/>
  <c r="K1613" i="7"/>
  <c r="J1613" i="7" s="1"/>
  <c r="AP1613" i="7"/>
  <c r="K1614" i="7"/>
  <c r="K1615" i="7"/>
  <c r="J1615" i="7" s="1"/>
  <c r="K1616" i="7"/>
  <c r="AP1616" i="7"/>
  <c r="K1617" i="7"/>
  <c r="J1617" i="7" s="1"/>
  <c r="K1618" i="7"/>
  <c r="J1618" i="7" s="1"/>
  <c r="K1619" i="7"/>
  <c r="AP1619" i="7"/>
  <c r="K1620" i="7"/>
  <c r="K1621" i="7"/>
  <c r="J1621" i="7" s="1"/>
  <c r="K1622" i="7"/>
  <c r="J1622" i="7" s="1"/>
  <c r="AP1622" i="7"/>
  <c r="K1623" i="7"/>
  <c r="K1624" i="7"/>
  <c r="J1624" i="7" s="1"/>
  <c r="K1625" i="7"/>
  <c r="K1626" i="7"/>
  <c r="K1627" i="7"/>
  <c r="J1627" i="7" s="1"/>
  <c r="K1628" i="7"/>
  <c r="J1628" i="7" s="1"/>
  <c r="AP1628" i="7"/>
  <c r="K1629" i="7"/>
  <c r="K1630" i="7"/>
  <c r="J1630" i="7" s="1"/>
  <c r="K1631" i="7"/>
  <c r="AP1631" i="7"/>
  <c r="K1632" i="7"/>
  <c r="K1633" i="7"/>
  <c r="J1633" i="7" s="1"/>
  <c r="K1634" i="7"/>
  <c r="K1635" i="7"/>
  <c r="K1636" i="7"/>
  <c r="J1636" i="7" s="1"/>
  <c r="K1637" i="7"/>
  <c r="AP1637" i="7"/>
  <c r="K1638" i="7"/>
  <c r="K1639" i="7"/>
  <c r="J1639" i="7" s="1"/>
  <c r="K1640" i="7"/>
  <c r="AP1640" i="7"/>
  <c r="K1641" i="7"/>
  <c r="J1641" i="7" s="1"/>
  <c r="K1642" i="7"/>
  <c r="J1642" i="7" s="1"/>
  <c r="AP1642" i="7"/>
  <c r="K1643" i="7"/>
  <c r="J1643" i="7" s="1"/>
  <c r="AP1643" i="7"/>
  <c r="K1644" i="7"/>
  <c r="AP1644" i="7"/>
  <c r="K1645" i="7"/>
  <c r="J1645" i="7" s="1"/>
  <c r="AP1645" i="7"/>
  <c r="K1646" i="7"/>
  <c r="J1646" i="7" s="1"/>
  <c r="AP1646" i="7"/>
  <c r="K1647" i="7"/>
  <c r="AP1647" i="7"/>
  <c r="K1648" i="7"/>
  <c r="J1648" i="7" s="1"/>
  <c r="AP1648" i="7"/>
  <c r="K1649" i="7"/>
  <c r="AP1649" i="7"/>
  <c r="K1650" i="7"/>
  <c r="AP1650" i="7"/>
  <c r="K1651" i="7"/>
  <c r="J1651" i="7" s="1"/>
  <c r="AP1651" i="7"/>
  <c r="K1652" i="7"/>
  <c r="AP1652" i="7"/>
  <c r="K1653" i="7"/>
  <c r="AP1653" i="7"/>
  <c r="K1654" i="7"/>
  <c r="J1654" i="7" s="1"/>
  <c r="AP1654" i="7"/>
  <c r="K1655" i="7"/>
  <c r="AP1655" i="7"/>
  <c r="K1656" i="7"/>
  <c r="AP1656" i="7"/>
  <c r="K1657" i="7"/>
  <c r="J1657" i="7" s="1"/>
  <c r="AP1657" i="7"/>
  <c r="K1658" i="7"/>
  <c r="AP1658" i="7"/>
  <c r="K1659" i="7"/>
  <c r="AP1659" i="7"/>
  <c r="K1660" i="7"/>
  <c r="J1660" i="7" s="1"/>
  <c r="AP1660" i="7"/>
  <c r="K1661" i="7"/>
  <c r="AP1661" i="7"/>
  <c r="K1662" i="7"/>
  <c r="AP1662" i="7"/>
  <c r="K1663" i="7"/>
  <c r="J1663" i="7" s="1"/>
  <c r="AP1663" i="7"/>
  <c r="K1664" i="7"/>
  <c r="AP1664" i="7"/>
  <c r="K1665" i="7"/>
  <c r="AP1665" i="7"/>
  <c r="K1666" i="7"/>
  <c r="J1666" i="7" s="1"/>
  <c r="AP1666" i="7"/>
  <c r="K1667" i="7"/>
  <c r="AP1667" i="7"/>
  <c r="K1668" i="7"/>
  <c r="AP1668" i="7"/>
  <c r="K1669" i="7"/>
  <c r="J1669" i="7" s="1"/>
  <c r="AP1669" i="7"/>
  <c r="K1670" i="7"/>
  <c r="AP1670" i="7"/>
  <c r="K1671" i="7"/>
  <c r="AP1671" i="7"/>
  <c r="K1672" i="7"/>
  <c r="J1672" i="7" s="1"/>
  <c r="AP1672" i="7"/>
  <c r="K1673" i="7"/>
  <c r="AP1673" i="7"/>
  <c r="K1674" i="7"/>
  <c r="AP1674" i="7"/>
  <c r="K1675" i="7"/>
  <c r="J1675" i="7" s="1"/>
  <c r="AP1675" i="7"/>
  <c r="K1676" i="7"/>
  <c r="AP1676" i="7"/>
  <c r="K1677" i="7"/>
  <c r="AP1677" i="7"/>
  <c r="K1678" i="7"/>
  <c r="J1678" i="7" s="1"/>
  <c r="AP1678" i="7"/>
  <c r="K1679" i="7"/>
  <c r="AP1679" i="7"/>
  <c r="K1680" i="7"/>
  <c r="AP1680" i="7"/>
  <c r="K1681" i="7"/>
  <c r="J1681" i="7" s="1"/>
  <c r="AP1681" i="7"/>
  <c r="K1682" i="7"/>
  <c r="AP1682" i="7"/>
  <c r="K1683" i="7"/>
  <c r="AP1683" i="7"/>
  <c r="K1684" i="7"/>
  <c r="J1684" i="7" s="1"/>
  <c r="AP1684" i="7"/>
  <c r="K1685" i="7"/>
  <c r="AP1685" i="7"/>
  <c r="K1686" i="7"/>
  <c r="AP1686" i="7"/>
  <c r="K1687" i="7"/>
  <c r="J1687" i="7" s="1"/>
  <c r="AP1687" i="7"/>
  <c r="K1688" i="7"/>
  <c r="AP1688" i="7"/>
  <c r="K1689" i="7"/>
  <c r="AP1689" i="7"/>
  <c r="K1690" i="7"/>
  <c r="J1690" i="7" s="1"/>
  <c r="AP1690" i="7"/>
  <c r="K1691" i="7"/>
  <c r="AP1691" i="7"/>
  <c r="K1692" i="7"/>
  <c r="AP1692" i="7"/>
  <c r="K1693" i="7"/>
  <c r="J1693" i="7" s="1"/>
  <c r="AP1693" i="7"/>
  <c r="K1694" i="7"/>
  <c r="AP1694" i="7"/>
  <c r="K1695" i="7"/>
  <c r="AP1695" i="7"/>
  <c r="K1696" i="7"/>
  <c r="J1696" i="7" s="1"/>
  <c r="AP1696" i="7"/>
  <c r="K1697" i="7"/>
  <c r="AP1697" i="7"/>
  <c r="K1698" i="7"/>
  <c r="AP1698" i="7"/>
  <c r="K1699" i="7"/>
  <c r="J1699" i="7" s="1"/>
  <c r="AP1699" i="7"/>
  <c r="K1700" i="7"/>
  <c r="AP1700" i="7"/>
  <c r="K1701" i="7"/>
  <c r="AP1701" i="7"/>
  <c r="K1702" i="7"/>
  <c r="J1702" i="7" s="1"/>
  <c r="AP1702" i="7"/>
  <c r="K1703" i="7"/>
  <c r="AP1703" i="7"/>
  <c r="K1704" i="7"/>
  <c r="AP1704" i="7"/>
  <c r="K1705" i="7"/>
  <c r="J1705" i="7" s="1"/>
  <c r="AP1705" i="7"/>
  <c r="K1706" i="7"/>
  <c r="AP1706" i="7"/>
  <c r="K1707" i="7"/>
  <c r="AP1707" i="7"/>
  <c r="K1708" i="7"/>
  <c r="J1708" i="7" s="1"/>
  <c r="AP1708" i="7"/>
  <c r="K1709" i="7"/>
  <c r="AP1709" i="7"/>
  <c r="K1710" i="7"/>
  <c r="AP1710" i="7"/>
  <c r="K1711" i="7"/>
  <c r="J1711" i="7" s="1"/>
  <c r="AP1711" i="7"/>
  <c r="K1712" i="7"/>
  <c r="AP1712" i="7"/>
  <c r="K1713" i="7"/>
  <c r="K1714" i="7"/>
  <c r="J1714" i="7" s="1"/>
  <c r="AP1714" i="7"/>
  <c r="K1715" i="7"/>
  <c r="AP1715" i="7"/>
  <c r="K1716" i="7"/>
  <c r="AP1716" i="7"/>
  <c r="K1717" i="7"/>
  <c r="J1717" i="7" s="1"/>
  <c r="AP1717" i="7"/>
  <c r="K1718" i="7"/>
  <c r="AP1718" i="7"/>
  <c r="K1719" i="7"/>
  <c r="AP1719" i="7"/>
  <c r="K1720" i="7"/>
  <c r="J1720" i="7" s="1"/>
  <c r="AP1720" i="7"/>
  <c r="K1721" i="7"/>
  <c r="AP1721" i="7"/>
  <c r="L1722" i="7"/>
  <c r="K1722" i="7"/>
  <c r="L1727" i="7"/>
  <c r="J1727" i="7" s="1"/>
  <c r="K1727" i="7"/>
  <c r="L1732" i="7"/>
  <c r="K1732" i="7"/>
  <c r="L1737" i="7"/>
  <c r="K1737" i="7"/>
  <c r="L1740" i="7"/>
  <c r="J1740" i="7" s="1"/>
  <c r="K1740" i="7"/>
  <c r="L1743" i="7"/>
  <c r="K1743" i="7"/>
  <c r="L1754" i="7"/>
  <c r="K1754" i="7"/>
  <c r="R1758" i="7"/>
  <c r="L1759" i="7"/>
  <c r="K1759" i="7"/>
  <c r="K1769" i="7"/>
  <c r="J1769" i="7" s="1"/>
  <c r="AI1773" i="7"/>
  <c r="AJ1773" i="7"/>
  <c r="AI1783" i="7"/>
  <c r="AH1783" i="7" s="1"/>
  <c r="AJ1783" i="7"/>
  <c r="AB1785" i="7"/>
  <c r="AA1785" i="7"/>
  <c r="AI1807" i="7"/>
  <c r="AJ1807" i="7"/>
  <c r="AI1813" i="7"/>
  <c r="AH1813" i="7" s="1"/>
  <c r="AJ1813" i="7"/>
  <c r="K1817" i="7"/>
  <c r="J1817" i="7" s="1"/>
  <c r="L1819" i="7"/>
  <c r="K1819" i="7"/>
  <c r="D1825" i="7"/>
  <c r="C1825" i="7"/>
  <c r="D1827" i="7"/>
  <c r="C1827" i="7"/>
  <c r="AB1830" i="7"/>
  <c r="AA1830" i="7"/>
  <c r="AI1833" i="7"/>
  <c r="AJ1833" i="7"/>
  <c r="AI1838" i="7"/>
  <c r="AH1838" i="7" s="1"/>
  <c r="K1844" i="7"/>
  <c r="L1844" i="7"/>
  <c r="AR1856" i="7"/>
  <c r="AQ1856" i="7"/>
  <c r="L1878" i="7"/>
  <c r="K1878" i="7"/>
  <c r="AR1887" i="7"/>
  <c r="AQ1887" i="7"/>
  <c r="D1891" i="7"/>
  <c r="C1891" i="7"/>
  <c r="L1892" i="7"/>
  <c r="K1892" i="7"/>
  <c r="D1898" i="7"/>
  <c r="C1898" i="7"/>
  <c r="T2091" i="7"/>
  <c r="S2091" i="7"/>
  <c r="AI3058" i="7"/>
  <c r="AH3058" i="7" s="1"/>
  <c r="AJ3058" i="7"/>
  <c r="C1762" i="7"/>
  <c r="B1762" i="7" s="1"/>
  <c r="J1771" i="7"/>
  <c r="J1777" i="7"/>
  <c r="J1780" i="7"/>
  <c r="J1783" i="7"/>
  <c r="AH1789" i="7"/>
  <c r="R1790" i="7"/>
  <c r="AH1818" i="7"/>
  <c r="AH1824" i="7"/>
  <c r="AH1830" i="7"/>
  <c r="AR1861" i="7"/>
  <c r="AQ1861" i="7"/>
  <c r="AJ1865" i="7"/>
  <c r="AI1865" i="7"/>
  <c r="AJ1870" i="7"/>
  <c r="AI1870" i="7"/>
  <c r="AJ1880" i="7"/>
  <c r="AI1880" i="7"/>
  <c r="L1882" i="7"/>
  <c r="K1882" i="7"/>
  <c r="L1894" i="7"/>
  <c r="K1894" i="7"/>
  <c r="AJ1901" i="7"/>
  <c r="AI1901" i="7"/>
  <c r="AJ1904" i="7"/>
  <c r="AI1904" i="7"/>
  <c r="AR1905" i="7"/>
  <c r="AQ1905" i="7"/>
  <c r="L1911" i="7"/>
  <c r="K1911" i="7"/>
  <c r="J1918" i="7"/>
  <c r="AR1990" i="7"/>
  <c r="AQ1990" i="7"/>
  <c r="AB2018" i="7"/>
  <c r="AA2018" i="7"/>
  <c r="AA2034" i="7"/>
  <c r="AB2034" i="7"/>
  <c r="AI2049" i="7"/>
  <c r="AJ2049" i="7"/>
  <c r="AI2052" i="7"/>
  <c r="AJ2052" i="7"/>
  <c r="AI2056" i="7"/>
  <c r="AJ2056" i="7"/>
  <c r="AI2059" i="7"/>
  <c r="AJ2059" i="7"/>
  <c r="AB2154" i="7"/>
  <c r="AA2154" i="7"/>
  <c r="AJ2156" i="7"/>
  <c r="AI2156" i="7"/>
  <c r="AI2161" i="7"/>
  <c r="AJ2161" i="7"/>
  <c r="AA2169" i="7"/>
  <c r="AB2169" i="7"/>
  <c r="C1767" i="7"/>
  <c r="B1767" i="7" s="1"/>
  <c r="S1769" i="7"/>
  <c r="R1769" i="7" s="1"/>
  <c r="AH1769" i="7"/>
  <c r="C1772" i="7"/>
  <c r="B1772" i="7" s="1"/>
  <c r="AH1772" i="7"/>
  <c r="AH1775" i="7"/>
  <c r="C1778" i="7"/>
  <c r="B1778" i="7" s="1"/>
  <c r="AH1778" i="7"/>
  <c r="C1781" i="7"/>
  <c r="B1781" i="7" s="1"/>
  <c r="AH1781" i="7"/>
  <c r="C1784" i="7"/>
  <c r="B1784" i="7" s="1"/>
  <c r="AJ1784" i="7"/>
  <c r="AH1784" i="7" s="1"/>
  <c r="C1785" i="7"/>
  <c r="B1785" i="7" s="1"/>
  <c r="AH1787" i="7"/>
  <c r="R1788" i="7"/>
  <c r="C1796" i="7"/>
  <c r="B1796" i="7" s="1"/>
  <c r="AJ1796" i="7"/>
  <c r="AH1796" i="7" s="1"/>
  <c r="C1797" i="7"/>
  <c r="B1797" i="7" s="1"/>
  <c r="AH1799" i="7"/>
  <c r="AH1805" i="7"/>
  <c r="C1810" i="7"/>
  <c r="B1810" i="7" s="1"/>
  <c r="AH1823" i="7"/>
  <c r="AH1829" i="7"/>
  <c r="R1834" i="7"/>
  <c r="R1840" i="7"/>
  <c r="J1850" i="7"/>
  <c r="AR1877" i="7"/>
  <c r="AQ1877" i="7"/>
  <c r="AH1896" i="7"/>
  <c r="AP1912" i="7"/>
  <c r="D1915" i="7"/>
  <c r="C1915" i="7"/>
  <c r="AJ1916" i="7"/>
  <c r="AI1916" i="7"/>
  <c r="AH1916" i="7" s="1"/>
  <c r="AR1917" i="7"/>
  <c r="AQ1917" i="7"/>
  <c r="J1924" i="7"/>
  <c r="J1936" i="7"/>
  <c r="K1949" i="7"/>
  <c r="L1949" i="7"/>
  <c r="L1964" i="7"/>
  <c r="K1964" i="7"/>
  <c r="L1976" i="7"/>
  <c r="K1976" i="7"/>
  <c r="AJ1987" i="7"/>
  <c r="AI1987" i="7"/>
  <c r="AH1987" i="7" s="1"/>
  <c r="AR1988" i="7"/>
  <c r="AQ1988" i="7"/>
  <c r="AB2130" i="7"/>
  <c r="Z2130" i="7" s="1"/>
  <c r="AA2130" i="7"/>
  <c r="AJ2135" i="7"/>
  <c r="AI2135" i="7"/>
  <c r="AH2135" i="7" s="1"/>
  <c r="D2145" i="7"/>
  <c r="C2145" i="7"/>
  <c r="AP1722" i="7"/>
  <c r="AP1724" i="7"/>
  <c r="AP1725" i="7"/>
  <c r="AP1726" i="7"/>
  <c r="AP1727" i="7"/>
  <c r="AP1728" i="7"/>
  <c r="AP1730" i="7"/>
  <c r="AP1731" i="7"/>
  <c r="AP1732" i="7"/>
  <c r="AP1735" i="7"/>
  <c r="AP1736" i="7"/>
  <c r="AP1744" i="7"/>
  <c r="AP1750" i="7"/>
  <c r="AP1751" i="7"/>
  <c r="AP1752" i="7"/>
  <c r="AP1754" i="7"/>
  <c r="AP1756" i="7"/>
  <c r="J1770" i="7"/>
  <c r="J1773" i="7"/>
  <c r="J1779" i="7"/>
  <c r="J1782" i="7"/>
  <c r="AH1785" i="7"/>
  <c r="R1786" i="7"/>
  <c r="AH1797" i="7"/>
  <c r="R1798" i="7"/>
  <c r="AH1804" i="7"/>
  <c r="AH1810" i="7"/>
  <c r="AH1816" i="7"/>
  <c r="AH1822" i="7"/>
  <c r="J1824" i="7"/>
  <c r="AH1828" i="7"/>
  <c r="S1865" i="7"/>
  <c r="T1865" i="7"/>
  <c r="R1865" i="7" s="1"/>
  <c r="AJ1866" i="7"/>
  <c r="AI1866" i="7"/>
  <c r="D1870" i="7"/>
  <c r="C1870" i="7"/>
  <c r="AH1872" i="7"/>
  <c r="S1880" i="7"/>
  <c r="R1880" i="7" s="1"/>
  <c r="T1880" i="7"/>
  <c r="L1883" i="7"/>
  <c r="K1883" i="7"/>
  <c r="AJ1898" i="7"/>
  <c r="AI1898" i="7"/>
  <c r="AP1902" i="7"/>
  <c r="D1921" i="7"/>
  <c r="C1921" i="7"/>
  <c r="AJ1922" i="7"/>
  <c r="AI1922" i="7"/>
  <c r="AR1923" i="7"/>
  <c r="AQ1923" i="7"/>
  <c r="AP1923" i="7" s="1"/>
  <c r="AR1929" i="7"/>
  <c r="AQ1929" i="7"/>
  <c r="AR1935" i="7"/>
  <c r="AQ1935" i="7"/>
  <c r="AR1948" i="7"/>
  <c r="AQ1948" i="7"/>
  <c r="AP1948" i="7" s="1"/>
  <c r="AB1986" i="7"/>
  <c r="AA1986" i="7"/>
  <c r="AJ2005" i="7"/>
  <c r="AI2005" i="7"/>
  <c r="AB2006" i="7"/>
  <c r="AA2006" i="7"/>
  <c r="Z2006" i="7" s="1"/>
  <c r="AB2013" i="7"/>
  <c r="AA2013" i="7"/>
  <c r="AR2014" i="7"/>
  <c r="AQ2014" i="7"/>
  <c r="AH1793" i="7"/>
  <c r="R1794" i="7"/>
  <c r="AH1820" i="7"/>
  <c r="AH1826" i="7"/>
  <c r="AH1832" i="7"/>
  <c r="L1862" i="7"/>
  <c r="K1862" i="7"/>
  <c r="AP1863" i="7"/>
  <c r="L1867" i="7"/>
  <c r="K1867" i="7"/>
  <c r="AH1871" i="7"/>
  <c r="AR1872" i="7"/>
  <c r="AQ1872" i="7"/>
  <c r="AH1876" i="7"/>
  <c r="AP1878" i="7"/>
  <c r="AJ1881" i="7"/>
  <c r="AI1881" i="7"/>
  <c r="AR1882" i="7"/>
  <c r="AQ1882" i="7"/>
  <c r="L1899" i="7"/>
  <c r="K1899" i="7"/>
  <c r="D1901" i="7"/>
  <c r="C1901" i="7"/>
  <c r="D1904" i="7"/>
  <c r="C1904" i="7"/>
  <c r="AP1906" i="7"/>
  <c r="L1917" i="7"/>
  <c r="K1917" i="7"/>
  <c r="AP1918" i="7"/>
  <c r="D1958" i="7"/>
  <c r="C1958" i="7"/>
  <c r="L1970" i="7"/>
  <c r="K1970" i="7"/>
  <c r="AJ1993" i="7"/>
  <c r="AI1993" i="7"/>
  <c r="AB1994" i="7"/>
  <c r="AA1994" i="7"/>
  <c r="AB2001" i="7"/>
  <c r="AA2001" i="7"/>
  <c r="AR2002" i="7"/>
  <c r="AQ2002" i="7"/>
  <c r="AR2080" i="7"/>
  <c r="AQ2080" i="7"/>
  <c r="AR2086" i="7"/>
  <c r="AP2086" i="7" s="1"/>
  <c r="AQ2086" i="7"/>
  <c r="AP1858" i="7"/>
  <c r="AQ1859" i="7"/>
  <c r="AP1859" i="7" s="1"/>
  <c r="K1860" i="7"/>
  <c r="AI1862" i="7"/>
  <c r="AH1862" i="7" s="1"/>
  <c r="AI1863" i="7"/>
  <c r="AH1863" i="7" s="1"/>
  <c r="K1864" i="7"/>
  <c r="J1864" i="7" s="1"/>
  <c r="C1867" i="7"/>
  <c r="B1867" i="7" s="1"/>
  <c r="AP1868" i="7"/>
  <c r="AQ1869" i="7"/>
  <c r="AP1869" i="7" s="1"/>
  <c r="AH1873" i="7"/>
  <c r="AP1889" i="7"/>
  <c r="J1908" i="7"/>
  <c r="J1920" i="7"/>
  <c r="J1926" i="7"/>
  <c r="J1932" i="7"/>
  <c r="J1938" i="7"/>
  <c r="AJ1941" i="7"/>
  <c r="AH1941" i="7" s="1"/>
  <c r="AI1941" i="7"/>
  <c r="J1944" i="7"/>
  <c r="AR1954" i="7"/>
  <c r="AQ1954" i="7"/>
  <c r="J1955" i="7"/>
  <c r="L1960" i="7"/>
  <c r="K1960" i="7"/>
  <c r="D1966" i="7"/>
  <c r="C1966" i="7"/>
  <c r="R1966" i="7"/>
  <c r="D1972" i="7"/>
  <c r="C1972" i="7"/>
  <c r="D1978" i="7"/>
  <c r="C1978" i="7"/>
  <c r="R1978" i="7"/>
  <c r="AJ1979" i="7"/>
  <c r="AI1979" i="7"/>
  <c r="AB1988" i="7"/>
  <c r="AA1988" i="7"/>
  <c r="AJ1989" i="7"/>
  <c r="AI1989" i="7"/>
  <c r="AJ1991" i="7"/>
  <c r="AI1991" i="7"/>
  <c r="AB1992" i="7"/>
  <c r="AA1992" i="7"/>
  <c r="AR2000" i="7"/>
  <c r="AQ2000" i="7"/>
  <c r="AJ2003" i="7"/>
  <c r="AI2003" i="7"/>
  <c r="AB2004" i="7"/>
  <c r="AA2004" i="7"/>
  <c r="AR2012" i="7"/>
  <c r="AQ2012" i="7"/>
  <c r="AJ2015" i="7"/>
  <c r="AI2015" i="7"/>
  <c r="AB2016" i="7"/>
  <c r="AA2016" i="7"/>
  <c r="AJ2019" i="7"/>
  <c r="AI2019" i="7"/>
  <c r="AR2024" i="7"/>
  <c r="AQ2024" i="7"/>
  <c r="AI2039" i="7"/>
  <c r="AH2039" i="7" s="1"/>
  <c r="AJ2039" i="7"/>
  <c r="AI2045" i="7"/>
  <c r="AJ2045" i="7"/>
  <c r="Z2046" i="7"/>
  <c r="AI2048" i="7"/>
  <c r="AJ2048" i="7"/>
  <c r="AI2055" i="7"/>
  <c r="AJ2055" i="7"/>
  <c r="AR2075" i="7"/>
  <c r="AQ2075" i="7"/>
  <c r="AJ2085" i="7"/>
  <c r="AI2085" i="7"/>
  <c r="T2087" i="7"/>
  <c r="S2087" i="7"/>
  <c r="Z2089" i="7"/>
  <c r="D2131" i="7"/>
  <c r="C2131" i="7"/>
  <c r="D2135" i="7"/>
  <c r="C2135" i="7"/>
  <c r="AA2467" i="7"/>
  <c r="AB2467" i="7"/>
  <c r="AI1858" i="7"/>
  <c r="AH1858" i="7" s="1"/>
  <c r="T1862" i="7"/>
  <c r="R1862" i="7" s="1"/>
  <c r="AP1864" i="7"/>
  <c r="AH1869" i="7"/>
  <c r="J1870" i="7"/>
  <c r="K1871" i="7"/>
  <c r="C1873" i="7"/>
  <c r="B1873" i="7" s="1"/>
  <c r="AP1874" i="7"/>
  <c r="AH1889" i="7"/>
  <c r="AQ1895" i="7"/>
  <c r="AP1895" i="7" s="1"/>
  <c r="AH1897" i="7"/>
  <c r="AI1900" i="7"/>
  <c r="AH1900" i="7" s="1"/>
  <c r="K1901" i="7"/>
  <c r="AI1903" i="7"/>
  <c r="AH1903" i="7" s="1"/>
  <c r="K1904" i="7"/>
  <c r="J1904" i="7" s="1"/>
  <c r="AI1907" i="7"/>
  <c r="K1909" i="7"/>
  <c r="AQ1909" i="7"/>
  <c r="AP1909" i="7" s="1"/>
  <c r="K1915" i="7"/>
  <c r="AQ1915" i="7"/>
  <c r="AP1915" i="7" s="1"/>
  <c r="C1918" i="7"/>
  <c r="B1918" i="7" s="1"/>
  <c r="AI1919" i="7"/>
  <c r="K1921" i="7"/>
  <c r="J1921" i="7" s="1"/>
  <c r="AQ1921" i="7"/>
  <c r="AP1921" i="7" s="1"/>
  <c r="C1924" i="7"/>
  <c r="AI1925" i="7"/>
  <c r="AH1925" i="7" s="1"/>
  <c r="K1927" i="7"/>
  <c r="J1927" i="7" s="1"/>
  <c r="AQ1927" i="7"/>
  <c r="AP1927" i="7" s="1"/>
  <c r="C1930" i="7"/>
  <c r="AI1931" i="7"/>
  <c r="K1933" i="7"/>
  <c r="J1933" i="7" s="1"/>
  <c r="AQ1933" i="7"/>
  <c r="AP1933" i="7" s="1"/>
  <c r="C1936" i="7"/>
  <c r="B1936" i="7" s="1"/>
  <c r="AI1937" i="7"/>
  <c r="C1941" i="7"/>
  <c r="B1941" i="7" s="1"/>
  <c r="C1942" i="7"/>
  <c r="AR1943" i="7"/>
  <c r="AP1943" i="7" s="1"/>
  <c r="K1948" i="7"/>
  <c r="J1948" i="7" s="1"/>
  <c r="J1950" i="7"/>
  <c r="AJ1953" i="7"/>
  <c r="AI1953" i="7"/>
  <c r="AP1956" i="7"/>
  <c r="AP1961" i="7"/>
  <c r="AJ1963" i="7"/>
  <c r="AI1963" i="7"/>
  <c r="AP1967" i="7"/>
  <c r="AJ1969" i="7"/>
  <c r="AI1969" i="7"/>
  <c r="AP1973" i="7"/>
  <c r="AJ1975" i="7"/>
  <c r="AI1975" i="7"/>
  <c r="AR1980" i="7"/>
  <c r="AQ1980" i="7"/>
  <c r="AA1985" i="7"/>
  <c r="Z1985" i="7" s="1"/>
  <c r="R1986" i="7"/>
  <c r="AB1990" i="7"/>
  <c r="AA1990" i="7"/>
  <c r="R1994" i="7"/>
  <c r="AA1995" i="7"/>
  <c r="Z1995" i="7" s="1"/>
  <c r="AR1998" i="7"/>
  <c r="AQ1998" i="7"/>
  <c r="AJ2001" i="7"/>
  <c r="AI2001" i="7"/>
  <c r="AB2002" i="7"/>
  <c r="AA2002" i="7"/>
  <c r="Z2002" i="7" s="1"/>
  <c r="AA2007" i="7"/>
  <c r="Z2007" i="7" s="1"/>
  <c r="AR2010" i="7"/>
  <c r="AQ2010" i="7"/>
  <c r="AJ2013" i="7"/>
  <c r="AI2013" i="7"/>
  <c r="AB2014" i="7"/>
  <c r="AA2014" i="7"/>
  <c r="AP2017" i="7"/>
  <c r="AB2024" i="7"/>
  <c r="Z2024" i="7" s="1"/>
  <c r="R2027" i="7"/>
  <c r="AB2036" i="7"/>
  <c r="AA2036" i="7"/>
  <c r="R2037" i="7"/>
  <c r="T2038" i="7"/>
  <c r="S2038" i="7"/>
  <c r="AB2042" i="7"/>
  <c r="Z2042" i="7" s="1"/>
  <c r="AA2042" i="7"/>
  <c r="D2113" i="7"/>
  <c r="C2113" i="7"/>
  <c r="AA2113" i="7"/>
  <c r="Z2113" i="7" s="1"/>
  <c r="D2117" i="7"/>
  <c r="C2117" i="7"/>
  <c r="C2119" i="7"/>
  <c r="B2119" i="7" s="1"/>
  <c r="AR2123" i="7"/>
  <c r="AQ2123" i="7"/>
  <c r="AR2124" i="7"/>
  <c r="AQ2124" i="7"/>
  <c r="C1858" i="7"/>
  <c r="B1858" i="7" s="1"/>
  <c r="AH1859" i="7"/>
  <c r="AH1864" i="7"/>
  <c r="AH1874" i="7"/>
  <c r="AP1880" i="7"/>
  <c r="T1889" i="7"/>
  <c r="AH1893" i="7"/>
  <c r="J1896" i="7"/>
  <c r="C1897" i="7"/>
  <c r="B1897" i="7" s="1"/>
  <c r="C1907" i="7"/>
  <c r="AI1908" i="7"/>
  <c r="AH1908" i="7" s="1"/>
  <c r="C1913" i="7"/>
  <c r="AI1914" i="7"/>
  <c r="C1919" i="7"/>
  <c r="AI1920" i="7"/>
  <c r="J1922" i="7"/>
  <c r="C1925" i="7"/>
  <c r="B1925" i="7" s="1"/>
  <c r="AI1926" i="7"/>
  <c r="J1928" i="7"/>
  <c r="C1931" i="7"/>
  <c r="AI1932" i="7"/>
  <c r="J1934" i="7"/>
  <c r="C1937" i="7"/>
  <c r="B1937" i="7" s="1"/>
  <c r="AJ1939" i="7"/>
  <c r="AI1939" i="7"/>
  <c r="AH1939" i="7" s="1"/>
  <c r="AQ1942" i="7"/>
  <c r="AP1942" i="7" s="1"/>
  <c r="L1943" i="7"/>
  <c r="AJ1945" i="7"/>
  <c r="AI1945" i="7"/>
  <c r="AI1948" i="7"/>
  <c r="AH1948" i="7" s="1"/>
  <c r="AR1949" i="7"/>
  <c r="C1953" i="7"/>
  <c r="B1953" i="7" s="1"/>
  <c r="J1956" i="7"/>
  <c r="AJ1959" i="7"/>
  <c r="AI1959" i="7"/>
  <c r="L1961" i="7"/>
  <c r="T1963" i="7"/>
  <c r="R1963" i="7" s="1"/>
  <c r="J1965" i="7"/>
  <c r="L1967" i="7"/>
  <c r="K1967" i="7"/>
  <c r="T1969" i="7"/>
  <c r="R1969" i="7" s="1"/>
  <c r="J1971" i="7"/>
  <c r="L1973" i="7"/>
  <c r="K1973" i="7"/>
  <c r="T1975" i="7"/>
  <c r="J1977" i="7"/>
  <c r="AB1980" i="7"/>
  <c r="AA1980" i="7"/>
  <c r="AJ1981" i="7"/>
  <c r="AI1981" i="7"/>
  <c r="AR1982" i="7"/>
  <c r="AQ1982" i="7"/>
  <c r="AA1987" i="7"/>
  <c r="Z1987" i="7" s="1"/>
  <c r="R1992" i="7"/>
  <c r="AA1993" i="7"/>
  <c r="Z1993" i="7" s="1"/>
  <c r="AR1996" i="7"/>
  <c r="AQ1996" i="7"/>
  <c r="AJ1999" i="7"/>
  <c r="AI1999" i="7"/>
  <c r="AB2000" i="7"/>
  <c r="AA2000" i="7"/>
  <c r="Z2000" i="7" s="1"/>
  <c r="R2004" i="7"/>
  <c r="AA2005" i="7"/>
  <c r="Z2005" i="7" s="1"/>
  <c r="AR2008" i="7"/>
  <c r="AQ2008" i="7"/>
  <c r="AJ2011" i="7"/>
  <c r="AI2011" i="7"/>
  <c r="AH2011" i="7" s="1"/>
  <c r="AB2012" i="7"/>
  <c r="AA2012" i="7"/>
  <c r="R2016" i="7"/>
  <c r="AA2017" i="7"/>
  <c r="Z2017" i="7" s="1"/>
  <c r="D2027" i="7"/>
  <c r="AJ2027" i="7"/>
  <c r="AI2027" i="7"/>
  <c r="T2031" i="7"/>
  <c r="R2031" i="7" s="1"/>
  <c r="AR2064" i="7"/>
  <c r="AQ2064" i="7"/>
  <c r="AJ2065" i="7"/>
  <c r="AI2065" i="7"/>
  <c r="AQ2069" i="7"/>
  <c r="AP2069" i="7" s="1"/>
  <c r="L2112" i="7"/>
  <c r="K2112" i="7"/>
  <c r="D2123" i="7"/>
  <c r="C2123" i="7"/>
  <c r="AB2266" i="7"/>
  <c r="AA2266" i="7"/>
  <c r="AJ2314" i="7"/>
  <c r="AI2314" i="7"/>
  <c r="AH2314" i="7" s="1"/>
  <c r="AJ2318" i="7"/>
  <c r="AI2318" i="7"/>
  <c r="AJ2360" i="7"/>
  <c r="AI2360" i="7"/>
  <c r="AB2392" i="7"/>
  <c r="AA2392" i="7"/>
  <c r="T1859" i="7"/>
  <c r="C1864" i="7"/>
  <c r="B1864" i="7" s="1"/>
  <c r="AP1871" i="7"/>
  <c r="T1874" i="7"/>
  <c r="AP1876" i="7"/>
  <c r="AP1886" i="7"/>
  <c r="C1893" i="7"/>
  <c r="B1893" i="7" s="1"/>
  <c r="D1940" i="7"/>
  <c r="C1940" i="7"/>
  <c r="B1940" i="7" s="1"/>
  <c r="J1943" i="7"/>
  <c r="D1946" i="7"/>
  <c r="C1946" i="7"/>
  <c r="B1946" i="7" s="1"/>
  <c r="AR1946" i="7"/>
  <c r="AQ1946" i="7"/>
  <c r="AP1949" i="7"/>
  <c r="L1954" i="7"/>
  <c r="K1954" i="7"/>
  <c r="AR1960" i="7"/>
  <c r="AQ1960" i="7"/>
  <c r="J1961" i="7"/>
  <c r="D1963" i="7"/>
  <c r="B1963" i="7" s="1"/>
  <c r="C1963" i="7"/>
  <c r="D1969" i="7"/>
  <c r="C1969" i="7"/>
  <c r="D1975" i="7"/>
  <c r="C1975" i="7"/>
  <c r="R1975" i="7"/>
  <c r="AB1982" i="7"/>
  <c r="AA1982" i="7"/>
  <c r="AJ1983" i="7"/>
  <c r="AI1983" i="7"/>
  <c r="AR1984" i="7"/>
  <c r="AQ1984" i="7"/>
  <c r="AR1994" i="7"/>
  <c r="AQ1994" i="7"/>
  <c r="AJ1997" i="7"/>
  <c r="AI1997" i="7"/>
  <c r="AB1998" i="7"/>
  <c r="AA1998" i="7"/>
  <c r="AR2006" i="7"/>
  <c r="AQ2006" i="7"/>
  <c r="AP2006" i="7" s="1"/>
  <c r="AJ2009" i="7"/>
  <c r="AI2009" i="7"/>
  <c r="AB2010" i="7"/>
  <c r="AA2010" i="7"/>
  <c r="AJ2025" i="7"/>
  <c r="AI2025" i="7"/>
  <c r="AB2030" i="7"/>
  <c r="Z2030" i="7" s="1"/>
  <c r="D2105" i="7"/>
  <c r="C2105" i="7"/>
  <c r="AA2172" i="7"/>
  <c r="AB2172" i="7"/>
  <c r="AA2193" i="7"/>
  <c r="AB2193" i="7"/>
  <c r="AI2260" i="7"/>
  <c r="AJ2260" i="7"/>
  <c r="AJ2270" i="7"/>
  <c r="AI2270" i="7"/>
  <c r="AJ2277" i="7"/>
  <c r="AI2277" i="7"/>
  <c r="AJ2280" i="7"/>
  <c r="AI2280" i="7"/>
  <c r="AI2298" i="7"/>
  <c r="AJ2298" i="7"/>
  <c r="AJ2327" i="7"/>
  <c r="AI2327" i="7"/>
  <c r="AH1861" i="7"/>
  <c r="D1944" i="7"/>
  <c r="C1944" i="7"/>
  <c r="AJ1947" i="7"/>
  <c r="AI1947" i="7"/>
  <c r="AH1947" i="7" s="1"/>
  <c r="D1952" i="7"/>
  <c r="C1952" i="7"/>
  <c r="AP1955" i="7"/>
  <c r="AP1964" i="7"/>
  <c r="AJ1966" i="7"/>
  <c r="AI1966" i="7"/>
  <c r="AH1966" i="7" s="1"/>
  <c r="AJ1972" i="7"/>
  <c r="AI1972" i="7"/>
  <c r="AP1976" i="7"/>
  <c r="AJ1978" i="7"/>
  <c r="AI1978" i="7"/>
  <c r="R1980" i="7"/>
  <c r="AB1984" i="7"/>
  <c r="AA1984" i="7"/>
  <c r="AJ1985" i="7"/>
  <c r="AI1985" i="7"/>
  <c r="AR1986" i="7"/>
  <c r="AQ1986" i="7"/>
  <c r="AR1992" i="7"/>
  <c r="AQ1992" i="7"/>
  <c r="AJ1995" i="7"/>
  <c r="AI1995" i="7"/>
  <c r="AB1996" i="7"/>
  <c r="AA1996" i="7"/>
  <c r="R2000" i="7"/>
  <c r="AR2004" i="7"/>
  <c r="AQ2004" i="7"/>
  <c r="AJ2007" i="7"/>
  <c r="AI2007" i="7"/>
  <c r="AB2008" i="7"/>
  <c r="AA2008" i="7"/>
  <c r="R2012" i="7"/>
  <c r="AR2016" i="7"/>
  <c r="AQ2016" i="7"/>
  <c r="AI2060" i="7"/>
  <c r="AJ2060" i="7"/>
  <c r="AJ2079" i="7"/>
  <c r="AI2079" i="7"/>
  <c r="J2080" i="7"/>
  <c r="L2090" i="7"/>
  <c r="K2090" i="7"/>
  <c r="L2092" i="7"/>
  <c r="K2092" i="7"/>
  <c r="AJ2095" i="7"/>
  <c r="AH2095" i="7" s="1"/>
  <c r="AI2095" i="7"/>
  <c r="AB2106" i="7"/>
  <c r="AA2106" i="7"/>
  <c r="AP2111" i="7"/>
  <c r="AJ2137" i="7"/>
  <c r="AI2137" i="7"/>
  <c r="AJ2141" i="7"/>
  <c r="AI2141" i="7"/>
  <c r="L2142" i="7"/>
  <c r="K2142" i="7"/>
  <c r="AB2143" i="7"/>
  <c r="AA2143" i="7"/>
  <c r="Z2148" i="7"/>
  <c r="AJ2155" i="7"/>
  <c r="AI2155" i="7"/>
  <c r="AJ2160" i="7"/>
  <c r="AI2160" i="7"/>
  <c r="J1952" i="7"/>
  <c r="J1958" i="7"/>
  <c r="J1963" i="7"/>
  <c r="B1964" i="7"/>
  <c r="J1966" i="7"/>
  <c r="B1967" i="7"/>
  <c r="J1969" i="7"/>
  <c r="B1970" i="7"/>
  <c r="J1972" i="7"/>
  <c r="B1973" i="7"/>
  <c r="J1975" i="7"/>
  <c r="B1976" i="7"/>
  <c r="J1978" i="7"/>
  <c r="B1979" i="7"/>
  <c r="AP1979" i="7"/>
  <c r="S1981" i="7"/>
  <c r="R1981" i="7" s="1"/>
  <c r="AQ1981" i="7"/>
  <c r="AP1981" i="7" s="1"/>
  <c r="S1983" i="7"/>
  <c r="R1983" i="7" s="1"/>
  <c r="AQ1983" i="7"/>
  <c r="AP1983" i="7" s="1"/>
  <c r="S1985" i="7"/>
  <c r="R1985" i="7" s="1"/>
  <c r="AQ1985" i="7"/>
  <c r="AP1985" i="7" s="1"/>
  <c r="S1987" i="7"/>
  <c r="R1987" i="7" s="1"/>
  <c r="AQ1987" i="7"/>
  <c r="AP1987" i="7" s="1"/>
  <c r="S1989" i="7"/>
  <c r="R1989" i="7" s="1"/>
  <c r="AQ1989" i="7"/>
  <c r="AP1989" i="7" s="1"/>
  <c r="AJ1990" i="7"/>
  <c r="AH1990" i="7" s="1"/>
  <c r="S1991" i="7"/>
  <c r="R1991" i="7" s="1"/>
  <c r="AQ1991" i="7"/>
  <c r="AP1991" i="7" s="1"/>
  <c r="K1992" i="7"/>
  <c r="J1992" i="7" s="1"/>
  <c r="AJ1992" i="7"/>
  <c r="AH1992" i="7" s="1"/>
  <c r="S1993" i="7"/>
  <c r="R1993" i="7" s="1"/>
  <c r="AQ1993" i="7"/>
  <c r="AP1993" i="7" s="1"/>
  <c r="K1994" i="7"/>
  <c r="J1994" i="7" s="1"/>
  <c r="AJ1994" i="7"/>
  <c r="S1995" i="7"/>
  <c r="R1995" i="7" s="1"/>
  <c r="AQ1995" i="7"/>
  <c r="AP1995" i="7" s="1"/>
  <c r="K1996" i="7"/>
  <c r="J1996" i="7" s="1"/>
  <c r="AJ1996" i="7"/>
  <c r="AH1996" i="7" s="1"/>
  <c r="S1997" i="7"/>
  <c r="R1997" i="7" s="1"/>
  <c r="AQ1997" i="7"/>
  <c r="AP1997" i="7" s="1"/>
  <c r="K1998" i="7"/>
  <c r="J1998" i="7" s="1"/>
  <c r="AJ1998" i="7"/>
  <c r="AH1998" i="7" s="1"/>
  <c r="S1999" i="7"/>
  <c r="R1999" i="7" s="1"/>
  <c r="AQ1999" i="7"/>
  <c r="AP1999" i="7" s="1"/>
  <c r="K2000" i="7"/>
  <c r="J2000" i="7" s="1"/>
  <c r="AJ2000" i="7"/>
  <c r="AH2000" i="7" s="1"/>
  <c r="S2001" i="7"/>
  <c r="R2001" i="7" s="1"/>
  <c r="AQ2001" i="7"/>
  <c r="AP2001" i="7" s="1"/>
  <c r="K2002" i="7"/>
  <c r="J2002" i="7" s="1"/>
  <c r="AJ2002" i="7"/>
  <c r="S2003" i="7"/>
  <c r="R2003" i="7" s="1"/>
  <c r="AQ2003" i="7"/>
  <c r="AP2003" i="7" s="1"/>
  <c r="K2004" i="7"/>
  <c r="J2004" i="7" s="1"/>
  <c r="AJ2004" i="7"/>
  <c r="AH2004" i="7" s="1"/>
  <c r="S2005" i="7"/>
  <c r="R2005" i="7" s="1"/>
  <c r="AQ2005" i="7"/>
  <c r="AP2005" i="7" s="1"/>
  <c r="K2006" i="7"/>
  <c r="J2006" i="7" s="1"/>
  <c r="AJ2006" i="7"/>
  <c r="S2007" i="7"/>
  <c r="R2007" i="7" s="1"/>
  <c r="AQ2007" i="7"/>
  <c r="AP2007" i="7" s="1"/>
  <c r="K2008" i="7"/>
  <c r="J2008" i="7" s="1"/>
  <c r="AJ2008" i="7"/>
  <c r="AH2008" i="7" s="1"/>
  <c r="S2009" i="7"/>
  <c r="R2009" i="7" s="1"/>
  <c r="AQ2009" i="7"/>
  <c r="AP2009" i="7" s="1"/>
  <c r="K2010" i="7"/>
  <c r="J2010" i="7" s="1"/>
  <c r="AJ2010" i="7"/>
  <c r="AH2010" i="7" s="1"/>
  <c r="S2011" i="7"/>
  <c r="R2011" i="7" s="1"/>
  <c r="AQ2011" i="7"/>
  <c r="AP2011" i="7" s="1"/>
  <c r="K2012" i="7"/>
  <c r="J2012" i="7" s="1"/>
  <c r="AJ2012" i="7"/>
  <c r="AH2012" i="7" s="1"/>
  <c r="S2013" i="7"/>
  <c r="R2013" i="7" s="1"/>
  <c r="AQ2013" i="7"/>
  <c r="AP2013" i="7" s="1"/>
  <c r="K2014" i="7"/>
  <c r="J2014" i="7" s="1"/>
  <c r="AJ2014" i="7"/>
  <c r="AH2014" i="7" s="1"/>
  <c r="S2015" i="7"/>
  <c r="R2015" i="7" s="1"/>
  <c r="AQ2015" i="7"/>
  <c r="AP2015" i="7" s="1"/>
  <c r="K2016" i="7"/>
  <c r="J2016" i="7" s="1"/>
  <c r="AJ2016" i="7"/>
  <c r="AH2016" i="7" s="1"/>
  <c r="S2017" i="7"/>
  <c r="R2017" i="7" s="1"/>
  <c r="S2018" i="7"/>
  <c r="R2018" i="7" s="1"/>
  <c r="AR2020" i="7"/>
  <c r="AQ2020" i="7"/>
  <c r="T2022" i="7"/>
  <c r="S2022" i="7"/>
  <c r="R2023" i="7"/>
  <c r="D2024" i="7"/>
  <c r="T2026" i="7"/>
  <c r="S2026" i="7"/>
  <c r="AH2026" i="7"/>
  <c r="AB2029" i="7"/>
  <c r="Z2029" i="7" s="1"/>
  <c r="AJ2032" i="7"/>
  <c r="AH2032" i="7" s="1"/>
  <c r="S2036" i="7"/>
  <c r="R2036" i="7" s="1"/>
  <c r="T2044" i="7"/>
  <c r="S2044" i="7"/>
  <c r="AI2047" i="7"/>
  <c r="AJ2047" i="7"/>
  <c r="AI2054" i="7"/>
  <c r="AH2054" i="7" s="1"/>
  <c r="AJ2054" i="7"/>
  <c r="AI2058" i="7"/>
  <c r="AJ2058" i="7"/>
  <c r="D2065" i="7"/>
  <c r="C2065" i="7"/>
  <c r="AP2065" i="7"/>
  <c r="AJ2067" i="7"/>
  <c r="AI2067" i="7"/>
  <c r="Z2069" i="7"/>
  <c r="T2072" i="7"/>
  <c r="S2072" i="7"/>
  <c r="AJ2073" i="7"/>
  <c r="AI2073" i="7"/>
  <c r="J2075" i="7"/>
  <c r="AR2079" i="7"/>
  <c r="AQ2079" i="7"/>
  <c r="AJ2081" i="7"/>
  <c r="AI2081" i="7"/>
  <c r="AR2085" i="7"/>
  <c r="AQ2085" i="7"/>
  <c r="T2090" i="7"/>
  <c r="S2090" i="7"/>
  <c r="J2099" i="7"/>
  <c r="L2105" i="7"/>
  <c r="K2105" i="7"/>
  <c r="J2111" i="7"/>
  <c r="AH2116" i="7"/>
  <c r="AB2124" i="7"/>
  <c r="AA2124" i="7"/>
  <c r="AP2129" i="7"/>
  <c r="AR2141" i="7"/>
  <c r="AQ2141" i="7"/>
  <c r="AR2142" i="7"/>
  <c r="AQ2142" i="7"/>
  <c r="J2148" i="7"/>
  <c r="AJ2153" i="7"/>
  <c r="AI2153" i="7"/>
  <c r="AA2163" i="7"/>
  <c r="AB2163" i="7"/>
  <c r="AA2166" i="7"/>
  <c r="AB2166" i="7"/>
  <c r="AJ2205" i="7"/>
  <c r="AI2205" i="7"/>
  <c r="AJ2253" i="7"/>
  <c r="AI2253" i="7"/>
  <c r="AJ2301" i="7"/>
  <c r="AI2301" i="7"/>
  <c r="AB2350" i="7"/>
  <c r="Z2350" i="7" s="1"/>
  <c r="AA2350" i="7"/>
  <c r="AB2398" i="7"/>
  <c r="AA2398" i="7"/>
  <c r="AB2410" i="7"/>
  <c r="AA2410" i="7"/>
  <c r="J1941" i="7"/>
  <c r="J1947" i="7"/>
  <c r="C1950" i="7"/>
  <c r="B1950" i="7" s="1"/>
  <c r="AI1951" i="7"/>
  <c r="AH1951" i="7" s="1"/>
  <c r="J1953" i="7"/>
  <c r="C1956" i="7"/>
  <c r="B1956" i="7" s="1"/>
  <c r="AI1957" i="7"/>
  <c r="AH1957" i="7" s="1"/>
  <c r="J1959" i="7"/>
  <c r="C1962" i="7"/>
  <c r="AI1962" i="7"/>
  <c r="AH1962" i="7" s="1"/>
  <c r="R1964" i="7"/>
  <c r="C1965" i="7"/>
  <c r="B1965" i="7" s="1"/>
  <c r="AI1965" i="7"/>
  <c r="AH1965" i="7" s="1"/>
  <c r="R1967" i="7"/>
  <c r="C1968" i="7"/>
  <c r="B1968" i="7" s="1"/>
  <c r="AI1968" i="7"/>
  <c r="AH1968" i="7" s="1"/>
  <c r="R1970" i="7"/>
  <c r="C1971" i="7"/>
  <c r="AI1971" i="7"/>
  <c r="AH1971" i="7" s="1"/>
  <c r="R1973" i="7"/>
  <c r="C1974" i="7"/>
  <c r="B1974" i="7" s="1"/>
  <c r="AI1974" i="7"/>
  <c r="AH1974" i="7" s="1"/>
  <c r="R1976" i="7"/>
  <c r="C1977" i="7"/>
  <c r="B1977" i="7" s="1"/>
  <c r="AI1977" i="7"/>
  <c r="AH1977" i="7" s="1"/>
  <c r="AH1980" i="7"/>
  <c r="AH1982" i="7"/>
  <c r="AH1984" i="7"/>
  <c r="AH1986" i="7"/>
  <c r="AH1988" i="7"/>
  <c r="AH1994" i="7"/>
  <c r="AH2002" i="7"/>
  <c r="AH2006" i="7"/>
  <c r="AP2019" i="7"/>
  <c r="AB2020" i="7"/>
  <c r="AA2020" i="7"/>
  <c r="AI2022" i="7"/>
  <c r="AH2022" i="7" s="1"/>
  <c r="AB2031" i="7"/>
  <c r="AB2035" i="7"/>
  <c r="AB2037" i="7"/>
  <c r="AA2037" i="7"/>
  <c r="R2042" i="7"/>
  <c r="AI2046" i="7"/>
  <c r="AJ2046" i="7"/>
  <c r="AI2057" i="7"/>
  <c r="AJ2057" i="7"/>
  <c r="AA2063" i="7"/>
  <c r="AB2063" i="7"/>
  <c r="T2066" i="7"/>
  <c r="S2066" i="7"/>
  <c r="K2077" i="7"/>
  <c r="J2077" i="7" s="1"/>
  <c r="AA2077" i="7"/>
  <c r="AB2077" i="7"/>
  <c r="K2083" i="7"/>
  <c r="J2083" i="7" s="1"/>
  <c r="AA2083" i="7"/>
  <c r="AB2083" i="7"/>
  <c r="J2091" i="7"/>
  <c r="K2094" i="7"/>
  <c r="J2094" i="7" s="1"/>
  <c r="AP2097" i="7"/>
  <c r="AJ2099" i="7"/>
  <c r="AI2099" i="7"/>
  <c r="Z2101" i="7"/>
  <c r="AJ2105" i="7"/>
  <c r="AI2105" i="7"/>
  <c r="L2106" i="7"/>
  <c r="K2106" i="7"/>
  <c r="AB2107" i="7"/>
  <c r="AA2107" i="7"/>
  <c r="J2109" i="7"/>
  <c r="AQ2112" i="7"/>
  <c r="AP2112" i="7" s="1"/>
  <c r="AJ2113" i="7"/>
  <c r="AI2113" i="7"/>
  <c r="B2116" i="7"/>
  <c r="J2117" i="7"/>
  <c r="AP2118" i="7"/>
  <c r="AH2122" i="7"/>
  <c r="L2123" i="7"/>
  <c r="K2123" i="7"/>
  <c r="K2129" i="7"/>
  <c r="D2141" i="7"/>
  <c r="C2141" i="7"/>
  <c r="L2145" i="7"/>
  <c r="K2145" i="7"/>
  <c r="AH2168" i="7"/>
  <c r="AI2171" i="7"/>
  <c r="Z2176" i="7"/>
  <c r="AJ2229" i="7"/>
  <c r="AI2229" i="7"/>
  <c r="AJ2261" i="7"/>
  <c r="AI2261" i="7"/>
  <c r="AJ2288" i="7"/>
  <c r="AI2288" i="7"/>
  <c r="AB2295" i="7"/>
  <c r="AA2295" i="7"/>
  <c r="AA2300" i="7"/>
  <c r="AB2300" i="7"/>
  <c r="AB2382" i="7"/>
  <c r="AA2382" i="7"/>
  <c r="AJ2463" i="7"/>
  <c r="AI2463" i="7"/>
  <c r="B1962" i="7"/>
  <c r="B1971" i="7"/>
  <c r="AJ2017" i="7"/>
  <c r="AI2017" i="7"/>
  <c r="AJ2021" i="7"/>
  <c r="AI2021" i="7"/>
  <c r="AH2021" i="7" s="1"/>
  <c r="AQ2028" i="7"/>
  <c r="AR2028" i="7"/>
  <c r="Z2031" i="7"/>
  <c r="AB2043" i="7"/>
  <c r="AA2043" i="7"/>
  <c r="Z2043" i="7" s="1"/>
  <c r="AI2051" i="7"/>
  <c r="AJ2051" i="7"/>
  <c r="K2063" i="7"/>
  <c r="L2063" i="7"/>
  <c r="AR2067" i="7"/>
  <c r="AQ2067" i="7"/>
  <c r="AP2067" i="7" s="1"/>
  <c r="AR2073" i="7"/>
  <c r="AQ2073" i="7"/>
  <c r="D2095" i="7"/>
  <c r="C2095" i="7"/>
  <c r="AJ2117" i="7"/>
  <c r="AI2117" i="7"/>
  <c r="AJ2123" i="7"/>
  <c r="AI2123" i="7"/>
  <c r="L2124" i="7"/>
  <c r="K2124" i="7"/>
  <c r="AB2125" i="7"/>
  <c r="AA2125" i="7"/>
  <c r="Z2125" i="7" s="1"/>
  <c r="J2129" i="7"/>
  <c r="AJ2131" i="7"/>
  <c r="AI2131" i="7"/>
  <c r="AB2142" i="7"/>
  <c r="AA2142" i="7"/>
  <c r="AJ2145" i="7"/>
  <c r="AI2145" i="7"/>
  <c r="AI2173" i="7"/>
  <c r="AJ2173" i="7"/>
  <c r="AH2173" i="7" s="1"/>
  <c r="AB2186" i="7"/>
  <c r="AA2186" i="7"/>
  <c r="AB2245" i="7"/>
  <c r="AA2245" i="7"/>
  <c r="AJ2328" i="7"/>
  <c r="AI2328" i="7"/>
  <c r="AH2328" i="7" s="1"/>
  <c r="AI2365" i="7"/>
  <c r="AH2365" i="7" s="1"/>
  <c r="AJ2365" i="7"/>
  <c r="AJ2372" i="7"/>
  <c r="AI2372" i="7"/>
  <c r="AI2380" i="7"/>
  <c r="AJ2380" i="7"/>
  <c r="AB2416" i="7"/>
  <c r="AA2416" i="7"/>
  <c r="AJ2557" i="7"/>
  <c r="AI2557" i="7"/>
  <c r="AA2627" i="7"/>
  <c r="AB2627" i="7"/>
  <c r="AB2631" i="7"/>
  <c r="AA2631" i="7"/>
  <c r="AA2706" i="7"/>
  <c r="AB2706" i="7"/>
  <c r="AI2744" i="7"/>
  <c r="AJ2744" i="7"/>
  <c r="AJ2810" i="7"/>
  <c r="AI2810" i="7"/>
  <c r="R1962" i="7"/>
  <c r="R1968" i="7"/>
  <c r="R1971" i="7"/>
  <c r="R1974" i="7"/>
  <c r="R1977" i="7"/>
  <c r="AR2018" i="7"/>
  <c r="AQ2018" i="7"/>
  <c r="Z2027" i="7"/>
  <c r="T2028" i="7"/>
  <c r="S2028" i="7"/>
  <c r="T2033" i="7"/>
  <c r="S2033" i="7"/>
  <c r="R2035" i="7"/>
  <c r="AI2050" i="7"/>
  <c r="AJ2050" i="7"/>
  <c r="AI2053" i="7"/>
  <c r="AJ2053" i="7"/>
  <c r="AI2061" i="7"/>
  <c r="AJ2061" i="7"/>
  <c r="B2069" i="7"/>
  <c r="AJ2071" i="7"/>
  <c r="AI2071" i="7"/>
  <c r="B2075" i="7"/>
  <c r="AA2082" i="7"/>
  <c r="AB2082" i="7"/>
  <c r="J2093" i="7"/>
  <c r="AP2093" i="7"/>
  <c r="D2099" i="7"/>
  <c r="C2099" i="7"/>
  <c r="AR2105" i="7"/>
  <c r="AQ2105" i="7"/>
  <c r="AR2106" i="7"/>
  <c r="AQ2106" i="7"/>
  <c r="Z2112" i="7"/>
  <c r="J2118" i="7"/>
  <c r="Z2118" i="7"/>
  <c r="Z2134" i="7"/>
  <c r="AH2140" i="7"/>
  <c r="L2141" i="7"/>
  <c r="K2141" i="7"/>
  <c r="Z2156" i="7"/>
  <c r="AI2176" i="7"/>
  <c r="AJ2176" i="7"/>
  <c r="AI2180" i="7"/>
  <c r="AJ2180" i="7"/>
  <c r="AI2207" i="7"/>
  <c r="AJ2207" i="7"/>
  <c r="AB2281" i="7"/>
  <c r="AA2281" i="7"/>
  <c r="AB2335" i="7"/>
  <c r="AA2335" i="7"/>
  <c r="AJ2357" i="7"/>
  <c r="AI2357" i="7"/>
  <c r="AJ2376" i="7"/>
  <c r="AI2376" i="7"/>
  <c r="AB2386" i="7"/>
  <c r="AA2386" i="7"/>
  <c r="AJ2388" i="7"/>
  <c r="AI2388" i="7"/>
  <c r="AH2018" i="7"/>
  <c r="AH2020" i="7"/>
  <c r="AJ2024" i="7"/>
  <c r="AH2024" i="7" s="1"/>
  <c r="AA2026" i="7"/>
  <c r="Z2026" i="7" s="1"/>
  <c r="AI2029" i="7"/>
  <c r="AH2029" i="7" s="1"/>
  <c r="S2052" i="7"/>
  <c r="R2052" i="7" s="1"/>
  <c r="K2067" i="7"/>
  <c r="AI2069" i="7"/>
  <c r="AH2069" i="7" s="1"/>
  <c r="AI2075" i="7"/>
  <c r="AH2075" i="7" s="1"/>
  <c r="K2078" i="7"/>
  <c r="J2078" i="7" s="1"/>
  <c r="AI2080" i="7"/>
  <c r="AH2080" i="7" s="1"/>
  <c r="C2083" i="7"/>
  <c r="B2083" i="7" s="1"/>
  <c r="K2084" i="7"/>
  <c r="J2084" i="7" s="1"/>
  <c r="AQ2084" i="7"/>
  <c r="AP2084" i="7" s="1"/>
  <c r="AI2086" i="7"/>
  <c r="AH2086" i="7" s="1"/>
  <c r="AQ2088" i="7"/>
  <c r="AP2088" i="7" s="1"/>
  <c r="AQ2091" i="7"/>
  <c r="AP2091" i="7" s="1"/>
  <c r="AH2093" i="7"/>
  <c r="Z2100" i="7"/>
  <c r="K2102" i="7"/>
  <c r="J2102" i="7" s="1"/>
  <c r="K2103" i="7"/>
  <c r="J2103" i="7" s="1"/>
  <c r="Z2104" i="7"/>
  <c r="AQ2120" i="7"/>
  <c r="AP2120" i="7" s="1"/>
  <c r="AA2121" i="7"/>
  <c r="Z2121" i="7" s="1"/>
  <c r="AQ2121" i="7"/>
  <c r="AP2121" i="7" s="1"/>
  <c r="AA2122" i="7"/>
  <c r="Z2122" i="7" s="1"/>
  <c r="AI2129" i="7"/>
  <c r="AH2129" i="7" s="1"/>
  <c r="AP2135" i="7"/>
  <c r="Z2136" i="7"/>
  <c r="J2139" i="7"/>
  <c r="AP2139" i="7"/>
  <c r="Z2140" i="7"/>
  <c r="AH2177" i="7"/>
  <c r="AA2187" i="7"/>
  <c r="AB2187" i="7"/>
  <c r="AB2188" i="7"/>
  <c r="AA2188" i="7"/>
  <c r="AJ2195" i="7"/>
  <c r="AH2195" i="7" s="1"/>
  <c r="AI2195" i="7"/>
  <c r="AJ2198" i="7"/>
  <c r="AI2198" i="7"/>
  <c r="AJ2211" i="7"/>
  <c r="AI2211" i="7"/>
  <c r="AI2215" i="7"/>
  <c r="AJ2215" i="7"/>
  <c r="AJ2219" i="7"/>
  <c r="AI2219" i="7"/>
  <c r="AH2222" i="7"/>
  <c r="AB2224" i="7"/>
  <c r="AA2224" i="7"/>
  <c r="Z2227" i="7"/>
  <c r="AI2236" i="7"/>
  <c r="AJ2236" i="7"/>
  <c r="AJ2273" i="7"/>
  <c r="AI2273" i="7"/>
  <c r="AI2290" i="7"/>
  <c r="AJ2290" i="7"/>
  <c r="Z2307" i="7"/>
  <c r="AB2346" i="7"/>
  <c r="AA2346" i="7"/>
  <c r="AH2352" i="7"/>
  <c r="AI2401" i="7"/>
  <c r="AJ2401" i="7"/>
  <c r="AJ2403" i="7"/>
  <c r="AI2403" i="7"/>
  <c r="AI2419" i="7"/>
  <c r="AJ2419" i="7"/>
  <c r="AJ2421" i="7"/>
  <c r="AI2421" i="7"/>
  <c r="AB2440" i="7"/>
  <c r="AA2440" i="7"/>
  <c r="AI2461" i="7"/>
  <c r="AJ2461" i="7"/>
  <c r="AB2510" i="7"/>
  <c r="AA2510" i="7"/>
  <c r="AA2576" i="7"/>
  <c r="AB2576" i="7"/>
  <c r="AJ2581" i="7"/>
  <c r="AI2581" i="7"/>
  <c r="AB2608" i="7"/>
  <c r="AA2608" i="7"/>
  <c r="AR2026" i="7"/>
  <c r="AP2026" i="7" s="1"/>
  <c r="AJ2034" i="7"/>
  <c r="AJ2040" i="7"/>
  <c r="AH2063" i="7"/>
  <c r="J2082" i="7"/>
  <c r="AB2084" i="7"/>
  <c r="Z2084" i="7" s="1"/>
  <c r="AB2088" i="7"/>
  <c r="Z2088" i="7" s="1"/>
  <c r="AP2102" i="7"/>
  <c r="Z2103" i="7"/>
  <c r="Z2147" i="7"/>
  <c r="Z2150" i="7"/>
  <c r="AA2165" i="7"/>
  <c r="Z2165" i="7" s="1"/>
  <c r="AA2168" i="7"/>
  <c r="Z2168" i="7" s="1"/>
  <c r="AI2169" i="7"/>
  <c r="AH2169" i="7" s="1"/>
  <c r="AB2175" i="7"/>
  <c r="Z2175" i="7" s="1"/>
  <c r="AH2201" i="7"/>
  <c r="AJ2209" i="7"/>
  <c r="AH2209" i="7" s="1"/>
  <c r="AA2230" i="7"/>
  <c r="Z2230" i="7" s="1"/>
  <c r="AH2231" i="7"/>
  <c r="AJ2241" i="7"/>
  <c r="AI2241" i="7"/>
  <c r="AJ2244" i="7"/>
  <c r="AI2244" i="7"/>
  <c r="AA2254" i="7"/>
  <c r="Z2254" i="7" s="1"/>
  <c r="AH2255" i="7"/>
  <c r="AA2289" i="7"/>
  <c r="Z2289" i="7" s="1"/>
  <c r="AB2310" i="7"/>
  <c r="AA2310" i="7"/>
  <c r="Z2365" i="7"/>
  <c r="AB2367" i="7"/>
  <c r="AA2367" i="7"/>
  <c r="AI2374" i="7"/>
  <c r="AJ2374" i="7"/>
  <c r="AJ2382" i="7"/>
  <c r="AI2382" i="7"/>
  <c r="AA2383" i="7"/>
  <c r="Z2383" i="7" s="1"/>
  <c r="AB2446" i="7"/>
  <c r="AA2446" i="7"/>
  <c r="AA2502" i="7"/>
  <c r="AB2502" i="7"/>
  <c r="AA2508" i="7"/>
  <c r="AB2508" i="7"/>
  <c r="AI2553" i="7"/>
  <c r="AJ2553" i="7"/>
  <c r="AI2559" i="7"/>
  <c r="AJ2559" i="7"/>
  <c r="AB2569" i="7"/>
  <c r="AA2569" i="7"/>
  <c r="B2067" i="7"/>
  <c r="J2069" i="7"/>
  <c r="B2073" i="7"/>
  <c r="J2085" i="7"/>
  <c r="AP2109" i="7"/>
  <c r="Z2110" i="7"/>
  <c r="J2127" i="7"/>
  <c r="AP2127" i="7"/>
  <c r="J2144" i="7"/>
  <c r="J2149" i="7"/>
  <c r="AB2180" i="7"/>
  <c r="AA2180" i="7"/>
  <c r="AJ2187" i="7"/>
  <c r="AI2187" i="7"/>
  <c r="AH2187" i="7" s="1"/>
  <c r="AI2188" i="7"/>
  <c r="AJ2188" i="7"/>
  <c r="AB2192" i="7"/>
  <c r="AA2192" i="7"/>
  <c r="AB2197" i="7"/>
  <c r="AA2197" i="7"/>
  <c r="AB2200" i="7"/>
  <c r="AA2200" i="7"/>
  <c r="AJ2213" i="7"/>
  <c r="AI2213" i="7"/>
  <c r="AB2218" i="7"/>
  <c r="AA2218" i="7"/>
  <c r="Z2218" i="7" s="1"/>
  <c r="AJ2223" i="7"/>
  <c r="AI2223" i="7"/>
  <c r="AI2227" i="7"/>
  <c r="AJ2227" i="7"/>
  <c r="AJ2237" i="7"/>
  <c r="AI2237" i="7"/>
  <c r="AH2237" i="7" s="1"/>
  <c r="AI2248" i="7"/>
  <c r="AJ2248" i="7"/>
  <c r="AI2284" i="7"/>
  <c r="AJ2284" i="7"/>
  <c r="AA2297" i="7"/>
  <c r="AB2297" i="7"/>
  <c r="Z2297" i="7" s="1"/>
  <c r="AH2311" i="7"/>
  <c r="AH2349" i="7"/>
  <c r="AH2361" i="7"/>
  <c r="AA2362" i="7"/>
  <c r="AB2362" i="7"/>
  <c r="AB2371" i="7"/>
  <c r="AA2371" i="7"/>
  <c r="AJ2378" i="7"/>
  <c r="AI2378" i="7"/>
  <c r="AJ2385" i="7"/>
  <c r="AI2385" i="7"/>
  <c r="AI2395" i="7"/>
  <c r="AJ2395" i="7"/>
  <c r="AJ2397" i="7"/>
  <c r="AI2397" i="7"/>
  <c r="AH2397" i="7" s="1"/>
  <c r="AI2413" i="7"/>
  <c r="AJ2413" i="7"/>
  <c r="AJ2415" i="7"/>
  <c r="AI2415" i="7"/>
  <c r="AI2431" i="7"/>
  <c r="AJ2431" i="7"/>
  <c r="AH2436" i="7"/>
  <c r="AI2454" i="7"/>
  <c r="AJ2454" i="7"/>
  <c r="AJ2510" i="7"/>
  <c r="AI2510" i="7"/>
  <c r="Z2513" i="7"/>
  <c r="AI2549" i="7"/>
  <c r="AJ2549" i="7"/>
  <c r="Z2047" i="7"/>
  <c r="Z2048" i="7"/>
  <c r="Z2049" i="7"/>
  <c r="Z2050" i="7"/>
  <c r="Z2051" i="7"/>
  <c r="Z2053" i="7"/>
  <c r="Z2055" i="7"/>
  <c r="Z2056" i="7"/>
  <c r="Z2058" i="7"/>
  <c r="Z2059" i="7"/>
  <c r="Z2060" i="7"/>
  <c r="Z2061" i="7"/>
  <c r="R2082" i="7"/>
  <c r="J2088" i="7"/>
  <c r="R2089" i="7"/>
  <c r="J2097" i="7"/>
  <c r="Z2098" i="7"/>
  <c r="J2115" i="7"/>
  <c r="Z2116" i="7"/>
  <c r="B2122" i="7"/>
  <c r="J2133" i="7"/>
  <c r="AP2133" i="7"/>
  <c r="AB2183" i="7"/>
  <c r="AA2183" i="7"/>
  <c r="Z2183" i="7" s="1"/>
  <c r="AJ2196" i="7"/>
  <c r="AI2196" i="7"/>
  <c r="AJ2199" i="7"/>
  <c r="AI2199" i="7"/>
  <c r="AB2201" i="7"/>
  <c r="AA2201" i="7"/>
  <c r="Z2201" i="7" s="1"/>
  <c r="Z2206" i="7"/>
  <c r="AH2210" i="7"/>
  <c r="AB2212" i="7"/>
  <c r="AA2212" i="7"/>
  <c r="AJ2217" i="7"/>
  <c r="AI2217" i="7"/>
  <c r="AI2221" i="7"/>
  <c r="AJ2221" i="7"/>
  <c r="AJ2225" i="7"/>
  <c r="AI2225" i="7"/>
  <c r="AJ2249" i="7"/>
  <c r="AI2249" i="7"/>
  <c r="AI2263" i="7"/>
  <c r="AJ2263" i="7"/>
  <c r="AJ2265" i="7"/>
  <c r="AI2265" i="7"/>
  <c r="AI2272" i="7"/>
  <c r="AJ2272" i="7"/>
  <c r="AJ2285" i="7"/>
  <c r="AI2285" i="7"/>
  <c r="Z2313" i="7"/>
  <c r="AJ2315" i="7"/>
  <c r="AI2315" i="7"/>
  <c r="AJ2336" i="7"/>
  <c r="AI2336" i="7"/>
  <c r="AB2343" i="7"/>
  <c r="AA2343" i="7"/>
  <c r="AB2347" i="7"/>
  <c r="AA2347" i="7"/>
  <c r="AI2356" i="7"/>
  <c r="AJ2356" i="7"/>
  <c r="AB2370" i="7"/>
  <c r="AA2370" i="7"/>
  <c r="AJ2391" i="7"/>
  <c r="AI2391" i="7"/>
  <c r="AI2407" i="7"/>
  <c r="AJ2407" i="7"/>
  <c r="AJ2409" i="7"/>
  <c r="AI2409" i="7"/>
  <c r="AI2425" i="7"/>
  <c r="AJ2425" i="7"/>
  <c r="AB2458" i="7"/>
  <c r="AA2458" i="7"/>
  <c r="AI2480" i="7"/>
  <c r="AJ2480" i="7"/>
  <c r="AJ2485" i="7"/>
  <c r="AI2485" i="7"/>
  <c r="AI2534" i="7"/>
  <c r="AJ2534" i="7"/>
  <c r="AJ2540" i="7"/>
  <c r="AI2540" i="7"/>
  <c r="AI2574" i="7"/>
  <c r="AJ2574" i="7"/>
  <c r="AB2581" i="7"/>
  <c r="AA2581" i="7"/>
  <c r="AI2592" i="7"/>
  <c r="AJ2592" i="7"/>
  <c r="AB2181" i="7"/>
  <c r="Z2181" i="7" s="1"/>
  <c r="AJ2182" i="7"/>
  <c r="AH2182" i="7" s="1"/>
  <c r="AB2190" i="7"/>
  <c r="Z2190" i="7" s="1"/>
  <c r="AJ2191" i="7"/>
  <c r="AH2191" i="7" s="1"/>
  <c r="AH2202" i="7"/>
  <c r="AH2208" i="7"/>
  <c r="AH2214" i="7"/>
  <c r="AH2220" i="7"/>
  <c r="AH2226" i="7"/>
  <c r="AA2236" i="7"/>
  <c r="Z2236" i="7" s="1"/>
  <c r="AI2240" i="7"/>
  <c r="AH2240" i="7" s="1"/>
  <c r="AA2248" i="7"/>
  <c r="Z2248" i="7" s="1"/>
  <c r="AI2252" i="7"/>
  <c r="AH2252" i="7" s="1"/>
  <c r="AH2262" i="7"/>
  <c r="AI2276" i="7"/>
  <c r="AH2276" i="7" s="1"/>
  <c r="AI2286" i="7"/>
  <c r="AH2286" i="7" s="1"/>
  <c r="AI2292" i="7"/>
  <c r="AH2292" i="7" s="1"/>
  <c r="AI2293" i="7"/>
  <c r="AH2293" i="7" s="1"/>
  <c r="AA2308" i="7"/>
  <c r="AB2309" i="7"/>
  <c r="Z2309" i="7" s="1"/>
  <c r="AJ2320" i="7"/>
  <c r="AH2320" i="7" s="1"/>
  <c r="AI2321" i="7"/>
  <c r="AH2321" i="7" s="1"/>
  <c r="AI2324" i="7"/>
  <c r="AH2324" i="7" s="1"/>
  <c r="AA2325" i="7"/>
  <c r="Z2325" i="7" s="1"/>
  <c r="AI2333" i="7"/>
  <c r="AH2333" i="7" s="1"/>
  <c r="AA2334" i="7"/>
  <c r="Z2334" i="7" s="1"/>
  <c r="AJ2338" i="7"/>
  <c r="AI2339" i="7"/>
  <c r="AH2339" i="7" s="1"/>
  <c r="AH2354" i="7"/>
  <c r="AH2367" i="7"/>
  <c r="AJ2433" i="7"/>
  <c r="AI2433" i="7"/>
  <c r="AI2449" i="7"/>
  <c r="AJ2449" i="7"/>
  <c r="AJ2451" i="7"/>
  <c r="AI2451" i="7"/>
  <c r="AJ2465" i="7"/>
  <c r="AI2465" i="7"/>
  <c r="AI2498" i="7"/>
  <c r="AJ2498" i="7"/>
  <c r="AA2531" i="7"/>
  <c r="AB2531" i="7"/>
  <c r="AI2562" i="7"/>
  <c r="AJ2562" i="7"/>
  <c r="AJ2621" i="7"/>
  <c r="AI2621" i="7"/>
  <c r="AB2625" i="7"/>
  <c r="AA2625" i="7"/>
  <c r="AA2714" i="7"/>
  <c r="AB2714" i="7"/>
  <c r="AA2735" i="7"/>
  <c r="AB2735" i="7"/>
  <c r="AB2747" i="7"/>
  <c r="AA2747" i="7"/>
  <c r="AJ2783" i="7"/>
  <c r="AI2783" i="7"/>
  <c r="AJ2801" i="7"/>
  <c r="AI2801" i="7"/>
  <c r="AJ2837" i="7"/>
  <c r="AI2837" i="7"/>
  <c r="AJ2230" i="7"/>
  <c r="AI2235" i="7"/>
  <c r="AH2235" i="7" s="1"/>
  <c r="AJ2242" i="7"/>
  <c r="AH2242" i="7" s="1"/>
  <c r="AI2247" i="7"/>
  <c r="AH2247" i="7" s="1"/>
  <c r="AJ2254" i="7"/>
  <c r="AJ2266" i="7"/>
  <c r="AH2266" i="7" s="1"/>
  <c r="AJ2278" i="7"/>
  <c r="AA2290" i="7"/>
  <c r="Z2290" i="7" s="1"/>
  <c r="AB2291" i="7"/>
  <c r="Z2291" i="7" s="1"/>
  <c r="Z2308" i="7"/>
  <c r="AI2342" i="7"/>
  <c r="AH2342" i="7" s="1"/>
  <c r="AH2345" i="7"/>
  <c r="AH2369" i="7"/>
  <c r="AH2384" i="7"/>
  <c r="AH2387" i="7"/>
  <c r="AH2390" i="7"/>
  <c r="AJ2427" i="7"/>
  <c r="AI2427" i="7"/>
  <c r="Z2439" i="7"/>
  <c r="AJ2479" i="7"/>
  <c r="AI2479" i="7"/>
  <c r="AH2483" i="7"/>
  <c r="AJ2503" i="7"/>
  <c r="AI2503" i="7"/>
  <c r="AI2516" i="7"/>
  <c r="AH2516" i="7" s="1"/>
  <c r="AJ2518" i="7"/>
  <c r="AI2518" i="7"/>
  <c r="AH2519" i="7"/>
  <c r="AB2522" i="7"/>
  <c r="AA2522" i="7"/>
  <c r="AA2535" i="7"/>
  <c r="Z2535" i="7" s="1"/>
  <c r="AI2541" i="7"/>
  <c r="AJ2541" i="7"/>
  <c r="AB2547" i="7"/>
  <c r="AA2547" i="7"/>
  <c r="AH2560" i="7"/>
  <c r="AJ2569" i="7"/>
  <c r="AI2569" i="7"/>
  <c r="AA2597" i="7"/>
  <c r="AB2597" i="7"/>
  <c r="AA2603" i="7"/>
  <c r="AB2603" i="7"/>
  <c r="AJ2608" i="7"/>
  <c r="AI2608" i="7"/>
  <c r="AA2609" i="7"/>
  <c r="AB2612" i="7"/>
  <c r="Z2612" i="7" s="1"/>
  <c r="AA2612" i="7"/>
  <c r="AJ2707" i="7"/>
  <c r="AI2707" i="7"/>
  <c r="AJ2713" i="7"/>
  <c r="AI2713" i="7"/>
  <c r="AJ2729" i="7"/>
  <c r="AH2729" i="7" s="1"/>
  <c r="AI2729" i="7"/>
  <c r="AB2751" i="7"/>
  <c r="AA2751" i="7"/>
  <c r="AB2830" i="7"/>
  <c r="AA2830" i="7"/>
  <c r="AH2230" i="7"/>
  <c r="Z2233" i="7"/>
  <c r="AH2246" i="7"/>
  <c r="AH2254" i="7"/>
  <c r="Z2257" i="7"/>
  <c r="AH2259" i="7"/>
  <c r="Z2269" i="7"/>
  <c r="AH2364" i="7"/>
  <c r="AH2379" i="7"/>
  <c r="AH2381" i="7"/>
  <c r="AI2443" i="7"/>
  <c r="AJ2443" i="7"/>
  <c r="AJ2445" i="7"/>
  <c r="AI2445" i="7"/>
  <c r="Z2448" i="7"/>
  <c r="AI2455" i="7"/>
  <c r="AJ2455" i="7"/>
  <c r="AJ2457" i="7"/>
  <c r="AI2457" i="7"/>
  <c r="Z2463" i="7"/>
  <c r="AJ2497" i="7"/>
  <c r="AI2497" i="7"/>
  <c r="Z2537" i="7"/>
  <c r="AA2588" i="7"/>
  <c r="AB2588" i="7"/>
  <c r="Z2588" i="7" s="1"/>
  <c r="AA2594" i="7"/>
  <c r="AB2594" i="7"/>
  <c r="AI2782" i="7"/>
  <c r="AJ2782" i="7"/>
  <c r="AH2194" i="7"/>
  <c r="Z2314" i="7"/>
  <c r="Z2349" i="7"/>
  <c r="AH2351" i="7"/>
  <c r="AH2363" i="7"/>
  <c r="AH2375" i="7"/>
  <c r="AI2437" i="7"/>
  <c r="AJ2437" i="7"/>
  <c r="AJ2439" i="7"/>
  <c r="AI2439" i="7"/>
  <c r="Z2442" i="7"/>
  <c r="AH2468" i="7"/>
  <c r="AI2486" i="7"/>
  <c r="AJ2486" i="7"/>
  <c r="Z2501" i="7"/>
  <c r="Z2507" i="7"/>
  <c r="AJ2512" i="7"/>
  <c r="AI2512" i="7"/>
  <c r="AA2514" i="7"/>
  <c r="AB2514" i="7"/>
  <c r="AH2538" i="7"/>
  <c r="AB2545" i="7"/>
  <c r="AA2545" i="7"/>
  <c r="AB2590" i="7"/>
  <c r="AA2590" i="7"/>
  <c r="AI2601" i="7"/>
  <c r="AJ2601" i="7"/>
  <c r="AB2611" i="7"/>
  <c r="AA2611" i="7"/>
  <c r="AB2622" i="7"/>
  <c r="AA2622" i="7"/>
  <c r="AJ2626" i="7"/>
  <c r="AI2626" i="7"/>
  <c r="AB2802" i="7"/>
  <c r="AA2802" i="7"/>
  <c r="AB2838" i="7"/>
  <c r="AA2838" i="7"/>
  <c r="AB2848" i="7"/>
  <c r="AA2848" i="7"/>
  <c r="AH2501" i="7"/>
  <c r="AH2504" i="7"/>
  <c r="AH2507" i="7"/>
  <c r="Z2517" i="7"/>
  <c r="AH2521" i="7"/>
  <c r="AH2525" i="7"/>
  <c r="Z2529" i="7"/>
  <c r="AI2530" i="7"/>
  <c r="AH2530" i="7" s="1"/>
  <c r="AA2534" i="7"/>
  <c r="Z2534" i="7" s="1"/>
  <c r="AH2537" i="7"/>
  <c r="Z2540" i="7"/>
  <c r="AH2547" i="7"/>
  <c r="AJ2550" i="7"/>
  <c r="AH2550" i="7" s="1"/>
  <c r="Z2552" i="7"/>
  <c r="AA2554" i="7"/>
  <c r="Z2554" i="7" s="1"/>
  <c r="AA2556" i="7"/>
  <c r="Z2556" i="7" s="1"/>
  <c r="AJ2558" i="7"/>
  <c r="AH2558" i="7" s="1"/>
  <c r="AJ2565" i="7"/>
  <c r="AA2567" i="7"/>
  <c r="AJ2571" i="7"/>
  <c r="AH2571" i="7" s="1"/>
  <c r="AA2572" i="7"/>
  <c r="Z2572" i="7" s="1"/>
  <c r="AI2575" i="7"/>
  <c r="AH2577" i="7"/>
  <c r="AB2579" i="7"/>
  <c r="AJ2583" i="7"/>
  <c r="AH2583" i="7" s="1"/>
  <c r="AB2585" i="7"/>
  <c r="Z2593" i="7"/>
  <c r="AI2596" i="7"/>
  <c r="AH2596" i="7" s="1"/>
  <c r="AH2598" i="7"/>
  <c r="AA2599" i="7"/>
  <c r="Z2599" i="7" s="1"/>
  <c r="Z2600" i="7"/>
  <c r="AI2602" i="7"/>
  <c r="AH2602" i="7" s="1"/>
  <c r="AH2604" i="7"/>
  <c r="AB2606" i="7"/>
  <c r="AH2613" i="7"/>
  <c r="AA2614" i="7"/>
  <c r="Z2614" i="7" s="1"/>
  <c r="AB2633" i="7"/>
  <c r="Z2633" i="7" s="1"/>
  <c r="AI2715" i="7"/>
  <c r="AJ2715" i="7"/>
  <c r="AB2723" i="7"/>
  <c r="AA2723" i="7"/>
  <c r="AB2724" i="7"/>
  <c r="AH2737" i="7"/>
  <c r="AJ2743" i="7"/>
  <c r="AB2757" i="7"/>
  <c r="AA2757" i="7"/>
  <c r="AH2760" i="7"/>
  <c r="AH2763" i="7"/>
  <c r="AJ2776" i="7"/>
  <c r="AI2780" i="7"/>
  <c r="AH2780" i="7" s="1"/>
  <c r="AB2793" i="7"/>
  <c r="AA2793" i="7"/>
  <c r="AA2794" i="7"/>
  <c r="AJ2800" i="7"/>
  <c r="AB2820" i="7"/>
  <c r="AA2820" i="7"/>
  <c r="AA2821" i="7"/>
  <c r="Z2821" i="7" s="1"/>
  <c r="AJ2828" i="7"/>
  <c r="AI2828" i="7"/>
  <c r="AJ2836" i="7"/>
  <c r="AH2836" i="7" s="1"/>
  <c r="AI3046" i="7"/>
  <c r="AJ3046" i="7"/>
  <c r="AI3050" i="7"/>
  <c r="AJ3050" i="7"/>
  <c r="AI3066" i="7"/>
  <c r="AJ3066" i="7"/>
  <c r="AJ2452" i="7"/>
  <c r="AJ2458" i="7"/>
  <c r="AH2474" i="7"/>
  <c r="Z2483" i="7"/>
  <c r="AH2492" i="7"/>
  <c r="AH2506" i="7"/>
  <c r="Z2520" i="7"/>
  <c r="AH2524" i="7"/>
  <c r="AJ2535" i="7"/>
  <c r="AH2535" i="7" s="1"/>
  <c r="AJ2555" i="7"/>
  <c r="AA2563" i="7"/>
  <c r="Z2563" i="7" s="1"/>
  <c r="AH2565" i="7"/>
  <c r="AA2566" i="7"/>
  <c r="Z2566" i="7" s="1"/>
  <c r="AA2578" i="7"/>
  <c r="Z2578" i="7" s="1"/>
  <c r="AA2584" i="7"/>
  <c r="Z2584" i="7" s="1"/>
  <c r="Z2585" i="7"/>
  <c r="AJ2589" i="7"/>
  <c r="AH2589" i="7" s="1"/>
  <c r="AB2591" i="7"/>
  <c r="Z2591" i="7" s="1"/>
  <c r="AJ2595" i="7"/>
  <c r="AA2605" i="7"/>
  <c r="Z2605" i="7" s="1"/>
  <c r="AJ2610" i="7"/>
  <c r="AH2610" i="7" s="1"/>
  <c r="AB2618" i="7"/>
  <c r="AA2618" i="7"/>
  <c r="AJ2624" i="7"/>
  <c r="AI2624" i="7"/>
  <c r="AJ2632" i="7"/>
  <c r="AI2632" i="7"/>
  <c r="AH2632" i="7" s="1"/>
  <c r="AB2697" i="7"/>
  <c r="AA2697" i="7"/>
  <c r="AB2703" i="7"/>
  <c r="AA2703" i="7"/>
  <c r="AB2708" i="7"/>
  <c r="AA2708" i="7"/>
  <c r="Z2729" i="7"/>
  <c r="AA2736" i="7"/>
  <c r="AB2736" i="7"/>
  <c r="AH2743" i="7"/>
  <c r="AB2766" i="7"/>
  <c r="AA2766" i="7"/>
  <c r="Z2766" i="7" s="1"/>
  <c r="AJ2773" i="7"/>
  <c r="AI2773" i="7"/>
  <c r="AB2784" i="7"/>
  <c r="AA2784" i="7"/>
  <c r="AB2811" i="7"/>
  <c r="AA2811" i="7"/>
  <c r="AA2812" i="7"/>
  <c r="AJ2827" i="7"/>
  <c r="AH2827" i="7" s="1"/>
  <c r="Z2835" i="7"/>
  <c r="AA2898" i="7"/>
  <c r="AB2898" i="7"/>
  <c r="AI2991" i="7"/>
  <c r="AJ2991" i="7"/>
  <c r="AI3009" i="7"/>
  <c r="AJ3009" i="7"/>
  <c r="AA3017" i="7"/>
  <c r="AB3017" i="7"/>
  <c r="AJ3024" i="7"/>
  <c r="AI3024" i="7"/>
  <c r="Z2504" i="7"/>
  <c r="AH2513" i="7"/>
  <c r="AH2527" i="7"/>
  <c r="AH2587" i="7"/>
  <c r="AH2593" i="7"/>
  <c r="AH2595" i="7"/>
  <c r="AH2629" i="7"/>
  <c r="AJ2722" i="7"/>
  <c r="AI2722" i="7"/>
  <c r="AJ2728" i="7"/>
  <c r="AI2728" i="7"/>
  <c r="AH2728" i="7" s="1"/>
  <c r="AA2742" i="7"/>
  <c r="Z2742" i="7" s="1"/>
  <c r="AB2742" i="7"/>
  <c r="Z2752" i="7"/>
  <c r="AJ2792" i="7"/>
  <c r="AI2792" i="7"/>
  <c r="AJ2819" i="7"/>
  <c r="AI2819" i="7"/>
  <c r="Z2826" i="7"/>
  <c r="Z2844" i="7"/>
  <c r="AA2891" i="7"/>
  <c r="AB2891" i="7"/>
  <c r="AI2934" i="7"/>
  <c r="AJ2934" i="7"/>
  <c r="AA2967" i="7"/>
  <c r="AB2967" i="7"/>
  <c r="AA2978" i="7"/>
  <c r="AB2978" i="7"/>
  <c r="Z3006" i="7"/>
  <c r="AI3023" i="7"/>
  <c r="AJ3023" i="7"/>
  <c r="AI3029" i="7"/>
  <c r="AJ3029" i="7"/>
  <c r="Z3031" i="7"/>
  <c r="AI3034" i="7"/>
  <c r="AJ3034" i="7"/>
  <c r="AI3040" i="7"/>
  <c r="AJ3040" i="7"/>
  <c r="AH2515" i="7"/>
  <c r="AH2556" i="7"/>
  <c r="AH2566" i="7"/>
  <c r="AH2580" i="7"/>
  <c r="Z2582" i="7"/>
  <c r="AH2584" i="7"/>
  <c r="AH2586" i="7"/>
  <c r="Z2602" i="7"/>
  <c r="AH2605" i="7"/>
  <c r="AH2607" i="7"/>
  <c r="AH2616" i="7"/>
  <c r="AB2617" i="7"/>
  <c r="AA2617" i="7"/>
  <c r="AB2694" i="7"/>
  <c r="AA2694" i="7"/>
  <c r="AB2700" i="7"/>
  <c r="AA2700" i="7"/>
  <c r="AH2731" i="7"/>
  <c r="Z2741" i="7"/>
  <c r="AA2768" i="7"/>
  <c r="AB2768" i="7"/>
  <c r="Z2817" i="7"/>
  <c r="AH2818" i="7"/>
  <c r="AH2824" i="7"/>
  <c r="AB2829" i="7"/>
  <c r="AA2829" i="7"/>
  <c r="Z2829" i="7" s="1"/>
  <c r="Z2624" i="7"/>
  <c r="Z2636" i="7"/>
  <c r="Z2637" i="7"/>
  <c r="Z2639" i="7"/>
  <c r="AA2643" i="7"/>
  <c r="Z2643" i="7" s="1"/>
  <c r="Z2646" i="7"/>
  <c r="Z2648" i="7"/>
  <c r="Z2654" i="7"/>
  <c r="Z2657" i="7"/>
  <c r="Z2660" i="7"/>
  <c r="AI2662" i="7"/>
  <c r="AH2662" i="7" s="1"/>
  <c r="Z2663" i="7"/>
  <c r="AA2664" i="7"/>
  <c r="Z2664" i="7" s="1"/>
  <c r="AI2665" i="7"/>
  <c r="AH2665" i="7" s="1"/>
  <c r="Z2666" i="7"/>
  <c r="Z2667" i="7"/>
  <c r="Z2669" i="7"/>
  <c r="Z2670" i="7"/>
  <c r="Z2672" i="7"/>
  <c r="Z2675" i="7"/>
  <c r="Z2678" i="7"/>
  <c r="Z2679" i="7"/>
  <c r="Z2681" i="7"/>
  <c r="Z2684" i="7"/>
  <c r="Z2687" i="7"/>
  <c r="AJ2709" i="7"/>
  <c r="AH2709" i="7" s="1"/>
  <c r="AA2715" i="7"/>
  <c r="Z2720" i="7"/>
  <c r="AB2733" i="7"/>
  <c r="AI2734" i="7"/>
  <c r="AH2734" i="7" s="1"/>
  <c r="AA2744" i="7"/>
  <c r="Z2744" i="7" s="1"/>
  <c r="AB2746" i="7"/>
  <c r="AI2753" i="7"/>
  <c r="AH2753" i="7" s="1"/>
  <c r="AI2756" i="7"/>
  <c r="AH2756" i="7" s="1"/>
  <c r="AI2757" i="7"/>
  <c r="AH2757" i="7" s="1"/>
  <c r="AJ2758" i="7"/>
  <c r="AH2758" i="7" s="1"/>
  <c r="AA2759" i="7"/>
  <c r="Z2759" i="7" s="1"/>
  <c r="AJ2766" i="7"/>
  <c r="AH2766" i="7" s="1"/>
  <c r="AH2779" i="7"/>
  <c r="AA2796" i="7"/>
  <c r="Z2796" i="7" s="1"/>
  <c r="AA2805" i="7"/>
  <c r="AA2809" i="7"/>
  <c r="AA2814" i="7"/>
  <c r="Z2814" i="7" s="1"/>
  <c r="AA2823" i="7"/>
  <c r="Z2823" i="7" s="1"/>
  <c r="AA2832" i="7"/>
  <c r="Z2832" i="7" s="1"/>
  <c r="Z2841" i="7"/>
  <c r="AI2907" i="7"/>
  <c r="AJ2907" i="7"/>
  <c r="Z2910" i="7"/>
  <c r="AI2916" i="7"/>
  <c r="AJ2916" i="7"/>
  <c r="AI2925" i="7"/>
  <c r="AH2925" i="7" s="1"/>
  <c r="AJ2925" i="7"/>
  <c r="AI2943" i="7"/>
  <c r="AJ2943" i="7"/>
  <c r="Z2951" i="7"/>
  <c r="AA2990" i="7"/>
  <c r="AB2990" i="7"/>
  <c r="Z2997" i="7"/>
  <c r="AA3008" i="7"/>
  <c r="AB3008" i="7"/>
  <c r="AB2696" i="7"/>
  <c r="AA2705" i="7"/>
  <c r="Z2705" i="7" s="1"/>
  <c r="AA2710" i="7"/>
  <c r="Z2710" i="7" s="1"/>
  <c r="Z2733" i="7"/>
  <c r="AI2735" i="7"/>
  <c r="AH2735" i="7" s="1"/>
  <c r="Z2746" i="7"/>
  <c r="AI2750" i="7"/>
  <c r="AH2750" i="7" s="1"/>
  <c r="AI2751" i="7"/>
  <c r="AH2751" i="7" s="1"/>
  <c r="Z2770" i="7"/>
  <c r="AI2794" i="7"/>
  <c r="AI2795" i="7"/>
  <c r="AH2795" i="7" s="1"/>
  <c r="AI2804" i="7"/>
  <c r="AH2804" i="7" s="1"/>
  <c r="AI2822" i="7"/>
  <c r="AI2831" i="7"/>
  <c r="AI2854" i="7"/>
  <c r="AH2854" i="7" s="1"/>
  <c r="AJ2854" i="7"/>
  <c r="Z2885" i="7"/>
  <c r="AA2895" i="7"/>
  <c r="AB2895" i="7"/>
  <c r="Z2915" i="7"/>
  <c r="AJ2966" i="7"/>
  <c r="AI2966" i="7"/>
  <c r="AA2999" i="7"/>
  <c r="AB2999" i="7"/>
  <c r="AA3033" i="7"/>
  <c r="AB3033" i="7"/>
  <c r="Z2696" i="7"/>
  <c r="AI2698" i="7"/>
  <c r="AI2701" i="7"/>
  <c r="AA2788" i="7"/>
  <c r="AA2815" i="7"/>
  <c r="AA2842" i="7"/>
  <c r="AB2866" i="7"/>
  <c r="AA2866" i="7"/>
  <c r="AJ2884" i="7"/>
  <c r="AI2884" i="7"/>
  <c r="AI2976" i="7"/>
  <c r="AJ2976" i="7"/>
  <c r="Z3015" i="7"/>
  <c r="AI3032" i="7"/>
  <c r="AJ3032" i="7"/>
  <c r="AI3075" i="7"/>
  <c r="AJ3075" i="7"/>
  <c r="AI2845" i="7"/>
  <c r="AJ2845" i="7"/>
  <c r="AB2857" i="7"/>
  <c r="AA2857" i="7"/>
  <c r="AI2863" i="7"/>
  <c r="AJ2863" i="7"/>
  <c r="AJ2882" i="7"/>
  <c r="AI2882" i="7"/>
  <c r="AJ2894" i="7"/>
  <c r="AI2894" i="7"/>
  <c r="Z2900" i="7"/>
  <c r="AI2946" i="7"/>
  <c r="AJ2946" i="7"/>
  <c r="Z2948" i="7"/>
  <c r="AA2963" i="7"/>
  <c r="AB2963" i="7"/>
  <c r="Z2964" i="7"/>
  <c r="AA2975" i="7"/>
  <c r="AB2975" i="7"/>
  <c r="Z2981" i="7"/>
  <c r="AI3000" i="7"/>
  <c r="AJ3000" i="7"/>
  <c r="AI3018" i="7"/>
  <c r="AJ3018" i="7"/>
  <c r="AB3049" i="7"/>
  <c r="AA3049" i="7"/>
  <c r="Z3049" i="7" s="1"/>
  <c r="AB3053" i="7"/>
  <c r="AA3053" i="7"/>
  <c r="AH3063" i="7"/>
  <c r="AI3080" i="7"/>
  <c r="AJ3080" i="7"/>
  <c r="AH3083" i="7"/>
  <c r="AI3089" i="7"/>
  <c r="AJ3089" i="7"/>
  <c r="AH3092" i="7"/>
  <c r="AI3098" i="7"/>
  <c r="AJ3098" i="7"/>
  <c r="AH3101" i="7"/>
  <c r="AI3107" i="7"/>
  <c r="AJ3107" i="7"/>
  <c r="Z2928" i="7"/>
  <c r="Z2988" i="7"/>
  <c r="AH3002" i="7"/>
  <c r="AH3052" i="7"/>
  <c r="AH3096" i="7"/>
  <c r="AH3105" i="7"/>
  <c r="AH3114" i="7"/>
  <c r="AA2850" i="7"/>
  <c r="Z2850" i="7" s="1"/>
  <c r="AA2854" i="7"/>
  <c r="Z2854" i="7" s="1"/>
  <c r="AA2863" i="7"/>
  <c r="Z2863" i="7" s="1"/>
  <c r="Z2873" i="7"/>
  <c r="AA2882" i="7"/>
  <c r="Z2882" i="7" s="1"/>
  <c r="AA2888" i="7"/>
  <c r="Z2888" i="7" s="1"/>
  <c r="AI2896" i="7"/>
  <c r="AH2896" i="7" s="1"/>
  <c r="AA2925" i="7"/>
  <c r="Z2925" i="7" s="1"/>
  <c r="Z2934" i="7"/>
  <c r="Z2946" i="7"/>
  <c r="AI2954" i="7"/>
  <c r="AH2954" i="7" s="1"/>
  <c r="AA2957" i="7"/>
  <c r="Z2957" i="7" s="1"/>
  <c r="AA2961" i="7"/>
  <c r="AI2968" i="7"/>
  <c r="AH2968" i="7" s="1"/>
  <c r="AJ2985" i="7"/>
  <c r="AH2985" i="7" s="1"/>
  <c r="AH2987" i="7"/>
  <c r="AH2996" i="7"/>
  <c r="AA3000" i="7"/>
  <c r="Z3000" i="7" s="1"/>
  <c r="AH3005" i="7"/>
  <c r="Z3009" i="7"/>
  <c r="AH3014" i="7"/>
  <c r="Z3018" i="7"/>
  <c r="AJ3021" i="7"/>
  <c r="AH3021" i="7" s="1"/>
  <c r="AH3028" i="7"/>
  <c r="AJ3037" i="7"/>
  <c r="AH3037" i="7" s="1"/>
  <c r="AA3040" i="7"/>
  <c r="Z3040" i="7" s="1"/>
  <c r="AJ3043" i="7"/>
  <c r="AH3043" i="7" s="1"/>
  <c r="AA3046" i="7"/>
  <c r="Z3046" i="7" s="1"/>
  <c r="AA3050" i="7"/>
  <c r="Z3050" i="7" s="1"/>
  <c r="AA3052" i="7"/>
  <c r="Z3052" i="7" s="1"/>
  <c r="AH3061" i="7"/>
  <c r="AH3070" i="7"/>
  <c r="AH3090" i="7"/>
  <c r="AH3099" i="7"/>
  <c r="AH3108" i="7"/>
  <c r="AI2848" i="7"/>
  <c r="AH2848" i="7" s="1"/>
  <c r="AI2849" i="7"/>
  <c r="AH2857" i="7"/>
  <c r="Z2903" i="7"/>
  <c r="AH2904" i="7"/>
  <c r="Z2912" i="7"/>
  <c r="AH2913" i="7"/>
  <c r="AI2920" i="7"/>
  <c r="AH2920" i="7" s="1"/>
  <c r="Z2930" i="7"/>
  <c r="AH2931" i="7"/>
  <c r="AI2938" i="7"/>
  <c r="AH2938" i="7" s="1"/>
  <c r="AA2949" i="7"/>
  <c r="AI2952" i="7"/>
  <c r="AI2989" i="7"/>
  <c r="AH2994" i="7"/>
  <c r="AI2998" i="7"/>
  <c r="AH2998" i="7" s="1"/>
  <c r="AI2999" i="7"/>
  <c r="AH3003" i="7"/>
  <c r="AA3005" i="7"/>
  <c r="Z3005" i="7" s="1"/>
  <c r="AI3007" i="7"/>
  <c r="AH3012" i="7"/>
  <c r="AJ3055" i="7"/>
  <c r="AH3055" i="7" s="1"/>
  <c r="AI3077" i="7"/>
  <c r="AH3077" i="7" s="1"/>
  <c r="AJ3084" i="7"/>
  <c r="AH3084" i="7" s="1"/>
  <c r="AI3086" i="7"/>
  <c r="AH3086" i="7" s="1"/>
  <c r="AJ3093" i="7"/>
  <c r="AI3095" i="7"/>
  <c r="AH3095" i="7" s="1"/>
  <c r="AJ3102" i="7"/>
  <c r="AI3104" i="7"/>
  <c r="AH3104" i="7" s="1"/>
  <c r="AJ3111" i="7"/>
  <c r="AH3111" i="7" s="1"/>
  <c r="AI3113" i="7"/>
  <c r="AH3113" i="7" s="1"/>
  <c r="AA2847" i="7"/>
  <c r="Z2847" i="7" s="1"/>
  <c r="AA2856" i="7"/>
  <c r="Z2856" i="7" s="1"/>
  <c r="AA2860" i="7"/>
  <c r="AA2869" i="7"/>
  <c r="Z2897" i="7"/>
  <c r="Z2904" i="7"/>
  <c r="AJ2910" i="7"/>
  <c r="AA2913" i="7"/>
  <c r="Z2913" i="7" s="1"/>
  <c r="AA2918" i="7"/>
  <c r="Z2918" i="7" s="1"/>
  <c r="AJ2919" i="7"/>
  <c r="AH2919" i="7" s="1"/>
  <c r="AA2922" i="7"/>
  <c r="Z2922" i="7" s="1"/>
  <c r="AA2927" i="7"/>
  <c r="Z2927" i="7" s="1"/>
  <c r="Z2931" i="7"/>
  <c r="AB2950" i="7"/>
  <c r="Z2950" i="7" s="1"/>
  <c r="AJ2951" i="7"/>
  <c r="AA2960" i="7"/>
  <c r="Z2960" i="7" s="1"/>
  <c r="AA2970" i="7"/>
  <c r="Z2970" i="7" s="1"/>
  <c r="AI2974" i="7"/>
  <c r="AI2980" i="7"/>
  <c r="AH2980" i="7" s="1"/>
  <c r="AI2983" i="7"/>
  <c r="AH2983" i="7" s="1"/>
  <c r="Z2985" i="7"/>
  <c r="AH2990" i="7"/>
  <c r="AH2999" i="7"/>
  <c r="Z3003" i="7"/>
  <c r="AH3017" i="7"/>
  <c r="AA3021" i="7"/>
  <c r="Z3021" i="7" s="1"/>
  <c r="AA3043" i="7"/>
  <c r="Z3043" i="7" s="1"/>
  <c r="Z3060" i="7"/>
  <c r="AH3067" i="7"/>
  <c r="AH3102" i="7"/>
  <c r="AI2846" i="7"/>
  <c r="AH2846" i="7" s="1"/>
  <c r="AI2855" i="7"/>
  <c r="AH2855" i="7" s="1"/>
  <c r="AI2885" i="7"/>
  <c r="AH2885" i="7" s="1"/>
  <c r="AH2910" i="7"/>
  <c r="AI2917" i="7"/>
  <c r="AI2926" i="7"/>
  <c r="AH2928" i="7"/>
  <c r="AH2951" i="7"/>
  <c r="AI2977" i="7"/>
  <c r="AH2977" i="7" s="1"/>
  <c r="AI2984" i="7"/>
  <c r="AH2984" i="7" s="1"/>
  <c r="AH2988" i="7"/>
  <c r="AI2992" i="7"/>
  <c r="AH2997" i="7"/>
  <c r="AI3010" i="7"/>
  <c r="AH3015" i="7"/>
  <c r="AI3019" i="7"/>
  <c r="AI3020" i="7"/>
  <c r="AH3020" i="7" s="1"/>
  <c r="AJ3025" i="7"/>
  <c r="AH3025" i="7" s="1"/>
  <c r="AJ3064" i="7"/>
  <c r="AH3064" i="7" s="1"/>
  <c r="AJ3073" i="7"/>
  <c r="AH3073" i="7" s="1"/>
  <c r="AJ3078" i="7"/>
  <c r="AH3078" i="7" s="1"/>
  <c r="M60" i="2"/>
  <c r="N60" i="2" s="1"/>
  <c r="M48" i="1"/>
  <c r="N48" i="1" s="1"/>
  <c r="M62" i="2"/>
  <c r="N62" i="2" s="1"/>
  <c r="M50" i="1"/>
  <c r="N50" i="1" s="1"/>
  <c r="M80" i="1"/>
  <c r="N80" i="1" s="1"/>
  <c r="M92" i="2"/>
  <c r="N92" i="2" s="1"/>
  <c r="B14" i="2"/>
  <c r="M74" i="1"/>
  <c r="N74" i="1" s="1"/>
  <c r="M86" i="2"/>
  <c r="N86" i="2" s="1"/>
  <c r="M52" i="1"/>
  <c r="N52" i="1" s="1"/>
  <c r="M64" i="2"/>
  <c r="N64" i="2" s="1"/>
  <c r="C6" i="4"/>
  <c r="B6" i="4"/>
  <c r="F5" i="4"/>
  <c r="J6" i="4"/>
  <c r="J7" i="4" s="1"/>
  <c r="J8" i="4" s="1"/>
  <c r="J9" i="4" s="1"/>
  <c r="J10" i="4" s="1"/>
  <c r="J11" i="4" s="1"/>
  <c r="J12" i="4" s="1"/>
  <c r="J13" i="4" s="1"/>
  <c r="J14" i="4" s="1"/>
  <c r="J15" i="4" s="1"/>
  <c r="J16" i="4" s="1"/>
  <c r="J17" i="4" s="1"/>
  <c r="J18" i="4" s="1"/>
  <c r="J19" i="4" s="1"/>
  <c r="J20" i="4" s="1"/>
  <c r="J21" i="4" s="1"/>
  <c r="J22" i="4" s="1"/>
  <c r="J23" i="4" s="1"/>
  <c r="J24" i="4" s="1"/>
  <c r="J25" i="4" s="1"/>
  <c r="J26" i="4" s="1"/>
  <c r="J27" i="4" s="1"/>
  <c r="J28" i="4" s="1"/>
  <c r="J29" i="4" s="1"/>
  <c r="J30" i="4" s="1"/>
  <c r="J31" i="4" s="1"/>
  <c r="J32" i="4" s="1"/>
  <c r="J33" i="4" s="1"/>
  <c r="J34" i="4" s="1"/>
  <c r="J35" i="4" s="1"/>
  <c r="J36" i="4" s="1"/>
  <c r="J37" i="4" s="1"/>
  <c r="J38" i="4" s="1"/>
  <c r="J39" i="4" s="1"/>
  <c r="J40" i="4" s="1"/>
  <c r="J41" i="4" s="1"/>
  <c r="J42" i="4" s="1"/>
  <c r="J43" i="4" s="1"/>
  <c r="J44" i="4" s="1"/>
  <c r="J45" i="4" s="1"/>
  <c r="J46" i="4" s="1"/>
  <c r="J47" i="4" s="1"/>
  <c r="J48" i="4" s="1"/>
  <c r="J49" i="4" s="1"/>
  <c r="J50" i="4" s="1"/>
  <c r="J51" i="4" s="1"/>
  <c r="J52" i="4" s="1"/>
  <c r="J53" i="4" s="1"/>
  <c r="J54" i="4" s="1"/>
  <c r="J55" i="4" s="1"/>
  <c r="J56" i="4" s="1"/>
  <c r="J57" i="4" s="1"/>
  <c r="J58" i="4" s="1"/>
  <c r="J59" i="4" s="1"/>
  <c r="J60" i="4" s="1"/>
  <c r="J61" i="4" s="1"/>
  <c r="J62" i="4" s="1"/>
  <c r="J63" i="4" s="1"/>
  <c r="J64" i="4" s="1"/>
  <c r="J65" i="4" s="1"/>
  <c r="J66" i="4" s="1"/>
  <c r="J67" i="4" s="1"/>
  <c r="J68" i="4" s="1"/>
  <c r="J69" i="4" s="1"/>
  <c r="J70" i="4" s="1"/>
  <c r="J71" i="4" s="1"/>
  <c r="J72" i="4" s="1"/>
  <c r="J73" i="4" s="1"/>
  <c r="J74" i="4" s="1"/>
  <c r="J75" i="4" s="1"/>
  <c r="J76" i="4" s="1"/>
  <c r="J77" i="4" s="1"/>
  <c r="J78" i="4" s="1"/>
  <c r="J79" i="4" s="1"/>
  <c r="J80" i="4" s="1"/>
  <c r="J81" i="4" s="1"/>
  <c r="J82" i="4" s="1"/>
  <c r="J83" i="4" s="1"/>
  <c r="J84" i="4" s="1"/>
  <c r="J85" i="4" s="1"/>
  <c r="J86" i="4" s="1"/>
  <c r="J87" i="4" s="1"/>
  <c r="J88" i="4" s="1"/>
  <c r="J89" i="4" s="1"/>
  <c r="J90" i="4" s="1"/>
  <c r="J91" i="4" s="1"/>
  <c r="J92" i="4" s="1"/>
  <c r="J93" i="4" s="1"/>
  <c r="J94" i="4" s="1"/>
  <c r="J95" i="4" s="1"/>
  <c r="J96" i="4" s="1"/>
  <c r="J97" i="4" s="1"/>
  <c r="J98" i="4" s="1"/>
  <c r="J99" i="4" s="1"/>
  <c r="J100" i="4" s="1"/>
  <c r="J101" i="4" s="1"/>
  <c r="J102" i="4" s="1"/>
  <c r="J103" i="4" s="1"/>
  <c r="J104" i="4" s="1"/>
  <c r="J105" i="4" s="1"/>
  <c r="J106" i="4" s="1"/>
  <c r="J107" i="4" s="1"/>
  <c r="J108" i="4" s="1"/>
  <c r="J109" i="4" s="1"/>
  <c r="J110" i="4" s="1"/>
  <c r="J111" i="4" s="1"/>
  <c r="J112" i="4" s="1"/>
  <c r="J113" i="4" s="1"/>
  <c r="J114" i="4" s="1"/>
  <c r="J115" i="4" s="1"/>
  <c r="J116" i="4" s="1"/>
  <c r="J117" i="4" s="1"/>
  <c r="J118" i="4" s="1"/>
  <c r="J119" i="4" s="1"/>
  <c r="J120" i="4" s="1"/>
  <c r="J121" i="4" s="1"/>
  <c r="J122" i="4" s="1"/>
  <c r="J123" i="4" s="1"/>
  <c r="J124" i="4" s="1"/>
  <c r="J125" i="4" s="1"/>
  <c r="J126" i="4" s="1"/>
  <c r="J127" i="4" s="1"/>
  <c r="J128" i="4" s="1"/>
  <c r="J129" i="4" s="1"/>
  <c r="J130" i="4" s="1"/>
  <c r="J131" i="4" s="1"/>
  <c r="J132" i="4" s="1"/>
  <c r="J133" i="4" s="1"/>
  <c r="J134" i="4" s="1"/>
  <c r="J135" i="4" s="1"/>
  <c r="J136" i="4" s="1"/>
  <c r="J137" i="4" s="1"/>
  <c r="J138" i="4" s="1"/>
  <c r="J139" i="4" s="1"/>
  <c r="J140" i="4" s="1"/>
  <c r="J141" i="4" s="1"/>
  <c r="J142" i="4" s="1"/>
  <c r="J143" i="4" s="1"/>
  <c r="J144" i="4" s="1"/>
  <c r="J145" i="4" s="1"/>
  <c r="J146" i="4" s="1"/>
  <c r="J147" i="4" s="1"/>
  <c r="J148" i="4" s="1"/>
  <c r="J149" i="4" s="1"/>
  <c r="J150" i="4" s="1"/>
  <c r="J151" i="4" s="1"/>
  <c r="J152" i="4" s="1"/>
  <c r="J153" i="4" s="1"/>
  <c r="J154" i="4" s="1"/>
  <c r="J155" i="4" s="1"/>
  <c r="I14" i="4"/>
  <c r="I15" i="4" s="1"/>
  <c r="I16" i="4" s="1"/>
  <c r="I17" i="4" s="1"/>
  <c r="I18" i="4" s="1"/>
  <c r="I19" i="4" s="1"/>
  <c r="I20" i="4" s="1"/>
  <c r="I21" i="4" s="1"/>
  <c r="I22" i="4" s="1"/>
  <c r="I23" i="4" s="1"/>
  <c r="I24" i="4" s="1"/>
  <c r="I25" i="4" s="1"/>
  <c r="I26" i="4" s="1"/>
  <c r="I27" i="4" s="1"/>
  <c r="I28" i="4" s="1"/>
  <c r="I29" i="4" s="1"/>
  <c r="I30" i="4" s="1"/>
  <c r="I31" i="4" s="1"/>
  <c r="I32" i="4" s="1"/>
  <c r="I33" i="4" s="1"/>
  <c r="I34" i="4" s="1"/>
  <c r="I35" i="4" s="1"/>
  <c r="I36" i="4" s="1"/>
  <c r="I37" i="4" s="1"/>
  <c r="I38" i="4" s="1"/>
  <c r="I39" i="4" s="1"/>
  <c r="I40" i="4" s="1"/>
  <c r="I41" i="4" s="1"/>
  <c r="I42" i="4" s="1"/>
  <c r="I43" i="4" s="1"/>
  <c r="I44" i="4" s="1"/>
  <c r="I45" i="4" s="1"/>
  <c r="I46" i="4" s="1"/>
  <c r="I47" i="4" s="1"/>
  <c r="I48" i="4" s="1"/>
  <c r="I49" i="4" s="1"/>
  <c r="I50" i="4" s="1"/>
  <c r="I51" i="4" s="1"/>
  <c r="I52" i="4" s="1"/>
  <c r="I53" i="4" s="1"/>
  <c r="I54" i="4" s="1"/>
  <c r="I55" i="4" s="1"/>
  <c r="I56" i="4" s="1"/>
  <c r="I57" i="4" s="1"/>
  <c r="I58" i="4" s="1"/>
  <c r="I59" i="4" s="1"/>
  <c r="I60" i="4" s="1"/>
  <c r="I61" i="4" s="1"/>
  <c r="I62" i="4" s="1"/>
  <c r="I63" i="4" s="1"/>
  <c r="I64" i="4" s="1"/>
  <c r="I65" i="4" s="1"/>
  <c r="I66" i="4" s="1"/>
  <c r="I67" i="4" s="1"/>
  <c r="I68" i="4" s="1"/>
  <c r="I69" i="4" s="1"/>
  <c r="I70" i="4" s="1"/>
  <c r="I71" i="4" s="1"/>
  <c r="I72" i="4" s="1"/>
  <c r="I73" i="4" s="1"/>
  <c r="I74" i="4" s="1"/>
  <c r="I75" i="4" s="1"/>
  <c r="I76" i="4" s="1"/>
  <c r="I77" i="4" s="1"/>
  <c r="I78" i="4" s="1"/>
  <c r="I79" i="4" s="1"/>
  <c r="I80" i="4" s="1"/>
  <c r="I81" i="4" s="1"/>
  <c r="I82" i="4" s="1"/>
  <c r="I83" i="4" s="1"/>
  <c r="I84" i="4" s="1"/>
  <c r="I85" i="4" s="1"/>
  <c r="I86" i="4" s="1"/>
  <c r="I87" i="4" s="1"/>
  <c r="I88" i="4" s="1"/>
  <c r="I89" i="4" s="1"/>
  <c r="I90" i="4" s="1"/>
  <c r="I91" i="4" s="1"/>
  <c r="I92" i="4" s="1"/>
  <c r="I93" i="4" s="1"/>
  <c r="I94" i="4" s="1"/>
  <c r="I95" i="4" s="1"/>
  <c r="I96" i="4" s="1"/>
  <c r="I97" i="4" s="1"/>
  <c r="I98" i="4" s="1"/>
  <c r="I99" i="4" s="1"/>
  <c r="I100" i="4" s="1"/>
  <c r="I101" i="4" s="1"/>
  <c r="I102" i="4" s="1"/>
  <c r="I103" i="4" s="1"/>
  <c r="I104" i="4" s="1"/>
  <c r="I105" i="4" s="1"/>
  <c r="I106" i="4" s="1"/>
  <c r="I107" i="4" s="1"/>
  <c r="I108" i="4" s="1"/>
  <c r="I109" i="4" s="1"/>
  <c r="I110" i="4" s="1"/>
  <c r="I111" i="4" s="1"/>
  <c r="I112" i="4" s="1"/>
  <c r="I113" i="4" s="1"/>
  <c r="I114" i="4" s="1"/>
  <c r="I115" i="4" s="1"/>
  <c r="I116" i="4" s="1"/>
  <c r="I117" i="4" s="1"/>
  <c r="I118" i="4" s="1"/>
  <c r="I119" i="4" s="1"/>
  <c r="I120" i="4" s="1"/>
  <c r="I121" i="4" s="1"/>
  <c r="I122" i="4" s="1"/>
  <c r="I123" i="4" s="1"/>
  <c r="I124" i="4" s="1"/>
  <c r="I125" i="4" s="1"/>
  <c r="I126" i="4" s="1"/>
  <c r="I127" i="4" s="1"/>
  <c r="I128" i="4" s="1"/>
  <c r="I129" i="4" s="1"/>
  <c r="I130" i="4" s="1"/>
  <c r="I131" i="4" s="1"/>
  <c r="I132" i="4" s="1"/>
  <c r="I133" i="4" s="1"/>
  <c r="I134" i="4" s="1"/>
  <c r="I135" i="4" s="1"/>
  <c r="I136" i="4" s="1"/>
  <c r="I137" i="4" s="1"/>
  <c r="I138" i="4" s="1"/>
  <c r="I139" i="4" s="1"/>
  <c r="I140" i="4" s="1"/>
  <c r="I141" i="4" s="1"/>
  <c r="I142" i="4" s="1"/>
  <c r="I143" i="4" s="1"/>
  <c r="I144" i="4" s="1"/>
  <c r="I145" i="4" s="1"/>
  <c r="I146" i="4" s="1"/>
  <c r="I147" i="4" s="1"/>
  <c r="I148" i="4" s="1"/>
  <c r="I149" i="4" s="1"/>
  <c r="I150" i="4" s="1"/>
  <c r="I151" i="4" s="1"/>
  <c r="I152" i="4" s="1"/>
  <c r="I153" i="4" s="1"/>
  <c r="I154" i="4" s="1"/>
  <c r="I155" i="4" s="1"/>
  <c r="B10" i="2"/>
  <c r="M49" i="1"/>
  <c r="N49" i="1" s="1"/>
  <c r="M53" i="1"/>
  <c r="N53" i="1" s="1"/>
  <c r="M56" i="1"/>
  <c r="N56" i="1" s="1"/>
  <c r="M59" i="1"/>
  <c r="N59" i="1" s="1"/>
  <c r="M62" i="1"/>
  <c r="N62" i="1" s="1"/>
  <c r="M65" i="1"/>
  <c r="N65" i="1" s="1"/>
  <c r="M68" i="1"/>
  <c r="N68" i="1" s="1"/>
  <c r="M71" i="1"/>
  <c r="N71" i="1" s="1"/>
  <c r="M82" i="1"/>
  <c r="N82" i="1" s="1"/>
  <c r="B3" i="2"/>
  <c r="M23" i="2"/>
  <c r="N23" i="2" s="1"/>
  <c r="M26" i="2"/>
  <c r="N26" i="2" s="1"/>
  <c r="M29" i="2"/>
  <c r="N29" i="2" s="1"/>
  <c r="M32" i="2"/>
  <c r="N32" i="2" s="1"/>
  <c r="M35" i="2"/>
  <c r="N35" i="2" s="1"/>
  <c r="M38" i="2"/>
  <c r="N38" i="2" s="1"/>
  <c r="M41" i="2"/>
  <c r="N41" i="2" s="1"/>
  <c r="M44" i="2"/>
  <c r="N44" i="2" s="1"/>
  <c r="M47" i="2"/>
  <c r="N47" i="2" s="1"/>
  <c r="M50" i="2"/>
  <c r="N50" i="2" s="1"/>
  <c r="M53" i="2"/>
  <c r="N53" i="2" s="1"/>
  <c r="M56" i="2"/>
  <c r="N56" i="2" s="1"/>
  <c r="M59" i="2"/>
  <c r="N59" i="2" s="1"/>
  <c r="M89" i="2"/>
  <c r="N89" i="2" s="1"/>
  <c r="M95" i="2"/>
  <c r="N95" i="2" s="1"/>
  <c r="AA5" i="4"/>
  <c r="AG5" i="4" s="1"/>
  <c r="AG6" i="4" s="1"/>
  <c r="AG7" i="4" s="1"/>
  <c r="Y7" i="4"/>
  <c r="AA8" i="4"/>
  <c r="Y10" i="4"/>
  <c r="AA11" i="4"/>
  <c r="Y13" i="4"/>
  <c r="AA14" i="4"/>
  <c r="Y16" i="4"/>
  <c r="AA17" i="4"/>
  <c r="Y19" i="4"/>
  <c r="AA20" i="4"/>
  <c r="Y22" i="4"/>
  <c r="AA23" i="4"/>
  <c r="Y25" i="4"/>
  <c r="AA26" i="4"/>
  <c r="Y28" i="4"/>
  <c r="AA29" i="4"/>
  <c r="Y31" i="4"/>
  <c r="AA32" i="4"/>
  <c r="Y34" i="4"/>
  <c r="AA35" i="4"/>
  <c r="Y37" i="4"/>
  <c r="AA38" i="4"/>
  <c r="Y40" i="4"/>
  <c r="AA41" i="4"/>
  <c r="Y43" i="4"/>
  <c r="AA44" i="4"/>
  <c r="Y46" i="4"/>
  <c r="AA47" i="4"/>
  <c r="Y49" i="4"/>
  <c r="AA50" i="4"/>
  <c r="Y52" i="4"/>
  <c r="AA53" i="4"/>
  <c r="Y55" i="4"/>
  <c r="AA56" i="4"/>
  <c r="Y58" i="4"/>
  <c r="AA59" i="4"/>
  <c r="Y61" i="4"/>
  <c r="AA62" i="4"/>
  <c r="Y64" i="4"/>
  <c r="AA65" i="4"/>
  <c r="Y67" i="4"/>
  <c r="AA68" i="4"/>
  <c r="Y70" i="4"/>
  <c r="AA71" i="4"/>
  <c r="Y73" i="4"/>
  <c r="AA74" i="4"/>
  <c r="Y76" i="4"/>
  <c r="AA77" i="4"/>
  <c r="Y79" i="4"/>
  <c r="AA80" i="4"/>
  <c r="Y82" i="4"/>
  <c r="AA83" i="4"/>
  <c r="Y85" i="4"/>
  <c r="AA86" i="4"/>
  <c r="Y88" i="4"/>
  <c r="AA89" i="4"/>
  <c r="Y91" i="4"/>
  <c r="AA92" i="4"/>
  <c r="Y94" i="4"/>
  <c r="AA95" i="4"/>
  <c r="Y97" i="4"/>
  <c r="AA98" i="4"/>
  <c r="Y100" i="4"/>
  <c r="AA101" i="4"/>
  <c r="Y103" i="4"/>
  <c r="AA104" i="4"/>
  <c r="Y106" i="4"/>
  <c r="AA107" i="4"/>
  <c r="Y109" i="4"/>
  <c r="AA110" i="4"/>
  <c r="Y112" i="4"/>
  <c r="AA113" i="4"/>
  <c r="Y115" i="4"/>
  <c r="AA116" i="4"/>
  <c r="Y118" i="4"/>
  <c r="AA119" i="4"/>
  <c r="Y121" i="4"/>
  <c r="AA122" i="4"/>
  <c r="Y124" i="4"/>
  <c r="AA125" i="4"/>
  <c r="Y127" i="4"/>
  <c r="AA128" i="4"/>
  <c r="Y130" i="4"/>
  <c r="AA131" i="4"/>
  <c r="Y133" i="4"/>
  <c r="AA134" i="4"/>
  <c r="Y136" i="4"/>
  <c r="AA137" i="4"/>
  <c r="Y139" i="4"/>
  <c r="AA140" i="4"/>
  <c r="Y142" i="4"/>
  <c r="AA143" i="4"/>
  <c r="Y145" i="4"/>
  <c r="AA146" i="4"/>
  <c r="Y148" i="4"/>
  <c r="AA149" i="4"/>
  <c r="Y151" i="4"/>
  <c r="AA152" i="4"/>
  <c r="Y154" i="4"/>
  <c r="AA155" i="4"/>
  <c r="D7" i="7"/>
  <c r="B7" i="7" s="1"/>
  <c r="D8" i="7"/>
  <c r="B8" i="7" s="1"/>
  <c r="L8" i="7"/>
  <c r="J8" i="7" s="1"/>
  <c r="T9" i="7"/>
  <c r="R9" i="7" s="1"/>
  <c r="T10" i="7"/>
  <c r="R10" i="7" s="1"/>
  <c r="T11" i="7"/>
  <c r="R11" i="7" s="1"/>
  <c r="T12" i="7"/>
  <c r="R12" i="7" s="1"/>
  <c r="T13" i="7"/>
  <c r="R13" i="7" s="1"/>
  <c r="T14" i="7"/>
  <c r="R14" i="7" s="1"/>
  <c r="T15" i="7"/>
  <c r="R15" i="7" s="1"/>
  <c r="T16" i="7"/>
  <c r="R16" i="7" s="1"/>
  <c r="T17" i="7"/>
  <c r="R17" i="7" s="1"/>
  <c r="T18" i="7"/>
  <c r="R18" i="7" s="1"/>
  <c r="T19" i="7"/>
  <c r="R19" i="7" s="1"/>
  <c r="T20" i="7"/>
  <c r="R20" i="7" s="1"/>
  <c r="T21" i="7"/>
  <c r="R21" i="7" s="1"/>
  <c r="T22" i="7"/>
  <c r="R22" i="7" s="1"/>
  <c r="T23" i="7"/>
  <c r="R23" i="7" s="1"/>
  <c r="T24" i="7"/>
  <c r="R24" i="7" s="1"/>
  <c r="T25" i="7"/>
  <c r="R25" i="7" s="1"/>
  <c r="T26" i="7"/>
  <c r="R26" i="7" s="1"/>
  <c r="T27" i="7"/>
  <c r="R27" i="7" s="1"/>
  <c r="T28" i="7"/>
  <c r="R28" i="7" s="1"/>
  <c r="T29" i="7"/>
  <c r="R29" i="7" s="1"/>
  <c r="T30" i="7"/>
  <c r="R30" i="7" s="1"/>
  <c r="T31" i="7"/>
  <c r="R31" i="7" s="1"/>
  <c r="T32" i="7"/>
  <c r="R32" i="7" s="1"/>
  <c r="T33" i="7"/>
  <c r="R33" i="7" s="1"/>
  <c r="T34" i="7"/>
  <c r="R34" i="7" s="1"/>
  <c r="T35" i="7"/>
  <c r="R35" i="7" s="1"/>
  <c r="T36" i="7"/>
  <c r="R36" i="7" s="1"/>
  <c r="T37" i="7"/>
  <c r="R37" i="7" s="1"/>
  <c r="T38" i="7"/>
  <c r="R38" i="7" s="1"/>
  <c r="T39" i="7"/>
  <c r="R39" i="7" s="1"/>
  <c r="T40" i="7"/>
  <c r="R40" i="7" s="1"/>
  <c r="T41" i="7"/>
  <c r="R41" i="7" s="1"/>
  <c r="T42" i="7"/>
  <c r="R42" i="7" s="1"/>
  <c r="T43" i="7"/>
  <c r="R43" i="7" s="1"/>
  <c r="T44" i="7"/>
  <c r="R44" i="7" s="1"/>
  <c r="T45" i="7"/>
  <c r="R45" i="7" s="1"/>
  <c r="T46" i="7"/>
  <c r="R46" i="7" s="1"/>
  <c r="T47" i="7"/>
  <c r="R47" i="7" s="1"/>
  <c r="T48" i="7"/>
  <c r="R48" i="7" s="1"/>
  <c r="T49" i="7"/>
  <c r="R49" i="7" s="1"/>
  <c r="T50" i="7"/>
  <c r="R50" i="7" s="1"/>
  <c r="T51" i="7"/>
  <c r="R51" i="7" s="1"/>
  <c r="T52" i="7"/>
  <c r="R52" i="7" s="1"/>
  <c r="T53" i="7"/>
  <c r="R53" i="7" s="1"/>
  <c r="T54" i="7"/>
  <c r="R54" i="7" s="1"/>
  <c r="T55" i="7"/>
  <c r="R55" i="7" s="1"/>
  <c r="T56" i="7"/>
  <c r="R56" i="7" s="1"/>
  <c r="T57" i="7"/>
  <c r="R57" i="7" s="1"/>
  <c r="T58" i="7"/>
  <c r="R58" i="7" s="1"/>
  <c r="T59" i="7"/>
  <c r="R59" i="7" s="1"/>
  <c r="T60" i="7"/>
  <c r="R60" i="7" s="1"/>
  <c r="T61" i="7"/>
  <c r="R61" i="7" s="1"/>
  <c r="T62" i="7"/>
  <c r="R62" i="7" s="1"/>
  <c r="T63" i="7"/>
  <c r="R63" i="7" s="1"/>
  <c r="T64" i="7"/>
  <c r="R64" i="7" s="1"/>
  <c r="T65" i="7"/>
  <c r="R65" i="7" s="1"/>
  <c r="T66" i="7"/>
  <c r="R66" i="7" s="1"/>
  <c r="T67" i="7"/>
  <c r="R67" i="7" s="1"/>
  <c r="T68" i="7"/>
  <c r="R68" i="7" s="1"/>
  <c r="T69" i="7"/>
  <c r="R69" i="7" s="1"/>
  <c r="T70" i="7"/>
  <c r="R70" i="7" s="1"/>
  <c r="T71" i="7"/>
  <c r="R71" i="7" s="1"/>
  <c r="T72" i="7"/>
  <c r="R72" i="7" s="1"/>
  <c r="T73" i="7"/>
  <c r="R73" i="7" s="1"/>
  <c r="T74" i="7"/>
  <c r="R74" i="7" s="1"/>
  <c r="T75" i="7"/>
  <c r="R75" i="7" s="1"/>
  <c r="T76" i="7"/>
  <c r="R76" i="7" s="1"/>
  <c r="T77" i="7"/>
  <c r="R77" i="7" s="1"/>
  <c r="T78" i="7"/>
  <c r="R78" i="7" s="1"/>
  <c r="T79" i="7"/>
  <c r="R79" i="7" s="1"/>
  <c r="T80" i="7"/>
  <c r="R80" i="7" s="1"/>
  <c r="T81" i="7"/>
  <c r="R81" i="7" s="1"/>
  <c r="T82" i="7"/>
  <c r="R82" i="7" s="1"/>
  <c r="T83" i="7"/>
  <c r="R83" i="7" s="1"/>
  <c r="T84" i="7"/>
  <c r="R84" i="7" s="1"/>
  <c r="T85" i="7"/>
  <c r="R85" i="7" s="1"/>
  <c r="T86" i="7"/>
  <c r="R86" i="7" s="1"/>
  <c r="T87" i="7"/>
  <c r="R87" i="7" s="1"/>
  <c r="T88" i="7"/>
  <c r="R88" i="7" s="1"/>
  <c r="T89" i="7"/>
  <c r="R89" i="7" s="1"/>
  <c r="T90" i="7"/>
  <c r="R90" i="7" s="1"/>
  <c r="T91" i="7"/>
  <c r="R91" i="7" s="1"/>
  <c r="T92" i="7"/>
  <c r="R92" i="7" s="1"/>
  <c r="T93" i="7"/>
  <c r="R93" i="7" s="1"/>
  <c r="T94" i="7"/>
  <c r="R94" i="7" s="1"/>
  <c r="D95" i="7"/>
  <c r="B95" i="7" s="1"/>
  <c r="AB95" i="7"/>
  <c r="Z95" i="7" s="1"/>
  <c r="D96" i="7"/>
  <c r="B96" i="7" s="1"/>
  <c r="AB96" i="7"/>
  <c r="Z96" i="7" s="1"/>
  <c r="D97" i="7"/>
  <c r="B97" i="7" s="1"/>
  <c r="AB97" i="7"/>
  <c r="Z97" i="7" s="1"/>
  <c r="D98" i="7"/>
  <c r="B98" i="7" s="1"/>
  <c r="AB98" i="7"/>
  <c r="Z98" i="7" s="1"/>
  <c r="D99" i="7"/>
  <c r="B99" i="7" s="1"/>
  <c r="AB99" i="7"/>
  <c r="Z99" i="7" s="1"/>
  <c r="D100" i="7"/>
  <c r="B100" i="7" s="1"/>
  <c r="AB100" i="7"/>
  <c r="Z100" i="7" s="1"/>
  <c r="D101" i="7"/>
  <c r="B101" i="7" s="1"/>
  <c r="AB101" i="7"/>
  <c r="Z101" i="7" s="1"/>
  <c r="D102" i="7"/>
  <c r="B102" i="7" s="1"/>
  <c r="AB102" i="7"/>
  <c r="Z102" i="7" s="1"/>
  <c r="D103" i="7"/>
  <c r="B103" i="7" s="1"/>
  <c r="AB103" i="7"/>
  <c r="Z103" i="7" s="1"/>
  <c r="D104" i="7"/>
  <c r="B104" i="7" s="1"/>
  <c r="AB104" i="7"/>
  <c r="Z104" i="7" s="1"/>
  <c r="D105" i="7"/>
  <c r="B105" i="7" s="1"/>
  <c r="AB105" i="7"/>
  <c r="Z105" i="7" s="1"/>
  <c r="D106" i="7"/>
  <c r="B106" i="7" s="1"/>
  <c r="AB106" i="7"/>
  <c r="Z106" i="7" s="1"/>
  <c r="D107" i="7"/>
  <c r="B107" i="7" s="1"/>
  <c r="AB107" i="7"/>
  <c r="Z107" i="7" s="1"/>
  <c r="D108" i="7"/>
  <c r="B108" i="7" s="1"/>
  <c r="AB108" i="7"/>
  <c r="Z108" i="7" s="1"/>
  <c r="D109" i="7"/>
  <c r="B109" i="7" s="1"/>
  <c r="AB109" i="7"/>
  <c r="Z109" i="7" s="1"/>
  <c r="AI111" i="7"/>
  <c r="AH111" i="7" s="1"/>
  <c r="AI114" i="7"/>
  <c r="AH114" i="7" s="1"/>
  <c r="AI117" i="7"/>
  <c r="AH117" i="7" s="1"/>
  <c r="AI120" i="7"/>
  <c r="AH120" i="7" s="1"/>
  <c r="AI123" i="7"/>
  <c r="AH123" i="7" s="1"/>
  <c r="AI126" i="7"/>
  <c r="AH126" i="7" s="1"/>
  <c r="AI129" i="7"/>
  <c r="AH129" i="7" s="1"/>
  <c r="AI132" i="7"/>
  <c r="AH132" i="7" s="1"/>
  <c r="AI135" i="7"/>
  <c r="AH135" i="7" s="1"/>
  <c r="AI138" i="7"/>
  <c r="AH138" i="7" s="1"/>
  <c r="AI141" i="7"/>
  <c r="AH141" i="7" s="1"/>
  <c r="AI144" i="7"/>
  <c r="AH144" i="7" s="1"/>
  <c r="AI147" i="7"/>
  <c r="AH147" i="7" s="1"/>
  <c r="AI150" i="7"/>
  <c r="AH150" i="7" s="1"/>
  <c r="AI153" i="7"/>
  <c r="AH153" i="7" s="1"/>
  <c r="AI156" i="7"/>
  <c r="AH156" i="7" s="1"/>
  <c r="AI159" i="7"/>
  <c r="AH159" i="7" s="1"/>
  <c r="AI162" i="7"/>
  <c r="AH162" i="7" s="1"/>
  <c r="AI165" i="7"/>
  <c r="AH165" i="7" s="1"/>
  <c r="AI168" i="7"/>
  <c r="AH168" i="7" s="1"/>
  <c r="AI171" i="7"/>
  <c r="AH171" i="7" s="1"/>
  <c r="AI174" i="7"/>
  <c r="AH174" i="7" s="1"/>
  <c r="AI177" i="7"/>
  <c r="AH177" i="7" s="1"/>
  <c r="AI180" i="7"/>
  <c r="AH180" i="7" s="1"/>
  <c r="AI183" i="7"/>
  <c r="AH183" i="7" s="1"/>
  <c r="AI186" i="7"/>
  <c r="AH186" i="7" s="1"/>
  <c r="AI189" i="7"/>
  <c r="AH189" i="7" s="1"/>
  <c r="AI192" i="7"/>
  <c r="AH192" i="7" s="1"/>
  <c r="AI195" i="7"/>
  <c r="AH195" i="7" s="1"/>
  <c r="X6" i="4"/>
  <c r="X9" i="4"/>
  <c r="X12" i="4"/>
  <c r="X15" i="4"/>
  <c r="X18" i="4"/>
  <c r="X21" i="4"/>
  <c r="X24" i="4"/>
  <c r="X27" i="4"/>
  <c r="X30" i="4"/>
  <c r="X33" i="4"/>
  <c r="X36" i="4"/>
  <c r="X39" i="4"/>
  <c r="X42" i="4"/>
  <c r="X45" i="4"/>
  <c r="X48" i="4"/>
  <c r="X51" i="4"/>
  <c r="X54" i="4"/>
  <c r="X57" i="4"/>
  <c r="X60" i="4"/>
  <c r="X63" i="4"/>
  <c r="X66" i="4"/>
  <c r="X69" i="4"/>
  <c r="X72" i="4"/>
  <c r="X75" i="4"/>
  <c r="X78" i="4"/>
  <c r="X81" i="4"/>
  <c r="X84" i="4"/>
  <c r="X87" i="4"/>
  <c r="X90" i="4"/>
  <c r="X93" i="4"/>
  <c r="X96" i="4"/>
  <c r="X99" i="4"/>
  <c r="X102" i="4"/>
  <c r="X105" i="4"/>
  <c r="X108" i="4"/>
  <c r="X111" i="4"/>
  <c r="X114" i="4"/>
  <c r="X117" i="4"/>
  <c r="X120" i="4"/>
  <c r="X123" i="4"/>
  <c r="X126" i="4"/>
  <c r="X129" i="4"/>
  <c r="X132" i="4"/>
  <c r="X135" i="4"/>
  <c r="X138" i="4"/>
  <c r="X141" i="4"/>
  <c r="X144" i="4"/>
  <c r="X147" i="4"/>
  <c r="X150" i="4"/>
  <c r="X153" i="4"/>
  <c r="L111" i="7"/>
  <c r="K111" i="7"/>
  <c r="L114" i="7"/>
  <c r="K114" i="7"/>
  <c r="L117" i="7"/>
  <c r="K117" i="7"/>
  <c r="L120" i="7"/>
  <c r="K120" i="7"/>
  <c r="L123" i="7"/>
  <c r="K123" i="7"/>
  <c r="L126" i="7"/>
  <c r="K126" i="7"/>
  <c r="L129" i="7"/>
  <c r="K129" i="7"/>
  <c r="L132" i="7"/>
  <c r="K132" i="7"/>
  <c r="L135" i="7"/>
  <c r="K135" i="7"/>
  <c r="L138" i="7"/>
  <c r="K138" i="7"/>
  <c r="L141" i="7"/>
  <c r="K141" i="7"/>
  <c r="L144" i="7"/>
  <c r="K144" i="7"/>
  <c r="L147" i="7"/>
  <c r="K147" i="7"/>
  <c r="L150" i="7"/>
  <c r="K150" i="7"/>
  <c r="L153" i="7"/>
  <c r="K153" i="7"/>
  <c r="L156" i="7"/>
  <c r="K156" i="7"/>
  <c r="L159" i="7"/>
  <c r="K159" i="7"/>
  <c r="L162" i="7"/>
  <c r="K162" i="7"/>
  <c r="L165" i="7"/>
  <c r="K165" i="7"/>
  <c r="L168" i="7"/>
  <c r="K168" i="7"/>
  <c r="L171" i="7"/>
  <c r="K171" i="7"/>
  <c r="L174" i="7"/>
  <c r="K174" i="7"/>
  <c r="L177" i="7"/>
  <c r="K177" i="7"/>
  <c r="L180" i="7"/>
  <c r="K180" i="7"/>
  <c r="D181" i="7"/>
  <c r="C181" i="7"/>
  <c r="D184" i="7"/>
  <c r="C184" i="7"/>
  <c r="D187" i="7"/>
  <c r="C187" i="7"/>
  <c r="D190" i="7"/>
  <c r="C190" i="7"/>
  <c r="D193" i="7"/>
  <c r="C193" i="7"/>
  <c r="D196" i="7"/>
  <c r="C196" i="7"/>
  <c r="M85" i="2"/>
  <c r="N85" i="2" s="1"/>
  <c r="Y6" i="4"/>
  <c r="Y12" i="4"/>
  <c r="Y15" i="4"/>
  <c r="Y18" i="4"/>
  <c r="Y21" i="4"/>
  <c r="Y24" i="4"/>
  <c r="Y27" i="4"/>
  <c r="Y30" i="4"/>
  <c r="Y33" i="4"/>
  <c r="Y36" i="4"/>
  <c r="Y39" i="4"/>
  <c r="Y42" i="4"/>
  <c r="Y45" i="4"/>
  <c r="Y48" i="4"/>
  <c r="Y51" i="4"/>
  <c r="Y54" i="4"/>
  <c r="Y57" i="4"/>
  <c r="Y60" i="4"/>
  <c r="Y63" i="4"/>
  <c r="Y66" i="4"/>
  <c r="Y69" i="4"/>
  <c r="Y72" i="4"/>
  <c r="Y75" i="4"/>
  <c r="Y78" i="4"/>
  <c r="Y81" i="4"/>
  <c r="Y84" i="4"/>
  <c r="Y87" i="4"/>
  <c r="Y90" i="4"/>
  <c r="Y93" i="4"/>
  <c r="Y96" i="4"/>
  <c r="Y99" i="4"/>
  <c r="Y102" i="4"/>
  <c r="Y105" i="4"/>
  <c r="Y108" i="4"/>
  <c r="Y111" i="4"/>
  <c r="Y114" i="4"/>
  <c r="Y117" i="4"/>
  <c r="Y120" i="4"/>
  <c r="Y123" i="4"/>
  <c r="Y126" i="4"/>
  <c r="Y129" i="4"/>
  <c r="Y132" i="4"/>
  <c r="Y135" i="4"/>
  <c r="Y138" i="4"/>
  <c r="Y141" i="4"/>
  <c r="Y144" i="4"/>
  <c r="Y147" i="4"/>
  <c r="Y150" i="4"/>
  <c r="Y153" i="4"/>
  <c r="B112" i="7"/>
  <c r="B115" i="7"/>
  <c r="B118" i="7"/>
  <c r="B121" i="7"/>
  <c r="B124" i="7"/>
  <c r="B127" i="7"/>
  <c r="B130" i="7"/>
  <c r="B133" i="7"/>
  <c r="B136" i="7"/>
  <c r="B142" i="7"/>
  <c r="B148" i="7"/>
  <c r="B151" i="7"/>
  <c r="B154" i="7"/>
  <c r="B157" i="7"/>
  <c r="B160" i="7"/>
  <c r="B163" i="7"/>
  <c r="B166" i="7"/>
  <c r="B169" i="7"/>
  <c r="B172" i="7"/>
  <c r="B175" i="7"/>
  <c r="B178" i="7"/>
  <c r="AI196" i="7"/>
  <c r="AJ196" i="7"/>
  <c r="AI197" i="7"/>
  <c r="AJ197" i="7"/>
  <c r="AI198" i="7"/>
  <c r="AJ198" i="7"/>
  <c r="AI199" i="7"/>
  <c r="AJ199" i="7"/>
  <c r="AI200" i="7"/>
  <c r="AJ200" i="7"/>
  <c r="AI201" i="7"/>
  <c r="AJ201" i="7"/>
  <c r="AI202" i="7"/>
  <c r="AJ202" i="7"/>
  <c r="AI203" i="7"/>
  <c r="AJ203" i="7"/>
  <c r="AI204" i="7"/>
  <c r="AJ204" i="7"/>
  <c r="AI205" i="7"/>
  <c r="AJ205" i="7"/>
  <c r="AI206" i="7"/>
  <c r="AJ206" i="7"/>
  <c r="AI207" i="7"/>
  <c r="AJ207" i="7"/>
  <c r="AI208" i="7"/>
  <c r="AJ208" i="7"/>
  <c r="AI209" i="7"/>
  <c r="AJ209" i="7"/>
  <c r="AI210" i="7"/>
  <c r="AJ210" i="7"/>
  <c r="AI211" i="7"/>
  <c r="AJ211" i="7"/>
  <c r="AI212" i="7"/>
  <c r="AJ212" i="7"/>
  <c r="AI213" i="7"/>
  <c r="AJ213" i="7"/>
  <c r="AI214" i="7"/>
  <c r="AJ214" i="7"/>
  <c r="AI215" i="7"/>
  <c r="AJ215" i="7"/>
  <c r="AI216" i="7"/>
  <c r="AJ216" i="7"/>
  <c r="AI217" i="7"/>
  <c r="AJ217" i="7"/>
  <c r="AI218" i="7"/>
  <c r="AJ218" i="7"/>
  <c r="AI219" i="7"/>
  <c r="AJ219" i="7"/>
  <c r="AI220" i="7"/>
  <c r="AJ220" i="7"/>
  <c r="AI221" i="7"/>
  <c r="AJ221" i="7"/>
  <c r="AI222" i="7"/>
  <c r="AJ222" i="7"/>
  <c r="AI223" i="7"/>
  <c r="AJ223" i="7"/>
  <c r="AI224" i="7"/>
  <c r="AJ224" i="7"/>
  <c r="AI225" i="7"/>
  <c r="AJ225" i="7"/>
  <c r="AI226" i="7"/>
  <c r="AJ226" i="7"/>
  <c r="AI227" i="7"/>
  <c r="AJ227" i="7"/>
  <c r="AI228" i="7"/>
  <c r="AJ228" i="7"/>
  <c r="AI229" i="7"/>
  <c r="AJ229" i="7"/>
  <c r="AI230" i="7"/>
  <c r="AJ230" i="7"/>
  <c r="AI231" i="7"/>
  <c r="AJ231" i="7"/>
  <c r="AI232" i="7"/>
  <c r="AJ232" i="7"/>
  <c r="AI233" i="7"/>
  <c r="AJ233" i="7"/>
  <c r="AI234" i="7"/>
  <c r="AJ234" i="7"/>
  <c r="AI235" i="7"/>
  <c r="AJ235" i="7"/>
  <c r="AI236" i="7"/>
  <c r="AJ236" i="7"/>
  <c r="AI237" i="7"/>
  <c r="AJ237" i="7"/>
  <c r="AI238" i="7"/>
  <c r="AJ238" i="7"/>
  <c r="AI239" i="7"/>
  <c r="AJ239" i="7"/>
  <c r="AI240" i="7"/>
  <c r="AJ240" i="7"/>
  <c r="AI241" i="7"/>
  <c r="AJ241" i="7"/>
  <c r="AI242" i="7"/>
  <c r="AJ242" i="7"/>
  <c r="AI243" i="7"/>
  <c r="AJ243" i="7"/>
  <c r="AI244" i="7"/>
  <c r="AJ244" i="7"/>
  <c r="AI245" i="7"/>
  <c r="AJ245" i="7"/>
  <c r="AI246" i="7"/>
  <c r="AJ246" i="7"/>
  <c r="AI247" i="7"/>
  <c r="AJ247" i="7"/>
  <c r="AI248" i="7"/>
  <c r="AJ248" i="7"/>
  <c r="AI249" i="7"/>
  <c r="AJ249" i="7"/>
  <c r="AI250" i="7"/>
  <c r="AJ250" i="7"/>
  <c r="AI251" i="7"/>
  <c r="AJ251" i="7"/>
  <c r="AI252" i="7"/>
  <c r="AJ252" i="7"/>
  <c r="AI253" i="7"/>
  <c r="AJ253" i="7"/>
  <c r="AI254" i="7"/>
  <c r="AJ254" i="7"/>
  <c r="AI255" i="7"/>
  <c r="AJ255" i="7"/>
  <c r="AI256" i="7"/>
  <c r="AJ256" i="7"/>
  <c r="AI257" i="7"/>
  <c r="AJ257" i="7"/>
  <c r="AI258" i="7"/>
  <c r="AJ258" i="7"/>
  <c r="AI259" i="7"/>
  <c r="AJ259" i="7"/>
  <c r="AI260" i="7"/>
  <c r="AJ260" i="7"/>
  <c r="AI261" i="7"/>
  <c r="AJ261" i="7"/>
  <c r="AI262" i="7"/>
  <c r="AJ262" i="7"/>
  <c r="AI263" i="7"/>
  <c r="AJ263" i="7"/>
  <c r="AI264" i="7"/>
  <c r="AJ264" i="7"/>
  <c r="AI265" i="7"/>
  <c r="AJ265" i="7"/>
  <c r="AI266" i="7"/>
  <c r="AJ266" i="7"/>
  <c r="AI267" i="7"/>
  <c r="AJ267" i="7"/>
  <c r="AI268" i="7"/>
  <c r="AJ268" i="7"/>
  <c r="AI269" i="7"/>
  <c r="AJ269" i="7"/>
  <c r="AI270" i="7"/>
  <c r="AJ270" i="7"/>
  <c r="AI271" i="7"/>
  <c r="AJ271" i="7"/>
  <c r="AI272" i="7"/>
  <c r="AJ272" i="7"/>
  <c r="AI273" i="7"/>
  <c r="AJ273" i="7"/>
  <c r="AI274" i="7"/>
  <c r="AJ274" i="7"/>
  <c r="AI275" i="7"/>
  <c r="AJ275" i="7"/>
  <c r="AI276" i="7"/>
  <c r="AJ276" i="7"/>
  <c r="AI277" i="7"/>
  <c r="AJ277" i="7"/>
  <c r="AI278" i="7"/>
  <c r="AJ278" i="7"/>
  <c r="AI279" i="7"/>
  <c r="AJ279" i="7"/>
  <c r="AI280" i="7"/>
  <c r="AJ280" i="7"/>
  <c r="AI281" i="7"/>
  <c r="AJ281" i="7"/>
  <c r="AI282" i="7"/>
  <c r="AJ282" i="7"/>
  <c r="AI283" i="7"/>
  <c r="AJ283" i="7"/>
  <c r="AI284" i="7"/>
  <c r="AJ284" i="7"/>
  <c r="AI285" i="7"/>
  <c r="AJ285" i="7"/>
  <c r="AI286" i="7"/>
  <c r="AJ286" i="7"/>
  <c r="AI287" i="7"/>
  <c r="AJ287" i="7"/>
  <c r="AI288" i="7"/>
  <c r="AJ288" i="7"/>
  <c r="AI289" i="7"/>
  <c r="AJ289" i="7"/>
  <c r="AI290" i="7"/>
  <c r="AJ290" i="7"/>
  <c r="AI291" i="7"/>
  <c r="AJ291" i="7"/>
  <c r="AI292" i="7"/>
  <c r="AJ292" i="7"/>
  <c r="AI293" i="7"/>
  <c r="AJ293" i="7"/>
  <c r="AI294" i="7"/>
  <c r="AJ294" i="7"/>
  <c r="AI295" i="7"/>
  <c r="AJ295" i="7"/>
  <c r="AI296" i="7"/>
  <c r="AJ296" i="7"/>
  <c r="AI297" i="7"/>
  <c r="AJ297" i="7"/>
  <c r="AI298" i="7"/>
  <c r="AJ298" i="7"/>
  <c r="AI299" i="7"/>
  <c r="AJ299" i="7"/>
  <c r="AI300" i="7"/>
  <c r="AJ300" i="7"/>
  <c r="AI301" i="7"/>
  <c r="AJ301" i="7"/>
  <c r="AI302" i="7"/>
  <c r="AJ302" i="7"/>
  <c r="AI303" i="7"/>
  <c r="AJ303" i="7"/>
  <c r="AI304" i="7"/>
  <c r="AJ304" i="7"/>
  <c r="AI305" i="7"/>
  <c r="AJ305" i="7"/>
  <c r="AI306" i="7"/>
  <c r="AJ306" i="7"/>
  <c r="AI307" i="7"/>
  <c r="AJ307" i="7"/>
  <c r="AI308" i="7"/>
  <c r="AJ308" i="7"/>
  <c r="K8" i="1"/>
  <c r="L35" i="1" s="1"/>
  <c r="B13" i="2"/>
  <c r="Y9" i="4"/>
  <c r="M17" i="1"/>
  <c r="N17" i="1" s="1"/>
  <c r="M20" i="1"/>
  <c r="N20" i="1" s="1"/>
  <c r="M23" i="1"/>
  <c r="N23" i="1" s="1"/>
  <c r="M26" i="1"/>
  <c r="N26" i="1" s="1"/>
  <c r="M29" i="1"/>
  <c r="N29" i="1" s="1"/>
  <c r="M38" i="1"/>
  <c r="N38" i="1" s="1"/>
  <c r="M41" i="1"/>
  <c r="N41" i="1" s="1"/>
  <c r="M44" i="1"/>
  <c r="N44" i="1" s="1"/>
  <c r="M51" i="1"/>
  <c r="N51" i="1" s="1"/>
  <c r="L72" i="1"/>
  <c r="M73" i="1"/>
  <c r="N73" i="1" s="1"/>
  <c r="M77" i="1"/>
  <c r="N77" i="1" s="1"/>
  <c r="X5" i="4"/>
  <c r="X8" i="4"/>
  <c r="X11" i="4"/>
  <c r="X14" i="4"/>
  <c r="X17" i="4"/>
  <c r="X20" i="4"/>
  <c r="X23" i="4"/>
  <c r="X26" i="4"/>
  <c r="X29" i="4"/>
  <c r="X32" i="4"/>
  <c r="X35" i="4"/>
  <c r="X38" i="4"/>
  <c r="X41" i="4"/>
  <c r="X44" i="4"/>
  <c r="X47" i="4"/>
  <c r="X50" i="4"/>
  <c r="X53" i="4"/>
  <c r="X56" i="4"/>
  <c r="X59" i="4"/>
  <c r="X62" i="4"/>
  <c r="X65" i="4"/>
  <c r="X68" i="4"/>
  <c r="X71" i="4"/>
  <c r="X74" i="4"/>
  <c r="X77" i="4"/>
  <c r="X80" i="4"/>
  <c r="X83" i="4"/>
  <c r="X86" i="4"/>
  <c r="X89" i="4"/>
  <c r="X92" i="4"/>
  <c r="X95" i="4"/>
  <c r="X98" i="4"/>
  <c r="X101" i="4"/>
  <c r="X104" i="4"/>
  <c r="X107" i="4"/>
  <c r="X110" i="4"/>
  <c r="X113" i="4"/>
  <c r="X116" i="4"/>
  <c r="X119" i="4"/>
  <c r="X122" i="4"/>
  <c r="X125" i="4"/>
  <c r="X128" i="4"/>
  <c r="X131" i="4"/>
  <c r="X134" i="4"/>
  <c r="X137" i="4"/>
  <c r="X140" i="4"/>
  <c r="X143" i="4"/>
  <c r="X146" i="4"/>
  <c r="X149" i="4"/>
  <c r="X152" i="4"/>
  <c r="X155" i="4"/>
  <c r="S7" i="7"/>
  <c r="R7" i="7" s="1"/>
  <c r="AA8" i="7"/>
  <c r="Z8" i="7" s="1"/>
  <c r="AI9" i="7"/>
  <c r="AH9" i="7" s="1"/>
  <c r="AI10" i="7"/>
  <c r="AH10" i="7" s="1"/>
  <c r="AI11" i="7"/>
  <c r="AH11" i="7" s="1"/>
  <c r="AI12" i="7"/>
  <c r="AH12" i="7" s="1"/>
  <c r="AI13" i="7"/>
  <c r="AH13" i="7" s="1"/>
  <c r="AI14" i="7"/>
  <c r="AH14" i="7" s="1"/>
  <c r="AI15" i="7"/>
  <c r="AH15" i="7" s="1"/>
  <c r="AI16" i="7"/>
  <c r="AH16" i="7" s="1"/>
  <c r="AI17" i="7"/>
  <c r="AH17" i="7" s="1"/>
  <c r="AI18" i="7"/>
  <c r="AH18" i="7" s="1"/>
  <c r="AI19" i="7"/>
  <c r="AH19" i="7" s="1"/>
  <c r="AI20" i="7"/>
  <c r="AH20" i="7" s="1"/>
  <c r="AI21" i="7"/>
  <c r="AH21" i="7" s="1"/>
  <c r="AI22" i="7"/>
  <c r="AH22" i="7" s="1"/>
  <c r="AI23" i="7"/>
  <c r="AH23" i="7" s="1"/>
  <c r="AI24" i="7"/>
  <c r="AH24" i="7" s="1"/>
  <c r="AI25" i="7"/>
  <c r="AH25" i="7" s="1"/>
  <c r="AI26" i="7"/>
  <c r="AH26" i="7" s="1"/>
  <c r="AI27" i="7"/>
  <c r="AH27" i="7" s="1"/>
  <c r="AI28" i="7"/>
  <c r="AH28" i="7" s="1"/>
  <c r="AI29" i="7"/>
  <c r="AH29" i="7" s="1"/>
  <c r="AI30" i="7"/>
  <c r="AH30" i="7" s="1"/>
  <c r="AI31" i="7"/>
  <c r="AH31" i="7" s="1"/>
  <c r="AI32" i="7"/>
  <c r="AH32" i="7" s="1"/>
  <c r="AI33" i="7"/>
  <c r="AH33" i="7" s="1"/>
  <c r="AI34" i="7"/>
  <c r="AH34" i="7" s="1"/>
  <c r="AI35" i="7"/>
  <c r="AH35" i="7" s="1"/>
  <c r="AI36" i="7"/>
  <c r="AH36" i="7" s="1"/>
  <c r="AI37" i="7"/>
  <c r="AH37" i="7" s="1"/>
  <c r="AI38" i="7"/>
  <c r="AH38" i="7" s="1"/>
  <c r="AI39" i="7"/>
  <c r="AH39" i="7" s="1"/>
  <c r="AI40" i="7"/>
  <c r="AH40" i="7" s="1"/>
  <c r="AI41" i="7"/>
  <c r="AH41" i="7" s="1"/>
  <c r="AI42" i="7"/>
  <c r="AH42" i="7" s="1"/>
  <c r="AI43" i="7"/>
  <c r="AH43" i="7" s="1"/>
  <c r="AI44" i="7"/>
  <c r="AH44" i="7" s="1"/>
  <c r="AI45" i="7"/>
  <c r="AH45" i="7" s="1"/>
  <c r="AI46" i="7"/>
  <c r="AH46" i="7" s="1"/>
  <c r="AI47" i="7"/>
  <c r="AH47" i="7" s="1"/>
  <c r="AI48" i="7"/>
  <c r="AH48" i="7" s="1"/>
  <c r="AI49" i="7"/>
  <c r="AH49" i="7" s="1"/>
  <c r="AI50" i="7"/>
  <c r="AH50" i="7" s="1"/>
  <c r="AI51" i="7"/>
  <c r="AH51" i="7" s="1"/>
  <c r="AI52" i="7"/>
  <c r="AH52" i="7" s="1"/>
  <c r="AI53" i="7"/>
  <c r="AH53" i="7" s="1"/>
  <c r="AI54" i="7"/>
  <c r="AH54" i="7" s="1"/>
  <c r="AI55" i="7"/>
  <c r="AH55" i="7" s="1"/>
  <c r="AI56" i="7"/>
  <c r="AH56" i="7" s="1"/>
  <c r="AI57" i="7"/>
  <c r="AH57" i="7" s="1"/>
  <c r="AI58" i="7"/>
  <c r="AH58" i="7" s="1"/>
  <c r="AI59" i="7"/>
  <c r="AH59" i="7" s="1"/>
  <c r="AI60" i="7"/>
  <c r="AH60" i="7" s="1"/>
  <c r="AI61" i="7"/>
  <c r="AH61" i="7" s="1"/>
  <c r="AI62" i="7"/>
  <c r="AH62" i="7" s="1"/>
  <c r="AI63" i="7"/>
  <c r="AH63" i="7" s="1"/>
  <c r="AI64" i="7"/>
  <c r="AH64" i="7" s="1"/>
  <c r="AI65" i="7"/>
  <c r="AH65" i="7" s="1"/>
  <c r="AI66" i="7"/>
  <c r="AH66" i="7" s="1"/>
  <c r="AI67" i="7"/>
  <c r="AH67" i="7" s="1"/>
  <c r="AI68" i="7"/>
  <c r="AH68" i="7" s="1"/>
  <c r="AI69" i="7"/>
  <c r="AH69" i="7" s="1"/>
  <c r="AI70" i="7"/>
  <c r="AH70" i="7" s="1"/>
  <c r="AI71" i="7"/>
  <c r="AH71" i="7" s="1"/>
  <c r="AI72" i="7"/>
  <c r="AH72" i="7" s="1"/>
  <c r="AI73" i="7"/>
  <c r="AH73" i="7" s="1"/>
  <c r="AI74" i="7"/>
  <c r="AH74" i="7" s="1"/>
  <c r="AI75" i="7"/>
  <c r="AH75" i="7" s="1"/>
  <c r="AI76" i="7"/>
  <c r="AH76" i="7" s="1"/>
  <c r="AI77" i="7"/>
  <c r="AH77" i="7" s="1"/>
  <c r="AI78" i="7"/>
  <c r="AH78" i="7" s="1"/>
  <c r="AI79" i="7"/>
  <c r="AH79" i="7" s="1"/>
  <c r="AI80" i="7"/>
  <c r="AH80" i="7" s="1"/>
  <c r="AI81" i="7"/>
  <c r="AH81" i="7" s="1"/>
  <c r="AI82" i="7"/>
  <c r="AH82" i="7" s="1"/>
  <c r="AI83" i="7"/>
  <c r="AH83" i="7" s="1"/>
  <c r="AI84" i="7"/>
  <c r="AH84" i="7" s="1"/>
  <c r="AI85" i="7"/>
  <c r="AH85" i="7" s="1"/>
  <c r="AI86" i="7"/>
  <c r="AH86" i="7" s="1"/>
  <c r="AI87" i="7"/>
  <c r="AH87" i="7" s="1"/>
  <c r="AI88" i="7"/>
  <c r="AH88" i="7" s="1"/>
  <c r="AI89" i="7"/>
  <c r="AH89" i="7" s="1"/>
  <c r="AI90" i="7"/>
  <c r="AH90" i="7" s="1"/>
  <c r="AI91" i="7"/>
  <c r="AH91" i="7" s="1"/>
  <c r="AI92" i="7"/>
  <c r="AH92" i="7" s="1"/>
  <c r="AI93" i="7"/>
  <c r="AH93" i="7" s="1"/>
  <c r="AI94" i="7"/>
  <c r="AH94" i="7" s="1"/>
  <c r="L110" i="7"/>
  <c r="K110" i="7"/>
  <c r="D111" i="7"/>
  <c r="B111" i="7" s="1"/>
  <c r="AP111" i="7"/>
  <c r="L113" i="7"/>
  <c r="K113" i="7"/>
  <c r="D114" i="7"/>
  <c r="B114" i="7" s="1"/>
  <c r="AP114" i="7"/>
  <c r="L116" i="7"/>
  <c r="K116" i="7"/>
  <c r="D117" i="7"/>
  <c r="L119" i="7"/>
  <c r="K119" i="7"/>
  <c r="D120" i="7"/>
  <c r="B120" i="7" s="1"/>
  <c r="AP120" i="7"/>
  <c r="L122" i="7"/>
  <c r="K122" i="7"/>
  <c r="D123" i="7"/>
  <c r="B123" i="7" s="1"/>
  <c r="AP123" i="7"/>
  <c r="L125" i="7"/>
  <c r="K125" i="7"/>
  <c r="D126" i="7"/>
  <c r="AP126" i="7"/>
  <c r="L128" i="7"/>
  <c r="K128" i="7"/>
  <c r="D129" i="7"/>
  <c r="B129" i="7" s="1"/>
  <c r="AP129" i="7"/>
  <c r="L131" i="7"/>
  <c r="K131" i="7"/>
  <c r="D132" i="7"/>
  <c r="B132" i="7" s="1"/>
  <c r="AP132" i="7"/>
  <c r="L134" i="7"/>
  <c r="K134" i="7"/>
  <c r="D135" i="7"/>
  <c r="L137" i="7"/>
  <c r="K137" i="7"/>
  <c r="D138" i="7"/>
  <c r="B138" i="7" s="1"/>
  <c r="AP138" i="7"/>
  <c r="L140" i="7"/>
  <c r="K140" i="7"/>
  <c r="D141" i="7"/>
  <c r="B141" i="7" s="1"/>
  <c r="AP141" i="7"/>
  <c r="L143" i="7"/>
  <c r="K143" i="7"/>
  <c r="D144" i="7"/>
  <c r="AP144" i="7"/>
  <c r="L146" i="7"/>
  <c r="K146" i="7"/>
  <c r="D147" i="7"/>
  <c r="B147" i="7" s="1"/>
  <c r="AP147" i="7"/>
  <c r="L149" i="7"/>
  <c r="K149" i="7"/>
  <c r="D150" i="7"/>
  <c r="B150" i="7" s="1"/>
  <c r="AP150" i="7"/>
  <c r="L152" i="7"/>
  <c r="K152" i="7"/>
  <c r="D153" i="7"/>
  <c r="AP153" i="7"/>
  <c r="L155" i="7"/>
  <c r="K155" i="7"/>
  <c r="D156" i="7"/>
  <c r="B156" i="7" s="1"/>
  <c r="AP156" i="7"/>
  <c r="L158" i="7"/>
  <c r="K158" i="7"/>
  <c r="D159" i="7"/>
  <c r="B159" i="7" s="1"/>
  <c r="AP159" i="7"/>
  <c r="L161" i="7"/>
  <c r="K161" i="7"/>
  <c r="D162" i="7"/>
  <c r="AP162" i="7"/>
  <c r="L164" i="7"/>
  <c r="K164" i="7"/>
  <c r="D165" i="7"/>
  <c r="B165" i="7" s="1"/>
  <c r="AP165" i="7"/>
  <c r="L167" i="7"/>
  <c r="K167" i="7"/>
  <c r="D168" i="7"/>
  <c r="B168" i="7" s="1"/>
  <c r="AP168" i="7"/>
  <c r="L170" i="7"/>
  <c r="K170" i="7"/>
  <c r="D171" i="7"/>
  <c r="AP171" i="7"/>
  <c r="L173" i="7"/>
  <c r="K173" i="7"/>
  <c r="D174" i="7"/>
  <c r="B174" i="7" s="1"/>
  <c r="AP174" i="7"/>
  <c r="L176" i="7"/>
  <c r="K176" i="7"/>
  <c r="D177" i="7"/>
  <c r="B177" i="7" s="1"/>
  <c r="AP177" i="7"/>
  <c r="L179" i="7"/>
  <c r="K179" i="7"/>
  <c r="D180" i="7"/>
  <c r="AP180" i="7"/>
  <c r="D182" i="7"/>
  <c r="C182" i="7"/>
  <c r="AP183" i="7"/>
  <c r="D185" i="7"/>
  <c r="C185" i="7"/>
  <c r="AP186" i="7"/>
  <c r="D188" i="7"/>
  <c r="C188" i="7"/>
  <c r="AP189" i="7"/>
  <c r="D191" i="7"/>
  <c r="C191" i="7"/>
  <c r="AP192" i="7"/>
  <c r="D194" i="7"/>
  <c r="C194" i="7"/>
  <c r="AP195" i="7"/>
  <c r="L51" i="1"/>
  <c r="B7" i="2"/>
  <c r="B11" i="2"/>
  <c r="M54" i="1"/>
  <c r="N54" i="1" s="1"/>
  <c r="M57" i="1"/>
  <c r="N57" i="1" s="1"/>
  <c r="M60" i="1"/>
  <c r="N60" i="1" s="1"/>
  <c r="M63" i="1"/>
  <c r="N63" i="1" s="1"/>
  <c r="M66" i="1"/>
  <c r="N66" i="1" s="1"/>
  <c r="M69" i="1"/>
  <c r="N69" i="1" s="1"/>
  <c r="M72" i="1"/>
  <c r="N72" i="1" s="1"/>
  <c r="M83" i="1"/>
  <c r="N83" i="1" s="1"/>
  <c r="M87" i="2"/>
  <c r="N87" i="2" s="1"/>
  <c r="X4" i="4"/>
  <c r="Y5" i="4"/>
  <c r="Y8" i="4"/>
  <c r="Y11" i="4"/>
  <c r="Y14" i="4"/>
  <c r="Y17" i="4"/>
  <c r="Y20" i="4"/>
  <c r="Y23" i="4"/>
  <c r="Y26" i="4"/>
  <c r="Y29" i="4"/>
  <c r="Y32" i="4"/>
  <c r="Y35" i="4"/>
  <c r="Y38" i="4"/>
  <c r="Y41" i="4"/>
  <c r="Y44" i="4"/>
  <c r="Y47" i="4"/>
  <c r="Y50" i="4"/>
  <c r="Y53" i="4"/>
  <c r="Y56" i="4"/>
  <c r="Y59" i="4"/>
  <c r="Y62" i="4"/>
  <c r="Y65" i="4"/>
  <c r="Y68" i="4"/>
  <c r="Y71" i="4"/>
  <c r="Y74" i="4"/>
  <c r="Y77" i="4"/>
  <c r="Y80" i="4"/>
  <c r="Y83" i="4"/>
  <c r="Y86" i="4"/>
  <c r="Y89" i="4"/>
  <c r="Y92" i="4"/>
  <c r="Y95" i="4"/>
  <c r="Y98" i="4"/>
  <c r="Y101" i="4"/>
  <c r="Y104" i="4"/>
  <c r="Y107" i="4"/>
  <c r="Y110" i="4"/>
  <c r="Y113" i="4"/>
  <c r="Y116" i="4"/>
  <c r="Y119" i="4"/>
  <c r="Y122" i="4"/>
  <c r="Y125" i="4"/>
  <c r="Y128" i="4"/>
  <c r="Y131" i="4"/>
  <c r="Y134" i="4"/>
  <c r="Y137" i="4"/>
  <c r="Y140" i="4"/>
  <c r="Y143" i="4"/>
  <c r="Y146" i="4"/>
  <c r="Y149" i="4"/>
  <c r="Y152" i="4"/>
  <c r="Y155" i="4"/>
  <c r="K7" i="7"/>
  <c r="J7" i="7" s="1"/>
  <c r="S8" i="7"/>
  <c r="R8" i="7" s="1"/>
  <c r="AA9" i="7"/>
  <c r="Z9" i="7" s="1"/>
  <c r="AA10" i="7"/>
  <c r="Z10" i="7" s="1"/>
  <c r="AA11" i="7"/>
  <c r="Z11" i="7" s="1"/>
  <c r="AA12" i="7"/>
  <c r="Z12" i="7" s="1"/>
  <c r="AA13" i="7"/>
  <c r="Z13" i="7" s="1"/>
  <c r="AA14" i="7"/>
  <c r="Z14" i="7" s="1"/>
  <c r="AA15" i="7"/>
  <c r="Z15" i="7" s="1"/>
  <c r="AA16" i="7"/>
  <c r="Z16" i="7" s="1"/>
  <c r="AA17" i="7"/>
  <c r="Z17" i="7" s="1"/>
  <c r="AA18" i="7"/>
  <c r="Z18" i="7" s="1"/>
  <c r="AA19" i="7"/>
  <c r="Z19" i="7" s="1"/>
  <c r="AA20" i="7"/>
  <c r="Z20" i="7" s="1"/>
  <c r="AA21" i="7"/>
  <c r="Z21" i="7" s="1"/>
  <c r="AA22" i="7"/>
  <c r="Z22" i="7" s="1"/>
  <c r="AA23" i="7"/>
  <c r="Z23" i="7" s="1"/>
  <c r="AA24" i="7"/>
  <c r="Z24" i="7" s="1"/>
  <c r="AA25" i="7"/>
  <c r="Z25" i="7" s="1"/>
  <c r="AA26" i="7"/>
  <c r="Z26" i="7" s="1"/>
  <c r="AA27" i="7"/>
  <c r="Z27" i="7" s="1"/>
  <c r="AA28" i="7"/>
  <c r="Z28" i="7" s="1"/>
  <c r="AA29" i="7"/>
  <c r="Z29" i="7" s="1"/>
  <c r="AA30" i="7"/>
  <c r="Z30" i="7" s="1"/>
  <c r="AA31" i="7"/>
  <c r="Z31" i="7" s="1"/>
  <c r="AA32" i="7"/>
  <c r="Z32" i="7" s="1"/>
  <c r="AA33" i="7"/>
  <c r="Z33" i="7" s="1"/>
  <c r="AA34" i="7"/>
  <c r="Z34" i="7" s="1"/>
  <c r="AA35" i="7"/>
  <c r="Z35" i="7" s="1"/>
  <c r="AA36" i="7"/>
  <c r="Z36" i="7" s="1"/>
  <c r="AA37" i="7"/>
  <c r="Z37" i="7" s="1"/>
  <c r="AA38" i="7"/>
  <c r="Z38" i="7" s="1"/>
  <c r="AA39" i="7"/>
  <c r="Z39" i="7" s="1"/>
  <c r="AA40" i="7"/>
  <c r="Z40" i="7" s="1"/>
  <c r="AA41" i="7"/>
  <c r="Z41" i="7" s="1"/>
  <c r="AA42" i="7"/>
  <c r="Z42" i="7" s="1"/>
  <c r="AA43" i="7"/>
  <c r="Z43" i="7" s="1"/>
  <c r="AA44" i="7"/>
  <c r="Z44" i="7" s="1"/>
  <c r="AA45" i="7"/>
  <c r="Z45" i="7" s="1"/>
  <c r="AA46" i="7"/>
  <c r="Z46" i="7" s="1"/>
  <c r="AA47" i="7"/>
  <c r="Z47" i="7" s="1"/>
  <c r="AA48" i="7"/>
  <c r="Z48" i="7" s="1"/>
  <c r="AA49" i="7"/>
  <c r="Z49" i="7" s="1"/>
  <c r="AA50" i="7"/>
  <c r="Z50" i="7" s="1"/>
  <c r="AA51" i="7"/>
  <c r="Z51" i="7" s="1"/>
  <c r="AA52" i="7"/>
  <c r="Z52" i="7" s="1"/>
  <c r="AA53" i="7"/>
  <c r="Z53" i="7" s="1"/>
  <c r="AA54" i="7"/>
  <c r="Z54" i="7" s="1"/>
  <c r="AA55" i="7"/>
  <c r="Z55" i="7" s="1"/>
  <c r="AA56" i="7"/>
  <c r="Z56" i="7" s="1"/>
  <c r="AA57" i="7"/>
  <c r="Z57" i="7" s="1"/>
  <c r="AA58" i="7"/>
  <c r="Z58" i="7" s="1"/>
  <c r="AA59" i="7"/>
  <c r="Z59" i="7" s="1"/>
  <c r="AA60" i="7"/>
  <c r="Z60" i="7" s="1"/>
  <c r="K95" i="7"/>
  <c r="J95" i="7" s="1"/>
  <c r="AI95" i="7"/>
  <c r="AH95" i="7" s="1"/>
  <c r="K96" i="7"/>
  <c r="J96" i="7" s="1"/>
  <c r="AI96" i="7"/>
  <c r="AH96" i="7" s="1"/>
  <c r="K97" i="7"/>
  <c r="J97" i="7" s="1"/>
  <c r="AI97" i="7"/>
  <c r="AH97" i="7" s="1"/>
  <c r="K98" i="7"/>
  <c r="J98" i="7" s="1"/>
  <c r="AI98" i="7"/>
  <c r="AH98" i="7" s="1"/>
  <c r="K99" i="7"/>
  <c r="J99" i="7" s="1"/>
  <c r="AI99" i="7"/>
  <c r="AH99" i="7" s="1"/>
  <c r="K100" i="7"/>
  <c r="J100" i="7" s="1"/>
  <c r="AI100" i="7"/>
  <c r="AH100" i="7" s="1"/>
  <c r="K101" i="7"/>
  <c r="J101" i="7" s="1"/>
  <c r="AI101" i="7"/>
  <c r="AH101" i="7" s="1"/>
  <c r="K102" i="7"/>
  <c r="J102" i="7" s="1"/>
  <c r="AI102" i="7"/>
  <c r="AH102" i="7" s="1"/>
  <c r="K103" i="7"/>
  <c r="J103" i="7" s="1"/>
  <c r="AI103" i="7"/>
  <c r="AH103" i="7" s="1"/>
  <c r="K104" i="7"/>
  <c r="J104" i="7" s="1"/>
  <c r="AI104" i="7"/>
  <c r="AH104" i="7" s="1"/>
  <c r="K105" i="7"/>
  <c r="J105" i="7" s="1"/>
  <c r="AI105" i="7"/>
  <c r="AH105" i="7" s="1"/>
  <c r="K106" i="7"/>
  <c r="J106" i="7" s="1"/>
  <c r="AI106" i="7"/>
  <c r="AH106" i="7" s="1"/>
  <c r="K107" i="7"/>
  <c r="J107" i="7" s="1"/>
  <c r="AI107" i="7"/>
  <c r="AH107" i="7" s="1"/>
  <c r="K108" i="7"/>
  <c r="J108" i="7" s="1"/>
  <c r="AI108" i="7"/>
  <c r="AH108" i="7" s="1"/>
  <c r="K109" i="7"/>
  <c r="J109" i="7" s="1"/>
  <c r="AI109" i="7"/>
  <c r="AH109" i="7" s="1"/>
  <c r="AI112" i="7"/>
  <c r="AH112" i="7" s="1"/>
  <c r="AI115" i="7"/>
  <c r="AH115" i="7" s="1"/>
  <c r="B117" i="7"/>
  <c r="AI118" i="7"/>
  <c r="AH118" i="7" s="1"/>
  <c r="AI121" i="7"/>
  <c r="AH121" i="7" s="1"/>
  <c r="AI124" i="7"/>
  <c r="AH124" i="7" s="1"/>
  <c r="B126" i="7"/>
  <c r="AI127" i="7"/>
  <c r="AH127" i="7" s="1"/>
  <c r="AI130" i="7"/>
  <c r="AH130" i="7" s="1"/>
  <c r="AI133" i="7"/>
  <c r="AH133" i="7" s="1"/>
  <c r="B135" i="7"/>
  <c r="AI136" i="7"/>
  <c r="AH136" i="7" s="1"/>
  <c r="AI139" i="7"/>
  <c r="AH139" i="7" s="1"/>
  <c r="AI142" i="7"/>
  <c r="AH142" i="7" s="1"/>
  <c r="B144" i="7"/>
  <c r="AI145" i="7"/>
  <c r="AH145" i="7" s="1"/>
  <c r="AI148" i="7"/>
  <c r="AH148" i="7" s="1"/>
  <c r="AI151" i="7"/>
  <c r="AH151" i="7" s="1"/>
  <c r="B153" i="7"/>
  <c r="AI154" i="7"/>
  <c r="AH154" i="7" s="1"/>
  <c r="AI157" i="7"/>
  <c r="AH157" i="7" s="1"/>
  <c r="AI160" i="7"/>
  <c r="AH160" i="7" s="1"/>
  <c r="B162" i="7"/>
  <c r="AI163" i="7"/>
  <c r="AH163" i="7" s="1"/>
  <c r="AI166" i="7"/>
  <c r="AH166" i="7" s="1"/>
  <c r="AI169" i="7"/>
  <c r="AH169" i="7" s="1"/>
  <c r="B171" i="7"/>
  <c r="AI172" i="7"/>
  <c r="AH172" i="7" s="1"/>
  <c r="AI175" i="7"/>
  <c r="AH175" i="7" s="1"/>
  <c r="AI178" i="7"/>
  <c r="AH178" i="7" s="1"/>
  <c r="B180" i="7"/>
  <c r="AI182" i="7"/>
  <c r="AH182" i="7" s="1"/>
  <c r="AI185" i="7"/>
  <c r="AH185" i="7" s="1"/>
  <c r="AI188" i="7"/>
  <c r="AH188" i="7" s="1"/>
  <c r="AI191" i="7"/>
  <c r="AH191" i="7" s="1"/>
  <c r="AI194" i="7"/>
  <c r="AH194" i="7" s="1"/>
  <c r="Y4" i="4"/>
  <c r="D110" i="7"/>
  <c r="B110" i="7" s="1"/>
  <c r="AP110" i="7"/>
  <c r="L112" i="7"/>
  <c r="K112" i="7"/>
  <c r="D113" i="7"/>
  <c r="B113" i="7" s="1"/>
  <c r="AP113" i="7"/>
  <c r="L115" i="7"/>
  <c r="K115" i="7"/>
  <c r="D116" i="7"/>
  <c r="B116" i="7" s="1"/>
  <c r="AP116" i="7"/>
  <c r="L118" i="7"/>
  <c r="K118" i="7"/>
  <c r="D119" i="7"/>
  <c r="B119" i="7" s="1"/>
  <c r="AP119" i="7"/>
  <c r="L121" i="7"/>
  <c r="K121" i="7"/>
  <c r="D122" i="7"/>
  <c r="B122" i="7" s="1"/>
  <c r="AP122" i="7"/>
  <c r="L124" i="7"/>
  <c r="K124" i="7"/>
  <c r="D125" i="7"/>
  <c r="B125" i="7" s="1"/>
  <c r="AP125" i="7"/>
  <c r="L127" i="7"/>
  <c r="K127" i="7"/>
  <c r="D128" i="7"/>
  <c r="B128" i="7" s="1"/>
  <c r="AP128" i="7"/>
  <c r="L130" i="7"/>
  <c r="K130" i="7"/>
  <c r="D131" i="7"/>
  <c r="B131" i="7" s="1"/>
  <c r="AP131" i="7"/>
  <c r="L133" i="7"/>
  <c r="K133" i="7"/>
  <c r="D134" i="7"/>
  <c r="B134" i="7" s="1"/>
  <c r="AP134" i="7"/>
  <c r="L136" i="7"/>
  <c r="K136" i="7"/>
  <c r="D137" i="7"/>
  <c r="B137" i="7" s="1"/>
  <c r="AP137" i="7"/>
  <c r="L139" i="7"/>
  <c r="K139" i="7"/>
  <c r="D140" i="7"/>
  <c r="B140" i="7" s="1"/>
  <c r="AP140" i="7"/>
  <c r="L142" i="7"/>
  <c r="K142" i="7"/>
  <c r="D143" i="7"/>
  <c r="B143" i="7" s="1"/>
  <c r="AP143" i="7"/>
  <c r="L145" i="7"/>
  <c r="K145" i="7"/>
  <c r="D146" i="7"/>
  <c r="B146" i="7" s="1"/>
  <c r="AP146" i="7"/>
  <c r="L148" i="7"/>
  <c r="K148" i="7"/>
  <c r="D149" i="7"/>
  <c r="B149" i="7" s="1"/>
  <c r="AP149" i="7"/>
  <c r="L151" i="7"/>
  <c r="K151" i="7"/>
  <c r="D152" i="7"/>
  <c r="B152" i="7" s="1"/>
  <c r="AP152" i="7"/>
  <c r="L154" i="7"/>
  <c r="K154" i="7"/>
  <c r="D155" i="7"/>
  <c r="B155" i="7" s="1"/>
  <c r="L157" i="7"/>
  <c r="K157" i="7"/>
  <c r="D158" i="7"/>
  <c r="B158" i="7" s="1"/>
  <c r="AP158" i="7"/>
  <c r="L160" i="7"/>
  <c r="K160" i="7"/>
  <c r="D161" i="7"/>
  <c r="B161" i="7" s="1"/>
  <c r="AP161" i="7"/>
  <c r="L163" i="7"/>
  <c r="K163" i="7"/>
  <c r="D164" i="7"/>
  <c r="B164" i="7" s="1"/>
  <c r="AP164" i="7"/>
  <c r="L166" i="7"/>
  <c r="K166" i="7"/>
  <c r="D167" i="7"/>
  <c r="B167" i="7" s="1"/>
  <c r="AP167" i="7"/>
  <c r="L169" i="7"/>
  <c r="K169" i="7"/>
  <c r="D170" i="7"/>
  <c r="B170" i="7" s="1"/>
  <c r="AP170" i="7"/>
  <c r="L172" i="7"/>
  <c r="K172" i="7"/>
  <c r="D173" i="7"/>
  <c r="B173" i="7" s="1"/>
  <c r="AP173" i="7"/>
  <c r="L175" i="7"/>
  <c r="K175" i="7"/>
  <c r="D176" i="7"/>
  <c r="B176" i="7" s="1"/>
  <c r="AP176" i="7"/>
  <c r="L178" i="7"/>
  <c r="K178" i="7"/>
  <c r="D179" i="7"/>
  <c r="B179" i="7" s="1"/>
  <c r="AP179" i="7"/>
  <c r="AP181" i="7"/>
  <c r="D183" i="7"/>
  <c r="C183" i="7"/>
  <c r="AP184" i="7"/>
  <c r="D186" i="7"/>
  <c r="C186" i="7"/>
  <c r="AP187" i="7"/>
  <c r="D189" i="7"/>
  <c r="C189" i="7"/>
  <c r="AP190" i="7"/>
  <c r="D192" i="7"/>
  <c r="C192" i="7"/>
  <c r="AP193" i="7"/>
  <c r="D195" i="7"/>
  <c r="C195" i="7"/>
  <c r="AJ309" i="7"/>
  <c r="AH309" i="7" s="1"/>
  <c r="AJ310" i="7"/>
  <c r="AH310" i="7" s="1"/>
  <c r="AJ311" i="7"/>
  <c r="AH311" i="7" s="1"/>
  <c r="AJ312" i="7"/>
  <c r="AH312" i="7" s="1"/>
  <c r="AJ313" i="7"/>
  <c r="AH313" i="7" s="1"/>
  <c r="AJ314" i="7"/>
  <c r="AH314" i="7" s="1"/>
  <c r="AJ315" i="7"/>
  <c r="AH315" i="7" s="1"/>
  <c r="AJ316" i="7"/>
  <c r="AH316" i="7" s="1"/>
  <c r="AJ317" i="7"/>
  <c r="AH317" i="7" s="1"/>
  <c r="AJ318" i="7"/>
  <c r="AH318" i="7" s="1"/>
  <c r="AJ319" i="7"/>
  <c r="AH319" i="7" s="1"/>
  <c r="AJ320" i="7"/>
  <c r="AH320" i="7" s="1"/>
  <c r="AJ321" i="7"/>
  <c r="AH321" i="7" s="1"/>
  <c r="AJ322" i="7"/>
  <c r="AH322" i="7" s="1"/>
  <c r="AJ323" i="7"/>
  <c r="AH323" i="7" s="1"/>
  <c r="AJ324" i="7"/>
  <c r="AH324" i="7" s="1"/>
  <c r="AJ325" i="7"/>
  <c r="AH325" i="7" s="1"/>
  <c r="AJ326" i="7"/>
  <c r="AH326" i="7" s="1"/>
  <c r="AJ327" i="7"/>
  <c r="AH327" i="7" s="1"/>
  <c r="AJ328" i="7"/>
  <c r="AH328" i="7" s="1"/>
  <c r="AJ329" i="7"/>
  <c r="AH329" i="7" s="1"/>
  <c r="AJ330" i="7"/>
  <c r="AH330" i="7" s="1"/>
  <c r="AJ331" i="7"/>
  <c r="AH331" i="7" s="1"/>
  <c r="AJ332" i="7"/>
  <c r="AH332" i="7" s="1"/>
  <c r="AJ333" i="7"/>
  <c r="AH333" i="7" s="1"/>
  <c r="AJ334" i="7"/>
  <c r="AH334" i="7" s="1"/>
  <c r="AJ335" i="7"/>
  <c r="AH335" i="7" s="1"/>
  <c r="AJ336" i="7"/>
  <c r="AH336" i="7" s="1"/>
  <c r="AJ337" i="7"/>
  <c r="AH337" i="7" s="1"/>
  <c r="AJ338" i="7"/>
  <c r="AH338" i="7" s="1"/>
  <c r="AJ339" i="7"/>
  <c r="AH339" i="7" s="1"/>
  <c r="AJ340" i="7"/>
  <c r="AH340" i="7" s="1"/>
  <c r="AJ341" i="7"/>
  <c r="AH341" i="7" s="1"/>
  <c r="AJ342" i="7"/>
  <c r="AH342" i="7" s="1"/>
  <c r="AJ343" i="7"/>
  <c r="AH343" i="7" s="1"/>
  <c r="AJ344" i="7"/>
  <c r="AH344" i="7" s="1"/>
  <c r="AJ345" i="7"/>
  <c r="AH345" i="7" s="1"/>
  <c r="AJ346" i="7"/>
  <c r="AH346" i="7" s="1"/>
  <c r="AJ347" i="7"/>
  <c r="AH347" i="7" s="1"/>
  <c r="AJ348" i="7"/>
  <c r="AH348" i="7" s="1"/>
  <c r="AJ349" i="7"/>
  <c r="AH349" i="7" s="1"/>
  <c r="AJ350" i="7"/>
  <c r="AH350" i="7" s="1"/>
  <c r="AJ351" i="7"/>
  <c r="AH351" i="7" s="1"/>
  <c r="AJ352" i="7"/>
  <c r="AH352" i="7" s="1"/>
  <c r="AJ353" i="7"/>
  <c r="AH353" i="7" s="1"/>
  <c r="AJ354" i="7"/>
  <c r="AH354" i="7" s="1"/>
  <c r="AJ355" i="7"/>
  <c r="AH355" i="7" s="1"/>
  <c r="AJ356" i="7"/>
  <c r="AH356" i="7" s="1"/>
  <c r="AJ357" i="7"/>
  <c r="AH357" i="7" s="1"/>
  <c r="AJ358" i="7"/>
  <c r="AH358" i="7" s="1"/>
  <c r="AJ359" i="7"/>
  <c r="AH359" i="7" s="1"/>
  <c r="AJ360" i="7"/>
  <c r="AH360" i="7" s="1"/>
  <c r="AJ361" i="7"/>
  <c r="AH361" i="7" s="1"/>
  <c r="AJ362" i="7"/>
  <c r="AH362" i="7" s="1"/>
  <c r="AJ363" i="7"/>
  <c r="AH363" i="7" s="1"/>
  <c r="AJ364" i="7"/>
  <c r="AH364" i="7" s="1"/>
  <c r="AJ365" i="7"/>
  <c r="AH365" i="7" s="1"/>
  <c r="AJ366" i="7"/>
  <c r="AH366" i="7" s="1"/>
  <c r="AJ367" i="7"/>
  <c r="AH367" i="7" s="1"/>
  <c r="AJ368" i="7"/>
  <c r="AH368" i="7" s="1"/>
  <c r="AJ369" i="7"/>
  <c r="AH369" i="7" s="1"/>
  <c r="AJ370" i="7"/>
  <c r="AH370" i="7" s="1"/>
  <c r="AJ371" i="7"/>
  <c r="AH371" i="7" s="1"/>
  <c r="AJ372" i="7"/>
  <c r="AH372" i="7" s="1"/>
  <c r="AJ373" i="7"/>
  <c r="AH373" i="7" s="1"/>
  <c r="AJ374" i="7"/>
  <c r="AH374" i="7" s="1"/>
  <c r="AJ375" i="7"/>
  <c r="AH375" i="7" s="1"/>
  <c r="AJ376" i="7"/>
  <c r="AH376" i="7" s="1"/>
  <c r="AJ377" i="7"/>
  <c r="AH377" i="7" s="1"/>
  <c r="AJ378" i="7"/>
  <c r="AH378" i="7" s="1"/>
  <c r="AJ379" i="7"/>
  <c r="AH379" i="7" s="1"/>
  <c r="AJ380" i="7"/>
  <c r="AH380" i="7" s="1"/>
  <c r="AJ381" i="7"/>
  <c r="AH381" i="7" s="1"/>
  <c r="AJ382" i="7"/>
  <c r="AH382" i="7" s="1"/>
  <c r="AJ383" i="7"/>
  <c r="AH383" i="7" s="1"/>
  <c r="AJ384" i="7"/>
  <c r="AH384" i="7" s="1"/>
  <c r="AJ385" i="7"/>
  <c r="AH385" i="7" s="1"/>
  <c r="AJ386" i="7"/>
  <c r="AH386" i="7" s="1"/>
  <c r="AJ387" i="7"/>
  <c r="AH387" i="7" s="1"/>
  <c r="AJ388" i="7"/>
  <c r="AH388" i="7" s="1"/>
  <c r="AJ389" i="7"/>
  <c r="AH389" i="7" s="1"/>
  <c r="AJ390" i="7"/>
  <c r="AH390" i="7" s="1"/>
  <c r="AJ391" i="7"/>
  <c r="AH391" i="7" s="1"/>
  <c r="AJ392" i="7"/>
  <c r="AH392" i="7" s="1"/>
  <c r="AJ393" i="7"/>
  <c r="AH393" i="7" s="1"/>
  <c r="AJ394" i="7"/>
  <c r="AH394" i="7" s="1"/>
  <c r="AJ395" i="7"/>
  <c r="AH395" i="7" s="1"/>
  <c r="AR397" i="7"/>
  <c r="AP397" i="7" s="1"/>
  <c r="AR399" i="7"/>
  <c r="AP399" i="7" s="1"/>
  <c r="AR401" i="7"/>
  <c r="AP401" i="7" s="1"/>
  <c r="AR403" i="7"/>
  <c r="AP403" i="7" s="1"/>
  <c r="AR405" i="7"/>
  <c r="AP405" i="7" s="1"/>
  <c r="AR407" i="7"/>
  <c r="AP407" i="7" s="1"/>
  <c r="AR409" i="7"/>
  <c r="AP409" i="7" s="1"/>
  <c r="AR411" i="7"/>
  <c r="AP411" i="7" s="1"/>
  <c r="AR413" i="7"/>
  <c r="AP413" i="7" s="1"/>
  <c r="AR415" i="7"/>
  <c r="AP415" i="7" s="1"/>
  <c r="AR417" i="7"/>
  <c r="AP417" i="7" s="1"/>
  <c r="T418" i="7"/>
  <c r="R418" i="7" s="1"/>
  <c r="AR418" i="7"/>
  <c r="AP418" i="7" s="1"/>
  <c r="T419" i="7"/>
  <c r="R419" i="7" s="1"/>
  <c r="AR419" i="7"/>
  <c r="AP419" i="7" s="1"/>
  <c r="T420" i="7"/>
  <c r="R420" i="7" s="1"/>
  <c r="AR420" i="7"/>
  <c r="AP420" i="7" s="1"/>
  <c r="T421" i="7"/>
  <c r="R421" i="7" s="1"/>
  <c r="AR421" i="7"/>
  <c r="AP421" i="7" s="1"/>
  <c r="T422" i="7"/>
  <c r="R422" i="7" s="1"/>
  <c r="AR422" i="7"/>
  <c r="AP422" i="7" s="1"/>
  <c r="T423" i="7"/>
  <c r="R423" i="7" s="1"/>
  <c r="AR423" i="7"/>
  <c r="AP423" i="7" s="1"/>
  <c r="T424" i="7"/>
  <c r="R424" i="7" s="1"/>
  <c r="AR424" i="7"/>
  <c r="AP424" i="7" s="1"/>
  <c r="T425" i="7"/>
  <c r="R425" i="7" s="1"/>
  <c r="AR425" i="7"/>
  <c r="AP425" i="7" s="1"/>
  <c r="T426" i="7"/>
  <c r="R426" i="7" s="1"/>
  <c r="AR426" i="7"/>
  <c r="AP426" i="7" s="1"/>
  <c r="T427" i="7"/>
  <c r="R427" i="7" s="1"/>
  <c r="AR427" i="7"/>
  <c r="AP427" i="7" s="1"/>
  <c r="T428" i="7"/>
  <c r="R428" i="7" s="1"/>
  <c r="AR428" i="7"/>
  <c r="AP428" i="7" s="1"/>
  <c r="T429" i="7"/>
  <c r="R429" i="7" s="1"/>
  <c r="AR429" i="7"/>
  <c r="AP429" i="7" s="1"/>
  <c r="T430" i="7"/>
  <c r="R430" i="7" s="1"/>
  <c r="AR430" i="7"/>
  <c r="AP430" i="7" s="1"/>
  <c r="T431" i="7"/>
  <c r="R431" i="7" s="1"/>
  <c r="AR431" i="7"/>
  <c r="AP431" i="7" s="1"/>
  <c r="T432" i="7"/>
  <c r="R432" i="7" s="1"/>
  <c r="AR432" i="7"/>
  <c r="AP432" i="7" s="1"/>
  <c r="T433" i="7"/>
  <c r="R433" i="7" s="1"/>
  <c r="AR433" i="7"/>
  <c r="AP433" i="7" s="1"/>
  <c r="T434" i="7"/>
  <c r="R434" i="7" s="1"/>
  <c r="AR434" i="7"/>
  <c r="AP434" i="7" s="1"/>
  <c r="T435" i="7"/>
  <c r="R435" i="7" s="1"/>
  <c r="AR435" i="7"/>
  <c r="AP435" i="7" s="1"/>
  <c r="T436" i="7"/>
  <c r="R436" i="7" s="1"/>
  <c r="AR436" i="7"/>
  <c r="AP436" i="7" s="1"/>
  <c r="T437" i="7"/>
  <c r="R437" i="7" s="1"/>
  <c r="AR437" i="7"/>
  <c r="AP437" i="7" s="1"/>
  <c r="T438" i="7"/>
  <c r="R438" i="7" s="1"/>
  <c r="AR438" i="7"/>
  <c r="AP438" i="7" s="1"/>
  <c r="T439" i="7"/>
  <c r="R439" i="7" s="1"/>
  <c r="AR439" i="7"/>
  <c r="AP439" i="7" s="1"/>
  <c r="T440" i="7"/>
  <c r="R440" i="7" s="1"/>
  <c r="AR440" i="7"/>
  <c r="AP440" i="7" s="1"/>
  <c r="T441" i="7"/>
  <c r="R441" i="7" s="1"/>
  <c r="AR441" i="7"/>
  <c r="AP441" i="7" s="1"/>
  <c r="T442" i="7"/>
  <c r="R442" i="7" s="1"/>
  <c r="AR442" i="7"/>
  <c r="AP442" i="7" s="1"/>
  <c r="T443" i="7"/>
  <c r="R443" i="7" s="1"/>
  <c r="AR443" i="7"/>
  <c r="AP443" i="7" s="1"/>
  <c r="T444" i="7"/>
  <c r="R444" i="7" s="1"/>
  <c r="AR444" i="7"/>
  <c r="AP444" i="7" s="1"/>
  <c r="T445" i="7"/>
  <c r="R445" i="7" s="1"/>
  <c r="AR445" i="7"/>
  <c r="AP445" i="7" s="1"/>
  <c r="T446" i="7"/>
  <c r="R446" i="7" s="1"/>
  <c r="AR446" i="7"/>
  <c r="AP446" i="7" s="1"/>
  <c r="T447" i="7"/>
  <c r="R447" i="7" s="1"/>
  <c r="AR447" i="7"/>
  <c r="AP447" i="7" s="1"/>
  <c r="T448" i="7"/>
  <c r="R448" i="7" s="1"/>
  <c r="AR448" i="7"/>
  <c r="AP448" i="7" s="1"/>
  <c r="T449" i="7"/>
  <c r="R449" i="7" s="1"/>
  <c r="AR449" i="7"/>
  <c r="AP449" i="7" s="1"/>
  <c r="T450" i="7"/>
  <c r="R450" i="7" s="1"/>
  <c r="AR450" i="7"/>
  <c r="AP450" i="7" s="1"/>
  <c r="T451" i="7"/>
  <c r="R451" i="7" s="1"/>
  <c r="AR451" i="7"/>
  <c r="AP451" i="7" s="1"/>
  <c r="T452" i="7"/>
  <c r="R452" i="7" s="1"/>
  <c r="AR452" i="7"/>
  <c r="AP452" i="7" s="1"/>
  <c r="T453" i="7"/>
  <c r="R453" i="7" s="1"/>
  <c r="AR453" i="7"/>
  <c r="AP453" i="7" s="1"/>
  <c r="T454" i="7"/>
  <c r="R454" i="7" s="1"/>
  <c r="AR454" i="7"/>
  <c r="AP454" i="7" s="1"/>
  <c r="T455" i="7"/>
  <c r="R455" i="7" s="1"/>
  <c r="AR455" i="7"/>
  <c r="AP455" i="7" s="1"/>
  <c r="T456" i="7"/>
  <c r="R456" i="7" s="1"/>
  <c r="AR456" i="7"/>
  <c r="AP456" i="7" s="1"/>
  <c r="T457" i="7"/>
  <c r="R457" i="7" s="1"/>
  <c r="AR457" i="7"/>
  <c r="AP457" i="7" s="1"/>
  <c r="T458" i="7"/>
  <c r="R458" i="7" s="1"/>
  <c r="AR458" i="7"/>
  <c r="AP458" i="7" s="1"/>
  <c r="T459" i="7"/>
  <c r="R459" i="7" s="1"/>
  <c r="AR459" i="7"/>
  <c r="AP459" i="7" s="1"/>
  <c r="T460" i="7"/>
  <c r="R460" i="7" s="1"/>
  <c r="AR460" i="7"/>
  <c r="AP460" i="7" s="1"/>
  <c r="T461" i="7"/>
  <c r="R461" i="7" s="1"/>
  <c r="AR461" i="7"/>
  <c r="AP461" i="7" s="1"/>
  <c r="T462" i="7"/>
  <c r="R462" i="7" s="1"/>
  <c r="AR462" i="7"/>
  <c r="AP462" i="7" s="1"/>
  <c r="T463" i="7"/>
  <c r="R463" i="7" s="1"/>
  <c r="AR463" i="7"/>
  <c r="AP463" i="7" s="1"/>
  <c r="T464" i="7"/>
  <c r="R464" i="7" s="1"/>
  <c r="AR464" i="7"/>
  <c r="AP464" i="7" s="1"/>
  <c r="T465" i="7"/>
  <c r="R465" i="7" s="1"/>
  <c r="AR465" i="7"/>
  <c r="AP465" i="7" s="1"/>
  <c r="T466" i="7"/>
  <c r="R466" i="7" s="1"/>
  <c r="AR466" i="7"/>
  <c r="AP466" i="7" s="1"/>
  <c r="T467" i="7"/>
  <c r="R467" i="7" s="1"/>
  <c r="AR467" i="7"/>
  <c r="AP467" i="7" s="1"/>
  <c r="T468" i="7"/>
  <c r="R468" i="7" s="1"/>
  <c r="AR468" i="7"/>
  <c r="AP468" i="7" s="1"/>
  <c r="T469" i="7"/>
  <c r="R469" i="7" s="1"/>
  <c r="AR469" i="7"/>
  <c r="AP469" i="7" s="1"/>
  <c r="T470" i="7"/>
  <c r="R470" i="7" s="1"/>
  <c r="AR470" i="7"/>
  <c r="AP470" i="7" s="1"/>
  <c r="T471" i="7"/>
  <c r="R471" i="7" s="1"/>
  <c r="AR471" i="7"/>
  <c r="AP471" i="7" s="1"/>
  <c r="T472" i="7"/>
  <c r="R472" i="7" s="1"/>
  <c r="AR472" i="7"/>
  <c r="AP472" i="7" s="1"/>
  <c r="T473" i="7"/>
  <c r="R473" i="7" s="1"/>
  <c r="AR473" i="7"/>
  <c r="AP473" i="7" s="1"/>
  <c r="T474" i="7"/>
  <c r="R474" i="7" s="1"/>
  <c r="AR474" i="7"/>
  <c r="AP474" i="7" s="1"/>
  <c r="T475" i="7"/>
  <c r="R475" i="7" s="1"/>
  <c r="AR475" i="7"/>
  <c r="AP475" i="7" s="1"/>
  <c r="T476" i="7"/>
  <c r="R476" i="7" s="1"/>
  <c r="AR476" i="7"/>
  <c r="AP476" i="7" s="1"/>
  <c r="T477" i="7"/>
  <c r="R477" i="7" s="1"/>
  <c r="AR477" i="7"/>
  <c r="AP477" i="7" s="1"/>
  <c r="T478" i="7"/>
  <c r="R478" i="7" s="1"/>
  <c r="AR478" i="7"/>
  <c r="AP478" i="7" s="1"/>
  <c r="T479" i="7"/>
  <c r="R479" i="7" s="1"/>
  <c r="AR479" i="7"/>
  <c r="AP479" i="7" s="1"/>
  <c r="T480" i="7"/>
  <c r="R480" i="7" s="1"/>
  <c r="AR480" i="7"/>
  <c r="AP480" i="7" s="1"/>
  <c r="T481" i="7"/>
  <c r="R481" i="7" s="1"/>
  <c r="AR481" i="7"/>
  <c r="AP481" i="7" s="1"/>
  <c r="T482" i="7"/>
  <c r="R482" i="7" s="1"/>
  <c r="AR482" i="7"/>
  <c r="AP482" i="7" s="1"/>
  <c r="T483" i="7"/>
  <c r="R483" i="7" s="1"/>
  <c r="AR483" i="7"/>
  <c r="AP483" i="7" s="1"/>
  <c r="T484" i="7"/>
  <c r="R484" i="7" s="1"/>
  <c r="AR484" i="7"/>
  <c r="AP484" i="7" s="1"/>
  <c r="T485" i="7"/>
  <c r="R485" i="7" s="1"/>
  <c r="AR485" i="7"/>
  <c r="AP485" i="7" s="1"/>
  <c r="T486" i="7"/>
  <c r="R486" i="7" s="1"/>
  <c r="AR486" i="7"/>
  <c r="AP486" i="7" s="1"/>
  <c r="T487" i="7"/>
  <c r="R487" i="7" s="1"/>
  <c r="AR487" i="7"/>
  <c r="AP487" i="7" s="1"/>
  <c r="T488" i="7"/>
  <c r="R488" i="7" s="1"/>
  <c r="AR488" i="7"/>
  <c r="AP488" i="7" s="1"/>
  <c r="T489" i="7"/>
  <c r="R489" i="7" s="1"/>
  <c r="AR489" i="7"/>
  <c r="AP489" i="7" s="1"/>
  <c r="T490" i="7"/>
  <c r="R490" i="7" s="1"/>
  <c r="AR490" i="7"/>
  <c r="AP490" i="7" s="1"/>
  <c r="T491" i="7"/>
  <c r="R491" i="7" s="1"/>
  <c r="AR491" i="7"/>
  <c r="AP491" i="7" s="1"/>
  <c r="T492" i="7"/>
  <c r="R492" i="7" s="1"/>
  <c r="AR492" i="7"/>
  <c r="AP492" i="7" s="1"/>
  <c r="T493" i="7"/>
  <c r="R493" i="7" s="1"/>
  <c r="AR493" i="7"/>
  <c r="AP493" i="7" s="1"/>
  <c r="T494" i="7"/>
  <c r="R494" i="7" s="1"/>
  <c r="AR494" i="7"/>
  <c r="AP494" i="7" s="1"/>
  <c r="T495" i="7"/>
  <c r="R495" i="7" s="1"/>
  <c r="AP495" i="7"/>
  <c r="AA497" i="7"/>
  <c r="Z497" i="7" s="1"/>
  <c r="AP498" i="7"/>
  <c r="AA500" i="7"/>
  <c r="Z500" i="7" s="1"/>
  <c r="AP501" i="7"/>
  <c r="AA503" i="7"/>
  <c r="Z503" i="7" s="1"/>
  <c r="AP504" i="7"/>
  <c r="AA506" i="7"/>
  <c r="Z506" i="7" s="1"/>
  <c r="AP507" i="7"/>
  <c r="AA509" i="7"/>
  <c r="Z509" i="7" s="1"/>
  <c r="AP510" i="7"/>
  <c r="AA512" i="7"/>
  <c r="Z512" i="7" s="1"/>
  <c r="AP513" i="7"/>
  <c r="AA515" i="7"/>
  <c r="Z515" i="7" s="1"/>
  <c r="AP516" i="7"/>
  <c r="AA518" i="7"/>
  <c r="Z518" i="7" s="1"/>
  <c r="AP519" i="7"/>
  <c r="AA521" i="7"/>
  <c r="Z521" i="7" s="1"/>
  <c r="AP522" i="7"/>
  <c r="AA524" i="7"/>
  <c r="Z524" i="7" s="1"/>
  <c r="AP525" i="7"/>
  <c r="AA527" i="7"/>
  <c r="Z527" i="7" s="1"/>
  <c r="AP528" i="7"/>
  <c r="AP530" i="7"/>
  <c r="R532" i="7"/>
  <c r="AP533" i="7"/>
  <c r="R535" i="7"/>
  <c r="AP536" i="7"/>
  <c r="R538" i="7"/>
  <c r="AP539" i="7"/>
  <c r="R541" i="7"/>
  <c r="AP542" i="7"/>
  <c r="R544" i="7"/>
  <c r="AP545" i="7"/>
  <c r="R547" i="7"/>
  <c r="AP548" i="7"/>
  <c r="R550" i="7"/>
  <c r="AP551" i="7"/>
  <c r="R553" i="7"/>
  <c r="AP554" i="7"/>
  <c r="R556" i="7"/>
  <c r="AP557" i="7"/>
  <c r="R559" i="7"/>
  <c r="AP560" i="7"/>
  <c r="R562" i="7"/>
  <c r="AP563" i="7"/>
  <c r="R565" i="7"/>
  <c r="AP566" i="7"/>
  <c r="R568" i="7"/>
  <c r="AP569" i="7"/>
  <c r="R571" i="7"/>
  <c r="AP572" i="7"/>
  <c r="R574" i="7"/>
  <c r="AP575" i="7"/>
  <c r="R577" i="7"/>
  <c r="AP578" i="7"/>
  <c r="R580" i="7"/>
  <c r="AP581" i="7"/>
  <c r="R583" i="7"/>
  <c r="AP584" i="7"/>
  <c r="R586" i="7"/>
  <c r="AP587" i="7"/>
  <c r="R589" i="7"/>
  <c r="AP590" i="7"/>
  <c r="R592" i="7"/>
  <c r="AP593" i="7"/>
  <c r="R595" i="7"/>
  <c r="AP596" i="7"/>
  <c r="R598" i="7"/>
  <c r="AP599" i="7"/>
  <c r="R601" i="7"/>
  <c r="AP602" i="7"/>
  <c r="R604" i="7"/>
  <c r="AP605" i="7"/>
  <c r="R607" i="7"/>
  <c r="C608" i="7"/>
  <c r="D608" i="7"/>
  <c r="AP609" i="7"/>
  <c r="C497" i="7"/>
  <c r="D497" i="7"/>
  <c r="C500" i="7"/>
  <c r="D500" i="7"/>
  <c r="C503" i="7"/>
  <c r="D503" i="7"/>
  <c r="C506" i="7"/>
  <c r="D506" i="7"/>
  <c r="C509" i="7"/>
  <c r="D509" i="7"/>
  <c r="C512" i="7"/>
  <c r="D512" i="7"/>
  <c r="C515" i="7"/>
  <c r="D515" i="7"/>
  <c r="C518" i="7"/>
  <c r="D518" i="7"/>
  <c r="C521" i="7"/>
  <c r="D521" i="7"/>
  <c r="C524" i="7"/>
  <c r="D524" i="7"/>
  <c r="C527" i="7"/>
  <c r="D527" i="7"/>
  <c r="C530" i="7"/>
  <c r="D530" i="7"/>
  <c r="AB531" i="7"/>
  <c r="AA531" i="7"/>
  <c r="C533" i="7"/>
  <c r="D533" i="7"/>
  <c r="AB534" i="7"/>
  <c r="AA534" i="7"/>
  <c r="C536" i="7"/>
  <c r="D536" i="7"/>
  <c r="AB537" i="7"/>
  <c r="AA537" i="7"/>
  <c r="C539" i="7"/>
  <c r="D539" i="7"/>
  <c r="AB540" i="7"/>
  <c r="AA540" i="7"/>
  <c r="C542" i="7"/>
  <c r="D542" i="7"/>
  <c r="AB543" i="7"/>
  <c r="AA543" i="7"/>
  <c r="C545" i="7"/>
  <c r="D545" i="7"/>
  <c r="AB546" i="7"/>
  <c r="AA546" i="7"/>
  <c r="C548" i="7"/>
  <c r="D548" i="7"/>
  <c r="AB549" i="7"/>
  <c r="AA549" i="7"/>
  <c r="C551" i="7"/>
  <c r="D551" i="7"/>
  <c r="AB552" i="7"/>
  <c r="AA552" i="7"/>
  <c r="C554" i="7"/>
  <c r="D554" i="7"/>
  <c r="AB555" i="7"/>
  <c r="AA555" i="7"/>
  <c r="C557" i="7"/>
  <c r="D557" i="7"/>
  <c r="AB558" i="7"/>
  <c r="AA558" i="7"/>
  <c r="C560" i="7"/>
  <c r="D560" i="7"/>
  <c r="AB561" i="7"/>
  <c r="AA561" i="7"/>
  <c r="C563" i="7"/>
  <c r="D563" i="7"/>
  <c r="AB564" i="7"/>
  <c r="AA564" i="7"/>
  <c r="C566" i="7"/>
  <c r="D566" i="7"/>
  <c r="AB567" i="7"/>
  <c r="AA567" i="7"/>
  <c r="C569" i="7"/>
  <c r="D569" i="7"/>
  <c r="AB570" i="7"/>
  <c r="AA570" i="7"/>
  <c r="C572" i="7"/>
  <c r="D572" i="7"/>
  <c r="AB573" i="7"/>
  <c r="AA573" i="7"/>
  <c r="C575" i="7"/>
  <c r="D575" i="7"/>
  <c r="AB576" i="7"/>
  <c r="AA576" i="7"/>
  <c r="C578" i="7"/>
  <c r="D578" i="7"/>
  <c r="AB579" i="7"/>
  <c r="AA579" i="7"/>
  <c r="C581" i="7"/>
  <c r="D581" i="7"/>
  <c r="AB582" i="7"/>
  <c r="AA582" i="7"/>
  <c r="C584" i="7"/>
  <c r="D584" i="7"/>
  <c r="AB585" i="7"/>
  <c r="AA585" i="7"/>
  <c r="C587" i="7"/>
  <c r="D587" i="7"/>
  <c r="AB588" i="7"/>
  <c r="AA588" i="7"/>
  <c r="C590" i="7"/>
  <c r="D590" i="7"/>
  <c r="AB591" i="7"/>
  <c r="AA591" i="7"/>
  <c r="C593" i="7"/>
  <c r="D593" i="7"/>
  <c r="AB594" i="7"/>
  <c r="AA594" i="7"/>
  <c r="C596" i="7"/>
  <c r="D596" i="7"/>
  <c r="AB597" i="7"/>
  <c r="AA597" i="7"/>
  <c r="C599" i="7"/>
  <c r="D599" i="7"/>
  <c r="AB600" i="7"/>
  <c r="AA600" i="7"/>
  <c r="C602" i="7"/>
  <c r="D602" i="7"/>
  <c r="AB603" i="7"/>
  <c r="AA603" i="7"/>
  <c r="C605" i="7"/>
  <c r="D605" i="7"/>
  <c r="AB606" i="7"/>
  <c r="AA606" i="7"/>
  <c r="C609" i="7"/>
  <c r="D609" i="7"/>
  <c r="K181" i="7"/>
  <c r="J181" i="7" s="1"/>
  <c r="K182" i="7"/>
  <c r="J182" i="7" s="1"/>
  <c r="K183" i="7"/>
  <c r="J183" i="7" s="1"/>
  <c r="K184" i="7"/>
  <c r="J184" i="7" s="1"/>
  <c r="K185" i="7"/>
  <c r="J185" i="7" s="1"/>
  <c r="K186" i="7"/>
  <c r="J186" i="7" s="1"/>
  <c r="K187" i="7"/>
  <c r="J187" i="7" s="1"/>
  <c r="K188" i="7"/>
  <c r="J188" i="7" s="1"/>
  <c r="K189" i="7"/>
  <c r="J189" i="7" s="1"/>
  <c r="K190" i="7"/>
  <c r="J190" i="7" s="1"/>
  <c r="K191" i="7"/>
  <c r="J191" i="7" s="1"/>
  <c r="K192" i="7"/>
  <c r="J192" i="7" s="1"/>
  <c r="K193" i="7"/>
  <c r="J193" i="7" s="1"/>
  <c r="K194" i="7"/>
  <c r="J194" i="7" s="1"/>
  <c r="K195" i="7"/>
  <c r="J195" i="7" s="1"/>
  <c r="K196" i="7"/>
  <c r="J196" i="7" s="1"/>
  <c r="K197" i="7"/>
  <c r="J197" i="7" s="1"/>
  <c r="K198" i="7"/>
  <c r="J198" i="7" s="1"/>
  <c r="K199" i="7"/>
  <c r="J199" i="7" s="1"/>
  <c r="K200" i="7"/>
  <c r="J200" i="7" s="1"/>
  <c r="K201" i="7"/>
  <c r="J201" i="7" s="1"/>
  <c r="K202" i="7"/>
  <c r="J202" i="7" s="1"/>
  <c r="K203" i="7"/>
  <c r="J203" i="7" s="1"/>
  <c r="K204" i="7"/>
  <c r="J204" i="7" s="1"/>
  <c r="K205" i="7"/>
  <c r="J205" i="7" s="1"/>
  <c r="K206" i="7"/>
  <c r="J206" i="7" s="1"/>
  <c r="K207" i="7"/>
  <c r="J207" i="7" s="1"/>
  <c r="K208" i="7"/>
  <c r="J208" i="7" s="1"/>
  <c r="K209" i="7"/>
  <c r="J209" i="7" s="1"/>
  <c r="K210" i="7"/>
  <c r="J210" i="7" s="1"/>
  <c r="K211" i="7"/>
  <c r="J211" i="7" s="1"/>
  <c r="K212" i="7"/>
  <c r="J212" i="7" s="1"/>
  <c r="K213" i="7"/>
  <c r="J213" i="7" s="1"/>
  <c r="K214" i="7"/>
  <c r="J214" i="7" s="1"/>
  <c r="K215" i="7"/>
  <c r="J215" i="7" s="1"/>
  <c r="K216" i="7"/>
  <c r="J216" i="7" s="1"/>
  <c r="K217" i="7"/>
  <c r="J217" i="7" s="1"/>
  <c r="K218" i="7"/>
  <c r="J218" i="7" s="1"/>
  <c r="K219" i="7"/>
  <c r="J219" i="7" s="1"/>
  <c r="K220" i="7"/>
  <c r="J220" i="7" s="1"/>
  <c r="K221" i="7"/>
  <c r="J221" i="7" s="1"/>
  <c r="K222" i="7"/>
  <c r="J222" i="7" s="1"/>
  <c r="K223" i="7"/>
  <c r="J223" i="7" s="1"/>
  <c r="K224" i="7"/>
  <c r="J224" i="7" s="1"/>
  <c r="K225" i="7"/>
  <c r="J225" i="7" s="1"/>
  <c r="K226" i="7"/>
  <c r="J226" i="7" s="1"/>
  <c r="K227" i="7"/>
  <c r="J227" i="7" s="1"/>
  <c r="K228" i="7"/>
  <c r="J228" i="7" s="1"/>
  <c r="K229" i="7"/>
  <c r="J229" i="7" s="1"/>
  <c r="K230" i="7"/>
  <c r="J230" i="7" s="1"/>
  <c r="K231" i="7"/>
  <c r="J231" i="7" s="1"/>
  <c r="K232" i="7"/>
  <c r="J232" i="7" s="1"/>
  <c r="K233" i="7"/>
  <c r="J233" i="7" s="1"/>
  <c r="K234" i="7"/>
  <c r="J234" i="7" s="1"/>
  <c r="K235" i="7"/>
  <c r="J235" i="7" s="1"/>
  <c r="K236" i="7"/>
  <c r="J236" i="7" s="1"/>
  <c r="K237" i="7"/>
  <c r="J237" i="7" s="1"/>
  <c r="K238" i="7"/>
  <c r="J238" i="7" s="1"/>
  <c r="K239" i="7"/>
  <c r="J239" i="7" s="1"/>
  <c r="K240" i="7"/>
  <c r="J240" i="7" s="1"/>
  <c r="K241" i="7"/>
  <c r="J241" i="7" s="1"/>
  <c r="K242" i="7"/>
  <c r="J242" i="7" s="1"/>
  <c r="K243" i="7"/>
  <c r="J243" i="7" s="1"/>
  <c r="K244" i="7"/>
  <c r="J244" i="7" s="1"/>
  <c r="K245" i="7"/>
  <c r="J245" i="7" s="1"/>
  <c r="K246" i="7"/>
  <c r="J246" i="7" s="1"/>
  <c r="K247" i="7"/>
  <c r="J247" i="7" s="1"/>
  <c r="K248" i="7"/>
  <c r="J248" i="7" s="1"/>
  <c r="K249" i="7"/>
  <c r="J249" i="7" s="1"/>
  <c r="K250" i="7"/>
  <c r="J250" i="7" s="1"/>
  <c r="K251" i="7"/>
  <c r="J251" i="7" s="1"/>
  <c r="K252" i="7"/>
  <c r="J252" i="7" s="1"/>
  <c r="K253" i="7"/>
  <c r="J253" i="7" s="1"/>
  <c r="K254" i="7"/>
  <c r="J254" i="7" s="1"/>
  <c r="K255" i="7"/>
  <c r="J255" i="7" s="1"/>
  <c r="K256" i="7"/>
  <c r="J256" i="7" s="1"/>
  <c r="K257" i="7"/>
  <c r="J257" i="7" s="1"/>
  <c r="K258" i="7"/>
  <c r="J258" i="7" s="1"/>
  <c r="K259" i="7"/>
  <c r="J259" i="7" s="1"/>
  <c r="K260" i="7"/>
  <c r="J260" i="7" s="1"/>
  <c r="K261" i="7"/>
  <c r="J261" i="7" s="1"/>
  <c r="K262" i="7"/>
  <c r="J262" i="7" s="1"/>
  <c r="K263" i="7"/>
  <c r="J263" i="7" s="1"/>
  <c r="K264" i="7"/>
  <c r="J264" i="7" s="1"/>
  <c r="K265" i="7"/>
  <c r="J265" i="7" s="1"/>
  <c r="K266" i="7"/>
  <c r="J266" i="7" s="1"/>
  <c r="K267" i="7"/>
  <c r="J267" i="7" s="1"/>
  <c r="K268" i="7"/>
  <c r="J268" i="7" s="1"/>
  <c r="K269" i="7"/>
  <c r="J269" i="7" s="1"/>
  <c r="K270" i="7"/>
  <c r="J270" i="7" s="1"/>
  <c r="K271" i="7"/>
  <c r="J271" i="7" s="1"/>
  <c r="K272" i="7"/>
  <c r="J272" i="7" s="1"/>
  <c r="K273" i="7"/>
  <c r="J273" i="7" s="1"/>
  <c r="K274" i="7"/>
  <c r="J274" i="7" s="1"/>
  <c r="K275" i="7"/>
  <c r="J275" i="7" s="1"/>
  <c r="K276" i="7"/>
  <c r="J276" i="7" s="1"/>
  <c r="K277" i="7"/>
  <c r="J277" i="7" s="1"/>
  <c r="K278" i="7"/>
  <c r="J278" i="7" s="1"/>
  <c r="K279" i="7"/>
  <c r="J279" i="7" s="1"/>
  <c r="K280" i="7"/>
  <c r="J280" i="7" s="1"/>
  <c r="K281" i="7"/>
  <c r="J281" i="7" s="1"/>
  <c r="K282" i="7"/>
  <c r="J282" i="7" s="1"/>
  <c r="K283" i="7"/>
  <c r="J283" i="7" s="1"/>
  <c r="K284" i="7"/>
  <c r="J284" i="7" s="1"/>
  <c r="K285" i="7"/>
  <c r="J285" i="7" s="1"/>
  <c r="K286" i="7"/>
  <c r="J286" i="7" s="1"/>
  <c r="K287" i="7"/>
  <c r="J287" i="7" s="1"/>
  <c r="K288" i="7"/>
  <c r="J288" i="7" s="1"/>
  <c r="K289" i="7"/>
  <c r="J289" i="7" s="1"/>
  <c r="K290" i="7"/>
  <c r="J290" i="7" s="1"/>
  <c r="K291" i="7"/>
  <c r="J291" i="7" s="1"/>
  <c r="K292" i="7"/>
  <c r="J292" i="7" s="1"/>
  <c r="K293" i="7"/>
  <c r="J293" i="7" s="1"/>
  <c r="K294" i="7"/>
  <c r="J294" i="7" s="1"/>
  <c r="K295" i="7"/>
  <c r="J295" i="7" s="1"/>
  <c r="K296" i="7"/>
  <c r="J296" i="7" s="1"/>
  <c r="K297" i="7"/>
  <c r="J297" i="7" s="1"/>
  <c r="K298" i="7"/>
  <c r="J298" i="7" s="1"/>
  <c r="K299" i="7"/>
  <c r="J299" i="7" s="1"/>
  <c r="K300" i="7"/>
  <c r="J300" i="7" s="1"/>
  <c r="K301" i="7"/>
  <c r="J301" i="7" s="1"/>
  <c r="K302" i="7"/>
  <c r="J302" i="7" s="1"/>
  <c r="K303" i="7"/>
  <c r="J303" i="7" s="1"/>
  <c r="K304" i="7"/>
  <c r="J304" i="7" s="1"/>
  <c r="K305" i="7"/>
  <c r="J305" i="7" s="1"/>
  <c r="K306" i="7"/>
  <c r="J306" i="7" s="1"/>
  <c r="K307" i="7"/>
  <c r="J307" i="7" s="1"/>
  <c r="K308" i="7"/>
  <c r="J308" i="7" s="1"/>
  <c r="K309" i="7"/>
  <c r="J309" i="7" s="1"/>
  <c r="K310" i="7"/>
  <c r="J310" i="7" s="1"/>
  <c r="K311" i="7"/>
  <c r="J311" i="7" s="1"/>
  <c r="K312" i="7"/>
  <c r="J312" i="7" s="1"/>
  <c r="K313" i="7"/>
  <c r="J313" i="7" s="1"/>
  <c r="K314" i="7"/>
  <c r="J314" i="7" s="1"/>
  <c r="K315" i="7"/>
  <c r="J315" i="7" s="1"/>
  <c r="K316" i="7"/>
  <c r="J316" i="7" s="1"/>
  <c r="K317" i="7"/>
  <c r="J317" i="7" s="1"/>
  <c r="K318" i="7"/>
  <c r="J318" i="7" s="1"/>
  <c r="K319" i="7"/>
  <c r="J319" i="7" s="1"/>
  <c r="K320" i="7"/>
  <c r="J320" i="7" s="1"/>
  <c r="K321" i="7"/>
  <c r="J321" i="7" s="1"/>
  <c r="K322" i="7"/>
  <c r="J322" i="7" s="1"/>
  <c r="K323" i="7"/>
  <c r="J323" i="7" s="1"/>
  <c r="K324" i="7"/>
  <c r="J324" i="7" s="1"/>
  <c r="K325" i="7"/>
  <c r="J325" i="7" s="1"/>
  <c r="K326" i="7"/>
  <c r="J326" i="7" s="1"/>
  <c r="K327" i="7"/>
  <c r="J327" i="7" s="1"/>
  <c r="K328" i="7"/>
  <c r="J328" i="7" s="1"/>
  <c r="K329" i="7"/>
  <c r="J329" i="7" s="1"/>
  <c r="K330" i="7"/>
  <c r="J330" i="7" s="1"/>
  <c r="K331" i="7"/>
  <c r="J331" i="7" s="1"/>
  <c r="K332" i="7"/>
  <c r="J332" i="7" s="1"/>
  <c r="K333" i="7"/>
  <c r="J333" i="7" s="1"/>
  <c r="K334" i="7"/>
  <c r="J334" i="7" s="1"/>
  <c r="K335" i="7"/>
  <c r="J335" i="7" s="1"/>
  <c r="K336" i="7"/>
  <c r="J336" i="7" s="1"/>
  <c r="K337" i="7"/>
  <c r="J337" i="7" s="1"/>
  <c r="K338" i="7"/>
  <c r="J338" i="7" s="1"/>
  <c r="K339" i="7"/>
  <c r="J339" i="7" s="1"/>
  <c r="K340" i="7"/>
  <c r="J340" i="7" s="1"/>
  <c r="K341" i="7"/>
  <c r="J341" i="7" s="1"/>
  <c r="K342" i="7"/>
  <c r="J342" i="7" s="1"/>
  <c r="K343" i="7"/>
  <c r="J343" i="7" s="1"/>
  <c r="K344" i="7"/>
  <c r="J344" i="7" s="1"/>
  <c r="K345" i="7"/>
  <c r="J345" i="7" s="1"/>
  <c r="K346" i="7"/>
  <c r="J346" i="7" s="1"/>
  <c r="K347" i="7"/>
  <c r="J347" i="7" s="1"/>
  <c r="K348" i="7"/>
  <c r="J348" i="7" s="1"/>
  <c r="K349" i="7"/>
  <c r="J349" i="7" s="1"/>
  <c r="K350" i="7"/>
  <c r="J350" i="7" s="1"/>
  <c r="K351" i="7"/>
  <c r="J351" i="7" s="1"/>
  <c r="K352" i="7"/>
  <c r="J352" i="7" s="1"/>
  <c r="K353" i="7"/>
  <c r="J353" i="7" s="1"/>
  <c r="K354" i="7"/>
  <c r="J354" i="7" s="1"/>
  <c r="K355" i="7"/>
  <c r="J355" i="7" s="1"/>
  <c r="K356" i="7"/>
  <c r="J356" i="7" s="1"/>
  <c r="K357" i="7"/>
  <c r="J357" i="7" s="1"/>
  <c r="K358" i="7"/>
  <c r="J358" i="7" s="1"/>
  <c r="K359" i="7"/>
  <c r="J359" i="7" s="1"/>
  <c r="K360" i="7"/>
  <c r="J360" i="7" s="1"/>
  <c r="K361" i="7"/>
  <c r="J361" i="7" s="1"/>
  <c r="K362" i="7"/>
  <c r="J362" i="7" s="1"/>
  <c r="K363" i="7"/>
  <c r="J363" i="7" s="1"/>
  <c r="K364" i="7"/>
  <c r="J364" i="7" s="1"/>
  <c r="K365" i="7"/>
  <c r="J365" i="7" s="1"/>
  <c r="K366" i="7"/>
  <c r="J366" i="7" s="1"/>
  <c r="K367" i="7"/>
  <c r="J367" i="7" s="1"/>
  <c r="K368" i="7"/>
  <c r="J368" i="7" s="1"/>
  <c r="K369" i="7"/>
  <c r="J369" i="7" s="1"/>
  <c r="K370" i="7"/>
  <c r="J370" i="7" s="1"/>
  <c r="K371" i="7"/>
  <c r="J371" i="7" s="1"/>
  <c r="K372" i="7"/>
  <c r="J372" i="7" s="1"/>
  <c r="K373" i="7"/>
  <c r="J373" i="7" s="1"/>
  <c r="K374" i="7"/>
  <c r="J374" i="7" s="1"/>
  <c r="K375" i="7"/>
  <c r="J375" i="7" s="1"/>
  <c r="K376" i="7"/>
  <c r="J376" i="7" s="1"/>
  <c r="K377" i="7"/>
  <c r="J377" i="7" s="1"/>
  <c r="K378" i="7"/>
  <c r="J378" i="7" s="1"/>
  <c r="K379" i="7"/>
  <c r="J379" i="7" s="1"/>
  <c r="K380" i="7"/>
  <c r="J380" i="7" s="1"/>
  <c r="K381" i="7"/>
  <c r="J381" i="7" s="1"/>
  <c r="K382" i="7"/>
  <c r="J382" i="7" s="1"/>
  <c r="K383" i="7"/>
  <c r="J383" i="7" s="1"/>
  <c r="K384" i="7"/>
  <c r="J384" i="7" s="1"/>
  <c r="K385" i="7"/>
  <c r="J385" i="7" s="1"/>
  <c r="K386" i="7"/>
  <c r="J386" i="7" s="1"/>
  <c r="K387" i="7"/>
  <c r="J387" i="7" s="1"/>
  <c r="K388" i="7"/>
  <c r="J388" i="7" s="1"/>
  <c r="K389" i="7"/>
  <c r="J389" i="7" s="1"/>
  <c r="K390" i="7"/>
  <c r="J390" i="7" s="1"/>
  <c r="K391" i="7"/>
  <c r="J391" i="7" s="1"/>
  <c r="K392" i="7"/>
  <c r="J392" i="7" s="1"/>
  <c r="K393" i="7"/>
  <c r="J393" i="7" s="1"/>
  <c r="K394" i="7"/>
  <c r="J394" i="7" s="1"/>
  <c r="K395" i="7"/>
  <c r="J395" i="7" s="1"/>
  <c r="AA496" i="7"/>
  <c r="Z496" i="7" s="1"/>
  <c r="AP497" i="7"/>
  <c r="AA499" i="7"/>
  <c r="Z499" i="7" s="1"/>
  <c r="AP500" i="7"/>
  <c r="AA502" i="7"/>
  <c r="Z502" i="7" s="1"/>
  <c r="AP503" i="7"/>
  <c r="AA505" i="7"/>
  <c r="Z505" i="7" s="1"/>
  <c r="AP506" i="7"/>
  <c r="AA508" i="7"/>
  <c r="Z508" i="7" s="1"/>
  <c r="AP509" i="7"/>
  <c r="AA511" i="7"/>
  <c r="Z511" i="7" s="1"/>
  <c r="AP512" i="7"/>
  <c r="AA514" i="7"/>
  <c r="Z514" i="7" s="1"/>
  <c r="AA517" i="7"/>
  <c r="Z517" i="7" s="1"/>
  <c r="AP518" i="7"/>
  <c r="AA520" i="7"/>
  <c r="Z520" i="7" s="1"/>
  <c r="AP521" i="7"/>
  <c r="AA523" i="7"/>
  <c r="Z523" i="7" s="1"/>
  <c r="AP524" i="7"/>
  <c r="AA526" i="7"/>
  <c r="Z526" i="7" s="1"/>
  <c r="AP527" i="7"/>
  <c r="AA529" i="7"/>
  <c r="Z529" i="7" s="1"/>
  <c r="R530" i="7"/>
  <c r="R533" i="7"/>
  <c r="AP534" i="7"/>
  <c r="R536" i="7"/>
  <c r="R539" i="7"/>
  <c r="AP540" i="7"/>
  <c r="R542" i="7"/>
  <c r="R545" i="7"/>
  <c r="AP546" i="7"/>
  <c r="R548" i="7"/>
  <c r="R551" i="7"/>
  <c r="AP552" i="7"/>
  <c r="R554" i="7"/>
  <c r="R557" i="7"/>
  <c r="AP558" i="7"/>
  <c r="R560" i="7"/>
  <c r="R563" i="7"/>
  <c r="AP564" i="7"/>
  <c r="R566" i="7"/>
  <c r="R569" i="7"/>
  <c r="AP570" i="7"/>
  <c r="R572" i="7"/>
  <c r="R575" i="7"/>
  <c r="AP576" i="7"/>
  <c r="R578" i="7"/>
  <c r="R581" i="7"/>
  <c r="AP582" i="7"/>
  <c r="R584" i="7"/>
  <c r="R587" i="7"/>
  <c r="AP588" i="7"/>
  <c r="R590" i="7"/>
  <c r="R593" i="7"/>
  <c r="AP594" i="7"/>
  <c r="R596" i="7"/>
  <c r="AP597" i="7"/>
  <c r="R599" i="7"/>
  <c r="AP600" i="7"/>
  <c r="R602" i="7"/>
  <c r="AP603" i="7"/>
  <c r="R605" i="7"/>
  <c r="AP606" i="7"/>
  <c r="C610" i="7"/>
  <c r="D610" i="7"/>
  <c r="C197" i="7"/>
  <c r="B197" i="7" s="1"/>
  <c r="C198" i="7"/>
  <c r="B198" i="7" s="1"/>
  <c r="C199" i="7"/>
  <c r="B199" i="7" s="1"/>
  <c r="C200" i="7"/>
  <c r="B200" i="7" s="1"/>
  <c r="C201" i="7"/>
  <c r="B201" i="7" s="1"/>
  <c r="C202" i="7"/>
  <c r="B202" i="7" s="1"/>
  <c r="C203" i="7"/>
  <c r="B203" i="7" s="1"/>
  <c r="C204" i="7"/>
  <c r="B204" i="7" s="1"/>
  <c r="C205" i="7"/>
  <c r="B205" i="7" s="1"/>
  <c r="C206" i="7"/>
  <c r="B206" i="7" s="1"/>
  <c r="C207" i="7"/>
  <c r="B207" i="7" s="1"/>
  <c r="C208" i="7"/>
  <c r="B208" i="7" s="1"/>
  <c r="C209" i="7"/>
  <c r="B209" i="7" s="1"/>
  <c r="C210" i="7"/>
  <c r="B210" i="7" s="1"/>
  <c r="C211" i="7"/>
  <c r="B211" i="7" s="1"/>
  <c r="C212" i="7"/>
  <c r="B212" i="7" s="1"/>
  <c r="C213" i="7"/>
  <c r="B213" i="7" s="1"/>
  <c r="C214" i="7"/>
  <c r="B214" i="7" s="1"/>
  <c r="C215" i="7"/>
  <c r="B215" i="7" s="1"/>
  <c r="C216" i="7"/>
  <c r="B216" i="7" s="1"/>
  <c r="C217" i="7"/>
  <c r="B217" i="7" s="1"/>
  <c r="C218" i="7"/>
  <c r="B218" i="7" s="1"/>
  <c r="C219" i="7"/>
  <c r="B219" i="7" s="1"/>
  <c r="C220" i="7"/>
  <c r="B220" i="7" s="1"/>
  <c r="C221" i="7"/>
  <c r="B221" i="7" s="1"/>
  <c r="C222" i="7"/>
  <c r="B222" i="7" s="1"/>
  <c r="C223" i="7"/>
  <c r="B223" i="7" s="1"/>
  <c r="C224" i="7"/>
  <c r="B224" i="7" s="1"/>
  <c r="C225" i="7"/>
  <c r="B225" i="7" s="1"/>
  <c r="C226" i="7"/>
  <c r="B226" i="7" s="1"/>
  <c r="C227" i="7"/>
  <c r="B227" i="7" s="1"/>
  <c r="C228" i="7"/>
  <c r="B228" i="7" s="1"/>
  <c r="C229" i="7"/>
  <c r="B229" i="7" s="1"/>
  <c r="C230" i="7"/>
  <c r="B230" i="7" s="1"/>
  <c r="C231" i="7"/>
  <c r="B231" i="7" s="1"/>
  <c r="C232" i="7"/>
  <c r="B232" i="7" s="1"/>
  <c r="C233" i="7"/>
  <c r="B233" i="7" s="1"/>
  <c r="C234" i="7"/>
  <c r="B234" i="7" s="1"/>
  <c r="C235" i="7"/>
  <c r="B235" i="7" s="1"/>
  <c r="C236" i="7"/>
  <c r="B236" i="7" s="1"/>
  <c r="C237" i="7"/>
  <c r="B237" i="7" s="1"/>
  <c r="C238" i="7"/>
  <c r="B238" i="7" s="1"/>
  <c r="C239" i="7"/>
  <c r="B239" i="7" s="1"/>
  <c r="C240" i="7"/>
  <c r="B240" i="7" s="1"/>
  <c r="C241" i="7"/>
  <c r="B241" i="7" s="1"/>
  <c r="C242" i="7"/>
  <c r="B242" i="7" s="1"/>
  <c r="C243" i="7"/>
  <c r="B243" i="7" s="1"/>
  <c r="C244" i="7"/>
  <c r="B244" i="7" s="1"/>
  <c r="C245" i="7"/>
  <c r="B245" i="7" s="1"/>
  <c r="C246" i="7"/>
  <c r="B246" i="7" s="1"/>
  <c r="C247" i="7"/>
  <c r="B247" i="7" s="1"/>
  <c r="C248" i="7"/>
  <c r="B248" i="7" s="1"/>
  <c r="C249" i="7"/>
  <c r="B249" i="7" s="1"/>
  <c r="C250" i="7"/>
  <c r="B250" i="7" s="1"/>
  <c r="C251" i="7"/>
  <c r="B251" i="7" s="1"/>
  <c r="C252" i="7"/>
  <c r="B252" i="7" s="1"/>
  <c r="C253" i="7"/>
  <c r="B253" i="7" s="1"/>
  <c r="C254" i="7"/>
  <c r="B254" i="7" s="1"/>
  <c r="C255" i="7"/>
  <c r="B255" i="7" s="1"/>
  <c r="C256" i="7"/>
  <c r="B256" i="7" s="1"/>
  <c r="C257" i="7"/>
  <c r="B257" i="7" s="1"/>
  <c r="C258" i="7"/>
  <c r="B258" i="7" s="1"/>
  <c r="C259" i="7"/>
  <c r="B259" i="7" s="1"/>
  <c r="C260" i="7"/>
  <c r="B260" i="7" s="1"/>
  <c r="C261" i="7"/>
  <c r="B261" i="7" s="1"/>
  <c r="C262" i="7"/>
  <c r="B262" i="7" s="1"/>
  <c r="C263" i="7"/>
  <c r="B263" i="7" s="1"/>
  <c r="C264" i="7"/>
  <c r="B264" i="7" s="1"/>
  <c r="C265" i="7"/>
  <c r="B265" i="7" s="1"/>
  <c r="C266" i="7"/>
  <c r="B266" i="7" s="1"/>
  <c r="C267" i="7"/>
  <c r="B267" i="7" s="1"/>
  <c r="C268" i="7"/>
  <c r="B268" i="7" s="1"/>
  <c r="C269" i="7"/>
  <c r="B269" i="7" s="1"/>
  <c r="C270" i="7"/>
  <c r="B270" i="7" s="1"/>
  <c r="C271" i="7"/>
  <c r="B271" i="7" s="1"/>
  <c r="C272" i="7"/>
  <c r="B272" i="7" s="1"/>
  <c r="C273" i="7"/>
  <c r="B273" i="7" s="1"/>
  <c r="C274" i="7"/>
  <c r="B274" i="7" s="1"/>
  <c r="C275" i="7"/>
  <c r="B275" i="7" s="1"/>
  <c r="C276" i="7"/>
  <c r="B276" i="7" s="1"/>
  <c r="C277" i="7"/>
  <c r="B277" i="7" s="1"/>
  <c r="C278" i="7"/>
  <c r="B278" i="7" s="1"/>
  <c r="C279" i="7"/>
  <c r="B279" i="7" s="1"/>
  <c r="C280" i="7"/>
  <c r="B280" i="7" s="1"/>
  <c r="C281" i="7"/>
  <c r="B281" i="7" s="1"/>
  <c r="C282" i="7"/>
  <c r="B282" i="7" s="1"/>
  <c r="C283" i="7"/>
  <c r="B283" i="7" s="1"/>
  <c r="C284" i="7"/>
  <c r="B284" i="7" s="1"/>
  <c r="C285" i="7"/>
  <c r="B285" i="7" s="1"/>
  <c r="C286" i="7"/>
  <c r="B286" i="7" s="1"/>
  <c r="C287" i="7"/>
  <c r="B287" i="7" s="1"/>
  <c r="C288" i="7"/>
  <c r="B288" i="7" s="1"/>
  <c r="C289" i="7"/>
  <c r="B289" i="7" s="1"/>
  <c r="C290" i="7"/>
  <c r="B290" i="7" s="1"/>
  <c r="C291" i="7"/>
  <c r="B291" i="7" s="1"/>
  <c r="C292" i="7"/>
  <c r="B292" i="7" s="1"/>
  <c r="C293" i="7"/>
  <c r="B293" i="7" s="1"/>
  <c r="C294" i="7"/>
  <c r="B294" i="7" s="1"/>
  <c r="C295" i="7"/>
  <c r="B295" i="7" s="1"/>
  <c r="C296" i="7"/>
  <c r="B296" i="7" s="1"/>
  <c r="C297" i="7"/>
  <c r="B297" i="7" s="1"/>
  <c r="C298" i="7"/>
  <c r="B298" i="7" s="1"/>
  <c r="C299" i="7"/>
  <c r="B299" i="7" s="1"/>
  <c r="C300" i="7"/>
  <c r="B300" i="7" s="1"/>
  <c r="C301" i="7"/>
  <c r="B301" i="7" s="1"/>
  <c r="C302" i="7"/>
  <c r="B302" i="7" s="1"/>
  <c r="C303" i="7"/>
  <c r="B303" i="7" s="1"/>
  <c r="C304" i="7"/>
  <c r="B304" i="7" s="1"/>
  <c r="C305" i="7"/>
  <c r="B305" i="7" s="1"/>
  <c r="C306" i="7"/>
  <c r="B306" i="7" s="1"/>
  <c r="C307" i="7"/>
  <c r="B307" i="7" s="1"/>
  <c r="C308" i="7"/>
  <c r="B308" i="7" s="1"/>
  <c r="C309" i="7"/>
  <c r="B309" i="7" s="1"/>
  <c r="C310" i="7"/>
  <c r="B310" i="7" s="1"/>
  <c r="C311" i="7"/>
  <c r="B311" i="7" s="1"/>
  <c r="C312" i="7"/>
  <c r="B312" i="7" s="1"/>
  <c r="C313" i="7"/>
  <c r="B313" i="7" s="1"/>
  <c r="C314" i="7"/>
  <c r="B314" i="7" s="1"/>
  <c r="C315" i="7"/>
  <c r="B315" i="7" s="1"/>
  <c r="C316" i="7"/>
  <c r="B316" i="7" s="1"/>
  <c r="C317" i="7"/>
  <c r="B317" i="7" s="1"/>
  <c r="C318" i="7"/>
  <c r="B318" i="7" s="1"/>
  <c r="C319" i="7"/>
  <c r="B319" i="7" s="1"/>
  <c r="C320" i="7"/>
  <c r="B320" i="7" s="1"/>
  <c r="C321" i="7"/>
  <c r="B321" i="7" s="1"/>
  <c r="C322" i="7"/>
  <c r="B322" i="7" s="1"/>
  <c r="C323" i="7"/>
  <c r="B323" i="7" s="1"/>
  <c r="C324" i="7"/>
  <c r="B324" i="7" s="1"/>
  <c r="C325" i="7"/>
  <c r="B325" i="7" s="1"/>
  <c r="C326" i="7"/>
  <c r="B326" i="7" s="1"/>
  <c r="C327" i="7"/>
  <c r="B327" i="7" s="1"/>
  <c r="C328" i="7"/>
  <c r="B328" i="7" s="1"/>
  <c r="C329" i="7"/>
  <c r="B329" i="7" s="1"/>
  <c r="C330" i="7"/>
  <c r="B330" i="7" s="1"/>
  <c r="C331" i="7"/>
  <c r="B331" i="7" s="1"/>
  <c r="C332" i="7"/>
  <c r="B332" i="7" s="1"/>
  <c r="C333" i="7"/>
  <c r="B333" i="7" s="1"/>
  <c r="C334" i="7"/>
  <c r="B334" i="7" s="1"/>
  <c r="C335" i="7"/>
  <c r="B335" i="7" s="1"/>
  <c r="C336" i="7"/>
  <c r="B336" i="7" s="1"/>
  <c r="C337" i="7"/>
  <c r="B337" i="7" s="1"/>
  <c r="C338" i="7"/>
  <c r="B338" i="7" s="1"/>
  <c r="C339" i="7"/>
  <c r="B339" i="7" s="1"/>
  <c r="C340" i="7"/>
  <c r="B340" i="7" s="1"/>
  <c r="C341" i="7"/>
  <c r="B341" i="7" s="1"/>
  <c r="C342" i="7"/>
  <c r="B342" i="7" s="1"/>
  <c r="C343" i="7"/>
  <c r="B343" i="7" s="1"/>
  <c r="C344" i="7"/>
  <c r="B344" i="7" s="1"/>
  <c r="C345" i="7"/>
  <c r="B345" i="7" s="1"/>
  <c r="C346" i="7"/>
  <c r="B346" i="7" s="1"/>
  <c r="C347" i="7"/>
  <c r="B347" i="7" s="1"/>
  <c r="C348" i="7"/>
  <c r="B348" i="7" s="1"/>
  <c r="C349" i="7"/>
  <c r="B349" i="7" s="1"/>
  <c r="C350" i="7"/>
  <c r="B350" i="7" s="1"/>
  <c r="C351" i="7"/>
  <c r="B351" i="7" s="1"/>
  <c r="C352" i="7"/>
  <c r="B352" i="7" s="1"/>
  <c r="C353" i="7"/>
  <c r="B353" i="7" s="1"/>
  <c r="C354" i="7"/>
  <c r="B354" i="7" s="1"/>
  <c r="C355" i="7"/>
  <c r="B355" i="7" s="1"/>
  <c r="C356" i="7"/>
  <c r="B356" i="7" s="1"/>
  <c r="C357" i="7"/>
  <c r="B357" i="7" s="1"/>
  <c r="C358" i="7"/>
  <c r="B358" i="7" s="1"/>
  <c r="C359" i="7"/>
  <c r="B359" i="7" s="1"/>
  <c r="C360" i="7"/>
  <c r="B360" i="7" s="1"/>
  <c r="C361" i="7"/>
  <c r="B361" i="7" s="1"/>
  <c r="C362" i="7"/>
  <c r="B362" i="7" s="1"/>
  <c r="C363" i="7"/>
  <c r="B363" i="7" s="1"/>
  <c r="C364" i="7"/>
  <c r="B364" i="7" s="1"/>
  <c r="C365" i="7"/>
  <c r="B365" i="7" s="1"/>
  <c r="C366" i="7"/>
  <c r="B366" i="7" s="1"/>
  <c r="C367" i="7"/>
  <c r="B367" i="7" s="1"/>
  <c r="C368" i="7"/>
  <c r="B368" i="7" s="1"/>
  <c r="C369" i="7"/>
  <c r="B369" i="7" s="1"/>
  <c r="C370" i="7"/>
  <c r="B370" i="7" s="1"/>
  <c r="C371" i="7"/>
  <c r="B371" i="7" s="1"/>
  <c r="C372" i="7"/>
  <c r="B372" i="7" s="1"/>
  <c r="C373" i="7"/>
  <c r="B373" i="7" s="1"/>
  <c r="C374" i="7"/>
  <c r="B374" i="7" s="1"/>
  <c r="C375" i="7"/>
  <c r="B375" i="7" s="1"/>
  <c r="C376" i="7"/>
  <c r="B376" i="7" s="1"/>
  <c r="C377" i="7"/>
  <c r="B377" i="7" s="1"/>
  <c r="C378" i="7"/>
  <c r="B378" i="7" s="1"/>
  <c r="C379" i="7"/>
  <c r="B379" i="7" s="1"/>
  <c r="C380" i="7"/>
  <c r="B380" i="7" s="1"/>
  <c r="C381" i="7"/>
  <c r="B381" i="7" s="1"/>
  <c r="C382" i="7"/>
  <c r="B382" i="7" s="1"/>
  <c r="C383" i="7"/>
  <c r="B383" i="7" s="1"/>
  <c r="C384" i="7"/>
  <c r="B384" i="7" s="1"/>
  <c r="C385" i="7"/>
  <c r="B385" i="7" s="1"/>
  <c r="C386" i="7"/>
  <c r="B386" i="7" s="1"/>
  <c r="C387" i="7"/>
  <c r="B387" i="7" s="1"/>
  <c r="C388" i="7"/>
  <c r="B388" i="7" s="1"/>
  <c r="C389" i="7"/>
  <c r="B389" i="7" s="1"/>
  <c r="C390" i="7"/>
  <c r="B390" i="7" s="1"/>
  <c r="C391" i="7"/>
  <c r="B391" i="7" s="1"/>
  <c r="C392" i="7"/>
  <c r="B392" i="7" s="1"/>
  <c r="C393" i="7"/>
  <c r="B393" i="7" s="1"/>
  <c r="C394" i="7"/>
  <c r="B394" i="7" s="1"/>
  <c r="C395" i="7"/>
  <c r="B395" i="7" s="1"/>
  <c r="C396" i="7"/>
  <c r="B396" i="7" s="1"/>
  <c r="AR396" i="7"/>
  <c r="AP396" i="7" s="1"/>
  <c r="AA397" i="7"/>
  <c r="Z397" i="7" s="1"/>
  <c r="AR398" i="7"/>
  <c r="AP398" i="7" s="1"/>
  <c r="AA399" i="7"/>
  <c r="Z399" i="7" s="1"/>
  <c r="AR400" i="7"/>
  <c r="AP400" i="7" s="1"/>
  <c r="AA401" i="7"/>
  <c r="Z401" i="7" s="1"/>
  <c r="AR402" i="7"/>
  <c r="AP402" i="7" s="1"/>
  <c r="AA403" i="7"/>
  <c r="Z403" i="7" s="1"/>
  <c r="AR404" i="7"/>
  <c r="AP404" i="7" s="1"/>
  <c r="AA405" i="7"/>
  <c r="Z405" i="7" s="1"/>
  <c r="AR406" i="7"/>
  <c r="AP406" i="7" s="1"/>
  <c r="AA407" i="7"/>
  <c r="Z407" i="7" s="1"/>
  <c r="AR408" i="7"/>
  <c r="AP408" i="7" s="1"/>
  <c r="AA409" i="7"/>
  <c r="Z409" i="7" s="1"/>
  <c r="AR410" i="7"/>
  <c r="AP410" i="7" s="1"/>
  <c r="AA411" i="7"/>
  <c r="Z411" i="7" s="1"/>
  <c r="AR412" i="7"/>
  <c r="AP412" i="7" s="1"/>
  <c r="AA413" i="7"/>
  <c r="Z413" i="7" s="1"/>
  <c r="AR414" i="7"/>
  <c r="AP414" i="7" s="1"/>
  <c r="AA415" i="7"/>
  <c r="Z415" i="7" s="1"/>
  <c r="AR416" i="7"/>
  <c r="AP416" i="7" s="1"/>
  <c r="AA417" i="7"/>
  <c r="Z417" i="7" s="1"/>
  <c r="C496" i="7"/>
  <c r="D496" i="7"/>
  <c r="AR496" i="7"/>
  <c r="AP496" i="7" s="1"/>
  <c r="AH497" i="7"/>
  <c r="C499" i="7"/>
  <c r="D499" i="7"/>
  <c r="AR499" i="7"/>
  <c r="AP499" i="7" s="1"/>
  <c r="C502" i="7"/>
  <c r="D502" i="7"/>
  <c r="AR502" i="7"/>
  <c r="AP502" i="7" s="1"/>
  <c r="C505" i="7"/>
  <c r="D505" i="7"/>
  <c r="AR505" i="7"/>
  <c r="AP505" i="7" s="1"/>
  <c r="AH506" i="7"/>
  <c r="C508" i="7"/>
  <c r="D508" i="7"/>
  <c r="AR508" i="7"/>
  <c r="AP508" i="7" s="1"/>
  <c r="AH509" i="7"/>
  <c r="C511" i="7"/>
  <c r="D511" i="7"/>
  <c r="AR511" i="7"/>
  <c r="AP511" i="7" s="1"/>
  <c r="AH512" i="7"/>
  <c r="C514" i="7"/>
  <c r="D514" i="7"/>
  <c r="AR514" i="7"/>
  <c r="AP514" i="7" s="1"/>
  <c r="AH515" i="7"/>
  <c r="C517" i="7"/>
  <c r="D517" i="7"/>
  <c r="AR517" i="7"/>
  <c r="AP517" i="7" s="1"/>
  <c r="AH518" i="7"/>
  <c r="C520" i="7"/>
  <c r="D520" i="7"/>
  <c r="AR520" i="7"/>
  <c r="AP520" i="7" s="1"/>
  <c r="C523" i="7"/>
  <c r="D523" i="7"/>
  <c r="AR523" i="7"/>
  <c r="AP523" i="7" s="1"/>
  <c r="AH524" i="7"/>
  <c r="C526" i="7"/>
  <c r="D526" i="7"/>
  <c r="AR526" i="7"/>
  <c r="AP526" i="7" s="1"/>
  <c r="AH527" i="7"/>
  <c r="C529" i="7"/>
  <c r="D529" i="7"/>
  <c r="C531" i="7"/>
  <c r="D531" i="7"/>
  <c r="AB532" i="7"/>
  <c r="AA532" i="7"/>
  <c r="C534" i="7"/>
  <c r="D534" i="7"/>
  <c r="AB535" i="7"/>
  <c r="AA535" i="7"/>
  <c r="C537" i="7"/>
  <c r="D537" i="7"/>
  <c r="AB538" i="7"/>
  <c r="AA538" i="7"/>
  <c r="C540" i="7"/>
  <c r="D540" i="7"/>
  <c r="AB541" i="7"/>
  <c r="AA541" i="7"/>
  <c r="C543" i="7"/>
  <c r="D543" i="7"/>
  <c r="AB544" i="7"/>
  <c r="AA544" i="7"/>
  <c r="C546" i="7"/>
  <c r="D546" i="7"/>
  <c r="AB547" i="7"/>
  <c r="AA547" i="7"/>
  <c r="C549" i="7"/>
  <c r="D549" i="7"/>
  <c r="AB550" i="7"/>
  <c r="AA550" i="7"/>
  <c r="C552" i="7"/>
  <c r="D552" i="7"/>
  <c r="AB553" i="7"/>
  <c r="AA553" i="7"/>
  <c r="C555" i="7"/>
  <c r="D555" i="7"/>
  <c r="AB556" i="7"/>
  <c r="AA556" i="7"/>
  <c r="C558" i="7"/>
  <c r="D558" i="7"/>
  <c r="AB559" i="7"/>
  <c r="AA559" i="7"/>
  <c r="C561" i="7"/>
  <c r="D561" i="7"/>
  <c r="AB562" i="7"/>
  <c r="AA562" i="7"/>
  <c r="C564" i="7"/>
  <c r="D564" i="7"/>
  <c r="AB565" i="7"/>
  <c r="AA565" i="7"/>
  <c r="C567" i="7"/>
  <c r="D567" i="7"/>
  <c r="AB568" i="7"/>
  <c r="AA568" i="7"/>
  <c r="C570" i="7"/>
  <c r="D570" i="7"/>
  <c r="AB571" i="7"/>
  <c r="AA571" i="7"/>
  <c r="C573" i="7"/>
  <c r="D573" i="7"/>
  <c r="AB574" i="7"/>
  <c r="AA574" i="7"/>
  <c r="C576" i="7"/>
  <c r="D576" i="7"/>
  <c r="AB577" i="7"/>
  <c r="AA577" i="7"/>
  <c r="C579" i="7"/>
  <c r="D579" i="7"/>
  <c r="AB580" i="7"/>
  <c r="AA580" i="7"/>
  <c r="C582" i="7"/>
  <c r="D582" i="7"/>
  <c r="AB583" i="7"/>
  <c r="AA583" i="7"/>
  <c r="C585" i="7"/>
  <c r="D585" i="7"/>
  <c r="AB586" i="7"/>
  <c r="AA586" i="7"/>
  <c r="C588" i="7"/>
  <c r="D588" i="7"/>
  <c r="AB589" i="7"/>
  <c r="AA589" i="7"/>
  <c r="C591" i="7"/>
  <c r="D591" i="7"/>
  <c r="AB592" i="7"/>
  <c r="AA592" i="7"/>
  <c r="C594" i="7"/>
  <c r="D594" i="7"/>
  <c r="AB595" i="7"/>
  <c r="AA595" i="7"/>
  <c r="C597" i="7"/>
  <c r="D597" i="7"/>
  <c r="AB598" i="7"/>
  <c r="AA598" i="7"/>
  <c r="C600" i="7"/>
  <c r="D600" i="7"/>
  <c r="AB601" i="7"/>
  <c r="AA601" i="7"/>
  <c r="C603" i="7"/>
  <c r="D603" i="7"/>
  <c r="AB604" i="7"/>
  <c r="AA604" i="7"/>
  <c r="C606" i="7"/>
  <c r="D606" i="7"/>
  <c r="AB607" i="7"/>
  <c r="AA607" i="7"/>
  <c r="AH396" i="7"/>
  <c r="C398" i="7"/>
  <c r="B398" i="7" s="1"/>
  <c r="AH398" i="7"/>
  <c r="C400" i="7"/>
  <c r="B400" i="7" s="1"/>
  <c r="AH400" i="7"/>
  <c r="C402" i="7"/>
  <c r="B402" i="7" s="1"/>
  <c r="AH402" i="7"/>
  <c r="C404" i="7"/>
  <c r="B404" i="7" s="1"/>
  <c r="AH404" i="7"/>
  <c r="C406" i="7"/>
  <c r="B406" i="7" s="1"/>
  <c r="AH406" i="7"/>
  <c r="C408" i="7"/>
  <c r="B408" i="7" s="1"/>
  <c r="AH408" i="7"/>
  <c r="C410" i="7"/>
  <c r="B410" i="7" s="1"/>
  <c r="AH410" i="7"/>
  <c r="C412" i="7"/>
  <c r="B412" i="7" s="1"/>
  <c r="AH412" i="7"/>
  <c r="C414" i="7"/>
  <c r="B414" i="7" s="1"/>
  <c r="AH414" i="7"/>
  <c r="C416" i="7"/>
  <c r="B416" i="7" s="1"/>
  <c r="AH416" i="7"/>
  <c r="C418" i="7"/>
  <c r="B418" i="7" s="1"/>
  <c r="AA418" i="7"/>
  <c r="Z418" i="7" s="1"/>
  <c r="C419" i="7"/>
  <c r="B419" i="7" s="1"/>
  <c r="AA419" i="7"/>
  <c r="Z419" i="7" s="1"/>
  <c r="C420" i="7"/>
  <c r="B420" i="7" s="1"/>
  <c r="AA420" i="7"/>
  <c r="Z420" i="7" s="1"/>
  <c r="C421" i="7"/>
  <c r="B421" i="7" s="1"/>
  <c r="AA421" i="7"/>
  <c r="Z421" i="7" s="1"/>
  <c r="C422" i="7"/>
  <c r="B422" i="7" s="1"/>
  <c r="AA422" i="7"/>
  <c r="Z422" i="7" s="1"/>
  <c r="C423" i="7"/>
  <c r="B423" i="7" s="1"/>
  <c r="AA423" i="7"/>
  <c r="Z423" i="7" s="1"/>
  <c r="C424" i="7"/>
  <c r="B424" i="7" s="1"/>
  <c r="AA424" i="7"/>
  <c r="Z424" i="7" s="1"/>
  <c r="C425" i="7"/>
  <c r="B425" i="7" s="1"/>
  <c r="AA425" i="7"/>
  <c r="Z425" i="7" s="1"/>
  <c r="C426" i="7"/>
  <c r="B426" i="7" s="1"/>
  <c r="AA426" i="7"/>
  <c r="Z426" i="7" s="1"/>
  <c r="C427" i="7"/>
  <c r="B427" i="7" s="1"/>
  <c r="AA427" i="7"/>
  <c r="Z427" i="7" s="1"/>
  <c r="C428" i="7"/>
  <c r="B428" i="7" s="1"/>
  <c r="AA428" i="7"/>
  <c r="Z428" i="7" s="1"/>
  <c r="C429" i="7"/>
  <c r="B429" i="7" s="1"/>
  <c r="AA429" i="7"/>
  <c r="Z429" i="7" s="1"/>
  <c r="C430" i="7"/>
  <c r="B430" i="7" s="1"/>
  <c r="AA430" i="7"/>
  <c r="Z430" i="7" s="1"/>
  <c r="C431" i="7"/>
  <c r="B431" i="7" s="1"/>
  <c r="AA431" i="7"/>
  <c r="Z431" i="7" s="1"/>
  <c r="C432" i="7"/>
  <c r="B432" i="7" s="1"/>
  <c r="AA432" i="7"/>
  <c r="Z432" i="7" s="1"/>
  <c r="C433" i="7"/>
  <c r="B433" i="7" s="1"/>
  <c r="AA433" i="7"/>
  <c r="Z433" i="7" s="1"/>
  <c r="C434" i="7"/>
  <c r="B434" i="7" s="1"/>
  <c r="AA434" i="7"/>
  <c r="Z434" i="7" s="1"/>
  <c r="C435" i="7"/>
  <c r="B435" i="7" s="1"/>
  <c r="AA435" i="7"/>
  <c r="Z435" i="7" s="1"/>
  <c r="C436" i="7"/>
  <c r="B436" i="7" s="1"/>
  <c r="AA436" i="7"/>
  <c r="Z436" i="7" s="1"/>
  <c r="C437" i="7"/>
  <c r="B437" i="7" s="1"/>
  <c r="AA437" i="7"/>
  <c r="Z437" i="7" s="1"/>
  <c r="C498" i="7"/>
  <c r="D498" i="7"/>
  <c r="C501" i="7"/>
  <c r="D501" i="7"/>
  <c r="C504" i="7"/>
  <c r="D504" i="7"/>
  <c r="C507" i="7"/>
  <c r="D507" i="7"/>
  <c r="C510" i="7"/>
  <c r="D510" i="7"/>
  <c r="C513" i="7"/>
  <c r="D513" i="7"/>
  <c r="C516" i="7"/>
  <c r="D516" i="7"/>
  <c r="C519" i="7"/>
  <c r="D519" i="7"/>
  <c r="C522" i="7"/>
  <c r="D522" i="7"/>
  <c r="C525" i="7"/>
  <c r="D525" i="7"/>
  <c r="C528" i="7"/>
  <c r="D528" i="7"/>
  <c r="AB530" i="7"/>
  <c r="AA530" i="7"/>
  <c r="C532" i="7"/>
  <c r="D532" i="7"/>
  <c r="AB533" i="7"/>
  <c r="AA533" i="7"/>
  <c r="C535" i="7"/>
  <c r="D535" i="7"/>
  <c r="AB536" i="7"/>
  <c r="AA536" i="7"/>
  <c r="C538" i="7"/>
  <c r="D538" i="7"/>
  <c r="AB539" i="7"/>
  <c r="AA539" i="7"/>
  <c r="C541" i="7"/>
  <c r="D541" i="7"/>
  <c r="AB542" i="7"/>
  <c r="AA542" i="7"/>
  <c r="C544" i="7"/>
  <c r="D544" i="7"/>
  <c r="AB545" i="7"/>
  <c r="AA545" i="7"/>
  <c r="C547" i="7"/>
  <c r="D547" i="7"/>
  <c r="AB548" i="7"/>
  <c r="AA548" i="7"/>
  <c r="C550" i="7"/>
  <c r="D550" i="7"/>
  <c r="AB551" i="7"/>
  <c r="AA551" i="7"/>
  <c r="C553" i="7"/>
  <c r="D553" i="7"/>
  <c r="AB554" i="7"/>
  <c r="AA554" i="7"/>
  <c r="C556" i="7"/>
  <c r="D556" i="7"/>
  <c r="AB557" i="7"/>
  <c r="AA557" i="7"/>
  <c r="C559" i="7"/>
  <c r="D559" i="7"/>
  <c r="AB560" i="7"/>
  <c r="AA560" i="7"/>
  <c r="C562" i="7"/>
  <c r="D562" i="7"/>
  <c r="AB563" i="7"/>
  <c r="AA563" i="7"/>
  <c r="C565" i="7"/>
  <c r="D565" i="7"/>
  <c r="AB566" i="7"/>
  <c r="AA566" i="7"/>
  <c r="C568" i="7"/>
  <c r="D568" i="7"/>
  <c r="AB569" i="7"/>
  <c r="AA569" i="7"/>
  <c r="C571" i="7"/>
  <c r="D571" i="7"/>
  <c r="AB572" i="7"/>
  <c r="AA572" i="7"/>
  <c r="C574" i="7"/>
  <c r="D574" i="7"/>
  <c r="AB575" i="7"/>
  <c r="AA575" i="7"/>
  <c r="C577" i="7"/>
  <c r="D577" i="7"/>
  <c r="AB578" i="7"/>
  <c r="AA578" i="7"/>
  <c r="C580" i="7"/>
  <c r="D580" i="7"/>
  <c r="AB581" i="7"/>
  <c r="AA581" i="7"/>
  <c r="C583" i="7"/>
  <c r="D583" i="7"/>
  <c r="AB584" i="7"/>
  <c r="AA584" i="7"/>
  <c r="C586" i="7"/>
  <c r="D586" i="7"/>
  <c r="AB587" i="7"/>
  <c r="AA587" i="7"/>
  <c r="C589" i="7"/>
  <c r="D589" i="7"/>
  <c r="AB590" i="7"/>
  <c r="AA590" i="7"/>
  <c r="C592" i="7"/>
  <c r="D592" i="7"/>
  <c r="AB593" i="7"/>
  <c r="AA593" i="7"/>
  <c r="C595" i="7"/>
  <c r="D595" i="7"/>
  <c r="AB596" i="7"/>
  <c r="AA596" i="7"/>
  <c r="C598" i="7"/>
  <c r="D598" i="7"/>
  <c r="AB599" i="7"/>
  <c r="AA599" i="7"/>
  <c r="C601" i="7"/>
  <c r="D601" i="7"/>
  <c r="AB602" i="7"/>
  <c r="AA602" i="7"/>
  <c r="C604" i="7"/>
  <c r="D604" i="7"/>
  <c r="AB605" i="7"/>
  <c r="AA605" i="7"/>
  <c r="C607" i="7"/>
  <c r="D607" i="7"/>
  <c r="AP608" i="7"/>
  <c r="D611" i="7"/>
  <c r="B611" i="7" s="1"/>
  <c r="D612" i="7"/>
  <c r="B612" i="7" s="1"/>
  <c r="D613" i="7"/>
  <c r="B613" i="7" s="1"/>
  <c r="D614" i="7"/>
  <c r="B614" i="7" s="1"/>
  <c r="D615" i="7"/>
  <c r="B615" i="7" s="1"/>
  <c r="D616" i="7"/>
  <c r="B616" i="7" s="1"/>
  <c r="D617" i="7"/>
  <c r="B617" i="7" s="1"/>
  <c r="D618" i="7"/>
  <c r="B618" i="7" s="1"/>
  <c r="D619" i="7"/>
  <c r="B619" i="7" s="1"/>
  <c r="D620" i="7"/>
  <c r="B620" i="7" s="1"/>
  <c r="D621" i="7"/>
  <c r="B621" i="7" s="1"/>
  <c r="D622" i="7"/>
  <c r="B622" i="7" s="1"/>
  <c r="D623" i="7"/>
  <c r="B623" i="7" s="1"/>
  <c r="D624" i="7"/>
  <c r="B624" i="7" s="1"/>
  <c r="D625" i="7"/>
  <c r="B625" i="7" s="1"/>
  <c r="D626" i="7"/>
  <c r="B626" i="7" s="1"/>
  <c r="D627" i="7"/>
  <c r="B627" i="7" s="1"/>
  <c r="D628" i="7"/>
  <c r="B628" i="7" s="1"/>
  <c r="D629" i="7"/>
  <c r="B629" i="7" s="1"/>
  <c r="D630" i="7"/>
  <c r="B630" i="7" s="1"/>
  <c r="D631" i="7"/>
  <c r="B631" i="7" s="1"/>
  <c r="D632" i="7"/>
  <c r="B632" i="7" s="1"/>
  <c r="D633" i="7"/>
  <c r="B633" i="7" s="1"/>
  <c r="D634" i="7"/>
  <c r="B634" i="7" s="1"/>
  <c r="D635" i="7"/>
  <c r="B635" i="7" s="1"/>
  <c r="D636" i="7"/>
  <c r="B636" i="7" s="1"/>
  <c r="D637" i="7"/>
  <c r="B637" i="7" s="1"/>
  <c r="D638" i="7"/>
  <c r="B638" i="7" s="1"/>
  <c r="D639" i="7"/>
  <c r="B639" i="7" s="1"/>
  <c r="D640" i="7"/>
  <c r="B640" i="7" s="1"/>
  <c r="D641" i="7"/>
  <c r="B641" i="7" s="1"/>
  <c r="D642" i="7"/>
  <c r="B642" i="7" s="1"/>
  <c r="D643" i="7"/>
  <c r="B643" i="7" s="1"/>
  <c r="D644" i="7"/>
  <c r="B644" i="7" s="1"/>
  <c r="D645" i="7"/>
  <c r="B645" i="7" s="1"/>
  <c r="D646" i="7"/>
  <c r="B646" i="7" s="1"/>
  <c r="D647" i="7"/>
  <c r="B647" i="7" s="1"/>
  <c r="D648" i="7"/>
  <c r="B648" i="7" s="1"/>
  <c r="D649" i="7"/>
  <c r="B649" i="7" s="1"/>
  <c r="D650" i="7"/>
  <c r="B650" i="7" s="1"/>
  <c r="D651" i="7"/>
  <c r="B651" i="7" s="1"/>
  <c r="D652" i="7"/>
  <c r="B652" i="7" s="1"/>
  <c r="D653" i="7"/>
  <c r="B653" i="7" s="1"/>
  <c r="D654" i="7"/>
  <c r="B654" i="7" s="1"/>
  <c r="D655" i="7"/>
  <c r="B655" i="7" s="1"/>
  <c r="D656" i="7"/>
  <c r="B656" i="7" s="1"/>
  <c r="D657" i="7"/>
  <c r="B657" i="7" s="1"/>
  <c r="D658" i="7"/>
  <c r="B658" i="7" s="1"/>
  <c r="D659" i="7"/>
  <c r="B659" i="7" s="1"/>
  <c r="D660" i="7"/>
  <c r="B660" i="7" s="1"/>
  <c r="D661" i="7"/>
  <c r="B661" i="7" s="1"/>
  <c r="D662" i="7"/>
  <c r="B662" i="7" s="1"/>
  <c r="D663" i="7"/>
  <c r="B663" i="7" s="1"/>
  <c r="D664" i="7"/>
  <c r="B664" i="7" s="1"/>
  <c r="D665" i="7"/>
  <c r="B665" i="7" s="1"/>
  <c r="D666" i="7"/>
  <c r="B666" i="7" s="1"/>
  <c r="D667" i="7"/>
  <c r="B667" i="7" s="1"/>
  <c r="D668" i="7"/>
  <c r="B668" i="7" s="1"/>
  <c r="D669" i="7"/>
  <c r="B669" i="7" s="1"/>
  <c r="D670" i="7"/>
  <c r="B670" i="7" s="1"/>
  <c r="D671" i="7"/>
  <c r="B671" i="7" s="1"/>
  <c r="D672" i="7"/>
  <c r="B672" i="7" s="1"/>
  <c r="D673" i="7"/>
  <c r="B673" i="7" s="1"/>
  <c r="D674" i="7"/>
  <c r="B674" i="7" s="1"/>
  <c r="D675" i="7"/>
  <c r="B675" i="7" s="1"/>
  <c r="D676" i="7"/>
  <c r="B676" i="7" s="1"/>
  <c r="D677" i="7"/>
  <c r="B677" i="7" s="1"/>
  <c r="D678" i="7"/>
  <c r="B678" i="7" s="1"/>
  <c r="D679" i="7"/>
  <c r="B679" i="7" s="1"/>
  <c r="D680" i="7"/>
  <c r="B680" i="7" s="1"/>
  <c r="D681" i="7"/>
  <c r="B681" i="7" s="1"/>
  <c r="D682" i="7"/>
  <c r="B682" i="7" s="1"/>
  <c r="D683" i="7"/>
  <c r="B683" i="7" s="1"/>
  <c r="D684" i="7"/>
  <c r="B684" i="7" s="1"/>
  <c r="D685" i="7"/>
  <c r="B685" i="7" s="1"/>
  <c r="D686" i="7"/>
  <c r="B686" i="7" s="1"/>
  <c r="D687" i="7"/>
  <c r="B687" i="7" s="1"/>
  <c r="D688" i="7"/>
  <c r="B688" i="7" s="1"/>
  <c r="D689" i="7"/>
  <c r="B689" i="7" s="1"/>
  <c r="D690" i="7"/>
  <c r="B690" i="7" s="1"/>
  <c r="D691" i="7"/>
  <c r="B691" i="7" s="1"/>
  <c r="D692" i="7"/>
  <c r="B692" i="7" s="1"/>
  <c r="D693" i="7"/>
  <c r="B693" i="7" s="1"/>
  <c r="D694" i="7"/>
  <c r="B694" i="7" s="1"/>
  <c r="D695" i="7"/>
  <c r="B695" i="7" s="1"/>
  <c r="D696" i="7"/>
  <c r="B696" i="7" s="1"/>
  <c r="D697" i="7"/>
  <c r="B697" i="7" s="1"/>
  <c r="D698" i="7"/>
  <c r="B698" i="7" s="1"/>
  <c r="D699" i="7"/>
  <c r="B699" i="7" s="1"/>
  <c r="D700" i="7"/>
  <c r="B700" i="7" s="1"/>
  <c r="D701" i="7"/>
  <c r="B701" i="7" s="1"/>
  <c r="D702" i="7"/>
  <c r="B702" i="7" s="1"/>
  <c r="D703" i="7"/>
  <c r="B703" i="7" s="1"/>
  <c r="D704" i="7"/>
  <c r="B704" i="7" s="1"/>
  <c r="D705" i="7"/>
  <c r="B705" i="7" s="1"/>
  <c r="D706" i="7"/>
  <c r="B706" i="7" s="1"/>
  <c r="D707" i="7"/>
  <c r="B707" i="7" s="1"/>
  <c r="D708" i="7"/>
  <c r="B708" i="7" s="1"/>
  <c r="D709" i="7"/>
  <c r="B709" i="7" s="1"/>
  <c r="D710" i="7"/>
  <c r="B710" i="7" s="1"/>
  <c r="D711" i="7"/>
  <c r="B711" i="7" s="1"/>
  <c r="D712" i="7"/>
  <c r="B712" i="7" s="1"/>
  <c r="D713" i="7"/>
  <c r="B713" i="7" s="1"/>
  <c r="D714" i="7"/>
  <c r="B714" i="7" s="1"/>
  <c r="D715" i="7"/>
  <c r="B715" i="7" s="1"/>
  <c r="D716" i="7"/>
  <c r="B716" i="7" s="1"/>
  <c r="D717" i="7"/>
  <c r="B717" i="7" s="1"/>
  <c r="D718" i="7"/>
  <c r="B718" i="7" s="1"/>
  <c r="D719" i="7"/>
  <c r="B719" i="7" s="1"/>
  <c r="D720" i="7"/>
  <c r="B720" i="7" s="1"/>
  <c r="D721" i="7"/>
  <c r="B721" i="7" s="1"/>
  <c r="D722" i="7"/>
  <c r="B722" i="7" s="1"/>
  <c r="D723" i="7"/>
  <c r="B723" i="7" s="1"/>
  <c r="D724" i="7"/>
  <c r="B724" i="7" s="1"/>
  <c r="D725" i="7"/>
  <c r="B725" i="7" s="1"/>
  <c r="D726" i="7"/>
  <c r="B726" i="7" s="1"/>
  <c r="D727" i="7"/>
  <c r="B727" i="7" s="1"/>
  <c r="D728" i="7"/>
  <c r="B728" i="7" s="1"/>
  <c r="D729" i="7"/>
  <c r="B729" i="7" s="1"/>
  <c r="D730" i="7"/>
  <c r="B730" i="7" s="1"/>
  <c r="D731" i="7"/>
  <c r="B731" i="7" s="1"/>
  <c r="D732" i="7"/>
  <c r="B732" i="7" s="1"/>
  <c r="D733" i="7"/>
  <c r="B733" i="7" s="1"/>
  <c r="D734" i="7"/>
  <c r="B734" i="7" s="1"/>
  <c r="D735" i="7"/>
  <c r="B735" i="7" s="1"/>
  <c r="D736" i="7"/>
  <c r="B736" i="7" s="1"/>
  <c r="D737" i="7"/>
  <c r="B737" i="7" s="1"/>
  <c r="D738" i="7"/>
  <c r="B738" i="7" s="1"/>
  <c r="D739" i="7"/>
  <c r="B739" i="7" s="1"/>
  <c r="D740" i="7"/>
  <c r="B740" i="7" s="1"/>
  <c r="D741" i="7"/>
  <c r="B741" i="7" s="1"/>
  <c r="D742" i="7"/>
  <c r="B742" i="7" s="1"/>
  <c r="D743" i="7"/>
  <c r="B743" i="7" s="1"/>
  <c r="D744" i="7"/>
  <c r="B744" i="7" s="1"/>
  <c r="D745" i="7"/>
  <c r="B745" i="7" s="1"/>
  <c r="D746" i="7"/>
  <c r="B746" i="7" s="1"/>
  <c r="D747" i="7"/>
  <c r="B747" i="7" s="1"/>
  <c r="D748" i="7"/>
  <c r="B748" i="7" s="1"/>
  <c r="D749" i="7"/>
  <c r="B749" i="7" s="1"/>
  <c r="D750" i="7"/>
  <c r="B750" i="7" s="1"/>
  <c r="D751" i="7"/>
  <c r="B751" i="7" s="1"/>
  <c r="D752" i="7"/>
  <c r="B752" i="7" s="1"/>
  <c r="D753" i="7"/>
  <c r="B753" i="7" s="1"/>
  <c r="D754" i="7"/>
  <c r="B754" i="7" s="1"/>
  <c r="D755" i="7"/>
  <c r="B755" i="7" s="1"/>
  <c r="D756" i="7"/>
  <c r="B756" i="7" s="1"/>
  <c r="D757" i="7"/>
  <c r="B757" i="7" s="1"/>
  <c r="D758" i="7"/>
  <c r="B758" i="7" s="1"/>
  <c r="D759" i="7"/>
  <c r="B759" i="7" s="1"/>
  <c r="D760" i="7"/>
  <c r="B760" i="7" s="1"/>
  <c r="D761" i="7"/>
  <c r="B761" i="7" s="1"/>
  <c r="D762" i="7"/>
  <c r="B762" i="7" s="1"/>
  <c r="D763" i="7"/>
  <c r="B763" i="7" s="1"/>
  <c r="D764" i="7"/>
  <c r="B764" i="7" s="1"/>
  <c r="D765" i="7"/>
  <c r="B765" i="7" s="1"/>
  <c r="D766" i="7"/>
  <c r="B766" i="7" s="1"/>
  <c r="D767" i="7"/>
  <c r="B767" i="7" s="1"/>
  <c r="D768" i="7"/>
  <c r="B768" i="7" s="1"/>
  <c r="D769" i="7"/>
  <c r="B769" i="7" s="1"/>
  <c r="D770" i="7"/>
  <c r="B770" i="7" s="1"/>
  <c r="D771" i="7"/>
  <c r="B771" i="7" s="1"/>
  <c r="D772" i="7"/>
  <c r="B772" i="7" s="1"/>
  <c r="D773" i="7"/>
  <c r="B773" i="7" s="1"/>
  <c r="D774" i="7"/>
  <c r="B774" i="7" s="1"/>
  <c r="D775" i="7"/>
  <c r="B775" i="7" s="1"/>
  <c r="D776" i="7"/>
  <c r="B776" i="7" s="1"/>
  <c r="D777" i="7"/>
  <c r="B777" i="7" s="1"/>
  <c r="D778" i="7"/>
  <c r="B778" i="7" s="1"/>
  <c r="D779" i="7"/>
  <c r="B779" i="7" s="1"/>
  <c r="D780" i="7"/>
  <c r="B780" i="7" s="1"/>
  <c r="D781" i="7"/>
  <c r="B781" i="7" s="1"/>
  <c r="D782" i="7"/>
  <c r="B782" i="7" s="1"/>
  <c r="D783" i="7"/>
  <c r="B783" i="7" s="1"/>
  <c r="D784" i="7"/>
  <c r="B784" i="7" s="1"/>
  <c r="D785" i="7"/>
  <c r="B785" i="7" s="1"/>
  <c r="D786" i="7"/>
  <c r="B786" i="7" s="1"/>
  <c r="D787" i="7"/>
  <c r="B787" i="7" s="1"/>
  <c r="D788" i="7"/>
  <c r="B788" i="7" s="1"/>
  <c r="D789" i="7"/>
  <c r="B789" i="7" s="1"/>
  <c r="D790" i="7"/>
  <c r="B790" i="7" s="1"/>
  <c r="D791" i="7"/>
  <c r="B791" i="7" s="1"/>
  <c r="D792" i="7"/>
  <c r="B792" i="7" s="1"/>
  <c r="D793" i="7"/>
  <c r="B793" i="7" s="1"/>
  <c r="D794" i="7"/>
  <c r="B794" i="7" s="1"/>
  <c r="D795" i="7"/>
  <c r="B795" i="7" s="1"/>
  <c r="D796" i="7"/>
  <c r="B796" i="7" s="1"/>
  <c r="D797" i="7"/>
  <c r="B797" i="7" s="1"/>
  <c r="D798" i="7"/>
  <c r="B798" i="7" s="1"/>
  <c r="AJ799" i="7"/>
  <c r="AH799" i="7" s="1"/>
  <c r="T800" i="7"/>
  <c r="R800" i="7" s="1"/>
  <c r="AJ801" i="7"/>
  <c r="AH801" i="7" s="1"/>
  <c r="T802" i="7"/>
  <c r="R802" i="7" s="1"/>
  <c r="AJ803" i="7"/>
  <c r="AH803" i="7" s="1"/>
  <c r="T804" i="7"/>
  <c r="R804" i="7" s="1"/>
  <c r="AJ805" i="7"/>
  <c r="AH805" i="7" s="1"/>
  <c r="T806" i="7"/>
  <c r="R806" i="7" s="1"/>
  <c r="AJ807" i="7"/>
  <c r="AH807" i="7" s="1"/>
  <c r="T808" i="7"/>
  <c r="R808" i="7" s="1"/>
  <c r="AJ809" i="7"/>
  <c r="AH809" i="7" s="1"/>
  <c r="T810" i="7"/>
  <c r="R810" i="7" s="1"/>
  <c r="AJ811" i="7"/>
  <c r="AH811" i="7" s="1"/>
  <c r="T812" i="7"/>
  <c r="R812" i="7" s="1"/>
  <c r="AJ813" i="7"/>
  <c r="AH813" i="7" s="1"/>
  <c r="T814" i="7"/>
  <c r="R814" i="7" s="1"/>
  <c r="AJ815" i="7"/>
  <c r="AH815" i="7" s="1"/>
  <c r="T816" i="7"/>
  <c r="R816" i="7" s="1"/>
  <c r="AJ817" i="7"/>
  <c r="AH817" i="7" s="1"/>
  <c r="T818" i="7"/>
  <c r="R818" i="7" s="1"/>
  <c r="C821" i="7"/>
  <c r="B821" i="7" s="1"/>
  <c r="AJ821" i="7"/>
  <c r="AH821" i="7" s="1"/>
  <c r="AR823" i="7"/>
  <c r="AP823" i="7" s="1"/>
  <c r="S824" i="7"/>
  <c r="R824" i="7" s="1"/>
  <c r="C827" i="7"/>
  <c r="B827" i="7" s="1"/>
  <c r="AJ827" i="7"/>
  <c r="AH827" i="7" s="1"/>
  <c r="AR829" i="7"/>
  <c r="AP829" i="7" s="1"/>
  <c r="S830" i="7"/>
  <c r="R830" i="7" s="1"/>
  <c r="C833" i="7"/>
  <c r="B833" i="7" s="1"/>
  <c r="AJ833" i="7"/>
  <c r="AH833" i="7" s="1"/>
  <c r="AR835" i="7"/>
  <c r="AP835" i="7" s="1"/>
  <c r="S836" i="7"/>
  <c r="R836" i="7" s="1"/>
  <c r="C839" i="7"/>
  <c r="B839" i="7" s="1"/>
  <c r="AJ839" i="7"/>
  <c r="AH839" i="7" s="1"/>
  <c r="AR841" i="7"/>
  <c r="AP841" i="7" s="1"/>
  <c r="S842" i="7"/>
  <c r="R842" i="7" s="1"/>
  <c r="C845" i="7"/>
  <c r="B845" i="7" s="1"/>
  <c r="AJ845" i="7"/>
  <c r="AH845" i="7" s="1"/>
  <c r="AI848" i="7"/>
  <c r="AH848" i="7" s="1"/>
  <c r="C850" i="7"/>
  <c r="B850" i="7" s="1"/>
  <c r="S852" i="7"/>
  <c r="R852" i="7" s="1"/>
  <c r="AI854" i="7"/>
  <c r="AH854" i="7" s="1"/>
  <c r="C856" i="7"/>
  <c r="B856" i="7" s="1"/>
  <c r="S858" i="7"/>
  <c r="R858" i="7" s="1"/>
  <c r="AI860" i="7"/>
  <c r="AH860" i="7" s="1"/>
  <c r="C862" i="7"/>
  <c r="B862" i="7" s="1"/>
  <c r="S864" i="7"/>
  <c r="R864" i="7" s="1"/>
  <c r="AI866" i="7"/>
  <c r="AH866" i="7" s="1"/>
  <c r="C868" i="7"/>
  <c r="B868" i="7" s="1"/>
  <c r="S870" i="7"/>
  <c r="R870" i="7" s="1"/>
  <c r="AH872" i="7"/>
  <c r="AH874" i="7"/>
  <c r="D875" i="7"/>
  <c r="C875" i="7"/>
  <c r="AH880" i="7"/>
  <c r="D881" i="7"/>
  <c r="C881" i="7"/>
  <c r="AH886" i="7"/>
  <c r="D887" i="7"/>
  <c r="C887" i="7"/>
  <c r="AH892" i="7"/>
  <c r="D893" i="7"/>
  <c r="C893" i="7"/>
  <c r="AH898" i="7"/>
  <c r="D899" i="7"/>
  <c r="C899" i="7"/>
  <c r="AH904" i="7"/>
  <c r="D905" i="7"/>
  <c r="C905" i="7"/>
  <c r="AH910" i="7"/>
  <c r="D911" i="7"/>
  <c r="C911" i="7"/>
  <c r="AP912" i="7"/>
  <c r="AH916" i="7"/>
  <c r="AH922" i="7"/>
  <c r="AH928" i="7"/>
  <c r="AH934" i="7"/>
  <c r="AH940" i="7"/>
  <c r="AH946" i="7"/>
  <c r="D876" i="7"/>
  <c r="C876" i="7"/>
  <c r="D882" i="7"/>
  <c r="C882" i="7"/>
  <c r="D888" i="7"/>
  <c r="C888" i="7"/>
  <c r="D894" i="7"/>
  <c r="C894" i="7"/>
  <c r="D900" i="7"/>
  <c r="C900" i="7"/>
  <c r="D906" i="7"/>
  <c r="C906" i="7"/>
  <c r="D912" i="7"/>
  <c r="C912" i="7"/>
  <c r="AA608" i="7"/>
  <c r="Z608" i="7" s="1"/>
  <c r="AA609" i="7"/>
  <c r="Z609" i="7" s="1"/>
  <c r="AA610" i="7"/>
  <c r="Z610" i="7" s="1"/>
  <c r="AA611" i="7"/>
  <c r="Z611" i="7" s="1"/>
  <c r="AA612" i="7"/>
  <c r="Z612" i="7" s="1"/>
  <c r="AA613" i="7"/>
  <c r="Z613" i="7" s="1"/>
  <c r="AA614" i="7"/>
  <c r="Z614" i="7" s="1"/>
  <c r="AA615" i="7"/>
  <c r="Z615" i="7" s="1"/>
  <c r="AA616" i="7"/>
  <c r="Z616" i="7" s="1"/>
  <c r="AA617" i="7"/>
  <c r="Z617" i="7" s="1"/>
  <c r="AA618" i="7"/>
  <c r="Z618" i="7" s="1"/>
  <c r="AA619" i="7"/>
  <c r="Z619" i="7" s="1"/>
  <c r="AA620" i="7"/>
  <c r="Z620" i="7" s="1"/>
  <c r="AA621" i="7"/>
  <c r="Z621" i="7" s="1"/>
  <c r="AA622" i="7"/>
  <c r="Z622" i="7" s="1"/>
  <c r="AA623" i="7"/>
  <c r="Z623" i="7" s="1"/>
  <c r="AA624" i="7"/>
  <c r="Z624" i="7" s="1"/>
  <c r="AA625" i="7"/>
  <c r="Z625" i="7" s="1"/>
  <c r="AA626" i="7"/>
  <c r="Z626" i="7" s="1"/>
  <c r="AA627" i="7"/>
  <c r="Z627" i="7" s="1"/>
  <c r="AA628" i="7"/>
  <c r="Z628" i="7" s="1"/>
  <c r="AA629" i="7"/>
  <c r="Z629" i="7" s="1"/>
  <c r="AA630" i="7"/>
  <c r="Z630" i="7" s="1"/>
  <c r="AA631" i="7"/>
  <c r="Z631" i="7" s="1"/>
  <c r="AA632" i="7"/>
  <c r="Z632" i="7" s="1"/>
  <c r="AA633" i="7"/>
  <c r="Z633" i="7" s="1"/>
  <c r="AA634" i="7"/>
  <c r="Z634" i="7" s="1"/>
  <c r="AA635" i="7"/>
  <c r="Z635" i="7" s="1"/>
  <c r="AA636" i="7"/>
  <c r="Z636" i="7" s="1"/>
  <c r="AA637" i="7"/>
  <c r="Z637" i="7" s="1"/>
  <c r="AA638" i="7"/>
  <c r="Z638" i="7" s="1"/>
  <c r="AA639" i="7"/>
  <c r="Z639" i="7" s="1"/>
  <c r="AA640" i="7"/>
  <c r="Z640" i="7" s="1"/>
  <c r="AA641" i="7"/>
  <c r="Z641" i="7" s="1"/>
  <c r="AA642" i="7"/>
  <c r="Z642" i="7" s="1"/>
  <c r="AA643" i="7"/>
  <c r="Z643" i="7" s="1"/>
  <c r="AA644" i="7"/>
  <c r="Z644" i="7" s="1"/>
  <c r="AA645" i="7"/>
  <c r="Z645" i="7" s="1"/>
  <c r="AA646" i="7"/>
  <c r="Z646" i="7" s="1"/>
  <c r="AA647" i="7"/>
  <c r="Z647" i="7" s="1"/>
  <c r="AA648" i="7"/>
  <c r="Z648" i="7" s="1"/>
  <c r="AA649" i="7"/>
  <c r="Z649" i="7" s="1"/>
  <c r="AA650" i="7"/>
  <c r="Z650" i="7" s="1"/>
  <c r="AA651" i="7"/>
  <c r="Z651" i="7" s="1"/>
  <c r="AA652" i="7"/>
  <c r="Z652" i="7" s="1"/>
  <c r="AA653" i="7"/>
  <c r="Z653" i="7" s="1"/>
  <c r="AA654" i="7"/>
  <c r="Z654" i="7" s="1"/>
  <c r="AA655" i="7"/>
  <c r="Z655" i="7" s="1"/>
  <c r="AA656" i="7"/>
  <c r="Z656" i="7" s="1"/>
  <c r="AA657" i="7"/>
  <c r="Z657" i="7" s="1"/>
  <c r="AA658" i="7"/>
  <c r="Z658" i="7" s="1"/>
  <c r="AA659" i="7"/>
  <c r="Z659" i="7" s="1"/>
  <c r="AA660" i="7"/>
  <c r="Z660" i="7" s="1"/>
  <c r="AA661" i="7"/>
  <c r="Z661" i="7" s="1"/>
  <c r="AA662" i="7"/>
  <c r="Z662" i="7" s="1"/>
  <c r="AA663" i="7"/>
  <c r="Z663" i="7" s="1"/>
  <c r="AA664" i="7"/>
  <c r="Z664" i="7" s="1"/>
  <c r="AA665" i="7"/>
  <c r="Z665" i="7" s="1"/>
  <c r="AA666" i="7"/>
  <c r="Z666" i="7" s="1"/>
  <c r="AA667" i="7"/>
  <c r="Z667" i="7" s="1"/>
  <c r="AA668" i="7"/>
  <c r="Z668" i="7" s="1"/>
  <c r="AA669" i="7"/>
  <c r="Z669" i="7" s="1"/>
  <c r="AA670" i="7"/>
  <c r="Z670" i="7" s="1"/>
  <c r="AA671" i="7"/>
  <c r="Z671" i="7" s="1"/>
  <c r="AA672" i="7"/>
  <c r="Z672" i="7" s="1"/>
  <c r="AA673" i="7"/>
  <c r="Z673" i="7" s="1"/>
  <c r="AA674" i="7"/>
  <c r="Z674" i="7" s="1"/>
  <c r="AA675" i="7"/>
  <c r="Z675" i="7" s="1"/>
  <c r="AA676" i="7"/>
  <c r="Z676" i="7" s="1"/>
  <c r="AA677" i="7"/>
  <c r="Z677" i="7" s="1"/>
  <c r="AA678" i="7"/>
  <c r="Z678" i="7" s="1"/>
  <c r="AA679" i="7"/>
  <c r="Z679" i="7" s="1"/>
  <c r="AA680" i="7"/>
  <c r="Z680" i="7" s="1"/>
  <c r="AA681" i="7"/>
  <c r="Z681" i="7" s="1"/>
  <c r="AA682" i="7"/>
  <c r="Z682" i="7" s="1"/>
  <c r="AA683" i="7"/>
  <c r="Z683" i="7" s="1"/>
  <c r="AA684" i="7"/>
  <c r="Z684" i="7" s="1"/>
  <c r="AA685" i="7"/>
  <c r="Z685" i="7" s="1"/>
  <c r="AA686" i="7"/>
  <c r="Z686" i="7" s="1"/>
  <c r="AA687" i="7"/>
  <c r="Z687" i="7" s="1"/>
  <c r="AA688" i="7"/>
  <c r="Z688" i="7" s="1"/>
  <c r="AA689" i="7"/>
  <c r="Z689" i="7" s="1"/>
  <c r="AA690" i="7"/>
  <c r="Z690" i="7" s="1"/>
  <c r="AA691" i="7"/>
  <c r="Z691" i="7" s="1"/>
  <c r="AA692" i="7"/>
  <c r="Z692" i="7" s="1"/>
  <c r="AA693" i="7"/>
  <c r="Z693" i="7" s="1"/>
  <c r="AA694" i="7"/>
  <c r="Z694" i="7" s="1"/>
  <c r="AA695" i="7"/>
  <c r="Z695" i="7" s="1"/>
  <c r="AA696" i="7"/>
  <c r="Z696" i="7" s="1"/>
  <c r="AA697" i="7"/>
  <c r="Z697" i="7" s="1"/>
  <c r="AA698" i="7"/>
  <c r="Z698" i="7" s="1"/>
  <c r="AA699" i="7"/>
  <c r="Z699" i="7" s="1"/>
  <c r="AA700" i="7"/>
  <c r="Z700" i="7" s="1"/>
  <c r="AA701" i="7"/>
  <c r="Z701" i="7" s="1"/>
  <c r="AA702" i="7"/>
  <c r="Z702" i="7" s="1"/>
  <c r="AA703" i="7"/>
  <c r="Z703" i="7" s="1"/>
  <c r="AA704" i="7"/>
  <c r="Z704" i="7" s="1"/>
  <c r="AA705" i="7"/>
  <c r="Z705" i="7" s="1"/>
  <c r="AA706" i="7"/>
  <c r="Z706" i="7" s="1"/>
  <c r="AA707" i="7"/>
  <c r="Z707" i="7" s="1"/>
  <c r="AA708" i="7"/>
  <c r="Z708" i="7" s="1"/>
  <c r="AA709" i="7"/>
  <c r="Z709" i="7" s="1"/>
  <c r="AA710" i="7"/>
  <c r="Z710" i="7" s="1"/>
  <c r="AA711" i="7"/>
  <c r="Z711" i="7" s="1"/>
  <c r="AA712" i="7"/>
  <c r="Z712" i="7" s="1"/>
  <c r="AA713" i="7"/>
  <c r="Z713" i="7" s="1"/>
  <c r="AA714" i="7"/>
  <c r="Z714" i="7" s="1"/>
  <c r="AA715" i="7"/>
  <c r="Z715" i="7" s="1"/>
  <c r="AA716" i="7"/>
  <c r="Z716" i="7" s="1"/>
  <c r="AA717" i="7"/>
  <c r="Z717" i="7" s="1"/>
  <c r="AA718" i="7"/>
  <c r="Z718" i="7" s="1"/>
  <c r="AA719" i="7"/>
  <c r="Z719" i="7" s="1"/>
  <c r="AA720" i="7"/>
  <c r="Z720" i="7" s="1"/>
  <c r="AA721" i="7"/>
  <c r="Z721" i="7" s="1"/>
  <c r="AA722" i="7"/>
  <c r="Z722" i="7" s="1"/>
  <c r="AA723" i="7"/>
  <c r="Z723" i="7" s="1"/>
  <c r="AA724" i="7"/>
  <c r="Z724" i="7" s="1"/>
  <c r="AA725" i="7"/>
  <c r="Z725" i="7" s="1"/>
  <c r="AA726" i="7"/>
  <c r="Z726" i="7" s="1"/>
  <c r="AA727" i="7"/>
  <c r="Z727" i="7" s="1"/>
  <c r="AA728" i="7"/>
  <c r="Z728" i="7" s="1"/>
  <c r="AA729" i="7"/>
  <c r="Z729" i="7" s="1"/>
  <c r="AA730" i="7"/>
  <c r="Z730" i="7" s="1"/>
  <c r="AA731" i="7"/>
  <c r="Z731" i="7" s="1"/>
  <c r="AA732" i="7"/>
  <c r="Z732" i="7" s="1"/>
  <c r="AA733" i="7"/>
  <c r="Z733" i="7" s="1"/>
  <c r="AA734" i="7"/>
  <c r="Z734" i="7" s="1"/>
  <c r="AA735" i="7"/>
  <c r="Z735" i="7" s="1"/>
  <c r="AA736" i="7"/>
  <c r="Z736" i="7" s="1"/>
  <c r="AA737" i="7"/>
  <c r="Z737" i="7" s="1"/>
  <c r="AA738" i="7"/>
  <c r="Z738" i="7" s="1"/>
  <c r="AA739" i="7"/>
  <c r="Z739" i="7" s="1"/>
  <c r="AA740" i="7"/>
  <c r="Z740" i="7" s="1"/>
  <c r="AA741" i="7"/>
  <c r="Z741" i="7" s="1"/>
  <c r="AA742" i="7"/>
  <c r="Z742" i="7" s="1"/>
  <c r="AA743" i="7"/>
  <c r="Z743" i="7" s="1"/>
  <c r="AA744" i="7"/>
  <c r="Z744" i="7" s="1"/>
  <c r="AA745" i="7"/>
  <c r="Z745" i="7" s="1"/>
  <c r="AA746" i="7"/>
  <c r="Z746" i="7" s="1"/>
  <c r="AA747" i="7"/>
  <c r="Z747" i="7" s="1"/>
  <c r="AA748" i="7"/>
  <c r="Z748" i="7" s="1"/>
  <c r="AA749" i="7"/>
  <c r="Z749" i="7" s="1"/>
  <c r="AA750" i="7"/>
  <c r="Z750" i="7" s="1"/>
  <c r="AA751" i="7"/>
  <c r="Z751" i="7" s="1"/>
  <c r="AA752" i="7"/>
  <c r="Z752" i="7" s="1"/>
  <c r="AA753" i="7"/>
  <c r="Z753" i="7" s="1"/>
  <c r="AA754" i="7"/>
  <c r="Z754" i="7" s="1"/>
  <c r="AA755" i="7"/>
  <c r="Z755" i="7" s="1"/>
  <c r="AA756" i="7"/>
  <c r="Z756" i="7" s="1"/>
  <c r="AA757" i="7"/>
  <c r="Z757" i="7" s="1"/>
  <c r="AA758" i="7"/>
  <c r="Z758" i="7" s="1"/>
  <c r="AA759" i="7"/>
  <c r="Z759" i="7" s="1"/>
  <c r="AA760" i="7"/>
  <c r="Z760" i="7" s="1"/>
  <c r="AA761" i="7"/>
  <c r="Z761" i="7" s="1"/>
  <c r="AA762" i="7"/>
  <c r="Z762" i="7" s="1"/>
  <c r="AA763" i="7"/>
  <c r="Z763" i="7" s="1"/>
  <c r="AA764" i="7"/>
  <c r="Z764" i="7" s="1"/>
  <c r="AA765" i="7"/>
  <c r="Z765" i="7" s="1"/>
  <c r="AA766" i="7"/>
  <c r="Z766" i="7" s="1"/>
  <c r="AA767" i="7"/>
  <c r="Z767" i="7" s="1"/>
  <c r="AA768" i="7"/>
  <c r="Z768" i="7" s="1"/>
  <c r="AA769" i="7"/>
  <c r="Z769" i="7" s="1"/>
  <c r="AA770" i="7"/>
  <c r="Z770" i="7" s="1"/>
  <c r="AA771" i="7"/>
  <c r="Z771" i="7" s="1"/>
  <c r="AA772" i="7"/>
  <c r="Z772" i="7" s="1"/>
  <c r="AA773" i="7"/>
  <c r="Z773" i="7" s="1"/>
  <c r="AA774" i="7"/>
  <c r="Z774" i="7" s="1"/>
  <c r="AA775" i="7"/>
  <c r="Z775" i="7" s="1"/>
  <c r="AA776" i="7"/>
  <c r="Z776" i="7" s="1"/>
  <c r="AA777" i="7"/>
  <c r="Z777" i="7" s="1"/>
  <c r="AA778" i="7"/>
  <c r="Z778" i="7" s="1"/>
  <c r="AA779" i="7"/>
  <c r="Z779" i="7" s="1"/>
  <c r="AA780" i="7"/>
  <c r="Z780" i="7" s="1"/>
  <c r="AA781" i="7"/>
  <c r="Z781" i="7" s="1"/>
  <c r="AA782" i="7"/>
  <c r="Z782" i="7" s="1"/>
  <c r="AA783" i="7"/>
  <c r="Z783" i="7" s="1"/>
  <c r="AA784" i="7"/>
  <c r="Z784" i="7" s="1"/>
  <c r="AA785" i="7"/>
  <c r="Z785" i="7" s="1"/>
  <c r="AA786" i="7"/>
  <c r="Z786" i="7" s="1"/>
  <c r="AA787" i="7"/>
  <c r="Z787" i="7" s="1"/>
  <c r="AA788" i="7"/>
  <c r="Z788" i="7" s="1"/>
  <c r="AA789" i="7"/>
  <c r="Z789" i="7" s="1"/>
  <c r="AA790" i="7"/>
  <c r="Z790" i="7" s="1"/>
  <c r="AA791" i="7"/>
  <c r="Z791" i="7" s="1"/>
  <c r="AA792" i="7"/>
  <c r="Z792" i="7" s="1"/>
  <c r="AA793" i="7"/>
  <c r="Z793" i="7" s="1"/>
  <c r="AA794" i="7"/>
  <c r="Z794" i="7" s="1"/>
  <c r="AA795" i="7"/>
  <c r="Z795" i="7" s="1"/>
  <c r="AA796" i="7"/>
  <c r="Z796" i="7" s="1"/>
  <c r="AA797" i="7"/>
  <c r="Z797" i="7" s="1"/>
  <c r="AA798" i="7"/>
  <c r="Z798" i="7" s="1"/>
  <c r="S799" i="7"/>
  <c r="R799" i="7" s="1"/>
  <c r="AI800" i="7"/>
  <c r="AH800" i="7" s="1"/>
  <c r="S801" i="7"/>
  <c r="R801" i="7" s="1"/>
  <c r="AI802" i="7"/>
  <c r="AH802" i="7" s="1"/>
  <c r="S803" i="7"/>
  <c r="R803" i="7" s="1"/>
  <c r="AI804" i="7"/>
  <c r="AH804" i="7" s="1"/>
  <c r="S805" i="7"/>
  <c r="R805" i="7" s="1"/>
  <c r="AI806" i="7"/>
  <c r="AH806" i="7" s="1"/>
  <c r="S807" i="7"/>
  <c r="R807" i="7" s="1"/>
  <c r="AI808" i="7"/>
  <c r="AH808" i="7" s="1"/>
  <c r="S809" i="7"/>
  <c r="R809" i="7" s="1"/>
  <c r="AI810" i="7"/>
  <c r="AH810" i="7" s="1"/>
  <c r="S811" i="7"/>
  <c r="R811" i="7" s="1"/>
  <c r="AI812" i="7"/>
  <c r="AH812" i="7" s="1"/>
  <c r="S813" i="7"/>
  <c r="R813" i="7" s="1"/>
  <c r="AI814" i="7"/>
  <c r="AH814" i="7" s="1"/>
  <c r="S815" i="7"/>
  <c r="R815" i="7" s="1"/>
  <c r="AI816" i="7"/>
  <c r="AH816" i="7" s="1"/>
  <c r="S817" i="7"/>
  <c r="R817" i="7" s="1"/>
  <c r="AI818" i="7"/>
  <c r="AH818" i="7" s="1"/>
  <c r="AI824" i="7"/>
  <c r="AH824" i="7" s="1"/>
  <c r="AI830" i="7"/>
  <c r="AH830" i="7" s="1"/>
  <c r="AI836" i="7"/>
  <c r="AH836" i="7" s="1"/>
  <c r="AI842" i="7"/>
  <c r="AH842" i="7" s="1"/>
  <c r="T873" i="7"/>
  <c r="S873" i="7"/>
  <c r="D877" i="7"/>
  <c r="C877" i="7"/>
  <c r="AP878" i="7"/>
  <c r="D883" i="7"/>
  <c r="C883" i="7"/>
  <c r="AP884" i="7"/>
  <c r="D889" i="7"/>
  <c r="C889" i="7"/>
  <c r="AP890" i="7"/>
  <c r="D895" i="7"/>
  <c r="C895" i="7"/>
  <c r="AP896" i="7"/>
  <c r="D901" i="7"/>
  <c r="C901" i="7"/>
  <c r="AP902" i="7"/>
  <c r="D907" i="7"/>
  <c r="C907" i="7"/>
  <c r="AP908" i="7"/>
  <c r="D913" i="7"/>
  <c r="C913" i="7"/>
  <c r="AR820" i="7"/>
  <c r="AP820" i="7" s="1"/>
  <c r="S821" i="7"/>
  <c r="R821" i="7" s="1"/>
  <c r="C824" i="7"/>
  <c r="B824" i="7" s="1"/>
  <c r="AR826" i="7"/>
  <c r="AP826" i="7" s="1"/>
  <c r="S827" i="7"/>
  <c r="R827" i="7" s="1"/>
  <c r="C830" i="7"/>
  <c r="B830" i="7" s="1"/>
  <c r="AR832" i="7"/>
  <c r="AP832" i="7" s="1"/>
  <c r="S833" i="7"/>
  <c r="R833" i="7" s="1"/>
  <c r="C836" i="7"/>
  <c r="B836" i="7" s="1"/>
  <c r="AR838" i="7"/>
  <c r="AP838" i="7" s="1"/>
  <c r="S839" i="7"/>
  <c r="R839" i="7" s="1"/>
  <c r="C842" i="7"/>
  <c r="B842" i="7" s="1"/>
  <c r="AR844" i="7"/>
  <c r="AP844" i="7" s="1"/>
  <c r="S845" i="7"/>
  <c r="R845" i="7" s="1"/>
  <c r="S849" i="7"/>
  <c r="R849" i="7" s="1"/>
  <c r="AI851" i="7"/>
  <c r="AH851" i="7" s="1"/>
  <c r="C853" i="7"/>
  <c r="B853" i="7" s="1"/>
  <c r="S855" i="7"/>
  <c r="R855" i="7" s="1"/>
  <c r="AI857" i="7"/>
  <c r="AH857" i="7" s="1"/>
  <c r="C859" i="7"/>
  <c r="B859" i="7" s="1"/>
  <c r="S861" i="7"/>
  <c r="R861" i="7" s="1"/>
  <c r="AI863" i="7"/>
  <c r="AH863" i="7" s="1"/>
  <c r="C865" i="7"/>
  <c r="B865" i="7" s="1"/>
  <c r="S867" i="7"/>
  <c r="R867" i="7" s="1"/>
  <c r="AI869" i="7"/>
  <c r="AH869" i="7" s="1"/>
  <c r="C871" i="7"/>
  <c r="B871" i="7" s="1"/>
  <c r="AH873" i="7"/>
  <c r="AH877" i="7"/>
  <c r="D878" i="7"/>
  <c r="C878" i="7"/>
  <c r="AP879" i="7"/>
  <c r="AH883" i="7"/>
  <c r="D884" i="7"/>
  <c r="C884" i="7"/>
  <c r="AP885" i="7"/>
  <c r="AH889" i="7"/>
  <c r="D890" i="7"/>
  <c r="C890" i="7"/>
  <c r="AP891" i="7"/>
  <c r="AH895" i="7"/>
  <c r="D896" i="7"/>
  <c r="C896" i="7"/>
  <c r="AP897" i="7"/>
  <c r="AH901" i="7"/>
  <c r="D902" i="7"/>
  <c r="C902" i="7"/>
  <c r="AP903" i="7"/>
  <c r="AH907" i="7"/>
  <c r="D908" i="7"/>
  <c r="C908" i="7"/>
  <c r="AH913" i="7"/>
  <c r="AH919" i="7"/>
  <c r="AH925" i="7"/>
  <c r="AH931" i="7"/>
  <c r="AH937" i="7"/>
  <c r="AH943" i="7"/>
  <c r="AH949" i="7"/>
  <c r="D879" i="7"/>
  <c r="C879" i="7"/>
  <c r="D885" i="7"/>
  <c r="C885" i="7"/>
  <c r="D891" i="7"/>
  <c r="C891" i="7"/>
  <c r="D897" i="7"/>
  <c r="C897" i="7"/>
  <c r="D903" i="7"/>
  <c r="C903" i="7"/>
  <c r="D909" i="7"/>
  <c r="C909" i="7"/>
  <c r="AP875" i="7"/>
  <c r="D880" i="7"/>
  <c r="C880" i="7"/>
  <c r="AP881" i="7"/>
  <c r="D886" i="7"/>
  <c r="C886" i="7"/>
  <c r="AP887" i="7"/>
  <c r="D892" i="7"/>
  <c r="C892" i="7"/>
  <c r="AP893" i="7"/>
  <c r="D898" i="7"/>
  <c r="C898" i="7"/>
  <c r="D904" i="7"/>
  <c r="C904" i="7"/>
  <c r="AP905" i="7"/>
  <c r="D910" i="7"/>
  <c r="C910" i="7"/>
  <c r="AP911" i="7"/>
  <c r="C914" i="7"/>
  <c r="B914" i="7" s="1"/>
  <c r="C915" i="7"/>
  <c r="B915" i="7" s="1"/>
  <c r="C916" i="7"/>
  <c r="B916" i="7" s="1"/>
  <c r="C917" i="7"/>
  <c r="B917" i="7" s="1"/>
  <c r="C918" i="7"/>
  <c r="B918" i="7" s="1"/>
  <c r="C919" i="7"/>
  <c r="B919" i="7" s="1"/>
  <c r="C920" i="7"/>
  <c r="B920" i="7" s="1"/>
  <c r="C921" i="7"/>
  <c r="B921" i="7" s="1"/>
  <c r="C922" i="7"/>
  <c r="B922" i="7" s="1"/>
  <c r="C923" i="7"/>
  <c r="B923" i="7" s="1"/>
  <c r="C924" i="7"/>
  <c r="B924" i="7" s="1"/>
  <c r="C925" i="7"/>
  <c r="B925" i="7" s="1"/>
  <c r="C926" i="7"/>
  <c r="B926" i="7" s="1"/>
  <c r="C927" i="7"/>
  <c r="B927" i="7" s="1"/>
  <c r="C928" i="7"/>
  <c r="B928" i="7" s="1"/>
  <c r="C929" i="7"/>
  <c r="B929" i="7" s="1"/>
  <c r="C930" i="7"/>
  <c r="B930" i="7" s="1"/>
  <c r="C931" i="7"/>
  <c r="B931" i="7" s="1"/>
  <c r="C932" i="7"/>
  <c r="B932" i="7" s="1"/>
  <c r="C933" i="7"/>
  <c r="B933" i="7" s="1"/>
  <c r="C934" i="7"/>
  <c r="B934" i="7" s="1"/>
  <c r="C935" i="7"/>
  <c r="B935" i="7" s="1"/>
  <c r="C936" i="7"/>
  <c r="B936" i="7" s="1"/>
  <c r="C937" i="7"/>
  <c r="B937" i="7" s="1"/>
  <c r="C938" i="7"/>
  <c r="B938" i="7" s="1"/>
  <c r="C939" i="7"/>
  <c r="B939" i="7" s="1"/>
  <c r="C940" i="7"/>
  <c r="B940" i="7" s="1"/>
  <c r="C941" i="7"/>
  <c r="B941" i="7" s="1"/>
  <c r="C942" i="7"/>
  <c r="B942" i="7" s="1"/>
  <c r="C943" i="7"/>
  <c r="B943" i="7" s="1"/>
  <c r="C944" i="7"/>
  <c r="B944" i="7" s="1"/>
  <c r="C945" i="7"/>
  <c r="B945" i="7" s="1"/>
  <c r="C946" i="7"/>
  <c r="B946" i="7" s="1"/>
  <c r="C947" i="7"/>
  <c r="B947" i="7" s="1"/>
  <c r="C948" i="7"/>
  <c r="B948" i="7" s="1"/>
  <c r="C949" i="7"/>
  <c r="B949" i="7" s="1"/>
  <c r="C950" i="7"/>
  <c r="B950" i="7" s="1"/>
  <c r="C951" i="7"/>
  <c r="B951" i="7" s="1"/>
  <c r="C952" i="7"/>
  <c r="B952" i="7" s="1"/>
  <c r="AA953" i="7"/>
  <c r="Z953" i="7" s="1"/>
  <c r="AA955" i="7"/>
  <c r="Z955" i="7" s="1"/>
  <c r="AA957" i="7"/>
  <c r="Z957" i="7" s="1"/>
  <c r="AA959" i="7"/>
  <c r="Z959" i="7" s="1"/>
  <c r="AA961" i="7"/>
  <c r="Z961" i="7" s="1"/>
  <c r="AA963" i="7"/>
  <c r="Z963" i="7" s="1"/>
  <c r="AA965" i="7"/>
  <c r="Z965" i="7" s="1"/>
  <c r="AA967" i="7"/>
  <c r="Z967" i="7" s="1"/>
  <c r="AA969" i="7"/>
  <c r="Z969" i="7" s="1"/>
  <c r="AA971" i="7"/>
  <c r="Z971" i="7" s="1"/>
  <c r="AA973" i="7"/>
  <c r="Z973" i="7" s="1"/>
  <c r="AA975" i="7"/>
  <c r="Z975" i="7" s="1"/>
  <c r="AA977" i="7"/>
  <c r="Z977" i="7" s="1"/>
  <c r="AA979" i="7"/>
  <c r="Z979" i="7" s="1"/>
  <c r="AA981" i="7"/>
  <c r="Z981" i="7" s="1"/>
  <c r="AA983" i="7"/>
  <c r="Z983" i="7" s="1"/>
  <c r="AA985" i="7"/>
  <c r="Z985" i="7" s="1"/>
  <c r="AA987" i="7"/>
  <c r="Z987" i="7" s="1"/>
  <c r="AA989" i="7"/>
  <c r="Z989" i="7" s="1"/>
  <c r="AA991" i="7"/>
  <c r="Z991" i="7" s="1"/>
  <c r="AA993" i="7"/>
  <c r="Z993" i="7" s="1"/>
  <c r="D1012" i="7"/>
  <c r="C1012" i="7"/>
  <c r="D1015" i="7"/>
  <c r="C1015" i="7"/>
  <c r="D1018" i="7"/>
  <c r="C1018" i="7"/>
  <c r="D1021" i="7"/>
  <c r="C1021" i="7"/>
  <c r="D1024" i="7"/>
  <c r="C1024" i="7"/>
  <c r="D1027" i="7"/>
  <c r="C1027" i="7"/>
  <c r="D1030" i="7"/>
  <c r="C1030" i="7"/>
  <c r="D1033" i="7"/>
  <c r="C1033" i="7"/>
  <c r="D1036" i="7"/>
  <c r="C1036" i="7"/>
  <c r="D1039" i="7"/>
  <c r="C1039" i="7"/>
  <c r="D1042" i="7"/>
  <c r="C1042" i="7"/>
  <c r="D1045" i="7"/>
  <c r="C1045" i="7"/>
  <c r="D1048" i="7"/>
  <c r="C1048" i="7"/>
  <c r="AJ1088" i="7"/>
  <c r="AI1088" i="7"/>
  <c r="AH1118" i="7"/>
  <c r="AH1121" i="7"/>
  <c r="AH1130" i="7"/>
  <c r="AH1136" i="7"/>
  <c r="AH1139" i="7"/>
  <c r="AH1142" i="7"/>
  <c r="AH1154" i="7"/>
  <c r="AH1160" i="7"/>
  <c r="AH1166" i="7"/>
  <c r="AH1169" i="7"/>
  <c r="AH1172" i="7"/>
  <c r="AH1190" i="7"/>
  <c r="AH1193" i="7"/>
  <c r="C954" i="7"/>
  <c r="B954" i="7" s="1"/>
  <c r="C956" i="7"/>
  <c r="B956" i="7" s="1"/>
  <c r="C958" i="7"/>
  <c r="B958" i="7" s="1"/>
  <c r="C960" i="7"/>
  <c r="B960" i="7" s="1"/>
  <c r="C962" i="7"/>
  <c r="B962" i="7" s="1"/>
  <c r="C964" i="7"/>
  <c r="B964" i="7" s="1"/>
  <c r="C966" i="7"/>
  <c r="B966" i="7" s="1"/>
  <c r="C968" i="7"/>
  <c r="B968" i="7" s="1"/>
  <c r="C970" i="7"/>
  <c r="B970" i="7" s="1"/>
  <c r="C972" i="7"/>
  <c r="B972" i="7" s="1"/>
  <c r="C974" i="7"/>
  <c r="B974" i="7" s="1"/>
  <c r="C976" i="7"/>
  <c r="B976" i="7" s="1"/>
  <c r="C978" i="7"/>
  <c r="B978" i="7" s="1"/>
  <c r="C980" i="7"/>
  <c r="B980" i="7" s="1"/>
  <c r="C982" i="7"/>
  <c r="B982" i="7" s="1"/>
  <c r="C984" i="7"/>
  <c r="B984" i="7" s="1"/>
  <c r="C986" i="7"/>
  <c r="B986" i="7" s="1"/>
  <c r="C988" i="7"/>
  <c r="B988" i="7" s="1"/>
  <c r="C990" i="7"/>
  <c r="B990" i="7" s="1"/>
  <c r="C992" i="7"/>
  <c r="B992" i="7" s="1"/>
  <c r="C994" i="7"/>
  <c r="B994" i="7" s="1"/>
  <c r="C995" i="7"/>
  <c r="B995" i="7" s="1"/>
  <c r="C996" i="7"/>
  <c r="B996" i="7" s="1"/>
  <c r="C997" i="7"/>
  <c r="B997" i="7" s="1"/>
  <c r="C998" i="7"/>
  <c r="B998" i="7" s="1"/>
  <c r="C999" i="7"/>
  <c r="B999" i="7" s="1"/>
  <c r="C1000" i="7"/>
  <c r="B1000" i="7" s="1"/>
  <c r="C1001" i="7"/>
  <c r="B1001" i="7" s="1"/>
  <c r="C1002" i="7"/>
  <c r="B1002" i="7" s="1"/>
  <c r="C1003" i="7"/>
  <c r="B1003" i="7" s="1"/>
  <c r="C1004" i="7"/>
  <c r="B1004" i="7" s="1"/>
  <c r="C1005" i="7"/>
  <c r="B1005" i="7" s="1"/>
  <c r="C1006" i="7"/>
  <c r="B1006" i="7" s="1"/>
  <c r="C1007" i="7"/>
  <c r="B1007" i="7" s="1"/>
  <c r="C1008" i="7"/>
  <c r="B1008" i="7" s="1"/>
  <c r="C1009" i="7"/>
  <c r="B1009" i="7" s="1"/>
  <c r="C1010" i="7"/>
  <c r="B1010" i="7" s="1"/>
  <c r="C1011" i="7"/>
  <c r="B1011" i="7" s="1"/>
  <c r="R1012" i="7"/>
  <c r="AP1012" i="7"/>
  <c r="AI1013" i="7"/>
  <c r="AH1013" i="7" s="1"/>
  <c r="R1015" i="7"/>
  <c r="AP1015" i="7"/>
  <c r="AI1016" i="7"/>
  <c r="AH1016" i="7" s="1"/>
  <c r="R1018" i="7"/>
  <c r="AI1019" i="7"/>
  <c r="AH1019" i="7" s="1"/>
  <c r="AP1021" i="7"/>
  <c r="AI1022" i="7"/>
  <c r="AH1022" i="7" s="1"/>
  <c r="R1024" i="7"/>
  <c r="AP1024" i="7"/>
  <c r="AI1025" i="7"/>
  <c r="AH1025" i="7" s="1"/>
  <c r="R1027" i="7"/>
  <c r="AP1027" i="7"/>
  <c r="AI1028" i="7"/>
  <c r="AH1028" i="7" s="1"/>
  <c r="R1030" i="7"/>
  <c r="AI1031" i="7"/>
  <c r="AH1031" i="7" s="1"/>
  <c r="R1033" i="7"/>
  <c r="AP1033" i="7"/>
  <c r="AI1034" i="7"/>
  <c r="AH1034" i="7" s="1"/>
  <c r="R1036" i="7"/>
  <c r="AP1036" i="7"/>
  <c r="AI1037" i="7"/>
  <c r="AH1037" i="7" s="1"/>
  <c r="R1039" i="7"/>
  <c r="AP1039" i="7"/>
  <c r="AI1040" i="7"/>
  <c r="AH1040" i="7" s="1"/>
  <c r="R1042" i="7"/>
  <c r="AP1042" i="7"/>
  <c r="AI1043" i="7"/>
  <c r="AH1043" i="7" s="1"/>
  <c r="AP1045" i="7"/>
  <c r="AI1046" i="7"/>
  <c r="AH1046" i="7" s="1"/>
  <c r="R1048" i="7"/>
  <c r="AP1048" i="7"/>
  <c r="AI1049" i="7"/>
  <c r="AH1049" i="7" s="1"/>
  <c r="AJ1083" i="7"/>
  <c r="AI1083" i="7"/>
  <c r="AJ1089" i="7"/>
  <c r="AI1089" i="7"/>
  <c r="Z1214" i="7"/>
  <c r="D1014" i="7"/>
  <c r="C1014" i="7"/>
  <c r="D1017" i="7"/>
  <c r="C1017" i="7"/>
  <c r="D1020" i="7"/>
  <c r="C1020" i="7"/>
  <c r="D1023" i="7"/>
  <c r="C1023" i="7"/>
  <c r="D1026" i="7"/>
  <c r="C1026" i="7"/>
  <c r="D1029" i="7"/>
  <c r="C1029" i="7"/>
  <c r="D1032" i="7"/>
  <c r="C1032" i="7"/>
  <c r="D1035" i="7"/>
  <c r="C1035" i="7"/>
  <c r="D1038" i="7"/>
  <c r="C1038" i="7"/>
  <c r="D1041" i="7"/>
  <c r="C1041" i="7"/>
  <c r="D1044" i="7"/>
  <c r="C1044" i="7"/>
  <c r="D1047" i="7"/>
  <c r="C1047" i="7"/>
  <c r="D1050" i="7"/>
  <c r="C1050" i="7"/>
  <c r="D1052" i="7"/>
  <c r="C1052" i="7"/>
  <c r="D1054" i="7"/>
  <c r="C1054" i="7"/>
  <c r="D1056" i="7"/>
  <c r="C1056" i="7"/>
  <c r="D1058" i="7"/>
  <c r="C1058" i="7"/>
  <c r="D1060" i="7"/>
  <c r="C1060" i="7"/>
  <c r="D1062" i="7"/>
  <c r="C1062" i="7"/>
  <c r="D1064" i="7"/>
  <c r="C1064" i="7"/>
  <c r="D1066" i="7"/>
  <c r="C1066" i="7"/>
  <c r="D1068" i="7"/>
  <c r="C1068" i="7"/>
  <c r="D1070" i="7"/>
  <c r="C1070" i="7"/>
  <c r="D1072" i="7"/>
  <c r="C1072" i="7"/>
  <c r="D1074" i="7"/>
  <c r="C1074" i="7"/>
  <c r="D1076" i="7"/>
  <c r="C1076" i="7"/>
  <c r="D1078" i="7"/>
  <c r="C1078" i="7"/>
  <c r="D1080" i="7"/>
  <c r="C1080" i="7"/>
  <c r="D1082" i="7"/>
  <c r="C1082" i="7"/>
  <c r="AJ1084" i="7"/>
  <c r="AI1084" i="7"/>
  <c r="AJ1090" i="7"/>
  <c r="AI1090" i="7"/>
  <c r="AR953" i="7"/>
  <c r="AP953" i="7" s="1"/>
  <c r="AR955" i="7"/>
  <c r="AP955" i="7" s="1"/>
  <c r="AR957" i="7"/>
  <c r="AP957" i="7" s="1"/>
  <c r="AR959" i="7"/>
  <c r="AP959" i="7" s="1"/>
  <c r="AR961" i="7"/>
  <c r="AP961" i="7" s="1"/>
  <c r="AR963" i="7"/>
  <c r="AP963" i="7" s="1"/>
  <c r="AR965" i="7"/>
  <c r="AP965" i="7" s="1"/>
  <c r="AR967" i="7"/>
  <c r="AP967" i="7" s="1"/>
  <c r="AR969" i="7"/>
  <c r="AP969" i="7" s="1"/>
  <c r="AR971" i="7"/>
  <c r="AP971" i="7" s="1"/>
  <c r="AR973" i="7"/>
  <c r="AP973" i="7" s="1"/>
  <c r="AR975" i="7"/>
  <c r="AP975" i="7" s="1"/>
  <c r="AR977" i="7"/>
  <c r="AP977" i="7" s="1"/>
  <c r="AR979" i="7"/>
  <c r="AP979" i="7" s="1"/>
  <c r="AR981" i="7"/>
  <c r="AP981" i="7" s="1"/>
  <c r="AR983" i="7"/>
  <c r="AP983" i="7" s="1"/>
  <c r="AR985" i="7"/>
  <c r="AP985" i="7" s="1"/>
  <c r="AR987" i="7"/>
  <c r="AP987" i="7" s="1"/>
  <c r="AR989" i="7"/>
  <c r="AP989" i="7" s="1"/>
  <c r="AR991" i="7"/>
  <c r="AP991" i="7" s="1"/>
  <c r="AR993" i="7"/>
  <c r="AP993" i="7" s="1"/>
  <c r="R994" i="7"/>
  <c r="R995" i="7"/>
  <c r="R996" i="7"/>
  <c r="R997" i="7"/>
  <c r="R998" i="7"/>
  <c r="R999" i="7"/>
  <c r="R1000" i="7"/>
  <c r="R1001" i="7"/>
  <c r="R1003" i="7"/>
  <c r="R1004" i="7"/>
  <c r="R1005" i="7"/>
  <c r="R1006" i="7"/>
  <c r="R1007" i="7"/>
  <c r="R1009" i="7"/>
  <c r="R1010" i="7"/>
  <c r="R1011" i="7"/>
  <c r="AP1011" i="7"/>
  <c r="AI1012" i="7"/>
  <c r="AH1012" i="7" s="1"/>
  <c r="AP1014" i="7"/>
  <c r="AI1015" i="7"/>
  <c r="AH1015" i="7" s="1"/>
  <c r="R1017" i="7"/>
  <c r="AP1017" i="7"/>
  <c r="AI1018" i="7"/>
  <c r="AH1018" i="7" s="1"/>
  <c r="R1020" i="7"/>
  <c r="AP1020" i="7"/>
  <c r="AI1021" i="7"/>
  <c r="AH1021" i="7" s="1"/>
  <c r="R1023" i="7"/>
  <c r="AP1023" i="7"/>
  <c r="AI1024" i="7"/>
  <c r="AH1024" i="7" s="1"/>
  <c r="R1026" i="7"/>
  <c r="AP1026" i="7"/>
  <c r="AI1027" i="7"/>
  <c r="AH1027" i="7" s="1"/>
  <c r="R1029" i="7"/>
  <c r="AP1029" i="7"/>
  <c r="AI1030" i="7"/>
  <c r="AH1030" i="7" s="1"/>
  <c r="R1032" i="7"/>
  <c r="AP1032" i="7"/>
  <c r="AI1033" i="7"/>
  <c r="AH1033" i="7" s="1"/>
  <c r="R1035" i="7"/>
  <c r="AP1035" i="7"/>
  <c r="AI1036" i="7"/>
  <c r="AH1036" i="7" s="1"/>
  <c r="R1038" i="7"/>
  <c r="AP1038" i="7"/>
  <c r="AI1039" i="7"/>
  <c r="AH1039" i="7" s="1"/>
  <c r="R1041" i="7"/>
  <c r="AP1041" i="7"/>
  <c r="AI1042" i="7"/>
  <c r="AH1042" i="7" s="1"/>
  <c r="R1044" i="7"/>
  <c r="AI1045" i="7"/>
  <c r="AH1045" i="7" s="1"/>
  <c r="R1047" i="7"/>
  <c r="AP1047" i="7"/>
  <c r="AI1048" i="7"/>
  <c r="AH1048" i="7" s="1"/>
  <c r="AP1050" i="7"/>
  <c r="AP1052" i="7"/>
  <c r="AP1054" i="7"/>
  <c r="AP1056" i="7"/>
  <c r="AP1058" i="7"/>
  <c r="AP1062" i="7"/>
  <c r="AP1064" i="7"/>
  <c r="AP1066" i="7"/>
  <c r="AP1068" i="7"/>
  <c r="AP1070" i="7"/>
  <c r="AP1074" i="7"/>
  <c r="AP1076" i="7"/>
  <c r="AP1080" i="7"/>
  <c r="AP1082" i="7"/>
  <c r="AJ1085" i="7"/>
  <c r="AI1085" i="7"/>
  <c r="Z1087" i="7"/>
  <c r="AJ1091" i="7"/>
  <c r="AI1091" i="7"/>
  <c r="Z1210" i="7"/>
  <c r="Z1216" i="7"/>
  <c r="S874" i="7"/>
  <c r="R874" i="7" s="1"/>
  <c r="S875" i="7"/>
  <c r="R875" i="7" s="1"/>
  <c r="S876" i="7"/>
  <c r="R876" i="7" s="1"/>
  <c r="S877" i="7"/>
  <c r="R877" i="7" s="1"/>
  <c r="S878" i="7"/>
  <c r="R878" i="7" s="1"/>
  <c r="S879" i="7"/>
  <c r="R879" i="7" s="1"/>
  <c r="S880" i="7"/>
  <c r="R880" i="7" s="1"/>
  <c r="S881" i="7"/>
  <c r="R881" i="7" s="1"/>
  <c r="S882" i="7"/>
  <c r="R882" i="7" s="1"/>
  <c r="S883" i="7"/>
  <c r="R883" i="7" s="1"/>
  <c r="S884" i="7"/>
  <c r="R884" i="7" s="1"/>
  <c r="S885" i="7"/>
  <c r="R885" i="7" s="1"/>
  <c r="S886" i="7"/>
  <c r="R886" i="7" s="1"/>
  <c r="S887" i="7"/>
  <c r="R887" i="7" s="1"/>
  <c r="S888" i="7"/>
  <c r="R888" i="7" s="1"/>
  <c r="S889" i="7"/>
  <c r="R889" i="7" s="1"/>
  <c r="S890" i="7"/>
  <c r="R890" i="7" s="1"/>
  <c r="S891" i="7"/>
  <c r="R891" i="7" s="1"/>
  <c r="S892" i="7"/>
  <c r="R892" i="7" s="1"/>
  <c r="S893" i="7"/>
  <c r="R893" i="7" s="1"/>
  <c r="S894" i="7"/>
  <c r="R894" i="7" s="1"/>
  <c r="S895" i="7"/>
  <c r="R895" i="7" s="1"/>
  <c r="S896" i="7"/>
  <c r="R896" i="7" s="1"/>
  <c r="S897" i="7"/>
  <c r="R897" i="7" s="1"/>
  <c r="S898" i="7"/>
  <c r="R898" i="7" s="1"/>
  <c r="S899" i="7"/>
  <c r="R899" i="7" s="1"/>
  <c r="S900" i="7"/>
  <c r="R900" i="7" s="1"/>
  <c r="S901" i="7"/>
  <c r="R901" i="7" s="1"/>
  <c r="S902" i="7"/>
  <c r="R902" i="7" s="1"/>
  <c r="S903" i="7"/>
  <c r="R903" i="7" s="1"/>
  <c r="S904" i="7"/>
  <c r="R904" i="7" s="1"/>
  <c r="S905" i="7"/>
  <c r="R905" i="7" s="1"/>
  <c r="S906" i="7"/>
  <c r="R906" i="7" s="1"/>
  <c r="S907" i="7"/>
  <c r="R907" i="7" s="1"/>
  <c r="S908" i="7"/>
  <c r="R908" i="7" s="1"/>
  <c r="S909" i="7"/>
  <c r="R909" i="7" s="1"/>
  <c r="S910" i="7"/>
  <c r="R910" i="7" s="1"/>
  <c r="S911" i="7"/>
  <c r="R911" i="7" s="1"/>
  <c r="S912" i="7"/>
  <c r="R912" i="7" s="1"/>
  <c r="S913" i="7"/>
  <c r="R913" i="7" s="1"/>
  <c r="S914" i="7"/>
  <c r="R914" i="7" s="1"/>
  <c r="S915" i="7"/>
  <c r="R915" i="7" s="1"/>
  <c r="S916" i="7"/>
  <c r="R916" i="7" s="1"/>
  <c r="S917" i="7"/>
  <c r="R917" i="7" s="1"/>
  <c r="S918" i="7"/>
  <c r="R918" i="7" s="1"/>
  <c r="S919" i="7"/>
  <c r="R919" i="7" s="1"/>
  <c r="S920" i="7"/>
  <c r="R920" i="7" s="1"/>
  <c r="S921" i="7"/>
  <c r="R921" i="7" s="1"/>
  <c r="S922" i="7"/>
  <c r="R922" i="7" s="1"/>
  <c r="S923" i="7"/>
  <c r="R923" i="7" s="1"/>
  <c r="S924" i="7"/>
  <c r="R924" i="7" s="1"/>
  <c r="S925" i="7"/>
  <c r="R925" i="7" s="1"/>
  <c r="S926" i="7"/>
  <c r="R926" i="7" s="1"/>
  <c r="S927" i="7"/>
  <c r="R927" i="7" s="1"/>
  <c r="S928" i="7"/>
  <c r="R928" i="7" s="1"/>
  <c r="S929" i="7"/>
  <c r="R929" i="7" s="1"/>
  <c r="S930" i="7"/>
  <c r="R930" i="7" s="1"/>
  <c r="S931" i="7"/>
  <c r="R931" i="7" s="1"/>
  <c r="S932" i="7"/>
  <c r="R932" i="7" s="1"/>
  <c r="S933" i="7"/>
  <c r="R933" i="7" s="1"/>
  <c r="S934" i="7"/>
  <c r="R934" i="7" s="1"/>
  <c r="S935" i="7"/>
  <c r="R935" i="7" s="1"/>
  <c r="S936" i="7"/>
  <c r="R936" i="7" s="1"/>
  <c r="S937" i="7"/>
  <c r="R937" i="7" s="1"/>
  <c r="S938" i="7"/>
  <c r="R938" i="7" s="1"/>
  <c r="S939" i="7"/>
  <c r="R939" i="7" s="1"/>
  <c r="S940" i="7"/>
  <c r="R940" i="7" s="1"/>
  <c r="S941" i="7"/>
  <c r="R941" i="7" s="1"/>
  <c r="S942" i="7"/>
  <c r="R942" i="7" s="1"/>
  <c r="S943" i="7"/>
  <c r="R943" i="7" s="1"/>
  <c r="S944" i="7"/>
  <c r="R944" i="7" s="1"/>
  <c r="S945" i="7"/>
  <c r="R945" i="7" s="1"/>
  <c r="S946" i="7"/>
  <c r="R946" i="7" s="1"/>
  <c r="S947" i="7"/>
  <c r="R947" i="7" s="1"/>
  <c r="S948" i="7"/>
  <c r="R948" i="7" s="1"/>
  <c r="S949" i="7"/>
  <c r="R949" i="7" s="1"/>
  <c r="S950" i="7"/>
  <c r="R950" i="7" s="1"/>
  <c r="S951" i="7"/>
  <c r="R951" i="7" s="1"/>
  <c r="S952" i="7"/>
  <c r="R952" i="7" s="1"/>
  <c r="AI953" i="7"/>
  <c r="AH953" i="7" s="1"/>
  <c r="S954" i="7"/>
  <c r="R954" i="7" s="1"/>
  <c r="AI955" i="7"/>
  <c r="AH955" i="7" s="1"/>
  <c r="S956" i="7"/>
  <c r="R956" i="7" s="1"/>
  <c r="AI957" i="7"/>
  <c r="AH957" i="7" s="1"/>
  <c r="S958" i="7"/>
  <c r="R958" i="7" s="1"/>
  <c r="AI959" i="7"/>
  <c r="AH959" i="7" s="1"/>
  <c r="S960" i="7"/>
  <c r="R960" i="7" s="1"/>
  <c r="AI961" i="7"/>
  <c r="AH961" i="7" s="1"/>
  <c r="S962" i="7"/>
  <c r="R962" i="7" s="1"/>
  <c r="AI963" i="7"/>
  <c r="AH963" i="7" s="1"/>
  <c r="S964" i="7"/>
  <c r="R964" i="7" s="1"/>
  <c r="AI965" i="7"/>
  <c r="AH965" i="7" s="1"/>
  <c r="S966" i="7"/>
  <c r="R966" i="7" s="1"/>
  <c r="AI967" i="7"/>
  <c r="AH967" i="7" s="1"/>
  <c r="S968" i="7"/>
  <c r="R968" i="7" s="1"/>
  <c r="AI969" i="7"/>
  <c r="AH969" i="7" s="1"/>
  <c r="S970" i="7"/>
  <c r="R970" i="7" s="1"/>
  <c r="AI971" i="7"/>
  <c r="AH971" i="7" s="1"/>
  <c r="S972" i="7"/>
  <c r="R972" i="7" s="1"/>
  <c r="AI973" i="7"/>
  <c r="AH973" i="7" s="1"/>
  <c r="S974" i="7"/>
  <c r="R974" i="7" s="1"/>
  <c r="AI975" i="7"/>
  <c r="AH975" i="7" s="1"/>
  <c r="S976" i="7"/>
  <c r="R976" i="7" s="1"/>
  <c r="AI977" i="7"/>
  <c r="AH977" i="7" s="1"/>
  <c r="S978" i="7"/>
  <c r="R978" i="7" s="1"/>
  <c r="AI979" i="7"/>
  <c r="AH979" i="7" s="1"/>
  <c r="S980" i="7"/>
  <c r="R980" i="7" s="1"/>
  <c r="AI981" i="7"/>
  <c r="AH981" i="7" s="1"/>
  <c r="S982" i="7"/>
  <c r="R982" i="7" s="1"/>
  <c r="AI983" i="7"/>
  <c r="AH983" i="7" s="1"/>
  <c r="S984" i="7"/>
  <c r="R984" i="7" s="1"/>
  <c r="AI985" i="7"/>
  <c r="AH985" i="7" s="1"/>
  <c r="S986" i="7"/>
  <c r="R986" i="7" s="1"/>
  <c r="AI987" i="7"/>
  <c r="AH987" i="7" s="1"/>
  <c r="S988" i="7"/>
  <c r="R988" i="7" s="1"/>
  <c r="AI989" i="7"/>
  <c r="AH989" i="7" s="1"/>
  <c r="S990" i="7"/>
  <c r="R990" i="7" s="1"/>
  <c r="AI991" i="7"/>
  <c r="AH991" i="7" s="1"/>
  <c r="S992" i="7"/>
  <c r="R992" i="7" s="1"/>
  <c r="AI993" i="7"/>
  <c r="AH993" i="7" s="1"/>
  <c r="D1013" i="7"/>
  <c r="C1013" i="7"/>
  <c r="D1016" i="7"/>
  <c r="C1016" i="7"/>
  <c r="D1019" i="7"/>
  <c r="C1019" i="7"/>
  <c r="D1022" i="7"/>
  <c r="C1022" i="7"/>
  <c r="D1025" i="7"/>
  <c r="C1025" i="7"/>
  <c r="D1028" i="7"/>
  <c r="C1028" i="7"/>
  <c r="D1031" i="7"/>
  <c r="C1031" i="7"/>
  <c r="D1034" i="7"/>
  <c r="C1034" i="7"/>
  <c r="D1037" i="7"/>
  <c r="C1037" i="7"/>
  <c r="D1040" i="7"/>
  <c r="C1040" i="7"/>
  <c r="D1043" i="7"/>
  <c r="C1043" i="7"/>
  <c r="D1046" i="7"/>
  <c r="C1046" i="7"/>
  <c r="D1049" i="7"/>
  <c r="C1049" i="7"/>
  <c r="AJ1086" i="7"/>
  <c r="AI1086" i="7"/>
  <c r="AJ1092" i="7"/>
  <c r="AI1092" i="7"/>
  <c r="AI994" i="7"/>
  <c r="AH994" i="7" s="1"/>
  <c r="AI995" i="7"/>
  <c r="AH995" i="7" s="1"/>
  <c r="AI996" i="7"/>
  <c r="AH996" i="7" s="1"/>
  <c r="AI997" i="7"/>
  <c r="AH997" i="7" s="1"/>
  <c r="AI998" i="7"/>
  <c r="AH998" i="7" s="1"/>
  <c r="AI999" i="7"/>
  <c r="AH999" i="7" s="1"/>
  <c r="AI1000" i="7"/>
  <c r="AH1000" i="7" s="1"/>
  <c r="AI1001" i="7"/>
  <c r="AH1001" i="7" s="1"/>
  <c r="AI1002" i="7"/>
  <c r="AH1002" i="7" s="1"/>
  <c r="AI1003" i="7"/>
  <c r="AH1003" i="7" s="1"/>
  <c r="AI1004" i="7"/>
  <c r="AH1004" i="7" s="1"/>
  <c r="AI1005" i="7"/>
  <c r="AH1005" i="7" s="1"/>
  <c r="AI1006" i="7"/>
  <c r="AH1006" i="7" s="1"/>
  <c r="AI1007" i="7"/>
  <c r="AH1007" i="7" s="1"/>
  <c r="AI1008" i="7"/>
  <c r="AH1008" i="7" s="1"/>
  <c r="AI1009" i="7"/>
  <c r="AH1009" i="7" s="1"/>
  <c r="AI1010" i="7"/>
  <c r="AH1010" i="7" s="1"/>
  <c r="AI1011" i="7"/>
  <c r="AH1011" i="7" s="1"/>
  <c r="R1013" i="7"/>
  <c r="AP1013" i="7"/>
  <c r="AI1014" i="7"/>
  <c r="AH1014" i="7" s="1"/>
  <c r="R1016" i="7"/>
  <c r="AP1016" i="7"/>
  <c r="AI1017" i="7"/>
  <c r="AH1017" i="7" s="1"/>
  <c r="R1019" i="7"/>
  <c r="AP1019" i="7"/>
  <c r="AI1020" i="7"/>
  <c r="AH1020" i="7" s="1"/>
  <c r="AI1023" i="7"/>
  <c r="AH1023" i="7" s="1"/>
  <c r="R1025" i="7"/>
  <c r="AI1026" i="7"/>
  <c r="AH1026" i="7" s="1"/>
  <c r="R1028" i="7"/>
  <c r="AP1028" i="7"/>
  <c r="AI1029" i="7"/>
  <c r="AH1029" i="7" s="1"/>
  <c r="R1031" i="7"/>
  <c r="AP1031" i="7"/>
  <c r="AI1032" i="7"/>
  <c r="AH1032" i="7" s="1"/>
  <c r="R1034" i="7"/>
  <c r="AI1035" i="7"/>
  <c r="AH1035" i="7" s="1"/>
  <c r="R1037" i="7"/>
  <c r="AP1037" i="7"/>
  <c r="AI1038" i="7"/>
  <c r="AH1038" i="7" s="1"/>
  <c r="R1040" i="7"/>
  <c r="AI1041" i="7"/>
  <c r="AH1041" i="7" s="1"/>
  <c r="R1043" i="7"/>
  <c r="AI1044" i="7"/>
  <c r="AH1044" i="7" s="1"/>
  <c r="R1046" i="7"/>
  <c r="AP1046" i="7"/>
  <c r="AI1047" i="7"/>
  <c r="AH1047" i="7" s="1"/>
  <c r="R1049" i="7"/>
  <c r="AP1049" i="7"/>
  <c r="AI1050" i="7"/>
  <c r="AH1050" i="7" s="1"/>
  <c r="D1051" i="7"/>
  <c r="C1051" i="7"/>
  <c r="AI1052" i="7"/>
  <c r="AH1052" i="7" s="1"/>
  <c r="D1053" i="7"/>
  <c r="C1053" i="7"/>
  <c r="AI1054" i="7"/>
  <c r="AH1054" i="7" s="1"/>
  <c r="D1055" i="7"/>
  <c r="C1055" i="7"/>
  <c r="AI1056" i="7"/>
  <c r="AH1056" i="7" s="1"/>
  <c r="D1057" i="7"/>
  <c r="C1057" i="7"/>
  <c r="AI1058" i="7"/>
  <c r="AH1058" i="7" s="1"/>
  <c r="D1059" i="7"/>
  <c r="C1059" i="7"/>
  <c r="AI1060" i="7"/>
  <c r="AH1060" i="7" s="1"/>
  <c r="D1061" i="7"/>
  <c r="C1061" i="7"/>
  <c r="AI1062" i="7"/>
  <c r="AH1062" i="7" s="1"/>
  <c r="D1063" i="7"/>
  <c r="C1063" i="7"/>
  <c r="AI1064" i="7"/>
  <c r="AH1064" i="7" s="1"/>
  <c r="D1065" i="7"/>
  <c r="C1065" i="7"/>
  <c r="AI1066" i="7"/>
  <c r="AH1066" i="7" s="1"/>
  <c r="D1067" i="7"/>
  <c r="C1067" i="7"/>
  <c r="AI1068" i="7"/>
  <c r="AH1068" i="7" s="1"/>
  <c r="D1069" i="7"/>
  <c r="C1069" i="7"/>
  <c r="AI1070" i="7"/>
  <c r="AH1070" i="7" s="1"/>
  <c r="D1071" i="7"/>
  <c r="C1071" i="7"/>
  <c r="AI1072" i="7"/>
  <c r="AH1072" i="7" s="1"/>
  <c r="D1073" i="7"/>
  <c r="C1073" i="7"/>
  <c r="AI1074" i="7"/>
  <c r="AH1074" i="7" s="1"/>
  <c r="D1075" i="7"/>
  <c r="C1075" i="7"/>
  <c r="AI1076" i="7"/>
  <c r="AH1076" i="7" s="1"/>
  <c r="D1077" i="7"/>
  <c r="C1077" i="7"/>
  <c r="AI1078" i="7"/>
  <c r="AH1078" i="7" s="1"/>
  <c r="D1079" i="7"/>
  <c r="C1079" i="7"/>
  <c r="AI1080" i="7"/>
  <c r="AH1080" i="7" s="1"/>
  <c r="D1081" i="7"/>
  <c r="C1081" i="7"/>
  <c r="AI1082" i="7"/>
  <c r="AH1082" i="7" s="1"/>
  <c r="Z1083" i="7"/>
  <c r="AJ1087" i="7"/>
  <c r="AI1087" i="7"/>
  <c r="Z1089" i="7"/>
  <c r="AI1251" i="7"/>
  <c r="AH1251" i="7" s="1"/>
  <c r="AI1254" i="7"/>
  <c r="AH1254" i="7" s="1"/>
  <c r="AI1257" i="7"/>
  <c r="AH1257" i="7" s="1"/>
  <c r="AI1260" i="7"/>
  <c r="AH1260" i="7" s="1"/>
  <c r="AI1263" i="7"/>
  <c r="AH1263" i="7" s="1"/>
  <c r="AI1266" i="7"/>
  <c r="AH1266" i="7" s="1"/>
  <c r="AI1269" i="7"/>
  <c r="AH1269" i="7" s="1"/>
  <c r="AI1272" i="7"/>
  <c r="AH1272" i="7" s="1"/>
  <c r="AI1275" i="7"/>
  <c r="AH1275" i="7" s="1"/>
  <c r="AI1278" i="7"/>
  <c r="AH1278" i="7" s="1"/>
  <c r="AI1281" i="7"/>
  <c r="AH1281" i="7" s="1"/>
  <c r="AI1284" i="7"/>
  <c r="AH1284" i="7" s="1"/>
  <c r="AJ1304" i="7"/>
  <c r="AI1304" i="7"/>
  <c r="AJ1310" i="7"/>
  <c r="AI1310" i="7"/>
  <c r="AJ1316" i="7"/>
  <c r="AI1316" i="7"/>
  <c r="C1083" i="7"/>
  <c r="B1083" i="7" s="1"/>
  <c r="C1084" i="7"/>
  <c r="B1084" i="7" s="1"/>
  <c r="C1085" i="7"/>
  <c r="B1085" i="7" s="1"/>
  <c r="C1086" i="7"/>
  <c r="B1086" i="7" s="1"/>
  <c r="C1087" i="7"/>
  <c r="B1087" i="7" s="1"/>
  <c r="C1088" i="7"/>
  <c r="B1088" i="7" s="1"/>
  <c r="C1089" i="7"/>
  <c r="B1089" i="7" s="1"/>
  <c r="C1090" i="7"/>
  <c r="B1090" i="7" s="1"/>
  <c r="C1091" i="7"/>
  <c r="B1091" i="7" s="1"/>
  <c r="C1092" i="7"/>
  <c r="B1092" i="7" s="1"/>
  <c r="C1093" i="7"/>
  <c r="B1093" i="7" s="1"/>
  <c r="C1094" i="7"/>
  <c r="B1094" i="7" s="1"/>
  <c r="C1095" i="7"/>
  <c r="B1095" i="7" s="1"/>
  <c r="C1096" i="7"/>
  <c r="B1096" i="7" s="1"/>
  <c r="C1097" i="7"/>
  <c r="B1097" i="7" s="1"/>
  <c r="C1098" i="7"/>
  <c r="B1098" i="7" s="1"/>
  <c r="C1099" i="7"/>
  <c r="B1099" i="7" s="1"/>
  <c r="C1100" i="7"/>
  <c r="B1100" i="7" s="1"/>
  <c r="C1101" i="7"/>
  <c r="B1101" i="7" s="1"/>
  <c r="C1102" i="7"/>
  <c r="B1102" i="7" s="1"/>
  <c r="C1103" i="7"/>
  <c r="B1103" i="7" s="1"/>
  <c r="C1104" i="7"/>
  <c r="B1104" i="7" s="1"/>
  <c r="C1105" i="7"/>
  <c r="B1105" i="7" s="1"/>
  <c r="C1106" i="7"/>
  <c r="B1106" i="7" s="1"/>
  <c r="C1107" i="7"/>
  <c r="B1107" i="7" s="1"/>
  <c r="C1108" i="7"/>
  <c r="B1108" i="7" s="1"/>
  <c r="C1109" i="7"/>
  <c r="B1109" i="7" s="1"/>
  <c r="C1110" i="7"/>
  <c r="B1110" i="7" s="1"/>
  <c r="C1111" i="7"/>
  <c r="B1111" i="7" s="1"/>
  <c r="C1112" i="7"/>
  <c r="B1112" i="7" s="1"/>
  <c r="C1113" i="7"/>
  <c r="B1113" i="7" s="1"/>
  <c r="C1114" i="7"/>
  <c r="B1114" i="7" s="1"/>
  <c r="C1115" i="7"/>
  <c r="B1115" i="7" s="1"/>
  <c r="C1116" i="7"/>
  <c r="B1116" i="7" s="1"/>
  <c r="C1117" i="7"/>
  <c r="B1117" i="7" s="1"/>
  <c r="C1118" i="7"/>
  <c r="B1118" i="7" s="1"/>
  <c r="C1119" i="7"/>
  <c r="B1119" i="7" s="1"/>
  <c r="C1120" i="7"/>
  <c r="B1120" i="7" s="1"/>
  <c r="C1121" i="7"/>
  <c r="B1121" i="7" s="1"/>
  <c r="C1122" i="7"/>
  <c r="B1122" i="7" s="1"/>
  <c r="C1123" i="7"/>
  <c r="B1123" i="7" s="1"/>
  <c r="C1124" i="7"/>
  <c r="B1124" i="7" s="1"/>
  <c r="C1125" i="7"/>
  <c r="B1125" i="7" s="1"/>
  <c r="C1126" i="7"/>
  <c r="B1126" i="7" s="1"/>
  <c r="C1127" i="7"/>
  <c r="B1127" i="7" s="1"/>
  <c r="C1128" i="7"/>
  <c r="B1128" i="7" s="1"/>
  <c r="C1129" i="7"/>
  <c r="B1129" i="7" s="1"/>
  <c r="C1130" i="7"/>
  <c r="B1130" i="7" s="1"/>
  <c r="C1131" i="7"/>
  <c r="B1131" i="7" s="1"/>
  <c r="C1132" i="7"/>
  <c r="B1132" i="7" s="1"/>
  <c r="C1133" i="7"/>
  <c r="B1133" i="7" s="1"/>
  <c r="C1134" i="7"/>
  <c r="B1134" i="7" s="1"/>
  <c r="C1135" i="7"/>
  <c r="B1135" i="7" s="1"/>
  <c r="C1136" i="7"/>
  <c r="B1136" i="7" s="1"/>
  <c r="C1137" i="7"/>
  <c r="B1137" i="7" s="1"/>
  <c r="C1138" i="7"/>
  <c r="B1138" i="7" s="1"/>
  <c r="C1139" i="7"/>
  <c r="B1139" i="7" s="1"/>
  <c r="C1140" i="7"/>
  <c r="B1140" i="7" s="1"/>
  <c r="C1141" i="7"/>
  <c r="B1141" i="7" s="1"/>
  <c r="C1142" i="7"/>
  <c r="B1142" i="7" s="1"/>
  <c r="C1143" i="7"/>
  <c r="B1143" i="7" s="1"/>
  <c r="C1144" i="7"/>
  <c r="B1144" i="7" s="1"/>
  <c r="C1145" i="7"/>
  <c r="B1145" i="7" s="1"/>
  <c r="C1146" i="7"/>
  <c r="B1146" i="7" s="1"/>
  <c r="C1147" i="7"/>
  <c r="B1147" i="7" s="1"/>
  <c r="C1148" i="7"/>
  <c r="B1148" i="7" s="1"/>
  <c r="C1149" i="7"/>
  <c r="B1149" i="7" s="1"/>
  <c r="C1150" i="7"/>
  <c r="B1150" i="7" s="1"/>
  <c r="C1151" i="7"/>
  <c r="B1151" i="7" s="1"/>
  <c r="C1152" i="7"/>
  <c r="B1152" i="7" s="1"/>
  <c r="C1153" i="7"/>
  <c r="B1153" i="7" s="1"/>
  <c r="C1154" i="7"/>
  <c r="B1154" i="7" s="1"/>
  <c r="C1155" i="7"/>
  <c r="B1155" i="7" s="1"/>
  <c r="C1156" i="7"/>
  <c r="B1156" i="7" s="1"/>
  <c r="C1157" i="7"/>
  <c r="B1157" i="7" s="1"/>
  <c r="C1158" i="7"/>
  <c r="B1158" i="7" s="1"/>
  <c r="C1159" i="7"/>
  <c r="B1159" i="7" s="1"/>
  <c r="C1160" i="7"/>
  <c r="B1160" i="7" s="1"/>
  <c r="C1161" i="7"/>
  <c r="B1161" i="7" s="1"/>
  <c r="C1162" i="7"/>
  <c r="B1162" i="7" s="1"/>
  <c r="C1163" i="7"/>
  <c r="B1163" i="7" s="1"/>
  <c r="C1164" i="7"/>
  <c r="B1164" i="7" s="1"/>
  <c r="C1165" i="7"/>
  <c r="B1165" i="7" s="1"/>
  <c r="C1166" i="7"/>
  <c r="B1166" i="7" s="1"/>
  <c r="C1167" i="7"/>
  <c r="B1167" i="7" s="1"/>
  <c r="C1168" i="7"/>
  <c r="B1168" i="7" s="1"/>
  <c r="C1169" i="7"/>
  <c r="B1169" i="7" s="1"/>
  <c r="C1170" i="7"/>
  <c r="B1170" i="7" s="1"/>
  <c r="C1171" i="7"/>
  <c r="B1171" i="7" s="1"/>
  <c r="C1172" i="7"/>
  <c r="B1172" i="7" s="1"/>
  <c r="C1173" i="7"/>
  <c r="B1173" i="7" s="1"/>
  <c r="C1174" i="7"/>
  <c r="B1174" i="7" s="1"/>
  <c r="C1175" i="7"/>
  <c r="B1175" i="7" s="1"/>
  <c r="C1176" i="7"/>
  <c r="B1176" i="7" s="1"/>
  <c r="C1177" i="7"/>
  <c r="B1177" i="7" s="1"/>
  <c r="C1178" i="7"/>
  <c r="B1178" i="7" s="1"/>
  <c r="C1179" i="7"/>
  <c r="B1179" i="7" s="1"/>
  <c r="C1180" i="7"/>
  <c r="B1180" i="7" s="1"/>
  <c r="C1181" i="7"/>
  <c r="B1181" i="7" s="1"/>
  <c r="C1182" i="7"/>
  <c r="B1182" i="7" s="1"/>
  <c r="C1183" i="7"/>
  <c r="B1183" i="7" s="1"/>
  <c r="C1184" i="7"/>
  <c r="B1184" i="7" s="1"/>
  <c r="C1185" i="7"/>
  <c r="B1185" i="7" s="1"/>
  <c r="C1186" i="7"/>
  <c r="B1186" i="7" s="1"/>
  <c r="C1187" i="7"/>
  <c r="B1187" i="7" s="1"/>
  <c r="C1188" i="7"/>
  <c r="B1188" i="7" s="1"/>
  <c r="C1189" i="7"/>
  <c r="B1189" i="7" s="1"/>
  <c r="C1190" i="7"/>
  <c r="B1190" i="7" s="1"/>
  <c r="C1191" i="7"/>
  <c r="B1191" i="7" s="1"/>
  <c r="C1192" i="7"/>
  <c r="B1192" i="7" s="1"/>
  <c r="C1193" i="7"/>
  <c r="B1193" i="7" s="1"/>
  <c r="C1194" i="7"/>
  <c r="B1194" i="7" s="1"/>
  <c r="C1195" i="7"/>
  <c r="B1195" i="7" s="1"/>
  <c r="C1196" i="7"/>
  <c r="B1196" i="7" s="1"/>
  <c r="C1197" i="7"/>
  <c r="B1197" i="7" s="1"/>
  <c r="C1198" i="7"/>
  <c r="B1198" i="7" s="1"/>
  <c r="C1199" i="7"/>
  <c r="B1199" i="7" s="1"/>
  <c r="C1200" i="7"/>
  <c r="B1200" i="7" s="1"/>
  <c r="K1251" i="7"/>
  <c r="J1251" i="7" s="1"/>
  <c r="L1251" i="7"/>
  <c r="K1254" i="7"/>
  <c r="L1254" i="7"/>
  <c r="K1257" i="7"/>
  <c r="L1257" i="7"/>
  <c r="K1260" i="7"/>
  <c r="J1260" i="7" s="1"/>
  <c r="L1260" i="7"/>
  <c r="K1263" i="7"/>
  <c r="L1263" i="7"/>
  <c r="K1266" i="7"/>
  <c r="L1266" i="7"/>
  <c r="K1269" i="7"/>
  <c r="J1269" i="7" s="1"/>
  <c r="L1269" i="7"/>
  <c r="K1272" i="7"/>
  <c r="L1272" i="7"/>
  <c r="K1275" i="7"/>
  <c r="L1275" i="7"/>
  <c r="K1278" i="7"/>
  <c r="J1278" i="7" s="1"/>
  <c r="L1278" i="7"/>
  <c r="K1281" i="7"/>
  <c r="L1281" i="7"/>
  <c r="K1284" i="7"/>
  <c r="L1284" i="7"/>
  <c r="K1286" i="7"/>
  <c r="L1286" i="7"/>
  <c r="AJ1287" i="7"/>
  <c r="AI1287" i="7"/>
  <c r="K1289" i="7"/>
  <c r="L1289" i="7"/>
  <c r="AJ1290" i="7"/>
  <c r="AI1290" i="7"/>
  <c r="K1292" i="7"/>
  <c r="L1292" i="7"/>
  <c r="AJ1293" i="7"/>
  <c r="AI1293" i="7"/>
  <c r="K1295" i="7"/>
  <c r="J1295" i="7" s="1"/>
  <c r="L1295" i="7"/>
  <c r="AJ1296" i="7"/>
  <c r="AI1296" i="7"/>
  <c r="K1298" i="7"/>
  <c r="L1298" i="7"/>
  <c r="AJ1299" i="7"/>
  <c r="AI1299" i="7"/>
  <c r="AJ1305" i="7"/>
  <c r="AI1305" i="7"/>
  <c r="AJ1311" i="7"/>
  <c r="AI1311" i="7"/>
  <c r="AJ1317" i="7"/>
  <c r="AI1317" i="7"/>
  <c r="D1202" i="7"/>
  <c r="B1202" i="7" s="1"/>
  <c r="D1204" i="7"/>
  <c r="B1204" i="7" s="1"/>
  <c r="D1206" i="7"/>
  <c r="B1206" i="7" s="1"/>
  <c r="D1208" i="7"/>
  <c r="B1208" i="7" s="1"/>
  <c r="D1210" i="7"/>
  <c r="B1210" i="7" s="1"/>
  <c r="D1212" i="7"/>
  <c r="B1212" i="7" s="1"/>
  <c r="D1214" i="7"/>
  <c r="B1214" i="7" s="1"/>
  <c r="D1216" i="7"/>
  <c r="B1216" i="7" s="1"/>
  <c r="AI1216" i="7"/>
  <c r="AH1216" i="7" s="1"/>
  <c r="K1217" i="7"/>
  <c r="J1217" i="7" s="1"/>
  <c r="AI1217" i="7"/>
  <c r="AH1217" i="7" s="1"/>
  <c r="K1218" i="7"/>
  <c r="J1218" i="7" s="1"/>
  <c r="AI1218" i="7"/>
  <c r="AH1218" i="7" s="1"/>
  <c r="K1219" i="7"/>
  <c r="J1219" i="7" s="1"/>
  <c r="AI1219" i="7"/>
  <c r="AH1219" i="7" s="1"/>
  <c r="K1220" i="7"/>
  <c r="J1220" i="7" s="1"/>
  <c r="AI1220" i="7"/>
  <c r="AH1220" i="7" s="1"/>
  <c r="K1221" i="7"/>
  <c r="J1221" i="7" s="1"/>
  <c r="AI1221" i="7"/>
  <c r="AH1221" i="7" s="1"/>
  <c r="K1222" i="7"/>
  <c r="J1222" i="7" s="1"/>
  <c r="AI1222" i="7"/>
  <c r="AH1222" i="7" s="1"/>
  <c r="K1223" i="7"/>
  <c r="J1223" i="7" s="1"/>
  <c r="AI1223" i="7"/>
  <c r="AH1223" i="7" s="1"/>
  <c r="K1224" i="7"/>
  <c r="J1224" i="7" s="1"/>
  <c r="AI1224" i="7"/>
  <c r="AH1224" i="7" s="1"/>
  <c r="K1225" i="7"/>
  <c r="J1225" i="7" s="1"/>
  <c r="AI1225" i="7"/>
  <c r="AH1225" i="7" s="1"/>
  <c r="K1226" i="7"/>
  <c r="J1226" i="7" s="1"/>
  <c r="AI1226" i="7"/>
  <c r="AH1226" i="7" s="1"/>
  <c r="K1227" i="7"/>
  <c r="J1227" i="7" s="1"/>
  <c r="AI1227" i="7"/>
  <c r="AH1227" i="7" s="1"/>
  <c r="K1228" i="7"/>
  <c r="J1228" i="7" s="1"/>
  <c r="AI1228" i="7"/>
  <c r="AH1228" i="7" s="1"/>
  <c r="K1229" i="7"/>
  <c r="J1229" i="7" s="1"/>
  <c r="AI1229" i="7"/>
  <c r="AH1229" i="7" s="1"/>
  <c r="K1230" i="7"/>
  <c r="J1230" i="7" s="1"/>
  <c r="AI1230" i="7"/>
  <c r="AH1230" i="7" s="1"/>
  <c r="K1231" i="7"/>
  <c r="J1231" i="7" s="1"/>
  <c r="AI1231" i="7"/>
  <c r="AH1231" i="7" s="1"/>
  <c r="K1232" i="7"/>
  <c r="J1232" i="7" s="1"/>
  <c r="AI1232" i="7"/>
  <c r="AH1232" i="7" s="1"/>
  <c r="K1233" i="7"/>
  <c r="J1233" i="7" s="1"/>
  <c r="AI1233" i="7"/>
  <c r="AH1233" i="7" s="1"/>
  <c r="K1234" i="7"/>
  <c r="J1234" i="7" s="1"/>
  <c r="AI1234" i="7"/>
  <c r="AH1234" i="7" s="1"/>
  <c r="K1235" i="7"/>
  <c r="J1235" i="7" s="1"/>
  <c r="AI1235" i="7"/>
  <c r="AH1235" i="7" s="1"/>
  <c r="K1236" i="7"/>
  <c r="J1236" i="7" s="1"/>
  <c r="AI1236" i="7"/>
  <c r="AH1236" i="7" s="1"/>
  <c r="K1237" i="7"/>
  <c r="J1237" i="7" s="1"/>
  <c r="AI1237" i="7"/>
  <c r="AH1237" i="7" s="1"/>
  <c r="K1238" i="7"/>
  <c r="J1238" i="7" s="1"/>
  <c r="AI1238" i="7"/>
  <c r="AH1238" i="7" s="1"/>
  <c r="K1239" i="7"/>
  <c r="J1239" i="7" s="1"/>
  <c r="AI1239" i="7"/>
  <c r="AH1239" i="7" s="1"/>
  <c r="K1240" i="7"/>
  <c r="J1240" i="7" s="1"/>
  <c r="AI1240" i="7"/>
  <c r="AH1240" i="7" s="1"/>
  <c r="K1241" i="7"/>
  <c r="J1241" i="7" s="1"/>
  <c r="AI1241" i="7"/>
  <c r="AH1241" i="7" s="1"/>
  <c r="K1242" i="7"/>
  <c r="J1242" i="7" s="1"/>
  <c r="AI1242" i="7"/>
  <c r="AH1242" i="7" s="1"/>
  <c r="K1243" i="7"/>
  <c r="J1243" i="7" s="1"/>
  <c r="AI1243" i="7"/>
  <c r="AH1243" i="7" s="1"/>
  <c r="K1244" i="7"/>
  <c r="J1244" i="7" s="1"/>
  <c r="AI1244" i="7"/>
  <c r="AH1244" i="7" s="1"/>
  <c r="K1245" i="7"/>
  <c r="J1245" i="7" s="1"/>
  <c r="AI1245" i="7"/>
  <c r="AH1245" i="7" s="1"/>
  <c r="K1246" i="7"/>
  <c r="J1246" i="7" s="1"/>
  <c r="AI1246" i="7"/>
  <c r="AH1246" i="7" s="1"/>
  <c r="K1247" i="7"/>
  <c r="J1247" i="7" s="1"/>
  <c r="AI1247" i="7"/>
  <c r="AH1247" i="7" s="1"/>
  <c r="K1248" i="7"/>
  <c r="J1248" i="7" s="1"/>
  <c r="AI1248" i="7"/>
  <c r="AH1248" i="7" s="1"/>
  <c r="K1249" i="7"/>
  <c r="J1249" i="7" s="1"/>
  <c r="AI1249" i="7"/>
  <c r="AH1249" i="7" s="1"/>
  <c r="K1250" i="7"/>
  <c r="J1250" i="7" s="1"/>
  <c r="AI1250" i="7"/>
  <c r="AH1250" i="7" s="1"/>
  <c r="B1252" i="7"/>
  <c r="AI1253" i="7"/>
  <c r="AH1253" i="7" s="1"/>
  <c r="B1255" i="7"/>
  <c r="AI1256" i="7"/>
  <c r="AH1256" i="7" s="1"/>
  <c r="B1258" i="7"/>
  <c r="AI1259" i="7"/>
  <c r="AH1259" i="7" s="1"/>
  <c r="B1261" i="7"/>
  <c r="AI1262" i="7"/>
  <c r="AH1262" i="7" s="1"/>
  <c r="B1264" i="7"/>
  <c r="AI1265" i="7"/>
  <c r="AH1265" i="7" s="1"/>
  <c r="B1267" i="7"/>
  <c r="AI1268" i="7"/>
  <c r="AH1268" i="7" s="1"/>
  <c r="AI1271" i="7"/>
  <c r="AH1271" i="7" s="1"/>
  <c r="B1273" i="7"/>
  <c r="AI1274" i="7"/>
  <c r="AH1274" i="7" s="1"/>
  <c r="AI1277" i="7"/>
  <c r="AH1277" i="7" s="1"/>
  <c r="B1279" i="7"/>
  <c r="AI1280" i="7"/>
  <c r="AH1280" i="7" s="1"/>
  <c r="B1282" i="7"/>
  <c r="AI1283" i="7"/>
  <c r="AH1283" i="7" s="1"/>
  <c r="B1288" i="7"/>
  <c r="Z1289" i="7"/>
  <c r="Z1292" i="7"/>
  <c r="B1294" i="7"/>
  <c r="Z1295" i="7"/>
  <c r="Z1298" i="7"/>
  <c r="B1300" i="7"/>
  <c r="AJ1300" i="7"/>
  <c r="AI1300" i="7"/>
  <c r="Z1302" i="7"/>
  <c r="AJ1306" i="7"/>
  <c r="AI1306" i="7"/>
  <c r="Z1308" i="7"/>
  <c r="AJ1312" i="7"/>
  <c r="AI1312" i="7"/>
  <c r="Z1314" i="7"/>
  <c r="AI1093" i="7"/>
  <c r="AH1093" i="7" s="1"/>
  <c r="AI1094" i="7"/>
  <c r="AH1094" i="7" s="1"/>
  <c r="AI1095" i="7"/>
  <c r="AH1095" i="7" s="1"/>
  <c r="AI1096" i="7"/>
  <c r="AH1096" i="7" s="1"/>
  <c r="AI1097" i="7"/>
  <c r="AH1097" i="7" s="1"/>
  <c r="AI1098" i="7"/>
  <c r="AH1098" i="7" s="1"/>
  <c r="AI1099" i="7"/>
  <c r="AH1099" i="7" s="1"/>
  <c r="AI1100" i="7"/>
  <c r="AH1100" i="7" s="1"/>
  <c r="AI1101" i="7"/>
  <c r="AH1101" i="7" s="1"/>
  <c r="AI1102" i="7"/>
  <c r="AH1102" i="7" s="1"/>
  <c r="AI1103" i="7"/>
  <c r="AH1103" i="7" s="1"/>
  <c r="AI1104" i="7"/>
  <c r="AH1104" i="7" s="1"/>
  <c r="AI1105" i="7"/>
  <c r="AH1105" i="7" s="1"/>
  <c r="AI1106" i="7"/>
  <c r="AH1106" i="7" s="1"/>
  <c r="AI1107" i="7"/>
  <c r="AH1107" i="7" s="1"/>
  <c r="AI1108" i="7"/>
  <c r="AH1108" i="7" s="1"/>
  <c r="AI1109" i="7"/>
  <c r="AH1109" i="7" s="1"/>
  <c r="AI1110" i="7"/>
  <c r="AH1110" i="7" s="1"/>
  <c r="AI1111" i="7"/>
  <c r="AH1111" i="7" s="1"/>
  <c r="AI1112" i="7"/>
  <c r="AH1112" i="7" s="1"/>
  <c r="AI1113" i="7"/>
  <c r="AH1113" i="7" s="1"/>
  <c r="AI1114" i="7"/>
  <c r="AH1114" i="7" s="1"/>
  <c r="AI1115" i="7"/>
  <c r="AH1115" i="7" s="1"/>
  <c r="AI1116" i="7"/>
  <c r="AH1116" i="7" s="1"/>
  <c r="AI1117" i="7"/>
  <c r="AH1117" i="7" s="1"/>
  <c r="AP1201" i="7"/>
  <c r="AP1203" i="7"/>
  <c r="AP1205" i="7"/>
  <c r="AP1207" i="7"/>
  <c r="AP1209" i="7"/>
  <c r="AP1213" i="7"/>
  <c r="AP1215" i="7"/>
  <c r="K1253" i="7"/>
  <c r="L1253" i="7"/>
  <c r="K1256" i="7"/>
  <c r="L1256" i="7"/>
  <c r="K1259" i="7"/>
  <c r="L1259" i="7"/>
  <c r="K1262" i="7"/>
  <c r="L1262" i="7"/>
  <c r="K1265" i="7"/>
  <c r="L1265" i="7"/>
  <c r="K1268" i="7"/>
  <c r="L1268" i="7"/>
  <c r="K1271" i="7"/>
  <c r="L1271" i="7"/>
  <c r="K1274" i="7"/>
  <c r="L1274" i="7"/>
  <c r="K1277" i="7"/>
  <c r="L1277" i="7"/>
  <c r="K1280" i="7"/>
  <c r="L1280" i="7"/>
  <c r="K1283" i="7"/>
  <c r="L1283" i="7"/>
  <c r="AP1284" i="7"/>
  <c r="AJ1285" i="7"/>
  <c r="AI1285" i="7"/>
  <c r="K1287" i="7"/>
  <c r="L1287" i="7"/>
  <c r="AJ1288" i="7"/>
  <c r="AI1288" i="7"/>
  <c r="K1290" i="7"/>
  <c r="L1290" i="7"/>
  <c r="AJ1291" i="7"/>
  <c r="AI1291" i="7"/>
  <c r="K1293" i="7"/>
  <c r="J1293" i="7" s="1"/>
  <c r="L1293" i="7"/>
  <c r="AJ1294" i="7"/>
  <c r="AI1294" i="7"/>
  <c r="K1296" i="7"/>
  <c r="L1296" i="7"/>
  <c r="AJ1297" i="7"/>
  <c r="AI1297" i="7"/>
  <c r="K1299" i="7"/>
  <c r="L1299" i="7"/>
  <c r="AJ1301" i="7"/>
  <c r="AI1301" i="7"/>
  <c r="AJ1307" i="7"/>
  <c r="AI1307" i="7"/>
  <c r="AJ1313" i="7"/>
  <c r="AI1313" i="7"/>
  <c r="D1217" i="7"/>
  <c r="B1217" i="7" s="1"/>
  <c r="AB1217" i="7"/>
  <c r="Z1217" i="7" s="1"/>
  <c r="D1218" i="7"/>
  <c r="B1218" i="7" s="1"/>
  <c r="AB1218" i="7"/>
  <c r="Z1218" i="7" s="1"/>
  <c r="D1219" i="7"/>
  <c r="B1219" i="7" s="1"/>
  <c r="AB1219" i="7"/>
  <c r="Z1219" i="7" s="1"/>
  <c r="D1220" i="7"/>
  <c r="B1220" i="7" s="1"/>
  <c r="AB1220" i="7"/>
  <c r="Z1220" i="7" s="1"/>
  <c r="D1221" i="7"/>
  <c r="B1221" i="7" s="1"/>
  <c r="AB1221" i="7"/>
  <c r="Z1221" i="7" s="1"/>
  <c r="D1222" i="7"/>
  <c r="B1222" i="7" s="1"/>
  <c r="AB1222" i="7"/>
  <c r="Z1222" i="7" s="1"/>
  <c r="D1223" i="7"/>
  <c r="B1223" i="7" s="1"/>
  <c r="AB1223" i="7"/>
  <c r="Z1223" i="7" s="1"/>
  <c r="D1224" i="7"/>
  <c r="B1224" i="7" s="1"/>
  <c r="AB1224" i="7"/>
  <c r="Z1224" i="7" s="1"/>
  <c r="D1225" i="7"/>
  <c r="B1225" i="7" s="1"/>
  <c r="B1254" i="7"/>
  <c r="B1257" i="7"/>
  <c r="B1260" i="7"/>
  <c r="B1266" i="7"/>
  <c r="B1272" i="7"/>
  <c r="B1275" i="7"/>
  <c r="B1278" i="7"/>
  <c r="B1281" i="7"/>
  <c r="B1284" i="7"/>
  <c r="AJ1302" i="7"/>
  <c r="AI1302" i="7"/>
  <c r="AJ1308" i="7"/>
  <c r="AI1308" i="7"/>
  <c r="AJ1314" i="7"/>
  <c r="AI1314" i="7"/>
  <c r="AP1231" i="7"/>
  <c r="R1232" i="7"/>
  <c r="AP1232" i="7"/>
  <c r="AP1233" i="7"/>
  <c r="R1234" i="7"/>
  <c r="AP1234" i="7"/>
  <c r="R1235" i="7"/>
  <c r="AP1235" i="7"/>
  <c r="R1236" i="7"/>
  <c r="AP1236" i="7"/>
  <c r="R1237" i="7"/>
  <c r="AP1237" i="7"/>
  <c r="R1238" i="7"/>
  <c r="AP1238" i="7"/>
  <c r="AP1239" i="7"/>
  <c r="R1240" i="7"/>
  <c r="AP1240" i="7"/>
  <c r="R1241" i="7"/>
  <c r="AP1241" i="7"/>
  <c r="AP1242" i="7"/>
  <c r="R1243" i="7"/>
  <c r="AP1243" i="7"/>
  <c r="R1244" i="7"/>
  <c r="AP1244" i="7"/>
  <c r="R1245" i="7"/>
  <c r="AP1245" i="7"/>
  <c r="R1246" i="7"/>
  <c r="AP1246" i="7"/>
  <c r="R1247" i="7"/>
  <c r="AP1247" i="7"/>
  <c r="AP1248" i="7"/>
  <c r="R1249" i="7"/>
  <c r="AP1249" i="7"/>
  <c r="R1250" i="7"/>
  <c r="AP1250" i="7"/>
  <c r="K1252" i="7"/>
  <c r="L1252" i="7"/>
  <c r="D1253" i="7"/>
  <c r="B1253" i="7" s="1"/>
  <c r="AP1253" i="7"/>
  <c r="K1255" i="7"/>
  <c r="L1255" i="7"/>
  <c r="D1256" i="7"/>
  <c r="B1256" i="7" s="1"/>
  <c r="AP1256" i="7"/>
  <c r="K1258" i="7"/>
  <c r="L1258" i="7"/>
  <c r="D1259" i="7"/>
  <c r="B1259" i="7" s="1"/>
  <c r="AP1259" i="7"/>
  <c r="K1261" i="7"/>
  <c r="L1261" i="7"/>
  <c r="D1262" i="7"/>
  <c r="B1262" i="7" s="1"/>
  <c r="AP1262" i="7"/>
  <c r="K1264" i="7"/>
  <c r="L1264" i="7"/>
  <c r="D1265" i="7"/>
  <c r="B1265" i="7" s="1"/>
  <c r="AP1265" i="7"/>
  <c r="K1267" i="7"/>
  <c r="L1267" i="7"/>
  <c r="D1268" i="7"/>
  <c r="B1268" i="7" s="1"/>
  <c r="AP1268" i="7"/>
  <c r="K1270" i="7"/>
  <c r="L1270" i="7"/>
  <c r="D1271" i="7"/>
  <c r="B1271" i="7" s="1"/>
  <c r="AP1271" i="7"/>
  <c r="K1273" i="7"/>
  <c r="L1273" i="7"/>
  <c r="D1274" i="7"/>
  <c r="B1274" i="7" s="1"/>
  <c r="AP1274" i="7"/>
  <c r="K1276" i="7"/>
  <c r="L1276" i="7"/>
  <c r="D1277" i="7"/>
  <c r="B1277" i="7" s="1"/>
  <c r="AP1277" i="7"/>
  <c r="K1279" i="7"/>
  <c r="L1279" i="7"/>
  <c r="D1280" i="7"/>
  <c r="B1280" i="7" s="1"/>
  <c r="AP1280" i="7"/>
  <c r="K1282" i="7"/>
  <c r="L1282" i="7"/>
  <c r="D1283" i="7"/>
  <c r="B1283" i="7" s="1"/>
  <c r="AP1283" i="7"/>
  <c r="K1285" i="7"/>
  <c r="L1285" i="7"/>
  <c r="AJ1286" i="7"/>
  <c r="AI1286" i="7"/>
  <c r="K1288" i="7"/>
  <c r="L1288" i="7"/>
  <c r="AJ1289" i="7"/>
  <c r="AI1289" i="7"/>
  <c r="K1291" i="7"/>
  <c r="L1291" i="7"/>
  <c r="AJ1292" i="7"/>
  <c r="AI1292" i="7"/>
  <c r="K1294" i="7"/>
  <c r="L1294" i="7"/>
  <c r="AJ1295" i="7"/>
  <c r="AI1295" i="7"/>
  <c r="K1297" i="7"/>
  <c r="L1297" i="7"/>
  <c r="AJ1298" i="7"/>
  <c r="AI1298" i="7"/>
  <c r="AJ1303" i="7"/>
  <c r="AI1303" i="7"/>
  <c r="Z1305" i="7"/>
  <c r="AJ1309" i="7"/>
  <c r="AI1309" i="7"/>
  <c r="Z1311" i="7"/>
  <c r="AJ1315" i="7"/>
  <c r="AI1315" i="7"/>
  <c r="Z1317" i="7"/>
  <c r="L1300" i="7"/>
  <c r="J1300" i="7" s="1"/>
  <c r="L1301" i="7"/>
  <c r="J1301" i="7" s="1"/>
  <c r="L1302" i="7"/>
  <c r="J1302" i="7" s="1"/>
  <c r="L1303" i="7"/>
  <c r="J1303" i="7" s="1"/>
  <c r="L1304" i="7"/>
  <c r="J1304" i="7" s="1"/>
  <c r="L1305" i="7"/>
  <c r="J1305" i="7" s="1"/>
  <c r="L1306" i="7"/>
  <c r="J1306" i="7" s="1"/>
  <c r="L1307" i="7"/>
  <c r="J1307" i="7" s="1"/>
  <c r="L1308" i="7"/>
  <c r="J1308" i="7" s="1"/>
  <c r="L1309" i="7"/>
  <c r="J1309" i="7" s="1"/>
  <c r="L1310" i="7"/>
  <c r="J1310" i="7" s="1"/>
  <c r="L1311" i="7"/>
  <c r="J1311" i="7" s="1"/>
  <c r="L1312" i="7"/>
  <c r="J1312" i="7" s="1"/>
  <c r="L1313" i="7"/>
  <c r="J1313" i="7" s="1"/>
  <c r="L1314" i="7"/>
  <c r="J1314" i="7" s="1"/>
  <c r="L1315" i="7"/>
  <c r="J1315" i="7" s="1"/>
  <c r="L1316" i="7"/>
  <c r="J1316" i="7" s="1"/>
  <c r="L1317" i="7"/>
  <c r="J1317" i="7" s="1"/>
  <c r="L1318" i="7"/>
  <c r="J1318" i="7" s="1"/>
  <c r="L1319" i="7"/>
  <c r="J1319" i="7" s="1"/>
  <c r="L1320" i="7"/>
  <c r="J1320" i="7" s="1"/>
  <c r="L1321" i="7"/>
  <c r="J1321" i="7" s="1"/>
  <c r="L1322" i="7"/>
  <c r="J1322" i="7" s="1"/>
  <c r="L1323" i="7"/>
  <c r="J1323" i="7" s="1"/>
  <c r="L1324" i="7"/>
  <c r="J1324" i="7" s="1"/>
  <c r="L1325" i="7"/>
  <c r="J1325" i="7" s="1"/>
  <c r="L1326" i="7"/>
  <c r="J1326" i="7" s="1"/>
  <c r="L1327" i="7"/>
  <c r="J1327" i="7" s="1"/>
  <c r="L1328" i="7"/>
  <c r="J1328" i="7" s="1"/>
  <c r="L1329" i="7"/>
  <c r="J1329" i="7" s="1"/>
  <c r="L1330" i="7"/>
  <c r="J1330" i="7" s="1"/>
  <c r="L1331" i="7"/>
  <c r="J1331" i="7" s="1"/>
  <c r="L1332" i="7"/>
  <c r="J1332" i="7" s="1"/>
  <c r="L1333" i="7"/>
  <c r="J1333" i="7" s="1"/>
  <c r="L1334" i="7"/>
  <c r="J1334" i="7" s="1"/>
  <c r="L1335" i="7"/>
  <c r="J1335" i="7" s="1"/>
  <c r="L1336" i="7"/>
  <c r="J1336" i="7" s="1"/>
  <c r="L1337" i="7"/>
  <c r="J1337" i="7" s="1"/>
  <c r="L1338" i="7"/>
  <c r="J1338" i="7" s="1"/>
  <c r="L1339" i="7"/>
  <c r="J1339" i="7" s="1"/>
  <c r="L1340" i="7"/>
  <c r="J1340" i="7" s="1"/>
  <c r="L1341" i="7"/>
  <c r="J1341" i="7" s="1"/>
  <c r="L1342" i="7"/>
  <c r="J1342" i="7" s="1"/>
  <c r="L1343" i="7"/>
  <c r="J1343" i="7" s="1"/>
  <c r="L1344" i="7"/>
  <c r="J1344" i="7" s="1"/>
  <c r="L1345" i="7"/>
  <c r="J1345" i="7" s="1"/>
  <c r="L1346" i="7"/>
  <c r="J1346" i="7" s="1"/>
  <c r="L1347" i="7"/>
  <c r="J1347" i="7" s="1"/>
  <c r="L1348" i="7"/>
  <c r="J1348" i="7" s="1"/>
  <c r="L1349" i="7"/>
  <c r="J1349" i="7" s="1"/>
  <c r="L1350" i="7"/>
  <c r="J1350" i="7" s="1"/>
  <c r="L1351" i="7"/>
  <c r="J1351" i="7" s="1"/>
  <c r="L1352" i="7"/>
  <c r="J1352" i="7" s="1"/>
  <c r="L1353" i="7"/>
  <c r="J1353" i="7" s="1"/>
  <c r="L1354" i="7"/>
  <c r="J1354" i="7" s="1"/>
  <c r="L1355" i="7"/>
  <c r="J1355" i="7" s="1"/>
  <c r="L1356" i="7"/>
  <c r="J1356" i="7" s="1"/>
  <c r="L1357" i="7"/>
  <c r="J1357" i="7" s="1"/>
  <c r="L1358" i="7"/>
  <c r="J1358" i="7" s="1"/>
  <c r="L1359" i="7"/>
  <c r="J1359" i="7" s="1"/>
  <c r="L1360" i="7"/>
  <c r="J1360" i="7" s="1"/>
  <c r="L1361" i="7"/>
  <c r="J1361" i="7" s="1"/>
  <c r="L1362" i="7"/>
  <c r="J1362" i="7" s="1"/>
  <c r="L1363" i="7"/>
  <c r="J1363" i="7" s="1"/>
  <c r="L1364" i="7"/>
  <c r="J1364" i="7" s="1"/>
  <c r="L1365" i="7"/>
  <c r="J1365" i="7" s="1"/>
  <c r="L1366" i="7"/>
  <c r="J1366" i="7" s="1"/>
  <c r="L1367" i="7"/>
  <c r="J1367" i="7" s="1"/>
  <c r="L1368" i="7"/>
  <c r="J1368" i="7" s="1"/>
  <c r="L1369" i="7"/>
  <c r="J1369" i="7" s="1"/>
  <c r="L1370" i="7"/>
  <c r="J1370" i="7" s="1"/>
  <c r="L1371" i="7"/>
  <c r="J1371" i="7" s="1"/>
  <c r="L1372" i="7"/>
  <c r="J1372" i="7" s="1"/>
  <c r="S1380" i="7"/>
  <c r="R1380" i="7" s="1"/>
  <c r="AI1381" i="7"/>
  <c r="AJ1381" i="7"/>
  <c r="B1382" i="7"/>
  <c r="S1383" i="7"/>
  <c r="R1383" i="7" s="1"/>
  <c r="AI1384" i="7"/>
  <c r="AJ1384" i="7"/>
  <c r="B1385" i="7"/>
  <c r="S1386" i="7"/>
  <c r="R1386" i="7" s="1"/>
  <c r="AI1387" i="7"/>
  <c r="AJ1387" i="7"/>
  <c r="B1388" i="7"/>
  <c r="S1389" i="7"/>
  <c r="R1389" i="7" s="1"/>
  <c r="AI1390" i="7"/>
  <c r="AJ1390" i="7"/>
  <c r="B1391" i="7"/>
  <c r="S1392" i="7"/>
  <c r="R1392" i="7" s="1"/>
  <c r="AI1393" i="7"/>
  <c r="AJ1393" i="7"/>
  <c r="B1394" i="7"/>
  <c r="S1395" i="7"/>
  <c r="R1395" i="7" s="1"/>
  <c r="AI1396" i="7"/>
  <c r="AJ1396" i="7"/>
  <c r="B1397" i="7"/>
  <c r="S1398" i="7"/>
  <c r="R1398" i="7" s="1"/>
  <c r="AI1399" i="7"/>
  <c r="AJ1399" i="7"/>
  <c r="B1400" i="7"/>
  <c r="S1401" i="7"/>
  <c r="R1401" i="7" s="1"/>
  <c r="AI1402" i="7"/>
  <c r="AJ1402" i="7"/>
  <c r="B1403" i="7"/>
  <c r="S1404" i="7"/>
  <c r="R1404" i="7" s="1"/>
  <c r="AI1405" i="7"/>
  <c r="AJ1405" i="7"/>
  <c r="B1406" i="7"/>
  <c r="S1407" i="7"/>
  <c r="R1407" i="7" s="1"/>
  <c r="AI1408" i="7"/>
  <c r="AJ1408" i="7"/>
  <c r="B1409" i="7"/>
  <c r="S1410" i="7"/>
  <c r="R1410" i="7" s="1"/>
  <c r="AI1411" i="7"/>
  <c r="AJ1411" i="7"/>
  <c r="B1412" i="7"/>
  <c r="S1413" i="7"/>
  <c r="R1413" i="7" s="1"/>
  <c r="AI1414" i="7"/>
  <c r="AJ1414" i="7"/>
  <c r="B1415" i="7"/>
  <c r="S1416" i="7"/>
  <c r="R1416" i="7" s="1"/>
  <c r="AI1417" i="7"/>
  <c r="AJ1417" i="7"/>
  <c r="B1418" i="7"/>
  <c r="S1419" i="7"/>
  <c r="R1419" i="7" s="1"/>
  <c r="AI1420" i="7"/>
  <c r="AJ1420" i="7"/>
  <c r="B1421" i="7"/>
  <c r="S1422" i="7"/>
  <c r="R1422" i="7" s="1"/>
  <c r="AI1423" i="7"/>
  <c r="AJ1423" i="7"/>
  <c r="B1424" i="7"/>
  <c r="S1425" i="7"/>
  <c r="R1425" i="7" s="1"/>
  <c r="AI1426" i="7"/>
  <c r="AJ1426" i="7"/>
  <c r="B1427" i="7"/>
  <c r="S1428" i="7"/>
  <c r="R1428" i="7" s="1"/>
  <c r="AI1429" i="7"/>
  <c r="AJ1429" i="7"/>
  <c r="B1430" i="7"/>
  <c r="S1431" i="7"/>
  <c r="R1431" i="7" s="1"/>
  <c r="AI1432" i="7"/>
  <c r="AJ1432" i="7"/>
  <c r="B1433" i="7"/>
  <c r="S1434" i="7"/>
  <c r="R1434" i="7" s="1"/>
  <c r="Z1435" i="7"/>
  <c r="S1436" i="7"/>
  <c r="R1436" i="7" s="1"/>
  <c r="Z1437" i="7"/>
  <c r="S1438" i="7"/>
  <c r="R1438" i="7" s="1"/>
  <c r="Z1439" i="7"/>
  <c r="S1440" i="7"/>
  <c r="R1440" i="7" s="1"/>
  <c r="Z1441" i="7"/>
  <c r="S1442" i="7"/>
  <c r="R1442" i="7" s="1"/>
  <c r="Z1443" i="7"/>
  <c r="S1444" i="7"/>
  <c r="R1444" i="7" s="1"/>
  <c r="Z1445" i="7"/>
  <c r="S1446" i="7"/>
  <c r="R1446" i="7" s="1"/>
  <c r="Z1447" i="7"/>
  <c r="S1448" i="7"/>
  <c r="R1448" i="7" s="1"/>
  <c r="Z1449" i="7"/>
  <c r="S1450" i="7"/>
  <c r="R1450" i="7" s="1"/>
  <c r="Z1451" i="7"/>
  <c r="S1452" i="7"/>
  <c r="R1452" i="7" s="1"/>
  <c r="S1454" i="7"/>
  <c r="R1454" i="7" s="1"/>
  <c r="Z1455" i="7"/>
  <c r="S1456" i="7"/>
  <c r="R1456" i="7" s="1"/>
  <c r="Z1457" i="7"/>
  <c r="S1458" i="7"/>
  <c r="R1458" i="7" s="1"/>
  <c r="Z1459" i="7"/>
  <c r="S1460" i="7"/>
  <c r="R1460" i="7" s="1"/>
  <c r="Z1461" i="7"/>
  <c r="S1462" i="7"/>
  <c r="R1462" i="7" s="1"/>
  <c r="Z1463" i="7"/>
  <c r="S1464" i="7"/>
  <c r="R1464" i="7" s="1"/>
  <c r="Z1465" i="7"/>
  <c r="S1466" i="7"/>
  <c r="R1466" i="7" s="1"/>
  <c r="Z1467" i="7"/>
  <c r="S1468" i="7"/>
  <c r="R1468" i="7" s="1"/>
  <c r="Z1469" i="7"/>
  <c r="S1470" i="7"/>
  <c r="R1470" i="7" s="1"/>
  <c r="Z1471" i="7"/>
  <c r="S1472" i="7"/>
  <c r="R1472" i="7" s="1"/>
  <c r="Z1473" i="7"/>
  <c r="AI1474" i="7"/>
  <c r="AJ1474" i="7"/>
  <c r="Z1476" i="7"/>
  <c r="AI1477" i="7"/>
  <c r="AJ1477" i="7"/>
  <c r="Z1479" i="7"/>
  <c r="AI1480" i="7"/>
  <c r="AJ1480" i="7"/>
  <c r="R1485" i="7"/>
  <c r="R1491" i="7"/>
  <c r="R1497" i="7"/>
  <c r="R1503" i="7"/>
  <c r="R1509" i="7"/>
  <c r="R1515" i="7"/>
  <c r="R1521" i="7"/>
  <c r="R1527" i="7"/>
  <c r="R1533" i="7"/>
  <c r="R1539" i="7"/>
  <c r="R1545" i="7"/>
  <c r="AI1434" i="7"/>
  <c r="AJ1434" i="7"/>
  <c r="AI1436" i="7"/>
  <c r="AJ1436" i="7"/>
  <c r="AI1438" i="7"/>
  <c r="AJ1438" i="7"/>
  <c r="AI1440" i="7"/>
  <c r="AJ1440" i="7"/>
  <c r="AI1442" i="7"/>
  <c r="AJ1442" i="7"/>
  <c r="AI1444" i="7"/>
  <c r="AJ1444" i="7"/>
  <c r="AI1446" i="7"/>
  <c r="AJ1446" i="7"/>
  <c r="AI1448" i="7"/>
  <c r="AJ1448" i="7"/>
  <c r="AI1450" i="7"/>
  <c r="AJ1450" i="7"/>
  <c r="AI1452" i="7"/>
  <c r="AJ1452" i="7"/>
  <c r="AI1454" i="7"/>
  <c r="AJ1454" i="7"/>
  <c r="AI1456" i="7"/>
  <c r="AJ1456" i="7"/>
  <c r="AI1458" i="7"/>
  <c r="AJ1458" i="7"/>
  <c r="AI1460" i="7"/>
  <c r="AJ1460" i="7"/>
  <c r="AI1462" i="7"/>
  <c r="AJ1462" i="7"/>
  <c r="AI1464" i="7"/>
  <c r="AJ1464" i="7"/>
  <c r="AI1466" i="7"/>
  <c r="AJ1466" i="7"/>
  <c r="AI1468" i="7"/>
  <c r="AJ1468" i="7"/>
  <c r="AI1470" i="7"/>
  <c r="AJ1470" i="7"/>
  <c r="AI1472" i="7"/>
  <c r="AJ1472" i="7"/>
  <c r="R1475" i="7"/>
  <c r="R1478" i="7"/>
  <c r="R1481" i="7"/>
  <c r="R1492" i="7"/>
  <c r="R1504" i="7"/>
  <c r="R1510" i="7"/>
  <c r="R1516" i="7"/>
  <c r="R1522" i="7"/>
  <c r="R1528" i="7"/>
  <c r="R1534" i="7"/>
  <c r="R1540" i="7"/>
  <c r="R1546" i="7"/>
  <c r="AI1318" i="7"/>
  <c r="AH1318" i="7" s="1"/>
  <c r="AI1319" i="7"/>
  <c r="AH1319" i="7" s="1"/>
  <c r="AI1320" i="7"/>
  <c r="AH1320" i="7" s="1"/>
  <c r="AI1321" i="7"/>
  <c r="AH1321" i="7" s="1"/>
  <c r="AI1322" i="7"/>
  <c r="AH1322" i="7" s="1"/>
  <c r="AI1323" i="7"/>
  <c r="AH1323" i="7" s="1"/>
  <c r="AI1324" i="7"/>
  <c r="AH1324" i="7" s="1"/>
  <c r="AI1325" i="7"/>
  <c r="AH1325" i="7" s="1"/>
  <c r="AI1326" i="7"/>
  <c r="AH1326" i="7" s="1"/>
  <c r="AI1327" i="7"/>
  <c r="AH1327" i="7" s="1"/>
  <c r="AI1328" i="7"/>
  <c r="AH1328" i="7" s="1"/>
  <c r="AI1329" i="7"/>
  <c r="AH1329" i="7" s="1"/>
  <c r="AI1330" i="7"/>
  <c r="AH1330" i="7" s="1"/>
  <c r="AI1331" i="7"/>
  <c r="AH1331" i="7" s="1"/>
  <c r="AI1332" i="7"/>
  <c r="AH1332" i="7" s="1"/>
  <c r="AI1333" i="7"/>
  <c r="AH1333" i="7" s="1"/>
  <c r="AI1334" i="7"/>
  <c r="AH1334" i="7" s="1"/>
  <c r="AI1335" i="7"/>
  <c r="AH1335" i="7" s="1"/>
  <c r="AI1336" i="7"/>
  <c r="AH1336" i="7" s="1"/>
  <c r="AI1337" i="7"/>
  <c r="AH1337" i="7" s="1"/>
  <c r="AI1338" i="7"/>
  <c r="AH1338" i="7" s="1"/>
  <c r="AI1339" i="7"/>
  <c r="AH1339" i="7" s="1"/>
  <c r="AI1340" i="7"/>
  <c r="AH1340" i="7" s="1"/>
  <c r="AI1341" i="7"/>
  <c r="AH1341" i="7" s="1"/>
  <c r="AI1342" i="7"/>
  <c r="AH1342" i="7" s="1"/>
  <c r="AI1343" i="7"/>
  <c r="AH1343" i="7" s="1"/>
  <c r="AI1344" i="7"/>
  <c r="AH1344" i="7" s="1"/>
  <c r="AI1345" i="7"/>
  <c r="AH1345" i="7" s="1"/>
  <c r="AI1346" i="7"/>
  <c r="AH1346" i="7" s="1"/>
  <c r="AI1347" i="7"/>
  <c r="AH1347" i="7" s="1"/>
  <c r="AI1348" i="7"/>
  <c r="AH1348" i="7" s="1"/>
  <c r="AI1349" i="7"/>
  <c r="AH1349" i="7" s="1"/>
  <c r="AI1350" i="7"/>
  <c r="AH1350" i="7" s="1"/>
  <c r="AI1351" i="7"/>
  <c r="AH1351" i="7" s="1"/>
  <c r="AI1352" i="7"/>
  <c r="AH1352" i="7" s="1"/>
  <c r="AI1353" i="7"/>
  <c r="AH1353" i="7" s="1"/>
  <c r="AI1354" i="7"/>
  <c r="AH1354" i="7" s="1"/>
  <c r="AI1355" i="7"/>
  <c r="AH1355" i="7" s="1"/>
  <c r="AI1356" i="7"/>
  <c r="AH1356" i="7" s="1"/>
  <c r="AI1357" i="7"/>
  <c r="AH1357" i="7" s="1"/>
  <c r="AI1358" i="7"/>
  <c r="AH1358" i="7" s="1"/>
  <c r="AI1359" i="7"/>
  <c r="AH1359" i="7" s="1"/>
  <c r="AI1360" i="7"/>
  <c r="AH1360" i="7" s="1"/>
  <c r="AI1361" i="7"/>
  <c r="AH1361" i="7" s="1"/>
  <c r="AI1362" i="7"/>
  <c r="AH1362" i="7" s="1"/>
  <c r="AI1363" i="7"/>
  <c r="AH1363" i="7" s="1"/>
  <c r="AI1364" i="7"/>
  <c r="AH1364" i="7" s="1"/>
  <c r="AI1365" i="7"/>
  <c r="AH1365" i="7" s="1"/>
  <c r="AI1366" i="7"/>
  <c r="AH1366" i="7" s="1"/>
  <c r="AI1367" i="7"/>
  <c r="AH1367" i="7" s="1"/>
  <c r="AI1368" i="7"/>
  <c r="AH1368" i="7" s="1"/>
  <c r="AI1369" i="7"/>
  <c r="AH1369" i="7" s="1"/>
  <c r="AI1370" i="7"/>
  <c r="AH1370" i="7" s="1"/>
  <c r="AI1371" i="7"/>
  <c r="AH1371" i="7" s="1"/>
  <c r="AI1372" i="7"/>
  <c r="AH1372" i="7" s="1"/>
  <c r="AI1380" i="7"/>
  <c r="AJ1380" i="7"/>
  <c r="AI1383" i="7"/>
  <c r="AJ1383" i="7"/>
  <c r="AI1386" i="7"/>
  <c r="AJ1386" i="7"/>
  <c r="AI1389" i="7"/>
  <c r="AJ1389" i="7"/>
  <c r="AI1392" i="7"/>
  <c r="AJ1392" i="7"/>
  <c r="AI1395" i="7"/>
  <c r="AJ1395" i="7"/>
  <c r="AI1398" i="7"/>
  <c r="AJ1398" i="7"/>
  <c r="AI1401" i="7"/>
  <c r="AJ1401" i="7"/>
  <c r="AI1404" i="7"/>
  <c r="AJ1404" i="7"/>
  <c r="AI1407" i="7"/>
  <c r="AJ1407" i="7"/>
  <c r="AI1410" i="7"/>
  <c r="AJ1410" i="7"/>
  <c r="AI1413" i="7"/>
  <c r="AJ1413" i="7"/>
  <c r="AI1416" i="7"/>
  <c r="AJ1416" i="7"/>
  <c r="AI1419" i="7"/>
  <c r="AJ1419" i="7"/>
  <c r="AI1422" i="7"/>
  <c r="AH1422" i="7" s="1"/>
  <c r="AJ1422" i="7"/>
  <c r="AI1425" i="7"/>
  <c r="AJ1425" i="7"/>
  <c r="AI1428" i="7"/>
  <c r="AJ1428" i="7"/>
  <c r="AI1431" i="7"/>
  <c r="AH1431" i="7" s="1"/>
  <c r="AJ1431" i="7"/>
  <c r="S1433" i="7"/>
  <c r="R1433" i="7" s="1"/>
  <c r="AI1475" i="7"/>
  <c r="AJ1475" i="7"/>
  <c r="AI1478" i="7"/>
  <c r="AJ1478" i="7"/>
  <c r="AI1481" i="7"/>
  <c r="AJ1481" i="7"/>
  <c r="L1380" i="7"/>
  <c r="J1380" i="7" s="1"/>
  <c r="Z1380" i="7"/>
  <c r="L1383" i="7"/>
  <c r="J1383" i="7" s="1"/>
  <c r="Z1383" i="7"/>
  <c r="L1386" i="7"/>
  <c r="J1386" i="7" s="1"/>
  <c r="L1389" i="7"/>
  <c r="J1389" i="7" s="1"/>
  <c r="Z1389" i="7"/>
  <c r="L1392" i="7"/>
  <c r="J1392" i="7" s="1"/>
  <c r="Z1392" i="7"/>
  <c r="L1395" i="7"/>
  <c r="J1395" i="7" s="1"/>
  <c r="Z1395" i="7"/>
  <c r="L1398" i="7"/>
  <c r="J1398" i="7" s="1"/>
  <c r="L1401" i="7"/>
  <c r="J1401" i="7" s="1"/>
  <c r="Z1401" i="7"/>
  <c r="L1404" i="7"/>
  <c r="J1404" i="7" s="1"/>
  <c r="Z1404" i="7"/>
  <c r="L1407" i="7"/>
  <c r="J1407" i="7" s="1"/>
  <c r="Z1407" i="7"/>
  <c r="L1410" i="7"/>
  <c r="J1410" i="7" s="1"/>
  <c r="L1413" i="7"/>
  <c r="J1413" i="7" s="1"/>
  <c r="L1416" i="7"/>
  <c r="J1416" i="7" s="1"/>
  <c r="Z1416" i="7"/>
  <c r="L1419" i="7"/>
  <c r="J1419" i="7" s="1"/>
  <c r="Z1419" i="7"/>
  <c r="L1422" i="7"/>
  <c r="J1422" i="7" s="1"/>
  <c r="L1425" i="7"/>
  <c r="J1425" i="7" s="1"/>
  <c r="Z1425" i="7"/>
  <c r="L1428" i="7"/>
  <c r="J1428" i="7" s="1"/>
  <c r="Z1428" i="7"/>
  <c r="L1431" i="7"/>
  <c r="J1431" i="7" s="1"/>
  <c r="Z1431" i="7"/>
  <c r="Z1434" i="7"/>
  <c r="S1435" i="7"/>
  <c r="R1435" i="7" s="1"/>
  <c r="Z1436" i="7"/>
  <c r="S1437" i="7"/>
  <c r="R1437" i="7" s="1"/>
  <c r="S1439" i="7"/>
  <c r="R1439" i="7" s="1"/>
  <c r="Z1440" i="7"/>
  <c r="S1441" i="7"/>
  <c r="R1441" i="7" s="1"/>
  <c r="Z1442" i="7"/>
  <c r="S1443" i="7"/>
  <c r="R1443" i="7" s="1"/>
  <c r="Z1444" i="7"/>
  <c r="S1445" i="7"/>
  <c r="R1445" i="7" s="1"/>
  <c r="Z1446" i="7"/>
  <c r="S1447" i="7"/>
  <c r="R1447" i="7" s="1"/>
  <c r="Z1448" i="7"/>
  <c r="S1449" i="7"/>
  <c r="R1449" i="7" s="1"/>
  <c r="Z1450" i="7"/>
  <c r="S1451" i="7"/>
  <c r="R1451" i="7" s="1"/>
  <c r="Z1452" i="7"/>
  <c r="S1453" i="7"/>
  <c r="R1453" i="7" s="1"/>
  <c r="Z1454" i="7"/>
  <c r="S1455" i="7"/>
  <c r="R1455" i="7" s="1"/>
  <c r="Z1456" i="7"/>
  <c r="S1457" i="7"/>
  <c r="R1457" i="7" s="1"/>
  <c r="Z1458" i="7"/>
  <c r="S1459" i="7"/>
  <c r="R1459" i="7" s="1"/>
  <c r="Z1460" i="7"/>
  <c r="S1461" i="7"/>
  <c r="R1461" i="7" s="1"/>
  <c r="Z1462" i="7"/>
  <c r="S1463" i="7"/>
  <c r="R1463" i="7" s="1"/>
  <c r="Z1464" i="7"/>
  <c r="S1465" i="7"/>
  <c r="R1465" i="7" s="1"/>
  <c r="Z1466" i="7"/>
  <c r="S1467" i="7"/>
  <c r="R1467" i="7" s="1"/>
  <c r="Z1468" i="7"/>
  <c r="S1469" i="7"/>
  <c r="R1469" i="7" s="1"/>
  <c r="Z1470" i="7"/>
  <c r="S1471" i="7"/>
  <c r="R1471" i="7" s="1"/>
  <c r="Z1472" i="7"/>
  <c r="R1473" i="7"/>
  <c r="R1476" i="7"/>
  <c r="R1479" i="7"/>
  <c r="R1488" i="7"/>
  <c r="R1494" i="7"/>
  <c r="R1500" i="7"/>
  <c r="R1506" i="7"/>
  <c r="R1512" i="7"/>
  <c r="R1518" i="7"/>
  <c r="R1530" i="7"/>
  <c r="R1536" i="7"/>
  <c r="R1542" i="7"/>
  <c r="R1548" i="7"/>
  <c r="AI1379" i="7"/>
  <c r="AJ1379" i="7"/>
  <c r="AI1382" i="7"/>
  <c r="AJ1382" i="7"/>
  <c r="AI1385" i="7"/>
  <c r="AJ1385" i="7"/>
  <c r="AI1388" i="7"/>
  <c r="AJ1388" i="7"/>
  <c r="AI1391" i="7"/>
  <c r="AJ1391" i="7"/>
  <c r="AI1394" i="7"/>
  <c r="AJ1394" i="7"/>
  <c r="AI1397" i="7"/>
  <c r="AJ1397" i="7"/>
  <c r="AI1400" i="7"/>
  <c r="AJ1400" i="7"/>
  <c r="AI1403" i="7"/>
  <c r="AJ1403" i="7"/>
  <c r="AI1406" i="7"/>
  <c r="AJ1406" i="7"/>
  <c r="AI1409" i="7"/>
  <c r="AJ1409" i="7"/>
  <c r="AI1412" i="7"/>
  <c r="AJ1412" i="7"/>
  <c r="AI1415" i="7"/>
  <c r="AJ1415" i="7"/>
  <c r="AI1418" i="7"/>
  <c r="AJ1418" i="7"/>
  <c r="AI1421" i="7"/>
  <c r="AJ1421" i="7"/>
  <c r="AI1424" i="7"/>
  <c r="AJ1424" i="7"/>
  <c r="AI1427" i="7"/>
  <c r="AJ1427" i="7"/>
  <c r="AI1430" i="7"/>
  <c r="AJ1430" i="7"/>
  <c r="AI1433" i="7"/>
  <c r="AJ1433" i="7"/>
  <c r="AI1435" i="7"/>
  <c r="AJ1435" i="7"/>
  <c r="AI1437" i="7"/>
  <c r="AJ1437" i="7"/>
  <c r="AI1439" i="7"/>
  <c r="AJ1439" i="7"/>
  <c r="AI1441" i="7"/>
  <c r="AJ1441" i="7"/>
  <c r="AI1443" i="7"/>
  <c r="AJ1443" i="7"/>
  <c r="AI1445" i="7"/>
  <c r="AJ1445" i="7"/>
  <c r="AI1447" i="7"/>
  <c r="AJ1447" i="7"/>
  <c r="AI1449" i="7"/>
  <c r="AJ1449" i="7"/>
  <c r="AI1451" i="7"/>
  <c r="AJ1451" i="7"/>
  <c r="AI1453" i="7"/>
  <c r="AJ1453" i="7"/>
  <c r="AI1455" i="7"/>
  <c r="AJ1455" i="7"/>
  <c r="AI1457" i="7"/>
  <c r="AJ1457" i="7"/>
  <c r="AI1459" i="7"/>
  <c r="AJ1459" i="7"/>
  <c r="AI1461" i="7"/>
  <c r="AJ1461" i="7"/>
  <c r="AI1463" i="7"/>
  <c r="AJ1463" i="7"/>
  <c r="AI1465" i="7"/>
  <c r="AJ1465" i="7"/>
  <c r="AI1467" i="7"/>
  <c r="AJ1467" i="7"/>
  <c r="AI1469" i="7"/>
  <c r="AJ1469" i="7"/>
  <c r="AI1471" i="7"/>
  <c r="AJ1471" i="7"/>
  <c r="AI1473" i="7"/>
  <c r="AJ1473" i="7"/>
  <c r="AI1476" i="7"/>
  <c r="AJ1476" i="7"/>
  <c r="AI1479" i="7"/>
  <c r="AJ1479" i="7"/>
  <c r="AJ1482" i="7"/>
  <c r="AH1482" i="7" s="1"/>
  <c r="AJ1483" i="7"/>
  <c r="AH1483" i="7" s="1"/>
  <c r="AJ1484" i="7"/>
  <c r="AH1484" i="7" s="1"/>
  <c r="AJ1485" i="7"/>
  <c r="AH1485" i="7" s="1"/>
  <c r="AJ1486" i="7"/>
  <c r="AH1486" i="7" s="1"/>
  <c r="AJ1487" i="7"/>
  <c r="AH1487" i="7" s="1"/>
  <c r="AJ1488" i="7"/>
  <c r="AH1488" i="7" s="1"/>
  <c r="AJ1489" i="7"/>
  <c r="AH1489" i="7" s="1"/>
  <c r="AJ1490" i="7"/>
  <c r="AH1490" i="7" s="1"/>
  <c r="AJ1491" i="7"/>
  <c r="AH1491" i="7" s="1"/>
  <c r="AJ1492" i="7"/>
  <c r="AH1492" i="7" s="1"/>
  <c r="AJ1493" i="7"/>
  <c r="AH1493" i="7" s="1"/>
  <c r="AJ1494" i="7"/>
  <c r="AH1494" i="7" s="1"/>
  <c r="AJ1495" i="7"/>
  <c r="AH1495" i="7" s="1"/>
  <c r="AJ1496" i="7"/>
  <c r="AH1496" i="7" s="1"/>
  <c r="AJ1497" i="7"/>
  <c r="AH1497" i="7" s="1"/>
  <c r="AJ1498" i="7"/>
  <c r="AH1498" i="7" s="1"/>
  <c r="AJ1499" i="7"/>
  <c r="AH1499" i="7" s="1"/>
  <c r="AJ1500" i="7"/>
  <c r="AH1500" i="7" s="1"/>
  <c r="AJ1501" i="7"/>
  <c r="AH1501" i="7" s="1"/>
  <c r="AJ1502" i="7"/>
  <c r="AH1502" i="7" s="1"/>
  <c r="AJ1503" i="7"/>
  <c r="AH1503" i="7" s="1"/>
  <c r="AJ1504" i="7"/>
  <c r="AH1504" i="7" s="1"/>
  <c r="AJ1505" i="7"/>
  <c r="AH1505" i="7" s="1"/>
  <c r="AJ1506" i="7"/>
  <c r="AH1506" i="7" s="1"/>
  <c r="AJ1507" i="7"/>
  <c r="AH1507" i="7" s="1"/>
  <c r="AJ1508" i="7"/>
  <c r="AH1508" i="7" s="1"/>
  <c r="AJ1509" i="7"/>
  <c r="AH1509" i="7" s="1"/>
  <c r="AJ1510" i="7"/>
  <c r="AH1510" i="7" s="1"/>
  <c r="AJ1511" i="7"/>
  <c r="AH1511" i="7" s="1"/>
  <c r="AJ1512" i="7"/>
  <c r="AH1512" i="7" s="1"/>
  <c r="AJ1513" i="7"/>
  <c r="AH1513" i="7" s="1"/>
  <c r="AJ1514" i="7"/>
  <c r="AH1514" i="7" s="1"/>
  <c r="AJ1515" i="7"/>
  <c r="AH1515" i="7" s="1"/>
  <c r="AJ1516" i="7"/>
  <c r="AH1516" i="7" s="1"/>
  <c r="AJ1517" i="7"/>
  <c r="AH1517" i="7" s="1"/>
  <c r="AJ1518" i="7"/>
  <c r="AH1518" i="7" s="1"/>
  <c r="AJ1519" i="7"/>
  <c r="AH1519" i="7" s="1"/>
  <c r="AJ1520" i="7"/>
  <c r="AH1520" i="7" s="1"/>
  <c r="AJ1521" i="7"/>
  <c r="AH1521" i="7" s="1"/>
  <c r="AJ1522" i="7"/>
  <c r="AH1522" i="7" s="1"/>
  <c r="AJ1523" i="7"/>
  <c r="AH1523" i="7" s="1"/>
  <c r="AJ1524" i="7"/>
  <c r="AH1524" i="7" s="1"/>
  <c r="AJ1525" i="7"/>
  <c r="AH1525" i="7" s="1"/>
  <c r="AJ1526" i="7"/>
  <c r="AH1526" i="7" s="1"/>
  <c r="AJ1527" i="7"/>
  <c r="AH1527" i="7" s="1"/>
  <c r="AJ1528" i="7"/>
  <c r="AH1528" i="7" s="1"/>
  <c r="AJ1529" i="7"/>
  <c r="AH1529" i="7" s="1"/>
  <c r="AJ1530" i="7"/>
  <c r="AH1530" i="7" s="1"/>
  <c r="AJ1531" i="7"/>
  <c r="AH1531" i="7" s="1"/>
  <c r="AJ1532" i="7"/>
  <c r="AH1532" i="7" s="1"/>
  <c r="AJ1533" i="7"/>
  <c r="AH1533" i="7" s="1"/>
  <c r="AJ1534" i="7"/>
  <c r="AH1534" i="7" s="1"/>
  <c r="AJ1535" i="7"/>
  <c r="AH1535" i="7" s="1"/>
  <c r="AJ1536" i="7"/>
  <c r="AH1536" i="7" s="1"/>
  <c r="AJ1537" i="7"/>
  <c r="AH1537" i="7" s="1"/>
  <c r="AJ1538" i="7"/>
  <c r="AH1538" i="7" s="1"/>
  <c r="AJ1539" i="7"/>
  <c r="AH1539" i="7" s="1"/>
  <c r="AJ1540" i="7"/>
  <c r="AH1540" i="7" s="1"/>
  <c r="AJ1541" i="7"/>
  <c r="AH1541" i="7" s="1"/>
  <c r="AJ1542" i="7"/>
  <c r="AH1542" i="7" s="1"/>
  <c r="AJ1543" i="7"/>
  <c r="AH1543" i="7" s="1"/>
  <c r="AJ1544" i="7"/>
  <c r="AH1544" i="7" s="1"/>
  <c r="AJ1545" i="7"/>
  <c r="AH1545" i="7" s="1"/>
  <c r="AJ1546" i="7"/>
  <c r="AH1546" i="7" s="1"/>
  <c r="AJ1547" i="7"/>
  <c r="AH1547" i="7" s="1"/>
  <c r="AJ1548" i="7"/>
  <c r="AH1548" i="7" s="1"/>
  <c r="AJ1549" i="7"/>
  <c r="AH1549" i="7" s="1"/>
  <c r="AJ1550" i="7"/>
  <c r="AH1550" i="7" s="1"/>
  <c r="K1551" i="7"/>
  <c r="J1551" i="7" s="1"/>
  <c r="AI1551" i="7"/>
  <c r="AH1551" i="7" s="1"/>
  <c r="K1552" i="7"/>
  <c r="J1552" i="7" s="1"/>
  <c r="AI1552" i="7"/>
  <c r="AH1552" i="7" s="1"/>
  <c r="K1553" i="7"/>
  <c r="J1553" i="7" s="1"/>
  <c r="AI1553" i="7"/>
  <c r="AH1553" i="7" s="1"/>
  <c r="K1554" i="7"/>
  <c r="J1554" i="7" s="1"/>
  <c r="AI1554" i="7"/>
  <c r="AH1554" i="7" s="1"/>
  <c r="K1555" i="7"/>
  <c r="J1555" i="7" s="1"/>
  <c r="AI1555" i="7"/>
  <c r="AH1555" i="7" s="1"/>
  <c r="K1556" i="7"/>
  <c r="J1556" i="7" s="1"/>
  <c r="AI1556" i="7"/>
  <c r="AH1556" i="7" s="1"/>
  <c r="K1557" i="7"/>
  <c r="J1557" i="7" s="1"/>
  <c r="AI1557" i="7"/>
  <c r="AH1557" i="7" s="1"/>
  <c r="K1558" i="7"/>
  <c r="J1558" i="7" s="1"/>
  <c r="AI1558" i="7"/>
  <c r="AH1558" i="7" s="1"/>
  <c r="K1559" i="7"/>
  <c r="J1559" i="7" s="1"/>
  <c r="AI1559" i="7"/>
  <c r="AH1559" i="7" s="1"/>
  <c r="K1560" i="7"/>
  <c r="J1560" i="7" s="1"/>
  <c r="AI1560" i="7"/>
  <c r="AH1560" i="7" s="1"/>
  <c r="K1561" i="7"/>
  <c r="J1561" i="7" s="1"/>
  <c r="AI1561" i="7"/>
  <c r="AH1561" i="7" s="1"/>
  <c r="K1562" i="7"/>
  <c r="J1562" i="7" s="1"/>
  <c r="AI1562" i="7"/>
  <c r="AH1562" i="7" s="1"/>
  <c r="K1563" i="7"/>
  <c r="J1563" i="7" s="1"/>
  <c r="AI1563" i="7"/>
  <c r="AH1563" i="7" s="1"/>
  <c r="K1564" i="7"/>
  <c r="J1564" i="7" s="1"/>
  <c r="AI1564" i="7"/>
  <c r="AH1564" i="7" s="1"/>
  <c r="K1565" i="7"/>
  <c r="J1565" i="7" s="1"/>
  <c r="AI1565" i="7"/>
  <c r="AH1565" i="7" s="1"/>
  <c r="K1566" i="7"/>
  <c r="J1566" i="7" s="1"/>
  <c r="AI1566" i="7"/>
  <c r="AH1566" i="7" s="1"/>
  <c r="K1567" i="7"/>
  <c r="J1567" i="7" s="1"/>
  <c r="AI1567" i="7"/>
  <c r="AH1567" i="7" s="1"/>
  <c r="K1568" i="7"/>
  <c r="J1568" i="7" s="1"/>
  <c r="AI1568" i="7"/>
  <c r="AH1568" i="7" s="1"/>
  <c r="K1569" i="7"/>
  <c r="J1569" i="7" s="1"/>
  <c r="AI1569" i="7"/>
  <c r="AH1569" i="7" s="1"/>
  <c r="K1570" i="7"/>
  <c r="J1570" i="7" s="1"/>
  <c r="AI1570" i="7"/>
  <c r="AH1570" i="7" s="1"/>
  <c r="K1571" i="7"/>
  <c r="J1571" i="7" s="1"/>
  <c r="AI1571" i="7"/>
  <c r="AH1571" i="7" s="1"/>
  <c r="K1572" i="7"/>
  <c r="J1572" i="7" s="1"/>
  <c r="AI1572" i="7"/>
  <c r="AH1572" i="7" s="1"/>
  <c r="K1573" i="7"/>
  <c r="J1573" i="7" s="1"/>
  <c r="AI1573" i="7"/>
  <c r="AH1573" i="7" s="1"/>
  <c r="K1574" i="7"/>
  <c r="J1574" i="7" s="1"/>
  <c r="AI1574" i="7"/>
  <c r="AH1574" i="7" s="1"/>
  <c r="K1575" i="7"/>
  <c r="J1575" i="7" s="1"/>
  <c r="AI1575" i="7"/>
  <c r="AH1575" i="7" s="1"/>
  <c r="K1576" i="7"/>
  <c r="J1576" i="7" s="1"/>
  <c r="AI1576" i="7"/>
  <c r="AH1576" i="7" s="1"/>
  <c r="K1577" i="7"/>
  <c r="J1577" i="7" s="1"/>
  <c r="AI1577" i="7"/>
  <c r="AH1577" i="7" s="1"/>
  <c r="K1578" i="7"/>
  <c r="J1578" i="7" s="1"/>
  <c r="AI1578" i="7"/>
  <c r="AH1578" i="7" s="1"/>
  <c r="K1579" i="7"/>
  <c r="J1579" i="7" s="1"/>
  <c r="AI1579" i="7"/>
  <c r="AH1579" i="7" s="1"/>
  <c r="K1580" i="7"/>
  <c r="J1580" i="7" s="1"/>
  <c r="AI1580" i="7"/>
  <c r="AH1580" i="7" s="1"/>
  <c r="K1581" i="7"/>
  <c r="J1581" i="7" s="1"/>
  <c r="D1583" i="7"/>
  <c r="B1583" i="7" s="1"/>
  <c r="R1583" i="7"/>
  <c r="D1586" i="7"/>
  <c r="B1586" i="7" s="1"/>
  <c r="R1586" i="7"/>
  <c r="D1589" i="7"/>
  <c r="B1589" i="7" s="1"/>
  <c r="R1589" i="7"/>
  <c r="D1592" i="7"/>
  <c r="B1592" i="7" s="1"/>
  <c r="R1592" i="7"/>
  <c r="D1595" i="7"/>
  <c r="B1595" i="7" s="1"/>
  <c r="R1595" i="7"/>
  <c r="AP1596" i="7"/>
  <c r="R1598" i="7"/>
  <c r="AP1599" i="7"/>
  <c r="R1601" i="7"/>
  <c r="AP1602" i="7"/>
  <c r="R1604" i="7"/>
  <c r="AP1605" i="7"/>
  <c r="R1607" i="7"/>
  <c r="AP1608" i="7"/>
  <c r="R1610" i="7"/>
  <c r="AP1611" i="7"/>
  <c r="R1613" i="7"/>
  <c r="AP1614" i="7"/>
  <c r="R1616" i="7"/>
  <c r="AP1617" i="7"/>
  <c r="R1619" i="7"/>
  <c r="AP1620" i="7"/>
  <c r="R1622" i="7"/>
  <c r="AP1623" i="7"/>
  <c r="R1625" i="7"/>
  <c r="AP1626" i="7"/>
  <c r="R1628" i="7"/>
  <c r="AP1629" i="7"/>
  <c r="R1631" i="7"/>
  <c r="AP1632" i="7"/>
  <c r="R1634" i="7"/>
  <c r="AP1635" i="7"/>
  <c r="R1637" i="7"/>
  <c r="AP1638" i="7"/>
  <c r="R1640" i="7"/>
  <c r="AB1641" i="7"/>
  <c r="AA1641" i="7"/>
  <c r="R1645" i="7"/>
  <c r="AH1645" i="7"/>
  <c r="AB1647" i="7"/>
  <c r="AA1647" i="7"/>
  <c r="J1649" i="7"/>
  <c r="J1650" i="7"/>
  <c r="J1652" i="7"/>
  <c r="J1653" i="7"/>
  <c r="J1655" i="7"/>
  <c r="J1656" i="7"/>
  <c r="J1658" i="7"/>
  <c r="J1659" i="7"/>
  <c r="J1661" i="7"/>
  <c r="J1662" i="7"/>
  <c r="J1664" i="7"/>
  <c r="J1665" i="7"/>
  <c r="J1667" i="7"/>
  <c r="J1668" i="7"/>
  <c r="J1670" i="7"/>
  <c r="J1671" i="7"/>
  <c r="J1673" i="7"/>
  <c r="J1674" i="7"/>
  <c r="J1676" i="7"/>
  <c r="J1677" i="7"/>
  <c r="J1679" i="7"/>
  <c r="J1680" i="7"/>
  <c r="J1682" i="7"/>
  <c r="J1683" i="7"/>
  <c r="J1685" i="7"/>
  <c r="J1686" i="7"/>
  <c r="J1688" i="7"/>
  <c r="J1689" i="7"/>
  <c r="J1691" i="7"/>
  <c r="J1692" i="7"/>
  <c r="J1694" i="7"/>
  <c r="J1695" i="7"/>
  <c r="J1697" i="7"/>
  <c r="J1698" i="7"/>
  <c r="J1700" i="7"/>
  <c r="J1701" i="7"/>
  <c r="J1703" i="7"/>
  <c r="J1704" i="7"/>
  <c r="J1706" i="7"/>
  <c r="J1707" i="7"/>
  <c r="J1709" i="7"/>
  <c r="J1710" i="7"/>
  <c r="J1712" i="7"/>
  <c r="J1713" i="7"/>
  <c r="J1715" i="7"/>
  <c r="J1716" i="7"/>
  <c r="J1718" i="7"/>
  <c r="J1719" i="7"/>
  <c r="J1721" i="7"/>
  <c r="J1723" i="7"/>
  <c r="J1724" i="7"/>
  <c r="J1725" i="7"/>
  <c r="J1729" i="7"/>
  <c r="J1730" i="7"/>
  <c r="J1731" i="7"/>
  <c r="J1732" i="7"/>
  <c r="J1735" i="7"/>
  <c r="J1738" i="7"/>
  <c r="J1742" i="7"/>
  <c r="J1743" i="7"/>
  <c r="J1744" i="7"/>
  <c r="J1745" i="7"/>
  <c r="J1747" i="7"/>
  <c r="J1749" i="7"/>
  <c r="J1751" i="7"/>
  <c r="J1755" i="7"/>
  <c r="J1756" i="7"/>
  <c r="J1757" i="7"/>
  <c r="R1762" i="7"/>
  <c r="R1768" i="7"/>
  <c r="AB1582" i="7"/>
  <c r="AA1582" i="7"/>
  <c r="AB1585" i="7"/>
  <c r="AA1585" i="7"/>
  <c r="AB1588" i="7"/>
  <c r="AA1588" i="7"/>
  <c r="AB1591" i="7"/>
  <c r="AA1591" i="7"/>
  <c r="AB1594" i="7"/>
  <c r="AA1594" i="7"/>
  <c r="AB1596" i="7"/>
  <c r="AA1596" i="7"/>
  <c r="D1598" i="7"/>
  <c r="C1598" i="7"/>
  <c r="AB1599" i="7"/>
  <c r="AA1599" i="7"/>
  <c r="D1601" i="7"/>
  <c r="C1601" i="7"/>
  <c r="AB1602" i="7"/>
  <c r="AA1602" i="7"/>
  <c r="D1604" i="7"/>
  <c r="C1604" i="7"/>
  <c r="AB1605" i="7"/>
  <c r="AA1605" i="7"/>
  <c r="D1607" i="7"/>
  <c r="C1607" i="7"/>
  <c r="AB1608" i="7"/>
  <c r="AA1608" i="7"/>
  <c r="D1610" i="7"/>
  <c r="C1610" i="7"/>
  <c r="AB1611" i="7"/>
  <c r="AA1611" i="7"/>
  <c r="D1613" i="7"/>
  <c r="C1613" i="7"/>
  <c r="AB1614" i="7"/>
  <c r="AA1614" i="7"/>
  <c r="D1616" i="7"/>
  <c r="C1616" i="7"/>
  <c r="AB1617" i="7"/>
  <c r="AA1617" i="7"/>
  <c r="D1619" i="7"/>
  <c r="C1619" i="7"/>
  <c r="AB1620" i="7"/>
  <c r="AA1620" i="7"/>
  <c r="D1622" i="7"/>
  <c r="C1622" i="7"/>
  <c r="AB1623" i="7"/>
  <c r="AA1623" i="7"/>
  <c r="D1625" i="7"/>
  <c r="C1625" i="7"/>
  <c r="AB1626" i="7"/>
  <c r="AA1626" i="7"/>
  <c r="D1628" i="7"/>
  <c r="C1628" i="7"/>
  <c r="AB1629" i="7"/>
  <c r="AA1629" i="7"/>
  <c r="D1631" i="7"/>
  <c r="C1631" i="7"/>
  <c r="AB1632" i="7"/>
  <c r="AA1632" i="7"/>
  <c r="D1634" i="7"/>
  <c r="C1634" i="7"/>
  <c r="AB1635" i="7"/>
  <c r="AA1635" i="7"/>
  <c r="D1637" i="7"/>
  <c r="C1637" i="7"/>
  <c r="AB1638" i="7"/>
  <c r="AA1638" i="7"/>
  <c r="D1640" i="7"/>
  <c r="C1640" i="7"/>
  <c r="AB1642" i="7"/>
  <c r="AA1642" i="7"/>
  <c r="D1551" i="7"/>
  <c r="B1551" i="7" s="1"/>
  <c r="AB1551" i="7"/>
  <c r="Z1551" i="7" s="1"/>
  <c r="D1552" i="7"/>
  <c r="B1552" i="7" s="1"/>
  <c r="AB1552" i="7"/>
  <c r="Z1552" i="7" s="1"/>
  <c r="D1553" i="7"/>
  <c r="B1553" i="7" s="1"/>
  <c r="AB1553" i="7"/>
  <c r="Z1553" i="7" s="1"/>
  <c r="D1554" i="7"/>
  <c r="B1554" i="7" s="1"/>
  <c r="AB1554" i="7"/>
  <c r="Z1554" i="7" s="1"/>
  <c r="D1555" i="7"/>
  <c r="B1555" i="7" s="1"/>
  <c r="AB1555" i="7"/>
  <c r="Z1555" i="7" s="1"/>
  <c r="D1556" i="7"/>
  <c r="B1556" i="7" s="1"/>
  <c r="AB1556" i="7"/>
  <c r="Z1556" i="7" s="1"/>
  <c r="D1557" i="7"/>
  <c r="B1557" i="7" s="1"/>
  <c r="AB1557" i="7"/>
  <c r="Z1557" i="7" s="1"/>
  <c r="D1558" i="7"/>
  <c r="B1558" i="7" s="1"/>
  <c r="AB1558" i="7"/>
  <c r="Z1558" i="7" s="1"/>
  <c r="D1559" i="7"/>
  <c r="B1559" i="7" s="1"/>
  <c r="AB1559" i="7"/>
  <c r="Z1559" i="7" s="1"/>
  <c r="D1560" i="7"/>
  <c r="B1560" i="7" s="1"/>
  <c r="AB1560" i="7"/>
  <c r="Z1560" i="7" s="1"/>
  <c r="D1561" i="7"/>
  <c r="B1561" i="7" s="1"/>
  <c r="AB1561" i="7"/>
  <c r="Z1561" i="7" s="1"/>
  <c r="D1562" i="7"/>
  <c r="B1562" i="7" s="1"/>
  <c r="AB1562" i="7"/>
  <c r="Z1562" i="7" s="1"/>
  <c r="D1563" i="7"/>
  <c r="B1563" i="7" s="1"/>
  <c r="AB1563" i="7"/>
  <c r="Z1563" i="7" s="1"/>
  <c r="D1564" i="7"/>
  <c r="B1564" i="7" s="1"/>
  <c r="AB1564" i="7"/>
  <c r="Z1564" i="7" s="1"/>
  <c r="D1565" i="7"/>
  <c r="B1565" i="7" s="1"/>
  <c r="AB1565" i="7"/>
  <c r="Z1565" i="7" s="1"/>
  <c r="D1566" i="7"/>
  <c r="B1566" i="7" s="1"/>
  <c r="AB1566" i="7"/>
  <c r="Z1566" i="7" s="1"/>
  <c r="D1567" i="7"/>
  <c r="B1567" i="7" s="1"/>
  <c r="AB1567" i="7"/>
  <c r="Z1567" i="7" s="1"/>
  <c r="D1568" i="7"/>
  <c r="B1568" i="7" s="1"/>
  <c r="AB1568" i="7"/>
  <c r="Z1568" i="7" s="1"/>
  <c r="D1569" i="7"/>
  <c r="B1569" i="7" s="1"/>
  <c r="AB1569" i="7"/>
  <c r="Z1569" i="7" s="1"/>
  <c r="D1570" i="7"/>
  <c r="B1570" i="7" s="1"/>
  <c r="AB1570" i="7"/>
  <c r="Z1570" i="7" s="1"/>
  <c r="D1571" i="7"/>
  <c r="B1571" i="7" s="1"/>
  <c r="AB1571" i="7"/>
  <c r="Z1571" i="7" s="1"/>
  <c r="D1572" i="7"/>
  <c r="B1572" i="7" s="1"/>
  <c r="AB1572" i="7"/>
  <c r="Z1572" i="7" s="1"/>
  <c r="D1573" i="7"/>
  <c r="B1573" i="7" s="1"/>
  <c r="AB1573" i="7"/>
  <c r="Z1573" i="7" s="1"/>
  <c r="D1574" i="7"/>
  <c r="B1574" i="7" s="1"/>
  <c r="AB1574" i="7"/>
  <c r="Z1574" i="7" s="1"/>
  <c r="D1575" i="7"/>
  <c r="B1575" i="7" s="1"/>
  <c r="AB1575" i="7"/>
  <c r="Z1575" i="7" s="1"/>
  <c r="D1576" i="7"/>
  <c r="B1576" i="7" s="1"/>
  <c r="AB1576" i="7"/>
  <c r="Z1576" i="7" s="1"/>
  <c r="D1577" i="7"/>
  <c r="B1577" i="7" s="1"/>
  <c r="AB1577" i="7"/>
  <c r="Z1577" i="7" s="1"/>
  <c r="D1578" i="7"/>
  <c r="B1578" i="7" s="1"/>
  <c r="AB1578" i="7"/>
  <c r="Z1578" i="7" s="1"/>
  <c r="D1579" i="7"/>
  <c r="B1579" i="7" s="1"/>
  <c r="AB1579" i="7"/>
  <c r="Z1579" i="7" s="1"/>
  <c r="D1580" i="7"/>
  <c r="B1580" i="7" s="1"/>
  <c r="AB1580" i="7"/>
  <c r="Z1580" i="7" s="1"/>
  <c r="D1581" i="7"/>
  <c r="B1581" i="7" s="1"/>
  <c r="AB1581" i="7"/>
  <c r="Z1581" i="7" s="1"/>
  <c r="D1582" i="7"/>
  <c r="B1582" i="7" s="1"/>
  <c r="R1582" i="7"/>
  <c r="D1585" i="7"/>
  <c r="B1585" i="7" s="1"/>
  <c r="R1585" i="7"/>
  <c r="D1588" i="7"/>
  <c r="B1588" i="7" s="1"/>
  <c r="R1588" i="7"/>
  <c r="D1591" i="7"/>
  <c r="B1591" i="7" s="1"/>
  <c r="R1591" i="7"/>
  <c r="D1594" i="7"/>
  <c r="B1594" i="7" s="1"/>
  <c r="R1594" i="7"/>
  <c r="R1596" i="7"/>
  <c r="AP1597" i="7"/>
  <c r="R1599" i="7"/>
  <c r="AP1600" i="7"/>
  <c r="R1602" i="7"/>
  <c r="AP1603" i="7"/>
  <c r="R1605" i="7"/>
  <c r="AP1606" i="7"/>
  <c r="R1608" i="7"/>
  <c r="AP1609" i="7"/>
  <c r="R1611" i="7"/>
  <c r="AP1612" i="7"/>
  <c r="R1614" i="7"/>
  <c r="AP1615" i="7"/>
  <c r="R1617" i="7"/>
  <c r="AP1618" i="7"/>
  <c r="R1620" i="7"/>
  <c r="AP1621" i="7"/>
  <c r="R1623" i="7"/>
  <c r="AP1624" i="7"/>
  <c r="R1626" i="7"/>
  <c r="AP1627" i="7"/>
  <c r="R1629" i="7"/>
  <c r="AP1630" i="7"/>
  <c r="R1632" i="7"/>
  <c r="AP1633" i="7"/>
  <c r="R1635" i="7"/>
  <c r="AP1636" i="7"/>
  <c r="R1638" i="7"/>
  <c r="AP1639" i="7"/>
  <c r="R1641" i="7"/>
  <c r="AH1641" i="7"/>
  <c r="AB1643" i="7"/>
  <c r="AA1643" i="7"/>
  <c r="J1644" i="7"/>
  <c r="R1647" i="7"/>
  <c r="AH1647" i="7"/>
  <c r="R1570" i="7"/>
  <c r="AP1570" i="7"/>
  <c r="R1571" i="7"/>
  <c r="AP1571" i="7"/>
  <c r="R1572" i="7"/>
  <c r="AP1572" i="7"/>
  <c r="R1573" i="7"/>
  <c r="AP1573" i="7"/>
  <c r="R1574" i="7"/>
  <c r="AP1574" i="7"/>
  <c r="R1575" i="7"/>
  <c r="AP1575" i="7"/>
  <c r="R1576" i="7"/>
  <c r="AP1576" i="7"/>
  <c r="R1577" i="7"/>
  <c r="AP1577" i="7"/>
  <c r="R1578" i="7"/>
  <c r="AP1578" i="7"/>
  <c r="R1579" i="7"/>
  <c r="AP1579" i="7"/>
  <c r="R1580" i="7"/>
  <c r="AP1580" i="7"/>
  <c r="R1581" i="7"/>
  <c r="AP1581" i="7"/>
  <c r="K1583" i="7"/>
  <c r="J1583" i="7" s="1"/>
  <c r="AB1584" i="7"/>
  <c r="AA1584" i="7"/>
  <c r="AP1584" i="7"/>
  <c r="K1586" i="7"/>
  <c r="J1586" i="7" s="1"/>
  <c r="AB1587" i="7"/>
  <c r="AA1587" i="7"/>
  <c r="AP1587" i="7"/>
  <c r="K1589" i="7"/>
  <c r="J1589" i="7" s="1"/>
  <c r="AB1590" i="7"/>
  <c r="AA1590" i="7"/>
  <c r="AP1590" i="7"/>
  <c r="K1592" i="7"/>
  <c r="J1592" i="7" s="1"/>
  <c r="AB1593" i="7"/>
  <c r="AA1593" i="7"/>
  <c r="AP1593" i="7"/>
  <c r="J1595" i="7"/>
  <c r="D1596" i="7"/>
  <c r="C1596" i="7"/>
  <c r="AH1596" i="7"/>
  <c r="AB1597" i="7"/>
  <c r="AA1597" i="7"/>
  <c r="D1599" i="7"/>
  <c r="C1599" i="7"/>
  <c r="AH1599" i="7"/>
  <c r="AB1600" i="7"/>
  <c r="AA1600" i="7"/>
  <c r="J1601" i="7"/>
  <c r="D1602" i="7"/>
  <c r="C1602" i="7"/>
  <c r="AH1602" i="7"/>
  <c r="AB1603" i="7"/>
  <c r="AA1603" i="7"/>
  <c r="Z1603" i="7" s="1"/>
  <c r="J1604" i="7"/>
  <c r="D1605" i="7"/>
  <c r="C1605" i="7"/>
  <c r="AH1605" i="7"/>
  <c r="AB1606" i="7"/>
  <c r="AA1606" i="7"/>
  <c r="Z1606" i="7" s="1"/>
  <c r="J1607" i="7"/>
  <c r="D1608" i="7"/>
  <c r="C1608" i="7"/>
  <c r="AH1608" i="7"/>
  <c r="AB1609" i="7"/>
  <c r="AA1609" i="7"/>
  <c r="Z1609" i="7" s="1"/>
  <c r="J1610" i="7"/>
  <c r="D1611" i="7"/>
  <c r="C1611" i="7"/>
  <c r="AH1611" i="7"/>
  <c r="AB1612" i="7"/>
  <c r="AA1612" i="7"/>
  <c r="Z1612" i="7" s="1"/>
  <c r="D1614" i="7"/>
  <c r="C1614" i="7"/>
  <c r="AH1614" i="7"/>
  <c r="AB1615" i="7"/>
  <c r="AA1615" i="7"/>
  <c r="J1616" i="7"/>
  <c r="D1617" i="7"/>
  <c r="C1617" i="7"/>
  <c r="AH1617" i="7"/>
  <c r="AB1618" i="7"/>
  <c r="AA1618" i="7"/>
  <c r="J1619" i="7"/>
  <c r="D1620" i="7"/>
  <c r="C1620" i="7"/>
  <c r="AH1620" i="7"/>
  <c r="AB1621" i="7"/>
  <c r="AA1621" i="7"/>
  <c r="D1623" i="7"/>
  <c r="C1623" i="7"/>
  <c r="AH1623" i="7"/>
  <c r="AB1624" i="7"/>
  <c r="AA1624" i="7"/>
  <c r="Z1624" i="7" s="1"/>
  <c r="J1625" i="7"/>
  <c r="D1626" i="7"/>
  <c r="C1626" i="7"/>
  <c r="AH1626" i="7"/>
  <c r="AB1627" i="7"/>
  <c r="AA1627" i="7"/>
  <c r="Z1627" i="7" s="1"/>
  <c r="D1629" i="7"/>
  <c r="C1629" i="7"/>
  <c r="AH1629" i="7"/>
  <c r="AB1630" i="7"/>
  <c r="AA1630" i="7"/>
  <c r="Z1630" i="7" s="1"/>
  <c r="J1631" i="7"/>
  <c r="D1632" i="7"/>
  <c r="C1632" i="7"/>
  <c r="AH1632" i="7"/>
  <c r="AB1633" i="7"/>
  <c r="AA1633" i="7"/>
  <c r="Z1633" i="7" s="1"/>
  <c r="J1634" i="7"/>
  <c r="D1635" i="7"/>
  <c r="C1635" i="7"/>
  <c r="AH1635" i="7"/>
  <c r="AB1636" i="7"/>
  <c r="AA1636" i="7"/>
  <c r="Z1636" i="7" s="1"/>
  <c r="J1637" i="7"/>
  <c r="D1638" i="7"/>
  <c r="C1638" i="7"/>
  <c r="AH1638" i="7"/>
  <c r="AB1639" i="7"/>
  <c r="AA1639" i="7"/>
  <c r="Z1639" i="7" s="1"/>
  <c r="J1640" i="7"/>
  <c r="R1642" i="7"/>
  <c r="AH1642" i="7"/>
  <c r="AB1644" i="7"/>
  <c r="AA1644" i="7"/>
  <c r="AH1648" i="7"/>
  <c r="AH1649" i="7"/>
  <c r="AH1650" i="7"/>
  <c r="AH1651" i="7"/>
  <c r="AH1652" i="7"/>
  <c r="AH1653" i="7"/>
  <c r="AH1654" i="7"/>
  <c r="AH1655" i="7"/>
  <c r="AH1656" i="7"/>
  <c r="AH1657" i="7"/>
  <c r="AH1659" i="7"/>
  <c r="AH1660" i="7"/>
  <c r="AH1661" i="7"/>
  <c r="AH1662" i="7"/>
  <c r="AH1663" i="7"/>
  <c r="AH1664" i="7"/>
  <c r="AH1665" i="7"/>
  <c r="AH1666" i="7"/>
  <c r="AH1667" i="7"/>
  <c r="AH1668" i="7"/>
  <c r="AH1669" i="7"/>
  <c r="AH1670" i="7"/>
  <c r="AH1671" i="7"/>
  <c r="AH1672" i="7"/>
  <c r="AH1673" i="7"/>
  <c r="AH1674" i="7"/>
  <c r="AH1675" i="7"/>
  <c r="AH1676" i="7"/>
  <c r="AH1677" i="7"/>
  <c r="AH1678" i="7"/>
  <c r="AH1679" i="7"/>
  <c r="AH1680" i="7"/>
  <c r="AH1681" i="7"/>
  <c r="AH1683" i="7"/>
  <c r="AH1684" i="7"/>
  <c r="AH1685" i="7"/>
  <c r="AH1686" i="7"/>
  <c r="AH1687" i="7"/>
  <c r="AH1688" i="7"/>
  <c r="AH1689" i="7"/>
  <c r="AH1690" i="7"/>
  <c r="AH1691" i="7"/>
  <c r="AH1692" i="7"/>
  <c r="AH1693" i="7"/>
  <c r="AH1694" i="7"/>
  <c r="AH1695" i="7"/>
  <c r="AH1696" i="7"/>
  <c r="AH1697" i="7"/>
  <c r="AH1698" i="7"/>
  <c r="AH1699" i="7"/>
  <c r="AH1701" i="7"/>
  <c r="AH1702" i="7"/>
  <c r="AH1703" i="7"/>
  <c r="AH1704" i="7"/>
  <c r="AH1705" i="7"/>
  <c r="AH1706" i="7"/>
  <c r="AH1707" i="7"/>
  <c r="AH1708" i="7"/>
  <c r="AH1709" i="7"/>
  <c r="AH1710" i="7"/>
  <c r="AH1711" i="7"/>
  <c r="AH1712" i="7"/>
  <c r="AH1713" i="7"/>
  <c r="AH1714" i="7"/>
  <c r="AH1715" i="7"/>
  <c r="AH1716" i="7"/>
  <c r="AH1717" i="7"/>
  <c r="AH1718" i="7"/>
  <c r="AH1719" i="7"/>
  <c r="AH1720" i="7"/>
  <c r="AH1721" i="7"/>
  <c r="AH1722" i="7"/>
  <c r="AH1723" i="7"/>
  <c r="AH1724" i="7"/>
  <c r="AH1725" i="7"/>
  <c r="AH1726" i="7"/>
  <c r="AH1727" i="7"/>
  <c r="AH1729" i="7"/>
  <c r="AH1730" i="7"/>
  <c r="AH1731" i="7"/>
  <c r="AH1732" i="7"/>
  <c r="AH1733" i="7"/>
  <c r="AH1734" i="7"/>
  <c r="AH1735" i="7"/>
  <c r="AH1736" i="7"/>
  <c r="AH1737" i="7"/>
  <c r="AH1738" i="7"/>
  <c r="AH1739" i="7"/>
  <c r="AH1740" i="7"/>
  <c r="AH1741" i="7"/>
  <c r="AH1742" i="7"/>
  <c r="AH1743" i="7"/>
  <c r="AH1744" i="7"/>
  <c r="AH1745" i="7"/>
  <c r="AH1746" i="7"/>
  <c r="AH1747" i="7"/>
  <c r="AH1748" i="7"/>
  <c r="AH1749" i="7"/>
  <c r="AH1750" i="7"/>
  <c r="AH1751" i="7"/>
  <c r="AH1752" i="7"/>
  <c r="AH1753" i="7"/>
  <c r="AH1754" i="7"/>
  <c r="AH1756" i="7"/>
  <c r="R1759" i="7"/>
  <c r="R1765" i="7"/>
  <c r="AB1645" i="7"/>
  <c r="AA1645" i="7"/>
  <c r="K1582" i="7"/>
  <c r="J1582" i="7" s="1"/>
  <c r="AB1583" i="7"/>
  <c r="AA1583" i="7"/>
  <c r="AP1583" i="7"/>
  <c r="K1585" i="7"/>
  <c r="J1585" i="7" s="1"/>
  <c r="AB1586" i="7"/>
  <c r="AA1586" i="7"/>
  <c r="AP1586" i="7"/>
  <c r="K1588" i="7"/>
  <c r="J1588" i="7" s="1"/>
  <c r="AB1589" i="7"/>
  <c r="AA1589" i="7"/>
  <c r="AP1589" i="7"/>
  <c r="K1591" i="7"/>
  <c r="J1591" i="7" s="1"/>
  <c r="AB1592" i="7"/>
  <c r="AA1592" i="7"/>
  <c r="AP1592" i="7"/>
  <c r="K1594" i="7"/>
  <c r="J1594" i="7" s="1"/>
  <c r="AB1595" i="7"/>
  <c r="AA1595" i="7"/>
  <c r="J1596" i="7"/>
  <c r="D1597" i="7"/>
  <c r="C1597" i="7"/>
  <c r="AH1597" i="7"/>
  <c r="AB1598" i="7"/>
  <c r="AA1598" i="7"/>
  <c r="J1599" i="7"/>
  <c r="D1600" i="7"/>
  <c r="C1600" i="7"/>
  <c r="AH1600" i="7"/>
  <c r="AB1601" i="7"/>
  <c r="AA1601" i="7"/>
  <c r="D1603" i="7"/>
  <c r="C1603" i="7"/>
  <c r="AH1603" i="7"/>
  <c r="AB1604" i="7"/>
  <c r="AA1604" i="7"/>
  <c r="J1605" i="7"/>
  <c r="D1606" i="7"/>
  <c r="C1606" i="7"/>
  <c r="AH1606" i="7"/>
  <c r="AB1607" i="7"/>
  <c r="AA1607" i="7"/>
  <c r="D1609" i="7"/>
  <c r="C1609" i="7"/>
  <c r="AH1609" i="7"/>
  <c r="AB1610" i="7"/>
  <c r="AA1610" i="7"/>
  <c r="J1611" i="7"/>
  <c r="D1612" i="7"/>
  <c r="C1612" i="7"/>
  <c r="AH1612" i="7"/>
  <c r="AB1613" i="7"/>
  <c r="AA1613" i="7"/>
  <c r="J1614" i="7"/>
  <c r="D1615" i="7"/>
  <c r="C1615" i="7"/>
  <c r="AH1615" i="7"/>
  <c r="AB1616" i="7"/>
  <c r="AA1616" i="7"/>
  <c r="D1618" i="7"/>
  <c r="C1618" i="7"/>
  <c r="AH1618" i="7"/>
  <c r="AB1619" i="7"/>
  <c r="AA1619" i="7"/>
  <c r="J1620" i="7"/>
  <c r="D1621" i="7"/>
  <c r="C1621" i="7"/>
  <c r="AH1621" i="7"/>
  <c r="AB1622" i="7"/>
  <c r="AA1622" i="7"/>
  <c r="J1623" i="7"/>
  <c r="D1624" i="7"/>
  <c r="C1624" i="7"/>
  <c r="AH1624" i="7"/>
  <c r="AB1625" i="7"/>
  <c r="AA1625" i="7"/>
  <c r="J1626" i="7"/>
  <c r="D1627" i="7"/>
  <c r="C1627" i="7"/>
  <c r="AH1627" i="7"/>
  <c r="AB1628" i="7"/>
  <c r="AA1628" i="7"/>
  <c r="J1629" i="7"/>
  <c r="D1630" i="7"/>
  <c r="C1630" i="7"/>
  <c r="AB1631" i="7"/>
  <c r="AA1631" i="7"/>
  <c r="J1632" i="7"/>
  <c r="D1633" i="7"/>
  <c r="C1633" i="7"/>
  <c r="AH1633" i="7"/>
  <c r="AB1634" i="7"/>
  <c r="AA1634" i="7"/>
  <c r="J1635" i="7"/>
  <c r="D1636" i="7"/>
  <c r="C1636" i="7"/>
  <c r="AH1636" i="7"/>
  <c r="AB1637" i="7"/>
  <c r="AA1637" i="7"/>
  <c r="J1638" i="7"/>
  <c r="D1639" i="7"/>
  <c r="C1639" i="7"/>
  <c r="AH1639" i="7"/>
  <c r="AB1640" i="7"/>
  <c r="AA1640" i="7"/>
  <c r="R1644" i="7"/>
  <c r="AH1644" i="7"/>
  <c r="AB1646" i="7"/>
  <c r="AA1646" i="7"/>
  <c r="J1647" i="7"/>
  <c r="AA1648" i="7"/>
  <c r="Z1648" i="7" s="1"/>
  <c r="AA1649" i="7"/>
  <c r="Z1649" i="7" s="1"/>
  <c r="AA1650" i="7"/>
  <c r="Z1650" i="7" s="1"/>
  <c r="AA1651" i="7"/>
  <c r="Z1651" i="7" s="1"/>
  <c r="AA1652" i="7"/>
  <c r="Z1652" i="7" s="1"/>
  <c r="AA1653" i="7"/>
  <c r="Z1653" i="7" s="1"/>
  <c r="AA1654" i="7"/>
  <c r="Z1654" i="7" s="1"/>
  <c r="AA1655" i="7"/>
  <c r="Z1655" i="7" s="1"/>
  <c r="AA1656" i="7"/>
  <c r="Z1656" i="7" s="1"/>
  <c r="AA1657" i="7"/>
  <c r="Z1657" i="7" s="1"/>
  <c r="AA1658" i="7"/>
  <c r="Z1658" i="7" s="1"/>
  <c r="AA1659" i="7"/>
  <c r="Z1659" i="7" s="1"/>
  <c r="AA1660" i="7"/>
  <c r="Z1660" i="7" s="1"/>
  <c r="AA1661" i="7"/>
  <c r="Z1661" i="7" s="1"/>
  <c r="AA1662" i="7"/>
  <c r="Z1662" i="7" s="1"/>
  <c r="AA1663" i="7"/>
  <c r="Z1663" i="7" s="1"/>
  <c r="AA1664" i="7"/>
  <c r="Z1664" i="7" s="1"/>
  <c r="AA1665" i="7"/>
  <c r="Z1665" i="7" s="1"/>
  <c r="AA1666" i="7"/>
  <c r="Z1666" i="7" s="1"/>
  <c r="AA1667" i="7"/>
  <c r="Z1667" i="7" s="1"/>
  <c r="AA1668" i="7"/>
  <c r="Z1668" i="7" s="1"/>
  <c r="AA1669" i="7"/>
  <c r="Z1669" i="7" s="1"/>
  <c r="AA1670" i="7"/>
  <c r="Z1670" i="7" s="1"/>
  <c r="AA1671" i="7"/>
  <c r="Z1671" i="7" s="1"/>
  <c r="AA1672" i="7"/>
  <c r="Z1672" i="7" s="1"/>
  <c r="AA1673" i="7"/>
  <c r="Z1673" i="7" s="1"/>
  <c r="AA1674" i="7"/>
  <c r="Z1674" i="7" s="1"/>
  <c r="AA1675" i="7"/>
  <c r="Z1675" i="7" s="1"/>
  <c r="AA1676" i="7"/>
  <c r="Z1676" i="7" s="1"/>
  <c r="AA1677" i="7"/>
  <c r="Z1677" i="7" s="1"/>
  <c r="AA1678" i="7"/>
  <c r="Z1678" i="7" s="1"/>
  <c r="AA1679" i="7"/>
  <c r="Z1679" i="7" s="1"/>
  <c r="AA1680" i="7"/>
  <c r="Z1680" i="7" s="1"/>
  <c r="AA1681" i="7"/>
  <c r="Z1681" i="7" s="1"/>
  <c r="AA1682" i="7"/>
  <c r="Z1682" i="7" s="1"/>
  <c r="AA1683" i="7"/>
  <c r="Z1683" i="7" s="1"/>
  <c r="AA1684" i="7"/>
  <c r="Z1684" i="7" s="1"/>
  <c r="AA1685" i="7"/>
  <c r="Z1685" i="7" s="1"/>
  <c r="AA1686" i="7"/>
  <c r="Z1686" i="7" s="1"/>
  <c r="AA1687" i="7"/>
  <c r="Z1687" i="7" s="1"/>
  <c r="AA1688" i="7"/>
  <c r="Z1688" i="7" s="1"/>
  <c r="AA1689" i="7"/>
  <c r="Z1689" i="7" s="1"/>
  <c r="AA1690" i="7"/>
  <c r="Z1690" i="7" s="1"/>
  <c r="AA1691" i="7"/>
  <c r="Z1691" i="7" s="1"/>
  <c r="AA1692" i="7"/>
  <c r="Z1692" i="7" s="1"/>
  <c r="AA1693" i="7"/>
  <c r="Z1693" i="7" s="1"/>
  <c r="AA1694" i="7"/>
  <c r="Z1694" i="7" s="1"/>
  <c r="AA1695" i="7"/>
  <c r="Z1695" i="7" s="1"/>
  <c r="AA1696" i="7"/>
  <c r="Z1696" i="7" s="1"/>
  <c r="AA1697" i="7"/>
  <c r="Z1697" i="7" s="1"/>
  <c r="AA1698" i="7"/>
  <c r="Z1698" i="7" s="1"/>
  <c r="AA1699" i="7"/>
  <c r="Z1699" i="7" s="1"/>
  <c r="AA1700" i="7"/>
  <c r="Z1700" i="7" s="1"/>
  <c r="AA1701" i="7"/>
  <c r="Z1701" i="7" s="1"/>
  <c r="AA1702" i="7"/>
  <c r="Z1702" i="7" s="1"/>
  <c r="AA1703" i="7"/>
  <c r="Z1703" i="7" s="1"/>
  <c r="AA1704" i="7"/>
  <c r="Z1704" i="7" s="1"/>
  <c r="AA1705" i="7"/>
  <c r="Z1705" i="7" s="1"/>
  <c r="AA1706" i="7"/>
  <c r="Z1706" i="7" s="1"/>
  <c r="AA1707" i="7"/>
  <c r="Z1707" i="7" s="1"/>
  <c r="AA1708" i="7"/>
  <c r="Z1708" i="7" s="1"/>
  <c r="AA1709" i="7"/>
  <c r="Z1709" i="7" s="1"/>
  <c r="AA1710" i="7"/>
  <c r="Z1710" i="7" s="1"/>
  <c r="AA1711" i="7"/>
  <c r="Z1711" i="7" s="1"/>
  <c r="AA1712" i="7"/>
  <c r="Z1712" i="7" s="1"/>
  <c r="AA1713" i="7"/>
  <c r="Z1713" i="7" s="1"/>
  <c r="AA1714" i="7"/>
  <c r="Z1714" i="7" s="1"/>
  <c r="AA1715" i="7"/>
  <c r="Z1715" i="7" s="1"/>
  <c r="AA1716" i="7"/>
  <c r="Z1716" i="7" s="1"/>
  <c r="AA1717" i="7"/>
  <c r="Z1717" i="7" s="1"/>
  <c r="AA1718" i="7"/>
  <c r="Z1718" i="7" s="1"/>
  <c r="AA1719" i="7"/>
  <c r="Z1719" i="7" s="1"/>
  <c r="AA1720" i="7"/>
  <c r="Z1720" i="7" s="1"/>
  <c r="AA1721" i="7"/>
  <c r="Z1721" i="7" s="1"/>
  <c r="AA1722" i="7"/>
  <c r="Z1722" i="7" s="1"/>
  <c r="AA1723" i="7"/>
  <c r="Z1723" i="7" s="1"/>
  <c r="AA1724" i="7"/>
  <c r="Z1724" i="7" s="1"/>
  <c r="AA1725" i="7"/>
  <c r="Z1725" i="7" s="1"/>
  <c r="AA1726" i="7"/>
  <c r="Z1726" i="7" s="1"/>
  <c r="AA1727" i="7"/>
  <c r="Z1727" i="7" s="1"/>
  <c r="AA1728" i="7"/>
  <c r="Z1728" i="7" s="1"/>
  <c r="AA1729" i="7"/>
  <c r="Z1729" i="7" s="1"/>
  <c r="AA1730" i="7"/>
  <c r="Z1730" i="7" s="1"/>
  <c r="AA1731" i="7"/>
  <c r="Z1731" i="7" s="1"/>
  <c r="AA1732" i="7"/>
  <c r="Z1732" i="7" s="1"/>
  <c r="AA1733" i="7"/>
  <c r="Z1733" i="7" s="1"/>
  <c r="AA1734" i="7"/>
  <c r="Z1734" i="7" s="1"/>
  <c r="AA1735" i="7"/>
  <c r="Z1735" i="7" s="1"/>
  <c r="AA1736" i="7"/>
  <c r="Z1736" i="7" s="1"/>
  <c r="AA1737" i="7"/>
  <c r="Z1737" i="7" s="1"/>
  <c r="AA1738" i="7"/>
  <c r="Z1738" i="7" s="1"/>
  <c r="AA1739" i="7"/>
  <c r="Z1739" i="7" s="1"/>
  <c r="AA1740" i="7"/>
  <c r="Z1740" i="7" s="1"/>
  <c r="AA1741" i="7"/>
  <c r="Z1741" i="7" s="1"/>
  <c r="AA1742" i="7"/>
  <c r="Z1742" i="7" s="1"/>
  <c r="AA1743" i="7"/>
  <c r="Z1743" i="7" s="1"/>
  <c r="AA1744" i="7"/>
  <c r="Z1744" i="7" s="1"/>
  <c r="AA1745" i="7"/>
  <c r="Z1745" i="7" s="1"/>
  <c r="AA1746" i="7"/>
  <c r="Z1746" i="7" s="1"/>
  <c r="AA1747" i="7"/>
  <c r="Z1747" i="7" s="1"/>
  <c r="AA1748" i="7"/>
  <c r="Z1748" i="7" s="1"/>
  <c r="AA1749" i="7"/>
  <c r="Z1749" i="7" s="1"/>
  <c r="AA1750" i="7"/>
  <c r="Z1750" i="7" s="1"/>
  <c r="AA1751" i="7"/>
  <c r="Z1751" i="7" s="1"/>
  <c r="AA1752" i="7"/>
  <c r="Z1752" i="7" s="1"/>
  <c r="AA1753" i="7"/>
  <c r="Z1753" i="7" s="1"/>
  <c r="AA1754" i="7"/>
  <c r="Z1754" i="7" s="1"/>
  <c r="AA1755" i="7"/>
  <c r="Z1755" i="7" s="1"/>
  <c r="AA1756" i="7"/>
  <c r="Z1756" i="7" s="1"/>
  <c r="AA1757" i="7"/>
  <c r="Z1757" i="7" s="1"/>
  <c r="AR1800" i="7"/>
  <c r="AQ1800" i="7"/>
  <c r="Z1801" i="7"/>
  <c r="J1802" i="7"/>
  <c r="T1803" i="7"/>
  <c r="S1803" i="7"/>
  <c r="B1805" i="7"/>
  <c r="AR1806" i="7"/>
  <c r="AQ1806" i="7"/>
  <c r="Z1807" i="7"/>
  <c r="J1808" i="7"/>
  <c r="T1809" i="7"/>
  <c r="S1809" i="7"/>
  <c r="AH1809" i="7"/>
  <c r="B1811" i="7"/>
  <c r="AR1812" i="7"/>
  <c r="AQ1812" i="7"/>
  <c r="Z1813" i="7"/>
  <c r="J1814" i="7"/>
  <c r="T1815" i="7"/>
  <c r="S1815" i="7"/>
  <c r="AH1815" i="7"/>
  <c r="B1827" i="7"/>
  <c r="Z1830" i="7"/>
  <c r="B1833" i="7"/>
  <c r="C1758" i="7"/>
  <c r="B1758" i="7" s="1"/>
  <c r="AJ1758" i="7"/>
  <c r="AJ1759" i="7"/>
  <c r="AJ1760" i="7"/>
  <c r="AJ1761" i="7"/>
  <c r="AJ1762" i="7"/>
  <c r="AJ1763" i="7"/>
  <c r="AH1763" i="7" s="1"/>
  <c r="AJ1764" i="7"/>
  <c r="AJ1765" i="7"/>
  <c r="AJ1766" i="7"/>
  <c r="AJ1767" i="7"/>
  <c r="AJ1768" i="7"/>
  <c r="AA1770" i="7"/>
  <c r="Z1770" i="7" s="1"/>
  <c r="T1771" i="7"/>
  <c r="R1771" i="7" s="1"/>
  <c r="AA1772" i="7"/>
  <c r="Z1772" i="7" s="1"/>
  <c r="T1773" i="7"/>
  <c r="R1773" i="7" s="1"/>
  <c r="AA1774" i="7"/>
  <c r="Z1774" i="7" s="1"/>
  <c r="T1775" i="7"/>
  <c r="R1775" i="7" s="1"/>
  <c r="AA1776" i="7"/>
  <c r="Z1776" i="7" s="1"/>
  <c r="T1777" i="7"/>
  <c r="R1777" i="7" s="1"/>
  <c r="AA1778" i="7"/>
  <c r="Z1778" i="7" s="1"/>
  <c r="T1779" i="7"/>
  <c r="R1779" i="7" s="1"/>
  <c r="AA1780" i="7"/>
  <c r="Z1780" i="7" s="1"/>
  <c r="T1781" i="7"/>
  <c r="R1781" i="7" s="1"/>
  <c r="AA1782" i="7"/>
  <c r="Z1782" i="7" s="1"/>
  <c r="T1783" i="7"/>
  <c r="R1783" i="7" s="1"/>
  <c r="AA1784" i="7"/>
  <c r="Z1784" i="7" s="1"/>
  <c r="T1785" i="7"/>
  <c r="R1785" i="7" s="1"/>
  <c r="AA1786" i="7"/>
  <c r="Z1786" i="7" s="1"/>
  <c r="T1787" i="7"/>
  <c r="R1787" i="7" s="1"/>
  <c r="AA1788" i="7"/>
  <c r="Z1788" i="7" s="1"/>
  <c r="T1789" i="7"/>
  <c r="R1789" i="7" s="1"/>
  <c r="AA1790" i="7"/>
  <c r="Z1790" i="7" s="1"/>
  <c r="T1791" i="7"/>
  <c r="R1791" i="7" s="1"/>
  <c r="AA1792" i="7"/>
  <c r="Z1792" i="7" s="1"/>
  <c r="T1793" i="7"/>
  <c r="R1793" i="7" s="1"/>
  <c r="AA1794" i="7"/>
  <c r="Z1794" i="7" s="1"/>
  <c r="T1795" i="7"/>
  <c r="R1795" i="7" s="1"/>
  <c r="AA1796" i="7"/>
  <c r="Z1796" i="7" s="1"/>
  <c r="T1797" i="7"/>
  <c r="R1797" i="7" s="1"/>
  <c r="AA1798" i="7"/>
  <c r="Z1798" i="7" s="1"/>
  <c r="T1799" i="7"/>
  <c r="R1799" i="7" s="1"/>
  <c r="B1800" i="7"/>
  <c r="AR1801" i="7"/>
  <c r="AQ1801" i="7"/>
  <c r="Z1802" i="7"/>
  <c r="J1803" i="7"/>
  <c r="T1804" i="7"/>
  <c r="S1804" i="7"/>
  <c r="B1806" i="7"/>
  <c r="AR1807" i="7"/>
  <c r="AQ1807" i="7"/>
  <c r="Z1808" i="7"/>
  <c r="J1809" i="7"/>
  <c r="T1810" i="7"/>
  <c r="S1810" i="7"/>
  <c r="AR1813" i="7"/>
  <c r="AQ1813" i="7"/>
  <c r="Z1823" i="7"/>
  <c r="B1826" i="7"/>
  <c r="Z1829" i="7"/>
  <c r="B1836" i="7"/>
  <c r="B1839" i="7"/>
  <c r="B1842" i="7"/>
  <c r="B1846" i="7"/>
  <c r="B1855" i="7"/>
  <c r="AH1758" i="7"/>
  <c r="AH1759" i="7"/>
  <c r="AH1760" i="7"/>
  <c r="AH1761" i="7"/>
  <c r="AH1762" i="7"/>
  <c r="AH1764" i="7"/>
  <c r="AH1765" i="7"/>
  <c r="AH1766" i="7"/>
  <c r="AH1767" i="7"/>
  <c r="AH1768" i="7"/>
  <c r="AR1770" i="7"/>
  <c r="AQ1770" i="7"/>
  <c r="AR1772" i="7"/>
  <c r="AQ1772" i="7"/>
  <c r="AR1774" i="7"/>
  <c r="AQ1774" i="7"/>
  <c r="AR1776" i="7"/>
  <c r="AQ1776" i="7"/>
  <c r="AR1778" i="7"/>
  <c r="AQ1778" i="7"/>
  <c r="AR1780" i="7"/>
  <c r="AQ1780" i="7"/>
  <c r="AR1782" i="7"/>
  <c r="AQ1782" i="7"/>
  <c r="AR1784" i="7"/>
  <c r="AQ1784" i="7"/>
  <c r="AR1786" i="7"/>
  <c r="AQ1786" i="7"/>
  <c r="AR1788" i="7"/>
  <c r="AQ1788" i="7"/>
  <c r="AR1790" i="7"/>
  <c r="AQ1790" i="7"/>
  <c r="AR1792" i="7"/>
  <c r="AQ1792" i="7"/>
  <c r="AR1794" i="7"/>
  <c r="AQ1794" i="7"/>
  <c r="AR1796" i="7"/>
  <c r="AQ1796" i="7"/>
  <c r="AR1798" i="7"/>
  <c r="AQ1798" i="7"/>
  <c r="AR1802" i="7"/>
  <c r="AQ1802" i="7"/>
  <c r="T1805" i="7"/>
  <c r="S1805" i="7"/>
  <c r="AR1808" i="7"/>
  <c r="AQ1808" i="7"/>
  <c r="T1811" i="7"/>
  <c r="S1811" i="7"/>
  <c r="AH1811" i="7"/>
  <c r="AR1814" i="7"/>
  <c r="AQ1814" i="7"/>
  <c r="C1641" i="7"/>
  <c r="B1641" i="7" s="1"/>
  <c r="C1642" i="7"/>
  <c r="B1642" i="7" s="1"/>
  <c r="C1643" i="7"/>
  <c r="B1643" i="7" s="1"/>
  <c r="C1644" i="7"/>
  <c r="B1644" i="7" s="1"/>
  <c r="C1645" i="7"/>
  <c r="B1645" i="7" s="1"/>
  <c r="C1646" i="7"/>
  <c r="B1646" i="7" s="1"/>
  <c r="C1647" i="7"/>
  <c r="B1647" i="7" s="1"/>
  <c r="C1648" i="7"/>
  <c r="B1648" i="7" s="1"/>
  <c r="C1649" i="7"/>
  <c r="B1649" i="7" s="1"/>
  <c r="C1650" i="7"/>
  <c r="B1650" i="7" s="1"/>
  <c r="C1651" i="7"/>
  <c r="B1651" i="7" s="1"/>
  <c r="C1652" i="7"/>
  <c r="B1652" i="7" s="1"/>
  <c r="C1653" i="7"/>
  <c r="B1653" i="7" s="1"/>
  <c r="C1654" i="7"/>
  <c r="B1654" i="7" s="1"/>
  <c r="C1655" i="7"/>
  <c r="B1655" i="7" s="1"/>
  <c r="C1656" i="7"/>
  <c r="B1656" i="7" s="1"/>
  <c r="C1657" i="7"/>
  <c r="B1657" i="7" s="1"/>
  <c r="C1658" i="7"/>
  <c r="B1658" i="7" s="1"/>
  <c r="C1659" i="7"/>
  <c r="B1659" i="7" s="1"/>
  <c r="C1660" i="7"/>
  <c r="B1660" i="7" s="1"/>
  <c r="C1661" i="7"/>
  <c r="B1661" i="7" s="1"/>
  <c r="C1662" i="7"/>
  <c r="B1662" i="7" s="1"/>
  <c r="C1663" i="7"/>
  <c r="B1663" i="7" s="1"/>
  <c r="C1664" i="7"/>
  <c r="B1664" i="7" s="1"/>
  <c r="C1665" i="7"/>
  <c r="B1665" i="7" s="1"/>
  <c r="C1666" i="7"/>
  <c r="B1666" i="7" s="1"/>
  <c r="C1667" i="7"/>
  <c r="B1667" i="7" s="1"/>
  <c r="C1668" i="7"/>
  <c r="B1668" i="7" s="1"/>
  <c r="C1669" i="7"/>
  <c r="B1669" i="7" s="1"/>
  <c r="C1670" i="7"/>
  <c r="B1670" i="7" s="1"/>
  <c r="C1671" i="7"/>
  <c r="B1671" i="7" s="1"/>
  <c r="C1672" i="7"/>
  <c r="B1672" i="7" s="1"/>
  <c r="C1673" i="7"/>
  <c r="B1673" i="7" s="1"/>
  <c r="C1674" i="7"/>
  <c r="B1674" i="7" s="1"/>
  <c r="C1675" i="7"/>
  <c r="B1675" i="7" s="1"/>
  <c r="C1676" i="7"/>
  <c r="B1676" i="7" s="1"/>
  <c r="C1677" i="7"/>
  <c r="B1677" i="7" s="1"/>
  <c r="C1678" i="7"/>
  <c r="B1678" i="7" s="1"/>
  <c r="C1679" i="7"/>
  <c r="B1679" i="7" s="1"/>
  <c r="C1680" i="7"/>
  <c r="B1680" i="7" s="1"/>
  <c r="C1681" i="7"/>
  <c r="B1681" i="7" s="1"/>
  <c r="C1682" i="7"/>
  <c r="B1682" i="7" s="1"/>
  <c r="C1683" i="7"/>
  <c r="B1683" i="7" s="1"/>
  <c r="C1684" i="7"/>
  <c r="B1684" i="7" s="1"/>
  <c r="C1685" i="7"/>
  <c r="B1685" i="7" s="1"/>
  <c r="C1686" i="7"/>
  <c r="B1686" i="7" s="1"/>
  <c r="C1687" i="7"/>
  <c r="B1687" i="7" s="1"/>
  <c r="C1688" i="7"/>
  <c r="B1688" i="7" s="1"/>
  <c r="C1689" i="7"/>
  <c r="B1689" i="7" s="1"/>
  <c r="C1690" i="7"/>
  <c r="B1690" i="7" s="1"/>
  <c r="C1691" i="7"/>
  <c r="B1691" i="7" s="1"/>
  <c r="C1692" i="7"/>
  <c r="B1692" i="7" s="1"/>
  <c r="C1693" i="7"/>
  <c r="B1693" i="7" s="1"/>
  <c r="C1694" i="7"/>
  <c r="B1694" i="7" s="1"/>
  <c r="C1695" i="7"/>
  <c r="B1695" i="7" s="1"/>
  <c r="C1696" i="7"/>
  <c r="B1696" i="7" s="1"/>
  <c r="C1697" i="7"/>
  <c r="B1697" i="7" s="1"/>
  <c r="C1698" i="7"/>
  <c r="B1698" i="7" s="1"/>
  <c r="C1699" i="7"/>
  <c r="B1699" i="7" s="1"/>
  <c r="C1700" i="7"/>
  <c r="B1700" i="7" s="1"/>
  <c r="C1701" i="7"/>
  <c r="B1701" i="7" s="1"/>
  <c r="C1702" i="7"/>
  <c r="B1702" i="7" s="1"/>
  <c r="C1703" i="7"/>
  <c r="B1703" i="7" s="1"/>
  <c r="C1704" i="7"/>
  <c r="B1704" i="7" s="1"/>
  <c r="C1705" i="7"/>
  <c r="B1705" i="7" s="1"/>
  <c r="C1706" i="7"/>
  <c r="B1706" i="7" s="1"/>
  <c r="C1707" i="7"/>
  <c r="B1707" i="7" s="1"/>
  <c r="C1708" i="7"/>
  <c r="B1708" i="7" s="1"/>
  <c r="C1709" i="7"/>
  <c r="B1709" i="7" s="1"/>
  <c r="C1710" i="7"/>
  <c r="B1710" i="7" s="1"/>
  <c r="C1711" i="7"/>
  <c r="B1711" i="7" s="1"/>
  <c r="C1712" i="7"/>
  <c r="B1712" i="7" s="1"/>
  <c r="C1713" i="7"/>
  <c r="B1713" i="7" s="1"/>
  <c r="C1714" i="7"/>
  <c r="B1714" i="7" s="1"/>
  <c r="C1715" i="7"/>
  <c r="B1715" i="7" s="1"/>
  <c r="C1716" i="7"/>
  <c r="B1716" i="7" s="1"/>
  <c r="C1717" i="7"/>
  <c r="B1717" i="7" s="1"/>
  <c r="C1718" i="7"/>
  <c r="B1718" i="7" s="1"/>
  <c r="C1719" i="7"/>
  <c r="B1719" i="7" s="1"/>
  <c r="C1720" i="7"/>
  <c r="B1720" i="7" s="1"/>
  <c r="C1721" i="7"/>
  <c r="B1721" i="7" s="1"/>
  <c r="C1722" i="7"/>
  <c r="B1722" i="7" s="1"/>
  <c r="C1723" i="7"/>
  <c r="B1723" i="7" s="1"/>
  <c r="C1724" i="7"/>
  <c r="B1724" i="7" s="1"/>
  <c r="C1725" i="7"/>
  <c r="B1725" i="7" s="1"/>
  <c r="C1726" i="7"/>
  <c r="B1726" i="7" s="1"/>
  <c r="C1727" i="7"/>
  <c r="B1727" i="7" s="1"/>
  <c r="C1728" i="7"/>
  <c r="B1728" i="7" s="1"/>
  <c r="C1729" i="7"/>
  <c r="B1729" i="7" s="1"/>
  <c r="C1730" i="7"/>
  <c r="B1730" i="7" s="1"/>
  <c r="C1731" i="7"/>
  <c r="B1731" i="7" s="1"/>
  <c r="C1732" i="7"/>
  <c r="B1732" i="7" s="1"/>
  <c r="C1733" i="7"/>
  <c r="B1733" i="7" s="1"/>
  <c r="C1734" i="7"/>
  <c r="B1734" i="7" s="1"/>
  <c r="C1735" i="7"/>
  <c r="B1735" i="7" s="1"/>
  <c r="C1736" i="7"/>
  <c r="B1736" i="7" s="1"/>
  <c r="C1737" i="7"/>
  <c r="B1737" i="7" s="1"/>
  <c r="C1738" i="7"/>
  <c r="B1738" i="7" s="1"/>
  <c r="C1739" i="7"/>
  <c r="B1739" i="7" s="1"/>
  <c r="C1740" i="7"/>
  <c r="B1740" i="7" s="1"/>
  <c r="C1741" i="7"/>
  <c r="B1741" i="7" s="1"/>
  <c r="C1742" i="7"/>
  <c r="B1742" i="7" s="1"/>
  <c r="C1743" i="7"/>
  <c r="B1743" i="7" s="1"/>
  <c r="C1744" i="7"/>
  <c r="B1744" i="7" s="1"/>
  <c r="C1745" i="7"/>
  <c r="B1745" i="7" s="1"/>
  <c r="C1746" i="7"/>
  <c r="B1746" i="7" s="1"/>
  <c r="C1747" i="7"/>
  <c r="B1747" i="7" s="1"/>
  <c r="C1748" i="7"/>
  <c r="B1748" i="7" s="1"/>
  <c r="C1749" i="7"/>
  <c r="B1749" i="7" s="1"/>
  <c r="C1750" i="7"/>
  <c r="B1750" i="7" s="1"/>
  <c r="C1751" i="7"/>
  <c r="B1751" i="7" s="1"/>
  <c r="C1752" i="7"/>
  <c r="B1752" i="7" s="1"/>
  <c r="C1753" i="7"/>
  <c r="B1753" i="7" s="1"/>
  <c r="C1754" i="7"/>
  <c r="B1754" i="7" s="1"/>
  <c r="C1755" i="7"/>
  <c r="B1755" i="7" s="1"/>
  <c r="C1756" i="7"/>
  <c r="B1756" i="7" s="1"/>
  <c r="C1757" i="7"/>
  <c r="B1757" i="7" s="1"/>
  <c r="AR1757" i="7"/>
  <c r="AP1757" i="7" s="1"/>
  <c r="AA1758" i="7"/>
  <c r="Z1758" i="7" s="1"/>
  <c r="AA1759" i="7"/>
  <c r="Z1759" i="7" s="1"/>
  <c r="AA1760" i="7"/>
  <c r="Z1760" i="7" s="1"/>
  <c r="AA1761" i="7"/>
  <c r="Z1761" i="7" s="1"/>
  <c r="AA1762" i="7"/>
  <c r="Z1762" i="7" s="1"/>
  <c r="AA1763" i="7"/>
  <c r="Z1763" i="7" s="1"/>
  <c r="AA1764" i="7"/>
  <c r="Z1764" i="7" s="1"/>
  <c r="AA1765" i="7"/>
  <c r="Z1765" i="7" s="1"/>
  <c r="AA1766" i="7"/>
  <c r="Z1766" i="7" s="1"/>
  <c r="AA1767" i="7"/>
  <c r="Z1767" i="7" s="1"/>
  <c r="AA1768" i="7"/>
  <c r="Z1768" i="7" s="1"/>
  <c r="AA1769" i="7"/>
  <c r="Z1769" i="7" s="1"/>
  <c r="T1800" i="7"/>
  <c r="S1800" i="7"/>
  <c r="AH1800" i="7"/>
  <c r="B1802" i="7"/>
  <c r="AR1803" i="7"/>
  <c r="AQ1803" i="7"/>
  <c r="J1805" i="7"/>
  <c r="T1806" i="7"/>
  <c r="S1806" i="7"/>
  <c r="AH1806" i="7"/>
  <c r="B1808" i="7"/>
  <c r="AR1809" i="7"/>
  <c r="AQ1809" i="7"/>
  <c r="Z1810" i="7"/>
  <c r="T1812" i="7"/>
  <c r="S1812" i="7"/>
  <c r="AH1812" i="7"/>
  <c r="B1814" i="7"/>
  <c r="AR1815" i="7"/>
  <c r="AQ1815" i="7"/>
  <c r="AR1816" i="7"/>
  <c r="AQ1816" i="7"/>
  <c r="AR1817" i="7"/>
  <c r="AQ1817" i="7"/>
  <c r="Z1818" i="7"/>
  <c r="AR1818" i="7"/>
  <c r="AQ1818" i="7"/>
  <c r="Z1819" i="7"/>
  <c r="AR1819" i="7"/>
  <c r="AQ1819" i="7"/>
  <c r="Z1820" i="7"/>
  <c r="AR1820" i="7"/>
  <c r="AQ1820" i="7"/>
  <c r="Z1821" i="7"/>
  <c r="B1824" i="7"/>
  <c r="B1830" i="7"/>
  <c r="Z1833" i="7"/>
  <c r="B1835" i="7"/>
  <c r="B1838" i="7"/>
  <c r="B1841" i="7"/>
  <c r="AH1757" i="7"/>
  <c r="T1770" i="7"/>
  <c r="R1770" i="7" s="1"/>
  <c r="AA1771" i="7"/>
  <c r="Z1771" i="7" s="1"/>
  <c r="T1772" i="7"/>
  <c r="R1772" i="7" s="1"/>
  <c r="AA1773" i="7"/>
  <c r="Z1773" i="7" s="1"/>
  <c r="T1774" i="7"/>
  <c r="R1774" i="7" s="1"/>
  <c r="AA1775" i="7"/>
  <c r="Z1775" i="7" s="1"/>
  <c r="T1776" i="7"/>
  <c r="R1776" i="7" s="1"/>
  <c r="AA1777" i="7"/>
  <c r="Z1777" i="7" s="1"/>
  <c r="T1778" i="7"/>
  <c r="R1778" i="7" s="1"/>
  <c r="AA1779" i="7"/>
  <c r="Z1779" i="7" s="1"/>
  <c r="T1780" i="7"/>
  <c r="R1780" i="7" s="1"/>
  <c r="AA1781" i="7"/>
  <c r="Z1781" i="7" s="1"/>
  <c r="T1782" i="7"/>
  <c r="R1782" i="7" s="1"/>
  <c r="AA1783" i="7"/>
  <c r="Z1783" i="7" s="1"/>
  <c r="T1801" i="7"/>
  <c r="S1801" i="7"/>
  <c r="AR1804" i="7"/>
  <c r="AQ1804" i="7"/>
  <c r="T1807" i="7"/>
  <c r="S1807" i="7"/>
  <c r="AR1810" i="7"/>
  <c r="AQ1810" i="7"/>
  <c r="T1813" i="7"/>
  <c r="S1813" i="7"/>
  <c r="AR1758" i="7"/>
  <c r="AQ1758" i="7"/>
  <c r="AR1759" i="7"/>
  <c r="AQ1759" i="7"/>
  <c r="AR1760" i="7"/>
  <c r="AQ1760" i="7"/>
  <c r="AR1761" i="7"/>
  <c r="AQ1761" i="7"/>
  <c r="AR1762" i="7"/>
  <c r="AQ1762" i="7"/>
  <c r="AR1763" i="7"/>
  <c r="AQ1763" i="7"/>
  <c r="AR1764" i="7"/>
  <c r="AQ1764" i="7"/>
  <c r="AR1765" i="7"/>
  <c r="AQ1765" i="7"/>
  <c r="AR1766" i="7"/>
  <c r="AQ1766" i="7"/>
  <c r="AR1767" i="7"/>
  <c r="AQ1767" i="7"/>
  <c r="AR1768" i="7"/>
  <c r="AQ1768" i="7"/>
  <c r="AR1769" i="7"/>
  <c r="AQ1769" i="7"/>
  <c r="AR1771" i="7"/>
  <c r="AQ1771" i="7"/>
  <c r="AR1773" i="7"/>
  <c r="AQ1773" i="7"/>
  <c r="AR1775" i="7"/>
  <c r="AQ1775" i="7"/>
  <c r="AR1777" i="7"/>
  <c r="AQ1777" i="7"/>
  <c r="AR1779" i="7"/>
  <c r="AQ1779" i="7"/>
  <c r="AR1781" i="7"/>
  <c r="AQ1781" i="7"/>
  <c r="AR1783" i="7"/>
  <c r="AQ1783" i="7"/>
  <c r="AR1785" i="7"/>
  <c r="AQ1785" i="7"/>
  <c r="AH1786" i="7"/>
  <c r="AR1787" i="7"/>
  <c r="AQ1787" i="7"/>
  <c r="AH1788" i="7"/>
  <c r="AR1789" i="7"/>
  <c r="AQ1789" i="7"/>
  <c r="AH1790" i="7"/>
  <c r="AR1791" i="7"/>
  <c r="AQ1791" i="7"/>
  <c r="AH1792" i="7"/>
  <c r="AR1793" i="7"/>
  <c r="AQ1793" i="7"/>
  <c r="AH1794" i="7"/>
  <c r="AR1795" i="7"/>
  <c r="AQ1795" i="7"/>
  <c r="AR1797" i="7"/>
  <c r="AQ1797" i="7"/>
  <c r="AH1798" i="7"/>
  <c r="AR1799" i="7"/>
  <c r="AQ1799" i="7"/>
  <c r="T1802" i="7"/>
  <c r="S1802" i="7"/>
  <c r="AH1802" i="7"/>
  <c r="AR1805" i="7"/>
  <c r="AQ1805" i="7"/>
  <c r="T1808" i="7"/>
  <c r="S1808" i="7"/>
  <c r="AH1808" i="7"/>
  <c r="AR1811" i="7"/>
  <c r="AQ1811" i="7"/>
  <c r="T1814" i="7"/>
  <c r="S1814" i="7"/>
  <c r="AH1814" i="7"/>
  <c r="AQ1821" i="7"/>
  <c r="AP1821" i="7" s="1"/>
  <c r="AQ1822" i="7"/>
  <c r="AP1822" i="7" s="1"/>
  <c r="AQ1823" i="7"/>
  <c r="AP1823" i="7" s="1"/>
  <c r="AQ1824" i="7"/>
  <c r="AP1824" i="7" s="1"/>
  <c r="AQ1825" i="7"/>
  <c r="AP1825" i="7" s="1"/>
  <c r="AQ1826" i="7"/>
  <c r="AP1826" i="7" s="1"/>
  <c r="AQ1827" i="7"/>
  <c r="AP1827" i="7" s="1"/>
  <c r="AQ1828" i="7"/>
  <c r="AP1828" i="7" s="1"/>
  <c r="AQ1829" i="7"/>
  <c r="AP1829" i="7" s="1"/>
  <c r="AQ1830" i="7"/>
  <c r="AP1830" i="7" s="1"/>
  <c r="AQ1831" i="7"/>
  <c r="AP1831" i="7" s="1"/>
  <c r="AQ1832" i="7"/>
  <c r="AP1832" i="7" s="1"/>
  <c r="AQ1833" i="7"/>
  <c r="AP1833" i="7" s="1"/>
  <c r="AA1834" i="7"/>
  <c r="Z1834" i="7" s="1"/>
  <c r="K1835" i="7"/>
  <c r="J1835" i="7" s="1"/>
  <c r="AQ1835" i="7"/>
  <c r="AP1835" i="7" s="1"/>
  <c r="AA1836" i="7"/>
  <c r="Z1836" i="7" s="1"/>
  <c r="K1837" i="7"/>
  <c r="J1837" i="7" s="1"/>
  <c r="AQ1837" i="7"/>
  <c r="AP1837" i="7" s="1"/>
  <c r="AA1838" i="7"/>
  <c r="Z1838" i="7" s="1"/>
  <c r="K1839" i="7"/>
  <c r="J1839" i="7" s="1"/>
  <c r="AQ1839" i="7"/>
  <c r="AP1839" i="7" s="1"/>
  <c r="AA1840" i="7"/>
  <c r="Z1840" i="7" s="1"/>
  <c r="K1841" i="7"/>
  <c r="J1841" i="7" s="1"/>
  <c r="AQ1841" i="7"/>
  <c r="AP1841" i="7" s="1"/>
  <c r="AA1842" i="7"/>
  <c r="Z1842" i="7" s="1"/>
  <c r="K1843" i="7"/>
  <c r="J1843" i="7" s="1"/>
  <c r="R1844" i="7"/>
  <c r="T1845" i="7"/>
  <c r="R1845" i="7" s="1"/>
  <c r="C1847" i="7"/>
  <c r="B1847" i="7" s="1"/>
  <c r="AB1847" i="7"/>
  <c r="AA1847" i="7"/>
  <c r="K1849" i="7"/>
  <c r="J1849" i="7" s="1"/>
  <c r="R1850" i="7"/>
  <c r="T1851" i="7"/>
  <c r="C1853" i="7"/>
  <c r="B1853" i="7" s="1"/>
  <c r="AB1853" i="7"/>
  <c r="AA1853" i="7"/>
  <c r="K1855" i="7"/>
  <c r="J1855" i="7" s="1"/>
  <c r="R1856" i="7"/>
  <c r="J1857" i="7"/>
  <c r="AB1859" i="7"/>
  <c r="AA1859" i="7"/>
  <c r="C1860" i="7"/>
  <c r="B1860" i="7" s="1"/>
  <c r="T1861" i="7"/>
  <c r="R1861" i="7" s="1"/>
  <c r="J1863" i="7"/>
  <c r="AB1865" i="7"/>
  <c r="AA1865" i="7"/>
  <c r="C1866" i="7"/>
  <c r="B1866" i="7" s="1"/>
  <c r="T1867" i="7"/>
  <c r="R1867" i="7" s="1"/>
  <c r="R1868" i="7"/>
  <c r="J1869" i="7"/>
  <c r="AB1871" i="7"/>
  <c r="AA1871" i="7"/>
  <c r="C1872" i="7"/>
  <c r="B1872" i="7" s="1"/>
  <c r="T1873" i="7"/>
  <c r="R1873" i="7" s="1"/>
  <c r="R1874" i="7"/>
  <c r="AB1877" i="7"/>
  <c r="AA1877" i="7"/>
  <c r="C1878" i="7"/>
  <c r="B1878" i="7" s="1"/>
  <c r="T1879" i="7"/>
  <c r="R1879" i="7" s="1"/>
  <c r="J1881" i="7"/>
  <c r="AB1883" i="7"/>
  <c r="AA1883" i="7"/>
  <c r="C1884" i="7"/>
  <c r="B1884" i="7" s="1"/>
  <c r="T1885" i="7"/>
  <c r="R1885" i="7" s="1"/>
  <c r="R1886" i="7"/>
  <c r="J1887" i="7"/>
  <c r="AB1889" i="7"/>
  <c r="AA1889" i="7"/>
  <c r="C1890" i="7"/>
  <c r="B1890" i="7" s="1"/>
  <c r="T1891" i="7"/>
  <c r="R1891" i="7" s="1"/>
  <c r="R1892" i="7"/>
  <c r="AB1893" i="7"/>
  <c r="AA1893" i="7"/>
  <c r="R1895" i="7"/>
  <c r="AB1896" i="7"/>
  <c r="AA1896" i="7"/>
  <c r="J1898" i="7"/>
  <c r="T1899" i="7"/>
  <c r="S1899" i="7"/>
  <c r="J1901" i="7"/>
  <c r="T1902" i="7"/>
  <c r="S1902" i="7"/>
  <c r="T1905" i="7"/>
  <c r="S1905" i="7"/>
  <c r="B1906" i="7"/>
  <c r="AH1907" i="7"/>
  <c r="J1909" i="7"/>
  <c r="T1911" i="7"/>
  <c r="S1911" i="7"/>
  <c r="B1912" i="7"/>
  <c r="AH1913" i="7"/>
  <c r="J1915" i="7"/>
  <c r="AH1919" i="7"/>
  <c r="B1924" i="7"/>
  <c r="B1930" i="7"/>
  <c r="AH1931" i="7"/>
  <c r="AH1937" i="7"/>
  <c r="B1942" i="7"/>
  <c r="AH1943" i="7"/>
  <c r="B1948" i="7"/>
  <c r="AH1949" i="7"/>
  <c r="B1954" i="7"/>
  <c r="AH1955" i="7"/>
  <c r="B1960" i="7"/>
  <c r="AH1961" i="7"/>
  <c r="AH1964" i="7"/>
  <c r="AH1967" i="7"/>
  <c r="AH1970" i="7"/>
  <c r="AH1973" i="7"/>
  <c r="AH1976" i="7"/>
  <c r="T1846" i="7"/>
  <c r="R1846" i="7" s="1"/>
  <c r="AB1848" i="7"/>
  <c r="AA1848" i="7"/>
  <c r="R1851" i="7"/>
  <c r="T1852" i="7"/>
  <c r="R1852" i="7" s="1"/>
  <c r="AB1854" i="7"/>
  <c r="AA1854" i="7"/>
  <c r="Z1854" i="7" s="1"/>
  <c r="AB1858" i="7"/>
  <c r="AA1858" i="7"/>
  <c r="C1859" i="7"/>
  <c r="B1859" i="7" s="1"/>
  <c r="T1860" i="7"/>
  <c r="R1860" i="7" s="1"/>
  <c r="J1862" i="7"/>
  <c r="AB1864" i="7"/>
  <c r="AA1864" i="7"/>
  <c r="C1865" i="7"/>
  <c r="B1865" i="7" s="1"/>
  <c r="T1866" i="7"/>
  <c r="R1866" i="7" s="1"/>
  <c r="J1868" i="7"/>
  <c r="AB1870" i="7"/>
  <c r="AA1870" i="7"/>
  <c r="C1871" i="7"/>
  <c r="B1871" i="7" s="1"/>
  <c r="T1872" i="7"/>
  <c r="R1872" i="7" s="1"/>
  <c r="J1874" i="7"/>
  <c r="AB1876" i="7"/>
  <c r="AA1876" i="7"/>
  <c r="C1877" i="7"/>
  <c r="B1877" i="7" s="1"/>
  <c r="T1878" i="7"/>
  <c r="J1880" i="7"/>
  <c r="AB1882" i="7"/>
  <c r="AA1882" i="7"/>
  <c r="C1883" i="7"/>
  <c r="B1883" i="7" s="1"/>
  <c r="T1884" i="7"/>
  <c r="R1884" i="7" s="1"/>
  <c r="J1886" i="7"/>
  <c r="AB1888" i="7"/>
  <c r="AA1888" i="7"/>
  <c r="C1889" i="7"/>
  <c r="B1889" i="7" s="1"/>
  <c r="T1890" i="7"/>
  <c r="T1894" i="7"/>
  <c r="R1894" i="7" s="1"/>
  <c r="J1895" i="7"/>
  <c r="T1897" i="7"/>
  <c r="R1897" i="7" s="1"/>
  <c r="B1900" i="7"/>
  <c r="B1903" i="7"/>
  <c r="T1906" i="7"/>
  <c r="S1906" i="7"/>
  <c r="B1907" i="7"/>
  <c r="J1910" i="7"/>
  <c r="T1912" i="7"/>
  <c r="S1912" i="7"/>
  <c r="B1913" i="7"/>
  <c r="AH1914" i="7"/>
  <c r="J1916" i="7"/>
  <c r="B1919" i="7"/>
  <c r="AH1920" i="7"/>
  <c r="AH1926" i="7"/>
  <c r="B1931" i="7"/>
  <c r="AH1932" i="7"/>
  <c r="AH1938" i="7"/>
  <c r="B1943" i="7"/>
  <c r="AH1944" i="7"/>
  <c r="B1949" i="7"/>
  <c r="B1955" i="7"/>
  <c r="AH1956" i="7"/>
  <c r="B1961" i="7"/>
  <c r="AB1843" i="7"/>
  <c r="AA1843" i="7"/>
  <c r="J1845" i="7"/>
  <c r="AB1849" i="7"/>
  <c r="AA1849" i="7"/>
  <c r="Z1849" i="7" s="1"/>
  <c r="J1851" i="7"/>
  <c r="AB1855" i="7"/>
  <c r="AA1855" i="7"/>
  <c r="AB1857" i="7"/>
  <c r="AA1857" i="7"/>
  <c r="Z1857" i="7" s="1"/>
  <c r="AB1863" i="7"/>
  <c r="AA1863" i="7"/>
  <c r="AB1869" i="7"/>
  <c r="AA1869" i="7"/>
  <c r="AB1875" i="7"/>
  <c r="AA1875" i="7"/>
  <c r="R1878" i="7"/>
  <c r="AB1881" i="7"/>
  <c r="AA1881" i="7"/>
  <c r="AB1887" i="7"/>
  <c r="AA1887" i="7"/>
  <c r="R1890" i="7"/>
  <c r="AB1892" i="7"/>
  <c r="AA1892" i="7"/>
  <c r="AB1895" i="7"/>
  <c r="AA1895" i="7"/>
  <c r="T1900" i="7"/>
  <c r="S1900" i="7"/>
  <c r="T1903" i="7"/>
  <c r="S1903" i="7"/>
  <c r="T1907" i="7"/>
  <c r="S1907" i="7"/>
  <c r="T1913" i="7"/>
  <c r="S1913" i="7"/>
  <c r="S1816" i="7"/>
  <c r="R1816" i="7" s="1"/>
  <c r="S1817" i="7"/>
  <c r="R1817" i="7" s="1"/>
  <c r="S1818" i="7"/>
  <c r="R1818" i="7" s="1"/>
  <c r="S1819" i="7"/>
  <c r="R1819" i="7" s="1"/>
  <c r="S1820" i="7"/>
  <c r="R1820" i="7" s="1"/>
  <c r="S1821" i="7"/>
  <c r="R1821" i="7" s="1"/>
  <c r="S1822" i="7"/>
  <c r="R1822" i="7" s="1"/>
  <c r="S1823" i="7"/>
  <c r="R1823" i="7" s="1"/>
  <c r="S1824" i="7"/>
  <c r="R1824" i="7" s="1"/>
  <c r="S1825" i="7"/>
  <c r="R1825" i="7" s="1"/>
  <c r="S1826" i="7"/>
  <c r="R1826" i="7" s="1"/>
  <c r="S1827" i="7"/>
  <c r="R1827" i="7" s="1"/>
  <c r="S1828" i="7"/>
  <c r="R1828" i="7" s="1"/>
  <c r="S1829" i="7"/>
  <c r="R1829" i="7" s="1"/>
  <c r="S1830" i="7"/>
  <c r="R1830" i="7" s="1"/>
  <c r="S1831" i="7"/>
  <c r="R1831" i="7" s="1"/>
  <c r="S1832" i="7"/>
  <c r="R1832" i="7" s="1"/>
  <c r="S1833" i="7"/>
  <c r="R1833" i="7" s="1"/>
  <c r="K1834" i="7"/>
  <c r="J1834" i="7" s="1"/>
  <c r="AQ1834" i="7"/>
  <c r="AP1834" i="7" s="1"/>
  <c r="AA1835" i="7"/>
  <c r="Z1835" i="7" s="1"/>
  <c r="K1836" i="7"/>
  <c r="J1836" i="7" s="1"/>
  <c r="AQ1836" i="7"/>
  <c r="AP1836" i="7" s="1"/>
  <c r="AA1837" i="7"/>
  <c r="Z1837" i="7" s="1"/>
  <c r="K1838" i="7"/>
  <c r="J1838" i="7" s="1"/>
  <c r="AQ1838" i="7"/>
  <c r="AP1838" i="7" s="1"/>
  <c r="AA1839" i="7"/>
  <c r="Z1839" i="7" s="1"/>
  <c r="K1840" i="7"/>
  <c r="J1840" i="7" s="1"/>
  <c r="AQ1840" i="7"/>
  <c r="AP1840" i="7" s="1"/>
  <c r="AA1841" i="7"/>
  <c r="Z1841" i="7" s="1"/>
  <c r="K1842" i="7"/>
  <c r="J1842" i="7" s="1"/>
  <c r="AQ1842" i="7"/>
  <c r="AP1842" i="7" s="1"/>
  <c r="C1844" i="7"/>
  <c r="B1844" i="7" s="1"/>
  <c r="AB1844" i="7"/>
  <c r="AA1844" i="7"/>
  <c r="K1846" i="7"/>
  <c r="J1846" i="7" s="1"/>
  <c r="T1848" i="7"/>
  <c r="R1848" i="7" s="1"/>
  <c r="C1850" i="7"/>
  <c r="B1850" i="7" s="1"/>
  <c r="AB1850" i="7"/>
  <c r="AA1850" i="7"/>
  <c r="K1852" i="7"/>
  <c r="J1852" i="7" s="1"/>
  <c r="R1853" i="7"/>
  <c r="T1854" i="7"/>
  <c r="C1856" i="7"/>
  <c r="B1856" i="7" s="1"/>
  <c r="AB1856" i="7"/>
  <c r="AA1856" i="7"/>
  <c r="C1857" i="7"/>
  <c r="B1857" i="7" s="1"/>
  <c r="T1858" i="7"/>
  <c r="R1858" i="7" s="1"/>
  <c r="R1859" i="7"/>
  <c r="J1860" i="7"/>
  <c r="AB1862" i="7"/>
  <c r="AA1862" i="7"/>
  <c r="C1863" i="7"/>
  <c r="B1863" i="7" s="1"/>
  <c r="T1864" i="7"/>
  <c r="R1864" i="7" s="1"/>
  <c r="J1866" i="7"/>
  <c r="AB1868" i="7"/>
  <c r="AA1868" i="7"/>
  <c r="C1869" i="7"/>
  <c r="B1869" i="7" s="1"/>
  <c r="T1870" i="7"/>
  <c r="R1870" i="7" s="1"/>
  <c r="R1871" i="7"/>
  <c r="AB1874" i="7"/>
  <c r="AA1874" i="7"/>
  <c r="C1875" i="7"/>
  <c r="B1875" i="7" s="1"/>
  <c r="T1876" i="7"/>
  <c r="R1876" i="7" s="1"/>
  <c r="R1877" i="7"/>
  <c r="AB1880" i="7"/>
  <c r="AA1880" i="7"/>
  <c r="C1881" i="7"/>
  <c r="B1881" i="7" s="1"/>
  <c r="T1882" i="7"/>
  <c r="R1882" i="7" s="1"/>
  <c r="R1883" i="7"/>
  <c r="J1884" i="7"/>
  <c r="AB1886" i="7"/>
  <c r="AA1886" i="7"/>
  <c r="C1887" i="7"/>
  <c r="B1887" i="7" s="1"/>
  <c r="T1888" i="7"/>
  <c r="R1888" i="7" s="1"/>
  <c r="R1889" i="7"/>
  <c r="J1890" i="7"/>
  <c r="T1893" i="7"/>
  <c r="T1896" i="7"/>
  <c r="R1896" i="7" s="1"/>
  <c r="J1897" i="7"/>
  <c r="B1898" i="7"/>
  <c r="B1901" i="7"/>
  <c r="B1904" i="7"/>
  <c r="J1906" i="7"/>
  <c r="T1908" i="7"/>
  <c r="S1908" i="7"/>
  <c r="AH1910" i="7"/>
  <c r="J1912" i="7"/>
  <c r="T1914" i="7"/>
  <c r="S1914" i="7"/>
  <c r="B1915" i="7"/>
  <c r="B1921" i="7"/>
  <c r="AH1922" i="7"/>
  <c r="B1927" i="7"/>
  <c r="B1933" i="7"/>
  <c r="AH1934" i="7"/>
  <c r="B1939" i="7"/>
  <c r="AH1940" i="7"/>
  <c r="B1945" i="7"/>
  <c r="AH1946" i="7"/>
  <c r="B1951" i="7"/>
  <c r="AH1952" i="7"/>
  <c r="B1957" i="7"/>
  <c r="AH1958" i="7"/>
  <c r="T1843" i="7"/>
  <c r="AB1845" i="7"/>
  <c r="AA1845" i="7"/>
  <c r="J1847" i="7"/>
  <c r="T1849" i="7"/>
  <c r="R1849" i="7" s="1"/>
  <c r="AB1851" i="7"/>
  <c r="AA1851" i="7"/>
  <c r="J1853" i="7"/>
  <c r="R1854" i="7"/>
  <c r="T1855" i="7"/>
  <c r="T1857" i="7"/>
  <c r="R1857" i="7" s="1"/>
  <c r="J1859" i="7"/>
  <c r="AB1861" i="7"/>
  <c r="AA1861" i="7"/>
  <c r="C1862" i="7"/>
  <c r="B1862" i="7" s="1"/>
  <c r="T1863" i="7"/>
  <c r="J1865" i="7"/>
  <c r="AB1867" i="7"/>
  <c r="AA1867" i="7"/>
  <c r="C1868" i="7"/>
  <c r="B1868" i="7" s="1"/>
  <c r="T1869" i="7"/>
  <c r="R1869" i="7" s="1"/>
  <c r="J1871" i="7"/>
  <c r="AB1873" i="7"/>
  <c r="AA1873" i="7"/>
  <c r="C1874" i="7"/>
  <c r="B1874" i="7" s="1"/>
  <c r="T1875" i="7"/>
  <c r="R1875" i="7" s="1"/>
  <c r="J1877" i="7"/>
  <c r="AB1879" i="7"/>
  <c r="AA1879" i="7"/>
  <c r="Z1879" i="7" s="1"/>
  <c r="C1880" i="7"/>
  <c r="B1880" i="7" s="1"/>
  <c r="T1881" i="7"/>
  <c r="J1883" i="7"/>
  <c r="AB1885" i="7"/>
  <c r="AA1885" i="7"/>
  <c r="C1886" i="7"/>
  <c r="B1886" i="7" s="1"/>
  <c r="T1887" i="7"/>
  <c r="R1887" i="7" s="1"/>
  <c r="J1889" i="7"/>
  <c r="AB1891" i="7"/>
  <c r="AA1891" i="7"/>
  <c r="R1893" i="7"/>
  <c r="AB1894" i="7"/>
  <c r="AA1894" i="7"/>
  <c r="T1898" i="7"/>
  <c r="S1898" i="7"/>
  <c r="J1900" i="7"/>
  <c r="T1901" i="7"/>
  <c r="S1901" i="7"/>
  <c r="J1903" i="7"/>
  <c r="T1904" i="7"/>
  <c r="S1904" i="7"/>
  <c r="AH1905" i="7"/>
  <c r="J1907" i="7"/>
  <c r="T1909" i="7"/>
  <c r="S1909" i="7"/>
  <c r="B1910" i="7"/>
  <c r="AH1911" i="7"/>
  <c r="J1913" i="7"/>
  <c r="T1915" i="7"/>
  <c r="S1915" i="7"/>
  <c r="B1916" i="7"/>
  <c r="AH1917" i="7"/>
  <c r="B1922" i="7"/>
  <c r="AH1923" i="7"/>
  <c r="B1928" i="7"/>
  <c r="AH1929" i="7"/>
  <c r="B1934" i="7"/>
  <c r="AH1935" i="7"/>
  <c r="B1952" i="7"/>
  <c r="AH1953" i="7"/>
  <c r="B1958" i="7"/>
  <c r="AH1959" i="7"/>
  <c r="AH1969" i="7"/>
  <c r="AH1972" i="7"/>
  <c r="AH1978" i="7"/>
  <c r="R1843" i="7"/>
  <c r="AB1846" i="7"/>
  <c r="AA1846" i="7"/>
  <c r="J1848" i="7"/>
  <c r="AB1852" i="7"/>
  <c r="AA1852" i="7"/>
  <c r="J1854" i="7"/>
  <c r="R1855" i="7"/>
  <c r="AB1860" i="7"/>
  <c r="AA1860" i="7"/>
  <c r="R1863" i="7"/>
  <c r="AB1866" i="7"/>
  <c r="AA1866" i="7"/>
  <c r="AB1872" i="7"/>
  <c r="AA1872" i="7"/>
  <c r="AB1878" i="7"/>
  <c r="AA1878" i="7"/>
  <c r="R1881" i="7"/>
  <c r="AB1884" i="7"/>
  <c r="AA1884" i="7"/>
  <c r="AB1890" i="7"/>
  <c r="AA1890" i="7"/>
  <c r="T1910" i="7"/>
  <c r="S1910" i="7"/>
  <c r="T1916" i="7"/>
  <c r="S1916" i="7"/>
  <c r="D1981" i="7"/>
  <c r="B1981" i="7" s="1"/>
  <c r="D1983" i="7"/>
  <c r="B1983" i="7" s="1"/>
  <c r="D1985" i="7"/>
  <c r="B1985" i="7" s="1"/>
  <c r="D1987" i="7"/>
  <c r="B1987" i="7" s="1"/>
  <c r="D1989" i="7"/>
  <c r="B1989" i="7" s="1"/>
  <c r="D1991" i="7"/>
  <c r="B1991" i="7" s="1"/>
  <c r="D1993" i="7"/>
  <c r="B1993" i="7" s="1"/>
  <c r="D1995" i="7"/>
  <c r="B1995" i="7" s="1"/>
  <c r="D1997" i="7"/>
  <c r="B1997" i="7" s="1"/>
  <c r="D1999" i="7"/>
  <c r="B1999" i="7" s="1"/>
  <c r="D2001" i="7"/>
  <c r="B2001" i="7" s="1"/>
  <c r="D2003" i="7"/>
  <c r="B2003" i="7" s="1"/>
  <c r="D2005" i="7"/>
  <c r="B2005" i="7" s="1"/>
  <c r="D2007" i="7"/>
  <c r="B2007" i="7" s="1"/>
  <c r="D2009" i="7"/>
  <c r="B2009" i="7" s="1"/>
  <c r="D2011" i="7"/>
  <c r="B2011" i="7" s="1"/>
  <c r="D2013" i="7"/>
  <c r="B2013" i="7" s="1"/>
  <c r="D2015" i="7"/>
  <c r="B2015" i="7" s="1"/>
  <c r="D2017" i="7"/>
  <c r="B2017" i="7" s="1"/>
  <c r="D2019" i="7"/>
  <c r="B2019" i="7" s="1"/>
  <c r="D2021" i="7"/>
  <c r="B2021" i="7" s="1"/>
  <c r="L2022" i="7"/>
  <c r="K2022" i="7"/>
  <c r="AP2023" i="7"/>
  <c r="B2025" i="7"/>
  <c r="D2026" i="7"/>
  <c r="L2028" i="7"/>
  <c r="K2028" i="7"/>
  <c r="AH2028" i="7"/>
  <c r="AR2030" i="7"/>
  <c r="AP2030" i="7" s="1"/>
  <c r="AH2031" i="7"/>
  <c r="AR2033" i="7"/>
  <c r="AH2034" i="7"/>
  <c r="AJ2035" i="7"/>
  <c r="AQ2038" i="7"/>
  <c r="AR2038" i="7"/>
  <c r="Z2039" i="7"/>
  <c r="AH2040" i="7"/>
  <c r="AJ2041" i="7"/>
  <c r="AH2041" i="7" s="1"/>
  <c r="AQ2044" i="7"/>
  <c r="AR2044" i="7"/>
  <c r="Z2045" i="7"/>
  <c r="AA2064" i="7"/>
  <c r="AB2064" i="7"/>
  <c r="J2071" i="7"/>
  <c r="AP1980" i="7"/>
  <c r="AP1982" i="7"/>
  <c r="AP1988" i="7"/>
  <c r="AP1990" i="7"/>
  <c r="AP1992" i="7"/>
  <c r="AP1996" i="7"/>
  <c r="AP1998" i="7"/>
  <c r="AP2000" i="7"/>
  <c r="AP2002" i="7"/>
  <c r="AP2012" i="7"/>
  <c r="AP2014" i="7"/>
  <c r="AP2016" i="7"/>
  <c r="AP2018" i="7"/>
  <c r="L2023" i="7"/>
  <c r="K2023" i="7"/>
  <c r="AP2024" i="7"/>
  <c r="B2026" i="7"/>
  <c r="D2029" i="7"/>
  <c r="C2029" i="7"/>
  <c r="D2032" i="7"/>
  <c r="C2032" i="7"/>
  <c r="AP2033" i="7"/>
  <c r="AH2035" i="7"/>
  <c r="AQ2039" i="7"/>
  <c r="AR2039" i="7"/>
  <c r="AQ2045" i="7"/>
  <c r="AR2045" i="7"/>
  <c r="AQ2046" i="7"/>
  <c r="AR2046" i="7"/>
  <c r="AQ2047" i="7"/>
  <c r="AR2047" i="7"/>
  <c r="AQ2048" i="7"/>
  <c r="AR2048" i="7"/>
  <c r="AQ2049" i="7"/>
  <c r="AR2049" i="7"/>
  <c r="AQ2050" i="7"/>
  <c r="AR2050" i="7"/>
  <c r="AQ2051" i="7"/>
  <c r="AR2051" i="7"/>
  <c r="AQ2052" i="7"/>
  <c r="AR2052" i="7"/>
  <c r="AQ2053" i="7"/>
  <c r="AR2053" i="7"/>
  <c r="AQ2054" i="7"/>
  <c r="AR2054" i="7"/>
  <c r="AQ2055" i="7"/>
  <c r="AR2055" i="7"/>
  <c r="AQ2056" i="7"/>
  <c r="AR2056" i="7"/>
  <c r="AQ2057" i="7"/>
  <c r="AR2057" i="7"/>
  <c r="AQ2058" i="7"/>
  <c r="AR2058" i="7"/>
  <c r="AQ2059" i="7"/>
  <c r="AR2059" i="7"/>
  <c r="AQ2060" i="7"/>
  <c r="AR2060" i="7"/>
  <c r="AQ2061" i="7"/>
  <c r="AR2061" i="7"/>
  <c r="AA2066" i="7"/>
  <c r="AB2066" i="7"/>
  <c r="AA2072" i="7"/>
  <c r="AB2072" i="7"/>
  <c r="AA1897" i="7"/>
  <c r="Z1897" i="7" s="1"/>
  <c r="AA1898" i="7"/>
  <c r="Z1898" i="7" s="1"/>
  <c r="AA1899" i="7"/>
  <c r="Z1899" i="7" s="1"/>
  <c r="AA1900" i="7"/>
  <c r="Z1900" i="7" s="1"/>
  <c r="AA1901" i="7"/>
  <c r="Z1901" i="7" s="1"/>
  <c r="AA1902" i="7"/>
  <c r="Z1902" i="7" s="1"/>
  <c r="AA1903" i="7"/>
  <c r="Z1903" i="7" s="1"/>
  <c r="AA1904" i="7"/>
  <c r="Z1904" i="7" s="1"/>
  <c r="AA1905" i="7"/>
  <c r="Z1905" i="7" s="1"/>
  <c r="AA1906" i="7"/>
  <c r="Z1906" i="7" s="1"/>
  <c r="AA1907" i="7"/>
  <c r="Z1907" i="7" s="1"/>
  <c r="AA1908" i="7"/>
  <c r="Z1908" i="7" s="1"/>
  <c r="AA1909" i="7"/>
  <c r="Z1909" i="7" s="1"/>
  <c r="AA1910" i="7"/>
  <c r="Z1910" i="7" s="1"/>
  <c r="AA1911" i="7"/>
  <c r="Z1911" i="7" s="1"/>
  <c r="AA1912" i="7"/>
  <c r="Z1912" i="7" s="1"/>
  <c r="AA1913" i="7"/>
  <c r="Z1913" i="7" s="1"/>
  <c r="AA1914" i="7"/>
  <c r="Z1914" i="7" s="1"/>
  <c r="AA1915" i="7"/>
  <c r="Z1915" i="7" s="1"/>
  <c r="AA1916" i="7"/>
  <c r="Z1916" i="7" s="1"/>
  <c r="AA1917" i="7"/>
  <c r="Z1917" i="7" s="1"/>
  <c r="AA1918" i="7"/>
  <c r="Z1918" i="7" s="1"/>
  <c r="AA1919" i="7"/>
  <c r="Z1919" i="7" s="1"/>
  <c r="AA1920" i="7"/>
  <c r="Z1920" i="7" s="1"/>
  <c r="AA1921" i="7"/>
  <c r="Z1921" i="7" s="1"/>
  <c r="AA1922" i="7"/>
  <c r="Z1922" i="7" s="1"/>
  <c r="AA1923" i="7"/>
  <c r="Z1923" i="7" s="1"/>
  <c r="AA1924" i="7"/>
  <c r="Z1924" i="7" s="1"/>
  <c r="AA1925" i="7"/>
  <c r="Z1925" i="7" s="1"/>
  <c r="AA1926" i="7"/>
  <c r="Z1926" i="7" s="1"/>
  <c r="AA1927" i="7"/>
  <c r="Z1927" i="7" s="1"/>
  <c r="AA1928" i="7"/>
  <c r="Z1928" i="7" s="1"/>
  <c r="AA1929" i="7"/>
  <c r="Z1929" i="7" s="1"/>
  <c r="AA1930" i="7"/>
  <c r="Z1930" i="7" s="1"/>
  <c r="AA1931" i="7"/>
  <c r="Z1931" i="7" s="1"/>
  <c r="AA1932" i="7"/>
  <c r="Z1932" i="7" s="1"/>
  <c r="AA1933" i="7"/>
  <c r="Z1933" i="7" s="1"/>
  <c r="AA1934" i="7"/>
  <c r="Z1934" i="7" s="1"/>
  <c r="AA1935" i="7"/>
  <c r="Z1935" i="7" s="1"/>
  <c r="AA1936" i="7"/>
  <c r="Z1936" i="7" s="1"/>
  <c r="AA1937" i="7"/>
  <c r="Z1937" i="7" s="1"/>
  <c r="AA1938" i="7"/>
  <c r="Z1938" i="7" s="1"/>
  <c r="AA1939" i="7"/>
  <c r="Z1939" i="7" s="1"/>
  <c r="AA1940" i="7"/>
  <c r="Z1940" i="7" s="1"/>
  <c r="AA1941" i="7"/>
  <c r="Z1941" i="7" s="1"/>
  <c r="AA1942" i="7"/>
  <c r="Z1942" i="7" s="1"/>
  <c r="AA1943" i="7"/>
  <c r="Z1943" i="7" s="1"/>
  <c r="AA1944" i="7"/>
  <c r="Z1944" i="7" s="1"/>
  <c r="AA1945" i="7"/>
  <c r="Z1945" i="7" s="1"/>
  <c r="AA1946" i="7"/>
  <c r="Z1946" i="7" s="1"/>
  <c r="AA1947" i="7"/>
  <c r="Z1947" i="7" s="1"/>
  <c r="AA1948" i="7"/>
  <c r="Z1948" i="7" s="1"/>
  <c r="AA1949" i="7"/>
  <c r="Z1949" i="7" s="1"/>
  <c r="AA1950" i="7"/>
  <c r="Z1950" i="7" s="1"/>
  <c r="AA1951" i="7"/>
  <c r="Z1951" i="7" s="1"/>
  <c r="AA1952" i="7"/>
  <c r="Z1952" i="7" s="1"/>
  <c r="AA1953" i="7"/>
  <c r="Z1953" i="7" s="1"/>
  <c r="AA1954" i="7"/>
  <c r="Z1954" i="7" s="1"/>
  <c r="AA1955" i="7"/>
  <c r="Z1955" i="7" s="1"/>
  <c r="AA1956" i="7"/>
  <c r="Z1956" i="7" s="1"/>
  <c r="AA1957" i="7"/>
  <c r="Z1957" i="7" s="1"/>
  <c r="AA1958" i="7"/>
  <c r="Z1958" i="7" s="1"/>
  <c r="AA1959" i="7"/>
  <c r="Z1959" i="7" s="1"/>
  <c r="AA1960" i="7"/>
  <c r="Z1960" i="7" s="1"/>
  <c r="AA1961" i="7"/>
  <c r="Z1961" i="7" s="1"/>
  <c r="AA1962" i="7"/>
  <c r="Z1962" i="7" s="1"/>
  <c r="AA1963" i="7"/>
  <c r="Z1963" i="7" s="1"/>
  <c r="AA1964" i="7"/>
  <c r="Z1964" i="7" s="1"/>
  <c r="AA1965" i="7"/>
  <c r="Z1965" i="7" s="1"/>
  <c r="AA1966" i="7"/>
  <c r="Z1966" i="7" s="1"/>
  <c r="AA1967" i="7"/>
  <c r="Z1967" i="7" s="1"/>
  <c r="AA1968" i="7"/>
  <c r="Z1968" i="7" s="1"/>
  <c r="AA1969" i="7"/>
  <c r="Z1969" i="7" s="1"/>
  <c r="AA1970" i="7"/>
  <c r="Z1970" i="7" s="1"/>
  <c r="AA1971" i="7"/>
  <c r="Z1971" i="7" s="1"/>
  <c r="AA1972" i="7"/>
  <c r="Z1972" i="7" s="1"/>
  <c r="AA1973" i="7"/>
  <c r="Z1973" i="7" s="1"/>
  <c r="AA1974" i="7"/>
  <c r="Z1974" i="7" s="1"/>
  <c r="AA1975" i="7"/>
  <c r="Z1975" i="7" s="1"/>
  <c r="AA1976" i="7"/>
  <c r="Z1976" i="7" s="1"/>
  <c r="AA1977" i="7"/>
  <c r="Z1977" i="7" s="1"/>
  <c r="AA1978" i="7"/>
  <c r="Z1978" i="7" s="1"/>
  <c r="D2022" i="7"/>
  <c r="B2022" i="7" s="1"/>
  <c r="AI2023" i="7"/>
  <c r="AH2023" i="7" s="1"/>
  <c r="L2024" i="7"/>
  <c r="K2024" i="7"/>
  <c r="J2024" i="7" s="1"/>
  <c r="AQ2025" i="7"/>
  <c r="AP2025" i="7" s="1"/>
  <c r="B2027" i="7"/>
  <c r="D2028" i="7"/>
  <c r="B2028" i="7" s="1"/>
  <c r="AR2029" i="7"/>
  <c r="AP2029" i="7" s="1"/>
  <c r="AI2030" i="7"/>
  <c r="AH2030" i="7" s="1"/>
  <c r="AR2032" i="7"/>
  <c r="AP2032" i="7" s="1"/>
  <c r="AI2033" i="7"/>
  <c r="AH2033" i="7" s="1"/>
  <c r="AQ2034" i="7"/>
  <c r="AR2034" i="7"/>
  <c r="Z2035" i="7"/>
  <c r="AH2036" i="7"/>
  <c r="AJ2037" i="7"/>
  <c r="AH2037" i="7" s="1"/>
  <c r="AQ2040" i="7"/>
  <c r="AR2040" i="7"/>
  <c r="Z2041" i="7"/>
  <c r="AH2042" i="7"/>
  <c r="AJ2043" i="7"/>
  <c r="J2065" i="7"/>
  <c r="J2067" i="7"/>
  <c r="J2073" i="7"/>
  <c r="S1917" i="7"/>
  <c r="R1917" i="7" s="1"/>
  <c r="S1918" i="7"/>
  <c r="R1918" i="7" s="1"/>
  <c r="S1919" i="7"/>
  <c r="R1919" i="7" s="1"/>
  <c r="S1920" i="7"/>
  <c r="R1920" i="7" s="1"/>
  <c r="S1921" i="7"/>
  <c r="R1921" i="7" s="1"/>
  <c r="S1922" i="7"/>
  <c r="R1922" i="7" s="1"/>
  <c r="S1923" i="7"/>
  <c r="R1923" i="7" s="1"/>
  <c r="S1924" i="7"/>
  <c r="R1924" i="7" s="1"/>
  <c r="S1925" i="7"/>
  <c r="R1925" i="7" s="1"/>
  <c r="S1926" i="7"/>
  <c r="R1926" i="7" s="1"/>
  <c r="S1927" i="7"/>
  <c r="R1927" i="7" s="1"/>
  <c r="S1928" i="7"/>
  <c r="R1928" i="7" s="1"/>
  <c r="S1929" i="7"/>
  <c r="R1929" i="7" s="1"/>
  <c r="S1930" i="7"/>
  <c r="R1930" i="7" s="1"/>
  <c r="S1931" i="7"/>
  <c r="R1931" i="7" s="1"/>
  <c r="S1932" i="7"/>
  <c r="R1932" i="7" s="1"/>
  <c r="S1933" i="7"/>
  <c r="R1933" i="7" s="1"/>
  <c r="S1934" i="7"/>
  <c r="R1934" i="7" s="1"/>
  <c r="S1935" i="7"/>
  <c r="R1935" i="7" s="1"/>
  <c r="S1936" i="7"/>
  <c r="R1936" i="7" s="1"/>
  <c r="S1937" i="7"/>
  <c r="R1937" i="7" s="1"/>
  <c r="S1938" i="7"/>
  <c r="R1938" i="7" s="1"/>
  <c r="S1939" i="7"/>
  <c r="R1939" i="7" s="1"/>
  <c r="S1940" i="7"/>
  <c r="R1940" i="7" s="1"/>
  <c r="S1941" i="7"/>
  <c r="R1941" i="7" s="1"/>
  <c r="S1942" i="7"/>
  <c r="R1942" i="7" s="1"/>
  <c r="S1943" i="7"/>
  <c r="R1943" i="7" s="1"/>
  <c r="S1944" i="7"/>
  <c r="R1944" i="7" s="1"/>
  <c r="S1945" i="7"/>
  <c r="R1945" i="7" s="1"/>
  <c r="S1946" i="7"/>
  <c r="R1946" i="7" s="1"/>
  <c r="S1947" i="7"/>
  <c r="R1947" i="7" s="1"/>
  <c r="S1948" i="7"/>
  <c r="R1948" i="7" s="1"/>
  <c r="S1949" i="7"/>
  <c r="R1949" i="7" s="1"/>
  <c r="S1950" i="7"/>
  <c r="R1950" i="7" s="1"/>
  <c r="S1951" i="7"/>
  <c r="R1951" i="7" s="1"/>
  <c r="S1952" i="7"/>
  <c r="R1952" i="7" s="1"/>
  <c r="S1953" i="7"/>
  <c r="R1953" i="7" s="1"/>
  <c r="S1954" i="7"/>
  <c r="R1954" i="7" s="1"/>
  <c r="S1955" i="7"/>
  <c r="R1955" i="7" s="1"/>
  <c r="S1956" i="7"/>
  <c r="R1956" i="7" s="1"/>
  <c r="S1957" i="7"/>
  <c r="R1957" i="7" s="1"/>
  <c r="S1958" i="7"/>
  <c r="R1958" i="7" s="1"/>
  <c r="S1959" i="7"/>
  <c r="R1959" i="7" s="1"/>
  <c r="S1960" i="7"/>
  <c r="R1960" i="7" s="1"/>
  <c r="S1961" i="7"/>
  <c r="R1961" i="7" s="1"/>
  <c r="D1980" i="7"/>
  <c r="B1980" i="7" s="1"/>
  <c r="D1982" i="7"/>
  <c r="B1982" i="7" s="1"/>
  <c r="D1984" i="7"/>
  <c r="B1984" i="7" s="1"/>
  <c r="D1986" i="7"/>
  <c r="B1986" i="7" s="1"/>
  <c r="D1988" i="7"/>
  <c r="B1988" i="7" s="1"/>
  <c r="D1990" i="7"/>
  <c r="B1990" i="7" s="1"/>
  <c r="D1992" i="7"/>
  <c r="B1992" i="7" s="1"/>
  <c r="D1994" i="7"/>
  <c r="B1994" i="7" s="1"/>
  <c r="D1996" i="7"/>
  <c r="B1996" i="7" s="1"/>
  <c r="D1998" i="7"/>
  <c r="B1998" i="7" s="1"/>
  <c r="D2000" i="7"/>
  <c r="B2000" i="7" s="1"/>
  <c r="D2002" i="7"/>
  <c r="B2002" i="7" s="1"/>
  <c r="D2004" i="7"/>
  <c r="B2004" i="7" s="1"/>
  <c r="D2006" i="7"/>
  <c r="B2006" i="7" s="1"/>
  <c r="D2008" i="7"/>
  <c r="B2008" i="7" s="1"/>
  <c r="D2010" i="7"/>
  <c r="B2010" i="7" s="1"/>
  <c r="D2012" i="7"/>
  <c r="B2012" i="7" s="1"/>
  <c r="D2014" i="7"/>
  <c r="B2014" i="7" s="1"/>
  <c r="D2016" i="7"/>
  <c r="B2016" i="7" s="1"/>
  <c r="D2018" i="7"/>
  <c r="B2018" i="7" s="1"/>
  <c r="D2020" i="7"/>
  <c r="B2020" i="7" s="1"/>
  <c r="D2023" i="7"/>
  <c r="L2025" i="7"/>
  <c r="K2025" i="7"/>
  <c r="D2031" i="7"/>
  <c r="C2031" i="7"/>
  <c r="AQ2035" i="7"/>
  <c r="AR2035" i="7"/>
  <c r="Z2036" i="7"/>
  <c r="AJ2038" i="7"/>
  <c r="AH2038" i="7" s="1"/>
  <c r="AQ2041" i="7"/>
  <c r="AR2041" i="7"/>
  <c r="AH2043" i="7"/>
  <c r="AJ2044" i="7"/>
  <c r="AA2068" i="7"/>
  <c r="AB2068" i="7"/>
  <c r="AA2074" i="7"/>
  <c r="Z2074" i="7" s="1"/>
  <c r="AB2074" i="7"/>
  <c r="B2023" i="7"/>
  <c r="L2026" i="7"/>
  <c r="K2026" i="7"/>
  <c r="AQ2036" i="7"/>
  <c r="AR2036" i="7"/>
  <c r="AQ2042" i="7"/>
  <c r="AR2042" i="7"/>
  <c r="AH2044" i="7"/>
  <c r="AP2022" i="7"/>
  <c r="B2024" i="7"/>
  <c r="L2027" i="7"/>
  <c r="K2027" i="7"/>
  <c r="AP2028" i="7"/>
  <c r="D2030" i="7"/>
  <c r="C2030" i="7"/>
  <c r="AP2031" i="7"/>
  <c r="D2033" i="7"/>
  <c r="C2033" i="7"/>
  <c r="AQ2037" i="7"/>
  <c r="AR2037" i="7"/>
  <c r="AQ2043" i="7"/>
  <c r="AR2043" i="7"/>
  <c r="AH2045" i="7"/>
  <c r="AH2046" i="7"/>
  <c r="AH2047" i="7"/>
  <c r="AH2049" i="7"/>
  <c r="AH2051" i="7"/>
  <c r="AH2055" i="7"/>
  <c r="AH2056" i="7"/>
  <c r="AH2058" i="7"/>
  <c r="AH2059" i="7"/>
  <c r="AH2060" i="7"/>
  <c r="AH2061" i="7"/>
  <c r="AA2062" i="7"/>
  <c r="Z2062" i="7" s="1"/>
  <c r="AB2062" i="7"/>
  <c r="AA2070" i="7"/>
  <c r="AB2070" i="7"/>
  <c r="AB2076" i="7"/>
  <c r="Z2076" i="7" s="1"/>
  <c r="AI2078" i="7"/>
  <c r="AH2078" i="7" s="1"/>
  <c r="T2079" i="7"/>
  <c r="R2079" i="7" s="1"/>
  <c r="R2080" i="7"/>
  <c r="AB2081" i="7"/>
  <c r="Z2081" i="7" s="1"/>
  <c r="C2082" i="7"/>
  <c r="B2082" i="7" s="1"/>
  <c r="AI2084" i="7"/>
  <c r="AH2084" i="7" s="1"/>
  <c r="T2085" i="7"/>
  <c r="R2085" i="7" s="1"/>
  <c r="R2086" i="7"/>
  <c r="AI2088" i="7"/>
  <c r="AH2088" i="7" s="1"/>
  <c r="C2091" i="7"/>
  <c r="D2091" i="7"/>
  <c r="AB2091" i="7"/>
  <c r="Z2091" i="7" s="1"/>
  <c r="AB2096" i="7"/>
  <c r="AA2096" i="7"/>
  <c r="AH2098" i="7"/>
  <c r="AB2099" i="7"/>
  <c r="AA2099" i="7"/>
  <c r="AB2102" i="7"/>
  <c r="AA2102" i="7"/>
  <c r="AH2104" i="7"/>
  <c r="AB2105" i="7"/>
  <c r="AA2105" i="7"/>
  <c r="AH2107" i="7"/>
  <c r="AB2108" i="7"/>
  <c r="AA2108" i="7"/>
  <c r="AH2114" i="7"/>
  <c r="AH2132" i="7"/>
  <c r="C2090" i="7"/>
  <c r="D2090" i="7"/>
  <c r="C2115" i="7"/>
  <c r="D2115" i="7"/>
  <c r="AI2115" i="7"/>
  <c r="AJ2115" i="7"/>
  <c r="C2124" i="7"/>
  <c r="D2124" i="7"/>
  <c r="AI2124" i="7"/>
  <c r="AJ2124" i="7"/>
  <c r="C2133" i="7"/>
  <c r="D2133" i="7"/>
  <c r="AI2133" i="7"/>
  <c r="AJ2133" i="7"/>
  <c r="C2142" i="7"/>
  <c r="D2142" i="7"/>
  <c r="AI2142" i="7"/>
  <c r="AJ2142" i="7"/>
  <c r="AI2148" i="7"/>
  <c r="AJ2148" i="7"/>
  <c r="AI2151" i="7"/>
  <c r="AJ2151" i="7"/>
  <c r="AI2154" i="7"/>
  <c r="AJ2154" i="7"/>
  <c r="AA2312" i="7"/>
  <c r="AB2312" i="7"/>
  <c r="AI2350" i="7"/>
  <c r="AJ2350" i="7"/>
  <c r="AA2363" i="7"/>
  <c r="AB2363" i="7"/>
  <c r="AI2466" i="7"/>
  <c r="AJ2466" i="7"/>
  <c r="AA2469" i="7"/>
  <c r="AB2469" i="7"/>
  <c r="AI2471" i="7"/>
  <c r="AJ2471" i="7"/>
  <c r="AI2514" i="7"/>
  <c r="AJ2514" i="7"/>
  <c r="AI2532" i="7"/>
  <c r="AJ2532" i="7"/>
  <c r="AB2551" i="7"/>
  <c r="AA2551" i="7"/>
  <c r="AB2553" i="7"/>
  <c r="AA2553" i="7"/>
  <c r="AA2564" i="7"/>
  <c r="AB2564" i="7"/>
  <c r="AI2594" i="7"/>
  <c r="AJ2594" i="7"/>
  <c r="C2089" i="7"/>
  <c r="D2089" i="7"/>
  <c r="AH2138" i="7"/>
  <c r="AA2255" i="7"/>
  <c r="Z2255" i="7" s="1"/>
  <c r="AB2255" i="7"/>
  <c r="AA2294" i="7"/>
  <c r="AB2294" i="7"/>
  <c r="AI2305" i="7"/>
  <c r="AJ2305" i="7"/>
  <c r="K2029" i="7"/>
  <c r="J2029" i="7" s="1"/>
  <c r="K2030" i="7"/>
  <c r="J2030" i="7" s="1"/>
  <c r="K2031" i="7"/>
  <c r="J2031" i="7" s="1"/>
  <c r="K2032" i="7"/>
  <c r="J2032" i="7" s="1"/>
  <c r="K2033" i="7"/>
  <c r="J2033" i="7" s="1"/>
  <c r="K2034" i="7"/>
  <c r="J2034" i="7" s="1"/>
  <c r="K2035" i="7"/>
  <c r="J2035" i="7" s="1"/>
  <c r="K2036" i="7"/>
  <c r="J2036" i="7" s="1"/>
  <c r="K2037" i="7"/>
  <c r="J2037" i="7" s="1"/>
  <c r="K2038" i="7"/>
  <c r="J2038" i="7" s="1"/>
  <c r="K2039" i="7"/>
  <c r="J2039" i="7" s="1"/>
  <c r="K2040" i="7"/>
  <c r="J2040" i="7" s="1"/>
  <c r="K2041" i="7"/>
  <c r="J2041" i="7" s="1"/>
  <c r="K2042" i="7"/>
  <c r="J2042" i="7" s="1"/>
  <c r="K2043" i="7"/>
  <c r="J2043" i="7" s="1"/>
  <c r="K2044" i="7"/>
  <c r="J2044" i="7" s="1"/>
  <c r="K2045" i="7"/>
  <c r="J2045" i="7" s="1"/>
  <c r="K2046" i="7"/>
  <c r="J2046" i="7" s="1"/>
  <c r="K2047" i="7"/>
  <c r="J2047" i="7" s="1"/>
  <c r="K2048" i="7"/>
  <c r="J2048" i="7" s="1"/>
  <c r="K2049" i="7"/>
  <c r="J2049" i="7" s="1"/>
  <c r="K2050" i="7"/>
  <c r="J2050" i="7" s="1"/>
  <c r="K2051" i="7"/>
  <c r="J2051" i="7" s="1"/>
  <c r="K2052" i="7"/>
  <c r="J2052" i="7" s="1"/>
  <c r="K2053" i="7"/>
  <c r="J2053" i="7" s="1"/>
  <c r="K2054" i="7"/>
  <c r="J2054" i="7" s="1"/>
  <c r="K2055" i="7"/>
  <c r="J2055" i="7" s="1"/>
  <c r="K2056" i="7"/>
  <c r="J2056" i="7" s="1"/>
  <c r="K2057" i="7"/>
  <c r="J2057" i="7" s="1"/>
  <c r="K2058" i="7"/>
  <c r="J2058" i="7" s="1"/>
  <c r="K2059" i="7"/>
  <c r="J2059" i="7" s="1"/>
  <c r="K2060" i="7"/>
  <c r="J2060" i="7" s="1"/>
  <c r="K2061" i="7"/>
  <c r="J2061" i="7" s="1"/>
  <c r="K2062" i="7"/>
  <c r="J2062" i="7" s="1"/>
  <c r="K2064" i="7"/>
  <c r="J2064" i="7" s="1"/>
  <c r="K2066" i="7"/>
  <c r="J2066" i="7" s="1"/>
  <c r="K2068" i="7"/>
  <c r="J2068" i="7" s="1"/>
  <c r="K2070" i="7"/>
  <c r="J2070" i="7" s="1"/>
  <c r="K2072" i="7"/>
  <c r="J2072" i="7" s="1"/>
  <c r="K2074" i="7"/>
  <c r="J2074" i="7" s="1"/>
  <c r="K2076" i="7"/>
  <c r="J2076" i="7" s="1"/>
  <c r="S2077" i="7"/>
  <c r="R2077" i="7" s="1"/>
  <c r="S2083" i="7"/>
  <c r="R2083" i="7" s="1"/>
  <c r="C2088" i="7"/>
  <c r="D2088" i="7"/>
  <c r="C2094" i="7"/>
  <c r="D2094" i="7"/>
  <c r="C2112" i="7"/>
  <c r="D2112" i="7"/>
  <c r="AI2112" i="7"/>
  <c r="AJ2112" i="7"/>
  <c r="C2121" i="7"/>
  <c r="D2121" i="7"/>
  <c r="AI2121" i="7"/>
  <c r="AJ2121" i="7"/>
  <c r="C2130" i="7"/>
  <c r="D2130" i="7"/>
  <c r="AI2130" i="7"/>
  <c r="AJ2130" i="7"/>
  <c r="C2139" i="7"/>
  <c r="D2139" i="7"/>
  <c r="AI2139" i="7"/>
  <c r="AJ2139" i="7"/>
  <c r="C2144" i="7"/>
  <c r="D2144" i="7"/>
  <c r="AI2144" i="7"/>
  <c r="AJ2144" i="7"/>
  <c r="C2147" i="7"/>
  <c r="D2147" i="7"/>
  <c r="AI2147" i="7"/>
  <c r="AJ2147" i="7"/>
  <c r="AI2150" i="7"/>
  <c r="AJ2150" i="7"/>
  <c r="AB2196" i="7"/>
  <c r="AA2196" i="7"/>
  <c r="AI2287" i="7"/>
  <c r="AH2287" i="7" s="1"/>
  <c r="AJ2287" i="7"/>
  <c r="C2034" i="7"/>
  <c r="B2034" i="7" s="1"/>
  <c r="C2035" i="7"/>
  <c r="B2035" i="7" s="1"/>
  <c r="C2036" i="7"/>
  <c r="B2036" i="7" s="1"/>
  <c r="C2037" i="7"/>
  <c r="B2037" i="7" s="1"/>
  <c r="C2038" i="7"/>
  <c r="B2038" i="7" s="1"/>
  <c r="C2039" i="7"/>
  <c r="B2039" i="7" s="1"/>
  <c r="C2040" i="7"/>
  <c r="B2040" i="7" s="1"/>
  <c r="C2041" i="7"/>
  <c r="B2041" i="7" s="1"/>
  <c r="C2042" i="7"/>
  <c r="B2042" i="7" s="1"/>
  <c r="C2043" i="7"/>
  <c r="B2043" i="7" s="1"/>
  <c r="C2044" i="7"/>
  <c r="B2044" i="7" s="1"/>
  <c r="C2045" i="7"/>
  <c r="B2045" i="7" s="1"/>
  <c r="C2046" i="7"/>
  <c r="B2046" i="7" s="1"/>
  <c r="C2047" i="7"/>
  <c r="B2047" i="7" s="1"/>
  <c r="C2048" i="7"/>
  <c r="B2048" i="7" s="1"/>
  <c r="C2049" i="7"/>
  <c r="B2049" i="7" s="1"/>
  <c r="C2050" i="7"/>
  <c r="B2050" i="7" s="1"/>
  <c r="C2051" i="7"/>
  <c r="B2051" i="7" s="1"/>
  <c r="C2052" i="7"/>
  <c r="B2052" i="7" s="1"/>
  <c r="C2053" i="7"/>
  <c r="B2053" i="7" s="1"/>
  <c r="C2054" i="7"/>
  <c r="B2054" i="7" s="1"/>
  <c r="C2055" i="7"/>
  <c r="B2055" i="7" s="1"/>
  <c r="C2056" i="7"/>
  <c r="B2056" i="7" s="1"/>
  <c r="C2057" i="7"/>
  <c r="B2057" i="7" s="1"/>
  <c r="C2058" i="7"/>
  <c r="B2058" i="7" s="1"/>
  <c r="C2059" i="7"/>
  <c r="B2059" i="7" s="1"/>
  <c r="C2060" i="7"/>
  <c r="B2060" i="7" s="1"/>
  <c r="C2061" i="7"/>
  <c r="B2061" i="7" s="1"/>
  <c r="C2062" i="7"/>
  <c r="B2062" i="7" s="1"/>
  <c r="AI2062" i="7"/>
  <c r="AH2062" i="7" s="1"/>
  <c r="S2063" i="7"/>
  <c r="R2063" i="7" s="1"/>
  <c r="C2064" i="7"/>
  <c r="B2064" i="7" s="1"/>
  <c r="AI2064" i="7"/>
  <c r="AH2064" i="7" s="1"/>
  <c r="S2065" i="7"/>
  <c r="R2065" i="7" s="1"/>
  <c r="C2066" i="7"/>
  <c r="B2066" i="7" s="1"/>
  <c r="AI2066" i="7"/>
  <c r="AH2066" i="7" s="1"/>
  <c r="S2067" i="7"/>
  <c r="R2067" i="7" s="1"/>
  <c r="C2068" i="7"/>
  <c r="B2068" i="7" s="1"/>
  <c r="AI2068" i="7"/>
  <c r="AH2068" i="7" s="1"/>
  <c r="S2069" i="7"/>
  <c r="R2069" i="7" s="1"/>
  <c r="C2070" i="7"/>
  <c r="B2070" i="7" s="1"/>
  <c r="AI2070" i="7"/>
  <c r="AH2070" i="7" s="1"/>
  <c r="S2071" i="7"/>
  <c r="R2071" i="7" s="1"/>
  <c r="C2072" i="7"/>
  <c r="B2072" i="7" s="1"/>
  <c r="AI2072" i="7"/>
  <c r="AH2072" i="7" s="1"/>
  <c r="S2073" i="7"/>
  <c r="R2073" i="7" s="1"/>
  <c r="C2074" i="7"/>
  <c r="B2074" i="7" s="1"/>
  <c r="AI2074" i="7"/>
  <c r="AH2074" i="7" s="1"/>
  <c r="S2075" i="7"/>
  <c r="R2075" i="7" s="1"/>
  <c r="C2076" i="7"/>
  <c r="B2076" i="7" s="1"/>
  <c r="AI2076" i="7"/>
  <c r="AH2076" i="7" s="1"/>
  <c r="S2078" i="7"/>
  <c r="R2078" i="7" s="1"/>
  <c r="AB2079" i="7"/>
  <c r="Z2079" i="7" s="1"/>
  <c r="C2080" i="7"/>
  <c r="B2080" i="7" s="1"/>
  <c r="AI2082" i="7"/>
  <c r="AH2082" i="7" s="1"/>
  <c r="S2084" i="7"/>
  <c r="R2084" i="7" s="1"/>
  <c r="AB2085" i="7"/>
  <c r="Z2085" i="7" s="1"/>
  <c r="C2086" i="7"/>
  <c r="B2086" i="7" s="1"/>
  <c r="C2087" i="7"/>
  <c r="D2087" i="7"/>
  <c r="AB2087" i="7"/>
  <c r="Z2087" i="7" s="1"/>
  <c r="R2088" i="7"/>
  <c r="AI2090" i="7"/>
  <c r="AH2090" i="7" s="1"/>
  <c r="C2093" i="7"/>
  <c r="D2093" i="7"/>
  <c r="AB2093" i="7"/>
  <c r="Z2093" i="7" s="1"/>
  <c r="R2094" i="7"/>
  <c r="L2095" i="7"/>
  <c r="K2095" i="7"/>
  <c r="C2097" i="7"/>
  <c r="D2097" i="7"/>
  <c r="R2097" i="7"/>
  <c r="L2098" i="7"/>
  <c r="K2098" i="7"/>
  <c r="C2100" i="7"/>
  <c r="D2100" i="7"/>
  <c r="R2100" i="7"/>
  <c r="L2101" i="7"/>
  <c r="K2101" i="7"/>
  <c r="C2103" i="7"/>
  <c r="D2103" i="7"/>
  <c r="R2103" i="7"/>
  <c r="L2104" i="7"/>
  <c r="K2104" i="7"/>
  <c r="C2106" i="7"/>
  <c r="D2106" i="7"/>
  <c r="R2106" i="7"/>
  <c r="L2107" i="7"/>
  <c r="K2107" i="7"/>
  <c r="J2107" i="7" s="1"/>
  <c r="C2109" i="7"/>
  <c r="D2109" i="7"/>
  <c r="R2109" i="7"/>
  <c r="L2110" i="7"/>
  <c r="K2110" i="7"/>
  <c r="AH2117" i="7"/>
  <c r="AH2126" i="7"/>
  <c r="AH2153" i="7"/>
  <c r="AI2200" i="7"/>
  <c r="AJ2200" i="7"/>
  <c r="AI2077" i="7"/>
  <c r="AH2077" i="7" s="1"/>
  <c r="AB2080" i="7"/>
  <c r="Z2080" i="7" s="1"/>
  <c r="C2081" i="7"/>
  <c r="B2081" i="7" s="1"/>
  <c r="AI2083" i="7"/>
  <c r="AH2083" i="7" s="1"/>
  <c r="AB2086" i="7"/>
  <c r="Z2086" i="7" s="1"/>
  <c r="R2087" i="7"/>
  <c r="AI2089" i="7"/>
  <c r="AH2089" i="7" s="1"/>
  <c r="C2092" i="7"/>
  <c r="D2092" i="7"/>
  <c r="AB2092" i="7"/>
  <c r="Z2092" i="7" s="1"/>
  <c r="R2093" i="7"/>
  <c r="AI2094" i="7"/>
  <c r="AJ2094" i="7"/>
  <c r="AR2095" i="7"/>
  <c r="AQ2095" i="7"/>
  <c r="AI2097" i="7"/>
  <c r="AJ2097" i="7"/>
  <c r="B2098" i="7"/>
  <c r="AR2098" i="7"/>
  <c r="AQ2098" i="7"/>
  <c r="AI2100" i="7"/>
  <c r="AJ2100" i="7"/>
  <c r="B2101" i="7"/>
  <c r="AR2101" i="7"/>
  <c r="AQ2101" i="7"/>
  <c r="AI2103" i="7"/>
  <c r="AJ2103" i="7"/>
  <c r="B2104" i="7"/>
  <c r="AR2104" i="7"/>
  <c r="AQ2104" i="7"/>
  <c r="AI2106" i="7"/>
  <c r="AJ2106" i="7"/>
  <c r="B2107" i="7"/>
  <c r="AR2107" i="7"/>
  <c r="AQ2107" i="7"/>
  <c r="AI2109" i="7"/>
  <c r="AJ2109" i="7"/>
  <c r="B2110" i="7"/>
  <c r="C2118" i="7"/>
  <c r="D2118" i="7"/>
  <c r="AI2118" i="7"/>
  <c r="AJ2118" i="7"/>
  <c r="B2123" i="7"/>
  <c r="C2127" i="7"/>
  <c r="D2127" i="7"/>
  <c r="AI2127" i="7"/>
  <c r="AJ2127" i="7"/>
  <c r="B2132" i="7"/>
  <c r="C2136" i="7"/>
  <c r="D2136" i="7"/>
  <c r="AI2136" i="7"/>
  <c r="AJ2136" i="7"/>
  <c r="B2141" i="7"/>
  <c r="AI2149" i="7"/>
  <c r="AJ2149" i="7"/>
  <c r="AA2237" i="7"/>
  <c r="AB2237" i="7"/>
  <c r="AA2273" i="7"/>
  <c r="AB2273" i="7"/>
  <c r="B2155" i="7"/>
  <c r="R2158" i="7"/>
  <c r="B2161" i="7"/>
  <c r="Z2161" i="7"/>
  <c r="AH2162" i="7"/>
  <c r="AP2163" i="7"/>
  <c r="R2164" i="7"/>
  <c r="J2167" i="7"/>
  <c r="B2170" i="7"/>
  <c r="Z2170" i="7"/>
  <c r="AH2171" i="7"/>
  <c r="AP2172" i="7"/>
  <c r="R2173" i="7"/>
  <c r="J2176" i="7"/>
  <c r="B2179" i="7"/>
  <c r="Z2179" i="7"/>
  <c r="AH2180" i="7"/>
  <c r="AP2181" i="7"/>
  <c r="R2182" i="7"/>
  <c r="J2185" i="7"/>
  <c r="B2188" i="7"/>
  <c r="Z2188" i="7"/>
  <c r="AH2189" i="7"/>
  <c r="AP2190" i="7"/>
  <c r="R2191" i="7"/>
  <c r="J2194" i="7"/>
  <c r="AH2239" i="7"/>
  <c r="AA2240" i="7"/>
  <c r="AB2240" i="7"/>
  <c r="AH2257" i="7"/>
  <c r="AA2258" i="7"/>
  <c r="AB2258" i="7"/>
  <c r="AH2275" i="7"/>
  <c r="AA2276" i="7"/>
  <c r="AB2276" i="7"/>
  <c r="AI2295" i="7"/>
  <c r="AJ2295" i="7"/>
  <c r="AI2313" i="7"/>
  <c r="AJ2313" i="7"/>
  <c r="AQ2110" i="7"/>
  <c r="AP2110" i="7" s="1"/>
  <c r="AA2111" i="7"/>
  <c r="Z2111" i="7" s="1"/>
  <c r="K2113" i="7"/>
  <c r="J2113" i="7" s="1"/>
  <c r="AQ2113" i="7"/>
  <c r="AP2113" i="7" s="1"/>
  <c r="AA2114" i="7"/>
  <c r="Z2114" i="7" s="1"/>
  <c r="K2116" i="7"/>
  <c r="J2116" i="7" s="1"/>
  <c r="AQ2116" i="7"/>
  <c r="AP2116" i="7" s="1"/>
  <c r="AA2117" i="7"/>
  <c r="Z2117" i="7" s="1"/>
  <c r="K2119" i="7"/>
  <c r="J2119" i="7" s="1"/>
  <c r="AQ2119" i="7"/>
  <c r="AP2119" i="7" s="1"/>
  <c r="AA2120" i="7"/>
  <c r="Z2120" i="7" s="1"/>
  <c r="K2122" i="7"/>
  <c r="J2122" i="7" s="1"/>
  <c r="AQ2122" i="7"/>
  <c r="AP2122" i="7" s="1"/>
  <c r="AA2123" i="7"/>
  <c r="Z2123" i="7" s="1"/>
  <c r="K2125" i="7"/>
  <c r="J2125" i="7" s="1"/>
  <c r="AQ2125" i="7"/>
  <c r="AP2125" i="7" s="1"/>
  <c r="AA2126" i="7"/>
  <c r="Z2126" i="7" s="1"/>
  <c r="K2128" i="7"/>
  <c r="J2128" i="7" s="1"/>
  <c r="AQ2128" i="7"/>
  <c r="AP2128" i="7" s="1"/>
  <c r="AA2129" i="7"/>
  <c r="Z2129" i="7" s="1"/>
  <c r="K2131" i="7"/>
  <c r="J2131" i="7" s="1"/>
  <c r="AQ2131" i="7"/>
  <c r="AP2131" i="7" s="1"/>
  <c r="AA2132" i="7"/>
  <c r="Z2132" i="7" s="1"/>
  <c r="K2134" i="7"/>
  <c r="J2134" i="7" s="1"/>
  <c r="AQ2134" i="7"/>
  <c r="AP2134" i="7" s="1"/>
  <c r="AA2135" i="7"/>
  <c r="Z2135" i="7" s="1"/>
  <c r="K2137" i="7"/>
  <c r="J2137" i="7" s="1"/>
  <c r="AQ2137" i="7"/>
  <c r="AP2137" i="7" s="1"/>
  <c r="AA2138" i="7"/>
  <c r="Z2138" i="7" s="1"/>
  <c r="K2140" i="7"/>
  <c r="J2140" i="7" s="1"/>
  <c r="AQ2140" i="7"/>
  <c r="AP2140" i="7" s="1"/>
  <c r="AA2141" i="7"/>
  <c r="Z2141" i="7" s="1"/>
  <c r="K2143" i="7"/>
  <c r="J2143" i="7" s="1"/>
  <c r="AA2145" i="7"/>
  <c r="Z2145" i="7" s="1"/>
  <c r="K2146" i="7"/>
  <c r="J2146" i="7" s="1"/>
  <c r="AA2153" i="7"/>
  <c r="Z2153" i="7" s="1"/>
  <c r="AI2158" i="7"/>
  <c r="AH2158" i="7" s="1"/>
  <c r="J2161" i="7"/>
  <c r="B2164" i="7"/>
  <c r="Z2164" i="7"/>
  <c r="AH2165" i="7"/>
  <c r="AP2166" i="7"/>
  <c r="R2167" i="7"/>
  <c r="J2170" i="7"/>
  <c r="B2173" i="7"/>
  <c r="Z2173" i="7"/>
  <c r="AH2174" i="7"/>
  <c r="AP2175" i="7"/>
  <c r="R2176" i="7"/>
  <c r="J2179" i="7"/>
  <c r="B2182" i="7"/>
  <c r="Z2182" i="7"/>
  <c r="AH2183" i="7"/>
  <c r="AP2184" i="7"/>
  <c r="R2185" i="7"/>
  <c r="J2188" i="7"/>
  <c r="B2191" i="7"/>
  <c r="AH2192" i="7"/>
  <c r="AP2193" i="7"/>
  <c r="R2194" i="7"/>
  <c r="AJ2197" i="7"/>
  <c r="AH2197" i="7" s="1"/>
  <c r="AA2234" i="7"/>
  <c r="AB2234" i="7"/>
  <c r="AH2251" i="7"/>
  <c r="AA2252" i="7"/>
  <c r="AB2252" i="7"/>
  <c r="AH2269" i="7"/>
  <c r="AA2270" i="7"/>
  <c r="AB2270" i="7"/>
  <c r="Z2315" i="7"/>
  <c r="AA2323" i="7"/>
  <c r="AB2323" i="7"/>
  <c r="AA2332" i="7"/>
  <c r="AB2332" i="7"/>
  <c r="AA2341" i="7"/>
  <c r="AB2341" i="7"/>
  <c r="Z2344" i="7"/>
  <c r="AB2157" i="7"/>
  <c r="Z2157" i="7" s="1"/>
  <c r="AB2160" i="7"/>
  <c r="Z2160" i="7" s="1"/>
  <c r="AA2162" i="7"/>
  <c r="Z2162" i="7" s="1"/>
  <c r="AI2163" i="7"/>
  <c r="AH2163" i="7" s="1"/>
  <c r="AJ2167" i="7"/>
  <c r="AH2167" i="7" s="1"/>
  <c r="AB2202" i="7"/>
  <c r="AA2202" i="7"/>
  <c r="AA2231" i="7"/>
  <c r="AB2231" i="7"/>
  <c r="AA2249" i="7"/>
  <c r="AB2249" i="7"/>
  <c r="AA2267" i="7"/>
  <c r="AB2267" i="7"/>
  <c r="AA2285" i="7"/>
  <c r="AB2285" i="7"/>
  <c r="AP2187" i="7"/>
  <c r="R2188" i="7"/>
  <c r="J2191" i="7"/>
  <c r="Z2194" i="7"/>
  <c r="AH2203" i="7"/>
  <c r="AA2204" i="7"/>
  <c r="AB2204" i="7"/>
  <c r="AH2206" i="7"/>
  <c r="AA2207" i="7"/>
  <c r="AB2207" i="7"/>
  <c r="AA2210" i="7"/>
  <c r="AB2210" i="7"/>
  <c r="AH2212" i="7"/>
  <c r="AA2213" i="7"/>
  <c r="AB2213" i="7"/>
  <c r="AH2215" i="7"/>
  <c r="AA2216" i="7"/>
  <c r="AB2216" i="7"/>
  <c r="AH2218" i="7"/>
  <c r="AA2219" i="7"/>
  <c r="AB2219" i="7"/>
  <c r="AH2221" i="7"/>
  <c r="AA2222" i="7"/>
  <c r="AB2222" i="7"/>
  <c r="AH2224" i="7"/>
  <c r="AA2225" i="7"/>
  <c r="AB2225" i="7"/>
  <c r="AH2227" i="7"/>
  <c r="AA2228" i="7"/>
  <c r="AB2228" i="7"/>
  <c r="AH2245" i="7"/>
  <c r="AA2246" i="7"/>
  <c r="AB2246" i="7"/>
  <c r="AH2263" i="7"/>
  <c r="AA2264" i="7"/>
  <c r="AB2264" i="7"/>
  <c r="AH2281" i="7"/>
  <c r="AA2282" i="7"/>
  <c r="Z2282" i="7" s="1"/>
  <c r="AB2282" i="7"/>
  <c r="AH2298" i="7"/>
  <c r="AA2299" i="7"/>
  <c r="AB2299" i="7"/>
  <c r="AJ2300" i="7"/>
  <c r="AI2300" i="7"/>
  <c r="AH2308" i="7"/>
  <c r="AA2317" i="7"/>
  <c r="AB2317" i="7"/>
  <c r="AA2324" i="7"/>
  <c r="AB2324" i="7"/>
  <c r="AI2325" i="7"/>
  <c r="AJ2325" i="7"/>
  <c r="AA2333" i="7"/>
  <c r="AB2333" i="7"/>
  <c r="AI2334" i="7"/>
  <c r="AJ2334" i="7"/>
  <c r="AA2345" i="7"/>
  <c r="AB2345" i="7"/>
  <c r="AI2368" i="7"/>
  <c r="AJ2368" i="7"/>
  <c r="AB2199" i="7"/>
  <c r="AA2199" i="7"/>
  <c r="AA2243" i="7"/>
  <c r="AB2243" i="7"/>
  <c r="AH2260" i="7"/>
  <c r="AA2261" i="7"/>
  <c r="AB2261" i="7"/>
  <c r="AH2278" i="7"/>
  <c r="AA2279" i="7"/>
  <c r="AB2279" i="7"/>
  <c r="Z2302" i="7"/>
  <c r="AA2359" i="7"/>
  <c r="AB2359" i="7"/>
  <c r="Z2362" i="7"/>
  <c r="B2301" i="7"/>
  <c r="R2304" i="7"/>
  <c r="B2319" i="7"/>
  <c r="J2323" i="7"/>
  <c r="AH2326" i="7"/>
  <c r="B2328" i="7"/>
  <c r="J2332" i="7"/>
  <c r="AH2335" i="7"/>
  <c r="B2337" i="7"/>
  <c r="J2341" i="7"/>
  <c r="AA2342" i="7"/>
  <c r="AB2342" i="7"/>
  <c r="AH2347" i="7"/>
  <c r="B2352" i="7"/>
  <c r="R2355" i="7"/>
  <c r="AP2355" i="7"/>
  <c r="J2359" i="7"/>
  <c r="AA2360" i="7"/>
  <c r="AB2360" i="7"/>
  <c r="B2370" i="7"/>
  <c r="B2373" i="7"/>
  <c r="B2376" i="7"/>
  <c r="B2379" i="7"/>
  <c r="B2382" i="7"/>
  <c r="B2385" i="7"/>
  <c r="B2388" i="7"/>
  <c r="B2391" i="7"/>
  <c r="B2397" i="7"/>
  <c r="B2403" i="7"/>
  <c r="B2409" i="7"/>
  <c r="B2415" i="7"/>
  <c r="B2421" i="7"/>
  <c r="B2427" i="7"/>
  <c r="B2433" i="7"/>
  <c r="B2439" i="7"/>
  <c r="B2445" i="7"/>
  <c r="B2451" i="7"/>
  <c r="B2457" i="7"/>
  <c r="B2463" i="7"/>
  <c r="AB2470" i="7"/>
  <c r="AA2470" i="7"/>
  <c r="J2477" i="7"/>
  <c r="AH2491" i="7"/>
  <c r="J2495" i="7"/>
  <c r="AH2296" i="7"/>
  <c r="AH2329" i="7"/>
  <c r="AH2338" i="7"/>
  <c r="AA2348" i="7"/>
  <c r="AB2348" i="7"/>
  <c r="AH2353" i="7"/>
  <c r="AA2366" i="7"/>
  <c r="AB2366" i="7"/>
  <c r="Z2368" i="7"/>
  <c r="AH2371" i="7"/>
  <c r="AH2377" i="7"/>
  <c r="AH2380" i="7"/>
  <c r="AH2383" i="7"/>
  <c r="AH2386" i="7"/>
  <c r="AH2389" i="7"/>
  <c r="AH2392" i="7"/>
  <c r="AA2393" i="7"/>
  <c r="AB2393" i="7"/>
  <c r="AH2398" i="7"/>
  <c r="AA2399" i="7"/>
  <c r="AB2399" i="7"/>
  <c r="AH2404" i="7"/>
  <c r="AA2405" i="7"/>
  <c r="AB2405" i="7"/>
  <c r="AH2410" i="7"/>
  <c r="AA2411" i="7"/>
  <c r="AB2411" i="7"/>
  <c r="AH2416" i="7"/>
  <c r="AA2417" i="7"/>
  <c r="AB2417" i="7"/>
  <c r="AH2422" i="7"/>
  <c r="AA2423" i="7"/>
  <c r="AB2423" i="7"/>
  <c r="AH2428" i="7"/>
  <c r="AA2429" i="7"/>
  <c r="AB2429" i="7"/>
  <c r="AH2434" i="7"/>
  <c r="AA2435" i="7"/>
  <c r="AB2435" i="7"/>
  <c r="AH2440" i="7"/>
  <c r="AA2441" i="7"/>
  <c r="AB2441" i="7"/>
  <c r="AH2446" i="7"/>
  <c r="AA2447" i="7"/>
  <c r="AB2447" i="7"/>
  <c r="AH2452" i="7"/>
  <c r="AA2453" i="7"/>
  <c r="AB2453" i="7"/>
  <c r="AH2458" i="7"/>
  <c r="AA2459" i="7"/>
  <c r="AB2459" i="7"/>
  <c r="AH2464" i="7"/>
  <c r="AA2505" i="7"/>
  <c r="AB2505" i="7"/>
  <c r="AA2205" i="7"/>
  <c r="Z2205" i="7" s="1"/>
  <c r="AA2208" i="7"/>
  <c r="Z2208" i="7" s="1"/>
  <c r="AA2211" i="7"/>
  <c r="Z2211" i="7" s="1"/>
  <c r="AA2214" i="7"/>
  <c r="Z2214" i="7" s="1"/>
  <c r="AA2217" i="7"/>
  <c r="Z2217" i="7" s="1"/>
  <c r="AA2220" i="7"/>
  <c r="Z2220" i="7" s="1"/>
  <c r="AA2223" i="7"/>
  <c r="Z2223" i="7" s="1"/>
  <c r="AA2226" i="7"/>
  <c r="Z2226" i="7" s="1"/>
  <c r="AA2229" i="7"/>
  <c r="Z2229" i="7" s="1"/>
  <c r="AA2232" i="7"/>
  <c r="Z2232" i="7" s="1"/>
  <c r="AA2235" i="7"/>
  <c r="Z2235" i="7" s="1"/>
  <c r="AA2238" i="7"/>
  <c r="Z2238" i="7" s="1"/>
  <c r="AA2241" i="7"/>
  <c r="Z2241" i="7" s="1"/>
  <c r="AA2244" i="7"/>
  <c r="Z2244" i="7" s="1"/>
  <c r="AA2247" i="7"/>
  <c r="Z2247" i="7" s="1"/>
  <c r="AA2250" i="7"/>
  <c r="Z2250" i="7" s="1"/>
  <c r="AA2253" i="7"/>
  <c r="Z2253" i="7" s="1"/>
  <c r="AA2256" i="7"/>
  <c r="Z2256" i="7" s="1"/>
  <c r="AA2259" i="7"/>
  <c r="Z2259" i="7" s="1"/>
  <c r="AA2262" i="7"/>
  <c r="Z2262" i="7" s="1"/>
  <c r="AA2265" i="7"/>
  <c r="Z2265" i="7" s="1"/>
  <c r="AA2268" i="7"/>
  <c r="Z2268" i="7" s="1"/>
  <c r="AA2271" i="7"/>
  <c r="Z2271" i="7" s="1"/>
  <c r="AA2274" i="7"/>
  <c r="Z2274" i="7" s="1"/>
  <c r="AA2277" i="7"/>
  <c r="Z2277" i="7" s="1"/>
  <c r="AA2280" i="7"/>
  <c r="Z2280" i="7" s="1"/>
  <c r="AA2283" i="7"/>
  <c r="Z2283" i="7" s="1"/>
  <c r="AA2286" i="7"/>
  <c r="Z2286" i="7" s="1"/>
  <c r="AI2289" i="7"/>
  <c r="AH2289" i="7" s="1"/>
  <c r="AI2291" i="7"/>
  <c r="AH2291" i="7" s="1"/>
  <c r="B2292" i="7"/>
  <c r="AA2293" i="7"/>
  <c r="Z2293" i="7" s="1"/>
  <c r="R2295" i="7"/>
  <c r="AI2299" i="7"/>
  <c r="AH2299" i="7" s="1"/>
  <c r="AB2303" i="7"/>
  <c r="Z2303" i="7" s="1"/>
  <c r="AI2307" i="7"/>
  <c r="AH2307" i="7" s="1"/>
  <c r="AI2309" i="7"/>
  <c r="AH2309" i="7" s="1"/>
  <c r="B2310" i="7"/>
  <c r="AA2311" i="7"/>
  <c r="Z2311" i="7" s="1"/>
  <c r="R2313" i="7"/>
  <c r="AI2317" i="7"/>
  <c r="AH2317" i="7" s="1"/>
  <c r="AA2320" i="7"/>
  <c r="Z2320" i="7" s="1"/>
  <c r="AI2322" i="7"/>
  <c r="AH2322" i="7" s="1"/>
  <c r="AJ2323" i="7"/>
  <c r="R2325" i="7"/>
  <c r="AP2325" i="7"/>
  <c r="AA2327" i="7"/>
  <c r="AB2327" i="7"/>
  <c r="AA2329" i="7"/>
  <c r="Z2329" i="7" s="1"/>
  <c r="AI2331" i="7"/>
  <c r="AH2331" i="7" s="1"/>
  <c r="AJ2332" i="7"/>
  <c r="AH2332" i="7" s="1"/>
  <c r="R2334" i="7"/>
  <c r="AP2334" i="7"/>
  <c r="AA2336" i="7"/>
  <c r="AB2336" i="7"/>
  <c r="AA2338" i="7"/>
  <c r="Z2338" i="7" s="1"/>
  <c r="AI2340" i="7"/>
  <c r="AH2340" i="7" s="1"/>
  <c r="AJ2341" i="7"/>
  <c r="B2343" i="7"/>
  <c r="R2346" i="7"/>
  <c r="AP2346" i="7"/>
  <c r="J2350" i="7"/>
  <c r="AA2351" i="7"/>
  <c r="AB2351" i="7"/>
  <c r="AA2353" i="7"/>
  <c r="Z2353" i="7" s="1"/>
  <c r="AJ2359" i="7"/>
  <c r="AH2359" i="7" s="1"/>
  <c r="B2361" i="7"/>
  <c r="R2364" i="7"/>
  <c r="AP2364" i="7"/>
  <c r="J2368" i="7"/>
  <c r="AA2369" i="7"/>
  <c r="AB2369" i="7"/>
  <c r="Z2374" i="7"/>
  <c r="Z2377" i="7"/>
  <c r="Z2380" i="7"/>
  <c r="B2394" i="7"/>
  <c r="B2400" i="7"/>
  <c r="B2406" i="7"/>
  <c r="B2412" i="7"/>
  <c r="B2418" i="7"/>
  <c r="B2424" i="7"/>
  <c r="B2430" i="7"/>
  <c r="B2436" i="7"/>
  <c r="B2442" i="7"/>
  <c r="B2448" i="7"/>
  <c r="B2454" i="7"/>
  <c r="B2460" i="7"/>
  <c r="AP2467" i="7"/>
  <c r="Z2471" i="7"/>
  <c r="B2473" i="7"/>
  <c r="AH2480" i="7"/>
  <c r="AB2288" i="7"/>
  <c r="Z2288" i="7" s="1"/>
  <c r="AI2294" i="7"/>
  <c r="AH2294" i="7" s="1"/>
  <c r="B2295" i="7"/>
  <c r="R2298" i="7"/>
  <c r="AH2302" i="7"/>
  <c r="AB2306" i="7"/>
  <c r="Z2306" i="7" s="1"/>
  <c r="AI2312" i="7"/>
  <c r="AH2312" i="7" s="1"/>
  <c r="B2313" i="7"/>
  <c r="R2316" i="7"/>
  <c r="J2320" i="7"/>
  <c r="AH2323" i="7"/>
  <c r="B2325" i="7"/>
  <c r="J2329" i="7"/>
  <c r="B2334" i="7"/>
  <c r="J2338" i="7"/>
  <c r="AH2341" i="7"/>
  <c r="AJ2344" i="7"/>
  <c r="B2346" i="7"/>
  <c r="R2349" i="7"/>
  <c r="AP2349" i="7"/>
  <c r="J2353" i="7"/>
  <c r="AA2354" i="7"/>
  <c r="AB2354" i="7"/>
  <c r="Z2356" i="7"/>
  <c r="AJ2362" i="7"/>
  <c r="AH2362" i="7" s="1"/>
  <c r="B2364" i="7"/>
  <c r="R2367" i="7"/>
  <c r="AP2367" i="7"/>
  <c r="J2371" i="7"/>
  <c r="AA2372" i="7"/>
  <c r="AB2372" i="7"/>
  <c r="J2374" i="7"/>
  <c r="AA2375" i="7"/>
  <c r="AB2375" i="7"/>
  <c r="J2377" i="7"/>
  <c r="AA2378" i="7"/>
  <c r="AB2378" i="7"/>
  <c r="J2380" i="7"/>
  <c r="AA2381" i="7"/>
  <c r="AB2381" i="7"/>
  <c r="AA2384" i="7"/>
  <c r="AB2384" i="7"/>
  <c r="AA2387" i="7"/>
  <c r="AB2387" i="7"/>
  <c r="AA2390" i="7"/>
  <c r="AB2390" i="7"/>
  <c r="AA2321" i="7"/>
  <c r="AB2321" i="7"/>
  <c r="AA2330" i="7"/>
  <c r="AB2330" i="7"/>
  <c r="AA2339" i="7"/>
  <c r="AB2339" i="7"/>
  <c r="AH2344" i="7"/>
  <c r="AA2357" i="7"/>
  <c r="AB2357" i="7"/>
  <c r="AA2396" i="7"/>
  <c r="AB2396" i="7"/>
  <c r="AA2402" i="7"/>
  <c r="AB2402" i="7"/>
  <c r="AA2408" i="7"/>
  <c r="AB2408" i="7"/>
  <c r="AH2413" i="7"/>
  <c r="AA2414" i="7"/>
  <c r="AB2414" i="7"/>
  <c r="AH2419" i="7"/>
  <c r="AA2420" i="7"/>
  <c r="AB2420" i="7"/>
  <c r="AH2425" i="7"/>
  <c r="AA2426" i="7"/>
  <c r="AB2426" i="7"/>
  <c r="AH2431" i="7"/>
  <c r="AA2432" i="7"/>
  <c r="AB2432" i="7"/>
  <c r="AH2437" i="7"/>
  <c r="AA2438" i="7"/>
  <c r="AB2438" i="7"/>
  <c r="AA2444" i="7"/>
  <c r="AB2444" i="7"/>
  <c r="AA2450" i="7"/>
  <c r="AB2450" i="7"/>
  <c r="AA2456" i="7"/>
  <c r="AB2456" i="7"/>
  <c r="AH2461" i="7"/>
  <c r="AA2462" i="7"/>
  <c r="AB2462" i="7"/>
  <c r="AH2486" i="7"/>
  <c r="AI2502" i="7"/>
  <c r="AJ2502" i="7"/>
  <c r="R2465" i="7"/>
  <c r="J2469" i="7"/>
  <c r="J2478" i="7"/>
  <c r="R2479" i="7"/>
  <c r="J2484" i="7"/>
  <c r="R2485" i="7"/>
  <c r="J2490" i="7"/>
  <c r="R2491" i="7"/>
  <c r="J2496" i="7"/>
  <c r="R2497" i="7"/>
  <c r="AP2501" i="7"/>
  <c r="B2503" i="7"/>
  <c r="AI2511" i="7"/>
  <c r="AJ2511" i="7"/>
  <c r="AP2513" i="7"/>
  <c r="J2517" i="7"/>
  <c r="R2530" i="7"/>
  <c r="AB2539" i="7"/>
  <c r="AA2539" i="7"/>
  <c r="R2547" i="7"/>
  <c r="AI2478" i="7"/>
  <c r="AJ2478" i="7"/>
  <c r="AI2484" i="7"/>
  <c r="AJ2484" i="7"/>
  <c r="AI2490" i="7"/>
  <c r="AJ2490" i="7"/>
  <c r="AI2496" i="7"/>
  <c r="AJ2496" i="7"/>
  <c r="AI2517" i="7"/>
  <c r="AJ2517" i="7"/>
  <c r="Z2523" i="7"/>
  <c r="AA2526" i="7"/>
  <c r="AB2526" i="7"/>
  <c r="Z2543" i="7"/>
  <c r="AH2555" i="7"/>
  <c r="AI2618" i="7"/>
  <c r="AJ2618" i="7"/>
  <c r="Z2475" i="7"/>
  <c r="Z2481" i="7"/>
  <c r="Z2487" i="7"/>
  <c r="Z2499" i="7"/>
  <c r="AI2505" i="7"/>
  <c r="AJ2505" i="7"/>
  <c r="AI2520" i="7"/>
  <c r="AJ2520" i="7"/>
  <c r="Z2531" i="7"/>
  <c r="AB2542" i="7"/>
  <c r="AA2542" i="7"/>
  <c r="AB2544" i="7"/>
  <c r="AA2544" i="7"/>
  <c r="AI2585" i="7"/>
  <c r="AJ2585" i="7"/>
  <c r="AI2393" i="7"/>
  <c r="AH2393" i="7" s="1"/>
  <c r="AI2396" i="7"/>
  <c r="AH2396" i="7" s="1"/>
  <c r="AI2399" i="7"/>
  <c r="AH2399" i="7" s="1"/>
  <c r="AI2402" i="7"/>
  <c r="AH2402" i="7" s="1"/>
  <c r="AI2405" i="7"/>
  <c r="AH2405" i="7" s="1"/>
  <c r="AI2408" i="7"/>
  <c r="AH2408" i="7" s="1"/>
  <c r="AI2411" i="7"/>
  <c r="AH2411" i="7" s="1"/>
  <c r="AI2414" i="7"/>
  <c r="AH2414" i="7" s="1"/>
  <c r="AI2417" i="7"/>
  <c r="AH2417" i="7" s="1"/>
  <c r="AI2420" i="7"/>
  <c r="AH2420" i="7" s="1"/>
  <c r="AI2423" i="7"/>
  <c r="AH2423" i="7" s="1"/>
  <c r="AI2426" i="7"/>
  <c r="AH2426" i="7" s="1"/>
  <c r="AI2429" i="7"/>
  <c r="AH2429" i="7" s="1"/>
  <c r="AI2432" i="7"/>
  <c r="AH2432" i="7" s="1"/>
  <c r="AI2435" i="7"/>
  <c r="AH2435" i="7" s="1"/>
  <c r="AI2438" i="7"/>
  <c r="AH2438" i="7" s="1"/>
  <c r="AI2441" i="7"/>
  <c r="AH2441" i="7" s="1"/>
  <c r="AI2444" i="7"/>
  <c r="AH2444" i="7" s="1"/>
  <c r="AI2447" i="7"/>
  <c r="AH2447" i="7" s="1"/>
  <c r="AI2450" i="7"/>
  <c r="AH2450" i="7" s="1"/>
  <c r="AI2453" i="7"/>
  <c r="AH2453" i="7" s="1"/>
  <c r="AI2456" i="7"/>
  <c r="AH2456" i="7" s="1"/>
  <c r="AI2459" i="7"/>
  <c r="AH2459" i="7" s="1"/>
  <c r="AI2462" i="7"/>
  <c r="AH2462" i="7" s="1"/>
  <c r="AH2469" i="7"/>
  <c r="Z2511" i="7"/>
  <c r="AI2523" i="7"/>
  <c r="AJ2523" i="7"/>
  <c r="AA2528" i="7"/>
  <c r="AB2528" i="7"/>
  <c r="AH2546" i="7"/>
  <c r="Z2561" i="7"/>
  <c r="AJ2472" i="7"/>
  <c r="AH2472" i="7" s="1"/>
  <c r="AI2475" i="7"/>
  <c r="AJ2475" i="7"/>
  <c r="AB2478" i="7"/>
  <c r="Z2478" i="7" s="1"/>
  <c r="AI2481" i="7"/>
  <c r="AJ2481" i="7"/>
  <c r="AB2484" i="7"/>
  <c r="Z2484" i="7" s="1"/>
  <c r="AI2487" i="7"/>
  <c r="AJ2487" i="7"/>
  <c r="AB2490" i="7"/>
  <c r="Z2490" i="7" s="1"/>
  <c r="AI2493" i="7"/>
  <c r="AJ2493" i="7"/>
  <c r="AB2496" i="7"/>
  <c r="Z2496" i="7" s="1"/>
  <c r="AI2499" i="7"/>
  <c r="AJ2499" i="7"/>
  <c r="J2502" i="7"/>
  <c r="Z2502" i="7"/>
  <c r="R2503" i="7"/>
  <c r="AI2508" i="7"/>
  <c r="AJ2508" i="7"/>
  <c r="AP2510" i="7"/>
  <c r="J2514" i="7"/>
  <c r="Z2514" i="7"/>
  <c r="AI2531" i="7"/>
  <c r="AJ2531" i="7"/>
  <c r="AH2545" i="7"/>
  <c r="AB2560" i="7"/>
  <c r="AA2560" i="7"/>
  <c r="AI2570" i="7"/>
  <c r="AJ2570" i="7"/>
  <c r="AI2603" i="7"/>
  <c r="AH2603" i="7" s="1"/>
  <c r="AJ2603" i="7"/>
  <c r="AP2540" i="7"/>
  <c r="AP2548" i="7"/>
  <c r="AP2557" i="7"/>
  <c r="AB2562" i="7"/>
  <c r="AA2562" i="7"/>
  <c r="J2564" i="7"/>
  <c r="B2568" i="7"/>
  <c r="AP2569" i="7"/>
  <c r="AI2573" i="7"/>
  <c r="AJ2573" i="7"/>
  <c r="AH2575" i="7"/>
  <c r="R2580" i="7"/>
  <c r="AP2584" i="7"/>
  <c r="AP2593" i="7"/>
  <c r="AP2602" i="7"/>
  <c r="Z2609" i="7"/>
  <c r="J2612" i="7"/>
  <c r="AP2614" i="7"/>
  <c r="Z2579" i="7"/>
  <c r="AI2615" i="7"/>
  <c r="AJ2615" i="7"/>
  <c r="AA2621" i="7"/>
  <c r="AB2621" i="7"/>
  <c r="Z2538" i="7"/>
  <c r="Z2567" i="7"/>
  <c r="AI2582" i="7"/>
  <c r="AJ2582" i="7"/>
  <c r="AI2591" i="7"/>
  <c r="AJ2591" i="7"/>
  <c r="AI2600" i="7"/>
  <c r="AJ2600" i="7"/>
  <c r="Z2606" i="7"/>
  <c r="AI2612" i="7"/>
  <c r="AJ2612" i="7"/>
  <c r="AA2473" i="7"/>
  <c r="Z2473" i="7" s="1"/>
  <c r="AA2476" i="7"/>
  <c r="Z2476" i="7" s="1"/>
  <c r="AA2479" i="7"/>
  <c r="Z2479" i="7" s="1"/>
  <c r="AA2482" i="7"/>
  <c r="Z2482" i="7" s="1"/>
  <c r="AA2485" i="7"/>
  <c r="Z2485" i="7" s="1"/>
  <c r="AA2488" i="7"/>
  <c r="Z2488" i="7" s="1"/>
  <c r="AA2491" i="7"/>
  <c r="Z2491" i="7" s="1"/>
  <c r="AA2494" i="7"/>
  <c r="Z2494" i="7" s="1"/>
  <c r="AA2497" i="7"/>
  <c r="Z2497" i="7" s="1"/>
  <c r="AA2500" i="7"/>
  <c r="Z2500" i="7" s="1"/>
  <c r="AA2503" i="7"/>
  <c r="Z2503" i="7" s="1"/>
  <c r="AA2506" i="7"/>
  <c r="Z2506" i="7" s="1"/>
  <c r="AA2509" i="7"/>
  <c r="Z2509" i="7" s="1"/>
  <c r="AA2512" i="7"/>
  <c r="Z2512" i="7" s="1"/>
  <c r="AA2515" i="7"/>
  <c r="Z2515" i="7" s="1"/>
  <c r="AA2518" i="7"/>
  <c r="Z2518" i="7" s="1"/>
  <c r="AA2521" i="7"/>
  <c r="Z2521" i="7" s="1"/>
  <c r="AA2524" i="7"/>
  <c r="Z2524" i="7" s="1"/>
  <c r="AJ2526" i="7"/>
  <c r="AH2526" i="7" s="1"/>
  <c r="AI2528" i="7"/>
  <c r="AH2528" i="7" s="1"/>
  <c r="AA2533" i="7"/>
  <c r="Z2533" i="7" s="1"/>
  <c r="AP2534" i="7"/>
  <c r="J2538" i="7"/>
  <c r="AA2541" i="7"/>
  <c r="Z2541" i="7" s="1"/>
  <c r="AP2545" i="7"/>
  <c r="AA2548" i="7"/>
  <c r="Z2548" i="7" s="1"/>
  <c r="AA2549" i="7"/>
  <c r="Z2549" i="7" s="1"/>
  <c r="AA2550" i="7"/>
  <c r="Z2550" i="7" s="1"/>
  <c r="AP2554" i="7"/>
  <c r="AA2557" i="7"/>
  <c r="Z2557" i="7" s="1"/>
  <c r="AA2558" i="7"/>
  <c r="Z2558" i="7" s="1"/>
  <c r="AA2559" i="7"/>
  <c r="Z2559" i="7" s="1"/>
  <c r="AH2564" i="7"/>
  <c r="AB2565" i="7"/>
  <c r="AA2565" i="7"/>
  <c r="J2567" i="7"/>
  <c r="R2568" i="7"/>
  <c r="AB2570" i="7"/>
  <c r="Z2570" i="7" s="1"/>
  <c r="J2573" i="7"/>
  <c r="Z2573" i="7"/>
  <c r="B2574" i="7"/>
  <c r="AP2575" i="7"/>
  <c r="AI2579" i="7"/>
  <c r="AJ2579" i="7"/>
  <c r="AP2587" i="7"/>
  <c r="AP2596" i="7"/>
  <c r="AP2605" i="7"/>
  <c r="AI2609" i="7"/>
  <c r="AJ2609" i="7"/>
  <c r="Z2615" i="7"/>
  <c r="J2618" i="7"/>
  <c r="AJ2651" i="7"/>
  <c r="AI2651" i="7"/>
  <c r="AJ2529" i="7"/>
  <c r="AH2529" i="7" s="1"/>
  <c r="AA2536" i="7"/>
  <c r="Z2536" i="7" s="1"/>
  <c r="AP2537" i="7"/>
  <c r="AJ2543" i="7"/>
  <c r="AH2543" i="7" s="1"/>
  <c r="J2549" i="7"/>
  <c r="AJ2552" i="7"/>
  <c r="AH2552" i="7" s="1"/>
  <c r="J2558" i="7"/>
  <c r="AJ2561" i="7"/>
  <c r="AH2561" i="7" s="1"/>
  <c r="AP2566" i="7"/>
  <c r="J2570" i="7"/>
  <c r="B2571" i="7"/>
  <c r="AP2572" i="7"/>
  <c r="AI2576" i="7"/>
  <c r="AJ2576" i="7"/>
  <c r="AH2578" i="7"/>
  <c r="J2585" i="7"/>
  <c r="AI2588" i="7"/>
  <c r="AJ2588" i="7"/>
  <c r="J2594" i="7"/>
  <c r="AI2597" i="7"/>
  <c r="AJ2597" i="7"/>
  <c r="J2603" i="7"/>
  <c r="AI2606" i="7"/>
  <c r="AJ2606" i="7"/>
  <c r="J2615" i="7"/>
  <c r="AP2617" i="7"/>
  <c r="J2628" i="7"/>
  <c r="J2631" i="7"/>
  <c r="J2634" i="7"/>
  <c r="AJ2648" i="7"/>
  <c r="AI2648" i="7"/>
  <c r="AH2653" i="7"/>
  <c r="AH2711" i="7"/>
  <c r="AH2622" i="7"/>
  <c r="AJ2628" i="7"/>
  <c r="AI2628" i="7"/>
  <c r="AJ2631" i="7"/>
  <c r="AI2631" i="7"/>
  <c r="AJ2634" i="7"/>
  <c r="AI2634" i="7"/>
  <c r="AJ2636" i="7"/>
  <c r="AI2636" i="7"/>
  <c r="Z2642" i="7"/>
  <c r="AJ2654" i="7"/>
  <c r="AI2654" i="7"/>
  <c r="B2622" i="7"/>
  <c r="J2625" i="7"/>
  <c r="AJ2639" i="7"/>
  <c r="AI2639" i="7"/>
  <c r="AH2644" i="7"/>
  <c r="Z2645" i="7"/>
  <c r="AJ2657" i="7"/>
  <c r="AI2657" i="7"/>
  <c r="AH2692" i="7"/>
  <c r="AA2568" i="7"/>
  <c r="Z2568" i="7" s="1"/>
  <c r="AA2571" i="7"/>
  <c r="Z2571" i="7" s="1"/>
  <c r="AA2574" i="7"/>
  <c r="Z2574" i="7" s="1"/>
  <c r="AA2577" i="7"/>
  <c r="Z2577" i="7" s="1"/>
  <c r="AA2580" i="7"/>
  <c r="Z2580" i="7" s="1"/>
  <c r="AA2583" i="7"/>
  <c r="Z2583" i="7" s="1"/>
  <c r="AA2586" i="7"/>
  <c r="Z2586" i="7" s="1"/>
  <c r="AA2589" i="7"/>
  <c r="Z2589" i="7" s="1"/>
  <c r="AA2592" i="7"/>
  <c r="Z2592" i="7" s="1"/>
  <c r="AA2595" i="7"/>
  <c r="Z2595" i="7" s="1"/>
  <c r="AA2598" i="7"/>
  <c r="Z2598" i="7" s="1"/>
  <c r="AA2601" i="7"/>
  <c r="Z2601" i="7" s="1"/>
  <c r="AA2604" i="7"/>
  <c r="Z2604" i="7" s="1"/>
  <c r="AA2607" i="7"/>
  <c r="Z2607" i="7" s="1"/>
  <c r="AA2610" i="7"/>
  <c r="Z2610" i="7" s="1"/>
  <c r="AA2613" i="7"/>
  <c r="Z2613" i="7" s="1"/>
  <c r="AA2616" i="7"/>
  <c r="Z2616" i="7" s="1"/>
  <c r="AA2619" i="7"/>
  <c r="Z2619" i="7" s="1"/>
  <c r="AJ2642" i="7"/>
  <c r="AI2642" i="7"/>
  <c r="AH2698" i="7"/>
  <c r="AH2701" i="7"/>
  <c r="AH2704" i="7"/>
  <c r="J2622" i="7"/>
  <c r="AB2623" i="7"/>
  <c r="AA2623" i="7"/>
  <c r="AP2624" i="7"/>
  <c r="AJ2625" i="7"/>
  <c r="AH2625" i="7" s="1"/>
  <c r="AI2627" i="7"/>
  <c r="AH2627" i="7" s="1"/>
  <c r="AI2630" i="7"/>
  <c r="AH2630" i="7" s="1"/>
  <c r="AI2633" i="7"/>
  <c r="AH2633" i="7" s="1"/>
  <c r="AJ2645" i="7"/>
  <c r="AI2645" i="7"/>
  <c r="AH2650" i="7"/>
  <c r="Z2651" i="7"/>
  <c r="AH2707" i="7"/>
  <c r="Z2715" i="7"/>
  <c r="AH2726" i="7"/>
  <c r="AA2626" i="7"/>
  <c r="Z2626" i="7" s="1"/>
  <c r="AA2629" i="7"/>
  <c r="Z2629" i="7" s="1"/>
  <c r="AA2632" i="7"/>
  <c r="Z2632" i="7" s="1"/>
  <c r="AA2635" i="7"/>
  <c r="Z2635" i="7" s="1"/>
  <c r="AA2638" i="7"/>
  <c r="Z2638" i="7" s="1"/>
  <c r="AA2641" i="7"/>
  <c r="Z2641" i="7" s="1"/>
  <c r="AA2644" i="7"/>
  <c r="Z2644" i="7" s="1"/>
  <c r="AA2647" i="7"/>
  <c r="Z2647" i="7" s="1"/>
  <c r="AA2650" i="7"/>
  <c r="Z2650" i="7" s="1"/>
  <c r="AA2653" i="7"/>
  <c r="Z2653" i="7" s="1"/>
  <c r="AA2656" i="7"/>
  <c r="Z2656" i="7" s="1"/>
  <c r="AA2659" i="7"/>
  <c r="Z2659" i="7" s="1"/>
  <c r="AA2662" i="7"/>
  <c r="Z2662" i="7" s="1"/>
  <c r="AA2665" i="7"/>
  <c r="Z2665" i="7" s="1"/>
  <c r="AA2668" i="7"/>
  <c r="Z2668" i="7" s="1"/>
  <c r="AA2671" i="7"/>
  <c r="Z2671" i="7" s="1"/>
  <c r="AA2674" i="7"/>
  <c r="Z2674" i="7" s="1"/>
  <c r="AA2677" i="7"/>
  <c r="Z2677" i="7" s="1"/>
  <c r="AA2680" i="7"/>
  <c r="Z2680" i="7" s="1"/>
  <c r="AA2683" i="7"/>
  <c r="Z2683" i="7" s="1"/>
  <c r="AA2686" i="7"/>
  <c r="Z2686" i="7" s="1"/>
  <c r="AA2689" i="7"/>
  <c r="Z2689" i="7" s="1"/>
  <c r="AA2692" i="7"/>
  <c r="Z2692" i="7" s="1"/>
  <c r="AA2695" i="7"/>
  <c r="Z2695" i="7" s="1"/>
  <c r="AA2698" i="7"/>
  <c r="Z2698" i="7" s="1"/>
  <c r="AA2701" i="7"/>
  <c r="Z2701" i="7" s="1"/>
  <c r="AA2704" i="7"/>
  <c r="Z2704" i="7" s="1"/>
  <c r="AA2707" i="7"/>
  <c r="Z2707" i="7" s="1"/>
  <c r="AA2709" i="7"/>
  <c r="Z2709" i="7" s="1"/>
  <c r="AA2711" i="7"/>
  <c r="Z2711" i="7" s="1"/>
  <c r="AJ2712" i="7"/>
  <c r="AH2712" i="7" s="1"/>
  <c r="J2715" i="7"/>
  <c r="AI2717" i="7"/>
  <c r="AH2717" i="7" s="1"/>
  <c r="AJ2718" i="7"/>
  <c r="AH2718" i="7" s="1"/>
  <c r="J2721" i="7"/>
  <c r="Z2721" i="7"/>
  <c r="R2722" i="7"/>
  <c r="AJ2724" i="7"/>
  <c r="AI2724" i="7"/>
  <c r="AP2729" i="7"/>
  <c r="B2731" i="7"/>
  <c r="AP2735" i="7"/>
  <c r="AP2741" i="7"/>
  <c r="AI2637" i="7"/>
  <c r="AH2637" i="7" s="1"/>
  <c r="AI2640" i="7"/>
  <c r="AH2640" i="7" s="1"/>
  <c r="AI2643" i="7"/>
  <c r="AH2643" i="7" s="1"/>
  <c r="AI2646" i="7"/>
  <c r="AH2646" i="7" s="1"/>
  <c r="AI2649" i="7"/>
  <c r="AH2649" i="7" s="1"/>
  <c r="AI2652" i="7"/>
  <c r="AH2652" i="7" s="1"/>
  <c r="AI2655" i="7"/>
  <c r="AH2655" i="7" s="1"/>
  <c r="AI2658" i="7"/>
  <c r="AH2658" i="7" s="1"/>
  <c r="AI2661" i="7"/>
  <c r="AH2661" i="7" s="1"/>
  <c r="AI2664" i="7"/>
  <c r="AH2664" i="7" s="1"/>
  <c r="AI2667" i="7"/>
  <c r="AH2667" i="7" s="1"/>
  <c r="AI2670" i="7"/>
  <c r="AH2670" i="7" s="1"/>
  <c r="AI2673" i="7"/>
  <c r="AH2673" i="7" s="1"/>
  <c r="AI2676" i="7"/>
  <c r="AH2676" i="7" s="1"/>
  <c r="AI2679" i="7"/>
  <c r="AH2679" i="7" s="1"/>
  <c r="AI2682" i="7"/>
  <c r="AH2682" i="7" s="1"/>
  <c r="AI2685" i="7"/>
  <c r="AH2685" i="7" s="1"/>
  <c r="AI2688" i="7"/>
  <c r="AH2688" i="7" s="1"/>
  <c r="AI2691" i="7"/>
  <c r="AH2691" i="7" s="1"/>
  <c r="AI2694" i="7"/>
  <c r="AH2694" i="7" s="1"/>
  <c r="AI2697" i="7"/>
  <c r="AH2697" i="7" s="1"/>
  <c r="AI2700" i="7"/>
  <c r="AH2700" i="7" s="1"/>
  <c r="AI2703" i="7"/>
  <c r="AH2703" i="7" s="1"/>
  <c r="AI2706" i="7"/>
  <c r="AH2706" i="7" s="1"/>
  <c r="J2709" i="7"/>
  <c r="AA2712" i="7"/>
  <c r="Z2712" i="7" s="1"/>
  <c r="AP2714" i="7"/>
  <c r="AB2716" i="7"/>
  <c r="AA2716" i="7"/>
  <c r="AP2720" i="7"/>
  <c r="B2722" i="7"/>
  <c r="AI2723" i="7"/>
  <c r="AH2723" i="7" s="1"/>
  <c r="AB2727" i="7"/>
  <c r="AJ2730" i="7"/>
  <c r="AI2730" i="7"/>
  <c r="AJ2736" i="7"/>
  <c r="AI2736" i="7"/>
  <c r="AJ2742" i="7"/>
  <c r="AI2742" i="7"/>
  <c r="J2712" i="7"/>
  <c r="Z2718" i="7"/>
  <c r="AJ2721" i="7"/>
  <c r="AI2721" i="7"/>
  <c r="J2727" i="7"/>
  <c r="Z2727" i="7"/>
  <c r="R2728" i="7"/>
  <c r="J2733" i="7"/>
  <c r="J2739" i="7"/>
  <c r="AI2660" i="7"/>
  <c r="AH2660" i="7" s="1"/>
  <c r="AI2663" i="7"/>
  <c r="AH2663" i="7" s="1"/>
  <c r="AI2666" i="7"/>
  <c r="AH2666" i="7" s="1"/>
  <c r="AI2669" i="7"/>
  <c r="AH2669" i="7" s="1"/>
  <c r="AI2672" i="7"/>
  <c r="AH2672" i="7" s="1"/>
  <c r="AI2675" i="7"/>
  <c r="AH2675" i="7" s="1"/>
  <c r="AI2678" i="7"/>
  <c r="AH2678" i="7" s="1"/>
  <c r="AI2681" i="7"/>
  <c r="AH2681" i="7" s="1"/>
  <c r="AI2684" i="7"/>
  <c r="AH2684" i="7" s="1"/>
  <c r="AI2687" i="7"/>
  <c r="AH2687" i="7" s="1"/>
  <c r="AI2690" i="7"/>
  <c r="AH2690" i="7" s="1"/>
  <c r="AI2693" i="7"/>
  <c r="AH2693" i="7" s="1"/>
  <c r="AI2696" i="7"/>
  <c r="AH2696" i="7" s="1"/>
  <c r="AI2699" i="7"/>
  <c r="AH2699" i="7" s="1"/>
  <c r="AI2702" i="7"/>
  <c r="AH2702" i="7" s="1"/>
  <c r="AI2705" i="7"/>
  <c r="AH2705" i="7" s="1"/>
  <c r="AI2708" i="7"/>
  <c r="AH2708" i="7" s="1"/>
  <c r="AI2714" i="7"/>
  <c r="AH2714" i="7" s="1"/>
  <c r="AI2720" i="7"/>
  <c r="AH2720" i="7" s="1"/>
  <c r="AB2713" i="7"/>
  <c r="AA2713" i="7"/>
  <c r="AP2717" i="7"/>
  <c r="AB2719" i="7"/>
  <c r="AA2719" i="7"/>
  <c r="J2724" i="7"/>
  <c r="Z2724" i="7"/>
  <c r="R2725" i="7"/>
  <c r="AJ2727" i="7"/>
  <c r="AI2727" i="7"/>
  <c r="AB2730" i="7"/>
  <c r="Z2730" i="7" s="1"/>
  <c r="AJ2733" i="7"/>
  <c r="AI2733" i="7"/>
  <c r="AJ2739" i="7"/>
  <c r="AI2739" i="7"/>
  <c r="AB2785" i="7"/>
  <c r="AA2785" i="7"/>
  <c r="AJ2765" i="7"/>
  <c r="AI2765" i="7"/>
  <c r="J2766" i="7"/>
  <c r="AI2769" i="7"/>
  <c r="AJ2769" i="7"/>
  <c r="Z2758" i="7"/>
  <c r="AA2722" i="7"/>
  <c r="Z2722" i="7" s="1"/>
  <c r="AA2725" i="7"/>
  <c r="Z2725" i="7" s="1"/>
  <c r="AA2728" i="7"/>
  <c r="Z2728" i="7" s="1"/>
  <c r="AA2731" i="7"/>
  <c r="Z2731" i="7" s="1"/>
  <c r="AA2734" i="7"/>
  <c r="Z2734" i="7" s="1"/>
  <c r="AA2737" i="7"/>
  <c r="Z2737" i="7" s="1"/>
  <c r="AA2740" i="7"/>
  <c r="Z2740" i="7" s="1"/>
  <c r="AA2743" i="7"/>
  <c r="Z2743" i="7" s="1"/>
  <c r="AI2745" i="7"/>
  <c r="AH2745" i="7" s="1"/>
  <c r="J2758" i="7"/>
  <c r="AJ2761" i="7"/>
  <c r="AI2761" i="7"/>
  <c r="AB2764" i="7"/>
  <c r="AA2764" i="7"/>
  <c r="B2769" i="7"/>
  <c r="AP2771" i="7"/>
  <c r="R2772" i="7"/>
  <c r="AJ2774" i="7"/>
  <c r="AI2774" i="7"/>
  <c r="J2775" i="7"/>
  <c r="AA2792" i="7"/>
  <c r="AB2792" i="7"/>
  <c r="AA2745" i="7"/>
  <c r="Z2745" i="7" s="1"/>
  <c r="AJ2746" i="7"/>
  <c r="AH2746" i="7" s="1"/>
  <c r="AJ2749" i="7"/>
  <c r="AH2749" i="7" s="1"/>
  <c r="AP2751" i="7"/>
  <c r="AJ2755" i="7"/>
  <c r="AH2755" i="7" s="1"/>
  <c r="AP2757" i="7"/>
  <c r="AA2763" i="7"/>
  <c r="Z2763" i="7" s="1"/>
  <c r="AA2771" i="7"/>
  <c r="AB2771" i="7"/>
  <c r="AB2779" i="7"/>
  <c r="AA2779" i="7"/>
  <c r="AJ2790" i="7"/>
  <c r="AI2790" i="7"/>
  <c r="AA2748" i="7"/>
  <c r="Z2748" i="7" s="1"/>
  <c r="Z2749" i="7"/>
  <c r="AA2750" i="7"/>
  <c r="Z2750" i="7" s="1"/>
  <c r="AA2754" i="7"/>
  <c r="Z2754" i="7" s="1"/>
  <c r="Z2755" i="7"/>
  <c r="AA2756" i="7"/>
  <c r="Z2756" i="7" s="1"/>
  <c r="AA2760" i="7"/>
  <c r="Z2760" i="7" s="1"/>
  <c r="AB2761" i="7"/>
  <c r="Z2761" i="7" s="1"/>
  <c r="R2762" i="7"/>
  <c r="AP2763" i="7"/>
  <c r="AB2773" i="7"/>
  <c r="AA2773" i="7"/>
  <c r="AA2789" i="7"/>
  <c r="AB2789" i="7"/>
  <c r="AJ2793" i="7"/>
  <c r="AI2793" i="7"/>
  <c r="AA2795" i="7"/>
  <c r="AB2795" i="7"/>
  <c r="AJ2796" i="7"/>
  <c r="AI2796" i="7"/>
  <c r="AA2798" i="7"/>
  <c r="AB2798" i="7"/>
  <c r="AJ2799" i="7"/>
  <c r="AI2799" i="7"/>
  <c r="AA2801" i="7"/>
  <c r="AB2801" i="7"/>
  <c r="AJ2802" i="7"/>
  <c r="AI2802" i="7"/>
  <c r="AA2804" i="7"/>
  <c r="AB2804" i="7"/>
  <c r="AJ2805" i="7"/>
  <c r="AI2805" i="7"/>
  <c r="AA2807" i="7"/>
  <c r="AB2807" i="7"/>
  <c r="AJ2808" i="7"/>
  <c r="AI2808" i="7"/>
  <c r="AA2810" i="7"/>
  <c r="AB2810" i="7"/>
  <c r="AH2764" i="7"/>
  <c r="AP2765" i="7"/>
  <c r="R2766" i="7"/>
  <c r="J2769" i="7"/>
  <c r="B2772" i="7"/>
  <c r="Z2772" i="7"/>
  <c r="AH2773" i="7"/>
  <c r="AP2774" i="7"/>
  <c r="R2775" i="7"/>
  <c r="J2778" i="7"/>
  <c r="AA2780" i="7"/>
  <c r="AB2780" i="7"/>
  <c r="AP2780" i="7"/>
  <c r="R2781" i="7"/>
  <c r="B2784" i="7"/>
  <c r="Z2784" i="7"/>
  <c r="J2787" i="7"/>
  <c r="AH2788" i="7"/>
  <c r="B2790" i="7"/>
  <c r="Z2790" i="7"/>
  <c r="AH2791" i="7"/>
  <c r="B2793" i="7"/>
  <c r="AH2794" i="7"/>
  <c r="B2796" i="7"/>
  <c r="AH2797" i="7"/>
  <c r="B2799" i="7"/>
  <c r="Z2799" i="7"/>
  <c r="AH2800" i="7"/>
  <c r="B2802" i="7"/>
  <c r="Z2802" i="7"/>
  <c r="AH2803" i="7"/>
  <c r="B2805" i="7"/>
  <c r="Z2805" i="7"/>
  <c r="AH2806" i="7"/>
  <c r="B2808" i="7"/>
  <c r="Z2808" i="7"/>
  <c r="AH2809" i="7"/>
  <c r="B2811" i="7"/>
  <c r="AH2812" i="7"/>
  <c r="AH2813" i="7"/>
  <c r="AH2825" i="7"/>
  <c r="AH2834" i="7"/>
  <c r="AH2843" i="7"/>
  <c r="AH2852" i="7"/>
  <c r="AH2861" i="7"/>
  <c r="B2766" i="7"/>
  <c r="AH2767" i="7"/>
  <c r="AP2768" i="7"/>
  <c r="R2769" i="7"/>
  <c r="J2772" i="7"/>
  <c r="B2775" i="7"/>
  <c r="Z2775" i="7"/>
  <c r="AH2776" i="7"/>
  <c r="AP2777" i="7"/>
  <c r="R2778" i="7"/>
  <c r="B2781" i="7"/>
  <c r="Z2781" i="7"/>
  <c r="AA2782" i="7"/>
  <c r="Z2782" i="7" s="1"/>
  <c r="J2784" i="7"/>
  <c r="AA2786" i="7"/>
  <c r="AB2786" i="7"/>
  <c r="AP2786" i="7"/>
  <c r="R2787" i="7"/>
  <c r="J2790" i="7"/>
  <c r="J2793" i="7"/>
  <c r="J2796" i="7"/>
  <c r="J2799" i="7"/>
  <c r="J2802" i="7"/>
  <c r="J2805" i="7"/>
  <c r="J2808" i="7"/>
  <c r="Z2815" i="7"/>
  <c r="R2817" i="7"/>
  <c r="AH2822" i="7"/>
  <c r="AH2831" i="7"/>
  <c r="AH2840" i="7"/>
  <c r="AH2849" i="7"/>
  <c r="AJ2778" i="7"/>
  <c r="AH2778" i="7" s="1"/>
  <c r="AH2785" i="7"/>
  <c r="AJ2787" i="7"/>
  <c r="AH2787" i="7" s="1"/>
  <c r="Z2788" i="7"/>
  <c r="Z2791" i="7"/>
  <c r="Z2794" i="7"/>
  <c r="Z2797" i="7"/>
  <c r="Z2800" i="7"/>
  <c r="Z2803" i="7"/>
  <c r="Z2806" i="7"/>
  <c r="Z2809" i="7"/>
  <c r="Z2812" i="7"/>
  <c r="R2814" i="7"/>
  <c r="AA2816" i="7"/>
  <c r="AB2816" i="7"/>
  <c r="Z2824" i="7"/>
  <c r="Z2833" i="7"/>
  <c r="Z2842" i="7"/>
  <c r="Z2851" i="7"/>
  <c r="Z2860" i="7"/>
  <c r="Z2869" i="7"/>
  <c r="AH2870" i="7"/>
  <c r="Z2874" i="7"/>
  <c r="AH2879" i="7"/>
  <c r="B2778" i="7"/>
  <c r="Z2778" i="7"/>
  <c r="J2781" i="7"/>
  <c r="AA2783" i="7"/>
  <c r="AB2783" i="7"/>
  <c r="AP2783" i="7"/>
  <c r="R2784" i="7"/>
  <c r="B2787" i="7"/>
  <c r="Z2787" i="7"/>
  <c r="AP2789" i="7"/>
  <c r="R2790" i="7"/>
  <c r="AP2792" i="7"/>
  <c r="R2793" i="7"/>
  <c r="AP2795" i="7"/>
  <c r="R2796" i="7"/>
  <c r="AP2798" i="7"/>
  <c r="R2799" i="7"/>
  <c r="AP2801" i="7"/>
  <c r="R2802" i="7"/>
  <c r="AP2804" i="7"/>
  <c r="R2805" i="7"/>
  <c r="AP2807" i="7"/>
  <c r="R2808" i="7"/>
  <c r="R2811" i="7"/>
  <c r="AA2813" i="7"/>
  <c r="AB2813" i="7"/>
  <c r="B2817" i="7"/>
  <c r="AH2819" i="7"/>
  <c r="AH2828" i="7"/>
  <c r="AH2837" i="7"/>
  <c r="AB2819" i="7"/>
  <c r="Z2819" i="7" s="1"/>
  <c r="AB2822" i="7"/>
  <c r="Z2822" i="7" s="1"/>
  <c r="AB2825" i="7"/>
  <c r="Z2825" i="7" s="1"/>
  <c r="AB2828" i="7"/>
  <c r="Z2828" i="7" s="1"/>
  <c r="AB2831" i="7"/>
  <c r="Z2831" i="7" s="1"/>
  <c r="AB2834" i="7"/>
  <c r="Z2834" i="7" s="1"/>
  <c r="AB2837" i="7"/>
  <c r="Z2837" i="7" s="1"/>
  <c r="AB2840" i="7"/>
  <c r="Z2840" i="7" s="1"/>
  <c r="AB2843" i="7"/>
  <c r="Z2843" i="7" s="1"/>
  <c r="AB2846" i="7"/>
  <c r="Z2846" i="7" s="1"/>
  <c r="AB2849" i="7"/>
  <c r="Z2849" i="7" s="1"/>
  <c r="AB2852" i="7"/>
  <c r="Z2852" i="7" s="1"/>
  <c r="AB2855" i="7"/>
  <c r="Z2855" i="7" s="1"/>
  <c r="AB2858" i="7"/>
  <c r="Z2858" i="7" s="1"/>
  <c r="AB2861" i="7"/>
  <c r="Z2861" i="7" s="1"/>
  <c r="AB2864" i="7"/>
  <c r="Z2864" i="7" s="1"/>
  <c r="AB2867" i="7"/>
  <c r="Z2867" i="7" s="1"/>
  <c r="AI2869" i="7"/>
  <c r="AH2869" i="7" s="1"/>
  <c r="B2870" i="7"/>
  <c r="R2873" i="7"/>
  <c r="AJ2874" i="7"/>
  <c r="AH2874" i="7" s="1"/>
  <c r="AH2877" i="7"/>
  <c r="AB2881" i="7"/>
  <c r="Z2881" i="7" s="1"/>
  <c r="R2888" i="7"/>
  <c r="AI2891" i="7"/>
  <c r="AH2891" i="7" s="1"/>
  <c r="R2897" i="7"/>
  <c r="AI2900" i="7"/>
  <c r="AH2900" i="7" s="1"/>
  <c r="R2903" i="7"/>
  <c r="R2906" i="7"/>
  <c r="R2909" i="7"/>
  <c r="R2912" i="7"/>
  <c r="R2915" i="7"/>
  <c r="R2918" i="7"/>
  <c r="AA2920" i="7"/>
  <c r="AB2920" i="7"/>
  <c r="B2924" i="7"/>
  <c r="AH2926" i="7"/>
  <c r="R2936" i="7"/>
  <c r="AA2938" i="7"/>
  <c r="AB2938" i="7"/>
  <c r="B2942" i="7"/>
  <c r="AH2880" i="7"/>
  <c r="AA2884" i="7"/>
  <c r="AB2884" i="7"/>
  <c r="AA2893" i="7"/>
  <c r="AB2893" i="7"/>
  <c r="AA2902" i="7"/>
  <c r="AB2902" i="7"/>
  <c r="AJ2903" i="7"/>
  <c r="AI2903" i="7"/>
  <c r="AA2905" i="7"/>
  <c r="AB2905" i="7"/>
  <c r="AJ2906" i="7"/>
  <c r="AI2906" i="7"/>
  <c r="AA2908" i="7"/>
  <c r="AB2908" i="7"/>
  <c r="AJ2909" i="7"/>
  <c r="AI2909" i="7"/>
  <c r="AA2911" i="7"/>
  <c r="AB2911" i="7"/>
  <c r="AJ2912" i="7"/>
  <c r="AI2912" i="7"/>
  <c r="AA2914" i="7"/>
  <c r="AB2914" i="7"/>
  <c r="AJ2915" i="7"/>
  <c r="AI2915" i="7"/>
  <c r="AA2917" i="7"/>
  <c r="AB2917" i="7"/>
  <c r="AA2935" i="7"/>
  <c r="AB2935" i="7"/>
  <c r="AI2811" i="7"/>
  <c r="AH2811" i="7" s="1"/>
  <c r="AI2814" i="7"/>
  <c r="AH2814" i="7" s="1"/>
  <c r="AI2817" i="7"/>
  <c r="AH2817" i="7" s="1"/>
  <c r="AI2820" i="7"/>
  <c r="AH2820" i="7" s="1"/>
  <c r="AI2823" i="7"/>
  <c r="AH2823" i="7" s="1"/>
  <c r="AI2826" i="7"/>
  <c r="AH2826" i="7" s="1"/>
  <c r="AI2829" i="7"/>
  <c r="AH2829" i="7" s="1"/>
  <c r="AI2832" i="7"/>
  <c r="AH2832" i="7" s="1"/>
  <c r="AI2835" i="7"/>
  <c r="AH2835" i="7" s="1"/>
  <c r="AI2838" i="7"/>
  <c r="AH2838" i="7" s="1"/>
  <c r="AI2841" i="7"/>
  <c r="AH2841" i="7" s="1"/>
  <c r="AI2844" i="7"/>
  <c r="AH2844" i="7" s="1"/>
  <c r="AI2847" i="7"/>
  <c r="AH2847" i="7" s="1"/>
  <c r="AI2850" i="7"/>
  <c r="AH2850" i="7" s="1"/>
  <c r="AI2853" i="7"/>
  <c r="AH2853" i="7" s="1"/>
  <c r="AI2856" i="7"/>
  <c r="AH2856" i="7" s="1"/>
  <c r="AI2859" i="7"/>
  <c r="AH2859" i="7" s="1"/>
  <c r="AI2862" i="7"/>
  <c r="AH2862" i="7" s="1"/>
  <c r="AI2865" i="7"/>
  <c r="AH2865" i="7" s="1"/>
  <c r="AI2868" i="7"/>
  <c r="AH2868" i="7" s="1"/>
  <c r="AI2873" i="7"/>
  <c r="AH2873" i="7" s="1"/>
  <c r="AI2875" i="7"/>
  <c r="AH2875" i="7" s="1"/>
  <c r="B2876" i="7"/>
  <c r="AA2877" i="7"/>
  <c r="Z2877" i="7" s="1"/>
  <c r="R2879" i="7"/>
  <c r="R2882" i="7"/>
  <c r="R2885" i="7"/>
  <c r="AH2886" i="7"/>
  <c r="AI2888" i="7"/>
  <c r="AH2888" i="7" s="1"/>
  <c r="R2894" i="7"/>
  <c r="AH2895" i="7"/>
  <c r="AI2897" i="7"/>
  <c r="AH2897" i="7" s="1"/>
  <c r="B2903" i="7"/>
  <c r="B2906" i="7"/>
  <c r="B2909" i="7"/>
  <c r="B2912" i="7"/>
  <c r="AA2932" i="7"/>
  <c r="AB2932" i="7"/>
  <c r="AB2872" i="7"/>
  <c r="Z2872" i="7" s="1"/>
  <c r="AI2878" i="7"/>
  <c r="AH2878" i="7" s="1"/>
  <c r="B2879" i="7"/>
  <c r="AI2881" i="7"/>
  <c r="AH2881" i="7" s="1"/>
  <c r="B2882" i="7"/>
  <c r="AJ2883" i="7"/>
  <c r="AH2884" i="7"/>
  <c r="B2885" i="7"/>
  <c r="Z2886" i="7"/>
  <c r="J2889" i="7"/>
  <c r="AA2890" i="7"/>
  <c r="AB2890" i="7"/>
  <c r="AP2891" i="7"/>
  <c r="AJ2892" i="7"/>
  <c r="AH2892" i="7" s="1"/>
  <c r="AH2893" i="7"/>
  <c r="B2894" i="7"/>
  <c r="Z2895" i="7"/>
  <c r="J2898" i="7"/>
  <c r="AA2899" i="7"/>
  <c r="AB2899" i="7"/>
  <c r="AP2900" i="7"/>
  <c r="AJ2901" i="7"/>
  <c r="AH2902" i="7"/>
  <c r="AH2905" i="7"/>
  <c r="AH2908" i="7"/>
  <c r="AH2911" i="7"/>
  <c r="AH2914" i="7"/>
  <c r="AH2917" i="7"/>
  <c r="AH2922" i="7"/>
  <c r="R2927" i="7"/>
  <c r="AA2929" i="7"/>
  <c r="AB2929" i="7"/>
  <c r="B2933" i="7"/>
  <c r="AH2935" i="7"/>
  <c r="AH2940" i="7"/>
  <c r="Z2949" i="7"/>
  <c r="AH2871" i="7"/>
  <c r="AH2883" i="7"/>
  <c r="AH2901" i="7"/>
  <c r="AA2926" i="7"/>
  <c r="AB2926" i="7"/>
  <c r="R2870" i="7"/>
  <c r="AB2878" i="7"/>
  <c r="Z2878" i="7" s="1"/>
  <c r="Z2883" i="7"/>
  <c r="J2886" i="7"/>
  <c r="AA2887" i="7"/>
  <c r="AB2887" i="7"/>
  <c r="AP2888" i="7"/>
  <c r="AJ2889" i="7"/>
  <c r="AH2889" i="7" s="1"/>
  <c r="AH2890" i="7"/>
  <c r="B2891" i="7"/>
  <c r="Z2892" i="7"/>
  <c r="J2895" i="7"/>
  <c r="AA2896" i="7"/>
  <c r="AB2896" i="7"/>
  <c r="AP2897" i="7"/>
  <c r="AJ2898" i="7"/>
  <c r="AH2898" i="7" s="1"/>
  <c r="AH2899" i="7"/>
  <c r="B2900" i="7"/>
  <c r="Z2901" i="7"/>
  <c r="R2921" i="7"/>
  <c r="AA2923" i="7"/>
  <c r="AB2923" i="7"/>
  <c r="B2927" i="7"/>
  <c r="AH2929" i="7"/>
  <c r="AH2934" i="7"/>
  <c r="R2939" i="7"/>
  <c r="AA2941" i="7"/>
  <c r="AB2941" i="7"/>
  <c r="AB2947" i="7"/>
  <c r="Z2947" i="7" s="1"/>
  <c r="AJ2948" i="7"/>
  <c r="AH2948" i="7" s="1"/>
  <c r="AB2952" i="7"/>
  <c r="Z2952" i="7" s="1"/>
  <c r="AI2953" i="7"/>
  <c r="AH2953" i="7" s="1"/>
  <c r="B2954" i="7"/>
  <c r="R2957" i="7"/>
  <c r="AJ2958" i="7"/>
  <c r="AH2958" i="7" s="1"/>
  <c r="R2960" i="7"/>
  <c r="AP2960" i="7"/>
  <c r="AB2962" i="7"/>
  <c r="AA2962" i="7"/>
  <c r="AP2963" i="7"/>
  <c r="AJ2964" i="7"/>
  <c r="AH2964" i="7" s="1"/>
  <c r="AH2965" i="7"/>
  <c r="B2966" i="7"/>
  <c r="Z2967" i="7"/>
  <c r="J2970" i="7"/>
  <c r="AB2971" i="7"/>
  <c r="AA2971" i="7"/>
  <c r="AP2972" i="7"/>
  <c r="AJ2973" i="7"/>
  <c r="AH2973" i="7" s="1"/>
  <c r="AH2974" i="7"/>
  <c r="B2975" i="7"/>
  <c r="Z2976" i="7"/>
  <c r="J2979" i="7"/>
  <c r="R2981" i="7"/>
  <c r="AI2918" i="7"/>
  <c r="AH2918" i="7" s="1"/>
  <c r="AI2921" i="7"/>
  <c r="AH2921" i="7" s="1"/>
  <c r="AI2924" i="7"/>
  <c r="AH2924" i="7" s="1"/>
  <c r="AI2927" i="7"/>
  <c r="AH2927" i="7" s="1"/>
  <c r="AI2930" i="7"/>
  <c r="AH2930" i="7" s="1"/>
  <c r="AI2933" i="7"/>
  <c r="AH2933" i="7" s="1"/>
  <c r="AI2936" i="7"/>
  <c r="AH2936" i="7" s="1"/>
  <c r="AI2939" i="7"/>
  <c r="AH2939" i="7" s="1"/>
  <c r="AI2942" i="7"/>
  <c r="AH2942" i="7" s="1"/>
  <c r="AI2949" i="7"/>
  <c r="AH2949" i="7" s="1"/>
  <c r="AI2957" i="7"/>
  <c r="AH2957" i="7" s="1"/>
  <c r="AI2960" i="7"/>
  <c r="AH2960" i="7" s="1"/>
  <c r="AB2968" i="7"/>
  <c r="AA2968" i="7"/>
  <c r="AB2977" i="7"/>
  <c r="AA2977" i="7"/>
  <c r="AB2983" i="7"/>
  <c r="AA2983" i="7"/>
  <c r="AI2944" i="7"/>
  <c r="AH2944" i="7" s="1"/>
  <c r="B2945" i="7"/>
  <c r="R2948" i="7"/>
  <c r="AH2952" i="7"/>
  <c r="AB2956" i="7"/>
  <c r="Z2956" i="7" s="1"/>
  <c r="AH2961" i="7"/>
  <c r="AI2963" i="7"/>
  <c r="AH2963" i="7" s="1"/>
  <c r="R2969" i="7"/>
  <c r="AH2970" i="7"/>
  <c r="AI2972" i="7"/>
  <c r="AH2972" i="7" s="1"/>
  <c r="R2978" i="7"/>
  <c r="AH2979" i="7"/>
  <c r="J2982" i="7"/>
  <c r="R2984" i="7"/>
  <c r="AH2989" i="7"/>
  <c r="AH3007" i="7"/>
  <c r="AH3016" i="7"/>
  <c r="AH2955" i="7"/>
  <c r="AB2959" i="7"/>
  <c r="AA2959" i="7"/>
  <c r="Z2961" i="7"/>
  <c r="AB2965" i="7"/>
  <c r="AA2965" i="7"/>
  <c r="AB2974" i="7"/>
  <c r="AA2974" i="7"/>
  <c r="AB2944" i="7"/>
  <c r="Z2944" i="7" s="1"/>
  <c r="AI2950" i="7"/>
  <c r="AH2950" i="7" s="1"/>
  <c r="B2951" i="7"/>
  <c r="R2954" i="7"/>
  <c r="J2961" i="7"/>
  <c r="R2966" i="7"/>
  <c r="AH2967" i="7"/>
  <c r="AI2969" i="7"/>
  <c r="AH2969" i="7" s="1"/>
  <c r="R2975" i="7"/>
  <c r="AH2976" i="7"/>
  <c r="AI2978" i="7"/>
  <c r="AH2978" i="7" s="1"/>
  <c r="AB2980" i="7"/>
  <c r="AA2980" i="7"/>
  <c r="AP2981" i="7"/>
  <c r="AJ2982" i="7"/>
  <c r="AH2982" i="7" s="1"/>
  <c r="AB2986" i="7"/>
  <c r="AA2986" i="7"/>
  <c r="AH2992" i="7"/>
  <c r="AH3001" i="7"/>
  <c r="AH3010" i="7"/>
  <c r="AH3019" i="7"/>
  <c r="Z3022" i="7"/>
  <c r="Z3025" i="7"/>
  <c r="AH3026" i="7"/>
  <c r="AI3027" i="7"/>
  <c r="AJ3027" i="7"/>
  <c r="AB3030" i="7"/>
  <c r="Z3030" i="7" s="1"/>
  <c r="R3031" i="7"/>
  <c r="B3034" i="7"/>
  <c r="AH3035" i="7"/>
  <c r="AI3036" i="7"/>
  <c r="AJ3036" i="7"/>
  <c r="AA3038" i="7"/>
  <c r="Z3038" i="7" s="1"/>
  <c r="J3039" i="7"/>
  <c r="Z3039" i="7"/>
  <c r="AH3041" i="7"/>
  <c r="AI3042" i="7"/>
  <c r="AJ3042" i="7"/>
  <c r="AA3044" i="7"/>
  <c r="Z3044" i="7" s="1"/>
  <c r="J3045" i="7"/>
  <c r="Z3045" i="7"/>
  <c r="AH3047" i="7"/>
  <c r="AP3050" i="7"/>
  <c r="AB3054" i="7"/>
  <c r="Z3054" i="7" s="1"/>
  <c r="AH3056" i="7"/>
  <c r="AI3060" i="7"/>
  <c r="AJ3060" i="7"/>
  <c r="AI3051" i="7"/>
  <c r="AJ3051" i="7"/>
  <c r="AA2989" i="7"/>
  <c r="Z2989" i="7" s="1"/>
  <c r="AA2992" i="7"/>
  <c r="Z2992" i="7" s="1"/>
  <c r="AA2995" i="7"/>
  <c r="Z2995" i="7" s="1"/>
  <c r="AA2998" i="7"/>
  <c r="Z2998" i="7" s="1"/>
  <c r="AA3001" i="7"/>
  <c r="Z3001" i="7" s="1"/>
  <c r="AA3004" i="7"/>
  <c r="Z3004" i="7" s="1"/>
  <c r="AA3007" i="7"/>
  <c r="Z3007" i="7" s="1"/>
  <c r="AA3010" i="7"/>
  <c r="Z3010" i="7" s="1"/>
  <c r="AA3013" i="7"/>
  <c r="Z3013" i="7" s="1"/>
  <c r="AA3016" i="7"/>
  <c r="Z3016" i="7" s="1"/>
  <c r="AA3019" i="7"/>
  <c r="Z3019" i="7" s="1"/>
  <c r="J3025" i="7"/>
  <c r="AB3027" i="7"/>
  <c r="Z3027" i="7" s="1"/>
  <c r="R3028" i="7"/>
  <c r="B3031" i="7"/>
  <c r="AH3032" i="7"/>
  <c r="AI3033" i="7"/>
  <c r="AJ3033" i="7"/>
  <c r="AB3036" i="7"/>
  <c r="Z3036" i="7" s="1"/>
  <c r="R3037" i="7"/>
  <c r="AB3042" i="7"/>
  <c r="Z3042" i="7" s="1"/>
  <c r="R3043" i="7"/>
  <c r="AB3048" i="7"/>
  <c r="Z3048" i="7" s="1"/>
  <c r="AH3050" i="7"/>
  <c r="AP3053" i="7"/>
  <c r="AB3057" i="7"/>
  <c r="AA3023" i="7"/>
  <c r="Z3023" i="7" s="1"/>
  <c r="AP3024" i="7"/>
  <c r="AA3026" i="7"/>
  <c r="Z3026" i="7" s="1"/>
  <c r="AA3035" i="7"/>
  <c r="Z3035" i="7" s="1"/>
  <c r="J3036" i="7"/>
  <c r="AH3038" i="7"/>
  <c r="AI3039" i="7"/>
  <c r="AH3039" i="7" s="1"/>
  <c r="AJ3039" i="7"/>
  <c r="AA3041" i="7"/>
  <c r="Z3041" i="7" s="1"/>
  <c r="J3042" i="7"/>
  <c r="AH3044" i="7"/>
  <c r="AI3045" i="7"/>
  <c r="AJ3045" i="7"/>
  <c r="J3048" i="7"/>
  <c r="B3049" i="7"/>
  <c r="R3052" i="7"/>
  <c r="AI3054" i="7"/>
  <c r="AJ3054" i="7"/>
  <c r="J3057" i="7"/>
  <c r="Z3057" i="7"/>
  <c r="Z3058" i="7"/>
  <c r="AI3030" i="7"/>
  <c r="AJ3030" i="7"/>
  <c r="Z3033" i="7"/>
  <c r="AI3048" i="7"/>
  <c r="AJ3048" i="7"/>
  <c r="Z3051" i="7"/>
  <c r="AI3057" i="7"/>
  <c r="AJ3057" i="7"/>
  <c r="AJ3062" i="7"/>
  <c r="AH3062" i="7" s="1"/>
  <c r="AJ3065" i="7"/>
  <c r="AH3065" i="7" s="1"/>
  <c r="AJ3068" i="7"/>
  <c r="AH3068" i="7" s="1"/>
  <c r="AJ3071" i="7"/>
  <c r="AH3071" i="7" s="1"/>
  <c r="AJ3074" i="7"/>
  <c r="AH3074" i="7" s="1"/>
  <c r="AI3079" i="7"/>
  <c r="AJ3079" i="7"/>
  <c r="Z3081" i="7"/>
  <c r="AI3085" i="7"/>
  <c r="AJ3085" i="7"/>
  <c r="Z3087" i="7"/>
  <c r="AI3091" i="7"/>
  <c r="AJ3091" i="7"/>
  <c r="Z3093" i="7"/>
  <c r="AI3100" i="7"/>
  <c r="AJ3100" i="7"/>
  <c r="AI3109" i="7"/>
  <c r="AJ3109" i="7"/>
  <c r="AI3076" i="7"/>
  <c r="AJ3076" i="7"/>
  <c r="Z3078" i="7"/>
  <c r="AH3081" i="7"/>
  <c r="AI3082" i="7"/>
  <c r="AJ3082" i="7"/>
  <c r="Z3084" i="7"/>
  <c r="AH3087" i="7"/>
  <c r="AI3088" i="7"/>
  <c r="AJ3088" i="7"/>
  <c r="Z3090" i="7"/>
  <c r="AH3093" i="7"/>
  <c r="AI3094" i="7"/>
  <c r="AJ3094" i="7"/>
  <c r="Z3096" i="7"/>
  <c r="AP3098" i="7"/>
  <c r="J3102" i="7"/>
  <c r="AI3103" i="7"/>
  <c r="AJ3103" i="7"/>
  <c r="Z3105" i="7"/>
  <c r="AP3107" i="7"/>
  <c r="J3111" i="7"/>
  <c r="AI3112" i="7"/>
  <c r="AJ3112" i="7"/>
  <c r="Z3114" i="7"/>
  <c r="R3077" i="7"/>
  <c r="J3078" i="7"/>
  <c r="J3084" i="7"/>
  <c r="J3090" i="7"/>
  <c r="J3096" i="7"/>
  <c r="AI3097" i="7"/>
  <c r="AJ3097" i="7"/>
  <c r="Z3099" i="7"/>
  <c r="AP3101" i="7"/>
  <c r="J3105" i="7"/>
  <c r="AI3106" i="7"/>
  <c r="AJ3106" i="7"/>
  <c r="Z3108" i="7"/>
  <c r="AP3110" i="7"/>
  <c r="J3114" i="7"/>
  <c r="B3131" i="7"/>
  <c r="Z3131" i="7"/>
  <c r="B3132" i="7"/>
  <c r="Z3132" i="7"/>
  <c r="B3133" i="7"/>
  <c r="Z3133" i="7"/>
  <c r="B3134" i="7"/>
  <c r="Z3134" i="7"/>
  <c r="B3135" i="7"/>
  <c r="Z3135" i="7"/>
  <c r="B3136" i="7"/>
  <c r="Z3136" i="7"/>
  <c r="B3137" i="7"/>
  <c r="Z3137" i="7"/>
  <c r="B3138" i="7"/>
  <c r="Z3138" i="7"/>
  <c r="B3139" i="7"/>
  <c r="Z3139" i="7"/>
  <c r="B3140" i="7"/>
  <c r="Z3140" i="7"/>
  <c r="B3141" i="7"/>
  <c r="Z3141" i="7"/>
  <c r="B3142" i="7"/>
  <c r="Z3142" i="7"/>
  <c r="B3143" i="7"/>
  <c r="Z3143" i="7"/>
  <c r="B3144" i="7"/>
  <c r="Z3144" i="7"/>
  <c r="B3145" i="7"/>
  <c r="Z3145" i="7"/>
  <c r="B3146" i="7"/>
  <c r="B3147" i="7"/>
  <c r="B3148" i="7"/>
  <c r="J3131" i="7"/>
  <c r="AH3131" i="7"/>
  <c r="J3132" i="7"/>
  <c r="AH3132" i="7"/>
  <c r="J3133" i="7"/>
  <c r="AH3133" i="7"/>
  <c r="J3134" i="7"/>
  <c r="AH3134" i="7"/>
  <c r="J3135" i="7"/>
  <c r="AH3135" i="7"/>
  <c r="J3136" i="7"/>
  <c r="AH3136" i="7"/>
  <c r="J3137" i="7"/>
  <c r="AH3137" i="7"/>
  <c r="J3138" i="7"/>
  <c r="AH3138" i="7"/>
  <c r="J3139" i="7"/>
  <c r="AH3139" i="7"/>
  <c r="J3140" i="7"/>
  <c r="AH3140" i="7"/>
  <c r="J3141" i="7"/>
  <c r="AH3141" i="7"/>
  <c r="J3142" i="7"/>
  <c r="AH3142" i="7"/>
  <c r="J3143" i="7"/>
  <c r="AH3143" i="7"/>
  <c r="J3144" i="7"/>
  <c r="AH3144" i="7"/>
  <c r="J3145" i="7"/>
  <c r="AH3145" i="7"/>
  <c r="AH3146" i="7"/>
  <c r="AH3147" i="7"/>
  <c r="AH3148" i="7"/>
  <c r="R3156" i="7"/>
  <c r="R3158" i="7"/>
  <c r="R3160" i="7"/>
  <c r="R3155" i="7"/>
  <c r="R3157" i="7"/>
  <c r="R3159" i="7"/>
  <c r="R3161" i="7"/>
  <c r="Z2068" i="7" l="1"/>
  <c r="B609" i="7"/>
  <c r="B590" i="7"/>
  <c r="B581" i="7"/>
  <c r="B563" i="7"/>
  <c r="B554" i="7"/>
  <c r="B545" i="7"/>
  <c r="B536" i="7"/>
  <c r="B524" i="7"/>
  <c r="B515" i="7"/>
  <c r="B506" i="7"/>
  <c r="Z2848" i="7"/>
  <c r="AH2626" i="7"/>
  <c r="AH2374" i="7"/>
  <c r="B2095" i="7"/>
  <c r="AP2004" i="7"/>
  <c r="AP1984" i="7"/>
  <c r="J1728" i="7"/>
  <c r="AP1848" i="7"/>
  <c r="R1841" i="7"/>
  <c r="B1809" i="7"/>
  <c r="J1791" i="7"/>
  <c r="J1752" i="7"/>
  <c r="AH1163" i="7"/>
  <c r="Z2174" i="7"/>
  <c r="R1972" i="7"/>
  <c r="R1633" i="7"/>
  <c r="R851" i="7"/>
  <c r="R829" i="7"/>
  <c r="Z2326" i="7"/>
  <c r="J1997" i="7"/>
  <c r="R2061" i="7"/>
  <c r="B1851" i="7"/>
  <c r="R2045" i="7"/>
  <c r="R1912" i="7"/>
  <c r="Z1621" i="7"/>
  <c r="Z1618" i="7"/>
  <c r="Z1615" i="7"/>
  <c r="R1501" i="7"/>
  <c r="Z1413" i="7"/>
  <c r="R1379" i="7"/>
  <c r="Z1082" i="7"/>
  <c r="AP906" i="7"/>
  <c r="AH2233" i="7"/>
  <c r="B2143" i="7"/>
  <c r="Z2993" i="7"/>
  <c r="AH2807" i="7"/>
  <c r="AH2500" i="7"/>
  <c r="AH2108" i="7"/>
  <c r="Z1999" i="7"/>
  <c r="AP1969" i="7"/>
  <c r="AH1860" i="7"/>
  <c r="B1203" i="7"/>
  <c r="AH1165" i="7"/>
  <c r="J1084" i="7"/>
  <c r="AH1413" i="7"/>
  <c r="AH1404" i="7"/>
  <c r="AP2008" i="7"/>
  <c r="J1736" i="7"/>
  <c r="AH2499" i="7"/>
  <c r="Z2432" i="7"/>
  <c r="Z2070" i="7"/>
  <c r="AH1309" i="7"/>
  <c r="Z2793" i="7"/>
  <c r="AH2715" i="7"/>
  <c r="Z2622" i="7"/>
  <c r="AH2443" i="7"/>
  <c r="AH2549" i="7"/>
  <c r="AH2050" i="7"/>
  <c r="AH2123" i="7"/>
  <c r="AH2057" i="7"/>
  <c r="AH2327" i="7"/>
  <c r="AH2277" i="7"/>
  <c r="AP1994" i="7"/>
  <c r="AH2052" i="7"/>
  <c r="J1894" i="7"/>
  <c r="J1754" i="7"/>
  <c r="J1737" i="7"/>
  <c r="J1722" i="7"/>
  <c r="B1845" i="7"/>
  <c r="Z1806" i="7"/>
  <c r="Z1800" i="7"/>
  <c r="AH1175" i="7"/>
  <c r="AH1157" i="7"/>
  <c r="AH1067" i="7"/>
  <c r="AP1060" i="7"/>
  <c r="AH2178" i="7"/>
  <c r="AP668" i="7"/>
  <c r="AP656" i="7"/>
  <c r="AP644" i="7"/>
  <c r="AP632" i="7"/>
  <c r="AP620" i="7"/>
  <c r="AH507" i="7"/>
  <c r="J463" i="7"/>
  <c r="J443" i="7"/>
  <c r="R376" i="7"/>
  <c r="R340" i="7"/>
  <c r="AP379" i="7"/>
  <c r="AH2495" i="7"/>
  <c r="B2114" i="7"/>
  <c r="R1965" i="7"/>
  <c r="R2060" i="7"/>
  <c r="J1774" i="7"/>
  <c r="Z1453" i="7"/>
  <c r="B1372" i="7"/>
  <c r="AP1349" i="7"/>
  <c r="AP1336" i="7"/>
  <c r="AP1149" i="7"/>
  <c r="J1131" i="7"/>
  <c r="B1896" i="7"/>
  <c r="AH1588" i="7"/>
  <c r="AH1171" i="7"/>
  <c r="Z2198" i="7"/>
  <c r="Z1031" i="7"/>
  <c r="AH1192" i="7"/>
  <c r="R1672" i="7"/>
  <c r="Z2661" i="7"/>
  <c r="Z2932" i="7"/>
  <c r="Z607" i="7"/>
  <c r="Z598" i="7"/>
  <c r="Z589" i="7"/>
  <c r="Z580" i="7"/>
  <c r="Z571" i="7"/>
  <c r="Z562" i="7"/>
  <c r="Z553" i="7"/>
  <c r="Z544" i="7"/>
  <c r="Z535" i="7"/>
  <c r="AH2141" i="7"/>
  <c r="AP515" i="7"/>
  <c r="R1179" i="7"/>
  <c r="B1440" i="7"/>
  <c r="AH1065" i="7"/>
  <c r="R1143" i="7"/>
  <c r="J1202" i="7"/>
  <c r="AH899" i="7"/>
  <c r="R857" i="7"/>
  <c r="R1737" i="7"/>
  <c r="R1357" i="7"/>
  <c r="AH1912" i="7"/>
  <c r="AP1261" i="7"/>
  <c r="J1167" i="7"/>
  <c r="AH2370" i="7"/>
  <c r="B2126" i="7"/>
  <c r="AH2867" i="7"/>
  <c r="Z2621" i="7"/>
  <c r="Z2064" i="7"/>
  <c r="J1297" i="7"/>
  <c r="J1288" i="7"/>
  <c r="J1279" i="7"/>
  <c r="J1270" i="7"/>
  <c r="Z3017" i="7"/>
  <c r="Z2898" i="7"/>
  <c r="AP1040" i="7"/>
  <c r="AP1025" i="7"/>
  <c r="AP876" i="7"/>
  <c r="J1000" i="7"/>
  <c r="J958" i="7"/>
  <c r="AH933" i="7"/>
  <c r="AH897" i="7"/>
  <c r="R364" i="7"/>
  <c r="R304" i="7"/>
  <c r="Z2385" i="7"/>
  <c r="J1891" i="7"/>
  <c r="R1671" i="7"/>
  <c r="R1719" i="7"/>
  <c r="AH3045" i="7"/>
  <c r="Z2444" i="7"/>
  <c r="Z1642" i="7"/>
  <c r="B1637" i="7"/>
  <c r="Z1632" i="7"/>
  <c r="B1628" i="7"/>
  <c r="Z1623" i="7"/>
  <c r="B1619" i="7"/>
  <c r="Z1614" i="7"/>
  <c r="B1610" i="7"/>
  <c r="Z1605" i="7"/>
  <c r="B1601" i="7"/>
  <c r="Z1596" i="7"/>
  <c r="Z1588" i="7"/>
  <c r="AH1314" i="7"/>
  <c r="AH1305" i="7"/>
  <c r="AH1296" i="7"/>
  <c r="AH1287" i="7"/>
  <c r="Z605" i="7"/>
  <c r="Z596" i="7"/>
  <c r="Z587" i="7"/>
  <c r="Z578" i="7"/>
  <c r="Z569" i="7"/>
  <c r="Z560" i="7"/>
  <c r="Z551" i="7"/>
  <c r="Z542" i="7"/>
  <c r="Z533" i="7"/>
  <c r="AH2285" i="7"/>
  <c r="Z2371" i="7"/>
  <c r="Z2310" i="7"/>
  <c r="Z2386" i="7"/>
  <c r="Z2335" i="7"/>
  <c r="Z2300" i="7"/>
  <c r="J2123" i="7"/>
  <c r="AH1981" i="7"/>
  <c r="J1973" i="7"/>
  <c r="AH2013" i="7"/>
  <c r="Z2016" i="7"/>
  <c r="Z2004" i="7"/>
  <c r="Z1992" i="7"/>
  <c r="Z1988" i="7"/>
  <c r="Z2018" i="7"/>
  <c r="J1892" i="7"/>
  <c r="J1878" i="7"/>
  <c r="B1825" i="7"/>
  <c r="Z1824" i="7"/>
  <c r="J1750" i="7"/>
  <c r="J1733" i="7"/>
  <c r="B1909" i="7"/>
  <c r="J1741" i="7"/>
  <c r="J1734" i="7"/>
  <c r="AP1401" i="7"/>
  <c r="AP1372" i="7"/>
  <c r="R1151" i="7"/>
  <c r="AH1148" i="7"/>
  <c r="AH909" i="7"/>
  <c r="B857" i="7"/>
  <c r="AH2517" i="7"/>
  <c r="AH2484" i="7"/>
  <c r="AH2502" i="7"/>
  <c r="Z2456" i="7"/>
  <c r="J1294" i="7"/>
  <c r="J1285" i="7"/>
  <c r="J1276" i="7"/>
  <c r="J1267" i="7"/>
  <c r="Z2990" i="7"/>
  <c r="Z2597" i="7"/>
  <c r="AH2498" i="7"/>
  <c r="AH2449" i="7"/>
  <c r="AH2534" i="7"/>
  <c r="AH2356" i="7"/>
  <c r="AH2241" i="7"/>
  <c r="AH1975" i="7"/>
  <c r="AH1963" i="7"/>
  <c r="AH2048" i="7"/>
  <c r="AH1791" i="7"/>
  <c r="AH1777" i="7"/>
  <c r="AP1034" i="7"/>
  <c r="Z2941" i="7"/>
  <c r="Z2923" i="7"/>
  <c r="B2087" i="7"/>
  <c r="J1286" i="7"/>
  <c r="AH2455" i="7"/>
  <c r="AH2315" i="7"/>
  <c r="Z2346" i="7"/>
  <c r="Z2382" i="7"/>
  <c r="AH2288" i="7"/>
  <c r="Z2107" i="7"/>
  <c r="R2066" i="7"/>
  <c r="AH1945" i="7"/>
  <c r="AP2010" i="7"/>
  <c r="AH2161" i="7"/>
  <c r="AH1904" i="7"/>
  <c r="J1882" i="7"/>
  <c r="AH1865" i="7"/>
  <c r="AP1887" i="7"/>
  <c r="Z1785" i="7"/>
  <c r="J1935" i="7"/>
  <c r="B1790" i="7"/>
  <c r="Z1789" i="7"/>
  <c r="Z1375" i="7"/>
  <c r="J1037" i="7"/>
  <c r="J1025" i="7"/>
  <c r="AH1196" i="7"/>
  <c r="AH1151" i="7"/>
  <c r="AH1133" i="7"/>
  <c r="R1021" i="7"/>
  <c r="AH1199" i="7"/>
  <c r="AH1184" i="7"/>
  <c r="AH1178" i="7"/>
  <c r="J1123" i="7"/>
  <c r="R1106" i="7"/>
  <c r="R1088" i="7"/>
  <c r="AP1078" i="7"/>
  <c r="Z1039" i="7"/>
  <c r="AP1018" i="7"/>
  <c r="Z1110" i="7"/>
  <c r="Z984" i="7"/>
  <c r="J1006" i="7"/>
  <c r="AH879" i="7"/>
  <c r="B866" i="7"/>
  <c r="J842" i="7"/>
  <c r="J1116" i="7"/>
  <c r="Z1069" i="7"/>
  <c r="AP1055" i="7"/>
  <c r="AH2487" i="7"/>
  <c r="B2100" i="7"/>
  <c r="Z2508" i="7"/>
  <c r="Z2576" i="7"/>
  <c r="AH2198" i="7"/>
  <c r="AH2053" i="7"/>
  <c r="AP2020" i="7"/>
  <c r="AH2155" i="7"/>
  <c r="Z2106" i="7"/>
  <c r="AP1986" i="7"/>
  <c r="Z1804" i="7"/>
  <c r="J1746" i="7"/>
  <c r="J1726" i="7"/>
  <c r="R1133" i="7"/>
  <c r="R1045" i="7"/>
  <c r="AH2741" i="7"/>
  <c r="Z2546" i="7"/>
  <c r="J1999" i="7"/>
  <c r="R2062" i="7"/>
  <c r="R1664" i="7"/>
  <c r="B1787" i="7"/>
  <c r="AH912" i="7"/>
  <c r="AH871" i="7"/>
  <c r="AH2647" i="7"/>
  <c r="B2108" i="7"/>
  <c r="B1783" i="7"/>
  <c r="AH1150" i="7"/>
  <c r="B1920" i="7"/>
  <c r="Z2452" i="7"/>
  <c r="Z2422" i="7"/>
  <c r="Z2434" i="7"/>
  <c r="AH2476" i="7"/>
  <c r="J1982" i="7"/>
  <c r="Z2401" i="7"/>
  <c r="AH2232" i="7"/>
  <c r="J1987" i="7"/>
  <c r="R1688" i="7"/>
  <c r="R1658" i="7"/>
  <c r="AH1936" i="7"/>
  <c r="AP1888" i="7"/>
  <c r="Z1811" i="7"/>
  <c r="B1775" i="7"/>
  <c r="Z1481" i="7"/>
  <c r="B1437" i="7"/>
  <c r="R1426" i="7"/>
  <c r="R1158" i="7"/>
  <c r="AH1143" i="7"/>
  <c r="AH1164" i="7"/>
  <c r="J472" i="7"/>
  <c r="J1015" i="7"/>
  <c r="Z3029" i="7"/>
  <c r="AH2460" i="7"/>
  <c r="R2008" i="7"/>
  <c r="J1986" i="7"/>
  <c r="Z1516" i="7"/>
  <c r="B1798" i="7"/>
  <c r="R1734" i="7"/>
  <c r="AH1587" i="7"/>
  <c r="B1476" i="7"/>
  <c r="R1119" i="7"/>
  <c r="AH2695" i="7"/>
  <c r="Z2765" i="7"/>
  <c r="Z2634" i="7"/>
  <c r="AH2283" i="7"/>
  <c r="Z2287" i="7"/>
  <c r="AH2412" i="7"/>
  <c r="AP2136" i="7"/>
  <c r="R2034" i="7"/>
  <c r="AP1951" i="7"/>
  <c r="Z2994" i="7"/>
  <c r="AH2635" i="7"/>
  <c r="Z1402" i="7"/>
  <c r="Z2133" i="7"/>
  <c r="J1991" i="7"/>
  <c r="Z1477" i="7"/>
  <c r="R1381" i="7"/>
  <c r="AH1152" i="7"/>
  <c r="AH1134" i="7"/>
  <c r="R1669" i="7"/>
  <c r="AP1446" i="7"/>
  <c r="AH1915" i="7"/>
  <c r="R1564" i="7"/>
  <c r="R1408" i="7"/>
  <c r="R1206" i="7"/>
  <c r="AH2184" i="7"/>
  <c r="AP1965" i="7"/>
  <c r="B1932" i="7"/>
  <c r="Z2924" i="7"/>
  <c r="AH2568" i="7"/>
  <c r="R1735" i="7"/>
  <c r="R1651" i="7"/>
  <c r="R1732" i="7"/>
  <c r="R1650" i="7"/>
  <c r="AH1616" i="7"/>
  <c r="B1584" i="7"/>
  <c r="B1518" i="7"/>
  <c r="Z1484" i="7"/>
  <c r="Z1387" i="7"/>
  <c r="Z1393" i="7"/>
  <c r="J1768" i="7"/>
  <c r="AH659" i="7"/>
  <c r="AH647" i="7"/>
  <c r="AH635" i="7"/>
  <c r="AH623" i="7"/>
  <c r="AH611" i="7"/>
  <c r="AH567" i="7"/>
  <c r="AH531" i="7"/>
  <c r="J484" i="7"/>
  <c r="J460" i="7"/>
  <c r="Z402" i="7"/>
  <c r="R394" i="7"/>
  <c r="R355" i="7"/>
  <c r="Z349" i="7"/>
  <c r="Z305" i="7"/>
  <c r="R1713" i="7"/>
  <c r="AP960" i="7"/>
  <c r="J937" i="7"/>
  <c r="AH2816" i="7"/>
  <c r="Z2466" i="7"/>
  <c r="AH2101" i="7"/>
  <c r="AH2488" i="7"/>
  <c r="Z2171" i="7"/>
  <c r="B2071" i="7"/>
  <c r="AH1924" i="7"/>
  <c r="AH1856" i="7"/>
  <c r="J1985" i="7"/>
  <c r="AP1904" i="7"/>
  <c r="AH2959" i="7"/>
  <c r="R1646" i="7"/>
  <c r="B1439" i="7"/>
  <c r="R1384" i="7"/>
  <c r="AH2102" i="7"/>
  <c r="AP1901" i="7"/>
  <c r="J1826" i="7"/>
  <c r="J1001" i="7"/>
  <c r="AH781" i="7"/>
  <c r="Z2355" i="7"/>
  <c r="J1128" i="7"/>
  <c r="AH1189" i="7"/>
  <c r="AH1176" i="7"/>
  <c r="Z2965" i="7"/>
  <c r="AH2912" i="7"/>
  <c r="Z2779" i="7"/>
  <c r="AH3033" i="7"/>
  <c r="AH2774" i="7"/>
  <c r="Z2764" i="7"/>
  <c r="AH2576" i="7"/>
  <c r="R1910" i="7"/>
  <c r="Z1638" i="7"/>
  <c r="B1634" i="7"/>
  <c r="Z1629" i="7"/>
  <c r="B1625" i="7"/>
  <c r="Z1620" i="7"/>
  <c r="B1616" i="7"/>
  <c r="Z1611" i="7"/>
  <c r="B1607" i="7"/>
  <c r="Z1602" i="7"/>
  <c r="B1598" i="7"/>
  <c r="Z1591" i="7"/>
  <c r="Z1582" i="7"/>
  <c r="J1298" i="7"/>
  <c r="J1289" i="7"/>
  <c r="J1284" i="7"/>
  <c r="J1275" i="7"/>
  <c r="J1266" i="7"/>
  <c r="J1257" i="7"/>
  <c r="AH1086" i="7"/>
  <c r="B1043" i="7"/>
  <c r="B1034" i="7"/>
  <c r="B1025" i="7"/>
  <c r="AH2801" i="7"/>
  <c r="AH2621" i="7"/>
  <c r="AH2810" i="7"/>
  <c r="Z2631" i="7"/>
  <c r="Z2416" i="7"/>
  <c r="Z2186" i="7"/>
  <c r="AH1821" i="7"/>
  <c r="R1792" i="7"/>
  <c r="AH1779" i="7"/>
  <c r="AH1776" i="7"/>
  <c r="AP1504" i="7"/>
  <c r="AP1492" i="7"/>
  <c r="J1418" i="7"/>
  <c r="Z1503" i="7"/>
  <c r="B1483" i="7"/>
  <c r="J895" i="7"/>
  <c r="AH2606" i="7"/>
  <c r="AH2612" i="7"/>
  <c r="Z1861" i="7"/>
  <c r="R1914" i="7"/>
  <c r="R1913" i="7"/>
  <c r="AP1819" i="7"/>
  <c r="AP1817" i="7"/>
  <c r="AP1815" i="7"/>
  <c r="R1806" i="7"/>
  <c r="AH308" i="7"/>
  <c r="AH305" i="7"/>
  <c r="AH302" i="7"/>
  <c r="AH299" i="7"/>
  <c r="AH296" i="7"/>
  <c r="AH293" i="7"/>
  <c r="AH290" i="7"/>
  <c r="AH287" i="7"/>
  <c r="AH2541" i="7"/>
  <c r="AH2518" i="7"/>
  <c r="Z2197" i="7"/>
  <c r="AP2106" i="7"/>
  <c r="AH2131" i="7"/>
  <c r="AH1995" i="7"/>
  <c r="AH1985" i="7"/>
  <c r="AH2270" i="7"/>
  <c r="J1954" i="7"/>
  <c r="AP2075" i="7"/>
  <c r="Z1994" i="7"/>
  <c r="AP1872" i="7"/>
  <c r="AH1898" i="7"/>
  <c r="AP1905" i="7"/>
  <c r="AH1870" i="7"/>
  <c r="R2091" i="7"/>
  <c r="B1891" i="7"/>
  <c r="AH1395" i="7"/>
  <c r="AH1386" i="7"/>
  <c r="J1261" i="7"/>
  <c r="J1252" i="7"/>
  <c r="B599" i="7"/>
  <c r="B572" i="7"/>
  <c r="Z2751" i="7"/>
  <c r="AP1413" i="7"/>
  <c r="R1227" i="7"/>
  <c r="J1201" i="7"/>
  <c r="J1207" i="7"/>
  <c r="AP924" i="7"/>
  <c r="B979" i="7"/>
  <c r="Z2562" i="7"/>
  <c r="AH2475" i="7"/>
  <c r="Z2420" i="7"/>
  <c r="AP2040" i="7"/>
  <c r="B2106" i="7"/>
  <c r="Z2603" i="7"/>
  <c r="AH2592" i="7"/>
  <c r="Z2367" i="7"/>
  <c r="Z1228" i="7"/>
  <c r="Z1036" i="7"/>
  <c r="AP1200" i="7"/>
  <c r="R1154" i="7"/>
  <c r="Z486" i="7"/>
  <c r="Z488" i="7"/>
  <c r="AH2442" i="7"/>
  <c r="AH2304" i="7"/>
  <c r="R2048" i="7"/>
  <c r="Z2015" i="7"/>
  <c r="B2137" i="7"/>
  <c r="AH2164" i="7"/>
  <c r="B1894" i="7"/>
  <c r="AH1841" i="7"/>
  <c r="B1777" i="7"/>
  <c r="AH1177" i="7"/>
  <c r="J1154" i="7"/>
  <c r="J989" i="7"/>
  <c r="AH2620" i="7"/>
  <c r="AH2611" i="7"/>
  <c r="AP2070" i="7"/>
  <c r="B2120" i="7"/>
  <c r="AH2771" i="7"/>
  <c r="J1983" i="7"/>
  <c r="AH1918" i="7"/>
  <c r="B1450" i="7"/>
  <c r="J1477" i="7"/>
  <c r="R1432" i="7"/>
  <c r="J1205" i="7"/>
  <c r="R1653" i="7"/>
  <c r="AH1258" i="7"/>
  <c r="AP1279" i="7"/>
  <c r="AH1186" i="7"/>
  <c r="R509" i="7"/>
  <c r="AH2671" i="7"/>
  <c r="Z2322" i="7"/>
  <c r="R2070" i="7"/>
  <c r="AP1958" i="7"/>
  <c r="R1496" i="7"/>
  <c r="B1590" i="7"/>
  <c r="AH1185" i="7"/>
  <c r="R523" i="7"/>
  <c r="Z2690" i="7"/>
  <c r="AH2424" i="7"/>
  <c r="AH2228" i="7"/>
  <c r="Z2075" i="7"/>
  <c r="Z2023" i="7"/>
  <c r="Z2296" i="7"/>
  <c r="Z2894" i="7"/>
  <c r="AH2267" i="7"/>
  <c r="B1461" i="7"/>
  <c r="AP1307" i="7"/>
  <c r="J823" i="7"/>
  <c r="AH784" i="7"/>
  <c r="AH493" i="7"/>
  <c r="AH457" i="7"/>
  <c r="AP1962" i="7"/>
  <c r="Z2880" i="7"/>
  <c r="R2019" i="7"/>
  <c r="Z2373" i="7"/>
  <c r="R2025" i="7"/>
  <c r="AP1939" i="7"/>
  <c r="Z1981" i="7"/>
  <c r="R1682" i="7"/>
  <c r="R1652" i="7"/>
  <c r="AH1909" i="7"/>
  <c r="J1761" i="7"/>
  <c r="AP1454" i="7"/>
  <c r="AP1442" i="7"/>
  <c r="Z1415" i="7"/>
  <c r="R1371" i="7"/>
  <c r="AP1324" i="7"/>
  <c r="AP1300" i="7"/>
  <c r="AH2128" i="7"/>
  <c r="J1945" i="7"/>
  <c r="B1908" i="7"/>
  <c r="B1885" i="7"/>
  <c r="J1587" i="7"/>
  <c r="Z1384" i="7"/>
  <c r="R1378" i="7"/>
  <c r="AP1322" i="7"/>
  <c r="AP1303" i="7"/>
  <c r="R1207" i="7"/>
  <c r="AH1167" i="7"/>
  <c r="R1057" i="7"/>
  <c r="R1164" i="7"/>
  <c r="R1480" i="7"/>
  <c r="AP1444" i="7"/>
  <c r="J1033" i="7"/>
  <c r="AH795" i="7"/>
  <c r="Z414" i="7"/>
  <c r="J1979" i="7"/>
  <c r="R1361" i="7"/>
  <c r="Z2868" i="7"/>
  <c r="AH2860" i="7"/>
  <c r="R507" i="7"/>
  <c r="J1984" i="7"/>
  <c r="R2030" i="7"/>
  <c r="Z2331" i="7"/>
  <c r="AH2941" i="7"/>
  <c r="AP1883" i="7"/>
  <c r="AP1968" i="7"/>
  <c r="B1917" i="7"/>
  <c r="AH1592" i="7"/>
  <c r="AP1845" i="7"/>
  <c r="R1627" i="7"/>
  <c r="Z1793" i="7"/>
  <c r="R1695" i="7"/>
  <c r="AH1198" i="7"/>
  <c r="R1708" i="7"/>
  <c r="AH2310" i="7"/>
  <c r="AH2937" i="7"/>
  <c r="AP1870" i="7"/>
  <c r="R1193" i="7"/>
  <c r="J941" i="7"/>
  <c r="J1762" i="7"/>
  <c r="R1417" i="7"/>
  <c r="Z2652" i="7"/>
  <c r="AH1960" i="7"/>
  <c r="Z1831" i="7"/>
  <c r="B1799" i="7"/>
  <c r="Z1507" i="7"/>
  <c r="AH1594" i="7"/>
  <c r="Z1417" i="7"/>
  <c r="Z2526" i="7"/>
  <c r="Z2462" i="7"/>
  <c r="Z2450" i="7"/>
  <c r="Z2438" i="7"/>
  <c r="Z2459" i="7"/>
  <c r="Z2447" i="7"/>
  <c r="AH2588" i="7"/>
  <c r="AH2591" i="7"/>
  <c r="AH2733" i="7"/>
  <c r="Z2408" i="7"/>
  <c r="AH3009" i="7"/>
  <c r="Z2736" i="7"/>
  <c r="AH2099" i="7"/>
  <c r="Z2124" i="7"/>
  <c r="B1975" i="7"/>
  <c r="Z866" i="7"/>
  <c r="J1144" i="7"/>
  <c r="R1121" i="7"/>
  <c r="Z1042" i="7"/>
  <c r="AP1005" i="7"/>
  <c r="AP972" i="7"/>
  <c r="AH1061" i="7"/>
  <c r="AH1051" i="7"/>
  <c r="R969" i="7"/>
  <c r="AP671" i="7"/>
  <c r="AH671" i="7"/>
  <c r="Z495" i="7"/>
  <c r="Z489" i="7"/>
  <c r="Z2876" i="7"/>
  <c r="AH2617" i="7"/>
  <c r="AH2533" i="7"/>
  <c r="Z2489" i="7"/>
  <c r="AP1737" i="7"/>
  <c r="AP1292" i="7"/>
  <c r="AP1001" i="7"/>
  <c r="Z1194" i="7"/>
  <c r="J824" i="7"/>
  <c r="J475" i="7"/>
  <c r="AH455" i="7"/>
  <c r="AH2330" i="7"/>
  <c r="B1861" i="7"/>
  <c r="J1793" i="7"/>
  <c r="R1714" i="7"/>
  <c r="AH1613" i="7"/>
  <c r="J1799" i="7"/>
  <c r="Z2435" i="7"/>
  <c r="Z2423" i="7"/>
  <c r="Z2411" i="7"/>
  <c r="Z2359" i="7"/>
  <c r="Z2261" i="7"/>
  <c r="AH2118" i="7"/>
  <c r="AH2109" i="7"/>
  <c r="AH2305" i="7"/>
  <c r="Z2564" i="7"/>
  <c r="AH2532" i="7"/>
  <c r="Z2469" i="7"/>
  <c r="AH2350" i="7"/>
  <c r="AP1811" i="7"/>
  <c r="AP1781" i="7"/>
  <c r="AH1425" i="7"/>
  <c r="AH1416" i="7"/>
  <c r="AH1407" i="7"/>
  <c r="AH1398" i="7"/>
  <c r="AH1389" i="7"/>
  <c r="AH1380" i="7"/>
  <c r="AH2845" i="7"/>
  <c r="AH2248" i="7"/>
  <c r="AH2223" i="7"/>
  <c r="AH2236" i="7"/>
  <c r="Z2187" i="7"/>
  <c r="Z2034" i="7"/>
  <c r="B1478" i="7"/>
  <c r="Z1485" i="7"/>
  <c r="J1452" i="7"/>
  <c r="AP1382" i="7"/>
  <c r="Z2587" i="7"/>
  <c r="AH2319" i="7"/>
  <c r="AH2204" i="7"/>
  <c r="AH2489" i="7"/>
  <c r="Z2221" i="7"/>
  <c r="AH2373" i="7"/>
  <c r="Z2127" i="7"/>
  <c r="R1982" i="7"/>
  <c r="Z2451" i="7"/>
  <c r="Z2415" i="7"/>
  <c r="Z2203" i="7"/>
  <c r="Z2032" i="7"/>
  <c r="AP1745" i="7"/>
  <c r="R1757" i="7"/>
  <c r="J1764" i="7"/>
  <c r="B1396" i="7"/>
  <c r="AP1318" i="7"/>
  <c r="AP1295" i="7"/>
  <c r="Z2159" i="7"/>
  <c r="B1843" i="7"/>
  <c r="B1410" i="7"/>
  <c r="AP1334" i="7"/>
  <c r="AP1316" i="7"/>
  <c r="AP1298" i="7"/>
  <c r="AH1057" i="7"/>
  <c r="J1068" i="7"/>
  <c r="AH1071" i="7"/>
  <c r="AH944" i="7"/>
  <c r="AH896" i="7"/>
  <c r="AH992" i="7"/>
  <c r="J807" i="7"/>
  <c r="AH775" i="7"/>
  <c r="AH451" i="7"/>
  <c r="AP848" i="7"/>
  <c r="AP2066" i="7"/>
  <c r="Z2144" i="7"/>
  <c r="R1681" i="7"/>
  <c r="R1612" i="7"/>
  <c r="R1367" i="7"/>
  <c r="AP1296" i="7"/>
  <c r="AP1522" i="7"/>
  <c r="R1344" i="7"/>
  <c r="AP2037" i="7"/>
  <c r="R1198" i="7"/>
  <c r="R1142" i="7"/>
  <c r="J1129" i="7"/>
  <c r="AP984" i="7"/>
  <c r="AP918" i="7"/>
  <c r="R1139" i="7"/>
  <c r="J1018" i="7"/>
  <c r="Z999" i="7"/>
  <c r="J987" i="7"/>
  <c r="Z960" i="7"/>
  <c r="Z872" i="7"/>
  <c r="AP1971" i="7"/>
  <c r="Z1418" i="7"/>
  <c r="B1392" i="7"/>
  <c r="R1155" i="7"/>
  <c r="AH792" i="7"/>
  <c r="J469" i="7"/>
  <c r="AH449" i="7"/>
  <c r="R334" i="7"/>
  <c r="AH829" i="7"/>
  <c r="J478" i="7"/>
  <c r="AH453" i="7"/>
  <c r="R382" i="7"/>
  <c r="R310" i="7"/>
  <c r="R346" i="7"/>
  <c r="AP2035" i="7"/>
  <c r="Z1600" i="7"/>
  <c r="J1258" i="7"/>
  <c r="B910" i="7"/>
  <c r="B898" i="7"/>
  <c r="B886" i="7"/>
  <c r="B909" i="7"/>
  <c r="AH2463" i="7"/>
  <c r="AH2229" i="7"/>
  <c r="AH2105" i="7"/>
  <c r="AP2141" i="7"/>
  <c r="R1842" i="7"/>
  <c r="AH1780" i="7"/>
  <c r="AP1896" i="7"/>
  <c r="B1821" i="7"/>
  <c r="J1480" i="7"/>
  <c r="J1049" i="7"/>
  <c r="AH954" i="7"/>
  <c r="AH2119" i="7"/>
  <c r="B1820" i="7"/>
  <c r="Z1791" i="7"/>
  <c r="R1750" i="7"/>
  <c r="R1712" i="7"/>
  <c r="Z1505" i="7"/>
  <c r="R1366" i="7"/>
  <c r="AP1330" i="7"/>
  <c r="AP1312" i="7"/>
  <c r="Z1397" i="7"/>
  <c r="Z1274" i="7"/>
  <c r="AP1328" i="7"/>
  <c r="AP1309" i="7"/>
  <c r="AP1289" i="7"/>
  <c r="R1138" i="7"/>
  <c r="J1197" i="7"/>
  <c r="J908" i="7"/>
  <c r="J1059" i="7"/>
  <c r="B983" i="7"/>
  <c r="AH887" i="7"/>
  <c r="J1163" i="7"/>
  <c r="J505" i="7"/>
  <c r="J466" i="7"/>
  <c r="Z2155" i="7"/>
  <c r="AH2747" i="7"/>
  <c r="Z1989" i="7"/>
  <c r="R1692" i="7"/>
  <c r="J2005" i="7"/>
  <c r="Z2827" i="7"/>
  <c r="AP2094" i="7"/>
  <c r="R1996" i="7"/>
  <c r="B1789" i="7"/>
  <c r="AH1174" i="7"/>
  <c r="R1609" i="7"/>
  <c r="AH1137" i="7"/>
  <c r="Z1869" i="7"/>
  <c r="B192" i="7"/>
  <c r="B186" i="7"/>
  <c r="J175" i="7"/>
  <c r="J166" i="7"/>
  <c r="J157" i="7"/>
  <c r="J148" i="7"/>
  <c r="J139" i="7"/>
  <c r="J130" i="7"/>
  <c r="J121" i="7"/>
  <c r="J112" i="7"/>
  <c r="Z3008" i="7"/>
  <c r="Z2703" i="7"/>
  <c r="AH2445" i="7"/>
  <c r="Z2010" i="7"/>
  <c r="Z1998" i="7"/>
  <c r="J1942" i="7"/>
  <c r="J1923" i="7"/>
  <c r="J1807" i="7"/>
  <c r="B1794" i="7"/>
  <c r="J1377" i="7"/>
  <c r="J1135" i="7"/>
  <c r="Z1103" i="7"/>
  <c r="Z1058" i="7"/>
  <c r="J1196" i="7"/>
  <c r="R1124" i="7"/>
  <c r="J1078" i="7"/>
  <c r="Z1027" i="7"/>
  <c r="J943" i="7"/>
  <c r="Z869" i="7"/>
  <c r="U4" i="4" a="1"/>
  <c r="U4" i="4" s="1"/>
  <c r="Z4" i="4" s="1"/>
  <c r="AH2798" i="7"/>
  <c r="AH3011" i="7"/>
  <c r="AH2539" i="7"/>
  <c r="Z2464" i="7"/>
  <c r="AH3059" i="7"/>
  <c r="Z1997" i="7"/>
  <c r="J1939" i="7"/>
  <c r="AH1890" i="7"/>
  <c r="R1749" i="7"/>
  <c r="R1726" i="7"/>
  <c r="R1167" i="7"/>
  <c r="AH1135" i="7"/>
  <c r="Z1429" i="7"/>
  <c r="AH1149" i="7"/>
  <c r="AH1132" i="7"/>
  <c r="J1103" i="7"/>
  <c r="R1173" i="7"/>
  <c r="J1119" i="7"/>
  <c r="R1484" i="7"/>
  <c r="AH1179" i="7"/>
  <c r="AH1138" i="7"/>
  <c r="J1094" i="7"/>
  <c r="J865" i="7"/>
  <c r="R847" i="7"/>
  <c r="J868" i="7"/>
  <c r="B1822" i="7"/>
  <c r="R1710" i="7"/>
  <c r="AP1885" i="7"/>
  <c r="AH1581" i="7"/>
  <c r="R1188" i="7"/>
  <c r="R1420" i="7"/>
  <c r="Z2470" i="7"/>
  <c r="R1904" i="7"/>
  <c r="R1898" i="7"/>
  <c r="Z1891" i="7"/>
  <c r="Z1892" i="7"/>
  <c r="Z1881" i="7"/>
  <c r="J672" i="7"/>
  <c r="Z2242" i="7"/>
  <c r="AH2821" i="7"/>
  <c r="Z2486" i="7"/>
  <c r="Z2419" i="7"/>
  <c r="Z2628" i="7"/>
  <c r="AP1978" i="7"/>
  <c r="R1662" i="7"/>
  <c r="Z2239" i="7"/>
  <c r="AP1903" i="7"/>
  <c r="R1752" i="7"/>
  <c r="Z3047" i="7"/>
  <c r="AP1950" i="7"/>
  <c r="AP1879" i="7"/>
  <c r="B1773" i="7"/>
  <c r="AH1194" i="7"/>
  <c r="J1180" i="7"/>
  <c r="AH1168" i="7"/>
  <c r="J1124" i="7"/>
  <c r="B1408" i="7"/>
  <c r="L66" i="1"/>
  <c r="AH307" i="7"/>
  <c r="AH304" i="7"/>
  <c r="AH301" i="7"/>
  <c r="AH298" i="7"/>
  <c r="AH295" i="7"/>
  <c r="AH292" i="7"/>
  <c r="AH289" i="7"/>
  <c r="AH286" i="7"/>
  <c r="AH283" i="7"/>
  <c r="AH280" i="7"/>
  <c r="AH277" i="7"/>
  <c r="AH274" i="7"/>
  <c r="AH271" i="7"/>
  <c r="AH268" i="7"/>
  <c r="AH265" i="7"/>
  <c r="AH262" i="7"/>
  <c r="AH259" i="7"/>
  <c r="AH256" i="7"/>
  <c r="AH253" i="7"/>
  <c r="AH250" i="7"/>
  <c r="AH247" i="7"/>
  <c r="AH244" i="7"/>
  <c r="AH241" i="7"/>
  <c r="AH238" i="7"/>
  <c r="AH235" i="7"/>
  <c r="AH232" i="7"/>
  <c r="AH229" i="7"/>
  <c r="AH226" i="7"/>
  <c r="AH223" i="7"/>
  <c r="AH220" i="7"/>
  <c r="AH217" i="7"/>
  <c r="AH214" i="7"/>
  <c r="AH211" i="7"/>
  <c r="AH208" i="7"/>
  <c r="AH205" i="7"/>
  <c r="AH202" i="7"/>
  <c r="AH199" i="7"/>
  <c r="AH196" i="7"/>
  <c r="AH3106" i="7"/>
  <c r="AH3103" i="7"/>
  <c r="AH3091" i="7"/>
  <c r="AH3079" i="7"/>
  <c r="AH3051" i="7"/>
  <c r="AH3042" i="7"/>
  <c r="AH3036" i="7"/>
  <c r="Z2911" i="7"/>
  <c r="Z2807" i="7"/>
  <c r="Z2623" i="7"/>
  <c r="AH2642" i="7"/>
  <c r="Z2528" i="7"/>
  <c r="Z2330" i="7"/>
  <c r="Z2387" i="7"/>
  <c r="AP2061" i="7"/>
  <c r="AP2058" i="7"/>
  <c r="AP2055" i="7"/>
  <c r="AP2052" i="7"/>
  <c r="J2022" i="7"/>
  <c r="Z1885" i="7"/>
  <c r="AP1775" i="7"/>
  <c r="AP1769" i="7"/>
  <c r="AP1766" i="7"/>
  <c r="AP1763" i="7"/>
  <c r="AP1760" i="7"/>
  <c r="AH1428" i="7"/>
  <c r="AH1419" i="7"/>
  <c r="AH1410" i="7"/>
  <c r="AH1401" i="7"/>
  <c r="AH1392" i="7"/>
  <c r="AH1383" i="7"/>
  <c r="J1291" i="7"/>
  <c r="J1282" i="7"/>
  <c r="J1273" i="7"/>
  <c r="J1264" i="7"/>
  <c r="J1255" i="7"/>
  <c r="J1296" i="7"/>
  <c r="J1287" i="7"/>
  <c r="B897" i="7"/>
  <c r="B879" i="7"/>
  <c r="B896" i="7"/>
  <c r="B878" i="7"/>
  <c r="B913" i="7"/>
  <c r="B901" i="7"/>
  <c r="B889" i="7"/>
  <c r="B877" i="7"/>
  <c r="B911" i="7"/>
  <c r="B893" i="7"/>
  <c r="B875" i="7"/>
  <c r="L60" i="1"/>
  <c r="L14" i="1"/>
  <c r="B1016" i="7"/>
  <c r="AH3098" i="7"/>
  <c r="AH3080" i="7"/>
  <c r="Z2975" i="7"/>
  <c r="AH2946" i="7"/>
  <c r="AH2916" i="7"/>
  <c r="AH3023" i="7"/>
  <c r="Z2968" i="7"/>
  <c r="AH2523" i="7"/>
  <c r="Z2360" i="7"/>
  <c r="Z2345" i="7"/>
  <c r="AH2325" i="7"/>
  <c r="B2136" i="7"/>
  <c r="AH2103" i="7"/>
  <c r="AH2594" i="7"/>
  <c r="AH2471" i="7"/>
  <c r="Z2363" i="7"/>
  <c r="R1900" i="7"/>
  <c r="Z1597" i="7"/>
  <c r="J1299" i="7"/>
  <c r="J1290" i="7"/>
  <c r="L23" i="1"/>
  <c r="C95" i="2"/>
  <c r="Z2768" i="7"/>
  <c r="Z2694" i="7"/>
  <c r="Z2708" i="7"/>
  <c r="AH2903" i="7"/>
  <c r="AH2579" i="7"/>
  <c r="AH2615" i="7"/>
  <c r="AH2573" i="7"/>
  <c r="AH2570" i="7"/>
  <c r="AH2531" i="7"/>
  <c r="Z2246" i="7"/>
  <c r="J2101" i="7"/>
  <c r="Z1890" i="7"/>
  <c r="Z1878" i="7"/>
  <c r="Z1866" i="7"/>
  <c r="Z1846" i="7"/>
  <c r="R1909" i="7"/>
  <c r="Z1867" i="7"/>
  <c r="Z1886" i="7"/>
  <c r="Z1880" i="7"/>
  <c r="Z1874" i="7"/>
  <c r="Z1868" i="7"/>
  <c r="Z1862" i="7"/>
  <c r="Z1856" i="7"/>
  <c r="B1640" i="7"/>
  <c r="Z1635" i="7"/>
  <c r="B1631" i="7"/>
  <c r="Z1626" i="7"/>
  <c r="B1622" i="7"/>
  <c r="Z1617" i="7"/>
  <c r="B1613" i="7"/>
  <c r="Z1608" i="7"/>
  <c r="B1604" i="7"/>
  <c r="Z1599" i="7"/>
  <c r="Z1594" i="7"/>
  <c r="Z1585" i="7"/>
  <c r="AH1306" i="7"/>
  <c r="B1082" i="7"/>
  <c r="B1076" i="7"/>
  <c r="B1070" i="7"/>
  <c r="B1064" i="7"/>
  <c r="B1058" i="7"/>
  <c r="B1052" i="7"/>
  <c r="B1044" i="7"/>
  <c r="B1035" i="7"/>
  <c r="B1026" i="7"/>
  <c r="B1017" i="7"/>
  <c r="Z602" i="7"/>
  <c r="Z593" i="7"/>
  <c r="Z584" i="7"/>
  <c r="Z575" i="7"/>
  <c r="Z566" i="7"/>
  <c r="Z557" i="7"/>
  <c r="Z548" i="7"/>
  <c r="Z539" i="7"/>
  <c r="Z530" i="7"/>
  <c r="J172" i="7"/>
  <c r="J163" i="7"/>
  <c r="J154" i="7"/>
  <c r="J145" i="7"/>
  <c r="J136" i="7"/>
  <c r="J127" i="7"/>
  <c r="J118" i="7"/>
  <c r="L17" i="1"/>
  <c r="B193" i="7"/>
  <c r="B184" i="7"/>
  <c r="J177" i="7"/>
  <c r="J168" i="7"/>
  <c r="J159" i="7"/>
  <c r="J150" i="7"/>
  <c r="J141" i="7"/>
  <c r="J132" i="7"/>
  <c r="J123" i="7"/>
  <c r="J114" i="7"/>
  <c r="Z2804" i="7"/>
  <c r="Z2795" i="7"/>
  <c r="AH2727" i="7"/>
  <c r="AH2721" i="7"/>
  <c r="AH2736" i="7"/>
  <c r="Z2399" i="7"/>
  <c r="Z1873" i="7"/>
  <c r="AH1308" i="7"/>
  <c r="AH3107" i="7"/>
  <c r="AH3089" i="7"/>
  <c r="AH3000" i="7"/>
  <c r="Z2963" i="7"/>
  <c r="AH2907" i="7"/>
  <c r="Z2617" i="7"/>
  <c r="Z2891" i="7"/>
  <c r="AH2792" i="7"/>
  <c r="Z2723" i="7"/>
  <c r="AH2497" i="7"/>
  <c r="AH2608" i="7"/>
  <c r="AH2569" i="7"/>
  <c r="AH2783" i="7"/>
  <c r="Z2714" i="7"/>
  <c r="AH2465" i="7"/>
  <c r="AH2433" i="7"/>
  <c r="AH2485" i="7"/>
  <c r="AH2391" i="7"/>
  <c r="Z2347" i="7"/>
  <c r="AH2249" i="7"/>
  <c r="AH2415" i="7"/>
  <c r="AH2382" i="7"/>
  <c r="AH2207" i="7"/>
  <c r="AH2071" i="7"/>
  <c r="R2028" i="7"/>
  <c r="AH2067" i="7"/>
  <c r="AH2007" i="7"/>
  <c r="AH2025" i="7"/>
  <c r="Z1982" i="7"/>
  <c r="AP1960" i="7"/>
  <c r="R2038" i="7"/>
  <c r="AH2001" i="7"/>
  <c r="Z1990" i="7"/>
  <c r="B1801" i="7"/>
  <c r="R2029" i="7"/>
  <c r="R1835" i="7"/>
  <c r="B1766" i="7"/>
  <c r="AP1418" i="7"/>
  <c r="AP1400" i="7"/>
  <c r="B1228" i="7"/>
  <c r="Z1226" i="7"/>
  <c r="AH1210" i="7"/>
  <c r="R1189" i="7"/>
  <c r="J1184" i="7"/>
  <c r="R1180" i="7"/>
  <c r="Z1097" i="7"/>
  <c r="R1195" i="7"/>
  <c r="B851" i="7"/>
  <c r="B841" i="7"/>
  <c r="Z863" i="7"/>
  <c r="Z936" i="7"/>
  <c r="Z918" i="7"/>
  <c r="Z834" i="7"/>
  <c r="Z851" i="7"/>
  <c r="AP942" i="7"/>
  <c r="J919" i="7"/>
  <c r="J901" i="7"/>
  <c r="B860" i="7"/>
  <c r="Z491" i="7"/>
  <c r="Z3012" i="7"/>
  <c r="Z2455" i="7"/>
  <c r="Z2337" i="7"/>
  <c r="Z2418" i="7"/>
  <c r="AH2271" i="7"/>
  <c r="Z2395" i="7"/>
  <c r="R2050" i="7"/>
  <c r="AH2748" i="7"/>
  <c r="Z2555" i="7"/>
  <c r="Z2272" i="7"/>
  <c r="Z2139" i="7"/>
  <c r="B2084" i="7"/>
  <c r="Z1991" i="7"/>
  <c r="Z2071" i="7"/>
  <c r="Z2433" i="7"/>
  <c r="J2138" i="7"/>
  <c r="AP2083" i="7"/>
  <c r="J1980" i="7"/>
  <c r="AP1972" i="7"/>
  <c r="Z2640" i="7"/>
  <c r="Z2428" i="7"/>
  <c r="AH2146" i="7"/>
  <c r="R2074" i="7"/>
  <c r="AP1974" i="7"/>
  <c r="AP1932" i="7"/>
  <c r="Z2009" i="7"/>
  <c r="J1800" i="7"/>
  <c r="B1774" i="7"/>
  <c r="R1718" i="7"/>
  <c r="R1694" i="7"/>
  <c r="AP1867" i="7"/>
  <c r="R1747" i="7"/>
  <c r="B1882" i="7"/>
  <c r="J1763" i="7"/>
  <c r="AP1565" i="7"/>
  <c r="AH1640" i="7"/>
  <c r="AH1628" i="7"/>
  <c r="Z1528" i="7"/>
  <c r="R1352" i="7"/>
  <c r="AP1333" i="7"/>
  <c r="AP1315" i="7"/>
  <c r="B1422" i="7"/>
  <c r="AP1369" i="7"/>
  <c r="B1414" i="7"/>
  <c r="R1342" i="7"/>
  <c r="AP1319" i="7"/>
  <c r="AP1301" i="7"/>
  <c r="R1402" i="7"/>
  <c r="J2150" i="7"/>
  <c r="AP1947" i="7"/>
  <c r="AP1857" i="7"/>
  <c r="Z1493" i="7"/>
  <c r="B1449" i="7"/>
  <c r="R1396" i="7"/>
  <c r="R1360" i="7"/>
  <c r="R1340" i="7"/>
  <c r="AP1294" i="7"/>
  <c r="AH1267" i="7"/>
  <c r="Z1202" i="7"/>
  <c r="Z1040" i="7"/>
  <c r="R1358" i="7"/>
  <c r="R1141" i="7"/>
  <c r="J1036" i="7"/>
  <c r="B975" i="7"/>
  <c r="R1377" i="7"/>
  <c r="Z1195" i="7"/>
  <c r="AH1173" i="7"/>
  <c r="AH1155" i="7"/>
  <c r="R1110" i="7"/>
  <c r="J1009" i="7"/>
  <c r="J1172" i="7"/>
  <c r="Z1072" i="7"/>
  <c r="AP880" i="7"/>
  <c r="R831" i="7"/>
  <c r="R869" i="7"/>
  <c r="AP305" i="7"/>
  <c r="R390" i="7"/>
  <c r="J884" i="7"/>
  <c r="B844" i="7"/>
  <c r="Z1512" i="7"/>
  <c r="Z901" i="7"/>
  <c r="R854" i="7"/>
  <c r="Z830" i="7"/>
  <c r="AH769" i="7"/>
  <c r="R370" i="7"/>
  <c r="Z2697" i="7"/>
  <c r="Z2590" i="7"/>
  <c r="Z2594" i="7"/>
  <c r="Z2608" i="7"/>
  <c r="AH2401" i="7"/>
  <c r="AH2290" i="7"/>
  <c r="AH2744" i="7"/>
  <c r="Z2627" i="7"/>
  <c r="AH2205" i="7"/>
  <c r="J2105" i="7"/>
  <c r="B1972" i="7"/>
  <c r="R1838" i="7"/>
  <c r="B1791" i="7"/>
  <c r="J1498" i="7"/>
  <c r="J1486" i="7"/>
  <c r="J1430" i="7"/>
  <c r="J1451" i="7"/>
  <c r="J1382" i="7"/>
  <c r="R1216" i="7"/>
  <c r="AP1206" i="7"/>
  <c r="J1171" i="7"/>
  <c r="J1162" i="7"/>
  <c r="AP1073" i="7"/>
  <c r="R1064" i="7"/>
  <c r="Z1085" i="7"/>
  <c r="J1043" i="7"/>
  <c r="J1150" i="7"/>
  <c r="J1132" i="7"/>
  <c r="R1051" i="7"/>
  <c r="R1175" i="7"/>
  <c r="R1166" i="7"/>
  <c r="R1157" i="7"/>
  <c r="J1110" i="7"/>
  <c r="Z1033" i="7"/>
  <c r="Z1005" i="7"/>
  <c r="Z1017" i="7"/>
  <c r="Z900" i="7"/>
  <c r="B955" i="7"/>
  <c r="AH915" i="7"/>
  <c r="B869" i="7"/>
  <c r="Z1064" i="7"/>
  <c r="J949" i="7"/>
  <c r="AP872" i="7"/>
  <c r="R506" i="7"/>
  <c r="AH2772" i="7"/>
  <c r="AH2842" i="7"/>
  <c r="Z2732" i="7"/>
  <c r="Z2472" i="7"/>
  <c r="Z2460" i="7"/>
  <c r="AH2216" i="7"/>
  <c r="Z2318" i="7"/>
  <c r="Z2078" i="7"/>
  <c r="Z2618" i="7"/>
  <c r="Z2820" i="7"/>
  <c r="Z2545" i="7"/>
  <c r="AH2457" i="7"/>
  <c r="Z2547" i="7"/>
  <c r="Z2212" i="7"/>
  <c r="AH2199" i="7"/>
  <c r="AH2213" i="7"/>
  <c r="Z2192" i="7"/>
  <c r="Z2180" i="7"/>
  <c r="Z2446" i="7"/>
  <c r="AH2581" i="7"/>
  <c r="AH2273" i="7"/>
  <c r="AH2376" i="7"/>
  <c r="Z2281" i="7"/>
  <c r="Z2082" i="7"/>
  <c r="AH2557" i="7"/>
  <c r="Z2077" i="7"/>
  <c r="R2072" i="7"/>
  <c r="B2065" i="7"/>
  <c r="R2022" i="7"/>
  <c r="AH2160" i="7"/>
  <c r="J2092" i="7"/>
  <c r="Z1984" i="7"/>
  <c r="B2105" i="7"/>
  <c r="AP2123" i="7"/>
  <c r="AH2019" i="7"/>
  <c r="AH1989" i="7"/>
  <c r="AP1954" i="7"/>
  <c r="AH1827" i="7"/>
  <c r="AH1801" i="7"/>
  <c r="J1902" i="7"/>
  <c r="AP1850" i="7"/>
  <c r="AP1424" i="7"/>
  <c r="AP1407" i="7"/>
  <c r="Z1491" i="7"/>
  <c r="J1504" i="7"/>
  <c r="J1492" i="7"/>
  <c r="J1412" i="7"/>
  <c r="J1213" i="7"/>
  <c r="Z1070" i="7"/>
  <c r="Z1076" i="7"/>
  <c r="Z1079" i="7"/>
  <c r="J982" i="7"/>
  <c r="J925" i="7"/>
  <c r="J883" i="7"/>
  <c r="Z841" i="7"/>
  <c r="J913" i="7"/>
  <c r="J889" i="7"/>
  <c r="Z833" i="7"/>
  <c r="Z494" i="7"/>
  <c r="Z516" i="7"/>
  <c r="R505" i="7"/>
  <c r="AH2830" i="7"/>
  <c r="AH2956" i="7"/>
  <c r="Z2777" i="7"/>
  <c r="AH2599" i="7"/>
  <c r="AH2770" i="7"/>
  <c r="Z2933" i="7"/>
  <c r="AH2590" i="7"/>
  <c r="Z2649" i="7"/>
  <c r="Z2388" i="7"/>
  <c r="AH2337" i="7"/>
  <c r="AH2680" i="7"/>
  <c r="Z2519" i="7"/>
  <c r="AH2467" i="7"/>
  <c r="R2068" i="7"/>
  <c r="Z2003" i="7"/>
  <c r="AH2091" i="7"/>
  <c r="Z2409" i="7"/>
  <c r="AH2250" i="7"/>
  <c r="Z2119" i="7"/>
  <c r="J2011" i="7"/>
  <c r="AH2494" i="7"/>
  <c r="Z2845" i="7"/>
  <c r="Z2693" i="7"/>
  <c r="AH2548" i="7"/>
  <c r="AH2306" i="7"/>
  <c r="Z2097" i="7"/>
  <c r="Z2389" i="7"/>
  <c r="AP2117" i="7"/>
  <c r="R2064" i="7"/>
  <c r="AH2851" i="7"/>
  <c r="Z2090" i="7"/>
  <c r="J1858" i="7"/>
  <c r="B1770" i="7"/>
  <c r="R1755" i="7"/>
  <c r="B1769" i="7"/>
  <c r="J1760" i="7"/>
  <c r="R1706" i="7"/>
  <c r="R1676" i="7"/>
  <c r="AH1849" i="7"/>
  <c r="AP1953" i="7"/>
  <c r="R1730" i="7"/>
  <c r="R1621" i="7"/>
  <c r="Z1518" i="7"/>
  <c r="AP1327" i="7"/>
  <c r="AP1297" i="7"/>
  <c r="R1274" i="7"/>
  <c r="AH1276" i="7"/>
  <c r="B1482" i="7"/>
  <c r="Z1427" i="7"/>
  <c r="R1346" i="7"/>
  <c r="AP1331" i="7"/>
  <c r="AP1313" i="7"/>
  <c r="AP1291" i="7"/>
  <c r="R1414" i="7"/>
  <c r="AP1846" i="7"/>
  <c r="R1364" i="7"/>
  <c r="AP1310" i="7"/>
  <c r="AH1279" i="7"/>
  <c r="AH1158" i="7"/>
  <c r="J1082" i="7"/>
  <c r="R1161" i="7"/>
  <c r="R1126" i="7"/>
  <c r="AH1170" i="7"/>
  <c r="Z1225" i="7"/>
  <c r="J1035" i="7"/>
  <c r="AH1161" i="7"/>
  <c r="J906" i="7"/>
  <c r="Z1262" i="7"/>
  <c r="R527" i="7"/>
  <c r="Z873" i="7"/>
  <c r="B835" i="7"/>
  <c r="J437" i="7"/>
  <c r="R1187" i="7"/>
  <c r="AH787" i="7"/>
  <c r="AH2439" i="7"/>
  <c r="AH2407" i="7"/>
  <c r="Z2398" i="7"/>
  <c r="AP2079" i="7"/>
  <c r="AP1946" i="7"/>
  <c r="B1978" i="7"/>
  <c r="B1966" i="7"/>
  <c r="J1917" i="7"/>
  <c r="J1867" i="7"/>
  <c r="B1760" i="7"/>
  <c r="AH1782" i="7"/>
  <c r="B1848" i="7"/>
  <c r="R1836" i="7"/>
  <c r="R1784" i="7"/>
  <c r="AH1839" i="7"/>
  <c r="B1446" i="7"/>
  <c r="B1434" i="7"/>
  <c r="R1385" i="7"/>
  <c r="AP1406" i="7"/>
  <c r="R1397" i="7"/>
  <c r="J1394" i="7"/>
  <c r="J1156" i="7"/>
  <c r="J1138" i="7"/>
  <c r="J1120" i="7"/>
  <c r="AP1104" i="7"/>
  <c r="AP1086" i="7"/>
  <c r="Z1051" i="7"/>
  <c r="J1031" i="7"/>
  <c r="R1148" i="7"/>
  <c r="AP1061" i="7"/>
  <c r="J994" i="7"/>
  <c r="AH951" i="7"/>
  <c r="Z842" i="7"/>
  <c r="Z1126" i="7"/>
  <c r="R1076" i="7"/>
  <c r="J833" i="7"/>
  <c r="AH522" i="7"/>
  <c r="J514" i="7"/>
  <c r="Z492" i="7"/>
  <c r="AH2993" i="7"/>
  <c r="Z2739" i="7"/>
  <c r="B2138" i="7"/>
  <c r="Z1983" i="7"/>
  <c r="AH2111" i="7"/>
  <c r="AP2021" i="7"/>
  <c r="J2019" i="7"/>
  <c r="AH2418" i="7"/>
  <c r="Z2352" i="7"/>
  <c r="R2076" i="7"/>
  <c r="Z2889" i="7"/>
  <c r="Z2532" i="7"/>
  <c r="AH2234" i="7"/>
  <c r="Z2151" i="7"/>
  <c r="AP1941" i="7"/>
  <c r="Z2397" i="7"/>
  <c r="B2134" i="7"/>
  <c r="AP1926" i="7"/>
  <c r="Z2465" i="7"/>
  <c r="Z2407" i="7"/>
  <c r="AP2087" i="7"/>
  <c r="Z2839" i="7"/>
  <c r="J2001" i="7"/>
  <c r="AH1954" i="7"/>
  <c r="AH1885" i="7"/>
  <c r="Z1832" i="7"/>
  <c r="B1765" i="7"/>
  <c r="R1700" i="7"/>
  <c r="R1670" i="7"/>
  <c r="R2046" i="7"/>
  <c r="AP1910" i="7"/>
  <c r="R1733" i="7"/>
  <c r="AH1847" i="7"/>
  <c r="J1804" i="7"/>
  <c r="R1767" i="7"/>
  <c r="R1723" i="7"/>
  <c r="R1615" i="7"/>
  <c r="R1370" i="7"/>
  <c r="R1348" i="7"/>
  <c r="AP1321" i="7"/>
  <c r="AP1288" i="7"/>
  <c r="R1259" i="7"/>
  <c r="R1477" i="7"/>
  <c r="B1426" i="7"/>
  <c r="B1402" i="7"/>
  <c r="AH1264" i="7"/>
  <c r="Z1388" i="7"/>
  <c r="AP1325" i="7"/>
  <c r="AP1306" i="7"/>
  <c r="B1459" i="7"/>
  <c r="B1373" i="7"/>
  <c r="J2126" i="7"/>
  <c r="AP1865" i="7"/>
  <c r="R1742" i="7"/>
  <c r="B1547" i="7"/>
  <c r="B1384" i="7"/>
  <c r="R1354" i="7"/>
  <c r="AP1304" i="7"/>
  <c r="AP1210" i="7"/>
  <c r="R1132" i="7"/>
  <c r="J1122" i="7"/>
  <c r="R1099" i="7"/>
  <c r="J948" i="7"/>
  <c r="J1185" i="7"/>
  <c r="J985" i="7"/>
  <c r="R1253" i="7"/>
  <c r="R1114" i="7"/>
  <c r="J1189" i="7"/>
  <c r="J1102" i="7"/>
  <c r="AP1003" i="7"/>
  <c r="Z988" i="7"/>
  <c r="B971" i="7"/>
  <c r="J1198" i="7"/>
  <c r="R1085" i="7"/>
  <c r="AP892" i="7"/>
  <c r="J1040" i="7"/>
  <c r="J926" i="7"/>
  <c r="J873" i="7"/>
  <c r="Z840" i="7"/>
  <c r="J481" i="7"/>
  <c r="AP387" i="7"/>
  <c r="Z870" i="7"/>
  <c r="R825" i="7"/>
  <c r="Z885" i="7"/>
  <c r="Z858" i="7"/>
  <c r="R416" i="7"/>
  <c r="R396" i="7"/>
  <c r="Z943" i="7"/>
  <c r="AH778" i="7"/>
  <c r="AH3112" i="7"/>
  <c r="AH3082" i="7"/>
  <c r="AH3027" i="7"/>
  <c r="Z2816" i="7"/>
  <c r="Z2780" i="7"/>
  <c r="Z2810" i="7"/>
  <c r="Z2801" i="7"/>
  <c r="Z2789" i="7"/>
  <c r="AH2585" i="7"/>
  <c r="AH2511" i="7"/>
  <c r="Z2225" i="7"/>
  <c r="Z2219" i="7"/>
  <c r="Z2213" i="7"/>
  <c r="Z2207" i="7"/>
  <c r="Z2267" i="7"/>
  <c r="Z2323" i="7"/>
  <c r="AP2036" i="7"/>
  <c r="AH1302" i="7"/>
  <c r="B1079" i="7"/>
  <c r="B1075" i="7"/>
  <c r="B1071" i="7"/>
  <c r="B1067" i="7"/>
  <c r="B1063" i="7"/>
  <c r="B1059" i="7"/>
  <c r="B1055" i="7"/>
  <c r="B1051" i="7"/>
  <c r="Z604" i="7"/>
  <c r="Z595" i="7"/>
  <c r="Z586" i="7"/>
  <c r="Z577" i="7"/>
  <c r="Z568" i="7"/>
  <c r="Z559" i="7"/>
  <c r="Z550" i="7"/>
  <c r="Z541" i="7"/>
  <c r="Z532" i="7"/>
  <c r="B602" i="7"/>
  <c r="B593" i="7"/>
  <c r="B584" i="7"/>
  <c r="B575" i="7"/>
  <c r="B566" i="7"/>
  <c r="B557" i="7"/>
  <c r="B548" i="7"/>
  <c r="B539" i="7"/>
  <c r="B530" i="7"/>
  <c r="B521" i="7"/>
  <c r="B512" i="7"/>
  <c r="B503" i="7"/>
  <c r="B194" i="7"/>
  <c r="B188" i="7"/>
  <c r="B182" i="7"/>
  <c r="J173" i="7"/>
  <c r="J164" i="7"/>
  <c r="J155" i="7"/>
  <c r="J146" i="7"/>
  <c r="J137" i="7"/>
  <c r="J128" i="7"/>
  <c r="J119" i="7"/>
  <c r="J110" i="7"/>
  <c r="Z2974" i="7"/>
  <c r="Z2902" i="7"/>
  <c r="Z2813" i="7"/>
  <c r="Z2786" i="7"/>
  <c r="Z2773" i="7"/>
  <c r="AH2790" i="7"/>
  <c r="Z2785" i="7"/>
  <c r="AH2648" i="7"/>
  <c r="Z2544" i="7"/>
  <c r="Z2348" i="7"/>
  <c r="AH2334" i="7"/>
  <c r="Z2324" i="7"/>
  <c r="Z2252" i="7"/>
  <c r="AP2104" i="7"/>
  <c r="B2031" i="7"/>
  <c r="J2023" i="7"/>
  <c r="R1903" i="7"/>
  <c r="Z1843" i="7"/>
  <c r="Z1888" i="7"/>
  <c r="Z1882" i="7"/>
  <c r="Z1876" i="7"/>
  <c r="Z1870" i="7"/>
  <c r="Z1864" i="7"/>
  <c r="Z1858" i="7"/>
  <c r="Z1848" i="7"/>
  <c r="AP1805" i="7"/>
  <c r="R1812" i="7"/>
  <c r="AP1803" i="7"/>
  <c r="AP1801" i="7"/>
  <c r="AP1812" i="7"/>
  <c r="R1803" i="7"/>
  <c r="Z1592" i="7"/>
  <c r="Z1583" i="7"/>
  <c r="AH1468" i="7"/>
  <c r="AH1462" i="7"/>
  <c r="AH1456" i="7"/>
  <c r="AH1450" i="7"/>
  <c r="AH1444" i="7"/>
  <c r="AH1438" i="7"/>
  <c r="AH1432" i="7"/>
  <c r="AH1423" i="7"/>
  <c r="AH1414" i="7"/>
  <c r="AH1405" i="7"/>
  <c r="AH1396" i="7"/>
  <c r="AH1387" i="7"/>
  <c r="AH306" i="7"/>
  <c r="AH303" i="7"/>
  <c r="AH300" i="7"/>
  <c r="B605" i="7"/>
  <c r="B596" i="7"/>
  <c r="B587" i="7"/>
  <c r="B578" i="7"/>
  <c r="B569" i="7"/>
  <c r="B560" i="7"/>
  <c r="B551" i="7"/>
  <c r="B542" i="7"/>
  <c r="B533" i="7"/>
  <c r="B527" i="7"/>
  <c r="B518" i="7"/>
  <c r="B509" i="7"/>
  <c r="B500" i="7"/>
  <c r="AE5" i="4"/>
  <c r="AE6" i="4" s="1"/>
  <c r="AE7" i="4" s="1"/>
  <c r="AE8" i="4" s="1"/>
  <c r="AE9" i="4" s="1"/>
  <c r="AE10" i="4" s="1"/>
  <c r="AE11" i="4" s="1"/>
  <c r="AE12" i="4" s="1"/>
  <c r="AE13" i="4" s="1"/>
  <c r="AE14" i="4" s="1"/>
  <c r="AE15" i="4" s="1"/>
  <c r="AE16" i="4" s="1"/>
  <c r="AE17" i="4" s="1"/>
  <c r="AE18" i="4" s="1"/>
  <c r="AE19" i="4" s="1"/>
  <c r="AE20" i="4" s="1"/>
  <c r="AE21" i="4" s="1"/>
  <c r="AE22" i="4" s="1"/>
  <c r="AE23" i="4" s="1"/>
  <c r="AE24" i="4" s="1"/>
  <c r="AE25" i="4" s="1"/>
  <c r="AE26" i="4" s="1"/>
  <c r="AE27" i="4" s="1"/>
  <c r="AE28" i="4" s="1"/>
  <c r="AE29" i="4" s="1"/>
  <c r="AE30" i="4" s="1"/>
  <c r="AE31" i="4" s="1"/>
  <c r="AE32" i="4" s="1"/>
  <c r="AE33" i="4" s="1"/>
  <c r="AE34" i="4" s="1"/>
  <c r="AE35" i="4" s="1"/>
  <c r="AE36" i="4" s="1"/>
  <c r="AE37" i="4" s="1"/>
  <c r="AE38" i="4" s="1"/>
  <c r="AE39" i="4" s="1"/>
  <c r="AE40" i="4" s="1"/>
  <c r="AE41" i="4" s="1"/>
  <c r="AE42" i="4" s="1"/>
  <c r="AE43" i="4" s="1"/>
  <c r="AE44" i="4" s="1"/>
  <c r="AE45" i="4" s="1"/>
  <c r="AE46" i="4" s="1"/>
  <c r="AE47" i="4" s="1"/>
  <c r="AE48" i="4" s="1"/>
  <c r="AE49" i="4" s="1"/>
  <c r="AE50" i="4" s="1"/>
  <c r="AE51" i="4" s="1"/>
  <c r="AE52" i="4" s="1"/>
  <c r="AE53" i="4" s="1"/>
  <c r="AE54" i="4" s="1"/>
  <c r="AE55" i="4" s="1"/>
  <c r="AE56" i="4" s="1"/>
  <c r="AE57" i="4" s="1"/>
  <c r="AE58" i="4" s="1"/>
  <c r="AE59" i="4" s="1"/>
  <c r="AE60" i="4" s="1"/>
  <c r="AE61" i="4" s="1"/>
  <c r="AE62" i="4" s="1"/>
  <c r="AE63" i="4" s="1"/>
  <c r="AE64" i="4" s="1"/>
  <c r="AE65" i="4" s="1"/>
  <c r="AE66" i="4" s="1"/>
  <c r="AE67" i="4" s="1"/>
  <c r="AE68" i="4" s="1"/>
  <c r="AE69" i="4" s="1"/>
  <c r="AE70" i="4" s="1"/>
  <c r="AE71" i="4" s="1"/>
  <c r="AE72" i="4" s="1"/>
  <c r="AE73" i="4" s="1"/>
  <c r="AE74" i="4" s="1"/>
  <c r="AE75" i="4" s="1"/>
  <c r="AE76" i="4" s="1"/>
  <c r="AE77" i="4" s="1"/>
  <c r="AE78" i="4" s="1"/>
  <c r="AE79" i="4" s="1"/>
  <c r="AE80" i="4" s="1"/>
  <c r="AE81" i="4" s="1"/>
  <c r="AE82" i="4" s="1"/>
  <c r="AE83" i="4" s="1"/>
  <c r="AE84" i="4" s="1"/>
  <c r="AE85" i="4" s="1"/>
  <c r="AE86" i="4" s="1"/>
  <c r="AE87" i="4" s="1"/>
  <c r="AE88" i="4" s="1"/>
  <c r="AE89" i="4" s="1"/>
  <c r="AE90" i="4" s="1"/>
  <c r="AE91" i="4" s="1"/>
  <c r="AE92" i="4" s="1"/>
  <c r="AE93" i="4" s="1"/>
  <c r="AE94" i="4" s="1"/>
  <c r="AE95" i="4" s="1"/>
  <c r="AE96" i="4" s="1"/>
  <c r="AE97" i="4" s="1"/>
  <c r="AE98" i="4" s="1"/>
  <c r="AE99" i="4" s="1"/>
  <c r="AE100" i="4" s="1"/>
  <c r="AE101" i="4" s="1"/>
  <c r="AE102" i="4" s="1"/>
  <c r="AE103" i="4" s="1"/>
  <c r="AE104" i="4" s="1"/>
  <c r="AE105" i="4" s="1"/>
  <c r="AE106" i="4" s="1"/>
  <c r="AE107" i="4" s="1"/>
  <c r="AE108" i="4" s="1"/>
  <c r="AE109" i="4" s="1"/>
  <c r="AE110" i="4" s="1"/>
  <c r="AE111" i="4" s="1"/>
  <c r="AE112" i="4" s="1"/>
  <c r="AE113" i="4" s="1"/>
  <c r="AE114" i="4" s="1"/>
  <c r="AE115" i="4" s="1"/>
  <c r="AE116" i="4" s="1"/>
  <c r="AE117" i="4" s="1"/>
  <c r="AE118" i="4" s="1"/>
  <c r="AE119" i="4" s="1"/>
  <c r="AE120" i="4" s="1"/>
  <c r="AE121" i="4" s="1"/>
  <c r="AE122" i="4" s="1"/>
  <c r="AE123" i="4" s="1"/>
  <c r="AE124" i="4" s="1"/>
  <c r="AE125" i="4" s="1"/>
  <c r="AE126" i="4" s="1"/>
  <c r="AE127" i="4" s="1"/>
  <c r="AE128" i="4" s="1"/>
  <c r="AE129" i="4" s="1"/>
  <c r="AE130" i="4" s="1"/>
  <c r="AE131" i="4" s="1"/>
  <c r="AE132" i="4" s="1"/>
  <c r="AE133" i="4" s="1"/>
  <c r="AE134" i="4" s="1"/>
  <c r="AE135" i="4" s="1"/>
  <c r="AE136" i="4" s="1"/>
  <c r="AE137" i="4" s="1"/>
  <c r="AE138" i="4" s="1"/>
  <c r="AE139" i="4" s="1"/>
  <c r="AE140" i="4" s="1"/>
  <c r="AE141" i="4" s="1"/>
  <c r="AE142" i="4" s="1"/>
  <c r="AE143" i="4" s="1"/>
  <c r="AE144" i="4" s="1"/>
  <c r="AE145" i="4" s="1"/>
  <c r="AE146" i="4" s="1"/>
  <c r="AE147" i="4" s="1"/>
  <c r="AE148" i="4" s="1"/>
  <c r="AE149" i="4" s="1"/>
  <c r="AE150" i="4" s="1"/>
  <c r="AE151" i="4" s="1"/>
  <c r="AE152" i="4" s="1"/>
  <c r="AE153" i="4" s="1"/>
  <c r="AE154" i="4" s="1"/>
  <c r="AE155" i="4" s="1"/>
  <c r="J176" i="7"/>
  <c r="J167" i="7"/>
  <c r="J158" i="7"/>
  <c r="J149" i="7"/>
  <c r="J140" i="7"/>
  <c r="J131" i="7"/>
  <c r="J122" i="7"/>
  <c r="J113" i="7"/>
  <c r="L54" i="1"/>
  <c r="B190" i="7"/>
  <c r="B181" i="7"/>
  <c r="J174" i="7"/>
  <c r="J165" i="7"/>
  <c r="J156" i="7"/>
  <c r="J147" i="7"/>
  <c r="J138" i="7"/>
  <c r="J129" i="7"/>
  <c r="J120" i="7"/>
  <c r="J111" i="7"/>
  <c r="AH3048" i="7"/>
  <c r="Z2935" i="7"/>
  <c r="Z2914" i="7"/>
  <c r="Z2905" i="7"/>
  <c r="Z2893" i="7"/>
  <c r="Z2920" i="7"/>
  <c r="AH2609" i="7"/>
  <c r="AH2493" i="7"/>
  <c r="AH2481" i="7"/>
  <c r="Z2357" i="7"/>
  <c r="Z2378" i="7"/>
  <c r="Z2372" i="7"/>
  <c r="Z2369" i="7"/>
  <c r="Z2336" i="7"/>
  <c r="Z2366" i="7"/>
  <c r="AH2368" i="7"/>
  <c r="Z2333" i="7"/>
  <c r="Z2317" i="7"/>
  <c r="Z2299" i="7"/>
  <c r="Z2264" i="7"/>
  <c r="Z2228" i="7"/>
  <c r="Z2222" i="7"/>
  <c r="Z2216" i="7"/>
  <c r="Z2210" i="7"/>
  <c r="Z2204" i="7"/>
  <c r="AH2136" i="7"/>
  <c r="B2118" i="7"/>
  <c r="AH2097" i="7"/>
  <c r="AH2200" i="7"/>
  <c r="Z2294" i="7"/>
  <c r="B2089" i="7"/>
  <c r="AH2514" i="7"/>
  <c r="AH2466" i="7"/>
  <c r="Z2312" i="7"/>
  <c r="AH2148" i="7"/>
  <c r="AH2133" i="7"/>
  <c r="B2124" i="7"/>
  <c r="AP2039" i="7"/>
  <c r="R1804" i="7"/>
  <c r="R1815" i="7"/>
  <c r="AP1806" i="7"/>
  <c r="Z1640" i="7"/>
  <c r="Z1637" i="7"/>
  <c r="Z1634" i="7"/>
  <c r="Z1631" i="7"/>
  <c r="Z1628" i="7"/>
  <c r="Z1625" i="7"/>
  <c r="Z1622" i="7"/>
  <c r="Z1619" i="7"/>
  <c r="Z1616" i="7"/>
  <c r="Z1613" i="7"/>
  <c r="Z1610" i="7"/>
  <c r="Z1607" i="7"/>
  <c r="Z1604" i="7"/>
  <c r="Z1601" i="7"/>
  <c r="Z1598" i="7"/>
  <c r="Z1595" i="7"/>
  <c r="Z1586" i="7"/>
  <c r="Z1647" i="7"/>
  <c r="AH1472" i="7"/>
  <c r="AH1466" i="7"/>
  <c r="AH1460" i="7"/>
  <c r="AH1454" i="7"/>
  <c r="AH1448" i="7"/>
  <c r="AH1442" i="7"/>
  <c r="AH1436" i="7"/>
  <c r="AH1477" i="7"/>
  <c r="AH1426" i="7"/>
  <c r="AH1417" i="7"/>
  <c r="AH1408" i="7"/>
  <c r="AH1399" i="7"/>
  <c r="AH1390" i="7"/>
  <c r="AH1381" i="7"/>
  <c r="AH1304" i="7"/>
  <c r="B1081" i="7"/>
  <c r="B1077" i="7"/>
  <c r="B1073" i="7"/>
  <c r="B1069" i="7"/>
  <c r="B1065" i="7"/>
  <c r="B1061" i="7"/>
  <c r="B1057" i="7"/>
  <c r="B1053" i="7"/>
  <c r="B1049" i="7"/>
  <c r="B1040" i="7"/>
  <c r="B1031" i="7"/>
  <c r="B1022" i="7"/>
  <c r="B1013" i="7"/>
  <c r="AH1089" i="7"/>
  <c r="B891" i="7"/>
  <c r="B899" i="7"/>
  <c r="B881" i="7"/>
  <c r="Z599" i="7"/>
  <c r="Z590" i="7"/>
  <c r="Z581" i="7"/>
  <c r="Z572" i="7"/>
  <c r="Z563" i="7"/>
  <c r="Z554" i="7"/>
  <c r="Z545" i="7"/>
  <c r="Z536" i="7"/>
  <c r="J178" i="7"/>
  <c r="J169" i="7"/>
  <c r="J160" i="7"/>
  <c r="J151" i="7"/>
  <c r="J142" i="7"/>
  <c r="J133" i="7"/>
  <c r="J124" i="7"/>
  <c r="J115" i="7"/>
  <c r="Z2798" i="7"/>
  <c r="AH2739" i="7"/>
  <c r="AH2651" i="7"/>
  <c r="Z2565" i="7"/>
  <c r="AH2505" i="7"/>
  <c r="J2095" i="7"/>
  <c r="J2025" i="7"/>
  <c r="AP2049" i="7"/>
  <c r="AP2046" i="7"/>
  <c r="AP2038" i="7"/>
  <c r="Z1851" i="7"/>
  <c r="Z1889" i="7"/>
  <c r="Z1883" i="7"/>
  <c r="Z1877" i="7"/>
  <c r="Z1871" i="7"/>
  <c r="Z1865" i="7"/>
  <c r="Z1859" i="7"/>
  <c r="R1802" i="7"/>
  <c r="AP1779" i="7"/>
  <c r="AP1773" i="7"/>
  <c r="AP1768" i="7"/>
  <c r="AP1765" i="7"/>
  <c r="AP1762" i="7"/>
  <c r="AP1759" i="7"/>
  <c r="Z601" i="7"/>
  <c r="Z592" i="7"/>
  <c r="Z583" i="7"/>
  <c r="Z574" i="7"/>
  <c r="Z565" i="7"/>
  <c r="Z556" i="7"/>
  <c r="Z547" i="7"/>
  <c r="Z538" i="7"/>
  <c r="B497" i="7"/>
  <c r="J179" i="7"/>
  <c r="J170" i="7"/>
  <c r="J161" i="7"/>
  <c r="J152" i="7"/>
  <c r="J143" i="7"/>
  <c r="J134" i="7"/>
  <c r="J125" i="7"/>
  <c r="J116" i="7"/>
  <c r="L48" i="1"/>
  <c r="L30" i="1"/>
  <c r="L74" i="1"/>
  <c r="AH2765" i="7"/>
  <c r="AH2654" i="7"/>
  <c r="Z2258" i="7"/>
  <c r="AP2098" i="7"/>
  <c r="R1915" i="7"/>
  <c r="R1901" i="7"/>
  <c r="Z1894" i="7"/>
  <c r="R1905" i="7"/>
  <c r="R1899" i="7"/>
  <c r="AP1809" i="7"/>
  <c r="R1800" i="7"/>
  <c r="AP1814" i="7"/>
  <c r="R1809" i="7"/>
  <c r="AP1800" i="7"/>
  <c r="Z1589" i="7"/>
  <c r="Z1645" i="7"/>
  <c r="AH1470" i="7"/>
  <c r="AH1464" i="7"/>
  <c r="AH1458" i="7"/>
  <c r="AH1452" i="7"/>
  <c r="AH1446" i="7"/>
  <c r="AH1440" i="7"/>
  <c r="AH1434" i="7"/>
  <c r="AH1429" i="7"/>
  <c r="AH1420" i="7"/>
  <c r="AH1411" i="7"/>
  <c r="AH1402" i="7"/>
  <c r="AH1393" i="7"/>
  <c r="AH1384" i="7"/>
  <c r="AH1092" i="7"/>
  <c r="B1046" i="7"/>
  <c r="B1037" i="7"/>
  <c r="B1028" i="7"/>
  <c r="B1019" i="7"/>
  <c r="AH1085" i="7"/>
  <c r="AH1083" i="7"/>
  <c r="B903" i="7"/>
  <c r="B885" i="7"/>
  <c r="B908" i="7"/>
  <c r="B890" i="7"/>
  <c r="B905" i="7"/>
  <c r="B887" i="7"/>
  <c r="L12" i="1"/>
  <c r="AH2882" i="7"/>
  <c r="Z2999" i="7"/>
  <c r="AH3029" i="7"/>
  <c r="AH3066" i="7"/>
  <c r="AH2601" i="7"/>
  <c r="AH2782" i="7"/>
  <c r="Z2458" i="7"/>
  <c r="AH2284" i="7"/>
  <c r="AH2553" i="7"/>
  <c r="AH2211" i="7"/>
  <c r="AH2176" i="7"/>
  <c r="AP2105" i="7"/>
  <c r="J2063" i="7"/>
  <c r="J2145" i="7"/>
  <c r="Z2063" i="7"/>
  <c r="Z2037" i="7"/>
  <c r="Z2410" i="7"/>
  <c r="AH2301" i="7"/>
  <c r="Z2166" i="7"/>
  <c r="AP2085" i="7"/>
  <c r="AH2073" i="7"/>
  <c r="AH2318" i="7"/>
  <c r="AP2064" i="7"/>
  <c r="Z2467" i="7"/>
  <c r="AP2080" i="7"/>
  <c r="AP1882" i="7"/>
  <c r="J1949" i="7"/>
  <c r="Z2169" i="7"/>
  <c r="Z2154" i="7"/>
  <c r="AH1833" i="7"/>
  <c r="R1796" i="7"/>
  <c r="R2020" i="7"/>
  <c r="AH1825" i="7"/>
  <c r="AH1774" i="7"/>
  <c r="B1854" i="7"/>
  <c r="B1495" i="7"/>
  <c r="AP1480" i="7"/>
  <c r="J1388" i="7"/>
  <c r="J1374" i="7"/>
  <c r="Z1475" i="7"/>
  <c r="Z1497" i="7"/>
  <c r="AP1453" i="7"/>
  <c r="AP1110" i="7"/>
  <c r="AP1092" i="7"/>
  <c r="Z1021" i="7"/>
  <c r="Z1109" i="7"/>
  <c r="Z1045" i="7"/>
  <c r="AH1211" i="7"/>
  <c r="J1072" i="7"/>
  <c r="Z1055" i="7"/>
  <c r="J1147" i="7"/>
  <c r="J1193" i="7"/>
  <c r="R1204" i="7"/>
  <c r="J1104" i="7"/>
  <c r="AP1126" i="7"/>
  <c r="J1098" i="7"/>
  <c r="J1060" i="7"/>
  <c r="Z860" i="7"/>
  <c r="J975" i="7"/>
  <c r="AP936" i="7"/>
  <c r="Z854" i="7"/>
  <c r="J1044" i="7"/>
  <c r="J671" i="7"/>
  <c r="R525" i="7"/>
  <c r="J516" i="7"/>
  <c r="R524" i="7"/>
  <c r="AH297" i="7"/>
  <c r="AH294" i="7"/>
  <c r="AH291" i="7"/>
  <c r="AH288" i="7"/>
  <c r="AH285" i="7"/>
  <c r="AH282" i="7"/>
  <c r="AH279" i="7"/>
  <c r="AH276" i="7"/>
  <c r="AH273" i="7"/>
  <c r="AH270" i="7"/>
  <c r="AH267" i="7"/>
  <c r="AH264" i="7"/>
  <c r="AH261" i="7"/>
  <c r="AH258" i="7"/>
  <c r="AH255" i="7"/>
  <c r="AH252" i="7"/>
  <c r="AH249" i="7"/>
  <c r="AH246" i="7"/>
  <c r="AH243" i="7"/>
  <c r="AH240" i="7"/>
  <c r="AH237" i="7"/>
  <c r="AH234" i="7"/>
  <c r="AH231" i="7"/>
  <c r="AH228" i="7"/>
  <c r="AH225" i="7"/>
  <c r="AH222" i="7"/>
  <c r="AH219" i="7"/>
  <c r="AH216" i="7"/>
  <c r="AH213" i="7"/>
  <c r="AH210" i="7"/>
  <c r="AH207" i="7"/>
  <c r="AH204" i="7"/>
  <c r="AH201" i="7"/>
  <c r="AH198" i="7"/>
  <c r="Z2866" i="7"/>
  <c r="AH2966" i="7"/>
  <c r="Z2700" i="7"/>
  <c r="AH3040" i="7"/>
  <c r="AH2722" i="7"/>
  <c r="AH2624" i="7"/>
  <c r="Z2757" i="7"/>
  <c r="Z2838" i="7"/>
  <c r="Z2830" i="7"/>
  <c r="AH2713" i="7"/>
  <c r="AH2479" i="7"/>
  <c r="Z2735" i="7"/>
  <c r="Z2581" i="7"/>
  <c r="AH2336" i="7"/>
  <c r="AH2196" i="7"/>
  <c r="AH2510" i="7"/>
  <c r="AH2378" i="7"/>
  <c r="Z2200" i="7"/>
  <c r="AH2188" i="7"/>
  <c r="Z2569" i="7"/>
  <c r="Z2440" i="7"/>
  <c r="AH2403" i="7"/>
  <c r="AH2219" i="7"/>
  <c r="AH2388" i="7"/>
  <c r="AH2357" i="7"/>
  <c r="B2099" i="7"/>
  <c r="R2033" i="7"/>
  <c r="Z2706" i="7"/>
  <c r="AH2372" i="7"/>
  <c r="Z2245" i="7"/>
  <c r="AH2145" i="7"/>
  <c r="AP2073" i="7"/>
  <c r="Z2295" i="7"/>
  <c r="Z2020" i="7"/>
  <c r="AP2142" i="7"/>
  <c r="AH2081" i="7"/>
  <c r="Z2143" i="7"/>
  <c r="AH2137" i="7"/>
  <c r="AH2079" i="7"/>
  <c r="B1944" i="7"/>
  <c r="Z2172" i="7"/>
  <c r="B1969" i="7"/>
  <c r="Z2392" i="7"/>
  <c r="J2112" i="7"/>
  <c r="AH1999" i="7"/>
  <c r="Z1980" i="7"/>
  <c r="AP2124" i="7"/>
  <c r="B2117" i="7"/>
  <c r="B2135" i="7"/>
  <c r="AH1993" i="7"/>
  <c r="AH1881" i="7"/>
  <c r="AH2005" i="7"/>
  <c r="AP1935" i="7"/>
  <c r="B1870" i="7"/>
  <c r="J1976" i="7"/>
  <c r="AP1877" i="7"/>
  <c r="AP1856" i="7"/>
  <c r="J1819" i="7"/>
  <c r="AH1807" i="7"/>
  <c r="AH1773" i="7"/>
  <c r="Z1828" i="7"/>
  <c r="AH1831" i="7"/>
  <c r="J1758" i="7"/>
  <c r="AP1940" i="7"/>
  <c r="Z1822" i="7"/>
  <c r="B1815" i="7"/>
  <c r="B1807" i="7"/>
  <c r="B1764" i="7"/>
  <c r="J1765" i="7"/>
  <c r="AH1819" i="7"/>
  <c r="AH1795" i="7"/>
  <c r="AH1771" i="7"/>
  <c r="R1421" i="7"/>
  <c r="R1373" i="7"/>
  <c r="AP1419" i="7"/>
  <c r="J1400" i="7"/>
  <c r="R1483" i="7"/>
  <c r="AP1452" i="7"/>
  <c r="R1415" i="7"/>
  <c r="B1501" i="7"/>
  <c r="B1489" i="7"/>
  <c r="J1476" i="7"/>
  <c r="AP1441" i="7"/>
  <c r="J1424" i="7"/>
  <c r="B1227" i="7"/>
  <c r="AH1205" i="7"/>
  <c r="J1174" i="7"/>
  <c r="J1165" i="7"/>
  <c r="Z1061" i="7"/>
  <c r="R1192" i="7"/>
  <c r="J1187" i="7"/>
  <c r="R1183" i="7"/>
  <c r="J1178" i="7"/>
  <c r="R1130" i="7"/>
  <c r="Z1115" i="7"/>
  <c r="AP1079" i="7"/>
  <c r="AH1053" i="7"/>
  <c r="R1145" i="7"/>
  <c r="R1127" i="7"/>
  <c r="Z1067" i="7"/>
  <c r="AH1079" i="7"/>
  <c r="R1058" i="7"/>
  <c r="Z1030" i="7"/>
  <c r="R1210" i="7"/>
  <c r="J1141" i="7"/>
  <c r="R1118" i="7"/>
  <c r="R1100" i="7"/>
  <c r="R1082" i="7"/>
  <c r="AP1053" i="7"/>
  <c r="R1172" i="7"/>
  <c r="R1163" i="7"/>
  <c r="J1126" i="7"/>
  <c r="Z1073" i="7"/>
  <c r="AP999" i="7"/>
  <c r="R957" i="7"/>
  <c r="J931" i="7"/>
  <c r="Z832" i="7"/>
  <c r="J970" i="7"/>
  <c r="AH939" i="7"/>
  <c r="J1083" i="7"/>
  <c r="Z912" i="7"/>
  <c r="Z1144" i="7"/>
  <c r="R1071" i="7"/>
  <c r="J1012" i="7"/>
  <c r="AP948" i="7"/>
  <c r="Z894" i="7"/>
  <c r="J877" i="7"/>
  <c r="Z1092" i="7"/>
  <c r="J1050" i="7"/>
  <c r="R993" i="7"/>
  <c r="R981" i="7"/>
  <c r="Z942" i="7"/>
  <c r="Z848" i="7"/>
  <c r="Z924" i="7"/>
  <c r="R671" i="7"/>
  <c r="AH670" i="7"/>
  <c r="Z490" i="7"/>
  <c r="AH504" i="7"/>
  <c r="AG8" i="4"/>
  <c r="AG9" i="4" s="1"/>
  <c r="AG10" i="4" s="1"/>
  <c r="AG11" i="4" s="1"/>
  <c r="AG12" i="4" s="1"/>
  <c r="AG13" i="4" s="1"/>
  <c r="AG14" i="4" s="1"/>
  <c r="AG15" i="4" s="1"/>
  <c r="AG16" i="4" s="1"/>
  <c r="AG17" i="4" s="1"/>
  <c r="AG18" i="4" s="1"/>
  <c r="AG19" i="4" s="1"/>
  <c r="AG20" i="4" s="1"/>
  <c r="AG21" i="4" s="1"/>
  <c r="AG22" i="4" s="1"/>
  <c r="AG23" i="4" s="1"/>
  <c r="AG24" i="4" s="1"/>
  <c r="AG25" i="4" s="1"/>
  <c r="AG26" i="4" s="1"/>
  <c r="AG27" i="4" s="1"/>
  <c r="AG28" i="4" s="1"/>
  <c r="AG29" i="4" s="1"/>
  <c r="AG30" i="4" s="1"/>
  <c r="AG31" i="4" s="1"/>
  <c r="AG32" i="4" s="1"/>
  <c r="AG33" i="4" s="1"/>
  <c r="AG34" i="4" s="1"/>
  <c r="AG35" i="4" s="1"/>
  <c r="AG36" i="4" s="1"/>
  <c r="AG37" i="4" s="1"/>
  <c r="AG38" i="4" s="1"/>
  <c r="AG39" i="4" s="1"/>
  <c r="AG40" i="4" s="1"/>
  <c r="AG41" i="4" s="1"/>
  <c r="AG42" i="4" s="1"/>
  <c r="AG43" i="4" s="1"/>
  <c r="AG44" i="4" s="1"/>
  <c r="AG45" i="4" s="1"/>
  <c r="AG46" i="4" s="1"/>
  <c r="AG47" i="4" s="1"/>
  <c r="AG48" i="4" s="1"/>
  <c r="AG49" i="4" s="1"/>
  <c r="AG50" i="4" s="1"/>
  <c r="AG51" i="4" s="1"/>
  <c r="AG52" i="4" s="1"/>
  <c r="AG53" i="4" s="1"/>
  <c r="AG54" i="4" s="1"/>
  <c r="AG55" i="4" s="1"/>
  <c r="AG56" i="4" s="1"/>
  <c r="AG57" i="4" s="1"/>
  <c r="AG58" i="4" s="1"/>
  <c r="AG59" i="4" s="1"/>
  <c r="AG60" i="4" s="1"/>
  <c r="AG61" i="4" s="1"/>
  <c r="AG62" i="4" s="1"/>
  <c r="AG63" i="4" s="1"/>
  <c r="AG64" i="4" s="1"/>
  <c r="AG65" i="4" s="1"/>
  <c r="AG66" i="4" s="1"/>
  <c r="AG67" i="4" s="1"/>
  <c r="AG68" i="4" s="1"/>
  <c r="AG69" i="4" s="1"/>
  <c r="AG70" i="4" s="1"/>
  <c r="AG71" i="4" s="1"/>
  <c r="AG72" i="4" s="1"/>
  <c r="AG73" i="4" s="1"/>
  <c r="AG74" i="4" s="1"/>
  <c r="AG75" i="4" s="1"/>
  <c r="AG76" i="4" s="1"/>
  <c r="AG77" i="4" s="1"/>
  <c r="AG78" i="4" s="1"/>
  <c r="AG79" i="4" s="1"/>
  <c r="AG80" i="4" s="1"/>
  <c r="AG81" i="4" s="1"/>
  <c r="AG82" i="4" s="1"/>
  <c r="AG83" i="4" s="1"/>
  <c r="AG84" i="4" s="1"/>
  <c r="AG85" i="4" s="1"/>
  <c r="AG86" i="4" s="1"/>
  <c r="AG87" i="4" s="1"/>
  <c r="AG88" i="4" s="1"/>
  <c r="AG89" i="4" s="1"/>
  <c r="AG90" i="4" s="1"/>
  <c r="AG91" i="4" s="1"/>
  <c r="AG92" i="4" s="1"/>
  <c r="AG93" i="4" s="1"/>
  <c r="AG94" i="4" s="1"/>
  <c r="AG95" i="4" s="1"/>
  <c r="AG96" i="4" s="1"/>
  <c r="AG97" i="4" s="1"/>
  <c r="AG98" i="4" s="1"/>
  <c r="AG99" i="4" s="1"/>
  <c r="AG100" i="4" s="1"/>
  <c r="AG101" i="4" s="1"/>
  <c r="AG102" i="4" s="1"/>
  <c r="AG103" i="4" s="1"/>
  <c r="AG104" i="4" s="1"/>
  <c r="AG105" i="4" s="1"/>
  <c r="AG106" i="4" s="1"/>
  <c r="AG107" i="4" s="1"/>
  <c r="AG108" i="4" s="1"/>
  <c r="AG109" i="4" s="1"/>
  <c r="AG110" i="4" s="1"/>
  <c r="AG111" i="4" s="1"/>
  <c r="AG112" i="4" s="1"/>
  <c r="AG113" i="4" s="1"/>
  <c r="AG114" i="4" s="1"/>
  <c r="AG115" i="4" s="1"/>
  <c r="AG116" i="4" s="1"/>
  <c r="AG117" i="4" s="1"/>
  <c r="AG118" i="4" s="1"/>
  <c r="AG119" i="4" s="1"/>
  <c r="AG120" i="4" s="1"/>
  <c r="AG121" i="4" s="1"/>
  <c r="AG122" i="4" s="1"/>
  <c r="AG123" i="4" s="1"/>
  <c r="AG124" i="4" s="1"/>
  <c r="AG125" i="4" s="1"/>
  <c r="AG126" i="4" s="1"/>
  <c r="AG127" i="4" s="1"/>
  <c r="AG128" i="4" s="1"/>
  <c r="AG129" i="4" s="1"/>
  <c r="AG130" i="4" s="1"/>
  <c r="AG131" i="4" s="1"/>
  <c r="AG132" i="4" s="1"/>
  <c r="AG133" i="4" s="1"/>
  <c r="AG134" i="4" s="1"/>
  <c r="AG135" i="4" s="1"/>
  <c r="AG136" i="4" s="1"/>
  <c r="AG137" i="4" s="1"/>
  <c r="AG138" i="4" s="1"/>
  <c r="AG139" i="4" s="1"/>
  <c r="AG140" i="4" s="1"/>
  <c r="AG141" i="4" s="1"/>
  <c r="AG142" i="4" s="1"/>
  <c r="AG143" i="4" s="1"/>
  <c r="AG144" i="4" s="1"/>
  <c r="AG145" i="4" s="1"/>
  <c r="AG146" i="4" s="1"/>
  <c r="AG147" i="4" s="1"/>
  <c r="AG148" i="4" s="1"/>
  <c r="AG149" i="4" s="1"/>
  <c r="AG150" i="4" s="1"/>
  <c r="AG151" i="4" s="1"/>
  <c r="AG152" i="4" s="1"/>
  <c r="AG153" i="4" s="1"/>
  <c r="AG154" i="4" s="1"/>
  <c r="AG155" i="4" s="1"/>
  <c r="AH284" i="7"/>
  <c r="AH281" i="7"/>
  <c r="AH278" i="7"/>
  <c r="AH275" i="7"/>
  <c r="AH272" i="7"/>
  <c r="AH269" i="7"/>
  <c r="AH266" i="7"/>
  <c r="AH263" i="7"/>
  <c r="AH260" i="7"/>
  <c r="AH257" i="7"/>
  <c r="AH254" i="7"/>
  <c r="AH251" i="7"/>
  <c r="AH248" i="7"/>
  <c r="AH245" i="7"/>
  <c r="AH242" i="7"/>
  <c r="AH239" i="7"/>
  <c r="AH236" i="7"/>
  <c r="AH233" i="7"/>
  <c r="AH230" i="7"/>
  <c r="AH227" i="7"/>
  <c r="AH224" i="7"/>
  <c r="AH221" i="7"/>
  <c r="AH218" i="7"/>
  <c r="AH215" i="7"/>
  <c r="AH212" i="7"/>
  <c r="AH209" i="7"/>
  <c r="AH206" i="7"/>
  <c r="AH203" i="7"/>
  <c r="AH200" i="7"/>
  <c r="AH197" i="7"/>
  <c r="AH3018" i="7"/>
  <c r="AH2863" i="7"/>
  <c r="AH3075" i="7"/>
  <c r="AH2943" i="7"/>
  <c r="AH3034" i="7"/>
  <c r="AH3024" i="7"/>
  <c r="AH2991" i="7"/>
  <c r="AH2512" i="7"/>
  <c r="AH2562" i="7"/>
  <c r="AH2574" i="7"/>
  <c r="AH2272" i="7"/>
  <c r="AH2217" i="7"/>
  <c r="AH2395" i="7"/>
  <c r="AH2244" i="7"/>
  <c r="Z2510" i="7"/>
  <c r="AH2421" i="7"/>
  <c r="J2141" i="7"/>
  <c r="AH2253" i="7"/>
  <c r="Z2163" i="7"/>
  <c r="R2090" i="7"/>
  <c r="J2142" i="7"/>
  <c r="Z2008" i="7"/>
  <c r="AH2280" i="7"/>
  <c r="AH2360" i="7"/>
  <c r="Z2266" i="7"/>
  <c r="AH2027" i="7"/>
  <c r="Z2012" i="7"/>
  <c r="J1967" i="7"/>
  <c r="B2131" i="7"/>
  <c r="AH2085" i="7"/>
  <c r="J1960" i="7"/>
  <c r="Z2001" i="7"/>
  <c r="J1970" i="7"/>
  <c r="J1899" i="7"/>
  <c r="Z2013" i="7"/>
  <c r="Z1986" i="7"/>
  <c r="AP1929" i="7"/>
  <c r="AH1866" i="7"/>
  <c r="B2145" i="7"/>
  <c r="J1964" i="7"/>
  <c r="AH2156" i="7"/>
  <c r="J1844" i="7"/>
  <c r="J1759" i="7"/>
  <c r="J1813" i="7"/>
  <c r="AH1770" i="7"/>
  <c r="J1801" i="7"/>
  <c r="AH1842" i="7"/>
  <c r="J1831" i="7"/>
  <c r="B1813" i="7"/>
  <c r="B1795" i="7"/>
  <c r="J1856" i="7"/>
  <c r="AP1476" i="7"/>
  <c r="J1439" i="7"/>
  <c r="R1391" i="7"/>
  <c r="Z1378" i="7"/>
  <c r="AP1412" i="7"/>
  <c r="AP1394" i="7"/>
  <c r="R1376" i="7"/>
  <c r="AP1440" i="7"/>
  <c r="AP1431" i="7"/>
  <c r="AP1389" i="7"/>
  <c r="R1427" i="7"/>
  <c r="AP1506" i="7"/>
  <c r="AP1498" i="7"/>
  <c r="AP1486" i="7"/>
  <c r="B1474" i="7"/>
  <c r="J1440" i="7"/>
  <c r="AP1388" i="7"/>
  <c r="AP1395" i="7"/>
  <c r="AP1228" i="7"/>
  <c r="Z1209" i="7"/>
  <c r="AH1204" i="7"/>
  <c r="J1168" i="7"/>
  <c r="J1159" i="7"/>
  <c r="Z1215" i="7"/>
  <c r="J1199" i="7"/>
  <c r="J1190" i="7"/>
  <c r="R1186" i="7"/>
  <c r="J1181" i="7"/>
  <c r="R1177" i="7"/>
  <c r="J1153" i="7"/>
  <c r="Z1091" i="7"/>
  <c r="J1066" i="7"/>
  <c r="AH1073" i="7"/>
  <c r="R1070" i="7"/>
  <c r="AP1051" i="7"/>
  <c r="Z1053" i="7"/>
  <c r="Z1203" i="7"/>
  <c r="R1136" i="7"/>
  <c r="R1112" i="7"/>
  <c r="R1094" i="7"/>
  <c r="Z1048" i="7"/>
  <c r="R1169" i="7"/>
  <c r="R1160" i="7"/>
  <c r="Z1116" i="7"/>
  <c r="AP1069" i="7"/>
  <c r="Z1011" i="7"/>
  <c r="Z972" i="7"/>
  <c r="Z876" i="7"/>
  <c r="AP845" i="7"/>
  <c r="J840" i="7"/>
  <c r="Z906" i="7"/>
  <c r="Z888" i="7"/>
  <c r="Z948" i="7"/>
  <c r="Z1098" i="7"/>
  <c r="Z930" i="7"/>
  <c r="AP1144" i="7"/>
  <c r="J1086" i="7"/>
  <c r="J1020" i="7"/>
  <c r="AH990" i="7"/>
  <c r="AH966" i="7"/>
  <c r="AP930" i="7"/>
  <c r="Z882" i="7"/>
  <c r="AH843" i="7"/>
  <c r="AP670" i="7"/>
  <c r="Z3053" i="7"/>
  <c r="AH2894" i="7"/>
  <c r="Z2857" i="7"/>
  <c r="Z2978" i="7"/>
  <c r="Z2811" i="7"/>
  <c r="AH3046" i="7"/>
  <c r="Z2611" i="7"/>
  <c r="Z2522" i="7"/>
  <c r="AH2503" i="7"/>
  <c r="AH2427" i="7"/>
  <c r="Z2747" i="7"/>
  <c r="Z2625" i="7"/>
  <c r="AH2451" i="7"/>
  <c r="AH2540" i="7"/>
  <c r="AH2409" i="7"/>
  <c r="Z2370" i="7"/>
  <c r="Z2343" i="7"/>
  <c r="AH2265" i="7"/>
  <c r="AH2225" i="7"/>
  <c r="AH2454" i="7"/>
  <c r="AH2385" i="7"/>
  <c r="AH2559" i="7"/>
  <c r="Z2224" i="7"/>
  <c r="Z2142" i="7"/>
  <c r="J2124" i="7"/>
  <c r="AH2017" i="7"/>
  <c r="AH2261" i="7"/>
  <c r="AH2113" i="7"/>
  <c r="J2106" i="7"/>
  <c r="Z2083" i="7"/>
  <c r="R2044" i="7"/>
  <c r="R2026" i="7"/>
  <c r="J2090" i="7"/>
  <c r="Z1996" i="7"/>
  <c r="Z2193" i="7"/>
  <c r="AH2009" i="7"/>
  <c r="AH1997" i="7"/>
  <c r="AH1983" i="7"/>
  <c r="AH2065" i="7"/>
  <c r="B2113" i="7"/>
  <c r="Z2014" i="7"/>
  <c r="AH2015" i="7"/>
  <c r="AH2003" i="7"/>
  <c r="AH1991" i="7"/>
  <c r="AH1979" i="7"/>
  <c r="AP1917" i="7"/>
  <c r="J1911" i="7"/>
  <c r="AH1901" i="7"/>
  <c r="AH1880" i="7"/>
  <c r="AP1861" i="7"/>
  <c r="J1946" i="7"/>
  <c r="J1929" i="7"/>
  <c r="R1760" i="7"/>
  <c r="AP1911" i="7"/>
  <c r="J1905" i="7"/>
  <c r="AH1891" i="7"/>
  <c r="R1839" i="7"/>
  <c r="B1819" i="7"/>
  <c r="J1825" i="7"/>
  <c r="Z1812" i="7"/>
  <c r="B1803" i="7"/>
  <c r="AH1836" i="7"/>
  <c r="B1831" i="7"/>
  <c r="Z1797" i="7"/>
  <c r="J1790" i="7"/>
  <c r="R1766" i="7"/>
  <c r="R1403" i="7"/>
  <c r="R1495" i="7"/>
  <c r="AP1383" i="7"/>
  <c r="AP1430" i="7"/>
  <c r="AP1425" i="7"/>
  <c r="AH1055" i="7"/>
  <c r="B991" i="7"/>
  <c r="B967" i="7"/>
  <c r="AH891" i="7"/>
  <c r="B872" i="7"/>
  <c r="B854" i="7"/>
  <c r="R835" i="7"/>
  <c r="AH921" i="7"/>
  <c r="B848" i="7"/>
  <c r="Z1104" i="7"/>
  <c r="AP1067" i="7"/>
  <c r="J963" i="7"/>
  <c r="AH903" i="7"/>
  <c r="J847" i="7"/>
  <c r="AH978" i="7"/>
  <c r="AH927" i="7"/>
  <c r="AH885" i="7"/>
  <c r="Z857" i="7"/>
  <c r="B832" i="7"/>
  <c r="R1081" i="7"/>
  <c r="J907" i="7"/>
  <c r="B863" i="7"/>
  <c r="Z1086" i="7"/>
  <c r="R1055" i="7"/>
  <c r="B837" i="7"/>
  <c r="J518" i="7"/>
  <c r="AH505" i="7"/>
  <c r="Z493" i="7"/>
  <c r="Z487" i="7"/>
  <c r="B487" i="7"/>
  <c r="AH523" i="7"/>
  <c r="AH3109" i="7"/>
  <c r="Z2980" i="7"/>
  <c r="Z2959" i="7"/>
  <c r="Z2977" i="7"/>
  <c r="AH2915" i="7"/>
  <c r="AH2906" i="7"/>
  <c r="AH2805" i="7"/>
  <c r="AH2796" i="7"/>
  <c r="Z2719" i="7"/>
  <c r="AH2645" i="7"/>
  <c r="AH2634" i="7"/>
  <c r="Z2560" i="7"/>
  <c r="Z2542" i="7"/>
  <c r="Z2199" i="7"/>
  <c r="AH2300" i="7"/>
  <c r="AH2295" i="7"/>
  <c r="AH2149" i="7"/>
  <c r="AH2106" i="7"/>
  <c r="AP2101" i="7"/>
  <c r="B2092" i="7"/>
  <c r="B2103" i="7"/>
  <c r="J2098" i="7"/>
  <c r="B2147" i="7"/>
  <c r="AH2139" i="7"/>
  <c r="B2130" i="7"/>
  <c r="AH2112" i="7"/>
  <c r="B2088" i="7"/>
  <c r="Z2551" i="7"/>
  <c r="B2090" i="7"/>
  <c r="Z1884" i="7"/>
  <c r="Z1872" i="7"/>
  <c r="Z1860" i="7"/>
  <c r="Z1895" i="7"/>
  <c r="Z1887" i="7"/>
  <c r="Z1875" i="7"/>
  <c r="Z1863" i="7"/>
  <c r="R1911" i="7"/>
  <c r="R1814" i="7"/>
  <c r="AP1799" i="7"/>
  <c r="AP1795" i="7"/>
  <c r="AP1791" i="7"/>
  <c r="AP1787" i="7"/>
  <c r="AP1783" i="7"/>
  <c r="AP1777" i="7"/>
  <c r="AP1771" i="7"/>
  <c r="AP1767" i="7"/>
  <c r="AP1764" i="7"/>
  <c r="AP1761" i="7"/>
  <c r="AP1758" i="7"/>
  <c r="R1807" i="7"/>
  <c r="AP1820" i="7"/>
  <c r="AP1818" i="7"/>
  <c r="AP1816" i="7"/>
  <c r="R1805" i="7"/>
  <c r="AP1796" i="7"/>
  <c r="AP1790" i="7"/>
  <c r="AP1784" i="7"/>
  <c r="AP1778" i="7"/>
  <c r="AP1772" i="7"/>
  <c r="AP1813" i="7"/>
  <c r="AP1807" i="7"/>
  <c r="Z1646" i="7"/>
  <c r="Z1590" i="7"/>
  <c r="AH1473" i="7"/>
  <c r="AH1467" i="7"/>
  <c r="AH1461" i="7"/>
  <c r="AH1455" i="7"/>
  <c r="AH1449" i="7"/>
  <c r="AH1443" i="7"/>
  <c r="AH1437" i="7"/>
  <c r="AH1430" i="7"/>
  <c r="AH1421" i="7"/>
  <c r="AH1412" i="7"/>
  <c r="AH1403" i="7"/>
  <c r="AH1394" i="7"/>
  <c r="AH1385" i="7"/>
  <c r="AH1478" i="7"/>
  <c r="AH1292" i="7"/>
  <c r="AH1307" i="7"/>
  <c r="AH1297" i="7"/>
  <c r="AH1288" i="7"/>
  <c r="J1277" i="7"/>
  <c r="J1268" i="7"/>
  <c r="J1259" i="7"/>
  <c r="AH1312" i="7"/>
  <c r="AH1300" i="7"/>
  <c r="AH1311" i="7"/>
  <c r="AH1293" i="7"/>
  <c r="AH1310" i="7"/>
  <c r="AH1084" i="7"/>
  <c r="B1078" i="7"/>
  <c r="B1072" i="7"/>
  <c r="B1066" i="7"/>
  <c r="B1060" i="7"/>
  <c r="B1054" i="7"/>
  <c r="B1047" i="7"/>
  <c r="B1038" i="7"/>
  <c r="B1029" i="7"/>
  <c r="B1020" i="7"/>
  <c r="B1048" i="7"/>
  <c r="B1039" i="7"/>
  <c r="B1030" i="7"/>
  <c r="B1021" i="7"/>
  <c r="B1012" i="7"/>
  <c r="B904" i="7"/>
  <c r="B892" i="7"/>
  <c r="B880" i="7"/>
  <c r="B906" i="7"/>
  <c r="B888" i="7"/>
  <c r="B607" i="7"/>
  <c r="B598" i="7"/>
  <c r="B589" i="7"/>
  <c r="B580" i="7"/>
  <c r="B571" i="7"/>
  <c r="B562" i="7"/>
  <c r="B553" i="7"/>
  <c r="B544" i="7"/>
  <c r="B535" i="7"/>
  <c r="B522" i="7"/>
  <c r="B513" i="7"/>
  <c r="B504" i="7"/>
  <c r="B603" i="7"/>
  <c r="B594" i="7"/>
  <c r="B585" i="7"/>
  <c r="B576" i="7"/>
  <c r="B567" i="7"/>
  <c r="B558" i="7"/>
  <c r="B549" i="7"/>
  <c r="B540" i="7"/>
  <c r="B531" i="7"/>
  <c r="B526" i="7"/>
  <c r="B517" i="7"/>
  <c r="B508" i="7"/>
  <c r="B499" i="7"/>
  <c r="Z600" i="7"/>
  <c r="Z591" i="7"/>
  <c r="Z582" i="7"/>
  <c r="Z573" i="7"/>
  <c r="Z564" i="7"/>
  <c r="Z555" i="7"/>
  <c r="Z546" i="7"/>
  <c r="Z537" i="7"/>
  <c r="B608" i="7"/>
  <c r="B195" i="7"/>
  <c r="B189" i="7"/>
  <c r="B183" i="7"/>
  <c r="L83" i="1"/>
  <c r="L63" i="1"/>
  <c r="L32" i="1"/>
  <c r="L33" i="1"/>
  <c r="L15" i="1"/>
  <c r="E6" i="4"/>
  <c r="L77" i="1"/>
  <c r="F21" i="2"/>
  <c r="F27" i="2"/>
  <c r="F33" i="2"/>
  <c r="F39" i="2"/>
  <c r="F45" i="2"/>
  <c r="F51" i="2"/>
  <c r="F57" i="2"/>
  <c r="F63" i="2"/>
  <c r="F69" i="2"/>
  <c r="F75" i="2"/>
  <c r="F81" i="2"/>
  <c r="F87" i="2"/>
  <c r="F93" i="2"/>
  <c r="G24" i="2"/>
  <c r="G30" i="2"/>
  <c r="G36" i="2"/>
  <c r="G42" i="2"/>
  <c r="G48" i="2"/>
  <c r="G54" i="2"/>
  <c r="G60" i="2"/>
  <c r="G66" i="2"/>
  <c r="G72" i="2"/>
  <c r="G78" i="2"/>
  <c r="G84" i="2"/>
  <c r="G90" i="2"/>
  <c r="B21" i="2"/>
  <c r="B27" i="2"/>
  <c r="B33" i="2"/>
  <c r="B39" i="2"/>
  <c r="B45" i="2"/>
  <c r="B51" i="2"/>
  <c r="B57" i="2"/>
  <c r="B63" i="2"/>
  <c r="B69" i="2"/>
  <c r="B75" i="2"/>
  <c r="B81" i="2"/>
  <c r="B87" i="2"/>
  <c r="B93" i="2"/>
  <c r="C24" i="2"/>
  <c r="C30" i="2"/>
  <c r="C36" i="2"/>
  <c r="C42" i="2"/>
  <c r="C48" i="2"/>
  <c r="C54" i="2"/>
  <c r="C60" i="2"/>
  <c r="C66" i="2"/>
  <c r="C72" i="2"/>
  <c r="C78" i="2"/>
  <c r="C84" i="2"/>
  <c r="C90" i="2"/>
  <c r="D21" i="2"/>
  <c r="D27" i="2"/>
  <c r="D33" i="2"/>
  <c r="D39" i="2"/>
  <c r="D45" i="2"/>
  <c r="D51" i="2"/>
  <c r="D57" i="2"/>
  <c r="D63" i="2"/>
  <c r="D69" i="2"/>
  <c r="D75" i="2"/>
  <c r="D81" i="2"/>
  <c r="D87" i="2"/>
  <c r="D93" i="2"/>
  <c r="E24" i="2"/>
  <c r="E30" i="2"/>
  <c r="E36" i="2"/>
  <c r="E42" i="2"/>
  <c r="E48" i="2"/>
  <c r="E54" i="2"/>
  <c r="E60" i="2"/>
  <c r="E66" i="2"/>
  <c r="E72" i="2"/>
  <c r="E78" i="2"/>
  <c r="E84" i="2"/>
  <c r="E90" i="2"/>
  <c r="M8" i="1"/>
  <c r="N8" i="1" s="1"/>
  <c r="C7" i="4"/>
  <c r="B7" i="4"/>
  <c r="F6" i="4"/>
  <c r="D6" i="4" s="1"/>
  <c r="U6" i="4" s="1" a="1"/>
  <c r="U6" i="4" s="1"/>
  <c r="B22" i="2"/>
  <c r="B28" i="2"/>
  <c r="B34" i="2"/>
  <c r="B40" i="2"/>
  <c r="B46" i="2"/>
  <c r="B52" i="2"/>
  <c r="B58" i="2"/>
  <c r="B64" i="2"/>
  <c r="B70" i="2"/>
  <c r="B76" i="2"/>
  <c r="B82" i="2"/>
  <c r="B88" i="2"/>
  <c r="B94" i="2"/>
  <c r="C25" i="2"/>
  <c r="C31" i="2"/>
  <c r="C37" i="2"/>
  <c r="C43" i="2"/>
  <c r="C49" i="2"/>
  <c r="C55" i="2"/>
  <c r="C61" i="2"/>
  <c r="C67" i="2"/>
  <c r="C73" i="2"/>
  <c r="C79" i="2"/>
  <c r="C85" i="2"/>
  <c r="C91" i="2"/>
  <c r="D22" i="2"/>
  <c r="D28" i="2"/>
  <c r="D34" i="2"/>
  <c r="D40" i="2"/>
  <c r="D46" i="2"/>
  <c r="D52" i="2"/>
  <c r="D58" i="2"/>
  <c r="D64" i="2"/>
  <c r="D70" i="2"/>
  <c r="D76" i="2"/>
  <c r="D82" i="2"/>
  <c r="D88" i="2"/>
  <c r="D94" i="2"/>
  <c r="E25" i="2"/>
  <c r="E31" i="2"/>
  <c r="E37" i="2"/>
  <c r="E43" i="2"/>
  <c r="E49" i="2"/>
  <c r="E55" i="2"/>
  <c r="E61" i="2"/>
  <c r="E67" i="2"/>
  <c r="E73" i="2"/>
  <c r="E79" i="2"/>
  <c r="E85" i="2"/>
  <c r="E91" i="2"/>
  <c r="F22" i="2"/>
  <c r="F28" i="2"/>
  <c r="F34" i="2"/>
  <c r="F40" i="2"/>
  <c r="F46" i="2"/>
  <c r="F52" i="2"/>
  <c r="F58" i="2"/>
  <c r="F64" i="2"/>
  <c r="F70" i="2"/>
  <c r="F76" i="2"/>
  <c r="F82" i="2"/>
  <c r="F88" i="2"/>
  <c r="F94" i="2"/>
  <c r="G25" i="2"/>
  <c r="G31" i="2"/>
  <c r="H31" i="2" s="1"/>
  <c r="G37" i="2"/>
  <c r="H37" i="2" s="1"/>
  <c r="G43" i="2"/>
  <c r="H43" i="2" s="1"/>
  <c r="G49" i="2"/>
  <c r="G55" i="2"/>
  <c r="G61" i="2"/>
  <c r="G67" i="2"/>
  <c r="H67" i="2" s="1"/>
  <c r="G73" i="2"/>
  <c r="H73" i="2" s="1"/>
  <c r="G79" i="2"/>
  <c r="H79" i="2" s="1"/>
  <c r="G85" i="2"/>
  <c r="H85" i="2" s="1"/>
  <c r="G91" i="2"/>
  <c r="AH3088" i="7"/>
  <c r="AH3100" i="7"/>
  <c r="AH3085" i="7"/>
  <c r="AH3057" i="7"/>
  <c r="AH3030" i="7"/>
  <c r="AH3054" i="7"/>
  <c r="Z2986" i="7"/>
  <c r="Z2971" i="7"/>
  <c r="Z2896" i="7"/>
  <c r="Z2929" i="7"/>
  <c r="Z2899" i="7"/>
  <c r="AH2909" i="7"/>
  <c r="AH2808" i="7"/>
  <c r="AH2799" i="7"/>
  <c r="Z2771" i="7"/>
  <c r="AH2724" i="7"/>
  <c r="AH2639" i="7"/>
  <c r="AH2631" i="7"/>
  <c r="AH2618" i="7"/>
  <c r="AH2496" i="7"/>
  <c r="AH2478" i="7"/>
  <c r="Z2402" i="7"/>
  <c r="Z2321" i="7"/>
  <c r="Z2384" i="7"/>
  <c r="Z2327" i="7"/>
  <c r="Z2505" i="7"/>
  <c r="Z2453" i="7"/>
  <c r="Z2441" i="7"/>
  <c r="Z2429" i="7"/>
  <c r="Z2417" i="7"/>
  <c r="Z2405" i="7"/>
  <c r="Z2393" i="7"/>
  <c r="Z2249" i="7"/>
  <c r="Z2341" i="7"/>
  <c r="Z2276" i="7"/>
  <c r="Z2240" i="7"/>
  <c r="Z2273" i="7"/>
  <c r="AH2127" i="7"/>
  <c r="AP2107" i="7"/>
  <c r="AH2094" i="7"/>
  <c r="B2109" i="7"/>
  <c r="J2104" i="7"/>
  <c r="AH2150" i="7"/>
  <c r="AH2144" i="7"/>
  <c r="B2139" i="7"/>
  <c r="AH2121" i="7"/>
  <c r="B2112" i="7"/>
  <c r="AH2154" i="7"/>
  <c r="AH2142" i="7"/>
  <c r="B2133" i="7"/>
  <c r="AH2115" i="7"/>
  <c r="Z2105" i="7"/>
  <c r="Z2099" i="7"/>
  <c r="B2033" i="7"/>
  <c r="J2027" i="7"/>
  <c r="J2026" i="7"/>
  <c r="AP2041" i="7"/>
  <c r="AP2034" i="7"/>
  <c r="Z2072" i="7"/>
  <c r="AP2060" i="7"/>
  <c r="AP2057" i="7"/>
  <c r="AP2054" i="7"/>
  <c r="AP2051" i="7"/>
  <c r="AP2048" i="7"/>
  <c r="AP2045" i="7"/>
  <c r="B2032" i="7"/>
  <c r="Z1845" i="7"/>
  <c r="R1908" i="7"/>
  <c r="R1906" i="7"/>
  <c r="R1902" i="7"/>
  <c r="Z1896" i="7"/>
  <c r="R1813" i="7"/>
  <c r="AP1804" i="7"/>
  <c r="R1811" i="7"/>
  <c r="AP1802" i="7"/>
  <c r="AP1794" i="7"/>
  <c r="AP1788" i="7"/>
  <c r="AP1782" i="7"/>
  <c r="AP1776" i="7"/>
  <c r="AP1770" i="7"/>
  <c r="R1810" i="7"/>
  <c r="B1639" i="7"/>
  <c r="B1636" i="7"/>
  <c r="B1633" i="7"/>
  <c r="B1630" i="7"/>
  <c r="B1627" i="7"/>
  <c r="B1624" i="7"/>
  <c r="B1621" i="7"/>
  <c r="B1618" i="7"/>
  <c r="B1615" i="7"/>
  <c r="B1612" i="7"/>
  <c r="B1609" i="7"/>
  <c r="B1606" i="7"/>
  <c r="B1603" i="7"/>
  <c r="B1600" i="7"/>
  <c r="B1597" i="7"/>
  <c r="Z1644" i="7"/>
  <c r="Z1593" i="7"/>
  <c r="Z1584" i="7"/>
  <c r="Z1643" i="7"/>
  <c r="AH1479" i="7"/>
  <c r="AH1471" i="7"/>
  <c r="AH1465" i="7"/>
  <c r="AH1459" i="7"/>
  <c r="AH1453" i="7"/>
  <c r="AH1447" i="7"/>
  <c r="AH1441" i="7"/>
  <c r="AH1435" i="7"/>
  <c r="AH1427" i="7"/>
  <c r="AH1418" i="7"/>
  <c r="AH1409" i="7"/>
  <c r="AH1400" i="7"/>
  <c r="AH1391" i="7"/>
  <c r="AH1382" i="7"/>
  <c r="AH1475" i="7"/>
  <c r="AH1315" i="7"/>
  <c r="AH1303" i="7"/>
  <c r="AH1295" i="7"/>
  <c r="AH1286" i="7"/>
  <c r="AH1301" i="7"/>
  <c r="AH1291" i="7"/>
  <c r="J1283" i="7"/>
  <c r="J1274" i="7"/>
  <c r="J1265" i="7"/>
  <c r="J1256" i="7"/>
  <c r="B1045" i="7"/>
  <c r="B1036" i="7"/>
  <c r="B1027" i="7"/>
  <c r="B1018" i="7"/>
  <c r="B900" i="7"/>
  <c r="B882" i="7"/>
  <c r="B601" i="7"/>
  <c r="B592" i="7"/>
  <c r="B583" i="7"/>
  <c r="B574" i="7"/>
  <c r="B565" i="7"/>
  <c r="B556" i="7"/>
  <c r="B547" i="7"/>
  <c r="B538" i="7"/>
  <c r="B528" i="7"/>
  <c r="B519" i="7"/>
  <c r="B510" i="7"/>
  <c r="B501" i="7"/>
  <c r="B606" i="7"/>
  <c r="B597" i="7"/>
  <c r="B588" i="7"/>
  <c r="B579" i="7"/>
  <c r="B570" i="7"/>
  <c r="B561" i="7"/>
  <c r="B552" i="7"/>
  <c r="B543" i="7"/>
  <c r="B534" i="7"/>
  <c r="B529" i="7"/>
  <c r="B520" i="7"/>
  <c r="B511" i="7"/>
  <c r="B502" i="7"/>
  <c r="Z603" i="7"/>
  <c r="Z594" i="7"/>
  <c r="Z585" i="7"/>
  <c r="Z576" i="7"/>
  <c r="Z567" i="7"/>
  <c r="Z558" i="7"/>
  <c r="Z549" i="7"/>
  <c r="Z540" i="7"/>
  <c r="Z531" i="7"/>
  <c r="L57" i="1"/>
  <c r="L11" i="1"/>
  <c r="C15" i="2"/>
  <c r="C13" i="2"/>
  <c r="C11" i="2"/>
  <c r="C9" i="2"/>
  <c r="C7" i="2"/>
  <c r="H90" i="2"/>
  <c r="H84" i="2"/>
  <c r="H78" i="2"/>
  <c r="H72" i="2"/>
  <c r="H66" i="2"/>
  <c r="H60" i="2"/>
  <c r="H54" i="2"/>
  <c r="H48" i="2"/>
  <c r="H42" i="2"/>
  <c r="H36" i="2"/>
  <c r="H30" i="2"/>
  <c r="H24" i="2"/>
  <c r="H91" i="2"/>
  <c r="H61" i="2"/>
  <c r="H55" i="2"/>
  <c r="H49" i="2"/>
  <c r="H25" i="2"/>
  <c r="C16" i="2"/>
  <c r="C14" i="2"/>
  <c r="C12" i="2"/>
  <c r="C10" i="2"/>
  <c r="C8" i="2"/>
  <c r="L45" i="1"/>
  <c r="L27" i="1"/>
  <c r="L9" i="1"/>
  <c r="L41" i="1"/>
  <c r="L50" i="1"/>
  <c r="D23" i="2"/>
  <c r="D29" i="2"/>
  <c r="D35" i="2"/>
  <c r="D41" i="2"/>
  <c r="D47" i="2"/>
  <c r="D53" i="2"/>
  <c r="D59" i="2"/>
  <c r="D65" i="2"/>
  <c r="D71" i="2"/>
  <c r="D77" i="2"/>
  <c r="D83" i="2"/>
  <c r="D89" i="2"/>
  <c r="D95" i="2"/>
  <c r="E26" i="2"/>
  <c r="E32" i="2"/>
  <c r="E38" i="2"/>
  <c r="E44" i="2"/>
  <c r="E50" i="2"/>
  <c r="E56" i="2"/>
  <c r="E62" i="2"/>
  <c r="E68" i="2"/>
  <c r="E74" i="2"/>
  <c r="E80" i="2"/>
  <c r="E86" i="2"/>
  <c r="E92" i="2"/>
  <c r="F23" i="2"/>
  <c r="F29" i="2"/>
  <c r="F35" i="2"/>
  <c r="F41" i="2"/>
  <c r="F47" i="2"/>
  <c r="F53" i="2"/>
  <c r="F59" i="2"/>
  <c r="F65" i="2"/>
  <c r="F71" i="2"/>
  <c r="F77" i="2"/>
  <c r="F83" i="2"/>
  <c r="F89" i="2"/>
  <c r="F95" i="2"/>
  <c r="G26" i="2"/>
  <c r="H26" i="2" s="1"/>
  <c r="G32" i="2"/>
  <c r="H32" i="2" s="1"/>
  <c r="G38" i="2"/>
  <c r="H38" i="2" s="1"/>
  <c r="G44" i="2"/>
  <c r="H44" i="2" s="1"/>
  <c r="G50" i="2"/>
  <c r="H50" i="2" s="1"/>
  <c r="G56" i="2"/>
  <c r="H56" i="2" s="1"/>
  <c r="G62" i="2"/>
  <c r="H62" i="2" s="1"/>
  <c r="G68" i="2"/>
  <c r="H68" i="2" s="1"/>
  <c r="G74" i="2"/>
  <c r="H74" i="2" s="1"/>
  <c r="G80" i="2"/>
  <c r="H80" i="2" s="1"/>
  <c r="G86" i="2"/>
  <c r="H86" i="2" s="1"/>
  <c r="G92" i="2"/>
  <c r="H92" i="2" s="1"/>
  <c r="B23" i="2"/>
  <c r="B29" i="2"/>
  <c r="B35" i="2"/>
  <c r="B41" i="2"/>
  <c r="B47" i="2"/>
  <c r="B53" i="2"/>
  <c r="B59" i="2"/>
  <c r="B65" i="2"/>
  <c r="B71" i="2"/>
  <c r="B77" i="2"/>
  <c r="B83" i="2"/>
  <c r="B89" i="2"/>
  <c r="B95" i="2"/>
  <c r="C26" i="2"/>
  <c r="C32" i="2"/>
  <c r="C38" i="2"/>
  <c r="C44" i="2"/>
  <c r="C50" i="2"/>
  <c r="C56" i="2"/>
  <c r="C62" i="2"/>
  <c r="C68" i="2"/>
  <c r="C74" i="2"/>
  <c r="C80" i="2"/>
  <c r="C86" i="2"/>
  <c r="C92" i="2"/>
  <c r="AH3060" i="7"/>
  <c r="AH2761" i="7"/>
  <c r="AH2730" i="7"/>
  <c r="Z2426" i="7"/>
  <c r="Z2414" i="7"/>
  <c r="Z1853" i="7"/>
  <c r="Z1847" i="7"/>
  <c r="AP1797" i="7"/>
  <c r="AP1793" i="7"/>
  <c r="AP1789" i="7"/>
  <c r="AP1785" i="7"/>
  <c r="J1292" i="7"/>
  <c r="J1281" i="7"/>
  <c r="J1272" i="7"/>
  <c r="J1263" i="7"/>
  <c r="J1254" i="7"/>
  <c r="B902" i="7"/>
  <c r="B884" i="7"/>
  <c r="R873" i="7"/>
  <c r="L81" i="1"/>
  <c r="L67" i="1"/>
  <c r="L61" i="1"/>
  <c r="L79" i="1"/>
  <c r="L76" i="1"/>
  <c r="L46" i="1"/>
  <c r="L43" i="1"/>
  <c r="L40" i="1"/>
  <c r="L37" i="1"/>
  <c r="L34" i="1"/>
  <c r="L31" i="1"/>
  <c r="L28" i="1"/>
  <c r="L25" i="1"/>
  <c r="L22" i="1"/>
  <c r="L19" i="1"/>
  <c r="L16" i="1"/>
  <c r="L13" i="1"/>
  <c r="L10" i="1"/>
  <c r="L70" i="1"/>
  <c r="L55" i="1"/>
  <c r="L82" i="1"/>
  <c r="L71" i="1"/>
  <c r="L68" i="1"/>
  <c r="L65" i="1"/>
  <c r="L62" i="1"/>
  <c r="L59" i="1"/>
  <c r="L56" i="1"/>
  <c r="L53" i="1"/>
  <c r="L49" i="1"/>
  <c r="L64" i="1"/>
  <c r="L58" i="1"/>
  <c r="B196" i="7"/>
  <c r="B187" i="7"/>
  <c r="J180" i="7"/>
  <c r="J171" i="7"/>
  <c r="J162" i="7"/>
  <c r="J153" i="7"/>
  <c r="J144" i="7"/>
  <c r="J135" i="7"/>
  <c r="J126" i="7"/>
  <c r="J117" i="7"/>
  <c r="L42" i="1"/>
  <c r="L24" i="1"/>
  <c r="L80" i="1"/>
  <c r="L38" i="1"/>
  <c r="F24" i="2"/>
  <c r="F30" i="2"/>
  <c r="F36" i="2"/>
  <c r="F42" i="2"/>
  <c r="F48" i="2"/>
  <c r="F54" i="2"/>
  <c r="F60" i="2"/>
  <c r="F66" i="2"/>
  <c r="F72" i="2"/>
  <c r="F78" i="2"/>
  <c r="F84" i="2"/>
  <c r="F90" i="2"/>
  <c r="G21" i="2"/>
  <c r="G27" i="2"/>
  <c r="H27" i="2" s="1"/>
  <c r="G33" i="2"/>
  <c r="H33" i="2" s="1"/>
  <c r="G39" i="2"/>
  <c r="H39" i="2" s="1"/>
  <c r="G45" i="2"/>
  <c r="H45" i="2" s="1"/>
  <c r="G51" i="2"/>
  <c r="H51" i="2" s="1"/>
  <c r="G57" i="2"/>
  <c r="H57" i="2" s="1"/>
  <c r="G63" i="2"/>
  <c r="H63" i="2" s="1"/>
  <c r="G69" i="2"/>
  <c r="H69" i="2" s="1"/>
  <c r="G75" i="2"/>
  <c r="H75" i="2" s="1"/>
  <c r="G81" i="2"/>
  <c r="H81" i="2" s="1"/>
  <c r="G87" i="2"/>
  <c r="H87" i="2" s="1"/>
  <c r="G93" i="2"/>
  <c r="H93" i="2" s="1"/>
  <c r="B24" i="2"/>
  <c r="B30" i="2"/>
  <c r="B36" i="2"/>
  <c r="B42" i="2"/>
  <c r="B48" i="2"/>
  <c r="B54" i="2"/>
  <c r="B60" i="2"/>
  <c r="B66" i="2"/>
  <c r="B72" i="2"/>
  <c r="B78" i="2"/>
  <c r="B84" i="2"/>
  <c r="B90" i="2"/>
  <c r="C21" i="2"/>
  <c r="C27" i="2"/>
  <c r="C33" i="2"/>
  <c r="C39" i="2"/>
  <c r="C45" i="2"/>
  <c r="C51" i="2"/>
  <c r="C57" i="2"/>
  <c r="C63" i="2"/>
  <c r="C69" i="2"/>
  <c r="C75" i="2"/>
  <c r="C81" i="2"/>
  <c r="C87" i="2"/>
  <c r="C93" i="2"/>
  <c r="D24" i="2"/>
  <c r="D30" i="2"/>
  <c r="D36" i="2"/>
  <c r="D42" i="2"/>
  <c r="D48" i="2"/>
  <c r="D54" i="2"/>
  <c r="D60" i="2"/>
  <c r="D66" i="2"/>
  <c r="D72" i="2"/>
  <c r="D78" i="2"/>
  <c r="D84" i="2"/>
  <c r="D90" i="2"/>
  <c r="E21" i="2"/>
  <c r="E27" i="2"/>
  <c r="E33" i="2"/>
  <c r="E39" i="2"/>
  <c r="E45" i="2"/>
  <c r="E51" i="2"/>
  <c r="E57" i="2"/>
  <c r="E63" i="2"/>
  <c r="E69" i="2"/>
  <c r="E75" i="2"/>
  <c r="E81" i="2"/>
  <c r="E87" i="2"/>
  <c r="E93" i="2"/>
  <c r="L44" i="1"/>
  <c r="AH3097" i="7"/>
  <c r="AH3094" i="7"/>
  <c r="AH3076" i="7"/>
  <c r="Z2983" i="7"/>
  <c r="Z2962" i="7"/>
  <c r="Z2887" i="7"/>
  <c r="Z2926" i="7"/>
  <c r="Z2890" i="7"/>
  <c r="Z2938" i="7"/>
  <c r="Z2783" i="7"/>
  <c r="AH2802" i="7"/>
  <c r="AH2793" i="7"/>
  <c r="Z2713" i="7"/>
  <c r="Z2716" i="7"/>
  <c r="AH2657" i="7"/>
  <c r="AH2636" i="7"/>
  <c r="AH2628" i="7"/>
  <c r="AH2597" i="7"/>
  <c r="AH2600" i="7"/>
  <c r="AH2582" i="7"/>
  <c r="AH2508" i="7"/>
  <c r="AH2520" i="7"/>
  <c r="AH2490" i="7"/>
  <c r="Z2396" i="7"/>
  <c r="Z2339" i="7"/>
  <c r="Z2390" i="7"/>
  <c r="Z2381" i="7"/>
  <c r="Z2375" i="7"/>
  <c r="Z2354" i="7"/>
  <c r="Z2351" i="7"/>
  <c r="Z2342" i="7"/>
  <c r="Z2279" i="7"/>
  <c r="Z2243" i="7"/>
  <c r="Z2285" i="7"/>
  <c r="Z2231" i="7"/>
  <c r="Z2332" i="7"/>
  <c r="Z2270" i="7"/>
  <c r="Z2234" i="7"/>
  <c r="AH2313" i="7"/>
  <c r="Z2237" i="7"/>
  <c r="B2127" i="7"/>
  <c r="AH2100" i="7"/>
  <c r="AP2095" i="7"/>
  <c r="J2110" i="7"/>
  <c r="B2097" i="7"/>
  <c r="B2093" i="7"/>
  <c r="Z2196" i="7"/>
  <c r="AH2147" i="7"/>
  <c r="B2144" i="7"/>
  <c r="AH2130" i="7"/>
  <c r="B2121" i="7"/>
  <c r="B2094" i="7"/>
  <c r="Z2553" i="7"/>
  <c r="AH2151" i="7"/>
  <c r="B2142" i="7"/>
  <c r="AH2124" i="7"/>
  <c r="B2115" i="7"/>
  <c r="AP2043" i="7"/>
  <c r="AP2042" i="7"/>
  <c r="Z2066" i="7"/>
  <c r="AP2059" i="7"/>
  <c r="AP2056" i="7"/>
  <c r="AP2053" i="7"/>
  <c r="AP2050" i="7"/>
  <c r="AP2047" i="7"/>
  <c r="AP2044" i="7"/>
  <c r="J2028" i="7"/>
  <c r="Z1850" i="7"/>
  <c r="Z1844" i="7"/>
  <c r="AP1810" i="7"/>
  <c r="R1801" i="7"/>
  <c r="AP1808" i="7"/>
  <c r="AP1798" i="7"/>
  <c r="AP1792" i="7"/>
  <c r="AP1786" i="7"/>
  <c r="AP1780" i="7"/>
  <c r="AP1774" i="7"/>
  <c r="B1638" i="7"/>
  <c r="B1635" i="7"/>
  <c r="B1632" i="7"/>
  <c r="B1629" i="7"/>
  <c r="B1626" i="7"/>
  <c r="B1623" i="7"/>
  <c r="B1620" i="7"/>
  <c r="B1617" i="7"/>
  <c r="B1614" i="7"/>
  <c r="B1611" i="7"/>
  <c r="B1608" i="7"/>
  <c r="B1605" i="7"/>
  <c r="B1602" i="7"/>
  <c r="B1599" i="7"/>
  <c r="B1596" i="7"/>
  <c r="Z1587" i="7"/>
  <c r="Z1641" i="7"/>
  <c r="AH1476" i="7"/>
  <c r="AH1469" i="7"/>
  <c r="AH1463" i="7"/>
  <c r="AH1457" i="7"/>
  <c r="AH1451" i="7"/>
  <c r="AH1445" i="7"/>
  <c r="AH1439" i="7"/>
  <c r="AH1433" i="7"/>
  <c r="AH1424" i="7"/>
  <c r="AH1415" i="7"/>
  <c r="AH1406" i="7"/>
  <c r="AH1397" i="7"/>
  <c r="AH1388" i="7"/>
  <c r="AH1379" i="7"/>
  <c r="AH1481" i="7"/>
  <c r="AH1480" i="7"/>
  <c r="AH1474" i="7"/>
  <c r="AH1298" i="7"/>
  <c r="AH1289" i="7"/>
  <c r="AH1313" i="7"/>
  <c r="AH1294" i="7"/>
  <c r="AH1285" i="7"/>
  <c r="J1280" i="7"/>
  <c r="J1271" i="7"/>
  <c r="J1262" i="7"/>
  <c r="J1253" i="7"/>
  <c r="AH1317" i="7"/>
  <c r="AH1299" i="7"/>
  <c r="AH1290" i="7"/>
  <c r="AH1316" i="7"/>
  <c r="AH1087" i="7"/>
  <c r="AH1091" i="7"/>
  <c r="AH1090" i="7"/>
  <c r="B1080" i="7"/>
  <c r="B1074" i="7"/>
  <c r="B1068" i="7"/>
  <c r="B1062" i="7"/>
  <c r="B1056" i="7"/>
  <c r="B1050" i="7"/>
  <c r="B1041" i="7"/>
  <c r="B1032" i="7"/>
  <c r="B1023" i="7"/>
  <c r="B1014" i="7"/>
  <c r="AH1088" i="7"/>
  <c r="B1042" i="7"/>
  <c r="B1033" i="7"/>
  <c r="B1024" i="7"/>
  <c r="B1015" i="7"/>
  <c r="B907" i="7"/>
  <c r="B895" i="7"/>
  <c r="B883" i="7"/>
  <c r="B912" i="7"/>
  <c r="B894" i="7"/>
  <c r="B876" i="7"/>
  <c r="B604" i="7"/>
  <c r="B595" i="7"/>
  <c r="B586" i="7"/>
  <c r="B577" i="7"/>
  <c r="B568" i="7"/>
  <c r="B559" i="7"/>
  <c r="B550" i="7"/>
  <c r="B541" i="7"/>
  <c r="B532" i="7"/>
  <c r="B525" i="7"/>
  <c r="B516" i="7"/>
  <c r="B507" i="7"/>
  <c r="B498" i="7"/>
  <c r="B600" i="7"/>
  <c r="B591" i="7"/>
  <c r="B582" i="7"/>
  <c r="B573" i="7"/>
  <c r="B564" i="7"/>
  <c r="B555" i="7"/>
  <c r="B546" i="7"/>
  <c r="B537" i="7"/>
  <c r="B523" i="7"/>
  <c r="B514" i="7"/>
  <c r="B505" i="7"/>
  <c r="B496" i="7"/>
  <c r="B610" i="7"/>
  <c r="Z606" i="7"/>
  <c r="Z597" i="7"/>
  <c r="Z588" i="7"/>
  <c r="Z579" i="7"/>
  <c r="Z570" i="7"/>
  <c r="Z561" i="7"/>
  <c r="Z552" i="7"/>
  <c r="Z543" i="7"/>
  <c r="Z534" i="7"/>
  <c r="B191" i="7"/>
  <c r="B185" i="7"/>
  <c r="L69" i="1"/>
  <c r="L47" i="1"/>
  <c r="L78" i="1"/>
  <c r="L39" i="1"/>
  <c r="L21" i="1"/>
  <c r="L20" i="1"/>
  <c r="B25" i="2"/>
  <c r="B31" i="2"/>
  <c r="B37" i="2"/>
  <c r="B43" i="2"/>
  <c r="B49" i="2"/>
  <c r="B55" i="2"/>
  <c r="B61" i="2"/>
  <c r="B67" i="2"/>
  <c r="B73" i="2"/>
  <c r="B79" i="2"/>
  <c r="B85" i="2"/>
  <c r="B91" i="2"/>
  <c r="C22" i="2"/>
  <c r="C28" i="2"/>
  <c r="C34" i="2"/>
  <c r="C40" i="2"/>
  <c r="C46" i="2"/>
  <c r="C52" i="2"/>
  <c r="C58" i="2"/>
  <c r="C64" i="2"/>
  <c r="C70" i="2"/>
  <c r="C76" i="2"/>
  <c r="C82" i="2"/>
  <c r="C88" i="2"/>
  <c r="C94" i="2"/>
  <c r="D25" i="2"/>
  <c r="D31" i="2"/>
  <c r="D37" i="2"/>
  <c r="D43" i="2"/>
  <c r="D49" i="2"/>
  <c r="D55" i="2"/>
  <c r="D61" i="2"/>
  <c r="D67" i="2"/>
  <c r="D73" i="2"/>
  <c r="D79" i="2"/>
  <c r="D85" i="2"/>
  <c r="D91" i="2"/>
  <c r="E22" i="2"/>
  <c r="E28" i="2"/>
  <c r="E34" i="2"/>
  <c r="E40" i="2"/>
  <c r="E46" i="2"/>
  <c r="E52" i="2"/>
  <c r="E58" i="2"/>
  <c r="E64" i="2"/>
  <c r="E70" i="2"/>
  <c r="E76" i="2"/>
  <c r="E82" i="2"/>
  <c r="E88" i="2"/>
  <c r="E94" i="2"/>
  <c r="F25" i="2"/>
  <c r="F31" i="2"/>
  <c r="F37" i="2"/>
  <c r="F43" i="2"/>
  <c r="F49" i="2"/>
  <c r="F55" i="2"/>
  <c r="F61" i="2"/>
  <c r="F67" i="2"/>
  <c r="F73" i="2"/>
  <c r="F79" i="2"/>
  <c r="F85" i="2"/>
  <c r="F91" i="2"/>
  <c r="G22" i="2"/>
  <c r="H22" i="2" s="1"/>
  <c r="G28" i="2"/>
  <c r="H28" i="2" s="1"/>
  <c r="G34" i="2"/>
  <c r="H34" i="2" s="1"/>
  <c r="G40" i="2"/>
  <c r="H40" i="2" s="1"/>
  <c r="G46" i="2"/>
  <c r="H46" i="2" s="1"/>
  <c r="G52" i="2"/>
  <c r="H52" i="2" s="1"/>
  <c r="G58" i="2"/>
  <c r="H58" i="2" s="1"/>
  <c r="G64" i="2"/>
  <c r="H64" i="2" s="1"/>
  <c r="G70" i="2"/>
  <c r="H70" i="2" s="1"/>
  <c r="G76" i="2"/>
  <c r="H76" i="2" s="1"/>
  <c r="G82" i="2"/>
  <c r="H82" i="2" s="1"/>
  <c r="G88" i="2"/>
  <c r="H88" i="2" s="1"/>
  <c r="G94" i="2"/>
  <c r="H94" i="2" s="1"/>
  <c r="L26" i="1"/>
  <c r="Z2917" i="7"/>
  <c r="Z2908" i="7"/>
  <c r="Z2884" i="7"/>
  <c r="Z2792" i="7"/>
  <c r="AH2769" i="7"/>
  <c r="AH2742" i="7"/>
  <c r="Z2539" i="7"/>
  <c r="Z2202" i="7"/>
  <c r="Z2108" i="7"/>
  <c r="Z2102" i="7"/>
  <c r="Z2096" i="7"/>
  <c r="B2091" i="7"/>
  <c r="B2030" i="7"/>
  <c r="B2029" i="7"/>
  <c r="R1916" i="7"/>
  <c r="Z1852" i="7"/>
  <c r="R1907" i="7"/>
  <c r="Z1855" i="7"/>
  <c r="Z1893" i="7"/>
  <c r="R1808" i="7"/>
  <c r="AD5" i="4"/>
  <c r="AD6" i="4" s="1"/>
  <c r="AD7" i="4" s="1"/>
  <c r="AD8" i="4" s="1"/>
  <c r="AD9" i="4" s="1"/>
  <c r="AD10" i="4" s="1"/>
  <c r="AD11" i="4" s="1"/>
  <c r="AD12" i="4" s="1"/>
  <c r="AD13" i="4" s="1"/>
  <c r="AD14" i="4" s="1"/>
  <c r="AD15" i="4" s="1"/>
  <c r="AD16" i="4" s="1"/>
  <c r="AD17" i="4" s="1"/>
  <c r="AD18" i="4" s="1"/>
  <c r="AD19" i="4" s="1"/>
  <c r="AD20" i="4" s="1"/>
  <c r="AD21" i="4" s="1"/>
  <c r="AD22" i="4" s="1"/>
  <c r="AD23" i="4" s="1"/>
  <c r="AD24" i="4" s="1"/>
  <c r="AD25" i="4" s="1"/>
  <c r="AD26" i="4" s="1"/>
  <c r="AD27" i="4" s="1"/>
  <c r="AD28" i="4" s="1"/>
  <c r="AD29" i="4" s="1"/>
  <c r="AD30" i="4" s="1"/>
  <c r="AD31" i="4" s="1"/>
  <c r="AD32" i="4" s="1"/>
  <c r="AD33" i="4" s="1"/>
  <c r="AD34" i="4" s="1"/>
  <c r="AD35" i="4" s="1"/>
  <c r="AD36" i="4" s="1"/>
  <c r="AD37" i="4" s="1"/>
  <c r="AD38" i="4" s="1"/>
  <c r="AD39" i="4" s="1"/>
  <c r="AD40" i="4" s="1"/>
  <c r="AD41" i="4" s="1"/>
  <c r="AD42" i="4" s="1"/>
  <c r="AD43" i="4" s="1"/>
  <c r="AD44" i="4" s="1"/>
  <c r="AD45" i="4" s="1"/>
  <c r="AD46" i="4" s="1"/>
  <c r="AD47" i="4" s="1"/>
  <c r="AD48" i="4" s="1"/>
  <c r="AD49" i="4" s="1"/>
  <c r="AD50" i="4" s="1"/>
  <c r="AD51" i="4" s="1"/>
  <c r="AD52" i="4" s="1"/>
  <c r="AD53" i="4" s="1"/>
  <c r="AD54" i="4" s="1"/>
  <c r="AD55" i="4" s="1"/>
  <c r="AD56" i="4" s="1"/>
  <c r="AD57" i="4" s="1"/>
  <c r="AD58" i="4" s="1"/>
  <c r="AD59" i="4" s="1"/>
  <c r="AD60" i="4" s="1"/>
  <c r="AD61" i="4" s="1"/>
  <c r="AD62" i="4" s="1"/>
  <c r="AD63" i="4" s="1"/>
  <c r="AD64" i="4" s="1"/>
  <c r="AD65" i="4" s="1"/>
  <c r="AD66" i="4" s="1"/>
  <c r="AD67" i="4" s="1"/>
  <c r="AD68" i="4" s="1"/>
  <c r="AD69" i="4" s="1"/>
  <c r="AD70" i="4" s="1"/>
  <c r="AD71" i="4" s="1"/>
  <c r="AD72" i="4" s="1"/>
  <c r="AD73" i="4" s="1"/>
  <c r="AD74" i="4" s="1"/>
  <c r="AD75" i="4" s="1"/>
  <c r="AD76" i="4" s="1"/>
  <c r="AD77" i="4" s="1"/>
  <c r="AD78" i="4" s="1"/>
  <c r="AD79" i="4" s="1"/>
  <c r="AD80" i="4" s="1"/>
  <c r="AD81" i="4" s="1"/>
  <c r="AD82" i="4" s="1"/>
  <c r="AD83" i="4" s="1"/>
  <c r="AD84" i="4" s="1"/>
  <c r="AD85" i="4" s="1"/>
  <c r="AD86" i="4" s="1"/>
  <c r="AD87" i="4" s="1"/>
  <c r="AD88" i="4" s="1"/>
  <c r="AD89" i="4" s="1"/>
  <c r="AD90" i="4" s="1"/>
  <c r="AD91" i="4" s="1"/>
  <c r="AD92" i="4" s="1"/>
  <c r="AD93" i="4" s="1"/>
  <c r="AD94" i="4" s="1"/>
  <c r="AD95" i="4" s="1"/>
  <c r="AD96" i="4" s="1"/>
  <c r="AD97" i="4" s="1"/>
  <c r="AD98" i="4" s="1"/>
  <c r="AD99" i="4" s="1"/>
  <c r="AD100" i="4" s="1"/>
  <c r="AD101" i="4" s="1"/>
  <c r="AD102" i="4" s="1"/>
  <c r="AD103" i="4" s="1"/>
  <c r="AD104" i="4" s="1"/>
  <c r="AD105" i="4" s="1"/>
  <c r="AD106" i="4" s="1"/>
  <c r="AD107" i="4" s="1"/>
  <c r="AD108" i="4" s="1"/>
  <c r="AD109" i="4" s="1"/>
  <c r="AD110" i="4" s="1"/>
  <c r="AD111" i="4" s="1"/>
  <c r="AD112" i="4" s="1"/>
  <c r="AD113" i="4" s="1"/>
  <c r="AD114" i="4" s="1"/>
  <c r="AD115" i="4" s="1"/>
  <c r="AD116" i="4" s="1"/>
  <c r="AD117" i="4" s="1"/>
  <c r="AD118" i="4" s="1"/>
  <c r="AD119" i="4" s="1"/>
  <c r="AD120" i="4" s="1"/>
  <c r="AD121" i="4" s="1"/>
  <c r="AD122" i="4" s="1"/>
  <c r="AD123" i="4" s="1"/>
  <c r="AD124" i="4" s="1"/>
  <c r="AD125" i="4" s="1"/>
  <c r="AD126" i="4" s="1"/>
  <c r="AD127" i="4" s="1"/>
  <c r="AD128" i="4" s="1"/>
  <c r="AD129" i="4" s="1"/>
  <c r="AD130" i="4" s="1"/>
  <c r="AD131" i="4" s="1"/>
  <c r="AD132" i="4" s="1"/>
  <c r="AD133" i="4" s="1"/>
  <c r="AD134" i="4" s="1"/>
  <c r="AD135" i="4" s="1"/>
  <c r="AD136" i="4" s="1"/>
  <c r="AD137" i="4" s="1"/>
  <c r="AD138" i="4" s="1"/>
  <c r="AD139" i="4" s="1"/>
  <c r="AD140" i="4" s="1"/>
  <c r="AD141" i="4" s="1"/>
  <c r="AD142" i="4" s="1"/>
  <c r="AD143" i="4" s="1"/>
  <c r="AD144" i="4" s="1"/>
  <c r="AD145" i="4" s="1"/>
  <c r="AD146" i="4" s="1"/>
  <c r="AD147" i="4" s="1"/>
  <c r="AD148" i="4" s="1"/>
  <c r="AD149" i="4" s="1"/>
  <c r="AD150" i="4" s="1"/>
  <c r="AD151" i="4" s="1"/>
  <c r="AD152" i="4" s="1"/>
  <c r="AD153" i="4" s="1"/>
  <c r="AD154" i="4" s="1"/>
  <c r="AD155" i="4" s="1"/>
  <c r="L75" i="1"/>
  <c r="L36" i="1"/>
  <c r="L18" i="1"/>
  <c r="D5" i="4"/>
  <c r="U5" i="4" s="1" a="1"/>
  <c r="U5" i="4" s="1"/>
  <c r="G5" i="4"/>
  <c r="H5" i="4" s="1"/>
  <c r="L52" i="1"/>
  <c r="L73" i="1"/>
  <c r="D26" i="2"/>
  <c r="D32" i="2"/>
  <c r="D38" i="2"/>
  <c r="D44" i="2"/>
  <c r="D50" i="2"/>
  <c r="D56" i="2"/>
  <c r="D62" i="2"/>
  <c r="D68" i="2"/>
  <c r="D74" i="2"/>
  <c r="D80" i="2"/>
  <c r="D86" i="2"/>
  <c r="D92" i="2"/>
  <c r="E23" i="2"/>
  <c r="E29" i="2"/>
  <c r="E35" i="2"/>
  <c r="E41" i="2"/>
  <c r="E47" i="2"/>
  <c r="E53" i="2"/>
  <c r="E59" i="2"/>
  <c r="E65" i="2"/>
  <c r="E71" i="2"/>
  <c r="E77" i="2"/>
  <c r="E83" i="2"/>
  <c r="E89" i="2"/>
  <c r="E95" i="2"/>
  <c r="F26" i="2"/>
  <c r="F32" i="2"/>
  <c r="F38" i="2"/>
  <c r="F44" i="2"/>
  <c r="F50" i="2"/>
  <c r="F56" i="2"/>
  <c r="F62" i="2"/>
  <c r="F68" i="2"/>
  <c r="F74" i="2"/>
  <c r="F80" i="2"/>
  <c r="F86" i="2"/>
  <c r="F92" i="2"/>
  <c r="G23" i="2"/>
  <c r="H23" i="2" s="1"/>
  <c r="G29" i="2"/>
  <c r="H29" i="2" s="1"/>
  <c r="G35" i="2"/>
  <c r="H35" i="2" s="1"/>
  <c r="G41" i="2"/>
  <c r="H41" i="2" s="1"/>
  <c r="G47" i="2"/>
  <c r="H47" i="2" s="1"/>
  <c r="G53" i="2"/>
  <c r="H53" i="2" s="1"/>
  <c r="G59" i="2"/>
  <c r="H59" i="2" s="1"/>
  <c r="G65" i="2"/>
  <c r="H65" i="2" s="1"/>
  <c r="G71" i="2"/>
  <c r="H71" i="2" s="1"/>
  <c r="G77" i="2"/>
  <c r="H77" i="2" s="1"/>
  <c r="G83" i="2"/>
  <c r="H83" i="2" s="1"/>
  <c r="G89" i="2"/>
  <c r="H89" i="2" s="1"/>
  <c r="G95" i="2"/>
  <c r="H95" i="2" s="1"/>
  <c r="B26" i="2"/>
  <c r="B32" i="2"/>
  <c r="B38" i="2"/>
  <c r="B44" i="2"/>
  <c r="B50" i="2"/>
  <c r="B56" i="2"/>
  <c r="B62" i="2"/>
  <c r="B68" i="2"/>
  <c r="B74" i="2"/>
  <c r="B80" i="2"/>
  <c r="B86" i="2"/>
  <c r="B92" i="2"/>
  <c r="C23" i="2"/>
  <c r="C29" i="2"/>
  <c r="C35" i="2"/>
  <c r="C41" i="2"/>
  <c r="C47" i="2"/>
  <c r="C53" i="2"/>
  <c r="C59" i="2"/>
  <c r="C65" i="2"/>
  <c r="C71" i="2"/>
  <c r="C77" i="2"/>
  <c r="C83" i="2"/>
  <c r="C89" i="2"/>
  <c r="L29" i="1"/>
  <c r="Z6" i="4" l="1"/>
  <c r="L5" i="4"/>
  <c r="L6" i="4" s="1"/>
  <c r="Z5" i="4"/>
  <c r="AF5" i="4" s="1"/>
  <c r="E7" i="4"/>
  <c r="G96" i="2"/>
  <c r="C8" i="4"/>
  <c r="B8" i="4"/>
  <c r="F7" i="4"/>
  <c r="D7" i="4" s="1"/>
  <c r="U7" i="4" s="1" a="1"/>
  <c r="U7" i="4" s="1"/>
  <c r="H21" i="2"/>
  <c r="G6" i="4"/>
  <c r="H6" i="4" s="1"/>
  <c r="AF6" i="4" l="1"/>
  <c r="H96" i="2"/>
  <c r="I21" i="2"/>
  <c r="I22" i="2" s="1"/>
  <c r="I23" i="2" s="1"/>
  <c r="I24" i="2" s="1"/>
  <c r="I25" i="2" s="1"/>
  <c r="I26" i="2" s="1"/>
  <c r="I27" i="2" s="1"/>
  <c r="I28" i="2" s="1"/>
  <c r="I29" i="2" s="1"/>
  <c r="I30" i="2" s="1"/>
  <c r="I31" i="2" s="1"/>
  <c r="I32" i="2" s="1"/>
  <c r="I33" i="2" s="1"/>
  <c r="I34" i="2" s="1"/>
  <c r="I35" i="2" s="1"/>
  <c r="I36" i="2" s="1"/>
  <c r="I37" i="2" s="1"/>
  <c r="I38" i="2" s="1"/>
  <c r="I39" i="2" s="1"/>
  <c r="I40" i="2" s="1"/>
  <c r="I41" i="2" s="1"/>
  <c r="I42" i="2" s="1"/>
  <c r="I43" i="2" s="1"/>
  <c r="I44" i="2" s="1"/>
  <c r="I45" i="2" s="1"/>
  <c r="I46" i="2" s="1"/>
  <c r="I47" i="2" s="1"/>
  <c r="I48" i="2" s="1"/>
  <c r="I49" i="2" s="1"/>
  <c r="I50" i="2" s="1"/>
  <c r="I51" i="2" s="1"/>
  <c r="I52" i="2" s="1"/>
  <c r="I53" i="2" s="1"/>
  <c r="I54" i="2" s="1"/>
  <c r="I55" i="2" s="1"/>
  <c r="I56" i="2" s="1"/>
  <c r="I57" i="2" s="1"/>
  <c r="I58" i="2" s="1"/>
  <c r="I59" i="2" s="1"/>
  <c r="I60" i="2" s="1"/>
  <c r="I61" i="2" s="1"/>
  <c r="I62" i="2" s="1"/>
  <c r="I63" i="2" s="1"/>
  <c r="I64" i="2" s="1"/>
  <c r="I65" i="2" s="1"/>
  <c r="I66" i="2" s="1"/>
  <c r="I67" i="2" s="1"/>
  <c r="I68" i="2" s="1"/>
  <c r="I69" i="2" s="1"/>
  <c r="I70" i="2" s="1"/>
  <c r="I71" i="2" s="1"/>
  <c r="I72" i="2" s="1"/>
  <c r="I73" i="2" s="1"/>
  <c r="I74" i="2" s="1"/>
  <c r="I75" i="2" s="1"/>
  <c r="I76" i="2" s="1"/>
  <c r="I77" i="2" s="1"/>
  <c r="I78" i="2" s="1"/>
  <c r="I79" i="2" s="1"/>
  <c r="I80" i="2" s="1"/>
  <c r="I81" i="2" s="1"/>
  <c r="I82" i="2" s="1"/>
  <c r="I83" i="2" s="1"/>
  <c r="I84" i="2" s="1"/>
  <c r="I85" i="2" s="1"/>
  <c r="I86" i="2" s="1"/>
  <c r="I87" i="2" s="1"/>
  <c r="I88" i="2" s="1"/>
  <c r="I89" i="2" s="1"/>
  <c r="I90" i="2" s="1"/>
  <c r="I91" i="2" s="1"/>
  <c r="I92" i="2" s="1"/>
  <c r="I93" i="2" s="1"/>
  <c r="I94" i="2" s="1"/>
  <c r="I95" i="2" s="1"/>
  <c r="G7" i="4"/>
  <c r="H7" i="4" s="1"/>
  <c r="L7" i="4"/>
  <c r="Z7" i="4"/>
  <c r="E8" i="4"/>
  <c r="G8" i="4"/>
  <c r="H8" i="4" s="1"/>
  <c r="C9" i="4"/>
  <c r="B9" i="4"/>
  <c r="F8" i="4"/>
  <c r="AF7" i="4" l="1"/>
  <c r="C10" i="4"/>
  <c r="B10" i="4"/>
  <c r="F9" i="4"/>
  <c r="D9" i="4" s="1"/>
  <c r="U9" i="4" s="1" a="1"/>
  <c r="U9" i="4" s="1"/>
  <c r="D8" i="4"/>
  <c r="U8" i="4" s="1" a="1"/>
  <c r="U8" i="4" s="1"/>
  <c r="E9" i="4"/>
  <c r="L8" i="4" l="1"/>
  <c r="L9" i="4" s="1"/>
  <c r="Z8" i="4"/>
  <c r="AF8" i="4" s="1"/>
  <c r="Z9" i="4"/>
  <c r="G10" i="4"/>
  <c r="H10" i="4" s="1"/>
  <c r="E10" i="4"/>
  <c r="C11" i="4"/>
  <c r="B11" i="4"/>
  <c r="F10" i="4"/>
  <c r="G9" i="4"/>
  <c r="H9" i="4" s="1"/>
  <c r="AF9" i="4" l="1"/>
  <c r="C12" i="4"/>
  <c r="B12" i="4"/>
  <c r="F11" i="4"/>
  <c r="D11" i="4" s="1"/>
  <c r="U11" i="4" s="1" a="1"/>
  <c r="U11" i="4" s="1"/>
  <c r="D10" i="4"/>
  <c r="U10" i="4" s="1" a="1"/>
  <c r="U10" i="4" s="1"/>
  <c r="E11" i="4"/>
  <c r="Z11" i="4" l="1"/>
  <c r="C13" i="4"/>
  <c r="B13" i="4"/>
  <c r="F12" i="4"/>
  <c r="G11" i="4"/>
  <c r="H11" i="4" s="1"/>
  <c r="G12" i="4"/>
  <c r="H12" i="4" s="1"/>
  <c r="E12" i="4"/>
  <c r="L10" i="4"/>
  <c r="L11" i="4" s="1"/>
  <c r="Z10" i="4"/>
  <c r="AF10" i="4" s="1"/>
  <c r="AF11" i="4" l="1"/>
  <c r="D12" i="4"/>
  <c r="U12" i="4" s="1" a="1"/>
  <c r="U12" i="4" s="1"/>
  <c r="G13" i="4"/>
  <c r="H13" i="4" s="1"/>
  <c r="E13" i="4"/>
  <c r="C14" i="4"/>
  <c r="B14" i="4"/>
  <c r="F13" i="4"/>
  <c r="L12" i="4" l="1"/>
  <c r="Z12" i="4"/>
  <c r="AF12" i="4" s="1"/>
  <c r="D13" i="4"/>
  <c r="U13" i="4" s="1" a="1"/>
  <c r="U13" i="4" s="1"/>
  <c r="E14" i="4"/>
  <c r="C15" i="4"/>
  <c r="B15" i="4"/>
  <c r="F14" i="4"/>
  <c r="D14" i="4" s="1"/>
  <c r="U14" i="4" s="1" a="1"/>
  <c r="U14" i="4" s="1"/>
  <c r="C16" i="4" l="1"/>
  <c r="B16" i="4"/>
  <c r="F15" i="4"/>
  <c r="G14" i="4"/>
  <c r="H14" i="4" s="1"/>
  <c r="L13" i="4"/>
  <c r="L14" i="4" s="1"/>
  <c r="Z13" i="4"/>
  <c r="AF13" i="4" s="1"/>
  <c r="Z14" i="4"/>
  <c r="G15" i="4"/>
  <c r="H15" i="4" s="1"/>
  <c r="E15" i="4"/>
  <c r="AF14" i="4" l="1"/>
  <c r="D15" i="4"/>
  <c r="U15" i="4" s="1" a="1"/>
  <c r="U15" i="4" s="1"/>
  <c r="G16" i="4"/>
  <c r="H16" i="4" s="1"/>
  <c r="E16" i="4"/>
  <c r="C17" i="4"/>
  <c r="B17" i="4"/>
  <c r="F16" i="4"/>
  <c r="D16" i="4" s="1"/>
  <c r="U16" i="4" s="1" a="1"/>
  <c r="U16" i="4" s="1"/>
  <c r="Z16" i="4" l="1"/>
  <c r="E17" i="4"/>
  <c r="G17" i="4"/>
  <c r="H17" i="4" s="1"/>
  <c r="C18" i="4"/>
  <c r="B18" i="4"/>
  <c r="F17" i="4"/>
  <c r="D17" i="4" s="1"/>
  <c r="U17" i="4" s="1" a="1"/>
  <c r="U17" i="4" s="1"/>
  <c r="L15" i="4"/>
  <c r="L16" i="4" s="1"/>
  <c r="Z15" i="4"/>
  <c r="AF15" i="4" s="1"/>
  <c r="AF16" i="4" s="1"/>
  <c r="C19" i="4" l="1"/>
  <c r="B19" i="4"/>
  <c r="F18" i="4"/>
  <c r="D18" i="4" s="1"/>
  <c r="U18" i="4" s="1" a="1"/>
  <c r="U18" i="4" s="1"/>
  <c r="L17" i="4"/>
  <c r="Z17" i="4"/>
  <c r="AF17" i="4" s="1"/>
  <c r="E18" i="4"/>
  <c r="L18" i="4" l="1"/>
  <c r="Z18" i="4"/>
  <c r="AF18" i="4" s="1"/>
  <c r="E19" i="4"/>
  <c r="G18" i="4"/>
  <c r="H18" i="4" s="1"/>
  <c r="C20" i="4"/>
  <c r="B20" i="4"/>
  <c r="F19" i="4"/>
  <c r="D19" i="4" s="1"/>
  <c r="U19" i="4" s="1" a="1"/>
  <c r="U19" i="4" s="1"/>
  <c r="C21" i="4" l="1"/>
  <c r="B21" i="4"/>
  <c r="F20" i="4"/>
  <c r="D20" i="4" s="1"/>
  <c r="U20" i="4" s="1" a="1"/>
  <c r="U20" i="4" s="1"/>
  <c r="G19" i="4"/>
  <c r="H19" i="4" s="1"/>
  <c r="L19" i="4"/>
  <c r="Z19" i="4"/>
  <c r="AF19" i="4" s="1"/>
  <c r="E20" i="4"/>
  <c r="G20" i="4"/>
  <c r="H20" i="4" s="1"/>
  <c r="L20" i="4" l="1"/>
  <c r="Z20" i="4"/>
  <c r="AF20" i="4" s="1"/>
  <c r="E21" i="4"/>
  <c r="C22" i="4"/>
  <c r="B22" i="4"/>
  <c r="F21" i="4"/>
  <c r="G21" i="4" s="1"/>
  <c r="H21" i="4" s="1"/>
  <c r="E22" i="4" l="1"/>
  <c r="C23" i="4"/>
  <c r="B23" i="4"/>
  <c r="F22" i="4"/>
  <c r="D22" i="4" s="1"/>
  <c r="U22" i="4" s="1" a="1"/>
  <c r="U22" i="4" s="1"/>
  <c r="D21" i="4"/>
  <c r="U21" i="4" s="1" a="1"/>
  <c r="U21" i="4" s="1"/>
  <c r="L21" i="4" l="1"/>
  <c r="L22" i="4" s="1"/>
  <c r="Z21" i="4"/>
  <c r="AF21" i="4" s="1"/>
  <c r="E23" i="4"/>
  <c r="Z22" i="4"/>
  <c r="C24" i="4"/>
  <c r="B24" i="4"/>
  <c r="F23" i="4"/>
  <c r="D23" i="4" s="1"/>
  <c r="U23" i="4" s="1" a="1"/>
  <c r="U23" i="4" s="1"/>
  <c r="G22" i="4"/>
  <c r="H22" i="4" s="1"/>
  <c r="AF22" i="4" l="1"/>
  <c r="L23" i="4"/>
  <c r="Z23" i="4"/>
  <c r="G23" i="4"/>
  <c r="H23" i="4" s="1"/>
  <c r="E24" i="4"/>
  <c r="C25" i="4"/>
  <c r="B25" i="4"/>
  <c r="F24" i="4"/>
  <c r="D24" i="4" s="1"/>
  <c r="U24" i="4" s="1" a="1"/>
  <c r="U24" i="4" s="1"/>
  <c r="AF23" i="4" l="1"/>
  <c r="L24" i="4"/>
  <c r="Z24" i="4"/>
  <c r="AF24" i="4" s="1"/>
  <c r="E25" i="4"/>
  <c r="G24" i="4"/>
  <c r="H24" i="4" s="1"/>
  <c r="C26" i="4"/>
  <c r="B26" i="4"/>
  <c r="F25" i="4"/>
  <c r="D25" i="4" s="1"/>
  <c r="U25" i="4" s="1" a="1"/>
  <c r="U25" i="4" s="1"/>
  <c r="G25" i="4" l="1"/>
  <c r="H25" i="4" s="1"/>
  <c r="E26" i="4"/>
  <c r="L25" i="4"/>
  <c r="Z25" i="4"/>
  <c r="AF25" i="4" s="1"/>
  <c r="C27" i="4"/>
  <c r="B27" i="4"/>
  <c r="F26" i="4"/>
  <c r="D26" i="4" s="1"/>
  <c r="U26" i="4" s="1" a="1"/>
  <c r="U26" i="4" s="1"/>
  <c r="C28" i="4" l="1"/>
  <c r="B28" i="4"/>
  <c r="F27" i="4"/>
  <c r="D27" i="4" s="1"/>
  <c r="U27" i="4" s="1" a="1"/>
  <c r="U27" i="4" s="1"/>
  <c r="L26" i="4"/>
  <c r="Z26" i="4"/>
  <c r="AF26" i="4" s="1"/>
  <c r="G26" i="4"/>
  <c r="H26" i="4" s="1"/>
  <c r="E27" i="4"/>
  <c r="L27" i="4" l="1"/>
  <c r="Z27" i="4"/>
  <c r="AF27" i="4" s="1"/>
  <c r="G27" i="4"/>
  <c r="H27" i="4" s="1"/>
  <c r="E28" i="4"/>
  <c r="C29" i="4"/>
  <c r="B29" i="4"/>
  <c r="F28" i="4"/>
  <c r="G28" i="4" s="1"/>
  <c r="H28" i="4" s="1"/>
  <c r="D28" i="4" l="1"/>
  <c r="U28" i="4" s="1" a="1"/>
  <c r="U28" i="4" s="1"/>
  <c r="E29" i="4"/>
  <c r="C30" i="4"/>
  <c r="B30" i="4"/>
  <c r="F29" i="4"/>
  <c r="D29" i="4" s="1"/>
  <c r="U29" i="4" s="1" a="1"/>
  <c r="U29" i="4" s="1"/>
  <c r="Z29" i="4" l="1"/>
  <c r="C31" i="4"/>
  <c r="B31" i="4"/>
  <c r="F30" i="4"/>
  <c r="D30" i="4" s="1"/>
  <c r="U30" i="4" s="1" a="1"/>
  <c r="U30" i="4" s="1"/>
  <c r="G29" i="4"/>
  <c r="H29" i="4" s="1"/>
  <c r="E30" i="4"/>
  <c r="L28" i="4"/>
  <c r="L29" i="4" s="1"/>
  <c r="Z28" i="4"/>
  <c r="AF28" i="4" s="1"/>
  <c r="AF29" i="4" l="1"/>
  <c r="L30" i="4"/>
  <c r="Z30" i="4"/>
  <c r="E31" i="4"/>
  <c r="C32" i="4"/>
  <c r="B32" i="4"/>
  <c r="F31" i="4"/>
  <c r="G31" i="4" s="1"/>
  <c r="H31" i="4" s="1"/>
  <c r="G30" i="4"/>
  <c r="H30" i="4" s="1"/>
  <c r="AF30" i="4" l="1"/>
  <c r="C33" i="4"/>
  <c r="B33" i="4"/>
  <c r="F32" i="4"/>
  <c r="D31" i="4"/>
  <c r="U31" i="4" s="1" a="1"/>
  <c r="U31" i="4" s="1"/>
  <c r="E32" i="4"/>
  <c r="G32" i="4"/>
  <c r="H32" i="4" s="1"/>
  <c r="L31" i="4" l="1"/>
  <c r="Z31" i="4"/>
  <c r="AF31" i="4" s="1"/>
  <c r="E33" i="4"/>
  <c r="D32" i="4"/>
  <c r="U32" i="4" s="1" a="1"/>
  <c r="U32" i="4" s="1"/>
  <c r="C34" i="4"/>
  <c r="B34" i="4"/>
  <c r="F33" i="4"/>
  <c r="D33" i="4" s="1"/>
  <c r="U33" i="4" s="1" a="1"/>
  <c r="U33" i="4" s="1"/>
  <c r="Z33" i="4" l="1"/>
  <c r="L32" i="4"/>
  <c r="L33" i="4" s="1"/>
  <c r="Z32" i="4"/>
  <c r="AF32" i="4" s="1"/>
  <c r="G33" i="4"/>
  <c r="H33" i="4" s="1"/>
  <c r="E34" i="4"/>
  <c r="C35" i="4"/>
  <c r="B35" i="4"/>
  <c r="F34" i="4"/>
  <c r="D34" i="4" s="1"/>
  <c r="U34" i="4" s="1" a="1"/>
  <c r="U34" i="4" s="1"/>
  <c r="AF33" i="4" l="1"/>
  <c r="E35" i="4"/>
  <c r="L34" i="4"/>
  <c r="Z34" i="4"/>
  <c r="C36" i="4"/>
  <c r="B36" i="4"/>
  <c r="F35" i="4"/>
  <c r="D35" i="4" s="1"/>
  <c r="U35" i="4" s="1" a="1"/>
  <c r="U35" i="4" s="1"/>
  <c r="G34" i="4"/>
  <c r="H34" i="4" s="1"/>
  <c r="AF34" i="4" l="1"/>
  <c r="C37" i="4"/>
  <c r="B37" i="4"/>
  <c r="F36" i="4"/>
  <c r="D36" i="4" s="1"/>
  <c r="U36" i="4" s="1" a="1"/>
  <c r="U36" i="4" s="1"/>
  <c r="L35" i="4"/>
  <c r="Z35" i="4"/>
  <c r="G35" i="4"/>
  <c r="H35" i="4" s="1"/>
  <c r="E36" i="4"/>
  <c r="AF35" i="4" l="1"/>
  <c r="L36" i="4"/>
  <c r="Z36" i="4"/>
  <c r="AF36" i="4" s="1"/>
  <c r="G36" i="4"/>
  <c r="H36" i="4" s="1"/>
  <c r="E37" i="4"/>
  <c r="C38" i="4"/>
  <c r="B38" i="4"/>
  <c r="F37" i="4"/>
  <c r="D37" i="4" s="1"/>
  <c r="U37" i="4" s="1" a="1"/>
  <c r="U37" i="4" s="1"/>
  <c r="G37" i="4" l="1"/>
  <c r="H37" i="4" s="1"/>
  <c r="E38" i="4"/>
  <c r="L37" i="4"/>
  <c r="Z37" i="4"/>
  <c r="AF37" i="4" s="1"/>
  <c r="C39" i="4"/>
  <c r="B39" i="4"/>
  <c r="F38" i="4"/>
  <c r="D38" i="4" s="1"/>
  <c r="U38" i="4" s="1" a="1"/>
  <c r="U38" i="4" s="1"/>
  <c r="L38" i="4" l="1"/>
  <c r="Z38" i="4"/>
  <c r="AF38" i="4" s="1"/>
  <c r="G38" i="4"/>
  <c r="H38" i="4" s="1"/>
  <c r="C40" i="4"/>
  <c r="B40" i="4"/>
  <c r="F39" i="4"/>
  <c r="G39" i="4" s="1"/>
  <c r="H39" i="4" s="1"/>
  <c r="E39" i="4"/>
  <c r="C41" i="4" l="1"/>
  <c r="B41" i="4"/>
  <c r="F40" i="4"/>
  <c r="G40" i="4" s="1"/>
  <c r="H40" i="4" s="1"/>
  <c r="E40" i="4"/>
  <c r="D39" i="4"/>
  <c r="U39" i="4" s="1" a="1"/>
  <c r="U39" i="4" s="1"/>
  <c r="L39" i="4" l="1"/>
  <c r="Z39" i="4"/>
  <c r="AF39" i="4" s="1"/>
  <c r="E41" i="4"/>
  <c r="D40" i="4"/>
  <c r="U40" i="4" s="1" a="1"/>
  <c r="U40" i="4" s="1"/>
  <c r="C42" i="4"/>
  <c r="B42" i="4"/>
  <c r="F41" i="4"/>
  <c r="D41" i="4" s="1"/>
  <c r="U41" i="4" s="1" a="1"/>
  <c r="U41" i="4" s="1"/>
  <c r="L40" i="4" l="1"/>
  <c r="L41" i="4" s="1"/>
  <c r="Z40" i="4"/>
  <c r="AF40" i="4" s="1"/>
  <c r="G41" i="4"/>
  <c r="H41" i="4" s="1"/>
  <c r="Z41" i="4"/>
  <c r="E42" i="4"/>
  <c r="C43" i="4"/>
  <c r="B43" i="4"/>
  <c r="F42" i="4"/>
  <c r="D42" i="4" s="1"/>
  <c r="U42" i="4" s="1" a="1"/>
  <c r="U42" i="4" s="1"/>
  <c r="AF41" i="4" l="1"/>
  <c r="C44" i="4"/>
  <c r="B44" i="4"/>
  <c r="F43" i="4"/>
  <c r="D43" i="4" s="1"/>
  <c r="U43" i="4" s="1" a="1"/>
  <c r="U43" i="4" s="1"/>
  <c r="E43" i="4"/>
  <c r="G42" i="4"/>
  <c r="H42" i="4" s="1"/>
  <c r="L42" i="4"/>
  <c r="Z42" i="4"/>
  <c r="AF42" i="4" s="1"/>
  <c r="L43" i="4" l="1"/>
  <c r="Z43" i="4"/>
  <c r="AF43" i="4" s="1"/>
  <c r="G43" i="4"/>
  <c r="H43" i="4" s="1"/>
  <c r="E44" i="4"/>
  <c r="C45" i="4"/>
  <c r="B45" i="4"/>
  <c r="F44" i="4"/>
  <c r="D44" i="4" s="1"/>
  <c r="U44" i="4" s="1" a="1"/>
  <c r="U44" i="4" s="1"/>
  <c r="G44" i="4" l="1"/>
  <c r="H44" i="4" s="1"/>
  <c r="L44" i="4"/>
  <c r="Z44" i="4"/>
  <c r="AF44" i="4" s="1"/>
  <c r="E45" i="4"/>
  <c r="C46" i="4"/>
  <c r="B46" i="4"/>
  <c r="F45" i="4"/>
  <c r="G45" i="4" s="1"/>
  <c r="H45" i="4" s="1"/>
  <c r="C47" i="4" l="1"/>
  <c r="B47" i="4"/>
  <c r="F46" i="4"/>
  <c r="D45" i="4"/>
  <c r="U45" i="4" s="1" a="1"/>
  <c r="U45" i="4" s="1"/>
  <c r="G46" i="4"/>
  <c r="H46" i="4" s="1"/>
  <c r="E46" i="4"/>
  <c r="L45" i="4" l="1"/>
  <c r="Z45" i="4"/>
  <c r="AF45" i="4" s="1"/>
  <c r="E47" i="4"/>
  <c r="D46" i="4"/>
  <c r="U46" i="4" s="1" a="1"/>
  <c r="U46" i="4" s="1"/>
  <c r="C48" i="4"/>
  <c r="B48" i="4"/>
  <c r="F47" i="4"/>
  <c r="D47" i="4" s="1"/>
  <c r="U47" i="4" s="1" a="1"/>
  <c r="U47" i="4" s="1"/>
  <c r="L46" i="4" l="1"/>
  <c r="L47" i="4" s="1"/>
  <c r="Z46" i="4"/>
  <c r="AF46" i="4" s="1"/>
  <c r="G47" i="4"/>
  <c r="H47" i="4" s="1"/>
  <c r="E48" i="4"/>
  <c r="Z47" i="4"/>
  <c r="C49" i="4"/>
  <c r="B49" i="4"/>
  <c r="F48" i="4"/>
  <c r="D48" i="4" s="1"/>
  <c r="U48" i="4" s="1" a="1"/>
  <c r="U48" i="4" s="1"/>
  <c r="AF47" i="4" l="1"/>
  <c r="L48" i="4"/>
  <c r="Z48" i="4"/>
  <c r="G48" i="4"/>
  <c r="H48" i="4" s="1"/>
  <c r="E49" i="4"/>
  <c r="C50" i="4"/>
  <c r="B50" i="4"/>
  <c r="F49" i="4"/>
  <c r="AF48" i="4" l="1"/>
  <c r="D49" i="4"/>
  <c r="U49" i="4" s="1" a="1"/>
  <c r="U49" i="4" s="1"/>
  <c r="G49" i="4"/>
  <c r="H49" i="4" s="1"/>
  <c r="E50" i="4"/>
  <c r="C51" i="4"/>
  <c r="B51" i="4"/>
  <c r="F50" i="4"/>
  <c r="D50" i="4" s="1"/>
  <c r="U50" i="4" s="1" a="1"/>
  <c r="U50" i="4" s="1"/>
  <c r="E51" i="4" l="1"/>
  <c r="Z50" i="4"/>
  <c r="G50" i="4"/>
  <c r="H50" i="4" s="1"/>
  <c r="C52" i="4"/>
  <c r="B52" i="4"/>
  <c r="F51" i="4"/>
  <c r="D51" i="4" s="1"/>
  <c r="U51" i="4" s="1" a="1"/>
  <c r="U51" i="4" s="1"/>
  <c r="L49" i="4"/>
  <c r="L50" i="4" s="1"/>
  <c r="Z49" i="4"/>
  <c r="AF49" i="4" s="1"/>
  <c r="AF50" i="4" s="1"/>
  <c r="L51" i="4" l="1"/>
  <c r="Z51" i="4"/>
  <c r="AF51" i="4" s="1"/>
  <c r="G52" i="4"/>
  <c r="H52" i="4" s="1"/>
  <c r="E52" i="4"/>
  <c r="C53" i="4"/>
  <c r="B53" i="4"/>
  <c r="F52" i="4"/>
  <c r="G51" i="4"/>
  <c r="H51" i="4" s="1"/>
  <c r="C54" i="4" l="1"/>
  <c r="B54" i="4"/>
  <c r="F53" i="4"/>
  <c r="D52" i="4"/>
  <c r="U52" i="4" s="1" a="1"/>
  <c r="U52" i="4" s="1"/>
  <c r="E53" i="4"/>
  <c r="G53" i="4"/>
  <c r="H53" i="4" s="1"/>
  <c r="L52" i="4" l="1"/>
  <c r="Z52" i="4"/>
  <c r="AF52" i="4" s="1"/>
  <c r="E54" i="4"/>
  <c r="D53" i="4"/>
  <c r="U53" i="4" s="1" a="1"/>
  <c r="U53" i="4" s="1"/>
  <c r="C55" i="4"/>
  <c r="B55" i="4"/>
  <c r="F54" i="4"/>
  <c r="D54" i="4" s="1"/>
  <c r="U54" i="4" s="1" a="1"/>
  <c r="U54" i="4" s="1"/>
  <c r="Z54" i="4" l="1"/>
  <c r="L53" i="4"/>
  <c r="L54" i="4" s="1"/>
  <c r="Z53" i="4"/>
  <c r="AF53" i="4" s="1"/>
  <c r="E55" i="4"/>
  <c r="G54" i="4"/>
  <c r="H54" i="4" s="1"/>
  <c r="C56" i="4"/>
  <c r="B56" i="4"/>
  <c r="F55" i="4"/>
  <c r="D55" i="4" s="1"/>
  <c r="U55" i="4" s="1" a="1"/>
  <c r="U55" i="4" s="1"/>
  <c r="AF54" i="4" l="1"/>
  <c r="C57" i="4"/>
  <c r="B57" i="4"/>
  <c r="F56" i="4"/>
  <c r="D56" i="4" s="1"/>
  <c r="U56" i="4" s="1" a="1"/>
  <c r="U56" i="4" s="1"/>
  <c r="E56" i="4"/>
  <c r="L55" i="4"/>
  <c r="Z55" i="4"/>
  <c r="AF55" i="4" s="1"/>
  <c r="G55" i="4"/>
  <c r="H55" i="4" s="1"/>
  <c r="G56" i="4" l="1"/>
  <c r="H56" i="4" s="1"/>
  <c r="L56" i="4"/>
  <c r="Z56" i="4"/>
  <c r="AF56" i="4" s="1"/>
  <c r="G57" i="4"/>
  <c r="H57" i="4" s="1"/>
  <c r="E57" i="4"/>
  <c r="C58" i="4"/>
  <c r="B58" i="4"/>
  <c r="F57" i="4"/>
  <c r="C59" i="4" l="1"/>
  <c r="B59" i="4"/>
  <c r="F58" i="4"/>
  <c r="G58" i="4" s="1"/>
  <c r="H58" i="4" s="1"/>
  <c r="D57" i="4"/>
  <c r="U57" i="4" s="1" a="1"/>
  <c r="U57" i="4" s="1"/>
  <c r="E58" i="4"/>
  <c r="L57" i="4" l="1"/>
  <c r="Z57" i="4"/>
  <c r="AF57" i="4" s="1"/>
  <c r="E59" i="4"/>
  <c r="D58" i="4"/>
  <c r="U58" i="4" s="1" a="1"/>
  <c r="U58" i="4" s="1"/>
  <c r="C60" i="4"/>
  <c r="B60" i="4"/>
  <c r="F59" i="4"/>
  <c r="D59" i="4" s="1"/>
  <c r="U59" i="4" s="1" a="1"/>
  <c r="U59" i="4" s="1"/>
  <c r="L58" i="4" l="1"/>
  <c r="L59" i="4" s="1"/>
  <c r="Z58" i="4"/>
  <c r="AF58" i="4" s="1"/>
  <c r="G59" i="4"/>
  <c r="H59" i="4" s="1"/>
  <c r="Z59" i="4"/>
  <c r="E60" i="4"/>
  <c r="C61" i="4"/>
  <c r="B61" i="4"/>
  <c r="F60" i="4"/>
  <c r="D60" i="4" s="1"/>
  <c r="U60" i="4" s="1" a="1"/>
  <c r="U60" i="4" s="1"/>
  <c r="AF59" i="4" l="1"/>
  <c r="E61" i="4"/>
  <c r="C62" i="4"/>
  <c r="B62" i="4"/>
  <c r="F61" i="4"/>
  <c r="D61" i="4" s="1"/>
  <c r="U61" i="4" s="1" a="1"/>
  <c r="U61" i="4" s="1"/>
  <c r="G60" i="4"/>
  <c r="H60" i="4" s="1"/>
  <c r="L60" i="4"/>
  <c r="Z60" i="4"/>
  <c r="AF60" i="4" l="1"/>
  <c r="E62" i="4"/>
  <c r="C63" i="4"/>
  <c r="B63" i="4"/>
  <c r="F62" i="4"/>
  <c r="D62" i="4" s="1"/>
  <c r="U62" i="4" s="1" a="1"/>
  <c r="U62" i="4" s="1"/>
  <c r="L61" i="4"/>
  <c r="Z61" i="4"/>
  <c r="AF61" i="4"/>
  <c r="G61" i="4"/>
  <c r="H61" i="4" s="1"/>
  <c r="E63" i="4" l="1"/>
  <c r="C64" i="4"/>
  <c r="B64" i="4"/>
  <c r="F63" i="4"/>
  <c r="D63" i="4" s="1"/>
  <c r="U63" i="4" s="1" a="1"/>
  <c r="U63" i="4" s="1"/>
  <c r="L62" i="4"/>
  <c r="Z62" i="4"/>
  <c r="AF62" i="4" s="1"/>
  <c r="G62" i="4"/>
  <c r="H62" i="4" s="1"/>
  <c r="E64" i="4" l="1"/>
  <c r="C65" i="4"/>
  <c r="B65" i="4"/>
  <c r="F64" i="4"/>
  <c r="D64" i="4" s="1"/>
  <c r="U64" i="4" s="1" a="1"/>
  <c r="U64" i="4" s="1"/>
  <c r="L63" i="4"/>
  <c r="Z63" i="4"/>
  <c r="AF63" i="4" s="1"/>
  <c r="G63" i="4"/>
  <c r="H63" i="4" s="1"/>
  <c r="E65" i="4" l="1"/>
  <c r="C66" i="4"/>
  <c r="B66" i="4"/>
  <c r="F65" i="4"/>
  <c r="D65" i="4" s="1"/>
  <c r="U65" i="4" s="1" a="1"/>
  <c r="U65" i="4" s="1"/>
  <c r="L64" i="4"/>
  <c r="Z64" i="4"/>
  <c r="AF64" i="4" s="1"/>
  <c r="G64" i="4"/>
  <c r="H64" i="4" s="1"/>
  <c r="E66" i="4" l="1"/>
  <c r="C67" i="4"/>
  <c r="B67" i="4"/>
  <c r="F66" i="4"/>
  <c r="D66" i="4" s="1"/>
  <c r="U66" i="4" s="1" a="1"/>
  <c r="U66" i="4" s="1"/>
  <c r="L65" i="4"/>
  <c r="Z65" i="4"/>
  <c r="AF65" i="4" s="1"/>
  <c r="G65" i="4"/>
  <c r="H65" i="4" s="1"/>
  <c r="E67" i="4" l="1"/>
  <c r="L66" i="4"/>
  <c r="Z66" i="4"/>
  <c r="AF66" i="4" s="1"/>
  <c r="C68" i="4"/>
  <c r="B68" i="4"/>
  <c r="F67" i="4"/>
  <c r="D67" i="4" s="1"/>
  <c r="U67" i="4" s="1" a="1"/>
  <c r="U67" i="4" s="1"/>
  <c r="G66" i="4"/>
  <c r="H66" i="4" s="1"/>
  <c r="C69" i="4" l="1"/>
  <c r="B69" i="4"/>
  <c r="F68" i="4"/>
  <c r="D68" i="4" s="1"/>
  <c r="U68" i="4" s="1" a="1"/>
  <c r="U68" i="4" s="1"/>
  <c r="L67" i="4"/>
  <c r="Z67" i="4"/>
  <c r="AF67" i="4" s="1"/>
  <c r="E68" i="4"/>
  <c r="G68" i="4"/>
  <c r="H68" i="4" s="1"/>
  <c r="G67" i="4"/>
  <c r="H67" i="4" s="1"/>
  <c r="L68" i="4" l="1"/>
  <c r="Z68" i="4"/>
  <c r="AF68" i="4" s="1"/>
  <c r="E69" i="4"/>
  <c r="C70" i="4"/>
  <c r="B70" i="4"/>
  <c r="F69" i="4"/>
  <c r="G69" i="4" s="1"/>
  <c r="H69" i="4" s="1"/>
  <c r="C71" i="4" l="1"/>
  <c r="B71" i="4"/>
  <c r="F70" i="4"/>
  <c r="D69" i="4"/>
  <c r="U69" i="4" s="1" a="1"/>
  <c r="U69" i="4" s="1"/>
  <c r="G70" i="4"/>
  <c r="H70" i="4" s="1"/>
  <c r="E70" i="4"/>
  <c r="L69" i="4" l="1"/>
  <c r="Z69" i="4"/>
  <c r="AF69" i="4" s="1"/>
  <c r="E71" i="4"/>
  <c r="D70" i="4"/>
  <c r="U70" i="4" s="1" a="1"/>
  <c r="U70" i="4" s="1"/>
  <c r="C72" i="4"/>
  <c r="B72" i="4"/>
  <c r="F71" i="4"/>
  <c r="D71" i="4" s="1"/>
  <c r="U71" i="4" s="1" a="1"/>
  <c r="U71" i="4" s="1"/>
  <c r="G71" i="4" l="1"/>
  <c r="H71" i="4" s="1"/>
  <c r="L70" i="4"/>
  <c r="L71" i="4" s="1"/>
  <c r="Z70" i="4"/>
  <c r="AF70" i="4"/>
  <c r="Z71" i="4"/>
  <c r="AF71" i="4" s="1"/>
  <c r="E72" i="4"/>
  <c r="C73" i="4"/>
  <c r="B73" i="4"/>
  <c r="F72" i="4"/>
  <c r="D72" i="4" s="1"/>
  <c r="U72" i="4" s="1" a="1"/>
  <c r="U72" i="4" s="1"/>
  <c r="E73" i="4" l="1"/>
  <c r="L72" i="4"/>
  <c r="Z72" i="4"/>
  <c r="AF72" i="4" s="1"/>
  <c r="C74" i="4"/>
  <c r="B74" i="4"/>
  <c r="F73" i="4"/>
  <c r="D73" i="4" s="1"/>
  <c r="U73" i="4" s="1" a="1"/>
  <c r="U73" i="4" s="1"/>
  <c r="G72" i="4"/>
  <c r="H72" i="4" s="1"/>
  <c r="C75" i="4" l="1"/>
  <c r="B75" i="4"/>
  <c r="F74" i="4"/>
  <c r="D74" i="4" s="1"/>
  <c r="U74" i="4" s="1" a="1"/>
  <c r="U74" i="4" s="1"/>
  <c r="L73" i="4"/>
  <c r="Z73" i="4"/>
  <c r="AF73" i="4" s="1"/>
  <c r="E74" i="4"/>
  <c r="G73" i="4"/>
  <c r="H73" i="4" s="1"/>
  <c r="L74" i="4" l="1"/>
  <c r="Z74" i="4"/>
  <c r="AF74" i="4" s="1"/>
  <c r="E75" i="4"/>
  <c r="G74" i="4"/>
  <c r="H74" i="4" s="1"/>
  <c r="C76" i="4"/>
  <c r="B76" i="4"/>
  <c r="F75" i="4"/>
  <c r="D75" i="4" s="1"/>
  <c r="U75" i="4" s="1" a="1"/>
  <c r="U75" i="4" s="1"/>
  <c r="G75" i="4" l="1"/>
  <c r="H75" i="4" s="1"/>
  <c r="L75" i="4"/>
  <c r="Z75" i="4"/>
  <c r="AF75" i="4" s="1"/>
  <c r="G76" i="4"/>
  <c r="H76" i="4" s="1"/>
  <c r="E76" i="4"/>
  <c r="C77" i="4"/>
  <c r="B77" i="4"/>
  <c r="F76" i="4"/>
  <c r="C78" i="4" l="1"/>
  <c r="B78" i="4"/>
  <c r="F77" i="4"/>
  <c r="D76" i="4"/>
  <c r="U76" i="4" s="1" a="1"/>
  <c r="U76" i="4" s="1"/>
  <c r="E77" i="4"/>
  <c r="G77" i="4"/>
  <c r="H77" i="4" s="1"/>
  <c r="L76" i="4" l="1"/>
  <c r="Z76" i="4"/>
  <c r="AF76" i="4"/>
  <c r="D77" i="4"/>
  <c r="U77" i="4" s="1" a="1"/>
  <c r="U77" i="4" s="1"/>
  <c r="E78" i="4"/>
  <c r="C79" i="4"/>
  <c r="B79" i="4"/>
  <c r="F78" i="4"/>
  <c r="D78" i="4" s="1"/>
  <c r="U78" i="4" s="1" a="1"/>
  <c r="U78" i="4" s="1"/>
  <c r="Z78" i="4" l="1"/>
  <c r="G78" i="4"/>
  <c r="H78" i="4" s="1"/>
  <c r="L77" i="4"/>
  <c r="L78" i="4" s="1"/>
  <c r="Z77" i="4"/>
  <c r="AF77" i="4" s="1"/>
  <c r="AF78" i="4" s="1"/>
  <c r="E79" i="4"/>
  <c r="C80" i="4"/>
  <c r="B80" i="4"/>
  <c r="F79" i="4"/>
  <c r="D79" i="4" s="1"/>
  <c r="U79" i="4" s="1" a="1"/>
  <c r="U79" i="4" s="1"/>
  <c r="E80" i="4" l="1"/>
  <c r="C81" i="4"/>
  <c r="B81" i="4"/>
  <c r="F80" i="4"/>
  <c r="D80" i="4" s="1"/>
  <c r="U80" i="4" s="1" a="1"/>
  <c r="U80" i="4" s="1"/>
  <c r="G79" i="4"/>
  <c r="H79" i="4" s="1"/>
  <c r="L79" i="4"/>
  <c r="Z79" i="4"/>
  <c r="AF79" i="4" s="1"/>
  <c r="C82" i="4" l="1"/>
  <c r="B82" i="4"/>
  <c r="F81" i="4"/>
  <c r="D81" i="4" s="1"/>
  <c r="U81" i="4" s="1" a="1"/>
  <c r="U81" i="4" s="1"/>
  <c r="E81" i="4"/>
  <c r="G80" i="4"/>
  <c r="H80" i="4" s="1"/>
  <c r="L80" i="4"/>
  <c r="Z80" i="4"/>
  <c r="AF80" i="4" s="1"/>
  <c r="G81" i="4" l="1"/>
  <c r="H81" i="4" s="1"/>
  <c r="L81" i="4"/>
  <c r="Z81" i="4"/>
  <c r="AF81" i="4" s="1"/>
  <c r="E82" i="4"/>
  <c r="C83" i="4"/>
  <c r="B83" i="4"/>
  <c r="F82" i="4"/>
  <c r="D82" i="4" s="1"/>
  <c r="U82" i="4" s="1" a="1"/>
  <c r="U82" i="4" s="1"/>
  <c r="C84" i="4" l="1"/>
  <c r="B84" i="4"/>
  <c r="F83" i="4"/>
  <c r="D83" i="4" s="1"/>
  <c r="U83" i="4" s="1" a="1"/>
  <c r="U83" i="4" s="1"/>
  <c r="G82" i="4"/>
  <c r="H82" i="4" s="1"/>
  <c r="L82" i="4"/>
  <c r="Z82" i="4"/>
  <c r="AF82" i="4" s="1"/>
  <c r="E83" i="4"/>
  <c r="C85" i="4" l="1"/>
  <c r="B85" i="4"/>
  <c r="F84" i="4"/>
  <c r="D84" i="4" s="1"/>
  <c r="U84" i="4" s="1" a="1"/>
  <c r="U84" i="4" s="1"/>
  <c r="L83" i="4"/>
  <c r="Z83" i="4"/>
  <c r="AF83" i="4" s="1"/>
  <c r="G83" i="4"/>
  <c r="H83" i="4" s="1"/>
  <c r="E84" i="4"/>
  <c r="L84" i="4" l="1"/>
  <c r="Z84" i="4"/>
  <c r="AF84" i="4" s="1"/>
  <c r="G84" i="4"/>
  <c r="H84" i="4" s="1"/>
  <c r="E85" i="4"/>
  <c r="C86" i="4"/>
  <c r="B86" i="4"/>
  <c r="F85" i="4"/>
  <c r="D85" i="4" s="1"/>
  <c r="U85" i="4" s="1" a="1"/>
  <c r="U85" i="4" s="1"/>
  <c r="G85" i="4" l="1"/>
  <c r="H85" i="4" s="1"/>
  <c r="E86" i="4"/>
  <c r="L85" i="4"/>
  <c r="Z85" i="4"/>
  <c r="AF85" i="4"/>
  <c r="C87" i="4"/>
  <c r="B87" i="4"/>
  <c r="F86" i="4"/>
  <c r="D86" i="4" s="1"/>
  <c r="U86" i="4" s="1" a="1"/>
  <c r="U86" i="4" s="1"/>
  <c r="C88" i="4" l="1"/>
  <c r="B88" i="4"/>
  <c r="F87" i="4"/>
  <c r="D87" i="4" s="1"/>
  <c r="U87" i="4" s="1" a="1"/>
  <c r="U87" i="4" s="1"/>
  <c r="L86" i="4"/>
  <c r="Z86" i="4"/>
  <c r="AF86" i="4" s="1"/>
  <c r="G86" i="4"/>
  <c r="H86" i="4" s="1"/>
  <c r="E87" i="4"/>
  <c r="L87" i="4" l="1"/>
  <c r="Z87" i="4"/>
  <c r="AF87" i="4" s="1"/>
  <c r="G87" i="4"/>
  <c r="H87" i="4" s="1"/>
  <c r="E88" i="4"/>
  <c r="C89" i="4"/>
  <c r="B89" i="4"/>
  <c r="F88" i="4"/>
  <c r="D88" i="4" l="1"/>
  <c r="U88" i="4" s="1" a="1"/>
  <c r="U88" i="4" s="1"/>
  <c r="E89" i="4"/>
  <c r="G88" i="4"/>
  <c r="H88" i="4" s="1"/>
  <c r="C90" i="4"/>
  <c r="B90" i="4"/>
  <c r="F89" i="4"/>
  <c r="D89" i="4" s="1"/>
  <c r="U89" i="4" s="1" a="1"/>
  <c r="U89" i="4" s="1"/>
  <c r="Z89" i="4" l="1"/>
  <c r="E90" i="4"/>
  <c r="G89" i="4"/>
  <c r="H89" i="4" s="1"/>
  <c r="L88" i="4"/>
  <c r="L89" i="4" s="1"/>
  <c r="Z88" i="4"/>
  <c r="AF88" i="4" s="1"/>
  <c r="AF89" i="4" s="1"/>
  <c r="C91" i="4"/>
  <c r="B91" i="4"/>
  <c r="F90" i="4"/>
  <c r="D90" i="4" s="1"/>
  <c r="U90" i="4" s="1" a="1"/>
  <c r="U90" i="4" s="1"/>
  <c r="L90" i="4" l="1"/>
  <c r="Z90" i="4"/>
  <c r="AF90" i="4" s="1"/>
  <c r="G91" i="4"/>
  <c r="H91" i="4" s="1"/>
  <c r="E91" i="4"/>
  <c r="C92" i="4"/>
  <c r="B92" i="4"/>
  <c r="F91" i="4"/>
  <c r="G90" i="4"/>
  <c r="H90" i="4" s="1"/>
  <c r="C93" i="4" l="1"/>
  <c r="B93" i="4"/>
  <c r="F92" i="4"/>
  <c r="D91" i="4"/>
  <c r="U91" i="4" s="1" a="1"/>
  <c r="U91" i="4" s="1"/>
  <c r="E92" i="4"/>
  <c r="G92" i="4"/>
  <c r="H92" i="4" s="1"/>
  <c r="D92" i="4" l="1"/>
  <c r="U92" i="4" s="1" a="1"/>
  <c r="U92" i="4" s="1"/>
  <c r="L91" i="4"/>
  <c r="Z91" i="4"/>
  <c r="AF91" i="4" s="1"/>
  <c r="E93" i="4"/>
  <c r="C94" i="4"/>
  <c r="B94" i="4"/>
  <c r="F93" i="4"/>
  <c r="G93" i="4" s="1"/>
  <c r="H93" i="4" s="1"/>
  <c r="C95" i="4" l="1"/>
  <c r="B95" i="4"/>
  <c r="F94" i="4"/>
  <c r="D94" i="4" s="1"/>
  <c r="U94" i="4" s="1" a="1"/>
  <c r="U94" i="4" s="1"/>
  <c r="D93" i="4"/>
  <c r="U93" i="4" s="1" a="1"/>
  <c r="U93" i="4" s="1"/>
  <c r="E94" i="4"/>
  <c r="L92" i="4"/>
  <c r="Z92" i="4"/>
  <c r="AF92" i="4" s="1"/>
  <c r="Z94" i="4" l="1"/>
  <c r="L93" i="4"/>
  <c r="L94" i="4" s="1"/>
  <c r="Z93" i="4"/>
  <c r="AF93" i="4" s="1"/>
  <c r="E95" i="4"/>
  <c r="G94" i="4"/>
  <c r="H94" i="4" s="1"/>
  <c r="C96" i="4"/>
  <c r="B96" i="4"/>
  <c r="F95" i="4"/>
  <c r="D95" i="4" s="1"/>
  <c r="U95" i="4" s="1" a="1"/>
  <c r="U95" i="4" s="1"/>
  <c r="AF94" i="4" l="1"/>
  <c r="E96" i="4"/>
  <c r="L95" i="4"/>
  <c r="Z95" i="4"/>
  <c r="AF95" i="4" s="1"/>
  <c r="C97" i="4"/>
  <c r="B97" i="4"/>
  <c r="F96" i="4"/>
  <c r="D96" i="4" s="1"/>
  <c r="U96" i="4" s="1" a="1"/>
  <c r="U96" i="4" s="1"/>
  <c r="G95" i="4"/>
  <c r="H95" i="4" s="1"/>
  <c r="C98" i="4" l="1"/>
  <c r="B98" i="4"/>
  <c r="F97" i="4"/>
  <c r="D97" i="4" s="1"/>
  <c r="U97" i="4" s="1" a="1"/>
  <c r="U97" i="4" s="1"/>
  <c r="L96" i="4"/>
  <c r="Z96" i="4"/>
  <c r="AF96" i="4" s="1"/>
  <c r="G97" i="4"/>
  <c r="H97" i="4" s="1"/>
  <c r="E97" i="4"/>
  <c r="G96" i="4"/>
  <c r="H96" i="4" s="1"/>
  <c r="L97" i="4" l="1"/>
  <c r="Z97" i="4"/>
  <c r="AF97" i="4" s="1"/>
  <c r="E98" i="4"/>
  <c r="C99" i="4"/>
  <c r="B99" i="4"/>
  <c r="F98" i="4"/>
  <c r="D98" i="4" s="1"/>
  <c r="U98" i="4" s="1" a="1"/>
  <c r="U98" i="4" s="1"/>
  <c r="L98" i="4" l="1"/>
  <c r="Z98" i="4"/>
  <c r="AF98" i="4" s="1"/>
  <c r="C100" i="4"/>
  <c r="B100" i="4"/>
  <c r="F99" i="4"/>
  <c r="D99" i="4" s="1"/>
  <c r="U99" i="4" s="1" a="1"/>
  <c r="U99" i="4" s="1"/>
  <c r="G98" i="4"/>
  <c r="H98" i="4" s="1"/>
  <c r="E99" i="4"/>
  <c r="E100" i="4" l="1"/>
  <c r="L99" i="4"/>
  <c r="Z99" i="4"/>
  <c r="AF99" i="4" s="1"/>
  <c r="C101" i="4"/>
  <c r="B101" i="4"/>
  <c r="F100" i="4"/>
  <c r="D100" i="4" s="1"/>
  <c r="U100" i="4" s="1" a="1"/>
  <c r="U100" i="4" s="1"/>
  <c r="G99" i="4"/>
  <c r="H99" i="4" s="1"/>
  <c r="C102" i="4" l="1"/>
  <c r="B102" i="4"/>
  <c r="F101" i="4"/>
  <c r="L100" i="4"/>
  <c r="Z100" i="4"/>
  <c r="AF100" i="4" s="1"/>
  <c r="E101" i="4"/>
  <c r="G100" i="4"/>
  <c r="H100" i="4" s="1"/>
  <c r="D101" i="4" l="1"/>
  <c r="U101" i="4" s="1" a="1"/>
  <c r="U101" i="4" s="1"/>
  <c r="G101" i="4"/>
  <c r="H101" i="4" s="1"/>
  <c r="E102" i="4"/>
  <c r="C103" i="4"/>
  <c r="B103" i="4"/>
  <c r="F102" i="4"/>
  <c r="D102" i="4" s="1"/>
  <c r="U102" i="4" s="1" a="1"/>
  <c r="U102" i="4" s="1"/>
  <c r="G103" i="4" l="1"/>
  <c r="H103" i="4" s="1"/>
  <c r="E103" i="4"/>
  <c r="Z102" i="4"/>
  <c r="C104" i="4"/>
  <c r="B104" i="4"/>
  <c r="F103" i="4"/>
  <c r="D103" i="4" s="1"/>
  <c r="U103" i="4" s="1" a="1"/>
  <c r="U103" i="4" s="1"/>
  <c r="G102" i="4"/>
  <c r="H102" i="4" s="1"/>
  <c r="L101" i="4"/>
  <c r="L102" i="4" s="1"/>
  <c r="Z101" i="4"/>
  <c r="AF101" i="4" s="1"/>
  <c r="AF102" i="4" s="1"/>
  <c r="C105" i="4" l="1"/>
  <c r="B105" i="4"/>
  <c r="F104" i="4"/>
  <c r="D104" i="4" s="1"/>
  <c r="U104" i="4" s="1" a="1"/>
  <c r="U104" i="4" s="1"/>
  <c r="E104" i="4"/>
  <c r="G104" i="4"/>
  <c r="H104" i="4" s="1"/>
  <c r="L103" i="4"/>
  <c r="Z103" i="4"/>
  <c r="AF103" i="4" s="1"/>
  <c r="L104" i="4" l="1"/>
  <c r="Z104" i="4"/>
  <c r="AF104" i="4" s="1"/>
  <c r="E105" i="4"/>
  <c r="C106" i="4"/>
  <c r="B106" i="4"/>
  <c r="F105" i="4"/>
  <c r="C107" i="4" l="1"/>
  <c r="B107" i="4"/>
  <c r="F106" i="4"/>
  <c r="D106" i="4" s="1"/>
  <c r="U106" i="4" s="1" a="1"/>
  <c r="U106" i="4" s="1"/>
  <c r="D105" i="4"/>
  <c r="U105" i="4" s="1" a="1"/>
  <c r="U105" i="4" s="1"/>
  <c r="G105" i="4"/>
  <c r="H105" i="4" s="1"/>
  <c r="G106" i="4"/>
  <c r="H106" i="4" s="1"/>
  <c r="E106" i="4"/>
  <c r="Z106" i="4" l="1"/>
  <c r="L105" i="4"/>
  <c r="L106" i="4" s="1"/>
  <c r="Z105" i="4"/>
  <c r="AF105" i="4" s="1"/>
  <c r="AF106" i="4" s="1"/>
  <c r="E107" i="4"/>
  <c r="C108" i="4"/>
  <c r="B108" i="4"/>
  <c r="F107" i="4"/>
  <c r="D107" i="4" s="1"/>
  <c r="U107" i="4" s="1" a="1"/>
  <c r="U107" i="4" s="1"/>
  <c r="L107" i="4" l="1"/>
  <c r="Z107" i="4"/>
  <c r="AF107" i="4" s="1"/>
  <c r="C109" i="4"/>
  <c r="B109" i="4"/>
  <c r="F108" i="4"/>
  <c r="D108" i="4" s="1"/>
  <c r="U108" i="4" s="1" a="1"/>
  <c r="U108" i="4" s="1"/>
  <c r="G107" i="4"/>
  <c r="H107" i="4" s="1"/>
  <c r="E108" i="4"/>
  <c r="E109" i="4" l="1"/>
  <c r="L108" i="4"/>
  <c r="Z108" i="4"/>
  <c r="AF108" i="4" s="1"/>
  <c r="C110" i="4"/>
  <c r="B110" i="4"/>
  <c r="F109" i="4"/>
  <c r="D109" i="4" s="1"/>
  <c r="U109" i="4" s="1" a="1"/>
  <c r="U109" i="4" s="1"/>
  <c r="G108" i="4"/>
  <c r="H108" i="4" s="1"/>
  <c r="C111" i="4" l="1"/>
  <c r="B111" i="4"/>
  <c r="F110" i="4"/>
  <c r="L109" i="4"/>
  <c r="Z109" i="4"/>
  <c r="AF109" i="4" s="1"/>
  <c r="E110" i="4"/>
  <c r="G109" i="4"/>
  <c r="H109" i="4" s="1"/>
  <c r="C112" i="4" l="1"/>
  <c r="B112" i="4"/>
  <c r="F111" i="4"/>
  <c r="D111" i="4" s="1"/>
  <c r="U111" i="4" s="1" a="1"/>
  <c r="U111" i="4" s="1"/>
  <c r="D110" i="4"/>
  <c r="U110" i="4" s="1" a="1"/>
  <c r="U110" i="4" s="1"/>
  <c r="G110" i="4"/>
  <c r="H110" i="4" s="1"/>
  <c r="G111" i="4"/>
  <c r="H111" i="4" s="1"/>
  <c r="E111" i="4"/>
  <c r="L110" i="4" l="1"/>
  <c r="L111" i="4" s="1"/>
  <c r="Z110" i="4"/>
  <c r="AF110" i="4" s="1"/>
  <c r="E112" i="4"/>
  <c r="Z111" i="4"/>
  <c r="C113" i="4"/>
  <c r="B113" i="4"/>
  <c r="F112" i="4"/>
  <c r="D112" i="4" s="1"/>
  <c r="U112" i="4" s="1" a="1"/>
  <c r="U112" i="4" s="1"/>
  <c r="AF111" i="4" l="1"/>
  <c r="AF112" i="4" s="1"/>
  <c r="G112" i="4"/>
  <c r="H112" i="4" s="1"/>
  <c r="L112" i="4"/>
  <c r="Z112" i="4"/>
  <c r="C114" i="4"/>
  <c r="B114" i="4"/>
  <c r="F113" i="4"/>
  <c r="D113" i="4" s="1"/>
  <c r="U113" i="4" s="1" a="1"/>
  <c r="U113" i="4" s="1"/>
  <c r="E113" i="4"/>
  <c r="E114" i="4" l="1"/>
  <c r="L113" i="4"/>
  <c r="Z113" i="4"/>
  <c r="AF113" i="4" s="1"/>
  <c r="C115" i="4"/>
  <c r="B115" i="4"/>
  <c r="F114" i="4"/>
  <c r="D114" i="4" s="1"/>
  <c r="U114" i="4" s="1" a="1"/>
  <c r="U114" i="4" s="1"/>
  <c r="G113" i="4"/>
  <c r="H113" i="4" s="1"/>
  <c r="C116" i="4" l="1"/>
  <c r="B116" i="4"/>
  <c r="F115" i="4"/>
  <c r="D115" i="4" s="1"/>
  <c r="U115" i="4" s="1" a="1"/>
  <c r="U115" i="4" s="1"/>
  <c r="L114" i="4"/>
  <c r="Z114" i="4"/>
  <c r="AF114" i="4" s="1"/>
  <c r="E115" i="4"/>
  <c r="G114" i="4"/>
  <c r="H114" i="4" s="1"/>
  <c r="L115" i="4" l="1"/>
  <c r="Z115" i="4"/>
  <c r="AF115" i="4" s="1"/>
  <c r="E116" i="4"/>
  <c r="G115" i="4"/>
  <c r="H115" i="4" s="1"/>
  <c r="C117" i="4"/>
  <c r="B117" i="4"/>
  <c r="F116" i="4"/>
  <c r="D116" i="4" s="1"/>
  <c r="U116" i="4" s="1" a="1"/>
  <c r="U116" i="4" s="1"/>
  <c r="L116" i="4" l="1"/>
  <c r="Z116" i="4"/>
  <c r="AF116" i="4" s="1"/>
  <c r="E117" i="4"/>
  <c r="G116" i="4"/>
  <c r="H116" i="4" s="1"/>
  <c r="C118" i="4"/>
  <c r="B118" i="4"/>
  <c r="F117" i="4"/>
  <c r="G117" i="4" s="1"/>
  <c r="H117" i="4" s="1"/>
  <c r="E118" i="4" l="1"/>
  <c r="D117" i="4"/>
  <c r="U117" i="4" s="1" a="1"/>
  <c r="U117" i="4" s="1"/>
  <c r="C119" i="4"/>
  <c r="B119" i="4"/>
  <c r="F118" i="4"/>
  <c r="D118" i="4" s="1"/>
  <c r="U118" i="4" s="1" a="1"/>
  <c r="U118" i="4" s="1"/>
  <c r="Z118" i="4" l="1"/>
  <c r="C120" i="4"/>
  <c r="B120" i="4"/>
  <c r="F119" i="4"/>
  <c r="D119" i="4" s="1"/>
  <c r="U119" i="4" s="1" a="1"/>
  <c r="U119" i="4" s="1"/>
  <c r="L117" i="4"/>
  <c r="L118" i="4" s="1"/>
  <c r="Z117" i="4"/>
  <c r="AF117" i="4" s="1"/>
  <c r="E119" i="4"/>
  <c r="G118" i="4"/>
  <c r="H118" i="4" s="1"/>
  <c r="AF118" i="4" l="1"/>
  <c r="L119" i="4"/>
  <c r="Z119" i="4"/>
  <c r="G119" i="4"/>
  <c r="H119" i="4" s="1"/>
  <c r="E120" i="4"/>
  <c r="C121" i="4"/>
  <c r="B121" i="4"/>
  <c r="F120" i="4"/>
  <c r="AF119" i="4" l="1"/>
  <c r="D120" i="4"/>
  <c r="U120" i="4" s="1" a="1"/>
  <c r="U120" i="4" s="1"/>
  <c r="G120" i="4"/>
  <c r="H120" i="4" s="1"/>
  <c r="E121" i="4"/>
  <c r="C122" i="4"/>
  <c r="B122" i="4"/>
  <c r="F121" i="4"/>
  <c r="D121" i="4" s="1"/>
  <c r="U121" i="4" s="1" a="1"/>
  <c r="U121" i="4" s="1"/>
  <c r="E122" i="4" l="1"/>
  <c r="C123" i="4"/>
  <c r="B123" i="4"/>
  <c r="F122" i="4"/>
  <c r="D122" i="4" s="1"/>
  <c r="U122" i="4" s="1" a="1"/>
  <c r="U122" i="4" s="1"/>
  <c r="L121" i="4"/>
  <c r="Z121" i="4"/>
  <c r="G121" i="4"/>
  <c r="H121" i="4" s="1"/>
  <c r="L120" i="4"/>
  <c r="Z120" i="4"/>
  <c r="AF120" i="4" s="1"/>
  <c r="AF121" i="4" l="1"/>
  <c r="L122" i="4"/>
  <c r="Z122" i="4"/>
  <c r="C124" i="4"/>
  <c r="B124" i="4"/>
  <c r="F123" i="4"/>
  <c r="D123" i="4" s="1"/>
  <c r="U123" i="4" s="1" a="1"/>
  <c r="U123" i="4" s="1"/>
  <c r="E123" i="4"/>
  <c r="G122" i="4"/>
  <c r="H122" i="4" s="1"/>
  <c r="AF122" i="4" l="1"/>
  <c r="C125" i="4"/>
  <c r="B125" i="4"/>
  <c r="F124" i="4"/>
  <c r="D124" i="4" s="1"/>
  <c r="U124" i="4" s="1" a="1"/>
  <c r="U124" i="4" s="1"/>
  <c r="L123" i="4"/>
  <c r="Z123" i="4"/>
  <c r="E124" i="4"/>
  <c r="G123" i="4"/>
  <c r="H123" i="4" s="1"/>
  <c r="AF123" i="4" l="1"/>
  <c r="L124" i="4"/>
  <c r="Z124" i="4"/>
  <c r="E125" i="4"/>
  <c r="G125" i="4"/>
  <c r="H125" i="4" s="1"/>
  <c r="G124" i="4"/>
  <c r="H124" i="4" s="1"/>
  <c r="C126" i="4"/>
  <c r="B126" i="4"/>
  <c r="F125" i="4"/>
  <c r="AF124" i="4" l="1"/>
  <c r="C127" i="4"/>
  <c r="B127" i="4"/>
  <c r="F126" i="4"/>
  <c r="D125" i="4"/>
  <c r="U125" i="4" s="1" a="1"/>
  <c r="U125" i="4" s="1"/>
  <c r="G126" i="4"/>
  <c r="H126" i="4" s="1"/>
  <c r="E126" i="4"/>
  <c r="L125" i="4" l="1"/>
  <c r="Z125" i="4"/>
  <c r="AF125" i="4" s="1"/>
  <c r="E127" i="4"/>
  <c r="D126" i="4"/>
  <c r="U126" i="4" s="1" a="1"/>
  <c r="U126" i="4" s="1"/>
  <c r="C128" i="4"/>
  <c r="B128" i="4"/>
  <c r="F127" i="4"/>
  <c r="G127" i="4" s="1"/>
  <c r="H127" i="4" s="1"/>
  <c r="L126" i="4" l="1"/>
  <c r="Z126" i="4"/>
  <c r="AF126" i="4" s="1"/>
  <c r="E128" i="4"/>
  <c r="D127" i="4"/>
  <c r="U127" i="4" s="1" a="1"/>
  <c r="U127" i="4" s="1"/>
  <c r="C129" i="4"/>
  <c r="B129" i="4"/>
  <c r="F128" i="4"/>
  <c r="D128" i="4" s="1"/>
  <c r="U128" i="4" s="1" a="1"/>
  <c r="U128" i="4" s="1"/>
  <c r="G128" i="4" l="1"/>
  <c r="H128" i="4" s="1"/>
  <c r="L127" i="4"/>
  <c r="L128" i="4" s="1"/>
  <c r="Z127" i="4"/>
  <c r="AF127" i="4" s="1"/>
  <c r="Z128" i="4"/>
  <c r="E129" i="4"/>
  <c r="C130" i="4"/>
  <c r="B130" i="4"/>
  <c r="F129" i="4"/>
  <c r="D129" i="4" s="1"/>
  <c r="U129" i="4" s="1" a="1"/>
  <c r="U129" i="4" s="1"/>
  <c r="AF128" i="4" l="1"/>
  <c r="L129" i="4"/>
  <c r="Z129" i="4"/>
  <c r="E130" i="4"/>
  <c r="C131" i="4"/>
  <c r="B131" i="4"/>
  <c r="F130" i="4"/>
  <c r="D130" i="4" s="1"/>
  <c r="U130" i="4" s="1" a="1"/>
  <c r="U130" i="4" s="1"/>
  <c r="G129" i="4"/>
  <c r="H129" i="4" s="1"/>
  <c r="AF129" i="4" l="1"/>
  <c r="C132" i="4"/>
  <c r="B132" i="4"/>
  <c r="F131" i="4"/>
  <c r="D131" i="4" s="1"/>
  <c r="U131" i="4" s="1" a="1"/>
  <c r="U131" i="4" s="1"/>
  <c r="G130" i="4"/>
  <c r="H130" i="4" s="1"/>
  <c r="L130" i="4"/>
  <c r="Z130" i="4"/>
  <c r="E131" i="4"/>
  <c r="AF130" i="4" l="1"/>
  <c r="L131" i="4"/>
  <c r="Z131" i="4"/>
  <c r="G131" i="4"/>
  <c r="H131" i="4" s="1"/>
  <c r="G132" i="4"/>
  <c r="H132" i="4" s="1"/>
  <c r="E132" i="4"/>
  <c r="C133" i="4"/>
  <c r="B133" i="4"/>
  <c r="F132" i="4"/>
  <c r="AF131" i="4" l="1"/>
  <c r="C134" i="4"/>
  <c r="B134" i="4"/>
  <c r="F133" i="4"/>
  <c r="D133" i="4" s="1"/>
  <c r="U133" i="4" s="1" a="1"/>
  <c r="U133" i="4" s="1"/>
  <c r="D132" i="4"/>
  <c r="U132" i="4" s="1" a="1"/>
  <c r="U132" i="4" s="1"/>
  <c r="E133" i="4"/>
  <c r="G133" i="4" l="1"/>
  <c r="H133" i="4" s="1"/>
  <c r="L132" i="4"/>
  <c r="L133" i="4" s="1"/>
  <c r="Z132" i="4"/>
  <c r="AF132" i="4" s="1"/>
  <c r="E134" i="4"/>
  <c r="Z133" i="4"/>
  <c r="C135" i="4"/>
  <c r="B135" i="4"/>
  <c r="F134" i="4"/>
  <c r="D134" i="4" s="1"/>
  <c r="U134" i="4" s="1" a="1"/>
  <c r="U134" i="4" s="1"/>
  <c r="AF133" i="4" l="1"/>
  <c r="G134" i="4"/>
  <c r="H134" i="4" s="1"/>
  <c r="E135" i="4"/>
  <c r="L134" i="4"/>
  <c r="Z134" i="4"/>
  <c r="C136" i="4"/>
  <c r="B136" i="4"/>
  <c r="F135" i="4"/>
  <c r="D135" i="4" s="1"/>
  <c r="U135" i="4" s="1" a="1"/>
  <c r="U135" i="4" s="1"/>
  <c r="AF134" i="4" l="1"/>
  <c r="C137" i="4"/>
  <c r="B137" i="4"/>
  <c r="F136" i="4"/>
  <c r="D136" i="4" s="1"/>
  <c r="U136" i="4" s="1" a="1"/>
  <c r="U136" i="4" s="1"/>
  <c r="L135" i="4"/>
  <c r="Z135" i="4"/>
  <c r="E136" i="4"/>
  <c r="G135" i="4"/>
  <c r="H135" i="4" s="1"/>
  <c r="AF135" i="4" l="1"/>
  <c r="AF136" i="4" s="1"/>
  <c r="L136" i="4"/>
  <c r="Z136" i="4"/>
  <c r="E137" i="4"/>
  <c r="G137" i="4"/>
  <c r="H137" i="4" s="1"/>
  <c r="G136" i="4"/>
  <c r="H136" i="4" s="1"/>
  <c r="C138" i="4"/>
  <c r="B138" i="4"/>
  <c r="F137" i="4"/>
  <c r="D137" i="4" s="1"/>
  <c r="U137" i="4" s="1" a="1"/>
  <c r="U137" i="4" s="1"/>
  <c r="C139" i="4" l="1"/>
  <c r="B139" i="4"/>
  <c r="F138" i="4"/>
  <c r="D138" i="4" s="1"/>
  <c r="U138" i="4" s="1" a="1"/>
  <c r="U138" i="4" s="1"/>
  <c r="L137" i="4"/>
  <c r="Z137" i="4"/>
  <c r="AF137" i="4" s="1"/>
  <c r="E138" i="4"/>
  <c r="L138" i="4" l="1"/>
  <c r="Z138" i="4"/>
  <c r="AF138" i="4" s="1"/>
  <c r="E139" i="4"/>
  <c r="G138" i="4"/>
  <c r="H138" i="4" s="1"/>
  <c r="C140" i="4"/>
  <c r="B140" i="4"/>
  <c r="F139" i="4"/>
  <c r="D139" i="4" s="1"/>
  <c r="U139" i="4" s="1" a="1"/>
  <c r="U139" i="4" s="1"/>
  <c r="G139" i="4" l="1"/>
  <c r="H139" i="4" s="1"/>
  <c r="E140" i="4"/>
  <c r="L139" i="4"/>
  <c r="Z139" i="4"/>
  <c r="AF139" i="4" s="1"/>
  <c r="C141" i="4"/>
  <c r="B141" i="4"/>
  <c r="F140" i="4"/>
  <c r="D140" i="4" s="1"/>
  <c r="U140" i="4" s="1" a="1"/>
  <c r="U140" i="4" s="1"/>
  <c r="C142" i="4" l="1"/>
  <c r="B142" i="4"/>
  <c r="F141" i="4"/>
  <c r="D141" i="4" s="1"/>
  <c r="U141" i="4" s="1" a="1"/>
  <c r="U141" i="4" s="1"/>
  <c r="L140" i="4"/>
  <c r="Z140" i="4"/>
  <c r="AF140" i="4" s="1"/>
  <c r="G140" i="4"/>
  <c r="H140" i="4" s="1"/>
  <c r="E141" i="4"/>
  <c r="L141" i="4" l="1"/>
  <c r="Z141" i="4"/>
  <c r="AF141" i="4" s="1"/>
  <c r="G141" i="4"/>
  <c r="H141" i="4" s="1"/>
  <c r="E142" i="4"/>
  <c r="C143" i="4"/>
  <c r="B143" i="4"/>
  <c r="F142" i="4"/>
  <c r="D142" i="4" s="1"/>
  <c r="U142" i="4" s="1" a="1"/>
  <c r="U142" i="4" s="1"/>
  <c r="L142" i="4" l="1"/>
  <c r="Z142" i="4"/>
  <c r="AF142" i="4"/>
  <c r="G142" i="4"/>
  <c r="H142" i="4" s="1"/>
  <c r="E143" i="4"/>
  <c r="G143" i="4"/>
  <c r="H143" i="4" s="1"/>
  <c r="C144" i="4"/>
  <c r="B144" i="4"/>
  <c r="F143" i="4"/>
  <c r="C145" i="4" l="1"/>
  <c r="B145" i="4"/>
  <c r="F144" i="4"/>
  <c r="D143" i="4"/>
  <c r="U143" i="4" s="1" a="1"/>
  <c r="U143" i="4" s="1"/>
  <c r="G144" i="4"/>
  <c r="H144" i="4" s="1"/>
  <c r="E144" i="4"/>
  <c r="L143" i="4" l="1"/>
  <c r="Z143" i="4"/>
  <c r="AF143" i="4" s="1"/>
  <c r="E145" i="4"/>
  <c r="D144" i="4"/>
  <c r="U144" i="4" s="1" a="1"/>
  <c r="U144" i="4" s="1"/>
  <c r="C146" i="4"/>
  <c r="B146" i="4"/>
  <c r="F145" i="4"/>
  <c r="D145" i="4" s="1"/>
  <c r="U145" i="4" s="1" a="1"/>
  <c r="U145" i="4" s="1"/>
  <c r="L144" i="4" l="1"/>
  <c r="L145" i="4" s="1"/>
  <c r="Z144" i="4"/>
  <c r="AF144" i="4" s="1"/>
  <c r="G145" i="4"/>
  <c r="H145" i="4" s="1"/>
  <c r="E146" i="4"/>
  <c r="Z145" i="4"/>
  <c r="C147" i="4"/>
  <c r="B147" i="4"/>
  <c r="F146" i="4"/>
  <c r="D146" i="4" s="1"/>
  <c r="U146" i="4" s="1" a="1"/>
  <c r="U146" i="4" s="1"/>
  <c r="AF145" i="4" l="1"/>
  <c r="L146" i="4"/>
  <c r="Z146" i="4"/>
  <c r="G146" i="4"/>
  <c r="H146" i="4" s="1"/>
  <c r="G147" i="4"/>
  <c r="H147" i="4" s="1"/>
  <c r="E147" i="4"/>
  <c r="C148" i="4"/>
  <c r="B148" i="4"/>
  <c r="F147" i="4"/>
  <c r="AF146" i="4" l="1"/>
  <c r="C149" i="4"/>
  <c r="B149" i="4"/>
  <c r="F148" i="4"/>
  <c r="D148" i="4" s="1"/>
  <c r="U148" i="4" s="1" a="1"/>
  <c r="U148" i="4" s="1"/>
  <c r="D147" i="4"/>
  <c r="U147" i="4" s="1" a="1"/>
  <c r="U147" i="4" s="1"/>
  <c r="E148" i="4"/>
  <c r="Z148" i="4" l="1"/>
  <c r="C150" i="4"/>
  <c r="B150" i="4"/>
  <c r="F149" i="4"/>
  <c r="D149" i="4" s="1"/>
  <c r="U149" i="4" s="1" a="1"/>
  <c r="U149" i="4" s="1"/>
  <c r="E149" i="4"/>
  <c r="G148" i="4"/>
  <c r="H148" i="4" s="1"/>
  <c r="L147" i="4"/>
  <c r="L148" i="4" s="1"/>
  <c r="Z147" i="4"/>
  <c r="AF147" i="4" s="1"/>
  <c r="AF148" i="4" s="1"/>
  <c r="C151" i="4" l="1"/>
  <c r="B151" i="4"/>
  <c r="F150" i="4"/>
  <c r="E150" i="4"/>
  <c r="L149" i="4"/>
  <c r="Z149" i="4"/>
  <c r="AF149" i="4" s="1"/>
  <c r="G149" i="4"/>
  <c r="H149" i="4" s="1"/>
  <c r="D150" i="4" l="1"/>
  <c r="U150" i="4" s="1" a="1"/>
  <c r="U150" i="4" s="1"/>
  <c r="G150" i="4"/>
  <c r="H150" i="4" s="1"/>
  <c r="E151" i="4"/>
  <c r="C152" i="4"/>
  <c r="B152" i="4"/>
  <c r="F151" i="4"/>
  <c r="D151" i="4" s="1"/>
  <c r="U151" i="4" s="1" a="1"/>
  <c r="U151" i="4" s="1"/>
  <c r="Z151" i="4" l="1"/>
  <c r="E152" i="4"/>
  <c r="G152" i="4"/>
  <c r="H152" i="4" s="1"/>
  <c r="C153" i="4"/>
  <c r="B153" i="4"/>
  <c r="F152" i="4"/>
  <c r="G151" i="4"/>
  <c r="H151" i="4" s="1"/>
  <c r="L150" i="4"/>
  <c r="L151" i="4" s="1"/>
  <c r="Z150" i="4"/>
  <c r="AF150" i="4" s="1"/>
  <c r="AF151" i="4" l="1"/>
  <c r="C154" i="4"/>
  <c r="B154" i="4"/>
  <c r="F153" i="4"/>
  <c r="D152" i="4"/>
  <c r="U152" i="4" s="1" a="1"/>
  <c r="U152" i="4" s="1"/>
  <c r="G153" i="4"/>
  <c r="H153" i="4" s="1"/>
  <c r="E153" i="4"/>
  <c r="L152" i="4" l="1"/>
  <c r="Z152" i="4"/>
  <c r="AF152" i="4" s="1"/>
  <c r="D153" i="4"/>
  <c r="U153" i="4" s="1" a="1"/>
  <c r="U153" i="4" s="1"/>
  <c r="E154" i="4"/>
  <c r="C155" i="4"/>
  <c r="F155" i="4" s="1"/>
  <c r="B155" i="4"/>
  <c r="F154" i="4"/>
  <c r="D154" i="4" s="1"/>
  <c r="U154" i="4" s="1" a="1"/>
  <c r="U154" i="4" s="1"/>
  <c r="L153" i="4" l="1"/>
  <c r="L154" i="4" s="1"/>
  <c r="Z153" i="4"/>
  <c r="AF153" i="4" s="1"/>
  <c r="Z154" i="4"/>
  <c r="G154" i="4"/>
  <c r="H154" i="4" s="1"/>
  <c r="E155" i="4"/>
  <c r="G155" i="4"/>
  <c r="H155" i="4" s="1"/>
  <c r="D155" i="4"/>
  <c r="U155" i="4" s="1" a="1"/>
  <c r="U155" i="4" s="1"/>
  <c r="AF154" i="4" l="1"/>
  <c r="L155" i="4"/>
  <c r="Z155" i="4"/>
  <c r="AF155" i="4" l="1"/>
</calcChain>
</file>

<file path=xl/sharedStrings.xml><?xml version="1.0" encoding="utf-8"?>
<sst xmlns="http://schemas.openxmlformats.org/spreadsheetml/2006/main" count="1511" uniqueCount="288">
  <si>
    <t>종목별 실적 &amp; 비중</t>
  </si>
  <si>
    <t>$1 = ￦1,326</t>
  </si>
  <si>
    <t>국가</t>
  </si>
  <si>
    <t>종목코드
(티커)</t>
  </si>
  <si>
    <t>종목명</t>
  </si>
  <si>
    <t>수량</t>
  </si>
  <si>
    <t>평단가</t>
  </si>
  <si>
    <t>현재가</t>
  </si>
  <si>
    <t>평가액
[원화]</t>
  </si>
  <si>
    <t>투자비중</t>
  </si>
  <si>
    <t>누적수익
[원화]</t>
  </si>
  <si>
    <t>총수익률
[평가+배당]</t>
  </si>
  <si>
    <t>종목</t>
  </si>
  <si>
    <t>원화</t>
  </si>
  <si>
    <t>달러</t>
  </si>
  <si>
    <t>계좌</t>
  </si>
  <si>
    <t>번호</t>
  </si>
  <si>
    <t>DC</t>
  </si>
  <si>
    <t>한국</t>
  </si>
  <si>
    <t>458760</t>
  </si>
  <si>
    <t xml:space="preserve">TIGER 미배당다우커버드콜2호 </t>
  </si>
  <si>
    <t>다우커</t>
  </si>
  <si>
    <t>490490</t>
  </si>
  <si>
    <t>SOL미국배당미국채혼합50</t>
  </si>
  <si>
    <t>미배당국채</t>
  </si>
  <si>
    <t>0008S0</t>
  </si>
  <si>
    <t>TIGER 미국배당다우존스타겟데일리커버드콜</t>
  </si>
  <si>
    <t>498410</t>
  </si>
  <si>
    <t>KODEX금융고배당TOP10타겟위클리커버드콜</t>
  </si>
  <si>
    <t>국내금융배당</t>
  </si>
  <si>
    <t>472170</t>
  </si>
  <si>
    <t>TIGER 미국테크TOP10채권혼합</t>
  </si>
  <si>
    <t>테크채권</t>
  </si>
  <si>
    <t>468380</t>
  </si>
  <si>
    <t>KODEX iShares미국하이일드액티브</t>
  </si>
  <si>
    <t>329200</t>
  </si>
  <si>
    <t>TIGER리츠부동산인프라</t>
  </si>
  <si>
    <t>국내리츠</t>
  </si>
  <si>
    <t>379810</t>
  </si>
  <si>
    <t>KODEX 미국나스닥100</t>
  </si>
  <si>
    <t>나스닥</t>
  </si>
  <si>
    <t>개인연금1</t>
  </si>
  <si>
    <t>474220</t>
  </si>
  <si>
    <t xml:space="preserve">TIGER미국테크TOP10커버드콜 </t>
  </si>
  <si>
    <t>테커</t>
  </si>
  <si>
    <t>446720</t>
  </si>
  <si>
    <t>SOL 미국배당다우존스</t>
  </si>
  <si>
    <t>다우</t>
  </si>
  <si>
    <t>433330</t>
  </si>
  <si>
    <t xml:space="preserve">SOL 미국 S&amp;P500  </t>
  </si>
  <si>
    <t>슨피</t>
  </si>
  <si>
    <t>482730</t>
  </si>
  <si>
    <t xml:space="preserve">미국S&amp;P500타겟데일리커버드콜 </t>
  </si>
  <si>
    <t>슨피커</t>
  </si>
  <si>
    <t>개인연금2</t>
  </si>
  <si>
    <t>367380</t>
  </si>
  <si>
    <t>ACE 미국나스닥100</t>
  </si>
  <si>
    <t>360750</t>
  </si>
  <si>
    <t>TIGER미국S&amp;P500</t>
  </si>
  <si>
    <t>ISA</t>
  </si>
  <si>
    <t>483280</t>
  </si>
  <si>
    <t>KODEX 미국AI테크TOP10타겟커버드콜</t>
  </si>
  <si>
    <t>TIGER 미배당다우커버드콜2호</t>
  </si>
  <si>
    <t>TIGER미국테크TOP10커버드콜</t>
  </si>
  <si>
    <t>457480</t>
  </si>
  <si>
    <t>ACE테슬라밸류체인액티브</t>
  </si>
  <si>
    <t>테슬라</t>
  </si>
  <si>
    <t>473330</t>
  </si>
  <si>
    <t>SOL 미국 30년국채커버드콜(합성)</t>
  </si>
  <si>
    <t>미국채커</t>
  </si>
  <si>
    <t>000270</t>
  </si>
  <si>
    <t>기아</t>
  </si>
  <si>
    <t>498270</t>
  </si>
  <si>
    <t>KIWOOM 미국양자컴퓨팅</t>
  </si>
  <si>
    <t>양자</t>
  </si>
  <si>
    <t>0072R0</t>
  </si>
  <si>
    <t>TIGER KRX금현물</t>
  </si>
  <si>
    <t>금</t>
  </si>
  <si>
    <t>005389</t>
  </si>
  <si>
    <t>현대차3우B</t>
  </si>
  <si>
    <t>현대차</t>
  </si>
  <si>
    <t>364980</t>
  </si>
  <si>
    <t>TIGER 2차전지TOP10</t>
  </si>
  <si>
    <t>이차전지</t>
  </si>
  <si>
    <t>476690</t>
  </si>
  <si>
    <t>TIGER 글로벌비만치료제 TOP2 Plus</t>
  </si>
  <si>
    <t>헬스</t>
  </si>
  <si>
    <t>475380</t>
  </si>
  <si>
    <t>RISE 글로벌리얼티인컴</t>
  </si>
  <si>
    <t>리츠</t>
  </si>
  <si>
    <t>일반계좌</t>
  </si>
  <si>
    <t>005930</t>
  </si>
  <si>
    <t>삼성전자</t>
  </si>
  <si>
    <t>삼전</t>
  </si>
  <si>
    <t>498400</t>
  </si>
  <si>
    <t>KODEX 200타켓위클리커버드콜</t>
  </si>
  <si>
    <t>미국</t>
  </si>
  <si>
    <t>TSLA</t>
  </si>
  <si>
    <t>O</t>
  </si>
  <si>
    <t>리얼티인컴</t>
  </si>
  <si>
    <t>미국리츠</t>
  </si>
  <si>
    <t>IONQ</t>
  </si>
  <si>
    <t>아이온큐</t>
  </si>
  <si>
    <t>AAPL</t>
  </si>
  <si>
    <t>애플</t>
  </si>
  <si>
    <t>024110</t>
  </si>
  <si>
    <t>기업은행</t>
  </si>
  <si>
    <t>352820</t>
  </si>
  <si>
    <t>하이브</t>
  </si>
  <si>
    <t>엔터</t>
  </si>
  <si>
    <t>QLD</t>
  </si>
  <si>
    <t>일반계좌2</t>
  </si>
  <si>
    <t>KB금융</t>
  </si>
  <si>
    <t>현금</t>
  </si>
  <si>
    <t>CMA RP</t>
  </si>
  <si>
    <t>예수금</t>
  </si>
  <si>
    <t>0219E0</t>
  </si>
  <si>
    <t>KODEX 200커버드콜액티브</t>
  </si>
  <si>
    <t>예수금(직투달러)</t>
  </si>
  <si>
    <t>041510</t>
  </si>
  <si>
    <t>에스엠</t>
  </si>
  <si>
    <t>현금성자산(삼성증권)</t>
  </si>
  <si>
    <t>SPCX</t>
  </si>
  <si>
    <t>스페이스 X</t>
  </si>
  <si>
    <t>스엑</t>
  </si>
  <si>
    <t>AMT</t>
  </si>
  <si>
    <t>아메리칸타워</t>
  </si>
  <si>
    <t>NVDA</t>
  </si>
  <si>
    <t>엔비디아</t>
  </si>
  <si>
    <t>SCHD</t>
  </si>
  <si>
    <t>MSFT</t>
  </si>
  <si>
    <t>마이크로소프트</t>
  </si>
  <si>
    <t>마소</t>
  </si>
  <si>
    <t>TMUS</t>
  </si>
  <si>
    <t>T-모바일</t>
  </si>
  <si>
    <t>통신</t>
  </si>
  <si>
    <t>NVO</t>
  </si>
  <si>
    <t>노보 노디스크</t>
  </si>
  <si>
    <t>PLTR</t>
  </si>
  <si>
    <t>팔란티어</t>
  </si>
  <si>
    <t>팔란</t>
  </si>
  <si>
    <t>RKLB</t>
  </si>
  <si>
    <t>로켓랩</t>
  </si>
  <si>
    <t>로켓</t>
  </si>
  <si>
    <t>AI</t>
  </si>
  <si>
    <t>C3AI</t>
  </si>
  <si>
    <t>NKE</t>
  </si>
  <si>
    <t>나이키</t>
  </si>
  <si>
    <t>TSM</t>
  </si>
  <si>
    <t>TSMC</t>
  </si>
  <si>
    <t>COIN</t>
  </si>
  <si>
    <t>코인베이스 글로벌</t>
  </si>
  <si>
    <t>코인베이스</t>
  </si>
  <si>
    <t>LEU</t>
  </si>
  <si>
    <t>센트러스 에너지</t>
  </si>
  <si>
    <t>에너지</t>
  </si>
  <si>
    <t>ORCL</t>
  </si>
  <si>
    <t>오라클</t>
  </si>
  <si>
    <t>JOBY</t>
  </si>
  <si>
    <t>조비에비에이션</t>
  </si>
  <si>
    <t>조비</t>
  </si>
  <si>
    <t>SBUX</t>
  </si>
  <si>
    <t>스타벅스</t>
  </si>
  <si>
    <t>스벅</t>
  </si>
  <si>
    <t>SMR</t>
  </si>
  <si>
    <t>누스케일파워</t>
  </si>
  <si>
    <t>475560</t>
  </si>
  <si>
    <t>더본코리아</t>
  </si>
  <si>
    <t>더본</t>
  </si>
  <si>
    <t>OKLO</t>
  </si>
  <si>
    <t>오클로</t>
  </si>
  <si>
    <t>미래에셋현금성자산</t>
  </si>
  <si>
    <t>CMA</t>
  </si>
  <si>
    <t>IRP</t>
  </si>
  <si>
    <t>438100</t>
  </si>
  <si>
    <t>ACE미국나스닥100미국채혼합50액티브</t>
  </si>
  <si>
    <t xml:space="preserve">미국채 </t>
  </si>
  <si>
    <t>133690</t>
  </si>
  <si>
    <t>TIGER 미국나스닥100</t>
  </si>
  <si>
    <t>381170</t>
  </si>
  <si>
    <t>TIGER 미국테크TOP10 INDXX</t>
  </si>
  <si>
    <t>테크</t>
  </si>
  <si>
    <t xml:space="preserve">SOL 미국 S&amp;P500 </t>
  </si>
  <si>
    <t>은행예금</t>
  </si>
  <si>
    <t>새마을 예금</t>
  </si>
  <si>
    <t>예금</t>
  </si>
  <si>
    <t>TOSS</t>
  </si>
  <si>
    <t>CVX</t>
  </si>
  <si>
    <t>셰브론</t>
  </si>
  <si>
    <t>XOM</t>
  </si>
  <si>
    <t>엑슨모빌</t>
  </si>
  <si>
    <t>WMT</t>
  </si>
  <si>
    <t>월마트</t>
  </si>
  <si>
    <t>금액순 · 포트폴리오 비중 100% (계좌현황 자동연동)</t>
  </si>
  <si>
    <t>왼쪽 '계좌현황' 시트의 평가액(K열)·계좌(A열)을 수식으로 참조합니다. 왼쪽을 수정·정렬하면 이 탭 수치가 함께 바뀝니다. (Google 스프레드시트 / Excel 365 권장)</t>
  </si>
  <si>
    <t>총 평가액</t>
  </si>
  <si>
    <t>종목수</t>
  </si>
  <si>
    <t>① 계좌별 합계 (왼쪽 자동집계)</t>
  </si>
  <si>
    <t>평가액</t>
  </si>
  <si>
    <t>비중</t>
  </si>
  <si>
    <t>② 전체 종목 금액 내림차순 100% (왼쪽 K열 기준 자동정렬)</t>
  </si>
  <si>
    <t>← 자동계산용(원본행/미러)</t>
  </si>
  <si>
    <t>순위</t>
  </si>
  <si>
    <t>종목코드</t>
  </si>
  <si>
    <t>누적비중</t>
  </si>
  <si>
    <t>원본행</t>
  </si>
  <si>
    <t>평가액미러</t>
  </si>
  <si>
    <t>정렬키</t>
  </si>
  <si>
    <t>합계</t>
  </si>
  <si>
    <t>③ 비중 차트 (전체 100%)</t>
  </si>
  <si>
    <t>https://finance.naver.com/item/sise.naver?code=</t>
  </si>
  <si>
    <t>//html/body/div[3]/div[2]/div[2]/div[1]/div[3]/div[1]/table/tbody/tr[1]/td[1]/strong</t>
  </si>
  <si>
    <t>KOSPI</t>
  </si>
  <si>
    <t>INDEXSP:.INX</t>
  </si>
  <si>
    <t>INDEXNASDAQ:.IXIC</t>
  </si>
  <si>
    <t>GCW00</t>
  </si>
  <si>
    <t>BTCusd</t>
  </si>
  <si>
    <t>USDKRW</t>
  </si>
  <si>
    <t>날짜</t>
  </si>
  <si>
    <t>계좌총액</t>
  </si>
  <si>
    <t>코스피</t>
  </si>
  <si>
    <t>S&amp;P500</t>
  </si>
  <si>
    <t>골드(1온스)</t>
  </si>
  <si>
    <t>비트코인(달러)</t>
  </si>
  <si>
    <t>비트코인-달러</t>
  </si>
  <si>
    <t>달러환율</t>
  </si>
  <si>
    <t>S&amp;P500
(달러환율)</t>
  </si>
  <si>
    <t>나스닥
(달러환율)</t>
  </si>
  <si>
    <t>골드
(달러환율)</t>
  </si>
  <si>
    <t>비트코인
(달러환율)</t>
  </si>
  <si>
    <t>Copyright .2025. 서대리. All rights reserved</t>
  </si>
  <si>
    <t>일자</t>
  </si>
  <si>
    <t>연도</t>
  </si>
  <si>
    <t>월</t>
  </si>
  <si>
    <t>일</t>
  </si>
  <si>
    <t>거래수량</t>
  </si>
  <si>
    <t>단가</t>
  </si>
  <si>
    <t>1월</t>
  </si>
  <si>
    <t>01</t>
  </si>
  <si>
    <t>2월</t>
  </si>
  <si>
    <t>02</t>
  </si>
  <si>
    <t>3월</t>
  </si>
  <si>
    <t>03</t>
  </si>
  <si>
    <t>4월</t>
  </si>
  <si>
    <t>04</t>
  </si>
  <si>
    <t>5월</t>
  </si>
  <si>
    <t>05</t>
  </si>
  <si>
    <t>6월</t>
  </si>
  <si>
    <t>06</t>
  </si>
  <si>
    <t>7월</t>
  </si>
  <si>
    <t>07</t>
  </si>
  <si>
    <t>8월</t>
  </si>
  <si>
    <t>08</t>
  </si>
  <si>
    <t>9월</t>
  </si>
  <si>
    <t>09</t>
  </si>
  <si>
    <t>10월</t>
  </si>
  <si>
    <t>10</t>
  </si>
  <si>
    <t>11월</t>
  </si>
  <si>
    <t>11</t>
  </si>
  <si>
    <t>12월</t>
  </si>
  <si>
    <t>12</t>
  </si>
  <si>
    <t>시작</t>
  </si>
  <si>
    <t>종료</t>
  </si>
  <si>
    <t>비트코인-원화</t>
  </si>
  <si>
    <t>금선물</t>
  </si>
  <si>
    <t>계좌구분</t>
  </si>
  <si>
    <t>일반계좌1</t>
  </si>
  <si>
    <t>IRP 1</t>
  </si>
  <si>
    <t>IRP 2</t>
  </si>
  <si>
    <t>퇴직연금DC</t>
  </si>
  <si>
    <t>2026년 월별 배당·이자 (실적 + 예측)</t>
  </si>
  <si>
    <t>기준: '계좌현황' 보유수량 · yfinance 배당이력 · 환율 1,326원/$  | 연간 합계 51,285,982원 · 월평균 4,273,832원</t>
  </si>
  <si>
    <t>※ 노란행=예측, 초록행=실적(또는 이미 지급된 배당). 커버드콜/미국ETF는 환율·지급월 추정 오차가 있을 수 있습니다.</t>
  </si>
  <si>
    <t>① 월별 합계</t>
  </si>
  <si>
    <t>실적</t>
  </si>
  <si>
    <t>예측</t>
  </si>
  <si>
    <t>구분</t>
  </si>
  <si>
    <t>혼합</t>
  </si>
  <si>
    <t>② 연간 배당 기여 Top 15</t>
  </si>
  <si>
    <t>주기</t>
  </si>
  <si>
    <t>연예상(원)</t>
  </si>
  <si>
    <t>배당률</t>
  </si>
  <si>
    <t>월배당</t>
  </si>
  <si>
    <t>연/반기</t>
  </si>
  <si>
    <t>미국S&amp;P500타겟데일리커버드콜</t>
  </si>
  <si>
    <t>SOL 미국 S&amp;P500</t>
  </si>
  <si>
    <t>③ 종목·월별 상세 (실적/예측)</t>
  </si>
  <si>
    <t>원화환산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</si>
</sst>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26" formatCode="\$#,##0.00_);[Red]\(\$#,##0.00\)"/>
    <numFmt numFmtId="176" formatCode="0.0%"/>
    <numFmt numFmtId="177" formatCode="[$₩]#,##0"/>
    <numFmt numFmtId="178" formatCode="[$₩-412]#,##0"/>
    <numFmt numFmtId="179" formatCode="[$$]#,##0.00"/>
    <numFmt numFmtId="180" formatCode="yyyy&quot;/&quot;mm&quot;/&quot;dd"/>
    <numFmt numFmtId="181" formatCode="000000"/>
    <numFmt numFmtId="182" formatCode="m/d/yyyy\ h:mm:ss"/>
    <numFmt numFmtId="183" formatCode="#,##0.##"/>
    <numFmt numFmtId="184" formatCode="\₩#,##0;[Blue]\▼\₩#,##0"/>
    <numFmt numFmtId="185" formatCode="0%;[Blue]\▼0%"/>
    <numFmt numFmtId="186" formatCode="yyyy\-mm\-dd"/>
    <numFmt numFmtId="187" formatCode="0.0000"/>
  </numFmts>
  <fonts count="2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b/>
      <sz val="10"/>
      <color theme="1"/>
      <name val="Arial"/>
      <family val="2"/>
    </font>
    <font>
      <sz val="8"/>
      <color rgb="FFFF0000"/>
      <name val="Arial"/>
      <family val="2"/>
      <scheme val="minor"/>
    </font>
    <font>
      <sz val="10"/>
      <color rgb="FFFFFFFF"/>
      <name val="Arial"/>
      <family val="2"/>
      <scheme val="minor"/>
    </font>
    <font>
      <sz val="10"/>
      <color theme="1"/>
      <name val="Arial"/>
      <family val="2"/>
    </font>
    <font>
      <u/>
      <sz val="10"/>
      <color rgb="FF0000FF"/>
      <name val="Arial"/>
      <family val="2"/>
    </font>
    <font>
      <sz val="10"/>
      <color rgb="FFFFF2CC"/>
      <name val="Arial"/>
      <family val="2"/>
      <scheme val="minor"/>
    </font>
    <font>
      <sz val="8"/>
      <name val="Arial"/>
      <family val="3"/>
      <charset val="129"/>
      <scheme val="minor"/>
    </font>
    <font>
      <sz val="10"/>
      <color theme="1"/>
      <name val="맑은 고딕"/>
      <family val="3"/>
      <charset val="129"/>
    </font>
    <font>
      <sz val="10"/>
      <color theme="1"/>
      <name val="Arial"/>
      <family val="2"/>
      <scheme val="minor"/>
    </font>
    <font>
      <sz val="10"/>
      <color theme="1"/>
      <name val="Arial"/>
      <family val="3"/>
    </font>
    <font>
      <sz val="10"/>
      <color theme="1"/>
      <name val="Arial"/>
      <family val="2"/>
      <charset val="129"/>
    </font>
    <font>
      <sz val="10"/>
      <color theme="1"/>
      <name val="맑은 고딕"/>
      <family val="2"/>
      <charset val="129"/>
    </font>
    <font>
      <b/>
      <sz val="14"/>
      <color rgb="FF1F4E79"/>
      <name val="Arial"/>
    </font>
    <font>
      <sz val="10"/>
      <color rgb="FF666666"/>
      <name val="Arial"/>
    </font>
    <font>
      <b/>
      <sz val="12"/>
      <color rgb="FF1F4E79"/>
      <name val="Arial"/>
    </font>
    <font>
      <b/>
      <sz val="10"/>
      <name val="Arial"/>
    </font>
    <font>
      <b/>
      <sz val="10"/>
      <color rgb="FFFFFFFF"/>
      <name val="Arial"/>
    </font>
    <font>
      <sz val="8"/>
      <color rgb="FF999999"/>
      <name val="Arial"/>
    </font>
    <font>
      <sz val="8"/>
      <color rgb="FFAAAAAA"/>
      <name val="Arial"/>
    </font>
    <font>
      <sz val="9"/>
      <color rgb="FF888888"/>
      <name val="Arial"/>
    </font>
  </fonts>
  <fills count="24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theme="7" tint="0.59999389629810485"/>
        <bgColor rgb="FFFFF2CC"/>
      </patternFill>
    </fill>
    <fill>
      <patternFill patternType="solid">
        <fgColor theme="7" tint="0.59999389629810485"/>
        <bgColor rgb="FF00FFFF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FFFF"/>
      </patternFill>
    </fill>
    <fill>
      <patternFill patternType="solid">
        <fgColor rgb="FF1F4E79"/>
      </patternFill>
    </fill>
    <fill>
      <patternFill patternType="solid">
        <fgColor rgb="FFE2EFDA"/>
      </patternFill>
    </fill>
    <fill>
      <patternFill patternType="solid">
        <fgColor rgb="FFDDEBF7"/>
      </patternFill>
    </fill>
    <fill>
      <patternFill patternType="solid">
        <fgColor rgb="FFD6EAF8"/>
      </patternFill>
    </fill>
    <fill>
      <patternFill patternType="solid">
        <fgColor rgb="FFFFF2CC"/>
      </patternFill>
    </fill>
    <fill>
      <patternFill patternType="solid">
        <fgColor rgb="FFFCE4EC"/>
      </patternFill>
    </fill>
    <fill>
      <patternFill patternType="solid">
        <fgColor rgb="FFFCE4D6"/>
      </patternFill>
    </fill>
    <fill>
      <patternFill patternType="solid">
        <fgColor rgb="FFE4DFEC"/>
      </patternFill>
    </fill>
    <fill>
      <patternFill patternType="solid">
        <fgColor rgb="FFD9EAD3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213">
    <xf numFmtId="0" fontId="0" fillId="0" borderId="0" xfId="0"/>
    <xf numFmtId="0" fontId="2" fillId="3" borderId="0" xfId="0" applyFont="1" applyFill="1"/>
    <xf numFmtId="0" fontId="2" fillId="3" borderId="0" xfId="0" applyFont="1" applyFill="1" applyAlignment="1">
      <alignment horizontal="right"/>
    </xf>
    <xf numFmtId="0" fontId="1" fillId="2" borderId="7" xfId="0" applyFont="1" applyFill="1" applyBorder="1"/>
    <xf numFmtId="0" fontId="3" fillId="2" borderId="7" xfId="0" applyFont="1" applyFill="1" applyBorder="1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6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177" fontId="1" fillId="5" borderId="0" xfId="0" applyNumberFormat="1" applyFont="1" applyFill="1" applyAlignment="1">
      <alignment horizontal="right" vertical="center"/>
    </xf>
    <xf numFmtId="0" fontId="8" fillId="0" borderId="0" xfId="0" applyFont="1"/>
    <xf numFmtId="2" fontId="1" fillId="0" borderId="7" xfId="0" applyNumberFormat="1" applyFont="1" applyBorder="1" applyAlignment="1">
      <alignment horizontal="center" vertical="center"/>
    </xf>
    <xf numFmtId="178" fontId="1" fillId="0" borderId="7" xfId="0" applyNumberFormat="1" applyFont="1" applyBorder="1" applyAlignment="1">
      <alignment horizontal="center" vertical="center"/>
    </xf>
    <xf numFmtId="1" fontId="1" fillId="0" borderId="7" xfId="0" applyNumberFormat="1" applyFont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178" fontId="9" fillId="3" borderId="7" xfId="0" applyNumberFormat="1" applyFont="1" applyFill="1" applyBorder="1" applyAlignment="1">
      <alignment horizontal="right" vertical="center"/>
    </xf>
    <xf numFmtId="1" fontId="1" fillId="3" borderId="7" xfId="0" applyNumberFormat="1" applyFont="1" applyFill="1" applyBorder="1" applyAlignment="1">
      <alignment horizontal="right" vertical="center"/>
    </xf>
    <xf numFmtId="1" fontId="1" fillId="3" borderId="8" xfId="0" applyNumberFormat="1" applyFont="1" applyFill="1" applyBorder="1" applyAlignment="1">
      <alignment horizontal="right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179" fontId="1" fillId="3" borderId="0" xfId="0" applyNumberFormat="1" applyFont="1" applyFill="1" applyAlignment="1">
      <alignment horizontal="center" vertical="center"/>
    </xf>
    <xf numFmtId="178" fontId="1" fillId="3" borderId="0" xfId="0" applyNumberFormat="1" applyFont="1" applyFill="1" applyAlignment="1">
      <alignment horizontal="center" vertical="center"/>
    </xf>
    <xf numFmtId="4" fontId="1" fillId="3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2" fontId="1" fillId="0" borderId="11" xfId="0" applyNumberFormat="1" applyFont="1" applyBorder="1" applyAlignment="1">
      <alignment horizontal="center" vertical="center"/>
    </xf>
    <xf numFmtId="177" fontId="1" fillId="5" borderId="7" xfId="0" applyNumberFormat="1" applyFont="1" applyFill="1" applyBorder="1" applyAlignment="1">
      <alignment horizontal="right" vertical="center"/>
    </xf>
    <xf numFmtId="1" fontId="1" fillId="0" borderId="8" xfId="0" applyNumberFormat="1" applyFont="1" applyBorder="1" applyAlignment="1">
      <alignment horizontal="right" vertical="center"/>
    </xf>
    <xf numFmtId="4" fontId="1" fillId="0" borderId="0" xfId="0" applyNumberFormat="1" applyFont="1" applyAlignment="1">
      <alignment horizontal="center" vertical="center"/>
    </xf>
    <xf numFmtId="2" fontId="1" fillId="0" borderId="10" xfId="0" applyNumberFormat="1" applyFont="1" applyBorder="1" applyAlignment="1">
      <alignment horizontal="center" vertical="center"/>
    </xf>
    <xf numFmtId="1" fontId="1" fillId="0" borderId="0" xfId="0" applyNumberFormat="1" applyFont="1" applyAlignment="1">
      <alignment horizontal="right" vertical="center"/>
    </xf>
    <xf numFmtId="1" fontId="1" fillId="0" borderId="5" xfId="0" applyNumberFormat="1" applyFont="1" applyBorder="1" applyAlignment="1">
      <alignment horizontal="right" vertical="center"/>
    </xf>
    <xf numFmtId="2" fontId="1" fillId="0" borderId="9" xfId="0" applyNumberFormat="1" applyFont="1" applyBorder="1" applyAlignment="1">
      <alignment horizontal="center" vertical="center"/>
    </xf>
    <xf numFmtId="177" fontId="1" fillId="5" borderId="2" xfId="0" applyNumberFormat="1" applyFont="1" applyFill="1" applyBorder="1" applyAlignment="1">
      <alignment horizontal="right" vertical="center"/>
    </xf>
    <xf numFmtId="1" fontId="1" fillId="0" borderId="2" xfId="0" applyNumberFormat="1" applyFont="1" applyBorder="1" applyAlignment="1">
      <alignment horizontal="right" vertical="center"/>
    </xf>
    <xf numFmtId="1" fontId="1" fillId="0" borderId="3" xfId="0" applyNumberFormat="1" applyFont="1" applyBorder="1" applyAlignment="1">
      <alignment horizontal="right" vertical="center"/>
    </xf>
    <xf numFmtId="2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2" fontId="1" fillId="6" borderId="1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7" xfId="0" applyFont="1" applyBorder="1" applyAlignment="1">
      <alignment vertical="center"/>
    </xf>
    <xf numFmtId="180" fontId="7" fillId="5" borderId="4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178" fontId="7" fillId="5" borderId="5" xfId="0" applyNumberFormat="1" applyFont="1" applyFill="1" applyBorder="1" applyAlignment="1">
      <alignment horizontal="center" vertical="center"/>
    </xf>
    <xf numFmtId="180" fontId="7" fillId="5" borderId="0" xfId="0" applyNumberFormat="1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181" fontId="7" fillId="5" borderId="0" xfId="0" applyNumberFormat="1" applyFont="1" applyFill="1" applyAlignment="1">
      <alignment horizontal="center" vertical="center"/>
    </xf>
    <xf numFmtId="178" fontId="7" fillId="5" borderId="0" xfId="0" applyNumberFormat="1" applyFont="1" applyFill="1" applyAlignment="1">
      <alignment horizontal="right" vertical="center"/>
    </xf>
    <xf numFmtId="179" fontId="7" fillId="5" borderId="5" xfId="0" applyNumberFormat="1" applyFont="1" applyFill="1" applyBorder="1" applyAlignment="1">
      <alignment horizontal="right" vertical="center"/>
    </xf>
    <xf numFmtId="0" fontId="4" fillId="6" borderId="6" xfId="0" applyFont="1" applyFill="1" applyBorder="1" applyAlignment="1">
      <alignment horizontal="center" vertical="center"/>
    </xf>
    <xf numFmtId="0" fontId="7" fillId="6" borderId="7" xfId="0" applyFont="1" applyFill="1" applyBorder="1" applyAlignment="1">
      <alignment vertical="center"/>
    </xf>
    <xf numFmtId="0" fontId="7" fillId="6" borderId="8" xfId="0" applyFont="1" applyFill="1" applyBorder="1" applyAlignment="1">
      <alignment vertical="center"/>
    </xf>
    <xf numFmtId="178" fontId="7" fillId="6" borderId="8" xfId="0" applyNumberFormat="1" applyFont="1" applyFill="1" applyBorder="1" applyAlignment="1">
      <alignment vertical="center"/>
    </xf>
    <xf numFmtId="180" fontId="7" fillId="5" borderId="0" xfId="0" applyNumberFormat="1" applyFont="1" applyFill="1" applyAlignment="1">
      <alignment horizontal="center"/>
    </xf>
    <xf numFmtId="3" fontId="7" fillId="5" borderId="0" xfId="0" applyNumberFormat="1" applyFont="1" applyFill="1" applyAlignment="1">
      <alignment horizontal="right" vertical="center"/>
    </xf>
    <xf numFmtId="178" fontId="7" fillId="5" borderId="5" xfId="0" applyNumberFormat="1" applyFont="1" applyFill="1" applyBorder="1" applyAlignment="1">
      <alignment horizontal="right" vertical="center"/>
    </xf>
    <xf numFmtId="14" fontId="1" fillId="0" borderId="0" xfId="0" applyNumberFormat="1" applyFont="1"/>
    <xf numFmtId="182" fontId="1" fillId="0" borderId="0" xfId="0" applyNumberFormat="1" applyFont="1"/>
    <xf numFmtId="10" fontId="1" fillId="0" borderId="0" xfId="0" applyNumberFormat="1" applyFont="1"/>
    <xf numFmtId="176" fontId="1" fillId="0" borderId="0" xfId="0" applyNumberFormat="1" applyFont="1"/>
    <xf numFmtId="4" fontId="1" fillId="0" borderId="0" xfId="0" applyNumberFormat="1" applyFont="1"/>
    <xf numFmtId="0" fontId="11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right" vertical="center"/>
    </xf>
    <xf numFmtId="181" fontId="2" fillId="3" borderId="4" xfId="0" applyNumberFormat="1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178" fontId="2" fillId="3" borderId="4" xfId="0" applyNumberFormat="1" applyFont="1" applyFill="1" applyBorder="1" applyAlignment="1">
      <alignment horizontal="right" vertical="center"/>
    </xf>
    <xf numFmtId="178" fontId="2" fillId="3" borderId="0" xfId="0" applyNumberFormat="1" applyFont="1" applyFill="1" applyAlignment="1">
      <alignment horizontal="right" vertical="center"/>
    </xf>
    <xf numFmtId="9" fontId="2" fillId="3" borderId="5" xfId="0" applyNumberFormat="1" applyFont="1" applyFill="1" applyBorder="1" applyAlignment="1">
      <alignment horizontal="right" vertical="center"/>
    </xf>
    <xf numFmtId="183" fontId="1" fillId="0" borderId="12" xfId="0" applyNumberFormat="1" applyFont="1" applyBorder="1" applyAlignment="1">
      <alignment horizontal="right" vertical="center"/>
    </xf>
    <xf numFmtId="179" fontId="1" fillId="0" borderId="12" xfId="0" applyNumberFormat="1" applyFont="1" applyBorder="1" applyAlignment="1">
      <alignment horizontal="right" vertical="center"/>
    </xf>
    <xf numFmtId="178" fontId="1" fillId="0" borderId="12" xfId="0" applyNumberFormat="1" applyFont="1" applyBorder="1" applyAlignment="1">
      <alignment horizontal="right" vertical="center"/>
    </xf>
    <xf numFmtId="10" fontId="1" fillId="0" borderId="12" xfId="0" applyNumberFormat="1" applyFont="1" applyBorder="1" applyAlignment="1">
      <alignment horizontal="right" vertical="center"/>
    </xf>
    <xf numFmtId="184" fontId="1" fillId="0" borderId="12" xfId="0" applyNumberFormat="1" applyFont="1" applyBorder="1" applyAlignment="1">
      <alignment horizontal="right" vertical="center"/>
    </xf>
    <xf numFmtId="185" fontId="1" fillId="0" borderId="12" xfId="0" applyNumberFormat="1" applyFont="1" applyBorder="1" applyAlignment="1">
      <alignment horizontal="right" vertical="center"/>
    </xf>
    <xf numFmtId="0" fontId="1" fillId="0" borderId="12" xfId="0" applyFont="1" applyBorder="1" applyAlignment="1">
      <alignment horizontal="center" vertical="center"/>
    </xf>
    <xf numFmtId="183" fontId="7" fillId="0" borderId="12" xfId="0" applyNumberFormat="1" applyFont="1" applyBorder="1"/>
    <xf numFmtId="179" fontId="7" fillId="0" borderId="12" xfId="0" applyNumberFormat="1" applyFont="1" applyBorder="1"/>
    <xf numFmtId="178" fontId="7" fillId="0" borderId="12" xfId="0" applyNumberFormat="1" applyFont="1" applyBorder="1"/>
    <xf numFmtId="10" fontId="7" fillId="0" borderId="12" xfId="0" applyNumberFormat="1" applyFont="1" applyBorder="1" applyAlignment="1">
      <alignment horizontal="right"/>
    </xf>
    <xf numFmtId="185" fontId="7" fillId="0" borderId="12" xfId="0" applyNumberFormat="1" applyFont="1" applyBorder="1"/>
    <xf numFmtId="2" fontId="7" fillId="0" borderId="12" xfId="0" applyNumberFormat="1" applyFont="1" applyBorder="1"/>
    <xf numFmtId="49" fontId="2" fillId="7" borderId="0" xfId="0" applyNumberFormat="1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177" fontId="2" fillId="7" borderId="4" xfId="0" applyNumberFormat="1" applyFont="1" applyFill="1" applyBorder="1" applyAlignment="1">
      <alignment horizontal="center" vertical="center"/>
    </xf>
    <xf numFmtId="49" fontId="7" fillId="8" borderId="12" xfId="0" applyNumberFormat="1" applyFont="1" applyFill="1" applyBorder="1" applyAlignment="1">
      <alignment horizontal="center"/>
    </xf>
    <xf numFmtId="0" fontId="7" fillId="8" borderId="12" xfId="0" applyFont="1" applyFill="1" applyBorder="1" applyAlignment="1">
      <alignment horizontal="center"/>
    </xf>
    <xf numFmtId="3" fontId="7" fillId="8" borderId="12" xfId="0" applyNumberFormat="1" applyFont="1" applyFill="1" applyBorder="1" applyAlignment="1">
      <alignment horizontal="center"/>
    </xf>
    <xf numFmtId="178" fontId="7" fillId="8" borderId="12" xfId="0" applyNumberFormat="1" applyFont="1" applyFill="1" applyBorder="1"/>
    <xf numFmtId="179" fontId="7" fillId="8" borderId="12" xfId="0" applyNumberFormat="1" applyFont="1" applyFill="1" applyBorder="1" applyAlignment="1">
      <alignment horizontal="right"/>
    </xf>
    <xf numFmtId="178" fontId="7" fillId="8" borderId="12" xfId="0" applyNumberFormat="1" applyFont="1" applyFill="1" applyBorder="1" applyAlignment="1">
      <alignment horizontal="right"/>
    </xf>
    <xf numFmtId="179" fontId="7" fillId="8" borderId="12" xfId="0" applyNumberFormat="1" applyFont="1" applyFill="1" applyBorder="1"/>
    <xf numFmtId="0" fontId="1" fillId="9" borderId="12" xfId="0" applyFont="1" applyFill="1" applyBorder="1" applyAlignment="1">
      <alignment horizontal="center" vertical="center"/>
    </xf>
    <xf numFmtId="178" fontId="1" fillId="10" borderId="12" xfId="0" applyNumberFormat="1" applyFont="1" applyFill="1" applyBorder="1" applyAlignment="1">
      <alignment horizontal="right" vertical="center"/>
    </xf>
    <xf numFmtId="49" fontId="7" fillId="10" borderId="12" xfId="0" applyNumberFormat="1" applyFont="1" applyFill="1" applyBorder="1" applyAlignment="1">
      <alignment horizontal="center"/>
    </xf>
    <xf numFmtId="3" fontId="7" fillId="10" borderId="12" xfId="0" applyNumberFormat="1" applyFont="1" applyFill="1" applyBorder="1" applyAlignment="1">
      <alignment horizontal="center"/>
    </xf>
    <xf numFmtId="178" fontId="7" fillId="10" borderId="12" xfId="0" applyNumberFormat="1" applyFont="1" applyFill="1" applyBorder="1"/>
    <xf numFmtId="179" fontId="7" fillId="10" borderId="12" xfId="0" applyNumberFormat="1" applyFont="1" applyFill="1" applyBorder="1"/>
    <xf numFmtId="0" fontId="1" fillId="8" borderId="12" xfId="0" applyFont="1" applyFill="1" applyBorder="1" applyAlignment="1">
      <alignment horizontal="center" vertical="center"/>
    </xf>
    <xf numFmtId="181" fontId="1" fillId="9" borderId="12" xfId="0" applyNumberFormat="1" applyFont="1" applyFill="1" applyBorder="1" applyAlignment="1">
      <alignment horizontal="center" vertical="center"/>
    </xf>
    <xf numFmtId="179" fontId="1" fillId="10" borderId="12" xfId="0" applyNumberFormat="1" applyFont="1" applyFill="1" applyBorder="1" applyAlignment="1">
      <alignment horizontal="right" vertical="center"/>
    </xf>
    <xf numFmtId="181" fontId="1" fillId="10" borderId="12" xfId="0" applyNumberFormat="1" applyFont="1" applyFill="1" applyBorder="1" applyAlignment="1">
      <alignment horizontal="center" vertical="center"/>
    </xf>
    <xf numFmtId="181" fontId="7" fillId="10" borderId="12" xfId="0" applyNumberFormat="1" applyFont="1" applyFill="1" applyBorder="1" applyAlignment="1">
      <alignment horizontal="center"/>
    </xf>
    <xf numFmtId="0" fontId="12" fillId="0" borderId="0" xfId="0" applyFont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9" fontId="1" fillId="9" borderId="0" xfId="0" applyNumberFormat="1" applyFont="1" applyFill="1" applyAlignment="1">
      <alignment horizontal="center" vertical="center"/>
    </xf>
    <xf numFmtId="0" fontId="11" fillId="9" borderId="12" xfId="0" applyFont="1" applyFill="1" applyBorder="1" applyAlignment="1">
      <alignment horizontal="center" vertical="center"/>
    </xf>
    <xf numFmtId="0" fontId="12" fillId="9" borderId="12" xfId="0" applyFont="1" applyFill="1" applyBorder="1" applyAlignment="1">
      <alignment horizontal="center" vertical="center"/>
    </xf>
    <xf numFmtId="26" fontId="1" fillId="9" borderId="12" xfId="0" applyNumberFormat="1" applyFont="1" applyFill="1" applyBorder="1" applyAlignment="1">
      <alignment horizontal="center" vertical="center"/>
    </xf>
    <xf numFmtId="9" fontId="11" fillId="9" borderId="12" xfId="0" applyNumberFormat="1" applyFont="1" applyFill="1" applyBorder="1" applyAlignment="1">
      <alignment horizontal="center" vertical="center"/>
    </xf>
    <xf numFmtId="2" fontId="1" fillId="0" borderId="12" xfId="0" applyNumberFormat="1" applyFont="1" applyBorder="1" applyAlignment="1">
      <alignment horizontal="center" vertical="center"/>
    </xf>
    <xf numFmtId="2" fontId="0" fillId="0" borderId="12" xfId="0" applyNumberFormat="1" applyBorder="1"/>
    <xf numFmtId="0" fontId="11" fillId="11" borderId="12" xfId="0" applyFont="1" applyFill="1" applyBorder="1" applyAlignment="1">
      <alignment horizontal="center" vertical="center"/>
    </xf>
    <xf numFmtId="9" fontId="11" fillId="11" borderId="12" xfId="0" applyNumberFormat="1" applyFont="1" applyFill="1" applyBorder="1" applyAlignment="1">
      <alignment horizontal="center" vertical="center"/>
    </xf>
    <xf numFmtId="9" fontId="1" fillId="11" borderId="0" xfId="0" applyNumberFormat="1" applyFont="1" applyFill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181" fontId="15" fillId="10" borderId="12" xfId="0" applyNumberFormat="1" applyFont="1" applyFill="1" applyBorder="1" applyAlignment="1">
      <alignment horizontal="center"/>
    </xf>
    <xf numFmtId="0" fontId="15" fillId="0" borderId="12" xfId="0" applyFont="1" applyBorder="1" applyAlignment="1">
      <alignment horizontal="center" vertical="center"/>
    </xf>
    <xf numFmtId="0" fontId="15" fillId="8" borderId="12" xfId="0" applyFont="1" applyFill="1" applyBorder="1" applyAlignment="1">
      <alignment horizontal="center"/>
    </xf>
    <xf numFmtId="0" fontId="7" fillId="12" borderId="12" xfId="0" applyFont="1" applyFill="1" applyBorder="1" applyAlignment="1">
      <alignment horizontal="center"/>
    </xf>
    <xf numFmtId="0" fontId="14" fillId="12" borderId="12" xfId="0" applyFont="1" applyFill="1" applyBorder="1" applyAlignment="1">
      <alignment horizontal="center"/>
    </xf>
    <xf numFmtId="0" fontId="13" fillId="12" borderId="12" xfId="0" applyFont="1" applyFill="1" applyBorder="1" applyAlignment="1">
      <alignment horizontal="center"/>
    </xf>
    <xf numFmtId="0" fontId="1" fillId="13" borderId="12" xfId="0" applyFont="1" applyFill="1" applyBorder="1" applyAlignment="1">
      <alignment horizontal="center" vertical="center"/>
    </xf>
    <xf numFmtId="0" fontId="7" fillId="14" borderId="12" xfId="0" applyFont="1" applyFill="1" applyBorder="1" applyAlignment="1">
      <alignment horizontal="center"/>
    </xf>
    <xf numFmtId="0" fontId="1" fillId="14" borderId="12" xfId="0" applyFont="1" applyFill="1" applyBorder="1" applyAlignment="1">
      <alignment horizontal="center" vertical="center"/>
    </xf>
    <xf numFmtId="0" fontId="16" fillId="0" borderId="0" xfId="0" applyFont="1"/>
    <xf numFmtId="3" fontId="18" fillId="0" borderId="0" xfId="0" applyNumberFormat="1" applyFont="1"/>
    <xf numFmtId="0" fontId="19" fillId="0" borderId="0" xfId="0" applyFont="1"/>
    <xf numFmtId="0" fontId="20" fillId="15" borderId="13" xfId="0" applyFont="1" applyFill="1" applyBorder="1" applyAlignment="1">
      <alignment horizontal="center"/>
    </xf>
    <xf numFmtId="0" fontId="0" fillId="16" borderId="13" xfId="0" applyFill="1" applyBorder="1"/>
    <xf numFmtId="3" fontId="0" fillId="16" borderId="13" xfId="0" applyNumberFormat="1" applyFill="1" applyBorder="1"/>
    <xf numFmtId="176" fontId="0" fillId="16" borderId="13" xfId="0" applyNumberFormat="1" applyFill="1" applyBorder="1"/>
    <xf numFmtId="0" fontId="0" fillId="17" borderId="13" xfId="0" applyFill="1" applyBorder="1"/>
    <xf numFmtId="3" fontId="0" fillId="17" borderId="13" xfId="0" applyNumberFormat="1" applyFill="1" applyBorder="1"/>
    <xf numFmtId="176" fontId="0" fillId="17" borderId="13" xfId="0" applyNumberFormat="1" applyFill="1" applyBorder="1"/>
    <xf numFmtId="0" fontId="0" fillId="18" borderId="13" xfId="0" applyFill="1" applyBorder="1"/>
    <xf numFmtId="3" fontId="0" fillId="18" borderId="13" xfId="0" applyNumberFormat="1" applyFill="1" applyBorder="1"/>
    <xf numFmtId="176" fontId="0" fillId="18" borderId="13" xfId="0" applyNumberFormat="1" applyFill="1" applyBorder="1"/>
    <xf numFmtId="0" fontId="0" fillId="19" borderId="13" xfId="0" applyFill="1" applyBorder="1"/>
    <xf numFmtId="3" fontId="0" fillId="19" borderId="13" xfId="0" applyNumberFormat="1" applyFill="1" applyBorder="1"/>
    <xf numFmtId="176" fontId="0" fillId="19" borderId="13" xfId="0" applyNumberFormat="1" applyFill="1" applyBorder="1"/>
    <xf numFmtId="0" fontId="0" fillId="20" borderId="13" xfId="0" applyFill="1" applyBorder="1"/>
    <xf numFmtId="3" fontId="0" fillId="20" borderId="13" xfId="0" applyNumberFormat="1" applyFill="1" applyBorder="1"/>
    <xf numFmtId="176" fontId="0" fillId="20" borderId="13" xfId="0" applyNumberFormat="1" applyFill="1" applyBorder="1"/>
    <xf numFmtId="0" fontId="0" fillId="21" borderId="13" xfId="0" applyFill="1" applyBorder="1"/>
    <xf numFmtId="3" fontId="0" fillId="21" borderId="13" xfId="0" applyNumberFormat="1" applyFill="1" applyBorder="1"/>
    <xf numFmtId="176" fontId="0" fillId="21" borderId="13" xfId="0" applyNumberFormat="1" applyFill="1" applyBorder="1"/>
    <xf numFmtId="0" fontId="0" fillId="22" borderId="13" xfId="0" applyFill="1" applyBorder="1"/>
    <xf numFmtId="3" fontId="0" fillId="22" borderId="13" xfId="0" applyNumberFormat="1" applyFill="1" applyBorder="1"/>
    <xf numFmtId="176" fontId="0" fillId="22" borderId="13" xfId="0" applyNumberFormat="1" applyFill="1" applyBorder="1"/>
    <xf numFmtId="0" fontId="0" fillId="23" borderId="13" xfId="0" applyFill="1" applyBorder="1"/>
    <xf numFmtId="3" fontId="0" fillId="23" borderId="13" xfId="0" applyNumberFormat="1" applyFill="1" applyBorder="1"/>
    <xf numFmtId="176" fontId="0" fillId="23" borderId="13" xfId="0" applyNumberFormat="1" applyFill="1" applyBorder="1"/>
    <xf numFmtId="0" fontId="0" fillId="0" borderId="13" xfId="0" applyBorder="1"/>
    <xf numFmtId="3" fontId="0" fillId="0" borderId="13" xfId="0" applyNumberFormat="1" applyBorder="1"/>
    <xf numFmtId="176" fontId="0" fillId="0" borderId="13" xfId="0" applyNumberFormat="1" applyBorder="1"/>
    <xf numFmtId="0" fontId="22" fillId="0" borderId="0" xfId="0" applyFont="1"/>
    <xf numFmtId="0" fontId="20" fillId="15" borderId="13" xfId="0" applyFont="1" applyFill="1" applyBorder="1" applyAlignment="1">
      <alignment horizontal="center" wrapText="1"/>
    </xf>
    <xf numFmtId="0" fontId="21" fillId="0" borderId="0" xfId="0" applyFont="1"/>
    <xf numFmtId="183" fontId="0" fillId="16" borderId="13" xfId="0" applyNumberFormat="1" applyFill="1" applyBorder="1"/>
    <xf numFmtId="3" fontId="19" fillId="16" borderId="13" xfId="0" applyNumberFormat="1" applyFont="1" applyFill="1" applyBorder="1"/>
    <xf numFmtId="10" fontId="0" fillId="16" borderId="13" xfId="0" applyNumberFormat="1" applyFill="1" applyBorder="1"/>
    <xf numFmtId="183" fontId="0" fillId="17" borderId="13" xfId="0" applyNumberFormat="1" applyFill="1" applyBorder="1"/>
    <xf numFmtId="3" fontId="19" fillId="17" borderId="13" xfId="0" applyNumberFormat="1" applyFont="1" applyFill="1" applyBorder="1"/>
    <xf numFmtId="10" fontId="0" fillId="17" borderId="13" xfId="0" applyNumberFormat="1" applyFill="1" applyBorder="1"/>
    <xf numFmtId="183" fontId="0" fillId="19" borderId="13" xfId="0" applyNumberFormat="1" applyFill="1" applyBorder="1"/>
    <xf numFmtId="3" fontId="19" fillId="19" borderId="13" xfId="0" applyNumberFormat="1" applyFont="1" applyFill="1" applyBorder="1"/>
    <xf numFmtId="10" fontId="0" fillId="19" borderId="13" xfId="0" applyNumberFormat="1" applyFill="1" applyBorder="1"/>
    <xf numFmtId="183" fontId="0" fillId="20" borderId="13" xfId="0" applyNumberFormat="1" applyFill="1" applyBorder="1"/>
    <xf numFmtId="3" fontId="19" fillId="20" borderId="13" xfId="0" applyNumberFormat="1" applyFont="1" applyFill="1" applyBorder="1"/>
    <xf numFmtId="10" fontId="0" fillId="20" borderId="13" xfId="0" applyNumberFormat="1" applyFill="1" applyBorder="1"/>
    <xf numFmtId="183" fontId="0" fillId="22" borderId="13" xfId="0" applyNumberFormat="1" applyFill="1" applyBorder="1"/>
    <xf numFmtId="3" fontId="19" fillId="22" borderId="13" xfId="0" applyNumberFormat="1" applyFont="1" applyFill="1" applyBorder="1"/>
    <xf numFmtId="10" fontId="0" fillId="22" borderId="13" xfId="0" applyNumberFormat="1" applyFill="1" applyBorder="1"/>
    <xf numFmtId="183" fontId="0" fillId="18" borderId="13" xfId="0" applyNumberFormat="1" applyFill="1" applyBorder="1"/>
    <xf numFmtId="3" fontId="19" fillId="18" borderId="13" xfId="0" applyNumberFormat="1" applyFont="1" applyFill="1" applyBorder="1"/>
    <xf numFmtId="10" fontId="0" fillId="18" borderId="13" xfId="0" applyNumberFormat="1" applyFill="1" applyBorder="1"/>
    <xf numFmtId="183" fontId="0" fillId="0" borderId="13" xfId="0" applyNumberFormat="1" applyBorder="1"/>
    <xf numFmtId="3" fontId="19" fillId="0" borderId="13" xfId="0" applyNumberFormat="1" applyFont="1" applyBorder="1"/>
    <xf numFmtId="10" fontId="0" fillId="0" borderId="13" xfId="0" applyNumberFormat="1" applyBorder="1"/>
    <xf numFmtId="183" fontId="0" fillId="21" borderId="13" xfId="0" applyNumberFormat="1" applyFill="1" applyBorder="1"/>
    <xf numFmtId="3" fontId="19" fillId="21" borderId="13" xfId="0" applyNumberFormat="1" applyFont="1" applyFill="1" applyBorder="1"/>
    <xf numFmtId="10" fontId="0" fillId="21" borderId="13" xfId="0" applyNumberFormat="1" applyFill="1" applyBorder="1"/>
    <xf numFmtId="183" fontId="0" fillId="23" borderId="13" xfId="0" applyNumberFormat="1" applyFill="1" applyBorder="1"/>
    <xf numFmtId="3" fontId="19" fillId="23" borderId="13" xfId="0" applyNumberFormat="1" applyFont="1" applyFill="1" applyBorder="1"/>
    <xf numFmtId="10" fontId="0" fillId="23" borderId="13" xfId="0" applyNumberFormat="1" applyFill="1" applyBorder="1"/>
    <xf numFmtId="3" fontId="19" fillId="0" borderId="0" xfId="0" applyNumberFormat="1" applyFont="1"/>
    <xf numFmtId="10" fontId="19" fillId="0" borderId="0" xfId="0" applyNumberFormat="1" applyFont="1"/>
    <xf numFmtId="0" fontId="23" fillId="0" borderId="0" xfId="0" applyFont="1"/>
    <xf numFmtId="0" fontId="20" fillId="15" borderId="13" xfId="0" applyFont="1" applyFill="1" applyBorder="1"/>
    <xf numFmtId="186" fontId="0" fillId="16" borderId="13" xfId="0" applyNumberFormat="1" applyFill="1" applyBorder="1"/>
    <xf numFmtId="187" fontId="0" fillId="16" borderId="13" xfId="0" applyNumberFormat="1" applyFill="1" applyBorder="1"/>
    <xf numFmtId="186" fontId="0" fillId="19" borderId="13" xfId="0" applyNumberFormat="1" applyFill="1" applyBorder="1"/>
    <xf numFmtId="187" fontId="0" fillId="19" borderId="13" xfId="0" applyNumberFormat="1" applyFill="1" applyBorder="1"/>
    <xf numFmtId="0" fontId="2" fillId="2" borderId="9" xfId="0" applyFont="1" applyFill="1" applyBorder="1" applyAlignment="1">
      <alignment horizontal="center" vertical="center"/>
    </xf>
    <xf numFmtId="0" fontId="0" fillId="0" borderId="3" xfId="0" applyBorder="1"/>
    <xf numFmtId="0" fontId="0" fillId="0" borderId="11" xfId="0" applyBorder="1"/>
    <xf numFmtId="0" fontId="1" fillId="0" borderId="0" xfId="0" applyFont="1" applyAlignment="1">
      <alignment horizontal="center" vertical="center"/>
    </xf>
    <xf numFmtId="0" fontId="0" fillId="0" borderId="0" xfId="0"/>
    <xf numFmtId="0" fontId="16" fillId="0" borderId="0" xfId="0" applyFont="1"/>
    <xf numFmtId="0" fontId="17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6.9048923232422038E-2"/>
          <c:y val="3.6804684232538687E-2"/>
          <c:w val="0.59601449275362317"/>
          <c:h val="0.96319531576746131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4285F4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097-4CC8-B381-7A21601F3522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097-4CC8-B381-7A21601F3522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097-4CC8-B381-7A21601F3522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E097-4CC8-B381-7A21601F3522}"/>
              </c:ext>
            </c:extLst>
          </c:dPt>
          <c:dPt>
            <c:idx val="4"/>
            <c:bubble3D val="0"/>
            <c:spPr>
              <a:solidFill>
                <a:srgbClr val="FF6D01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E097-4CC8-B381-7A21601F3522}"/>
              </c:ext>
            </c:extLst>
          </c:dPt>
          <c:dPt>
            <c:idx val="5"/>
            <c:bubble3D val="0"/>
            <c:spPr>
              <a:solidFill>
                <a:srgbClr val="46BDC6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E097-4CC8-B381-7A21601F3522}"/>
              </c:ext>
            </c:extLst>
          </c:dPt>
          <c:dPt>
            <c:idx val="6"/>
            <c:bubble3D val="0"/>
            <c:spPr>
              <a:solidFill>
                <a:srgbClr val="7BAAF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E097-4CC8-B381-7A21601F3522}"/>
              </c:ext>
            </c:extLst>
          </c:dPt>
          <c:dPt>
            <c:idx val="7"/>
            <c:bubble3D val="0"/>
            <c:spPr>
              <a:solidFill>
                <a:srgbClr val="F07B72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E097-4CC8-B381-7A21601F3522}"/>
              </c:ext>
            </c:extLst>
          </c:dPt>
          <c:dPt>
            <c:idx val="8"/>
            <c:bubble3D val="0"/>
            <c:spPr>
              <a:solidFill>
                <a:srgbClr val="FCD04F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E097-4CC8-B381-7A21601F3522}"/>
              </c:ext>
            </c:extLst>
          </c:dPt>
          <c:dPt>
            <c:idx val="9"/>
            <c:bubble3D val="0"/>
            <c:spPr>
              <a:solidFill>
                <a:srgbClr val="71C28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E097-4CC8-B381-7A21601F3522}"/>
              </c:ext>
            </c:extLst>
          </c:dPt>
          <c:dPt>
            <c:idx val="10"/>
            <c:bubble3D val="0"/>
            <c:spPr>
              <a:solidFill>
                <a:srgbClr val="FF994D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E097-4CC8-B381-7A21601F3522}"/>
              </c:ext>
            </c:extLst>
          </c:dPt>
          <c:dPt>
            <c:idx val="11"/>
            <c:bubble3D val="0"/>
            <c:spPr>
              <a:solidFill>
                <a:srgbClr val="7ED1D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7-E097-4CC8-B381-7A21601F3522}"/>
              </c:ext>
            </c:extLst>
          </c:dPt>
          <c:dPt>
            <c:idx val="12"/>
            <c:bubble3D val="0"/>
            <c:spPr>
              <a:solidFill>
                <a:srgbClr val="B3CEF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9-E097-4CC8-B381-7A21601F3522}"/>
              </c:ext>
            </c:extLst>
          </c:dPt>
          <c:dPt>
            <c:idx val="13"/>
            <c:bubble3D val="0"/>
            <c:spPr>
              <a:solidFill>
                <a:srgbClr val="F7B4A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B-E097-4CC8-B381-7A21601F3522}"/>
              </c:ext>
            </c:extLst>
          </c:dPt>
          <c:dPt>
            <c:idx val="14"/>
            <c:bubble3D val="0"/>
            <c:spPr>
              <a:solidFill>
                <a:srgbClr val="FDE49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D-E097-4CC8-B381-7A21601F3522}"/>
              </c:ext>
            </c:extLst>
          </c:dPt>
          <c:dPt>
            <c:idx val="15"/>
            <c:bubble3D val="0"/>
            <c:spPr>
              <a:solidFill>
                <a:srgbClr val="AEDCBA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F-E097-4CC8-B381-7A21601F3522}"/>
              </c:ext>
            </c:extLst>
          </c:dPt>
          <c:dPt>
            <c:idx val="16"/>
            <c:bubble3D val="0"/>
            <c:spPr>
              <a:solidFill>
                <a:srgbClr val="FFC599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1-E097-4CC8-B381-7A21601F3522}"/>
              </c:ext>
            </c:extLst>
          </c:dPt>
          <c:dPt>
            <c:idx val="17"/>
            <c:bubble3D val="0"/>
            <c:spPr>
              <a:solidFill>
                <a:srgbClr val="B5E5E8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3-E097-4CC8-B381-7A21601F3522}"/>
              </c:ext>
            </c:extLst>
          </c:dPt>
          <c:dPt>
            <c:idx val="18"/>
            <c:bubble3D val="0"/>
            <c:spPr>
              <a:solidFill>
                <a:srgbClr val="ECF3F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5-E097-4CC8-B381-7A21601F3522}"/>
              </c:ext>
            </c:extLst>
          </c:dPt>
          <c:dPt>
            <c:idx val="19"/>
            <c:bubble3D val="0"/>
            <c:spPr>
              <a:solidFill>
                <a:srgbClr val="FDECE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7-E097-4CC8-B381-7A21601F3522}"/>
              </c:ext>
            </c:extLst>
          </c:dPt>
          <c:dPt>
            <c:idx val="20"/>
            <c:bubble3D val="0"/>
            <c:spPr>
              <a:solidFill>
                <a:srgbClr val="FFF8E6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9-E097-4CC8-B381-7A21601F3522}"/>
              </c:ext>
            </c:extLst>
          </c:dPt>
          <c:dPt>
            <c:idx val="21"/>
            <c:bubble3D val="0"/>
            <c:spPr>
              <a:solidFill>
                <a:srgbClr val="EBF6E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B-E097-4CC8-B381-7A21601F3522}"/>
              </c:ext>
            </c:extLst>
          </c:dPt>
          <c:dPt>
            <c:idx val="22"/>
            <c:bubble3D val="0"/>
            <c:spPr>
              <a:solidFill>
                <a:srgbClr val="FFF0E6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D-E097-4CC8-B381-7A21601F3522}"/>
              </c:ext>
            </c:extLst>
          </c:dPt>
          <c:dPt>
            <c:idx val="23"/>
            <c:bubble3D val="0"/>
            <c:spPr>
              <a:solidFill>
                <a:srgbClr val="EDF8F9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F-E097-4CC8-B381-7A21601F3522}"/>
              </c:ext>
            </c:extLst>
          </c:dPt>
          <c:dPt>
            <c:idx val="24"/>
            <c:bubble3D val="0"/>
            <c:spPr>
              <a:solidFill>
                <a:srgbClr val="251701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1-E097-4CC8-B381-7A21601F3522}"/>
              </c:ext>
            </c:extLst>
          </c:dPt>
          <c:dPt>
            <c:idx val="25"/>
            <c:bubble3D val="0"/>
            <c:spPr>
              <a:solidFill>
                <a:srgbClr val="03252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3-E097-4CC8-B381-7A21601F3522}"/>
              </c:ext>
            </c:extLst>
          </c:dPt>
          <c:dPt>
            <c:idx val="26"/>
            <c:bubble3D val="0"/>
            <c:spPr>
              <a:solidFill>
                <a:srgbClr val="000C31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5-E097-4CC8-B381-7A21601F3522}"/>
              </c:ext>
            </c:extLst>
          </c:dPt>
          <c:dPt>
            <c:idx val="27"/>
            <c:bubble3D val="0"/>
            <c:spPr>
              <a:solidFill>
                <a:srgbClr val="281021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7-E097-4CC8-B381-7A21601F3522}"/>
              </c:ext>
            </c:extLst>
          </c:dPt>
          <c:dPt>
            <c:idx val="28"/>
            <c:bubble3D val="0"/>
            <c:spPr>
              <a:solidFill>
                <a:srgbClr val="FF1C32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9-E097-4CC8-B381-7A21601F3522}"/>
              </c:ext>
            </c:extLst>
          </c:dPt>
          <c:dPt>
            <c:idx val="29"/>
            <c:bubble3D val="0"/>
            <c:spPr>
              <a:solidFill>
                <a:srgbClr val="240C0A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B-E097-4CC8-B381-7A21601F3522}"/>
              </c:ext>
            </c:extLst>
          </c:dPt>
          <c:dPt>
            <c:idx val="30"/>
            <c:bubble3D val="0"/>
            <c:spPr>
              <a:solidFill>
                <a:srgbClr val="5E3C0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D-E097-4CC8-B381-7A21601F3522}"/>
              </c:ext>
            </c:extLst>
          </c:dPt>
          <c:dPt>
            <c:idx val="31"/>
            <c:bubble3D val="0"/>
            <c:spPr>
              <a:solidFill>
                <a:srgbClr val="0A5D64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F-E097-4CC8-B381-7A21601F3522}"/>
              </c:ext>
            </c:extLst>
          </c:dPt>
          <c:dPt>
            <c:idx val="32"/>
            <c:bubble3D val="0"/>
            <c:spPr>
              <a:solidFill>
                <a:srgbClr val="01217D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1-E097-4CC8-B381-7A21601F3522}"/>
              </c:ext>
            </c:extLst>
          </c:dPt>
          <c:dPt>
            <c:idx val="33"/>
            <c:bubble3D val="0"/>
            <c:spPr>
              <a:solidFill>
                <a:srgbClr val="652B5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3-E097-4CC8-B381-7A21601F3522}"/>
              </c:ext>
            </c:extLst>
          </c:dPt>
          <c:dPt>
            <c:idx val="34"/>
            <c:bubble3D val="0"/>
            <c:spPr>
              <a:solidFill>
                <a:srgbClr val="FF487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5-E097-4CC8-B381-7A21601F3522}"/>
              </c:ext>
            </c:extLst>
          </c:dPt>
          <c:dPt>
            <c:idx val="35"/>
            <c:bubble3D val="0"/>
            <c:spPr>
              <a:solidFill>
                <a:srgbClr val="5C201C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7-E097-4CC8-B381-7A21601F3522}"/>
              </c:ext>
            </c:extLst>
          </c:dPt>
          <c:dPt>
            <c:idx val="36"/>
            <c:bubble3D val="0"/>
            <c:spPr>
              <a:solidFill>
                <a:srgbClr val="966108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9-E097-4CC8-B381-7A21601F3522}"/>
              </c:ext>
            </c:extLst>
          </c:dPt>
          <c:dPt>
            <c:idx val="37"/>
            <c:bubble3D val="0"/>
            <c:spPr>
              <a:solidFill>
                <a:srgbClr val="1095A1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B-E097-4CC8-B381-7A21601F3522}"/>
              </c:ext>
            </c:extLst>
          </c:dPt>
          <c:dPt>
            <c:idx val="38"/>
            <c:bubble3D val="0"/>
            <c:spPr>
              <a:solidFill>
                <a:srgbClr val="0235C8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D-E097-4CC8-B381-7A21601F3522}"/>
              </c:ext>
            </c:extLst>
          </c:dPt>
          <c:dPt>
            <c:idx val="39"/>
            <c:bubble3D val="0"/>
            <c:spPr>
              <a:solidFill>
                <a:srgbClr val="A14589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F-E097-4CC8-B381-7A21601F3522}"/>
              </c:ext>
            </c:extLst>
          </c:dPt>
          <c:dPt>
            <c:idx val="40"/>
            <c:bubble3D val="0"/>
            <c:spPr>
              <a:solidFill>
                <a:srgbClr val="FF74CA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1-E097-4CC8-B381-7A21601F3522}"/>
              </c:ext>
            </c:extLst>
          </c:dPt>
          <c:dPt>
            <c:idx val="41"/>
            <c:bubble3D val="0"/>
            <c:spPr>
              <a:solidFill>
                <a:srgbClr val="93342D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3-E097-4CC8-B381-7A21601F3522}"/>
              </c:ext>
            </c:extLst>
          </c:dPt>
          <c:dPt>
            <c:idx val="42"/>
            <c:bubble3D val="0"/>
            <c:spPr>
              <a:solidFill>
                <a:srgbClr val="CF850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5-E097-4CC8-B381-7A21601F3522}"/>
              </c:ext>
            </c:extLst>
          </c:dPt>
          <c:dPt>
            <c:idx val="43"/>
            <c:bubble3D val="0"/>
            <c:spPr>
              <a:solidFill>
                <a:srgbClr val="16CEDD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7-E097-4CC8-B381-7A21601F3522}"/>
              </c:ext>
            </c:extLst>
          </c:dPt>
          <c:dPt>
            <c:idx val="44"/>
            <c:bubble3D val="0"/>
            <c:spPr>
              <a:solidFill>
                <a:srgbClr val="034913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9-E097-4CC8-B381-7A21601F3522}"/>
              </c:ext>
            </c:extLst>
          </c:dPt>
          <c:dPt>
            <c:idx val="45"/>
            <c:bubble3D val="0"/>
            <c:spPr>
              <a:solidFill>
                <a:srgbClr val="DE5FBC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B-E097-4CC8-B381-7A21601F3522}"/>
              </c:ext>
            </c:extLst>
          </c:dPt>
          <c:dPt>
            <c:idx val="46"/>
            <c:bubble3D val="0"/>
            <c:spPr>
              <a:solidFill>
                <a:srgbClr val="FFA016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D-E097-4CC8-B381-7A21601F3522}"/>
              </c:ext>
            </c:extLst>
          </c:dPt>
          <c:dPt>
            <c:idx val="47"/>
            <c:bubble3D val="0"/>
            <c:spPr>
              <a:solidFill>
                <a:srgbClr val="CA483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F-E097-4CC8-B381-7A21601F3522}"/>
              </c:ext>
            </c:extLst>
          </c:dPt>
          <c:dPt>
            <c:idx val="48"/>
            <c:bubble3D val="0"/>
            <c:spPr>
              <a:solidFill>
                <a:srgbClr val="08AA0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1-E097-4CC8-B381-7A21601F3522}"/>
              </c:ext>
            </c:extLst>
          </c:dPt>
          <c:dPt>
            <c:idx val="49"/>
            <c:bubble3D val="0"/>
            <c:spPr>
              <a:solidFill>
                <a:srgbClr val="1C061A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3-E097-4CC8-B381-7A21601F3522}"/>
              </c:ext>
            </c:extLst>
          </c:dPt>
          <c:dPt>
            <c:idx val="50"/>
            <c:bubble3D val="0"/>
            <c:spPr>
              <a:solidFill>
                <a:srgbClr val="055D5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5-E097-4CC8-B381-7A21601F3522}"/>
              </c:ext>
            </c:extLst>
          </c:dPt>
          <c:dPt>
            <c:idx val="51"/>
            <c:bubble3D val="0"/>
            <c:spPr>
              <a:solidFill>
                <a:srgbClr val="1B79F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7-E097-4CC8-B381-7A21601F3522}"/>
              </c:ext>
            </c:extLst>
          </c:dPt>
          <c:dPt>
            <c:idx val="52"/>
            <c:bubble3D val="0"/>
            <c:spPr>
              <a:solidFill>
                <a:srgbClr val="FFCB63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9-E097-4CC8-B381-7A21601F3522}"/>
              </c:ext>
            </c:extLst>
          </c:dPt>
          <c:dPt>
            <c:idx val="53"/>
            <c:bubble3D val="0"/>
            <c:spPr>
              <a:solidFill>
                <a:srgbClr val="025B4F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B-E097-4CC8-B381-7A21601F3522}"/>
              </c:ext>
            </c:extLst>
          </c:dPt>
          <c:dPt>
            <c:idx val="54"/>
            <c:bubble3D val="0"/>
            <c:spPr>
              <a:solidFill>
                <a:srgbClr val="40CE12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D-E097-4CC8-B381-7A21601F3522}"/>
              </c:ext>
            </c:extLst>
          </c:dPt>
          <c:dPt>
            <c:idx val="55"/>
            <c:bubble3D val="0"/>
            <c:spPr>
              <a:solidFill>
                <a:srgbClr val="233F56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F-E097-4CC8-B381-7A21601F3522}"/>
              </c:ext>
            </c:extLst>
          </c:dPt>
          <c:dPt>
            <c:idx val="56"/>
            <c:bubble3D val="0"/>
            <c:spPr>
              <a:solidFill>
                <a:srgbClr val="0671AA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1-E097-4CC8-B381-7A21601F3522}"/>
              </c:ext>
            </c:extLst>
          </c:dPt>
          <c:dPt>
            <c:idx val="57"/>
            <c:bubble3D val="0"/>
            <c:spPr>
              <a:solidFill>
                <a:srgbClr val="589323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3-E097-4CC8-B381-7A21601F3522}"/>
              </c:ext>
            </c:extLst>
          </c:dPt>
          <c:dPt>
            <c:idx val="58"/>
            <c:bubble3D val="0"/>
            <c:spPr>
              <a:solidFill>
                <a:srgbClr val="FFF7AF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5-E097-4CC8-B381-7A21601F3522}"/>
              </c:ext>
            </c:extLst>
          </c:dPt>
          <c:dPt>
            <c:idx val="59"/>
            <c:bubble3D val="0"/>
            <c:spPr>
              <a:solidFill>
                <a:srgbClr val="3A6F6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7-E097-4CC8-B381-7A21601F3522}"/>
              </c:ext>
            </c:extLst>
          </c:dPt>
          <c:dPt>
            <c:idx val="60"/>
            <c:bubble3D val="0"/>
            <c:spPr>
              <a:solidFill>
                <a:srgbClr val="79F31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9-E097-4CC8-B381-7A21601F3522}"/>
              </c:ext>
            </c:extLst>
          </c:dPt>
          <c:dPt>
            <c:idx val="61"/>
            <c:bubble3D val="0"/>
            <c:spPr>
              <a:solidFill>
                <a:srgbClr val="297793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B-E097-4CC8-B381-7A21601F3522}"/>
              </c:ext>
            </c:extLst>
          </c:dPt>
          <c:dPt>
            <c:idx val="62"/>
            <c:bubble3D val="0"/>
            <c:spPr>
              <a:solidFill>
                <a:srgbClr val="0785F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D-E097-4CC8-B381-7A21601F3522}"/>
              </c:ext>
            </c:extLst>
          </c:dPt>
          <c:dPt>
            <c:idx val="63"/>
            <c:bubble3D val="0"/>
            <c:spPr>
              <a:solidFill>
                <a:srgbClr val="95AD5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F-E097-4CC8-B381-7A21601F3522}"/>
              </c:ext>
            </c:extLst>
          </c:dPt>
          <c:dPt>
            <c:idx val="64"/>
            <c:bubble3D val="0"/>
            <c:spPr>
              <a:solidFill>
                <a:srgbClr val="FF23F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81-E097-4CC8-B381-7A21601F3522}"/>
              </c:ext>
            </c:extLst>
          </c:dPt>
          <c:dPt>
            <c:idx val="65"/>
            <c:bubble3D val="0"/>
            <c:spPr>
              <a:solidFill>
                <a:srgbClr val="718371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83-E097-4CC8-B381-7A21601F3522}"/>
              </c:ext>
            </c:extLst>
          </c:dPt>
          <c:dPt>
            <c:idx val="66"/>
            <c:bubble3D val="0"/>
            <c:spPr>
              <a:solidFill>
                <a:srgbClr val="B21818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85-E097-4CC8-B381-7A21601F3522}"/>
              </c:ext>
            </c:extLst>
          </c:dPt>
          <c:dPt>
            <c:idx val="67"/>
            <c:bubble3D val="0"/>
            <c:spPr>
              <a:solidFill>
                <a:srgbClr val="2FAFD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87-E097-4CC8-B381-7A21601F3522}"/>
              </c:ext>
            </c:extLst>
          </c:dPt>
          <c:dPt>
            <c:idx val="68"/>
            <c:bubble3D val="0"/>
            <c:spPr>
              <a:solidFill>
                <a:srgbClr val="08994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89-E097-4CC8-B381-7A21601F3522}"/>
              </c:ext>
            </c:extLst>
          </c:dPt>
          <c:dPt>
            <c:idx val="69"/>
            <c:bubble3D val="0"/>
            <c:spPr>
              <a:solidFill>
                <a:srgbClr val="D2C78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8B-E097-4CC8-B381-7A21601F3522}"/>
              </c:ext>
            </c:extLst>
          </c:dPt>
          <c:dPt>
            <c:idx val="70"/>
            <c:bubble3D val="0"/>
            <c:spPr>
              <a:solidFill>
                <a:srgbClr val="FF4F4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8D-E097-4CC8-B381-7A21601F3522}"/>
              </c:ext>
            </c:extLst>
          </c:dPt>
          <c:dPt>
            <c:idx val="71"/>
            <c:bubble3D val="0"/>
            <c:spPr>
              <a:solidFill>
                <a:srgbClr val="A99782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8F-E097-4CC8-B381-7A21601F3522}"/>
              </c:ext>
            </c:extLst>
          </c:dPt>
          <c:dPt>
            <c:idx val="72"/>
            <c:bubble3D val="0"/>
            <c:spPr>
              <a:solidFill>
                <a:srgbClr val="EA3C1C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91-E097-4CC8-B381-7A21601F3522}"/>
              </c:ext>
            </c:extLst>
          </c:dPt>
          <c:dPt>
            <c:idx val="73"/>
            <c:bubble3D val="0"/>
            <c:spPr>
              <a:solidFill>
                <a:srgbClr val="36E80C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93-E097-4CC8-B381-7A21601F3522}"/>
              </c:ext>
            </c:extLst>
          </c:dPt>
          <c:cat>
            <c:strRef>
              <c:f>계좌현황!$E$9:$E$81</c:f>
              <c:strCache>
                <c:ptCount val="73"/>
                <c:pt idx="0">
                  <c:v>TIGER 미배당다우커버드콜2호 </c:v>
                </c:pt>
                <c:pt idx="1">
                  <c:v>SOL미국배당미국채혼합50</c:v>
                </c:pt>
                <c:pt idx="2">
                  <c:v>TIGER 미국배당다우존스타겟데일리커버드콜</c:v>
                </c:pt>
                <c:pt idx="3">
                  <c:v>KODEX금융고배당TOP10타겟위클리커버드콜</c:v>
                </c:pt>
                <c:pt idx="4">
                  <c:v>TIGER 미국테크TOP10채권혼합</c:v>
                </c:pt>
                <c:pt idx="5">
                  <c:v>KODEX iShares미국하이일드액티브</c:v>
                </c:pt>
                <c:pt idx="6">
                  <c:v>TIGER리츠부동산인프라</c:v>
                </c:pt>
                <c:pt idx="7">
                  <c:v>KODEX 미국나스닥100</c:v>
                </c:pt>
                <c:pt idx="8">
                  <c:v>TIGER미국테크TOP10커버드콜 </c:v>
                </c:pt>
                <c:pt idx="9">
                  <c:v>TIGER 미배당다우커버드콜2호 </c:v>
                </c:pt>
                <c:pt idx="10">
                  <c:v>SOL 미국배당다우존스</c:v>
                </c:pt>
                <c:pt idx="11">
                  <c:v>SOL 미국 S&amp;P500  </c:v>
                </c:pt>
                <c:pt idx="12">
                  <c:v>미국S&amp;P500타겟데일리커버드콜 </c:v>
                </c:pt>
                <c:pt idx="13">
                  <c:v>ACE 미국나스닥100</c:v>
                </c:pt>
                <c:pt idx="14">
                  <c:v>TIGER미국S&amp;P500</c:v>
                </c:pt>
                <c:pt idx="15">
                  <c:v>KODEX 미국AI테크TOP10타겟커버드콜</c:v>
                </c:pt>
                <c:pt idx="16">
                  <c:v>TIGER 미배당다우커버드콜2호</c:v>
                </c:pt>
                <c:pt idx="17">
                  <c:v>TIGER미국테크TOP10커버드콜</c:v>
                </c:pt>
                <c:pt idx="18">
                  <c:v>ACE테슬라밸류체인액티브</c:v>
                </c:pt>
                <c:pt idx="19">
                  <c:v>SOL 미국 30년국채커버드콜(합성)</c:v>
                </c:pt>
                <c:pt idx="20">
                  <c:v>기아</c:v>
                </c:pt>
                <c:pt idx="21">
                  <c:v>KIWOOM 미국양자컴퓨팅</c:v>
                </c:pt>
                <c:pt idx="22">
                  <c:v>TIGER KRX금현물</c:v>
                </c:pt>
                <c:pt idx="23">
                  <c:v>현대차3우B</c:v>
                </c:pt>
                <c:pt idx="24">
                  <c:v>TIGER 2차전지TOP10</c:v>
                </c:pt>
                <c:pt idx="25">
                  <c:v>TIGER 글로벌비만치료제 TOP2 Plus</c:v>
                </c:pt>
                <c:pt idx="26">
                  <c:v>RISE 글로벌리얼티인컴</c:v>
                </c:pt>
                <c:pt idx="27">
                  <c:v>삼성전자</c:v>
                </c:pt>
                <c:pt idx="28">
                  <c:v>삼성전자</c:v>
                </c:pt>
                <c:pt idx="29">
                  <c:v>KODEX 200타켓위클리커버드콜</c:v>
                </c:pt>
                <c:pt idx="30">
                  <c:v>테슬라</c:v>
                </c:pt>
                <c:pt idx="31">
                  <c:v>리얼티인컴</c:v>
                </c:pt>
                <c:pt idx="32">
                  <c:v>아이온큐</c:v>
                </c:pt>
                <c:pt idx="33">
                  <c:v>애플</c:v>
                </c:pt>
                <c:pt idx="34">
                  <c:v>기업은행</c:v>
                </c:pt>
                <c:pt idx="35">
                  <c:v>하이브</c:v>
                </c:pt>
                <c:pt idx="36">
                  <c:v>QLD</c:v>
                </c:pt>
                <c:pt idx="37">
                  <c:v>QLD</c:v>
                </c:pt>
                <c:pt idx="38">
                  <c:v>KB금융</c:v>
                </c:pt>
                <c:pt idx="39">
                  <c:v>CMA RP</c:v>
                </c:pt>
                <c:pt idx="40">
                  <c:v>KODEX 200커버드콜액티브</c:v>
                </c:pt>
                <c:pt idx="41">
                  <c:v>예수금(직투달러)</c:v>
                </c:pt>
                <c:pt idx="42">
                  <c:v>에스엠</c:v>
                </c:pt>
                <c:pt idx="43">
                  <c:v>현금성자산(삼성증권)</c:v>
                </c:pt>
                <c:pt idx="44">
                  <c:v>스페이스 X</c:v>
                </c:pt>
                <c:pt idx="45">
                  <c:v>아메리칸타워</c:v>
                </c:pt>
                <c:pt idx="46">
                  <c:v>엔비디아</c:v>
                </c:pt>
                <c:pt idx="47">
                  <c:v>SCHD</c:v>
                </c:pt>
                <c:pt idx="48">
                  <c:v>마이크로소프트</c:v>
                </c:pt>
                <c:pt idx="49">
                  <c:v>T-모바일</c:v>
                </c:pt>
                <c:pt idx="50">
                  <c:v>노보 노디스크</c:v>
                </c:pt>
                <c:pt idx="51">
                  <c:v>팔란티어</c:v>
                </c:pt>
                <c:pt idx="52">
                  <c:v>로켓랩</c:v>
                </c:pt>
                <c:pt idx="53">
                  <c:v>C3AI</c:v>
                </c:pt>
                <c:pt idx="54">
                  <c:v>나이키</c:v>
                </c:pt>
                <c:pt idx="55">
                  <c:v>TSMC</c:v>
                </c:pt>
                <c:pt idx="56">
                  <c:v>코인베이스 글로벌</c:v>
                </c:pt>
                <c:pt idx="57">
                  <c:v>센트러스 에너지</c:v>
                </c:pt>
                <c:pt idx="58">
                  <c:v>오라클</c:v>
                </c:pt>
                <c:pt idx="59">
                  <c:v>조비에비에이션</c:v>
                </c:pt>
                <c:pt idx="60">
                  <c:v>스타벅스</c:v>
                </c:pt>
                <c:pt idx="61">
                  <c:v>누스케일파워</c:v>
                </c:pt>
                <c:pt idx="62">
                  <c:v>더본코리아</c:v>
                </c:pt>
                <c:pt idx="63">
                  <c:v>오클로</c:v>
                </c:pt>
                <c:pt idx="64">
                  <c:v>미래에셋현금성자산</c:v>
                </c:pt>
                <c:pt idx="65">
                  <c:v>예수금(직투달러)</c:v>
                </c:pt>
                <c:pt idx="66">
                  <c:v>CMA RP</c:v>
                </c:pt>
                <c:pt idx="67">
                  <c:v>ACE미국나스닥100미국채혼합50액티브</c:v>
                </c:pt>
                <c:pt idx="68">
                  <c:v>TIGER 미국나스닥100</c:v>
                </c:pt>
                <c:pt idx="69">
                  <c:v>TIGER 미국테크TOP10 INDXX</c:v>
                </c:pt>
                <c:pt idx="70">
                  <c:v>SOL 미국 S&amp;P500 </c:v>
                </c:pt>
                <c:pt idx="71">
                  <c:v>새마을 예금</c:v>
                </c:pt>
                <c:pt idx="72">
                  <c:v>셰브론</c:v>
                </c:pt>
              </c:strCache>
            </c:strRef>
          </c:cat>
          <c:val>
            <c:numRef>
              <c:f>계좌현황!$L$9:$L$81</c:f>
              <c:numCache>
                <c:formatCode>0.00%</c:formatCode>
                <c:ptCount val="73"/>
                <c:pt idx="0">
                  <c:v>0.13318184768622793</c:v>
                </c:pt>
                <c:pt idx="1">
                  <c:v>5.432287179625428E-2</c:v>
                </c:pt>
                <c:pt idx="2">
                  <c:v>3.8321259147217554E-2</c:v>
                </c:pt>
                <c:pt idx="3">
                  <c:v>3.4304205803960881E-2</c:v>
                </c:pt>
                <c:pt idx="4">
                  <c:v>6.7871917147439745E-2</c:v>
                </c:pt>
                <c:pt idx="5">
                  <c:v>2.7265888011209966E-2</c:v>
                </c:pt>
                <c:pt idx="6">
                  <c:v>2.6849717391639553E-2</c:v>
                </c:pt>
                <c:pt idx="7">
                  <c:v>1.8062039824383105E-2</c:v>
                </c:pt>
                <c:pt idx="8">
                  <c:v>6.3218599338724035E-2</c:v>
                </c:pt>
                <c:pt idx="9">
                  <c:v>5.7704070132242144E-2</c:v>
                </c:pt>
                <c:pt idx="10">
                  <c:v>2.3845435388395526E-2</c:v>
                </c:pt>
                <c:pt idx="11">
                  <c:v>3.0040121635842427E-2</c:v>
                </c:pt>
                <c:pt idx="12">
                  <c:v>6.3417354371715648E-3</c:v>
                </c:pt>
                <c:pt idx="13">
                  <c:v>1.342449622463499E-2</c:v>
                </c:pt>
                <c:pt idx="14">
                  <c:v>7.5017909019360479E-3</c:v>
                </c:pt>
                <c:pt idx="15">
                  <c:v>3.309623701851102E-2</c:v>
                </c:pt>
                <c:pt idx="16">
                  <c:v>2.7948407827305444E-2</c:v>
                </c:pt>
                <c:pt idx="17">
                  <c:v>2.6179481321250753E-2</c:v>
                </c:pt>
                <c:pt idx="18">
                  <c:v>1.1252213126635043E-2</c:v>
                </c:pt>
                <c:pt idx="19">
                  <c:v>9.7045618540341997E-3</c:v>
                </c:pt>
                <c:pt idx="20">
                  <c:v>4.9661237287576517E-3</c:v>
                </c:pt>
                <c:pt idx="21">
                  <c:v>5.029831395698665E-3</c:v>
                </c:pt>
                <c:pt idx="22">
                  <c:v>7.4905341579196028E-3</c:v>
                </c:pt>
                <c:pt idx="23">
                  <c:v>2.7958610719914269E-3</c:v>
                </c:pt>
                <c:pt idx="24">
                  <c:v>2.3308776662030128E-3</c:v>
                </c:pt>
                <c:pt idx="25">
                  <c:v>1.3700068299084083E-3</c:v>
                </c:pt>
                <c:pt idx="26">
                  <c:v>1.2942167901411577E-3</c:v>
                </c:pt>
                <c:pt idx="27">
                  <c:v>1.5837977046393382E-2</c:v>
                </c:pt>
                <c:pt idx="28">
                  <c:v>1.2670381637114706E-2</c:v>
                </c:pt>
                <c:pt idx="29">
                  <c:v>1.5126486385232325E-2</c:v>
                </c:pt>
                <c:pt idx="30">
                  <c:v>1.1508146490358574E-2</c:v>
                </c:pt>
                <c:pt idx="31">
                  <c:v>5.2788343066194404E-3</c:v>
                </c:pt>
                <c:pt idx="32">
                  <c:v>5.1708370221138404E-3</c:v>
                </c:pt>
                <c:pt idx="33">
                  <c:v>5.5319741961907167E-3</c:v>
                </c:pt>
                <c:pt idx="34">
                  <c:v>4.7700536675052037E-3</c:v>
                </c:pt>
                <c:pt idx="35">
                  <c:v>4.2481622857052101E-3</c:v>
                </c:pt>
                <c:pt idx="36">
                  <c:v>9.7473013065527379E-3</c:v>
                </c:pt>
                <c:pt idx="37">
                  <c:v>1.2262733901792153E-2</c:v>
                </c:pt>
                <c:pt idx="38">
                  <c:v>2.5485751748144264E-3</c:v>
                </c:pt>
                <c:pt idx="39">
                  <c:v>0</c:v>
                </c:pt>
                <c:pt idx="40">
                  <c:v>1.1527979861535226E-2</c:v>
                </c:pt>
                <c:pt idx="41">
                  <c:v>1.2244196072957211E-3</c:v>
                </c:pt>
                <c:pt idx="42">
                  <c:v>2.7193393774252541E-3</c:v>
                </c:pt>
                <c:pt idx="43">
                  <c:v>4.3973258906744638E-4</c:v>
                </c:pt>
                <c:pt idx="44">
                  <c:v>1.9052983587510564E-3</c:v>
                </c:pt>
                <c:pt idx="45">
                  <c:v>1.5840703635194504E-3</c:v>
                </c:pt>
                <c:pt idx="46">
                  <c:v>1.5478680784240147E-3</c:v>
                </c:pt>
                <c:pt idx="47">
                  <c:v>1.4953468407461821E-3</c:v>
                </c:pt>
                <c:pt idx="48">
                  <c:v>1.8849726427028447E-3</c:v>
                </c:pt>
                <c:pt idx="49">
                  <c:v>1.1151143765068317E-3</c:v>
                </c:pt>
                <c:pt idx="50">
                  <c:v>1.0538962109465854E-3</c:v>
                </c:pt>
                <c:pt idx="51">
                  <c:v>1.4364848719784187E-3</c:v>
                </c:pt>
                <c:pt idx="52">
                  <c:v>6.5206691466759739E-4</c:v>
                </c:pt>
                <c:pt idx="53">
                  <c:v>1.1216108424752403E-3</c:v>
                </c:pt>
                <c:pt idx="54">
                  <c:v>6.6468662538554505E-4</c:v>
                </c:pt>
                <c:pt idx="55">
                  <c:v>7.4643532223315232E-4</c:v>
                </c:pt>
                <c:pt idx="56">
                  <c:v>6.0774904808044282E-4</c:v>
                </c:pt>
                <c:pt idx="57">
                  <c:v>3.7732912029901509E-4</c:v>
                </c:pt>
                <c:pt idx="58">
                  <c:v>4.4877603021502207E-4</c:v>
                </c:pt>
                <c:pt idx="59">
                  <c:v>2.8139497708849618E-4</c:v>
                </c:pt>
                <c:pt idx="60">
                  <c:v>3.5419101386558496E-4</c:v>
                </c:pt>
                <c:pt idx="61">
                  <c:v>1.8991045954615181E-4</c:v>
                </c:pt>
                <c:pt idx="62">
                  <c:v>2.9037969359058178E-4</c:v>
                </c:pt>
                <c:pt idx="63">
                  <c:v>1.4310028494529716E-4</c:v>
                </c:pt>
                <c:pt idx="64">
                  <c:v>7.2939942266128012E-5</c:v>
                </c:pt>
                <c:pt idx="65">
                  <c:v>0</c:v>
                </c:pt>
                <c:pt idx="66">
                  <c:v>5.4135784307955209E-2</c:v>
                </c:pt>
                <c:pt idx="67">
                  <c:v>1.5519995843324195E-2</c:v>
                </c:pt>
                <c:pt idx="68">
                  <c:v>1.316173146538171E-2</c:v>
                </c:pt>
                <c:pt idx="69">
                  <c:v>1.3056386599195611E-2</c:v>
                </c:pt>
                <c:pt idx="70">
                  <c:v>1.0645698148045951E-2</c:v>
                </c:pt>
                <c:pt idx="71">
                  <c:v>1.803629765783387E-2</c:v>
                </c:pt>
                <c:pt idx="72">
                  <c:v>4.047299854835776E-4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4-E097-4CC8-B381-7A21601F35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>
        <c:manualLayout>
          <c:xMode val="edge"/>
          <c:yMode val="edge"/>
          <c:x val="0.78997109306792668"/>
          <c:y val="1.1029033581981059E-2"/>
          <c:w val="0.1889325007642815"/>
          <c:h val="0.95493776815748843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ko-KR" altLang="en-US"/>
              <a:t>계좌별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금액순!$B$6</c:f>
              <c:strCache>
                <c:ptCount val="1"/>
                <c:pt idx="0">
                  <c:v>평가액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금액순!$A$7:$A$16</c:f>
              <c:strCache>
                <c:ptCount val="10"/>
                <c:pt idx="0">
                  <c:v>DC</c:v>
                </c:pt>
                <c:pt idx="1">
                  <c:v>개인연금1</c:v>
                </c:pt>
                <c:pt idx="2">
                  <c:v>개인연금2</c:v>
                </c:pt>
                <c:pt idx="3">
                  <c:v>ISA</c:v>
                </c:pt>
                <c:pt idx="4">
                  <c:v>일반계좌</c:v>
                </c:pt>
                <c:pt idx="5">
                  <c:v>CMA</c:v>
                </c:pt>
                <c:pt idx="6">
                  <c:v>IRP</c:v>
                </c:pt>
                <c:pt idx="7">
                  <c:v>은행예금</c:v>
                </c:pt>
                <c:pt idx="8">
                  <c:v>일반계좌2</c:v>
                </c:pt>
                <c:pt idx="9">
                  <c:v>TOSS</c:v>
                </c:pt>
              </c:strCache>
            </c:strRef>
          </c:cat>
          <c:val>
            <c:numRef>
              <c:f>금액순!$B$7:$B$16</c:f>
              <c:numCache>
                <c:formatCode>#,##0</c:formatCode>
                <c:ptCount val="10"/>
                <c:pt idx="0">
                  <c:v>298088610</c:v>
                </c:pt>
                <c:pt idx="1">
                  <c:v>134936215</c:v>
                </c:pt>
                <c:pt idx="2">
                  <c:v>15587715</c:v>
                </c:pt>
                <c:pt idx="3">
                  <c:v>99411365</c:v>
                </c:pt>
                <c:pt idx="4">
                  <c:v>94096947.933978975</c:v>
                </c:pt>
                <c:pt idx="5">
                  <c:v>40325031</c:v>
                </c:pt>
                <c:pt idx="6">
                  <c:v>39020010</c:v>
                </c:pt>
                <c:pt idx="7">
                  <c:v>13435000</c:v>
                </c:pt>
                <c:pt idx="8">
                  <c:v>9134348.5839523319</c:v>
                </c:pt>
                <c:pt idx="9">
                  <c:v>851554.92104598973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77-4253-B28F-646684830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ko-KR" altLang="en-US"/>
              <a:t>종목별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금액순!$G$20</c:f>
              <c:strCache>
                <c:ptCount val="1"/>
                <c:pt idx="0">
                  <c:v>평가액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금액순!$E$21:$E$95</c:f>
              <c:strCache>
                <c:ptCount val="75"/>
                <c:pt idx="0">
                  <c:v>TIGER 미배당다우커버드콜2호 </c:v>
                </c:pt>
                <c:pt idx="1">
                  <c:v>TIGER 미국테크TOP10채권혼합</c:v>
                </c:pt>
                <c:pt idx="2">
                  <c:v>TIGER미국테크TOP10커버드콜 </c:v>
                </c:pt>
                <c:pt idx="3">
                  <c:v>TIGER 미배당다우커버드콜2호 </c:v>
                </c:pt>
                <c:pt idx="4">
                  <c:v>SOL미국배당미국채혼합50</c:v>
                </c:pt>
                <c:pt idx="5">
                  <c:v>CMA RP</c:v>
                </c:pt>
                <c:pt idx="6">
                  <c:v>TIGER 미국배당다우존스타겟데일리커버드콜</c:v>
                </c:pt>
                <c:pt idx="7">
                  <c:v>KODEX금융고배당TOP10타겟위클리커버드콜</c:v>
                </c:pt>
                <c:pt idx="8">
                  <c:v>KODEX 미국AI테크TOP10타겟커버드콜</c:v>
                </c:pt>
                <c:pt idx="9">
                  <c:v>SOL 미국 S&amp;P500  </c:v>
                </c:pt>
                <c:pt idx="10">
                  <c:v>TIGER 미배당다우커버드콜2호</c:v>
                </c:pt>
                <c:pt idx="11">
                  <c:v>KODEX iShares미국하이일드액티브</c:v>
                </c:pt>
                <c:pt idx="12">
                  <c:v>TIGER리츠부동산인프라</c:v>
                </c:pt>
                <c:pt idx="13">
                  <c:v>TIGER미국테크TOP10커버드콜</c:v>
                </c:pt>
                <c:pt idx="14">
                  <c:v>SOL 미국배당다우존스</c:v>
                </c:pt>
                <c:pt idx="15">
                  <c:v>KODEX 미국나스닥100</c:v>
                </c:pt>
                <c:pt idx="16">
                  <c:v>새마을 예금</c:v>
                </c:pt>
                <c:pt idx="17">
                  <c:v>삼성전자</c:v>
                </c:pt>
                <c:pt idx="18">
                  <c:v>ACE미국나스닥100미국채혼합50액티브</c:v>
                </c:pt>
                <c:pt idx="19">
                  <c:v>KODEX 200타켓위클리커버드콜</c:v>
                </c:pt>
                <c:pt idx="20">
                  <c:v>ACE 미국나스닥100</c:v>
                </c:pt>
                <c:pt idx="21">
                  <c:v>TIGER 미국나스닥100</c:v>
                </c:pt>
                <c:pt idx="22">
                  <c:v>TIGER 미국테크TOP10 INDXX</c:v>
                </c:pt>
                <c:pt idx="23">
                  <c:v>삼성전자</c:v>
                </c:pt>
                <c:pt idx="24">
                  <c:v>QLD</c:v>
                </c:pt>
                <c:pt idx="25">
                  <c:v>KODEX 200커버드콜액티브</c:v>
                </c:pt>
                <c:pt idx="26">
                  <c:v>테슬라</c:v>
                </c:pt>
                <c:pt idx="27">
                  <c:v>ACE테슬라밸류체인액티브</c:v>
                </c:pt>
                <c:pt idx="28">
                  <c:v>SOL 미국 S&amp;P500 </c:v>
                </c:pt>
                <c:pt idx="29">
                  <c:v>QLD</c:v>
                </c:pt>
                <c:pt idx="30">
                  <c:v>SOL 미국 30년국채커버드콜(합성)</c:v>
                </c:pt>
                <c:pt idx="31">
                  <c:v>TIGER미국S&amp;P500</c:v>
                </c:pt>
                <c:pt idx="32">
                  <c:v>TIGER KRX금현물</c:v>
                </c:pt>
                <c:pt idx="33">
                  <c:v>미국S&amp;P500타겟데일리커버드콜 </c:v>
                </c:pt>
                <c:pt idx="34">
                  <c:v>애플</c:v>
                </c:pt>
                <c:pt idx="35">
                  <c:v>리얼티인컴</c:v>
                </c:pt>
                <c:pt idx="36">
                  <c:v>아이온큐</c:v>
                </c:pt>
                <c:pt idx="37">
                  <c:v>KIWOOM 미국양자컴퓨팅</c:v>
                </c:pt>
                <c:pt idx="38">
                  <c:v>기아</c:v>
                </c:pt>
                <c:pt idx="39">
                  <c:v>기업은행</c:v>
                </c:pt>
                <c:pt idx="40">
                  <c:v>하이브</c:v>
                </c:pt>
                <c:pt idx="41">
                  <c:v>현대차3우B</c:v>
                </c:pt>
                <c:pt idx="42">
                  <c:v>에스엠</c:v>
                </c:pt>
                <c:pt idx="43">
                  <c:v>KB금융</c:v>
                </c:pt>
                <c:pt idx="44">
                  <c:v>TIGER 2차전지TOP10</c:v>
                </c:pt>
                <c:pt idx="45">
                  <c:v>스페이스 X</c:v>
                </c:pt>
                <c:pt idx="46">
                  <c:v>마이크로소프트</c:v>
                </c:pt>
                <c:pt idx="47">
                  <c:v>아메리칸타워</c:v>
                </c:pt>
                <c:pt idx="48">
                  <c:v>엔비디아</c:v>
                </c:pt>
                <c:pt idx="49">
                  <c:v>SCHD</c:v>
                </c:pt>
                <c:pt idx="50">
                  <c:v>팔란티어</c:v>
                </c:pt>
                <c:pt idx="51">
                  <c:v>TIGER 글로벌비만치료제 TOP2 Plus</c:v>
                </c:pt>
                <c:pt idx="52">
                  <c:v>RISE 글로벌리얼티인컴</c:v>
                </c:pt>
                <c:pt idx="53">
                  <c:v>예수금(직투달러)</c:v>
                </c:pt>
                <c:pt idx="54">
                  <c:v>C3AI</c:v>
                </c:pt>
                <c:pt idx="55">
                  <c:v>T-모바일</c:v>
                </c:pt>
                <c:pt idx="56">
                  <c:v>노보 노디스크</c:v>
                </c:pt>
                <c:pt idx="57">
                  <c:v>TSMC</c:v>
                </c:pt>
                <c:pt idx="58">
                  <c:v>나이키</c:v>
                </c:pt>
                <c:pt idx="59">
                  <c:v>로켓랩</c:v>
                </c:pt>
                <c:pt idx="60">
                  <c:v>코인베이스 글로벌</c:v>
                </c:pt>
                <c:pt idx="61">
                  <c:v>오라클</c:v>
                </c:pt>
                <c:pt idx="62">
                  <c:v>현금성자산(삼성증권)</c:v>
                </c:pt>
                <c:pt idx="63">
                  <c:v>월마트</c:v>
                </c:pt>
                <c:pt idx="64">
                  <c:v>셰브론</c:v>
                </c:pt>
                <c:pt idx="65">
                  <c:v>센트러스 에너지</c:v>
                </c:pt>
                <c:pt idx="66">
                  <c:v>스타벅스</c:v>
                </c:pt>
                <c:pt idx="67">
                  <c:v>엑슨모빌</c:v>
                </c:pt>
                <c:pt idx="68">
                  <c:v>더본코리아</c:v>
                </c:pt>
                <c:pt idx="69">
                  <c:v>조비에비에이션</c:v>
                </c:pt>
                <c:pt idx="70">
                  <c:v>누스케일파워</c:v>
                </c:pt>
                <c:pt idx="71">
                  <c:v>오클로</c:v>
                </c:pt>
                <c:pt idx="72">
                  <c:v>미래에셋현금성자산</c:v>
                </c:pt>
                <c:pt idx="73">
                  <c:v>CMA RP</c:v>
                </c:pt>
                <c:pt idx="74">
                  <c:v>예수금(직투달러)</c:v>
                </c:pt>
              </c:strCache>
            </c:strRef>
          </c:cat>
          <c:val>
            <c:numRef>
              <c:f>금액순!$G$21:$G$95</c:f>
              <c:numCache>
                <c:formatCode>#,##0</c:formatCode>
                <c:ptCount val="75"/>
                <c:pt idx="0">
                  <c:v>99205400</c:v>
                </c:pt>
                <c:pt idx="1">
                  <c:v>50556895</c:v>
                </c:pt>
                <c:pt idx="2">
                  <c:v>47090700</c:v>
                </c:pt>
                <c:pt idx="3">
                  <c:v>42983000</c:v>
                </c:pt>
                <c:pt idx="4">
                  <c:v>40464390</c:v>
                </c:pt>
                <c:pt idx="5">
                  <c:v>40325031</c:v>
                </c:pt>
                <c:pt idx="6">
                  <c:v>28545000</c:v>
                </c:pt>
                <c:pt idx="7">
                  <c:v>25552750</c:v>
                </c:pt>
                <c:pt idx="8">
                  <c:v>24652950</c:v>
                </c:pt>
                <c:pt idx="9">
                  <c:v>22376490</c:v>
                </c:pt>
                <c:pt idx="10">
                  <c:v>20818400</c:v>
                </c:pt>
                <c:pt idx="11">
                  <c:v>20310000</c:v>
                </c:pt>
                <c:pt idx="12">
                  <c:v>20000000</c:v>
                </c:pt>
                <c:pt idx="13">
                  <c:v>19500750</c:v>
                </c:pt>
                <c:pt idx="14">
                  <c:v>17762150</c:v>
                </c:pt>
                <c:pt idx="15">
                  <c:v>13454175</c:v>
                </c:pt>
                <c:pt idx="16">
                  <c:v>13435000</c:v>
                </c:pt>
                <c:pt idx="17">
                  <c:v>11797500</c:v>
                </c:pt>
                <c:pt idx="18">
                  <c:v>11560640</c:v>
                </c:pt>
                <c:pt idx="19">
                  <c:v>11267520</c:v>
                </c:pt>
                <c:pt idx="20">
                  <c:v>9999730</c:v>
                </c:pt>
                <c:pt idx="21">
                  <c:v>9804000</c:v>
                </c:pt>
                <c:pt idx="22">
                  <c:v>9725530</c:v>
                </c:pt>
                <c:pt idx="23">
                  <c:v>9438000</c:v>
                </c:pt>
                <c:pt idx="24">
                  <c:v>9134348.5839523319</c:v>
                </c:pt>
                <c:pt idx="25">
                  <c:v>8587040</c:v>
                </c:pt>
                <c:pt idx="26">
                  <c:v>8572266.3836618047</c:v>
                </c:pt>
                <c:pt idx="27">
                  <c:v>8381625</c:v>
                </c:pt>
                <c:pt idx="28">
                  <c:v>7929840</c:v>
                </c:pt>
                <c:pt idx="29">
                  <c:v>7260636.0539108282</c:v>
                </c:pt>
                <c:pt idx="30">
                  <c:v>7228800</c:v>
                </c:pt>
                <c:pt idx="31">
                  <c:v>5587985</c:v>
                </c:pt>
                <c:pt idx="32">
                  <c:v>5579600</c:v>
                </c:pt>
                <c:pt idx="33">
                  <c:v>4723875</c:v>
                </c:pt>
                <c:pt idx="34">
                  <c:v>4120694.5425155642</c:v>
                </c:pt>
                <c:pt idx="35">
                  <c:v>3932133.9808687596</c:v>
                </c:pt>
                <c:pt idx="36">
                  <c:v>3851688.2294812771</c:v>
                </c:pt>
                <c:pt idx="37">
                  <c:v>3746655</c:v>
                </c:pt>
                <c:pt idx="38">
                  <c:v>3699200</c:v>
                </c:pt>
                <c:pt idx="39">
                  <c:v>3553150</c:v>
                </c:pt>
                <c:pt idx="40">
                  <c:v>3164400</c:v>
                </c:pt>
                <c:pt idx="41">
                  <c:v>2082600</c:v>
                </c:pt>
                <c:pt idx="42">
                  <c:v>2025600</c:v>
                </c:pt>
                <c:pt idx="43">
                  <c:v>1898400</c:v>
                </c:pt>
                <c:pt idx="44">
                  <c:v>1736240</c:v>
                </c:pt>
                <c:pt idx="45">
                  <c:v>1419231.5926158142</c:v>
                </c:pt>
                <c:pt idx="46">
                  <c:v>1404091.2350830077</c:v>
                </c:pt>
                <c:pt idx="47">
                  <c:v>1179953.1000000001</c:v>
                </c:pt>
                <c:pt idx="48">
                  <c:v>1152986.4957952881</c:v>
                </c:pt>
                <c:pt idx="49">
                  <c:v>1113864.119263916</c:v>
                </c:pt>
                <c:pt idx="50">
                  <c:v>1070018.6158575437</c:v>
                </c:pt>
                <c:pt idx="51">
                  <c:v>1020500</c:v>
                </c:pt>
                <c:pt idx="52">
                  <c:v>964045</c:v>
                </c:pt>
                <c:pt idx="53">
                  <c:v>912054</c:v>
                </c:pt>
                <c:pt idx="54">
                  <c:v>835473.108424215</c:v>
                </c:pt>
                <c:pt idx="55">
                  <c:v>830633.97669433593</c:v>
                </c:pt>
                <c:pt idx="56">
                  <c:v>785033.37340507493</c:v>
                </c:pt>
                <c:pt idx="57">
                  <c:v>556009.81667358393</c:v>
                </c:pt>
                <c:pt idx="58">
                  <c:v>495116.29168395989</c:v>
                </c:pt>
                <c:pt idx="59">
                  <c:v>485716.03578266152</c:v>
                </c:pt>
                <c:pt idx="60">
                  <c:v>452704.2420712281</c:v>
                </c:pt>
                <c:pt idx="61">
                  <c:v>334287.33991424553</c:v>
                </c:pt>
                <c:pt idx="62">
                  <c:v>327551</c:v>
                </c:pt>
                <c:pt idx="63">
                  <c:v>313469.79083679192</c:v>
                </c:pt>
                <c:pt idx="64">
                  <c:v>301478.02271438594</c:v>
                </c:pt>
                <c:pt idx="65">
                  <c:v>281067.48</c:v>
                </c:pt>
                <c:pt idx="66">
                  <c:v>263832.21000000002</c:v>
                </c:pt>
                <c:pt idx="67">
                  <c:v>236607.10749481196</c:v>
                </c:pt>
                <c:pt idx="68">
                  <c:v>216300</c:v>
                </c:pt>
                <c:pt idx="69">
                  <c:v>209607.40329886434</c:v>
                </c:pt>
                <c:pt idx="70">
                  <c:v>141461.79401149749</c:v>
                </c:pt>
                <c:pt idx="71">
                  <c:v>106593.51296550751</c:v>
                </c:pt>
                <c:pt idx="72">
                  <c:v>54332</c:v>
                </c:pt>
                <c:pt idx="73">
                  <c:v>0</c:v>
                </c:pt>
                <c:pt idx="7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ED-4A41-8FA3-C8B9908B51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 altLang="ko-KR"/>
              <a:t>2026 </a:t>
            </a:r>
            <a:r>
              <a:rPr lang="ko-KR" altLang="en-US"/>
              <a:t>월별 배당</a:t>
            </a:r>
            <a:r>
              <a:rPr lang="en-US" altLang="ko-KR"/>
              <a:t>·</a:t>
            </a:r>
            <a:r>
              <a:rPr lang="ko-KR" altLang="en-US"/>
              <a:t>이자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월별배당!$D$6</c:f>
              <c:strCache>
                <c:ptCount val="1"/>
                <c:pt idx="0">
                  <c:v>합계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월별배당!$A$7:$A$18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월별배당!$D$7:$D$18</c:f>
              <c:numCache>
                <c:formatCode>#,##0</c:formatCode>
                <c:ptCount val="12"/>
                <c:pt idx="0">
                  <c:v>4051798.06</c:v>
                </c:pt>
                <c:pt idx="1">
                  <c:v>4172014.6</c:v>
                </c:pt>
                <c:pt idx="2">
                  <c:v>4593006.432000001</c:v>
                </c:pt>
                <c:pt idx="3">
                  <c:v>4187005.0380000002</c:v>
                </c:pt>
                <c:pt idx="4">
                  <c:v>4269699.2180000003</c:v>
                </c:pt>
                <c:pt idx="5">
                  <c:v>4348796.4800000004</c:v>
                </c:pt>
                <c:pt idx="6">
                  <c:v>4126973.338</c:v>
                </c:pt>
                <c:pt idx="7">
                  <c:v>3994333.5279999999</c:v>
                </c:pt>
                <c:pt idx="8">
                  <c:v>4071717.0860000001</c:v>
                </c:pt>
                <c:pt idx="9">
                  <c:v>3925110.1039999998</c:v>
                </c:pt>
                <c:pt idx="10">
                  <c:v>4181682.0959999999</c:v>
                </c:pt>
                <c:pt idx="11">
                  <c:v>5363846.4119999995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15-4FFE-95DA-F99E6BAB4D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원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707231</xdr:colOff>
      <xdr:row>91</xdr:row>
      <xdr:rowOff>23812</xdr:rowOff>
    </xdr:from>
    <xdr:ext cx="15651955" cy="1048940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4</xdr:row>
      <xdr:rowOff>0</xdr:rowOff>
    </xdr:from>
    <xdr:ext cx="504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10</xdr:col>
      <xdr:colOff>0</xdr:colOff>
      <xdr:row>99</xdr:row>
      <xdr:rowOff>0</xdr:rowOff>
    </xdr:from>
    <xdr:ext cx="6480000" cy="43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4</xdr:row>
      <xdr:rowOff>0</xdr:rowOff>
    </xdr:from>
    <xdr:ext cx="540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finance.naver.com/item/sise.naver?code=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FF"/>
    <outlinePr summaryBelow="0"/>
  </sheetPr>
  <dimension ref="A1:R1021"/>
  <sheetViews>
    <sheetView showGridLines="0" tabSelected="1" topLeftCell="A16" zoomScale="70" zoomScaleNormal="70" workbookViewId="0">
      <selection activeCell="G17" sqref="G17"/>
    </sheetView>
  </sheetViews>
  <sheetFormatPr defaultColWidth="12.59765625" defaultRowHeight="15.75" customHeight="1" outlineLevelCol="1" x14ac:dyDescent="0.35"/>
  <cols>
    <col min="1" max="1" width="9.9296875" customWidth="1"/>
    <col min="2" max="2" width="12.59765625" customWidth="1" outlineLevel="1"/>
    <col min="4" max="4" width="41.59765625" customWidth="1"/>
    <col min="5" max="5" width="35.3984375" customWidth="1"/>
    <col min="11" max="11" width="14.59765625" customWidth="1"/>
    <col min="13" max="13" width="16" customWidth="1"/>
    <col min="14" max="14" width="22.796875" customWidth="1"/>
    <col min="15" max="15" width="14.1328125" customWidth="1"/>
    <col min="16" max="16" width="3.265625" customWidth="1"/>
  </cols>
  <sheetData>
    <row r="1" spans="1:18" ht="12.75" customHeight="1" x14ac:dyDescent="0.3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 spans="1:18" ht="13.15" customHeight="1" x14ac:dyDescent="0.4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1"/>
      <c r="N2" s="2"/>
      <c r="O2" s="5"/>
      <c r="P2" s="5"/>
      <c r="Q2" s="5"/>
      <c r="R2" s="5"/>
    </row>
    <row r="3" spans="1:18" ht="22.5" customHeight="1" x14ac:dyDescent="0.6">
      <c r="A3" s="5"/>
      <c r="B3" s="5"/>
      <c r="C3" s="4" t="s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5"/>
      <c r="P3" s="5"/>
      <c r="Q3" s="5"/>
      <c r="R3" s="5"/>
    </row>
    <row r="4" spans="1:18" ht="12.75" customHeight="1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</row>
    <row r="5" spans="1:18" ht="12.75" customHeight="1" x14ac:dyDescent="0.35">
      <c r="A5" s="5"/>
      <c r="B5" s="5"/>
      <c r="C5" s="5"/>
      <c r="D5" s="5"/>
      <c r="E5" s="5"/>
      <c r="F5" s="5"/>
      <c r="G5" s="5"/>
      <c r="H5" s="5"/>
      <c r="I5" s="5" t="s">
        <v>1</v>
      </c>
      <c r="J5" s="73">
        <v>1325.79</v>
      </c>
      <c r="K5" s="5"/>
      <c r="L5" s="5"/>
      <c r="M5" s="5"/>
      <c r="N5" s="5"/>
      <c r="O5" s="5"/>
      <c r="P5" s="5"/>
      <c r="Q5" s="5"/>
      <c r="R5" s="5"/>
    </row>
    <row r="6" spans="1:18" ht="13.15" customHeight="1" x14ac:dyDescent="0.35">
      <c r="A6" s="5"/>
      <c r="B6" s="5"/>
      <c r="C6" s="206" t="s">
        <v>2</v>
      </c>
      <c r="D6" s="206" t="s">
        <v>3</v>
      </c>
      <c r="E6" s="206" t="s">
        <v>4</v>
      </c>
      <c r="F6" s="206" t="s">
        <v>5</v>
      </c>
      <c r="G6" s="206" t="s">
        <v>6</v>
      </c>
      <c r="H6" s="207"/>
      <c r="I6" s="206" t="s">
        <v>7</v>
      </c>
      <c r="J6" s="207"/>
      <c r="K6" s="206" t="s">
        <v>8</v>
      </c>
      <c r="L6" s="206" t="s">
        <v>9</v>
      </c>
      <c r="M6" s="206" t="s">
        <v>10</v>
      </c>
      <c r="N6" s="206" t="s">
        <v>11</v>
      </c>
      <c r="O6" s="209" t="s">
        <v>12</v>
      </c>
      <c r="P6" s="5"/>
      <c r="Q6" s="5"/>
      <c r="R6" s="5"/>
    </row>
    <row r="7" spans="1:18" ht="13.15" customHeight="1" x14ac:dyDescent="0.35">
      <c r="A7" s="5"/>
      <c r="B7" s="5"/>
      <c r="C7" s="208"/>
      <c r="D7" s="208"/>
      <c r="E7" s="208"/>
      <c r="F7" s="208"/>
      <c r="G7" s="11" t="s">
        <v>13</v>
      </c>
      <c r="H7" s="11" t="s">
        <v>14</v>
      </c>
      <c r="I7" s="11" t="s">
        <v>13</v>
      </c>
      <c r="J7" s="11" t="s">
        <v>14</v>
      </c>
      <c r="K7" s="208"/>
      <c r="L7" s="208"/>
      <c r="M7" s="208"/>
      <c r="N7" s="208"/>
      <c r="O7" s="210"/>
      <c r="P7" s="5"/>
      <c r="Q7" s="5"/>
      <c r="R7" s="5"/>
    </row>
    <row r="8" spans="1:18" x14ac:dyDescent="0.35">
      <c r="A8" s="5" t="s">
        <v>15</v>
      </c>
      <c r="B8" s="72" t="s">
        <v>16</v>
      </c>
      <c r="C8" s="74"/>
      <c r="D8" s="93"/>
      <c r="E8" s="94"/>
      <c r="F8" s="95"/>
      <c r="G8" s="96"/>
      <c r="H8" s="95"/>
      <c r="I8" s="76"/>
      <c r="J8" s="75"/>
      <c r="K8" s="77">
        <f>SUM(K9:K83)</f>
        <v>744886797.43897736</v>
      </c>
      <c r="L8" s="75"/>
      <c r="M8" s="78">
        <f>SUM(M9:M83)</f>
        <v>21139567.181205306</v>
      </c>
      <c r="N8" s="79">
        <f t="shared" ref="N8:N39" si="0">IFERROR(M8/(K8-M8),)</f>
        <v>2.9208494758143907E-2</v>
      </c>
      <c r="O8" s="5"/>
      <c r="P8" s="5"/>
      <c r="Q8" s="5"/>
      <c r="R8" s="5"/>
    </row>
    <row r="9" spans="1:18" ht="12.75" customHeight="1" x14ac:dyDescent="0.35">
      <c r="A9" s="5" t="s">
        <v>17</v>
      </c>
      <c r="B9" s="5">
        <v>1</v>
      </c>
      <c r="C9" s="113" t="s">
        <v>18</v>
      </c>
      <c r="D9" s="97" t="s">
        <v>19</v>
      </c>
      <c r="E9" s="98" t="s">
        <v>20</v>
      </c>
      <c r="F9" s="99">
        <v>9359</v>
      </c>
      <c r="G9" s="100">
        <v>9435</v>
      </c>
      <c r="H9" s="101"/>
      <c r="I9" s="80">
        <v>10600</v>
      </c>
      <c r="J9" s="81"/>
      <c r="K9" s="82">
        <f t="shared" ref="K9:K40" si="1">IFERROR(I9*F9+J9*$J$5*F9,)</f>
        <v>99205400</v>
      </c>
      <c r="L9" s="83">
        <f t="shared" ref="L9:L40" si="2">IFERROR(K9/$K$8,)</f>
        <v>0.13318184768622793</v>
      </c>
      <c r="M9" s="84">
        <f t="shared" ref="M9:M40" si="3">IFERROR(K9-G9*F9-H9*$J$5*F9,)</f>
        <v>10903235</v>
      </c>
      <c r="N9" s="85">
        <f t="shared" si="0"/>
        <v>0.12347641759406465</v>
      </c>
      <c r="O9" s="86" t="s">
        <v>21</v>
      </c>
      <c r="P9" s="5"/>
      <c r="Q9" s="5"/>
      <c r="R9" s="5"/>
    </row>
    <row r="10" spans="1:18" ht="12.75" customHeight="1" x14ac:dyDescent="0.35">
      <c r="A10" s="5" t="s">
        <v>17</v>
      </c>
      <c r="B10" s="5">
        <v>2</v>
      </c>
      <c r="C10" s="113" t="s">
        <v>18</v>
      </c>
      <c r="D10" s="97" t="s">
        <v>22</v>
      </c>
      <c r="E10" s="98" t="s">
        <v>23</v>
      </c>
      <c r="F10" s="99">
        <v>3821</v>
      </c>
      <c r="G10" s="100">
        <v>10603</v>
      </c>
      <c r="H10" s="101"/>
      <c r="I10" s="80">
        <v>10590</v>
      </c>
      <c r="J10" s="81"/>
      <c r="K10" s="82">
        <f t="shared" si="1"/>
        <v>40464390</v>
      </c>
      <c r="L10" s="83">
        <f t="shared" si="2"/>
        <v>5.432287179625428E-2</v>
      </c>
      <c r="M10" s="84">
        <f t="shared" si="3"/>
        <v>-49673</v>
      </c>
      <c r="N10" s="85">
        <f t="shared" si="0"/>
        <v>-1.2260680939356785E-3</v>
      </c>
      <c r="O10" s="86" t="s">
        <v>24</v>
      </c>
      <c r="P10" s="5"/>
      <c r="Q10" s="5"/>
      <c r="R10" s="5"/>
    </row>
    <row r="11" spans="1:18" ht="12.75" customHeight="1" x14ac:dyDescent="0.35">
      <c r="A11" s="5" t="s">
        <v>17</v>
      </c>
      <c r="B11" s="5">
        <v>3</v>
      </c>
      <c r="C11" s="114" t="s">
        <v>18</v>
      </c>
      <c r="D11" s="97" t="s">
        <v>25</v>
      </c>
      <c r="E11" s="98" t="s">
        <v>26</v>
      </c>
      <c r="F11" s="99">
        <v>3000</v>
      </c>
      <c r="G11" s="100">
        <v>8910</v>
      </c>
      <c r="H11" s="101"/>
      <c r="I11" s="87">
        <v>9515</v>
      </c>
      <c r="J11" s="88"/>
      <c r="K11" s="89">
        <f t="shared" si="1"/>
        <v>28545000</v>
      </c>
      <c r="L11" s="90">
        <f t="shared" si="2"/>
        <v>3.8321259147217554E-2</v>
      </c>
      <c r="M11" s="84">
        <f t="shared" si="3"/>
        <v>1815000</v>
      </c>
      <c r="N11" s="91">
        <f t="shared" si="0"/>
        <v>6.7901234567901231E-2</v>
      </c>
      <c r="O11" s="86" t="s">
        <v>21</v>
      </c>
      <c r="P11" s="5"/>
      <c r="Q11" s="5"/>
      <c r="R11" s="5"/>
    </row>
    <row r="12" spans="1:18" ht="12.75" customHeight="1" x14ac:dyDescent="0.35">
      <c r="A12" s="5" t="s">
        <v>17</v>
      </c>
      <c r="B12" s="5">
        <v>4</v>
      </c>
      <c r="C12" s="114" t="s">
        <v>18</v>
      </c>
      <c r="D12" s="97" t="s">
        <v>27</v>
      </c>
      <c r="E12" s="98" t="s">
        <v>28</v>
      </c>
      <c r="F12" s="99">
        <v>2377</v>
      </c>
      <c r="G12" s="102">
        <v>12286</v>
      </c>
      <c r="H12" s="103"/>
      <c r="I12" s="87">
        <v>10750</v>
      </c>
      <c r="J12" s="88"/>
      <c r="K12" s="89">
        <f t="shared" si="1"/>
        <v>25552750</v>
      </c>
      <c r="L12" s="90">
        <f t="shared" si="2"/>
        <v>3.4304205803960881E-2</v>
      </c>
      <c r="M12" s="84">
        <f t="shared" si="3"/>
        <v>-3651072</v>
      </c>
      <c r="N12" s="91">
        <f t="shared" si="0"/>
        <v>-0.12502034836399153</v>
      </c>
      <c r="O12" s="127" t="s">
        <v>29</v>
      </c>
      <c r="P12" s="5"/>
      <c r="Q12" s="5"/>
      <c r="R12" s="5"/>
    </row>
    <row r="13" spans="1:18" ht="12.75" customHeight="1" x14ac:dyDescent="0.35">
      <c r="A13" s="5" t="s">
        <v>17</v>
      </c>
      <c r="B13" s="5">
        <v>5</v>
      </c>
      <c r="C13" s="114" t="s">
        <v>18</v>
      </c>
      <c r="D13" s="97" t="s">
        <v>30</v>
      </c>
      <c r="E13" s="98" t="s">
        <v>31</v>
      </c>
      <c r="F13" s="99">
        <v>3649</v>
      </c>
      <c r="G13" s="102">
        <v>13954</v>
      </c>
      <c r="H13" s="103"/>
      <c r="I13" s="87">
        <v>13855</v>
      </c>
      <c r="J13" s="88"/>
      <c r="K13" s="89">
        <f t="shared" si="1"/>
        <v>50556895</v>
      </c>
      <c r="L13" s="90">
        <f t="shared" si="2"/>
        <v>6.7871917147439745E-2</v>
      </c>
      <c r="M13" s="84">
        <f t="shared" si="3"/>
        <v>-361251</v>
      </c>
      <c r="N13" s="91">
        <f t="shared" si="0"/>
        <v>-7.0947398595384839E-3</v>
      </c>
      <c r="O13" s="86" t="s">
        <v>32</v>
      </c>
      <c r="P13" s="5"/>
      <c r="Q13" s="5"/>
      <c r="R13" s="5"/>
    </row>
    <row r="14" spans="1:18" ht="12.75" customHeight="1" x14ac:dyDescent="0.35">
      <c r="A14" s="5" t="s">
        <v>17</v>
      </c>
      <c r="B14" s="5">
        <v>6</v>
      </c>
      <c r="C14" s="114" t="s">
        <v>18</v>
      </c>
      <c r="D14" s="97" t="s">
        <v>33</v>
      </c>
      <c r="E14" s="98" t="s">
        <v>34</v>
      </c>
      <c r="F14" s="99">
        <v>2000</v>
      </c>
      <c r="G14" s="102">
        <v>11685</v>
      </c>
      <c r="H14" s="103"/>
      <c r="I14" s="87">
        <v>10155</v>
      </c>
      <c r="J14" s="88"/>
      <c r="K14" s="89">
        <f t="shared" si="1"/>
        <v>20310000</v>
      </c>
      <c r="L14" s="90">
        <f t="shared" si="2"/>
        <v>2.7265888011209966E-2</v>
      </c>
      <c r="M14" s="84">
        <f t="shared" si="3"/>
        <v>-3060000</v>
      </c>
      <c r="N14" s="91">
        <f t="shared" si="0"/>
        <v>-0.13093709884467267</v>
      </c>
      <c r="O14" s="86" t="s">
        <v>14</v>
      </c>
      <c r="P14" s="5"/>
      <c r="Q14" s="5"/>
      <c r="R14" s="5"/>
    </row>
    <row r="15" spans="1:18" ht="12.75" customHeight="1" x14ac:dyDescent="0.35">
      <c r="A15" s="5" t="s">
        <v>17</v>
      </c>
      <c r="B15" s="5">
        <v>7</v>
      </c>
      <c r="C15" s="114" t="s">
        <v>18</v>
      </c>
      <c r="D15" s="97" t="s">
        <v>35</v>
      </c>
      <c r="E15" s="98" t="s">
        <v>36</v>
      </c>
      <c r="F15" s="99">
        <v>5000</v>
      </c>
      <c r="G15" s="102">
        <v>4395</v>
      </c>
      <c r="H15" s="103"/>
      <c r="I15" s="87">
        <v>4000</v>
      </c>
      <c r="J15" s="88"/>
      <c r="K15" s="89">
        <f t="shared" si="1"/>
        <v>20000000</v>
      </c>
      <c r="L15" s="90">
        <f t="shared" si="2"/>
        <v>2.6849717391639553E-2</v>
      </c>
      <c r="M15" s="84">
        <f t="shared" si="3"/>
        <v>-1975000</v>
      </c>
      <c r="N15" s="91">
        <f t="shared" si="0"/>
        <v>-8.987485779294653E-2</v>
      </c>
      <c r="O15" s="86" t="s">
        <v>37</v>
      </c>
      <c r="P15" s="5"/>
      <c r="Q15" s="5"/>
      <c r="R15" s="5"/>
    </row>
    <row r="16" spans="1:18" ht="12.75" customHeight="1" x14ac:dyDescent="0.35">
      <c r="A16" s="5" t="s">
        <v>17</v>
      </c>
      <c r="B16" s="5">
        <v>8</v>
      </c>
      <c r="C16" s="114" t="s">
        <v>18</v>
      </c>
      <c r="D16" s="97" t="s">
        <v>38</v>
      </c>
      <c r="E16" s="98" t="s">
        <v>39</v>
      </c>
      <c r="F16" s="99">
        <v>523</v>
      </c>
      <c r="G16" s="100">
        <v>27046</v>
      </c>
      <c r="H16" s="103"/>
      <c r="I16" s="87">
        <v>25725</v>
      </c>
      <c r="J16" s="88"/>
      <c r="K16" s="89">
        <f t="shared" si="1"/>
        <v>13454175</v>
      </c>
      <c r="L16" s="90">
        <f t="shared" si="2"/>
        <v>1.8062039824383105E-2</v>
      </c>
      <c r="M16" s="84">
        <f t="shared" si="3"/>
        <v>-690883</v>
      </c>
      <c r="N16" s="91">
        <f t="shared" si="0"/>
        <v>-4.8842712415884053E-2</v>
      </c>
      <c r="O16" s="86" t="s">
        <v>40</v>
      </c>
      <c r="P16" s="5"/>
      <c r="Q16" s="5"/>
      <c r="R16" s="5"/>
    </row>
    <row r="17" spans="1:18" ht="12.75" customHeight="1" x14ac:dyDescent="0.35">
      <c r="A17" s="5" t="s">
        <v>41</v>
      </c>
      <c r="B17" s="5">
        <v>9</v>
      </c>
      <c r="C17" s="113" t="s">
        <v>18</v>
      </c>
      <c r="D17" s="97" t="s">
        <v>42</v>
      </c>
      <c r="E17" s="98" t="s">
        <v>43</v>
      </c>
      <c r="F17" s="99">
        <v>3260</v>
      </c>
      <c r="G17" s="100">
        <v>10680</v>
      </c>
      <c r="H17" s="101"/>
      <c r="I17" s="80">
        <v>14445</v>
      </c>
      <c r="J17" s="81"/>
      <c r="K17" s="82">
        <f t="shared" si="1"/>
        <v>47090700</v>
      </c>
      <c r="L17" s="83">
        <f t="shared" si="2"/>
        <v>6.3218599338724035E-2</v>
      </c>
      <c r="M17" s="84">
        <f t="shared" si="3"/>
        <v>12273900</v>
      </c>
      <c r="N17" s="85">
        <f t="shared" si="0"/>
        <v>0.35252808988764045</v>
      </c>
      <c r="O17" s="86" t="s">
        <v>44</v>
      </c>
      <c r="P17" s="5"/>
      <c r="Q17" s="5"/>
      <c r="R17" s="5"/>
    </row>
    <row r="18" spans="1:18" ht="12.75" customHeight="1" x14ac:dyDescent="0.35">
      <c r="A18" s="5" t="s">
        <v>41</v>
      </c>
      <c r="B18" s="5">
        <v>10</v>
      </c>
      <c r="C18" s="113" t="s">
        <v>18</v>
      </c>
      <c r="D18" s="97" t="s">
        <v>19</v>
      </c>
      <c r="E18" s="98" t="s">
        <v>20</v>
      </c>
      <c r="F18" s="99">
        <v>4055</v>
      </c>
      <c r="G18" s="100">
        <v>10101</v>
      </c>
      <c r="H18" s="101"/>
      <c r="I18" s="80">
        <v>10600</v>
      </c>
      <c r="J18" s="81"/>
      <c r="K18" s="82">
        <f t="shared" si="1"/>
        <v>42983000</v>
      </c>
      <c r="L18" s="83">
        <f t="shared" si="2"/>
        <v>5.7704070132242144E-2</v>
      </c>
      <c r="M18" s="84">
        <f t="shared" si="3"/>
        <v>2023445</v>
      </c>
      <c r="N18" s="85">
        <f t="shared" si="0"/>
        <v>4.9401049401049404E-2</v>
      </c>
      <c r="O18" s="86" t="s">
        <v>21</v>
      </c>
      <c r="P18" s="5"/>
      <c r="Q18" s="5"/>
      <c r="R18" s="5"/>
    </row>
    <row r="19" spans="1:18" ht="12.75" customHeight="1" x14ac:dyDescent="0.35">
      <c r="A19" s="5" t="s">
        <v>41</v>
      </c>
      <c r="B19" s="5">
        <v>11</v>
      </c>
      <c r="C19" s="114" t="s">
        <v>18</v>
      </c>
      <c r="D19" s="97" t="s">
        <v>45</v>
      </c>
      <c r="E19" s="98" t="s">
        <v>46</v>
      </c>
      <c r="F19" s="99">
        <v>1330</v>
      </c>
      <c r="G19" s="102">
        <v>10517</v>
      </c>
      <c r="H19" s="103"/>
      <c r="I19" s="87">
        <v>13355</v>
      </c>
      <c r="J19" s="88"/>
      <c r="K19" s="89">
        <f t="shared" si="1"/>
        <v>17762150</v>
      </c>
      <c r="L19" s="90">
        <f t="shared" si="2"/>
        <v>2.3845435388395526E-2</v>
      </c>
      <c r="M19" s="84">
        <f t="shared" si="3"/>
        <v>3774540</v>
      </c>
      <c r="N19" s="91">
        <f t="shared" si="0"/>
        <v>0.26984881620233908</v>
      </c>
      <c r="O19" s="86" t="s">
        <v>47</v>
      </c>
      <c r="P19" s="5"/>
      <c r="Q19" s="5"/>
      <c r="R19" s="5"/>
    </row>
    <row r="20" spans="1:18" ht="12.75" customHeight="1" x14ac:dyDescent="0.35">
      <c r="A20" s="5" t="s">
        <v>41</v>
      </c>
      <c r="B20" s="5">
        <v>12</v>
      </c>
      <c r="C20" s="114" t="s">
        <v>18</v>
      </c>
      <c r="D20" s="97" t="s">
        <v>48</v>
      </c>
      <c r="E20" s="98" t="s">
        <v>49</v>
      </c>
      <c r="F20" s="99">
        <v>1061</v>
      </c>
      <c r="G20" s="100">
        <v>20547</v>
      </c>
      <c r="H20" s="103"/>
      <c r="I20" s="87">
        <v>21090</v>
      </c>
      <c r="J20" s="88"/>
      <c r="K20" s="89">
        <f t="shared" si="1"/>
        <v>22376490</v>
      </c>
      <c r="L20" s="90">
        <f t="shared" si="2"/>
        <v>3.0040121635842427E-2</v>
      </c>
      <c r="M20" s="84">
        <f t="shared" si="3"/>
        <v>576123</v>
      </c>
      <c r="N20" s="91">
        <f t="shared" si="0"/>
        <v>2.6427215651919987E-2</v>
      </c>
      <c r="O20" s="86" t="s">
        <v>50</v>
      </c>
      <c r="P20" s="5"/>
      <c r="Q20" s="5"/>
      <c r="R20" s="5"/>
    </row>
    <row r="21" spans="1:18" ht="12.75" customHeight="1" x14ac:dyDescent="0.35">
      <c r="A21" s="5" t="s">
        <v>41</v>
      </c>
      <c r="B21" s="5">
        <v>13</v>
      </c>
      <c r="C21" s="114" t="s">
        <v>18</v>
      </c>
      <c r="D21" s="97" t="s">
        <v>51</v>
      </c>
      <c r="E21" s="98" t="s">
        <v>52</v>
      </c>
      <c r="F21" s="99">
        <v>425</v>
      </c>
      <c r="G21" s="100">
        <v>10629</v>
      </c>
      <c r="H21" s="103"/>
      <c r="I21" s="87">
        <v>11115</v>
      </c>
      <c r="J21" s="88"/>
      <c r="K21" s="89">
        <f t="shared" si="1"/>
        <v>4723875</v>
      </c>
      <c r="L21" s="90">
        <f t="shared" si="2"/>
        <v>6.3417354371715648E-3</v>
      </c>
      <c r="M21" s="84">
        <f t="shared" si="3"/>
        <v>206550</v>
      </c>
      <c r="N21" s="91">
        <f t="shared" si="0"/>
        <v>4.5723962743437763E-2</v>
      </c>
      <c r="O21" s="86" t="s">
        <v>53</v>
      </c>
      <c r="P21" s="5"/>
      <c r="Q21" s="5"/>
      <c r="R21" s="5"/>
    </row>
    <row r="22" spans="1:18" ht="12.75" customHeight="1" x14ac:dyDescent="0.35">
      <c r="A22" s="72" t="s">
        <v>54</v>
      </c>
      <c r="B22" s="5">
        <v>14</v>
      </c>
      <c r="C22" s="114" t="s">
        <v>18</v>
      </c>
      <c r="D22" s="97" t="s">
        <v>55</v>
      </c>
      <c r="E22" s="98" t="s">
        <v>56</v>
      </c>
      <c r="F22" s="99">
        <v>338</v>
      </c>
      <c r="G22" s="100">
        <v>32791</v>
      </c>
      <c r="H22" s="103"/>
      <c r="I22" s="87">
        <v>29585</v>
      </c>
      <c r="J22" s="88"/>
      <c r="K22" s="89">
        <f t="shared" si="1"/>
        <v>9999730</v>
      </c>
      <c r="L22" s="90">
        <f t="shared" si="2"/>
        <v>1.342449622463499E-2</v>
      </c>
      <c r="M22" s="84">
        <f t="shared" si="3"/>
        <v>-1083628</v>
      </c>
      <c r="N22" s="91">
        <f t="shared" si="0"/>
        <v>-9.7770729773413431E-2</v>
      </c>
      <c r="O22" s="86" t="s">
        <v>40</v>
      </c>
      <c r="P22" s="5"/>
      <c r="Q22" s="5"/>
      <c r="R22" s="5"/>
    </row>
    <row r="23" spans="1:18" ht="12.75" customHeight="1" x14ac:dyDescent="0.35">
      <c r="A23" s="72" t="s">
        <v>54</v>
      </c>
      <c r="B23" s="5">
        <v>15</v>
      </c>
      <c r="C23" s="114" t="s">
        <v>18</v>
      </c>
      <c r="D23" s="97" t="s">
        <v>57</v>
      </c>
      <c r="E23" s="98" t="s">
        <v>58</v>
      </c>
      <c r="F23" s="99">
        <v>221</v>
      </c>
      <c r="G23" s="100">
        <v>25497</v>
      </c>
      <c r="H23" s="103"/>
      <c r="I23" s="87">
        <v>25285</v>
      </c>
      <c r="J23" s="88"/>
      <c r="K23" s="89">
        <f t="shared" si="1"/>
        <v>5587985</v>
      </c>
      <c r="L23" s="90">
        <f t="shared" si="2"/>
        <v>7.5017909019360479E-3</v>
      </c>
      <c r="M23" s="84">
        <f t="shared" si="3"/>
        <v>-46852</v>
      </c>
      <c r="N23" s="91">
        <f t="shared" si="0"/>
        <v>-8.3147036906302697E-3</v>
      </c>
      <c r="O23" s="86" t="s">
        <v>50</v>
      </c>
      <c r="P23" s="5"/>
      <c r="Q23" s="5"/>
      <c r="R23" s="5"/>
    </row>
    <row r="24" spans="1:18" ht="12.75" customHeight="1" x14ac:dyDescent="0.35">
      <c r="A24" s="5" t="s">
        <v>59</v>
      </c>
      <c r="B24" s="5">
        <v>16</v>
      </c>
      <c r="C24" s="114" t="s">
        <v>18</v>
      </c>
      <c r="D24" s="97" t="s">
        <v>60</v>
      </c>
      <c r="E24" s="98" t="s">
        <v>61</v>
      </c>
      <c r="F24" s="99">
        <v>2226</v>
      </c>
      <c r="G24" s="102">
        <v>10928</v>
      </c>
      <c r="H24" s="103"/>
      <c r="I24" s="87">
        <v>11075</v>
      </c>
      <c r="J24" s="88"/>
      <c r="K24" s="89">
        <f t="shared" si="1"/>
        <v>24652950</v>
      </c>
      <c r="L24" s="90">
        <f t="shared" si="2"/>
        <v>3.309623701851102E-2</v>
      </c>
      <c r="M24" s="84">
        <f t="shared" si="3"/>
        <v>327222</v>
      </c>
      <c r="N24" s="91">
        <f t="shared" si="0"/>
        <v>1.3451683748169839E-2</v>
      </c>
      <c r="O24" s="86"/>
      <c r="P24" s="5"/>
      <c r="Q24" s="5"/>
      <c r="R24" s="5"/>
    </row>
    <row r="25" spans="1:18" ht="12.75" customHeight="1" x14ac:dyDescent="0.35">
      <c r="A25" s="5" t="s">
        <v>59</v>
      </c>
      <c r="B25" s="5">
        <v>17</v>
      </c>
      <c r="C25" s="114" t="s">
        <v>18</v>
      </c>
      <c r="D25" s="97" t="s">
        <v>19</v>
      </c>
      <c r="E25" s="98" t="s">
        <v>62</v>
      </c>
      <c r="F25" s="99">
        <v>1964</v>
      </c>
      <c r="G25" s="100">
        <v>9906</v>
      </c>
      <c r="H25" s="103"/>
      <c r="I25" s="80">
        <v>10600</v>
      </c>
      <c r="J25" s="88"/>
      <c r="K25" s="82">
        <f t="shared" si="1"/>
        <v>20818400</v>
      </c>
      <c r="L25" s="83">
        <f t="shared" si="2"/>
        <v>2.7948407827305444E-2</v>
      </c>
      <c r="M25" s="84">
        <f t="shared" si="3"/>
        <v>1363016</v>
      </c>
      <c r="N25" s="85">
        <f t="shared" si="0"/>
        <v>7.0058550373510997E-2</v>
      </c>
      <c r="O25" s="86" t="s">
        <v>21</v>
      </c>
      <c r="P25" s="5"/>
      <c r="Q25" s="5"/>
      <c r="R25" s="5"/>
    </row>
    <row r="26" spans="1:18" ht="12.75" customHeight="1" x14ac:dyDescent="0.35">
      <c r="A26" s="5" t="s">
        <v>59</v>
      </c>
      <c r="B26" s="5">
        <v>18</v>
      </c>
      <c r="C26" s="113" t="s">
        <v>18</v>
      </c>
      <c r="D26" s="97" t="s">
        <v>42</v>
      </c>
      <c r="E26" s="98" t="s">
        <v>63</v>
      </c>
      <c r="F26" s="99">
        <v>1350</v>
      </c>
      <c r="G26" s="100">
        <v>12013</v>
      </c>
      <c r="H26" s="101"/>
      <c r="I26" s="80">
        <v>14445</v>
      </c>
      <c r="J26" s="81"/>
      <c r="K26" s="82">
        <f t="shared" si="1"/>
        <v>19500750</v>
      </c>
      <c r="L26" s="83">
        <f t="shared" si="2"/>
        <v>2.6179481321250753E-2</v>
      </c>
      <c r="M26" s="84">
        <f t="shared" si="3"/>
        <v>3283200</v>
      </c>
      <c r="N26" s="85">
        <f t="shared" si="0"/>
        <v>0.20244734870556896</v>
      </c>
      <c r="O26" s="86" t="s">
        <v>44</v>
      </c>
      <c r="P26" s="5"/>
      <c r="Q26" s="5"/>
      <c r="R26" s="5"/>
    </row>
    <row r="27" spans="1:18" ht="12.75" customHeight="1" x14ac:dyDescent="0.35">
      <c r="A27" s="5" t="s">
        <v>59</v>
      </c>
      <c r="B27" s="5">
        <v>19</v>
      </c>
      <c r="C27" s="114" t="s">
        <v>18</v>
      </c>
      <c r="D27" s="97" t="s">
        <v>64</v>
      </c>
      <c r="E27" s="98" t="s">
        <v>65</v>
      </c>
      <c r="F27" s="99">
        <v>515</v>
      </c>
      <c r="G27" s="100">
        <v>16707</v>
      </c>
      <c r="H27" s="103"/>
      <c r="I27" s="87">
        <v>16275</v>
      </c>
      <c r="J27" s="88"/>
      <c r="K27" s="89">
        <f t="shared" si="1"/>
        <v>8381625</v>
      </c>
      <c r="L27" s="90">
        <f t="shared" si="2"/>
        <v>1.1252213126635043E-2</v>
      </c>
      <c r="M27" s="84">
        <f t="shared" si="3"/>
        <v>-222480</v>
      </c>
      <c r="N27" s="91">
        <f t="shared" si="0"/>
        <v>-2.5857425031423954E-2</v>
      </c>
      <c r="O27" s="86" t="s">
        <v>66</v>
      </c>
      <c r="P27" s="5"/>
      <c r="Q27" s="5"/>
      <c r="R27" s="5"/>
    </row>
    <row r="28" spans="1:18" ht="12.75" customHeight="1" x14ac:dyDescent="0.35">
      <c r="A28" s="5" t="s">
        <v>59</v>
      </c>
      <c r="B28" s="5">
        <v>20</v>
      </c>
      <c r="C28" s="114" t="s">
        <v>18</v>
      </c>
      <c r="D28" s="97" t="s">
        <v>67</v>
      </c>
      <c r="E28" s="98" t="s">
        <v>68</v>
      </c>
      <c r="F28" s="99">
        <v>960</v>
      </c>
      <c r="G28" s="100">
        <v>9360</v>
      </c>
      <c r="H28" s="103"/>
      <c r="I28" s="87">
        <v>7530</v>
      </c>
      <c r="J28" s="88"/>
      <c r="K28" s="89">
        <f t="shared" si="1"/>
        <v>7228800</v>
      </c>
      <c r="L28" s="90">
        <f t="shared" si="2"/>
        <v>9.7045618540341997E-3</v>
      </c>
      <c r="M28" s="84">
        <f t="shared" si="3"/>
        <v>-1756800</v>
      </c>
      <c r="N28" s="91">
        <f t="shared" si="0"/>
        <v>-0.19551282051282051</v>
      </c>
      <c r="O28" s="86" t="s">
        <v>69</v>
      </c>
      <c r="P28" s="5"/>
      <c r="Q28" s="5"/>
      <c r="R28" s="5"/>
    </row>
    <row r="29" spans="1:18" ht="12.75" customHeight="1" x14ac:dyDescent="0.35">
      <c r="A29" s="5" t="s">
        <v>59</v>
      </c>
      <c r="B29" s="5">
        <v>21</v>
      </c>
      <c r="C29" s="114" t="s">
        <v>18</v>
      </c>
      <c r="D29" s="97" t="s">
        <v>70</v>
      </c>
      <c r="E29" s="98" t="s">
        <v>71</v>
      </c>
      <c r="F29" s="99">
        <v>34</v>
      </c>
      <c r="G29" s="100">
        <v>110746</v>
      </c>
      <c r="H29" s="103"/>
      <c r="I29" s="87">
        <v>108800</v>
      </c>
      <c r="J29" s="88"/>
      <c r="K29" s="89">
        <f t="shared" si="1"/>
        <v>3699200</v>
      </c>
      <c r="L29" s="90">
        <f t="shared" si="2"/>
        <v>4.9661237287576517E-3</v>
      </c>
      <c r="M29" s="84">
        <f t="shared" si="3"/>
        <v>-66164</v>
      </c>
      <c r="N29" s="91">
        <f t="shared" si="0"/>
        <v>-1.7571740740071878E-2</v>
      </c>
      <c r="O29" s="86" t="s">
        <v>71</v>
      </c>
      <c r="P29" s="5"/>
      <c r="Q29" s="5"/>
      <c r="R29" s="5"/>
    </row>
    <row r="30" spans="1:18" ht="12.75" customHeight="1" x14ac:dyDescent="0.35">
      <c r="A30" s="5" t="s">
        <v>59</v>
      </c>
      <c r="B30" s="5">
        <v>22</v>
      </c>
      <c r="C30" s="114" t="s">
        <v>18</v>
      </c>
      <c r="D30" s="97" t="s">
        <v>72</v>
      </c>
      <c r="E30" s="98" t="s">
        <v>73</v>
      </c>
      <c r="F30" s="99">
        <v>297</v>
      </c>
      <c r="G30" s="100">
        <v>12814</v>
      </c>
      <c r="H30" s="103"/>
      <c r="I30" s="87">
        <v>12615</v>
      </c>
      <c r="J30" s="88"/>
      <c r="K30" s="89">
        <f t="shared" si="1"/>
        <v>3746655</v>
      </c>
      <c r="L30" s="90">
        <f t="shared" si="2"/>
        <v>5.029831395698665E-3</v>
      </c>
      <c r="M30" s="84">
        <f t="shared" si="3"/>
        <v>-59103</v>
      </c>
      <c r="N30" s="91">
        <f t="shared" si="0"/>
        <v>-1.5529889183705322E-2</v>
      </c>
      <c r="O30" s="86" t="s">
        <v>74</v>
      </c>
      <c r="P30" s="5"/>
      <c r="Q30" s="5"/>
      <c r="R30" s="5"/>
    </row>
    <row r="31" spans="1:18" ht="12.75" customHeight="1" x14ac:dyDescent="0.35">
      <c r="A31" s="5" t="s">
        <v>59</v>
      </c>
      <c r="B31" s="5">
        <v>23</v>
      </c>
      <c r="C31" s="114" t="s">
        <v>18</v>
      </c>
      <c r="D31" s="97" t="s">
        <v>75</v>
      </c>
      <c r="E31" s="98" t="s">
        <v>76</v>
      </c>
      <c r="F31" s="99">
        <v>481</v>
      </c>
      <c r="G31" s="100">
        <v>13495</v>
      </c>
      <c r="H31" s="103"/>
      <c r="I31" s="87">
        <v>11600</v>
      </c>
      <c r="J31" s="88"/>
      <c r="K31" s="89">
        <f t="shared" si="1"/>
        <v>5579600</v>
      </c>
      <c r="L31" s="90">
        <f t="shared" si="2"/>
        <v>7.4905341579196028E-3</v>
      </c>
      <c r="M31" s="84">
        <f t="shared" si="3"/>
        <v>-911495</v>
      </c>
      <c r="N31" s="91">
        <f t="shared" si="0"/>
        <v>-0.1404223786587625</v>
      </c>
      <c r="O31" s="86" t="s">
        <v>77</v>
      </c>
      <c r="P31" s="5"/>
      <c r="Q31" s="5"/>
      <c r="R31" s="5"/>
    </row>
    <row r="32" spans="1:18" ht="12.75" customHeight="1" x14ac:dyDescent="0.35">
      <c r="A32" s="5" t="s">
        <v>59</v>
      </c>
      <c r="B32" s="5">
        <v>24</v>
      </c>
      <c r="C32" s="114" t="s">
        <v>18</v>
      </c>
      <c r="D32" s="97" t="s">
        <v>78</v>
      </c>
      <c r="E32" s="98" t="s">
        <v>79</v>
      </c>
      <c r="F32" s="99">
        <v>13</v>
      </c>
      <c r="G32" s="100">
        <v>160810</v>
      </c>
      <c r="H32" s="103"/>
      <c r="I32" s="87">
        <v>160200</v>
      </c>
      <c r="J32" s="88"/>
      <c r="K32" s="89">
        <f t="shared" si="1"/>
        <v>2082600</v>
      </c>
      <c r="L32" s="90">
        <f t="shared" si="2"/>
        <v>2.7958610719914269E-3</v>
      </c>
      <c r="M32" s="84">
        <f t="shared" si="3"/>
        <v>-7930</v>
      </c>
      <c r="N32" s="91">
        <f t="shared" si="0"/>
        <v>-3.7932964367887569E-3</v>
      </c>
      <c r="O32" s="86" t="s">
        <v>80</v>
      </c>
      <c r="P32" s="5"/>
      <c r="Q32" s="5"/>
      <c r="R32" s="5"/>
    </row>
    <row r="33" spans="1:18" ht="12.75" customHeight="1" x14ac:dyDescent="0.35">
      <c r="A33" s="5" t="s">
        <v>59</v>
      </c>
      <c r="B33" s="5">
        <v>25</v>
      </c>
      <c r="C33" s="114" t="s">
        <v>18</v>
      </c>
      <c r="D33" s="97" t="s">
        <v>81</v>
      </c>
      <c r="E33" s="98" t="s">
        <v>82</v>
      </c>
      <c r="F33" s="99">
        <v>176</v>
      </c>
      <c r="G33" s="100">
        <v>8477</v>
      </c>
      <c r="H33" s="103"/>
      <c r="I33" s="87">
        <v>9865</v>
      </c>
      <c r="J33" s="88"/>
      <c r="K33" s="89">
        <f t="shared" si="1"/>
        <v>1736240</v>
      </c>
      <c r="L33" s="90">
        <f t="shared" si="2"/>
        <v>2.3308776662030128E-3</v>
      </c>
      <c r="M33" s="84">
        <f t="shared" si="3"/>
        <v>244288</v>
      </c>
      <c r="N33" s="91">
        <f t="shared" si="0"/>
        <v>0.16373717116904565</v>
      </c>
      <c r="O33" s="86" t="s">
        <v>83</v>
      </c>
      <c r="P33" s="5"/>
      <c r="Q33" s="5"/>
      <c r="R33" s="5"/>
    </row>
    <row r="34" spans="1:18" ht="12.75" customHeight="1" x14ac:dyDescent="0.35">
      <c r="A34" s="5" t="s">
        <v>59</v>
      </c>
      <c r="B34" s="5">
        <v>26</v>
      </c>
      <c r="C34" s="114" t="s">
        <v>18</v>
      </c>
      <c r="D34" s="97" t="s">
        <v>84</v>
      </c>
      <c r="E34" s="98" t="s">
        <v>85</v>
      </c>
      <c r="F34" s="99">
        <v>100</v>
      </c>
      <c r="G34" s="100">
        <v>9378</v>
      </c>
      <c r="H34" s="103"/>
      <c r="I34" s="87">
        <v>10205</v>
      </c>
      <c r="J34" s="88"/>
      <c r="K34" s="89">
        <f t="shared" si="1"/>
        <v>1020500</v>
      </c>
      <c r="L34" s="90">
        <f t="shared" si="2"/>
        <v>1.3700068299084083E-3</v>
      </c>
      <c r="M34" s="84">
        <f t="shared" si="3"/>
        <v>82700</v>
      </c>
      <c r="N34" s="91">
        <f t="shared" si="0"/>
        <v>8.8185114096822351E-2</v>
      </c>
      <c r="O34" s="86" t="s">
        <v>86</v>
      </c>
      <c r="P34" s="5"/>
      <c r="Q34" s="5"/>
      <c r="R34" s="5"/>
    </row>
    <row r="35" spans="1:18" ht="12.75" customHeight="1" x14ac:dyDescent="0.35">
      <c r="A35" s="5" t="s">
        <v>59</v>
      </c>
      <c r="B35" s="5">
        <v>27</v>
      </c>
      <c r="C35" s="114" t="s">
        <v>18</v>
      </c>
      <c r="D35" s="97" t="s">
        <v>87</v>
      </c>
      <c r="E35" s="98" t="s">
        <v>88</v>
      </c>
      <c r="F35" s="99">
        <v>101</v>
      </c>
      <c r="G35" s="100">
        <v>9891</v>
      </c>
      <c r="H35" s="103"/>
      <c r="I35" s="87">
        <v>9545</v>
      </c>
      <c r="J35" s="88"/>
      <c r="K35" s="89">
        <f t="shared" si="1"/>
        <v>964045</v>
      </c>
      <c r="L35" s="90">
        <f t="shared" si="2"/>
        <v>1.2942167901411577E-3</v>
      </c>
      <c r="M35" s="84">
        <f t="shared" si="3"/>
        <v>-34946</v>
      </c>
      <c r="N35" s="91">
        <f t="shared" si="0"/>
        <v>-3.4981296127792945E-2</v>
      </c>
      <c r="O35" s="86" t="s">
        <v>89</v>
      </c>
      <c r="P35" s="5"/>
      <c r="Q35" s="5"/>
      <c r="R35" s="5"/>
    </row>
    <row r="36" spans="1:18" ht="12.75" customHeight="1" x14ac:dyDescent="0.35">
      <c r="A36" s="5" t="s">
        <v>90</v>
      </c>
      <c r="B36" s="5">
        <v>28</v>
      </c>
      <c r="C36" s="114" t="s">
        <v>18</v>
      </c>
      <c r="D36" s="97" t="s">
        <v>91</v>
      </c>
      <c r="E36" s="98" t="s">
        <v>92</v>
      </c>
      <c r="F36" s="99">
        <v>55</v>
      </c>
      <c r="G36" s="100">
        <v>160500</v>
      </c>
      <c r="H36" s="103"/>
      <c r="I36" s="87">
        <v>214500</v>
      </c>
      <c r="J36" s="88"/>
      <c r="K36" s="89">
        <f t="shared" si="1"/>
        <v>11797500</v>
      </c>
      <c r="L36" s="90">
        <f t="shared" si="2"/>
        <v>1.5837977046393382E-2</v>
      </c>
      <c r="M36" s="84">
        <f t="shared" si="3"/>
        <v>2970000</v>
      </c>
      <c r="N36" s="91">
        <f t="shared" si="0"/>
        <v>0.3364485981308411</v>
      </c>
      <c r="O36" s="86" t="s">
        <v>93</v>
      </c>
      <c r="P36" s="5"/>
      <c r="Q36" s="5"/>
      <c r="R36" s="5"/>
    </row>
    <row r="37" spans="1:18" ht="12.75" customHeight="1" x14ac:dyDescent="0.35">
      <c r="A37" s="5" t="s">
        <v>90</v>
      </c>
      <c r="B37" s="5">
        <v>29</v>
      </c>
      <c r="C37" s="114" t="s">
        <v>18</v>
      </c>
      <c r="D37" s="97" t="s">
        <v>91</v>
      </c>
      <c r="E37" s="98" t="s">
        <v>92</v>
      </c>
      <c r="F37" s="99">
        <v>44</v>
      </c>
      <c r="G37" s="100">
        <v>225433</v>
      </c>
      <c r="H37" s="103"/>
      <c r="I37" s="87">
        <v>214500</v>
      </c>
      <c r="J37" s="88"/>
      <c r="K37" s="89">
        <f t="shared" si="1"/>
        <v>9438000</v>
      </c>
      <c r="L37" s="90">
        <f t="shared" si="2"/>
        <v>1.2670381637114706E-2</v>
      </c>
      <c r="M37" s="84">
        <f t="shared" si="3"/>
        <v>-481052</v>
      </c>
      <c r="N37" s="91">
        <f t="shared" si="0"/>
        <v>-4.8497779828152933E-2</v>
      </c>
      <c r="O37" s="86" t="s">
        <v>93</v>
      </c>
      <c r="P37" s="5"/>
      <c r="Q37" s="5"/>
      <c r="R37" s="5"/>
    </row>
    <row r="38" spans="1:18" ht="12.75" customHeight="1" x14ac:dyDescent="0.35">
      <c r="A38" s="72" t="s">
        <v>90</v>
      </c>
      <c r="B38" s="5">
        <v>30</v>
      </c>
      <c r="C38" s="114" t="s">
        <v>18</v>
      </c>
      <c r="D38" s="97" t="s">
        <v>94</v>
      </c>
      <c r="E38" s="98" t="s">
        <v>95</v>
      </c>
      <c r="F38" s="99">
        <v>704</v>
      </c>
      <c r="G38" s="100">
        <v>21207</v>
      </c>
      <c r="H38" s="103"/>
      <c r="I38" s="87">
        <v>16005</v>
      </c>
      <c r="J38" s="88"/>
      <c r="K38" s="89">
        <f t="shared" si="1"/>
        <v>11267520</v>
      </c>
      <c r="L38" s="90">
        <f t="shared" si="2"/>
        <v>1.5126486385232325E-2</v>
      </c>
      <c r="M38" s="84">
        <f t="shared" si="3"/>
        <v>-3662208</v>
      </c>
      <c r="N38" s="91">
        <f t="shared" si="0"/>
        <v>-0.2452963644079785</v>
      </c>
      <c r="O38" s="86" t="s">
        <v>86</v>
      </c>
      <c r="P38" s="5"/>
      <c r="Q38" s="5"/>
      <c r="R38" s="5"/>
    </row>
    <row r="39" spans="1:18" x14ac:dyDescent="0.35">
      <c r="A39" s="72" t="s">
        <v>90</v>
      </c>
      <c r="B39" s="5">
        <v>31</v>
      </c>
      <c r="C39" s="114" t="s">
        <v>96</v>
      </c>
      <c r="D39" s="97" t="s">
        <v>97</v>
      </c>
      <c r="E39" s="98" t="s">
        <v>66</v>
      </c>
      <c r="F39" s="99">
        <v>17</v>
      </c>
      <c r="G39" s="100"/>
      <c r="H39" s="103">
        <v>280.99630000000002</v>
      </c>
      <c r="I39" s="89"/>
      <c r="J39" s="92">
        <v>380.33999633789063</v>
      </c>
      <c r="K39" s="89">
        <f t="shared" si="1"/>
        <v>8572266.3836618047</v>
      </c>
      <c r="L39" s="90">
        <f t="shared" si="2"/>
        <v>1.1508146490358574E-2</v>
      </c>
      <c r="M39" s="84">
        <f t="shared" si="3"/>
        <v>2239050.9458528049</v>
      </c>
      <c r="N39" s="91">
        <f t="shared" si="0"/>
        <v>0.35354094106538292</v>
      </c>
      <c r="O39" s="86" t="s">
        <v>66</v>
      </c>
      <c r="P39" s="5"/>
      <c r="Q39" s="5"/>
      <c r="R39" s="5"/>
    </row>
    <row r="40" spans="1:18" x14ac:dyDescent="0.35">
      <c r="A40" s="72" t="s">
        <v>90</v>
      </c>
      <c r="B40" s="5">
        <v>32</v>
      </c>
      <c r="C40" s="114" t="s">
        <v>96</v>
      </c>
      <c r="D40" s="97" t="s">
        <v>98</v>
      </c>
      <c r="E40" s="98" t="s">
        <v>99</v>
      </c>
      <c r="F40" s="99">
        <v>53</v>
      </c>
      <c r="G40" s="100"/>
      <c r="H40" s="103">
        <v>53.53</v>
      </c>
      <c r="I40" s="89"/>
      <c r="J40" s="92">
        <v>55.959999084472663</v>
      </c>
      <c r="K40" s="89">
        <f t="shared" si="1"/>
        <v>3932133.9808687596</v>
      </c>
      <c r="L40" s="90">
        <f t="shared" si="2"/>
        <v>5.2788343066194404E-3</v>
      </c>
      <c r="M40" s="84">
        <f t="shared" si="3"/>
        <v>170748.42976875929</v>
      </c>
      <c r="N40" s="91">
        <f t="shared" ref="N40:N71" si="4">IFERROR(M40/(K40-M40),)</f>
        <v>4.539508844522059E-2</v>
      </c>
      <c r="O40" s="86" t="s">
        <v>100</v>
      </c>
      <c r="P40" s="5"/>
      <c r="Q40" s="5"/>
      <c r="R40" s="5"/>
    </row>
    <row r="41" spans="1:18" x14ac:dyDescent="0.35">
      <c r="A41" s="72" t="s">
        <v>90</v>
      </c>
      <c r="B41" s="5">
        <v>33</v>
      </c>
      <c r="C41" s="114" t="s">
        <v>96</v>
      </c>
      <c r="D41" s="97" t="s">
        <v>101</v>
      </c>
      <c r="E41" s="98" t="s">
        <v>102</v>
      </c>
      <c r="F41" s="99">
        <v>91</v>
      </c>
      <c r="G41" s="100"/>
      <c r="H41" s="103">
        <v>29.68</v>
      </c>
      <c r="I41" s="89"/>
      <c r="J41" s="92">
        <v>31.925300598144531</v>
      </c>
      <c r="K41" s="89">
        <f t="shared" ref="K41:K72" si="5">IFERROR(I41*F41+J41*$J$5*F41,)</f>
        <v>3851688.2294812771</v>
      </c>
      <c r="L41" s="90">
        <f t="shared" ref="L41:L72" si="6">IFERROR(K41/$K$8,)</f>
        <v>5.1708370221138404E-3</v>
      </c>
      <c r="M41" s="84">
        <f t="shared" ref="M41:M72" si="7">IFERROR(K41-G41*F41-H41*$J$5*F41,)</f>
        <v>270888.53428127756</v>
      </c>
      <c r="N41" s="91">
        <f t="shared" si="4"/>
        <v>7.565028969489665E-2</v>
      </c>
      <c r="O41" s="86" t="s">
        <v>74</v>
      </c>
      <c r="P41" s="5"/>
      <c r="Q41" s="5"/>
      <c r="R41" s="5"/>
    </row>
    <row r="42" spans="1:18" x14ac:dyDescent="0.35">
      <c r="A42" s="72" t="s">
        <v>90</v>
      </c>
      <c r="B42" s="5">
        <v>34</v>
      </c>
      <c r="C42" s="114" t="s">
        <v>96</v>
      </c>
      <c r="D42" s="97" t="s">
        <v>103</v>
      </c>
      <c r="E42" s="98" t="s">
        <v>104</v>
      </c>
      <c r="F42" s="99">
        <v>9</v>
      </c>
      <c r="G42" s="100"/>
      <c r="H42" s="103">
        <v>208.16</v>
      </c>
      <c r="I42" s="89"/>
      <c r="J42" s="92">
        <v>345.34500122070313</v>
      </c>
      <c r="K42" s="89">
        <f t="shared" si="5"/>
        <v>4120694.5425155642</v>
      </c>
      <c r="L42" s="90">
        <f t="shared" si="6"/>
        <v>5.5319741961907167E-3</v>
      </c>
      <c r="M42" s="84">
        <f t="shared" si="7"/>
        <v>1636906.5249155643</v>
      </c>
      <c r="N42" s="91">
        <f t="shared" si="4"/>
        <v>0.65903632408101054</v>
      </c>
      <c r="O42" s="86" t="s">
        <v>104</v>
      </c>
      <c r="P42" s="5"/>
      <c r="Q42" s="5"/>
      <c r="R42" s="5"/>
    </row>
    <row r="43" spans="1:18" x14ac:dyDescent="0.35">
      <c r="A43" s="72" t="s">
        <v>90</v>
      </c>
      <c r="B43" s="5">
        <v>35</v>
      </c>
      <c r="C43" s="114" t="s">
        <v>18</v>
      </c>
      <c r="D43" s="97" t="s">
        <v>105</v>
      </c>
      <c r="E43" s="98" t="s">
        <v>106</v>
      </c>
      <c r="F43" s="99">
        <v>179</v>
      </c>
      <c r="G43" s="100">
        <v>21932</v>
      </c>
      <c r="H43" s="103"/>
      <c r="I43" s="87">
        <v>19850</v>
      </c>
      <c r="J43" s="88"/>
      <c r="K43" s="89">
        <f t="shared" si="5"/>
        <v>3553150</v>
      </c>
      <c r="L43" s="90">
        <f t="shared" si="6"/>
        <v>4.7700536675052037E-3</v>
      </c>
      <c r="M43" s="84">
        <f t="shared" si="7"/>
        <v>-372678</v>
      </c>
      <c r="N43" s="91">
        <f t="shared" si="4"/>
        <v>-9.4929782965529813E-2</v>
      </c>
      <c r="O43" s="86" t="s">
        <v>106</v>
      </c>
      <c r="P43" s="5"/>
      <c r="Q43" s="5"/>
      <c r="R43" s="5"/>
    </row>
    <row r="44" spans="1:18" x14ac:dyDescent="0.35">
      <c r="A44" s="72" t="s">
        <v>90</v>
      </c>
      <c r="B44" s="5">
        <v>36</v>
      </c>
      <c r="C44" s="114" t="s">
        <v>18</v>
      </c>
      <c r="D44" s="97" t="s">
        <v>107</v>
      </c>
      <c r="E44" s="98" t="s">
        <v>108</v>
      </c>
      <c r="F44" s="99">
        <v>18</v>
      </c>
      <c r="G44" s="100">
        <v>222701</v>
      </c>
      <c r="H44" s="103"/>
      <c r="I44" s="87">
        <v>175800</v>
      </c>
      <c r="J44" s="88"/>
      <c r="K44" s="89">
        <f t="shared" si="5"/>
        <v>3164400</v>
      </c>
      <c r="L44" s="90">
        <f t="shared" si="6"/>
        <v>4.2481622857052101E-3</v>
      </c>
      <c r="M44" s="84">
        <f t="shared" si="7"/>
        <v>-844218</v>
      </c>
      <c r="N44" s="91">
        <f t="shared" si="4"/>
        <v>-0.21060076066115554</v>
      </c>
      <c r="O44" s="86" t="s">
        <v>109</v>
      </c>
      <c r="P44" s="5"/>
      <c r="Q44" s="5"/>
      <c r="R44" s="5"/>
    </row>
    <row r="45" spans="1:18" x14ac:dyDescent="0.35">
      <c r="A45" s="72" t="s">
        <v>90</v>
      </c>
      <c r="B45" s="5">
        <v>37</v>
      </c>
      <c r="C45" s="114" t="s">
        <v>96</v>
      </c>
      <c r="D45" s="97" t="s">
        <v>110</v>
      </c>
      <c r="E45" s="98" t="s">
        <v>110</v>
      </c>
      <c r="F45" s="99">
        <v>62</v>
      </c>
      <c r="G45" s="100"/>
      <c r="H45" s="103">
        <v>87.725999999999999</v>
      </c>
      <c r="I45" s="89"/>
      <c r="J45" s="92">
        <v>88.330001831054688</v>
      </c>
      <c r="K45" s="89">
        <f t="shared" si="5"/>
        <v>7260636.0539108282</v>
      </c>
      <c r="L45" s="90">
        <f t="shared" si="6"/>
        <v>9.7473013065527379E-3</v>
      </c>
      <c r="M45" s="84">
        <f t="shared" si="7"/>
        <v>49648.334430828691</v>
      </c>
      <c r="N45" s="91">
        <f t="shared" si="4"/>
        <v>6.8850948527768322E-3</v>
      </c>
      <c r="O45" s="86" t="s">
        <v>40</v>
      </c>
      <c r="P45" s="5"/>
      <c r="Q45" s="5"/>
      <c r="R45" s="5"/>
    </row>
    <row r="46" spans="1:18" x14ac:dyDescent="0.55000000000000004">
      <c r="A46" s="72" t="s">
        <v>111</v>
      </c>
      <c r="B46" s="5">
        <v>38</v>
      </c>
      <c r="C46" s="128" t="s">
        <v>96</v>
      </c>
      <c r="D46" s="97" t="s">
        <v>110</v>
      </c>
      <c r="E46" s="98" t="s">
        <v>110</v>
      </c>
      <c r="F46" s="99">
        <v>78</v>
      </c>
      <c r="G46" s="100"/>
      <c r="H46" s="103">
        <v>87.64</v>
      </c>
      <c r="I46" s="89"/>
      <c r="J46" s="92">
        <v>88.330001831054688</v>
      </c>
      <c r="K46" s="89">
        <f t="shared" si="5"/>
        <v>9134348.5839523319</v>
      </c>
      <c r="L46" s="90">
        <f t="shared" si="6"/>
        <v>1.2262733901792153E-2</v>
      </c>
      <c r="M46" s="84">
        <f t="shared" si="7"/>
        <v>71354.207152331248</v>
      </c>
      <c r="N46" s="91">
        <f t="shared" si="4"/>
        <v>7.8731381909480213E-3</v>
      </c>
      <c r="O46" s="129" t="s">
        <v>40</v>
      </c>
      <c r="P46" s="5"/>
      <c r="Q46" s="5"/>
      <c r="R46" s="5"/>
    </row>
    <row r="47" spans="1:18" x14ac:dyDescent="0.35">
      <c r="A47" s="72" t="s">
        <v>90</v>
      </c>
      <c r="B47" s="5">
        <v>39</v>
      </c>
      <c r="C47" s="104" t="s">
        <v>18</v>
      </c>
      <c r="D47" s="104">
        <v>105560</v>
      </c>
      <c r="E47" s="104" t="s">
        <v>112</v>
      </c>
      <c r="F47" s="104">
        <v>12</v>
      </c>
      <c r="G47" s="105">
        <v>173127</v>
      </c>
      <c r="H47" s="104"/>
      <c r="I47" s="87">
        <v>158200</v>
      </c>
      <c r="J47" s="86"/>
      <c r="K47" s="89">
        <f t="shared" si="5"/>
        <v>1898400</v>
      </c>
      <c r="L47" s="90">
        <f t="shared" si="6"/>
        <v>2.5485751748144264E-3</v>
      </c>
      <c r="M47" s="84">
        <f t="shared" si="7"/>
        <v>-179124</v>
      </c>
      <c r="N47" s="91">
        <f t="shared" si="4"/>
        <v>-8.6219942585500822E-2</v>
      </c>
      <c r="O47" s="86" t="s">
        <v>112</v>
      </c>
      <c r="P47" s="5"/>
      <c r="Q47" s="5"/>
      <c r="R47" s="5"/>
    </row>
    <row r="48" spans="1:18" x14ac:dyDescent="0.35">
      <c r="A48" s="72" t="s">
        <v>90</v>
      </c>
      <c r="B48" s="5">
        <v>40</v>
      </c>
      <c r="C48" s="114"/>
      <c r="D48" s="106" t="s">
        <v>113</v>
      </c>
      <c r="E48" s="133" t="s">
        <v>114</v>
      </c>
      <c r="F48" s="107">
        <v>1</v>
      </c>
      <c r="G48" s="108"/>
      <c r="H48" s="109"/>
      <c r="I48" s="82">
        <f>G48</f>
        <v>0</v>
      </c>
      <c r="J48" s="88"/>
      <c r="K48" s="89">
        <f t="shared" si="5"/>
        <v>0</v>
      </c>
      <c r="L48" s="90">
        <f t="shared" si="6"/>
        <v>0</v>
      </c>
      <c r="M48" s="84">
        <f t="shared" si="7"/>
        <v>0</v>
      </c>
      <c r="N48" s="91">
        <f t="shared" si="4"/>
        <v>0</v>
      </c>
      <c r="O48" s="86" t="s">
        <v>115</v>
      </c>
      <c r="P48" s="5"/>
      <c r="Q48" s="5"/>
      <c r="R48" s="5"/>
    </row>
    <row r="49" spans="1:18" x14ac:dyDescent="0.35">
      <c r="A49" s="72" t="s">
        <v>90</v>
      </c>
      <c r="B49" s="5">
        <v>41</v>
      </c>
      <c r="C49" s="114" t="s">
        <v>18</v>
      </c>
      <c r="D49" s="97" t="s">
        <v>116</v>
      </c>
      <c r="E49" s="98" t="s">
        <v>117</v>
      </c>
      <c r="F49" s="99">
        <v>1312</v>
      </c>
      <c r="G49" s="100">
        <v>8263</v>
      </c>
      <c r="H49" s="103"/>
      <c r="I49" s="87">
        <v>6545</v>
      </c>
      <c r="J49" s="88"/>
      <c r="K49" s="89">
        <f t="shared" si="5"/>
        <v>8587040</v>
      </c>
      <c r="L49" s="90">
        <f t="shared" si="6"/>
        <v>1.1527979861535226E-2</v>
      </c>
      <c r="M49" s="84">
        <f t="shared" si="7"/>
        <v>-2254016</v>
      </c>
      <c r="N49" s="91">
        <f t="shared" si="4"/>
        <v>-0.2079148009197628</v>
      </c>
      <c r="O49" s="86"/>
      <c r="P49" s="5"/>
      <c r="Q49" s="5"/>
      <c r="R49" s="5"/>
    </row>
    <row r="50" spans="1:18" ht="12.75" customHeight="1" x14ac:dyDescent="0.35">
      <c r="A50" s="72" t="s">
        <v>90</v>
      </c>
      <c r="B50" s="5">
        <v>42</v>
      </c>
      <c r="C50" s="114"/>
      <c r="D50" s="106" t="s">
        <v>113</v>
      </c>
      <c r="E50" s="132" t="s">
        <v>118</v>
      </c>
      <c r="F50" s="107">
        <v>1</v>
      </c>
      <c r="G50" s="108">
        <v>912054</v>
      </c>
      <c r="H50" s="109"/>
      <c r="I50" s="82">
        <f>G50</f>
        <v>912054</v>
      </c>
      <c r="J50" s="88"/>
      <c r="K50" s="89">
        <f t="shared" si="5"/>
        <v>912054</v>
      </c>
      <c r="L50" s="90">
        <f t="shared" si="6"/>
        <v>1.2244196072957211E-3</v>
      </c>
      <c r="M50" s="84">
        <f t="shared" si="7"/>
        <v>0</v>
      </c>
      <c r="N50" s="91">
        <f t="shared" si="4"/>
        <v>0</v>
      </c>
      <c r="O50" s="86" t="s">
        <v>113</v>
      </c>
      <c r="P50" s="5"/>
      <c r="Q50" s="5"/>
      <c r="R50" s="5"/>
    </row>
    <row r="51" spans="1:18" ht="12.75" customHeight="1" x14ac:dyDescent="0.55000000000000004">
      <c r="A51" s="72" t="s">
        <v>90</v>
      </c>
      <c r="B51" s="5">
        <v>43</v>
      </c>
      <c r="C51" s="114" t="s">
        <v>18</v>
      </c>
      <c r="D51" s="97" t="s">
        <v>119</v>
      </c>
      <c r="E51" s="130" t="s">
        <v>120</v>
      </c>
      <c r="F51" s="99">
        <v>24</v>
      </c>
      <c r="G51" s="100">
        <v>87423</v>
      </c>
      <c r="H51" s="103"/>
      <c r="I51" s="87">
        <v>84400</v>
      </c>
      <c r="J51" s="88"/>
      <c r="K51" s="89">
        <f t="shared" si="5"/>
        <v>2025600</v>
      </c>
      <c r="L51" s="90">
        <f t="shared" si="6"/>
        <v>2.7193393774252541E-3</v>
      </c>
      <c r="M51" s="84">
        <f t="shared" si="7"/>
        <v>-72552</v>
      </c>
      <c r="N51" s="91">
        <f t="shared" si="4"/>
        <v>-3.4579000949406906E-2</v>
      </c>
      <c r="O51" s="86" t="s">
        <v>109</v>
      </c>
      <c r="P51" s="5"/>
      <c r="Q51" s="5"/>
      <c r="R51" s="5"/>
    </row>
    <row r="52" spans="1:18" ht="12.75" customHeight="1" x14ac:dyDescent="0.35">
      <c r="A52" s="72" t="s">
        <v>90</v>
      </c>
      <c r="B52" s="5">
        <v>44</v>
      </c>
      <c r="C52" s="114"/>
      <c r="D52" s="106" t="s">
        <v>113</v>
      </c>
      <c r="E52" s="131" t="s">
        <v>121</v>
      </c>
      <c r="F52" s="107">
        <v>1</v>
      </c>
      <c r="G52" s="108">
        <v>327551</v>
      </c>
      <c r="H52" s="109"/>
      <c r="I52" s="82">
        <f>G52</f>
        <v>327551</v>
      </c>
      <c r="J52" s="88"/>
      <c r="K52" s="89">
        <f t="shared" si="5"/>
        <v>327551</v>
      </c>
      <c r="L52" s="90">
        <f t="shared" si="6"/>
        <v>4.3973258906744638E-4</v>
      </c>
      <c r="M52" s="84">
        <f t="shared" si="7"/>
        <v>0</v>
      </c>
      <c r="N52" s="91">
        <f t="shared" si="4"/>
        <v>0</v>
      </c>
      <c r="O52" s="86" t="s">
        <v>113</v>
      </c>
      <c r="P52" s="5"/>
      <c r="Q52" s="5"/>
      <c r="R52" s="5"/>
    </row>
    <row r="53" spans="1:18" x14ac:dyDescent="0.35">
      <c r="A53" s="72" t="s">
        <v>90</v>
      </c>
      <c r="B53" s="5">
        <v>45</v>
      </c>
      <c r="C53" s="114" t="s">
        <v>96</v>
      </c>
      <c r="D53" s="97" t="s">
        <v>122</v>
      </c>
      <c r="E53" s="98" t="s">
        <v>123</v>
      </c>
      <c r="F53" s="99">
        <v>7</v>
      </c>
      <c r="G53" s="100"/>
      <c r="H53" s="103">
        <v>180.0771</v>
      </c>
      <c r="I53" s="89"/>
      <c r="J53" s="92">
        <v>152.92570495605469</v>
      </c>
      <c r="K53" s="89">
        <f t="shared" si="5"/>
        <v>1419231.5926158142</v>
      </c>
      <c r="L53" s="90">
        <f t="shared" si="6"/>
        <v>1.9052983587510564E-3</v>
      </c>
      <c r="M53" s="84">
        <f t="shared" si="7"/>
        <v>-251979.33624718594</v>
      </c>
      <c r="N53" s="91">
        <f t="shared" si="4"/>
        <v>-0.15077650097622255</v>
      </c>
      <c r="O53" s="86" t="s">
        <v>124</v>
      </c>
      <c r="P53" s="5"/>
      <c r="Q53" s="5"/>
      <c r="R53" s="5"/>
    </row>
    <row r="54" spans="1:18" x14ac:dyDescent="0.35">
      <c r="A54" s="72" t="s">
        <v>90</v>
      </c>
      <c r="B54" s="5">
        <v>46</v>
      </c>
      <c r="C54" s="114" t="s">
        <v>96</v>
      </c>
      <c r="D54" s="97" t="s">
        <v>125</v>
      </c>
      <c r="E54" s="98" t="s">
        <v>126</v>
      </c>
      <c r="F54" s="99">
        <v>5</v>
      </c>
      <c r="G54" s="100"/>
      <c r="H54" s="103">
        <v>185.84</v>
      </c>
      <c r="I54" s="89"/>
      <c r="J54" s="92">
        <v>178</v>
      </c>
      <c r="K54" s="89">
        <f t="shared" si="5"/>
        <v>1179953.1000000001</v>
      </c>
      <c r="L54" s="90">
        <f t="shared" si="6"/>
        <v>1.5840703635194504E-3</v>
      </c>
      <c r="M54" s="84">
        <f t="shared" si="7"/>
        <v>-51970.967999999877</v>
      </c>
      <c r="N54" s="91">
        <f t="shared" si="4"/>
        <v>-4.2186827378389913E-2</v>
      </c>
      <c r="O54" s="86" t="s">
        <v>126</v>
      </c>
      <c r="P54" s="5"/>
      <c r="Q54" s="5"/>
      <c r="R54" s="5"/>
    </row>
    <row r="55" spans="1:18" x14ac:dyDescent="0.35">
      <c r="A55" s="72" t="s">
        <v>90</v>
      </c>
      <c r="B55" s="5">
        <v>47</v>
      </c>
      <c r="C55" s="114" t="s">
        <v>96</v>
      </c>
      <c r="D55" s="97" t="s">
        <v>127</v>
      </c>
      <c r="E55" s="98" t="s">
        <v>128</v>
      </c>
      <c r="F55" s="99">
        <v>4</v>
      </c>
      <c r="G55" s="100"/>
      <c r="H55" s="103">
        <v>169.01599999999999</v>
      </c>
      <c r="I55" s="89"/>
      <c r="J55" s="92">
        <v>217.41499328613281</v>
      </c>
      <c r="K55" s="89">
        <f t="shared" si="5"/>
        <v>1152986.4957952881</v>
      </c>
      <c r="L55" s="90">
        <f t="shared" si="6"/>
        <v>1.5478680784240147E-3</v>
      </c>
      <c r="M55" s="84">
        <f t="shared" si="7"/>
        <v>256667.60523528815</v>
      </c>
      <c r="N55" s="91">
        <f t="shared" si="4"/>
        <v>0.28635746489168379</v>
      </c>
      <c r="O55" s="86" t="s">
        <v>128</v>
      </c>
      <c r="P55" s="5"/>
      <c r="Q55" s="5"/>
      <c r="R55" s="5"/>
    </row>
    <row r="56" spans="1:18" x14ac:dyDescent="0.35">
      <c r="A56" s="72" t="s">
        <v>90</v>
      </c>
      <c r="B56" s="5">
        <v>48</v>
      </c>
      <c r="C56" s="114" t="s">
        <v>96</v>
      </c>
      <c r="D56" s="97" t="s">
        <v>129</v>
      </c>
      <c r="E56" s="98" t="s">
        <v>129</v>
      </c>
      <c r="F56" s="99">
        <v>24</v>
      </c>
      <c r="G56" s="100"/>
      <c r="H56" s="103">
        <v>27.59</v>
      </c>
      <c r="I56" s="89"/>
      <c r="J56" s="92">
        <v>35.006301879882813</v>
      </c>
      <c r="K56" s="89">
        <f t="shared" si="5"/>
        <v>1113864.119263916</v>
      </c>
      <c r="L56" s="90">
        <f t="shared" si="6"/>
        <v>1.4953468407461821E-3</v>
      </c>
      <c r="M56" s="84">
        <f t="shared" si="7"/>
        <v>235979.01286391611</v>
      </c>
      <c r="N56" s="91">
        <f t="shared" si="4"/>
        <v>0.26880398259814486</v>
      </c>
      <c r="O56" s="86" t="s">
        <v>47</v>
      </c>
      <c r="P56" s="5"/>
      <c r="Q56" s="5"/>
      <c r="R56" s="5"/>
    </row>
    <row r="57" spans="1:18" x14ac:dyDescent="0.35">
      <c r="A57" s="72" t="s">
        <v>90</v>
      </c>
      <c r="B57" s="5">
        <v>49</v>
      </c>
      <c r="C57" s="114" t="s">
        <v>96</v>
      </c>
      <c r="D57" s="97" t="s">
        <v>130</v>
      </c>
      <c r="E57" s="98" t="s">
        <v>131</v>
      </c>
      <c r="F57" s="99">
        <v>2</v>
      </c>
      <c r="G57" s="100"/>
      <c r="H57" s="103">
        <v>408.19</v>
      </c>
      <c r="I57" s="89"/>
      <c r="J57" s="92">
        <v>529.530029296875</v>
      </c>
      <c r="K57" s="89">
        <f t="shared" si="5"/>
        <v>1404091.2350830077</v>
      </c>
      <c r="L57" s="90">
        <f t="shared" si="6"/>
        <v>1.8849726427028447E-3</v>
      </c>
      <c r="M57" s="84">
        <f t="shared" si="7"/>
        <v>321742.79488300765</v>
      </c>
      <c r="N57" s="91">
        <f t="shared" si="4"/>
        <v>0.29726360101147731</v>
      </c>
      <c r="O57" s="86" t="s">
        <v>132</v>
      </c>
      <c r="P57" s="5"/>
      <c r="Q57" s="5"/>
      <c r="R57" s="5"/>
    </row>
    <row r="58" spans="1:18" x14ac:dyDescent="0.35">
      <c r="A58" s="72" t="s">
        <v>90</v>
      </c>
      <c r="B58" s="5">
        <v>50</v>
      </c>
      <c r="C58" s="114" t="s">
        <v>96</v>
      </c>
      <c r="D58" s="97" t="s">
        <v>133</v>
      </c>
      <c r="E58" s="98" t="s">
        <v>134</v>
      </c>
      <c r="F58" s="99">
        <v>4</v>
      </c>
      <c r="G58" s="100"/>
      <c r="H58" s="103">
        <v>202.7775</v>
      </c>
      <c r="I58" s="89"/>
      <c r="J58" s="92">
        <v>156.6300048828125</v>
      </c>
      <c r="K58" s="89">
        <f t="shared" si="5"/>
        <v>830633.97669433593</v>
      </c>
      <c r="L58" s="90">
        <f t="shared" si="6"/>
        <v>1.1151143765068317E-3</v>
      </c>
      <c r="M58" s="84">
        <f t="shared" si="7"/>
        <v>-244727.55020566401</v>
      </c>
      <c r="N58" s="91">
        <f t="shared" si="4"/>
        <v>-0.22757699999845887</v>
      </c>
      <c r="O58" s="86" t="s">
        <v>135</v>
      </c>
      <c r="P58" s="5"/>
      <c r="Q58" s="5"/>
      <c r="R58" s="5"/>
    </row>
    <row r="59" spans="1:18" x14ac:dyDescent="0.35">
      <c r="A59" s="72" t="s">
        <v>90</v>
      </c>
      <c r="B59" s="5">
        <v>51</v>
      </c>
      <c r="C59" s="114" t="s">
        <v>96</v>
      </c>
      <c r="D59" s="97" t="s">
        <v>136</v>
      </c>
      <c r="E59" s="98" t="s">
        <v>137</v>
      </c>
      <c r="F59" s="99">
        <v>15</v>
      </c>
      <c r="G59" s="100"/>
      <c r="H59" s="103">
        <v>53.67</v>
      </c>
      <c r="I59" s="89"/>
      <c r="J59" s="92">
        <v>39.474998474121087</v>
      </c>
      <c r="K59" s="89">
        <f t="shared" si="5"/>
        <v>785033.37340507493</v>
      </c>
      <c r="L59" s="90">
        <f t="shared" si="6"/>
        <v>1.0538962109465854E-3</v>
      </c>
      <c r="M59" s="84">
        <f t="shared" si="7"/>
        <v>-282293.86609492521</v>
      </c>
      <c r="N59" s="91">
        <f t="shared" si="4"/>
        <v>-0.26448670627685705</v>
      </c>
      <c r="O59" s="86" t="s">
        <v>86</v>
      </c>
      <c r="P59" s="5"/>
      <c r="Q59" s="5"/>
      <c r="R59" s="5"/>
    </row>
    <row r="60" spans="1:18" x14ac:dyDescent="0.35">
      <c r="A60" s="72" t="s">
        <v>90</v>
      </c>
      <c r="B60" s="5">
        <v>52</v>
      </c>
      <c r="C60" s="114" t="s">
        <v>96</v>
      </c>
      <c r="D60" s="97" t="s">
        <v>138</v>
      </c>
      <c r="E60" s="98" t="s">
        <v>139</v>
      </c>
      <c r="F60" s="99">
        <v>4</v>
      </c>
      <c r="G60" s="100"/>
      <c r="H60" s="103">
        <v>129.41999999999999</v>
      </c>
      <c r="I60" s="89"/>
      <c r="J60" s="92">
        <v>201.77000427246091</v>
      </c>
      <c r="K60" s="89">
        <f t="shared" si="5"/>
        <v>1070018.6158575437</v>
      </c>
      <c r="L60" s="90">
        <f t="shared" si="6"/>
        <v>1.4364848719784187E-3</v>
      </c>
      <c r="M60" s="84">
        <f t="shared" si="7"/>
        <v>383683.6486575437</v>
      </c>
      <c r="N60" s="91">
        <f t="shared" si="4"/>
        <v>0.5590326400282869</v>
      </c>
      <c r="O60" s="86" t="s">
        <v>140</v>
      </c>
      <c r="P60" s="5"/>
      <c r="Q60" s="5"/>
      <c r="R60" s="5"/>
    </row>
    <row r="61" spans="1:18" x14ac:dyDescent="0.35">
      <c r="A61" s="72" t="s">
        <v>90</v>
      </c>
      <c r="B61" s="5">
        <v>53</v>
      </c>
      <c r="C61" s="114" t="s">
        <v>96</v>
      </c>
      <c r="D61" s="97" t="s">
        <v>141</v>
      </c>
      <c r="E61" s="98" t="s">
        <v>142</v>
      </c>
      <c r="F61" s="99">
        <v>7</v>
      </c>
      <c r="G61" s="100"/>
      <c r="H61" s="103">
        <v>62.38</v>
      </c>
      <c r="I61" s="89"/>
      <c r="J61" s="92">
        <v>52.337100982666023</v>
      </c>
      <c r="K61" s="89">
        <f t="shared" si="5"/>
        <v>485716.03578266152</v>
      </c>
      <c r="L61" s="90">
        <f t="shared" si="6"/>
        <v>6.5206691466759739E-4</v>
      </c>
      <c r="M61" s="84">
        <f t="shared" si="7"/>
        <v>-93203.425617338507</v>
      </c>
      <c r="N61" s="91">
        <f t="shared" si="4"/>
        <v>-0.16099549562895124</v>
      </c>
      <c r="O61" s="86" t="s">
        <v>143</v>
      </c>
      <c r="P61" s="5"/>
      <c r="Q61" s="5"/>
      <c r="R61" s="5"/>
    </row>
    <row r="62" spans="1:18" x14ac:dyDescent="0.35">
      <c r="A62" s="72" t="s">
        <v>90</v>
      </c>
      <c r="B62" s="5">
        <v>54</v>
      </c>
      <c r="C62" s="114" t="s">
        <v>96</v>
      </c>
      <c r="D62" s="97" t="s">
        <v>144</v>
      </c>
      <c r="E62" s="98" t="s">
        <v>145</v>
      </c>
      <c r="F62" s="99">
        <v>53</v>
      </c>
      <c r="G62" s="100"/>
      <c r="H62" s="103">
        <v>17.91</v>
      </c>
      <c r="I62" s="89"/>
      <c r="J62" s="92">
        <v>11.89000034332275</v>
      </c>
      <c r="K62" s="89">
        <f t="shared" si="5"/>
        <v>835473.108424215</v>
      </c>
      <c r="L62" s="90">
        <f t="shared" si="6"/>
        <v>1.1216108424752403E-3</v>
      </c>
      <c r="M62" s="84">
        <f t="shared" si="7"/>
        <v>-423006.53327578504</v>
      </c>
      <c r="N62" s="91">
        <f t="shared" si="4"/>
        <v>-0.33612505062407877</v>
      </c>
      <c r="O62" s="86" t="s">
        <v>145</v>
      </c>
      <c r="P62" s="5"/>
      <c r="Q62" s="5"/>
      <c r="R62" s="5"/>
    </row>
    <row r="63" spans="1:18" x14ac:dyDescent="0.35">
      <c r="A63" s="72" t="s">
        <v>90</v>
      </c>
      <c r="B63" s="5">
        <v>55</v>
      </c>
      <c r="C63" s="114" t="s">
        <v>96</v>
      </c>
      <c r="D63" s="97" t="s">
        <v>146</v>
      </c>
      <c r="E63" s="98" t="s">
        <v>147</v>
      </c>
      <c r="F63" s="99">
        <v>10</v>
      </c>
      <c r="G63" s="100"/>
      <c r="H63" s="103">
        <v>63.31</v>
      </c>
      <c r="I63" s="89"/>
      <c r="J63" s="92">
        <v>37.345001220703118</v>
      </c>
      <c r="K63" s="89">
        <f t="shared" si="5"/>
        <v>495116.29168395989</v>
      </c>
      <c r="L63" s="90">
        <f t="shared" si="6"/>
        <v>6.6468662538554505E-4</v>
      </c>
      <c r="M63" s="84">
        <f t="shared" si="7"/>
        <v>-344241.35731604008</v>
      </c>
      <c r="N63" s="91">
        <f t="shared" si="4"/>
        <v>-0.41012476353335775</v>
      </c>
      <c r="O63" s="86" t="s">
        <v>147</v>
      </c>
      <c r="P63" s="5"/>
      <c r="Q63" s="5"/>
      <c r="R63" s="5"/>
    </row>
    <row r="64" spans="1:18" ht="12.75" customHeight="1" x14ac:dyDescent="0.35">
      <c r="A64" s="72" t="s">
        <v>90</v>
      </c>
      <c r="B64" s="5">
        <v>56</v>
      </c>
      <c r="C64" s="114" t="s">
        <v>96</v>
      </c>
      <c r="D64" s="97" t="s">
        <v>148</v>
      </c>
      <c r="E64" s="98" t="s">
        <v>149</v>
      </c>
      <c r="F64" s="99">
        <v>1</v>
      </c>
      <c r="G64" s="100"/>
      <c r="H64" s="103">
        <v>340.5</v>
      </c>
      <c r="I64" s="89"/>
      <c r="J64" s="92">
        <v>419.3800048828125</v>
      </c>
      <c r="K64" s="89">
        <f t="shared" si="5"/>
        <v>556009.81667358393</v>
      </c>
      <c r="L64" s="90">
        <f t="shared" si="6"/>
        <v>7.4643532223315232E-4</v>
      </c>
      <c r="M64" s="84">
        <f t="shared" si="7"/>
        <v>104578.32167358394</v>
      </c>
      <c r="N64" s="91">
        <f t="shared" si="4"/>
        <v>0.23165933886288537</v>
      </c>
      <c r="O64" s="86" t="s">
        <v>149</v>
      </c>
      <c r="P64" s="5"/>
      <c r="Q64" s="5"/>
      <c r="R64" s="5"/>
    </row>
    <row r="65" spans="1:18" ht="12.75" customHeight="1" x14ac:dyDescent="0.35">
      <c r="A65" s="72" t="s">
        <v>90</v>
      </c>
      <c r="B65" s="5">
        <v>57</v>
      </c>
      <c r="C65" s="114" t="s">
        <v>96</v>
      </c>
      <c r="D65" s="97" t="s">
        <v>150</v>
      </c>
      <c r="E65" s="98" t="s">
        <v>151</v>
      </c>
      <c r="F65" s="99">
        <v>2</v>
      </c>
      <c r="G65" s="100"/>
      <c r="H65" s="103">
        <v>203.66499999999999</v>
      </c>
      <c r="I65" s="89"/>
      <c r="J65" s="92">
        <v>170.72999572753909</v>
      </c>
      <c r="K65" s="89">
        <f t="shared" si="5"/>
        <v>452704.2420712281</v>
      </c>
      <c r="L65" s="90">
        <f t="shared" si="6"/>
        <v>6.0774904808044282E-4</v>
      </c>
      <c r="M65" s="84">
        <f t="shared" si="7"/>
        <v>-87329.79862877191</v>
      </c>
      <c r="N65" s="91">
        <f t="shared" si="4"/>
        <v>-0.16171165527931119</v>
      </c>
      <c r="O65" s="86" t="s">
        <v>152</v>
      </c>
      <c r="P65" s="5"/>
      <c r="Q65" s="5"/>
      <c r="R65" s="5"/>
    </row>
    <row r="66" spans="1:18" ht="12.75" customHeight="1" x14ac:dyDescent="0.35">
      <c r="A66" s="72" t="s">
        <v>90</v>
      </c>
      <c r="B66" s="5">
        <v>58</v>
      </c>
      <c r="C66" s="114" t="s">
        <v>96</v>
      </c>
      <c r="D66" s="97" t="s">
        <v>153</v>
      </c>
      <c r="E66" s="98" t="s">
        <v>154</v>
      </c>
      <c r="F66" s="99">
        <v>2</v>
      </c>
      <c r="G66" s="100"/>
      <c r="H66" s="103">
        <v>213.8</v>
      </c>
      <c r="I66" s="89"/>
      <c r="J66" s="92">
        <v>106</v>
      </c>
      <c r="K66" s="89">
        <f t="shared" si="5"/>
        <v>281067.48</v>
      </c>
      <c r="L66" s="90">
        <f t="shared" si="6"/>
        <v>3.7732912029901509E-4</v>
      </c>
      <c r="M66" s="84">
        <f t="shared" si="7"/>
        <v>-285840.32400000002</v>
      </c>
      <c r="N66" s="91">
        <f t="shared" si="4"/>
        <v>-0.50420954162768949</v>
      </c>
      <c r="O66" s="86" t="s">
        <v>155</v>
      </c>
      <c r="P66" s="5"/>
      <c r="Q66" s="5"/>
      <c r="R66" s="5"/>
    </row>
    <row r="67" spans="1:18" ht="12.75" customHeight="1" x14ac:dyDescent="0.35">
      <c r="A67" s="72" t="s">
        <v>90</v>
      </c>
      <c r="B67" s="5">
        <v>59</v>
      </c>
      <c r="C67" s="104" t="s">
        <v>96</v>
      </c>
      <c r="D67" s="110" t="s">
        <v>156</v>
      </c>
      <c r="E67" s="110" t="s">
        <v>157</v>
      </c>
      <c r="F67" s="110">
        <v>2</v>
      </c>
      <c r="G67" s="104"/>
      <c r="H67" s="103">
        <v>163.125</v>
      </c>
      <c r="I67" s="82"/>
      <c r="J67" s="92">
        <v>126.0709991455078</v>
      </c>
      <c r="K67" s="89">
        <f t="shared" si="5"/>
        <v>334287.33991424553</v>
      </c>
      <c r="L67" s="90">
        <f t="shared" si="6"/>
        <v>4.4877603021502207E-4</v>
      </c>
      <c r="M67" s="84">
        <f t="shared" si="7"/>
        <v>-98251.647585754457</v>
      </c>
      <c r="N67" s="85">
        <f t="shared" si="4"/>
        <v>-0.22715096309267258</v>
      </c>
      <c r="O67" s="86" t="s">
        <v>157</v>
      </c>
      <c r="P67" s="5"/>
      <c r="Q67" s="5"/>
      <c r="R67" s="5"/>
    </row>
    <row r="68" spans="1:18" ht="12.75" customHeight="1" x14ac:dyDescent="0.35">
      <c r="A68" s="72" t="s">
        <v>90</v>
      </c>
      <c r="B68" s="5">
        <v>60</v>
      </c>
      <c r="C68" s="114" t="s">
        <v>96</v>
      </c>
      <c r="D68" s="97" t="s">
        <v>158</v>
      </c>
      <c r="E68" s="98" t="s">
        <v>159</v>
      </c>
      <c r="F68" s="99">
        <v>34</v>
      </c>
      <c r="G68" s="100"/>
      <c r="H68" s="103">
        <v>9.51</v>
      </c>
      <c r="I68" s="89"/>
      <c r="J68" s="92">
        <v>4.6500000953674316</v>
      </c>
      <c r="K68" s="89">
        <f t="shared" si="5"/>
        <v>209607.40329886434</v>
      </c>
      <c r="L68" s="90">
        <f t="shared" si="6"/>
        <v>2.8139497708849618E-4</v>
      </c>
      <c r="M68" s="84">
        <f t="shared" si="7"/>
        <v>-219073.53530113565</v>
      </c>
      <c r="N68" s="91">
        <f t="shared" si="4"/>
        <v>-0.51104099943560133</v>
      </c>
      <c r="O68" s="86" t="s">
        <v>160</v>
      </c>
      <c r="P68" s="5"/>
      <c r="Q68" s="5"/>
      <c r="R68" s="5"/>
    </row>
    <row r="69" spans="1:18" ht="12.75" customHeight="1" x14ac:dyDescent="0.35">
      <c r="A69" s="72" t="s">
        <v>90</v>
      </c>
      <c r="B69" s="5">
        <v>61</v>
      </c>
      <c r="C69" s="114" t="s">
        <v>96</v>
      </c>
      <c r="D69" s="97" t="s">
        <v>161</v>
      </c>
      <c r="E69" s="98" t="s">
        <v>162</v>
      </c>
      <c r="F69" s="99">
        <v>2</v>
      </c>
      <c r="G69" s="100"/>
      <c r="H69" s="103">
        <v>100.529</v>
      </c>
      <c r="I69" s="89"/>
      <c r="J69" s="92">
        <v>99.5</v>
      </c>
      <c r="K69" s="89">
        <f t="shared" si="5"/>
        <v>263832.21000000002</v>
      </c>
      <c r="L69" s="90">
        <f t="shared" si="6"/>
        <v>3.5419101386558496E-4</v>
      </c>
      <c r="M69" s="84">
        <f t="shared" si="7"/>
        <v>-2728.4758199999342</v>
      </c>
      <c r="N69" s="91">
        <f t="shared" si="4"/>
        <v>-1.0235852341115254E-2</v>
      </c>
      <c r="O69" s="86" t="s">
        <v>163</v>
      </c>
      <c r="P69" s="5"/>
      <c r="Q69" s="5"/>
      <c r="R69" s="5"/>
    </row>
    <row r="70" spans="1:18" ht="12.75" customHeight="1" x14ac:dyDescent="0.35">
      <c r="A70" s="72" t="s">
        <v>90</v>
      </c>
      <c r="B70" s="5">
        <v>62</v>
      </c>
      <c r="C70" s="114" t="s">
        <v>96</v>
      </c>
      <c r="D70" s="97" t="s">
        <v>164</v>
      </c>
      <c r="E70" s="98" t="s">
        <v>165</v>
      </c>
      <c r="F70" s="99">
        <v>20</v>
      </c>
      <c r="G70" s="100"/>
      <c r="H70" s="103">
        <v>19.711300000000001</v>
      </c>
      <c r="I70" s="89"/>
      <c r="J70" s="92">
        <v>5.3350000381469727</v>
      </c>
      <c r="K70" s="89">
        <f t="shared" si="5"/>
        <v>141461.79401149749</v>
      </c>
      <c r="L70" s="90">
        <f t="shared" si="6"/>
        <v>1.8991045954615181E-4</v>
      </c>
      <c r="M70" s="84">
        <f t="shared" si="7"/>
        <v>-381199.09452850255</v>
      </c>
      <c r="N70" s="91">
        <f t="shared" si="4"/>
        <v>-0.72934306523938186</v>
      </c>
      <c r="O70" s="86" t="s">
        <v>164</v>
      </c>
      <c r="P70" s="5"/>
      <c r="Q70" s="5"/>
      <c r="R70" s="5"/>
    </row>
    <row r="71" spans="1:18" ht="12.75" customHeight="1" x14ac:dyDescent="0.35">
      <c r="A71" s="72" t="s">
        <v>90</v>
      </c>
      <c r="B71" s="5">
        <v>63</v>
      </c>
      <c r="C71" s="114" t="s">
        <v>18</v>
      </c>
      <c r="D71" s="97" t="s">
        <v>166</v>
      </c>
      <c r="E71" s="98" t="s">
        <v>167</v>
      </c>
      <c r="F71" s="99">
        <v>15</v>
      </c>
      <c r="G71" s="100">
        <v>32011</v>
      </c>
      <c r="H71" s="103"/>
      <c r="I71" s="87">
        <v>14420</v>
      </c>
      <c r="J71" s="88"/>
      <c r="K71" s="89">
        <f t="shared" si="5"/>
        <v>216300</v>
      </c>
      <c r="L71" s="90">
        <f t="shared" si="6"/>
        <v>2.9037969359058178E-4</v>
      </c>
      <c r="M71" s="84">
        <f t="shared" si="7"/>
        <v>-263865</v>
      </c>
      <c r="N71" s="91">
        <f t="shared" si="4"/>
        <v>-0.54952984911436698</v>
      </c>
      <c r="O71" s="86" t="s">
        <v>168</v>
      </c>
      <c r="P71" s="5"/>
      <c r="Q71" s="5"/>
      <c r="R71" s="5"/>
    </row>
    <row r="72" spans="1:18" ht="12.75" customHeight="1" x14ac:dyDescent="0.35">
      <c r="A72" s="72" t="s">
        <v>90</v>
      </c>
      <c r="B72" s="5">
        <v>64</v>
      </c>
      <c r="C72" s="104" t="s">
        <v>96</v>
      </c>
      <c r="D72" s="110" t="s">
        <v>169</v>
      </c>
      <c r="E72" s="110" t="s">
        <v>170</v>
      </c>
      <c r="F72" s="110">
        <v>3</v>
      </c>
      <c r="G72" s="104"/>
      <c r="H72" s="103">
        <v>63.42</v>
      </c>
      <c r="I72" s="82"/>
      <c r="J72" s="92">
        <v>26.79999923706055</v>
      </c>
      <c r="K72" s="89">
        <f t="shared" si="5"/>
        <v>106593.51296550751</v>
      </c>
      <c r="L72" s="90">
        <f t="shared" si="6"/>
        <v>1.4310028494529716E-4</v>
      </c>
      <c r="M72" s="84">
        <f t="shared" si="7"/>
        <v>-145651.2924344925</v>
      </c>
      <c r="N72" s="85">
        <f t="shared" ref="N72:N103" si="8">IFERROR(M72/(K72-M72),)</f>
        <v>-0.57742038415230923</v>
      </c>
      <c r="O72" s="86" t="s">
        <v>170</v>
      </c>
      <c r="P72" s="5"/>
      <c r="Q72" s="5"/>
      <c r="R72" s="5"/>
    </row>
    <row r="73" spans="1:18" ht="12.75" customHeight="1" x14ac:dyDescent="0.35">
      <c r="A73" s="72" t="s">
        <v>90</v>
      </c>
      <c r="B73" s="5">
        <v>65</v>
      </c>
      <c r="C73" s="113"/>
      <c r="D73" s="111" t="s">
        <v>113</v>
      </c>
      <c r="E73" s="134" t="s">
        <v>171</v>
      </c>
      <c r="F73" s="104">
        <v>1</v>
      </c>
      <c r="G73" s="105">
        <v>54332</v>
      </c>
      <c r="H73" s="112"/>
      <c r="I73" s="82">
        <f>G73</f>
        <v>54332</v>
      </c>
      <c r="J73" s="88"/>
      <c r="K73" s="89">
        <f t="shared" ref="K73:K104" si="9">IFERROR(I73*F73+J73*$J$5*F73,)</f>
        <v>54332</v>
      </c>
      <c r="L73" s="90">
        <f t="shared" ref="L73:L104" si="10">IFERROR(K73/$K$8,)</f>
        <v>7.2939942266128012E-5</v>
      </c>
      <c r="M73" s="84">
        <f t="shared" ref="M73:M83" si="11">IFERROR(K73-G73*F73-H73*$J$5*F73,)</f>
        <v>0</v>
      </c>
      <c r="N73" s="85">
        <f t="shared" si="8"/>
        <v>0</v>
      </c>
      <c r="O73" s="86" t="s">
        <v>113</v>
      </c>
      <c r="P73" s="5"/>
      <c r="Q73" s="5"/>
      <c r="R73" s="5"/>
    </row>
    <row r="74" spans="1:18" ht="12.75" customHeight="1" x14ac:dyDescent="0.35">
      <c r="A74" s="72" t="s">
        <v>90</v>
      </c>
      <c r="B74" s="5">
        <v>66</v>
      </c>
      <c r="C74" s="114"/>
      <c r="D74" s="97" t="s">
        <v>113</v>
      </c>
      <c r="E74" s="135" t="s">
        <v>118</v>
      </c>
      <c r="F74" s="99">
        <v>1</v>
      </c>
      <c r="G74" s="100">
        <v>0</v>
      </c>
      <c r="H74" s="103"/>
      <c r="I74" s="82">
        <f>G74</f>
        <v>0</v>
      </c>
      <c r="J74" s="88"/>
      <c r="K74" s="89">
        <f t="shared" si="9"/>
        <v>0</v>
      </c>
      <c r="L74" s="90">
        <f t="shared" si="10"/>
        <v>0</v>
      </c>
      <c r="M74" s="84">
        <f t="shared" si="11"/>
        <v>0</v>
      </c>
      <c r="N74" s="91">
        <f t="shared" si="8"/>
        <v>0</v>
      </c>
      <c r="O74" s="86" t="s">
        <v>115</v>
      </c>
      <c r="P74" s="5"/>
      <c r="Q74" s="5"/>
      <c r="R74" s="5"/>
    </row>
    <row r="75" spans="1:18" ht="12.75" customHeight="1" x14ac:dyDescent="0.35">
      <c r="A75" s="5" t="s">
        <v>172</v>
      </c>
      <c r="B75" s="5">
        <v>67</v>
      </c>
      <c r="C75" s="114"/>
      <c r="D75" s="106" t="s">
        <v>113</v>
      </c>
      <c r="E75" s="131" t="s">
        <v>114</v>
      </c>
      <c r="F75" s="107">
        <v>1</v>
      </c>
      <c r="G75" s="108">
        <v>40325031</v>
      </c>
      <c r="H75" s="109"/>
      <c r="I75" s="82">
        <f>G75</f>
        <v>40325031</v>
      </c>
      <c r="J75" s="88"/>
      <c r="K75" s="89">
        <f t="shared" si="9"/>
        <v>40325031</v>
      </c>
      <c r="L75" s="90">
        <f t="shared" si="10"/>
        <v>5.4135784307955209E-2</v>
      </c>
      <c r="M75" s="84">
        <f t="shared" si="11"/>
        <v>0</v>
      </c>
      <c r="N75" s="91">
        <f t="shared" si="8"/>
        <v>0</v>
      </c>
      <c r="O75" s="86" t="s">
        <v>113</v>
      </c>
      <c r="P75" s="5"/>
      <c r="Q75" s="5"/>
      <c r="R75" s="5"/>
    </row>
    <row r="76" spans="1:18" ht="12.75" customHeight="1" x14ac:dyDescent="0.35">
      <c r="A76" s="5" t="s">
        <v>173</v>
      </c>
      <c r="B76" s="5">
        <v>68</v>
      </c>
      <c r="C76" s="114" t="s">
        <v>18</v>
      </c>
      <c r="D76" s="97" t="s">
        <v>174</v>
      </c>
      <c r="E76" s="98" t="s">
        <v>175</v>
      </c>
      <c r="F76" s="99">
        <v>794</v>
      </c>
      <c r="G76" s="100">
        <v>17065</v>
      </c>
      <c r="H76" s="103"/>
      <c r="I76" s="87">
        <v>14560</v>
      </c>
      <c r="J76" s="88"/>
      <c r="K76" s="89">
        <f t="shared" si="9"/>
        <v>11560640</v>
      </c>
      <c r="L76" s="90">
        <f t="shared" si="10"/>
        <v>1.5519995843324195E-2</v>
      </c>
      <c r="M76" s="84">
        <f t="shared" si="11"/>
        <v>-1988970</v>
      </c>
      <c r="N76" s="91">
        <f t="shared" si="8"/>
        <v>-0.14679167887489011</v>
      </c>
      <c r="O76" s="86" t="s">
        <v>176</v>
      </c>
      <c r="P76" s="5"/>
      <c r="Q76" s="5"/>
      <c r="R76" s="5"/>
    </row>
    <row r="77" spans="1:18" ht="12.75" customHeight="1" x14ac:dyDescent="0.35">
      <c r="A77" s="5" t="s">
        <v>173</v>
      </c>
      <c r="B77" s="5">
        <v>69</v>
      </c>
      <c r="C77" s="114" t="s">
        <v>18</v>
      </c>
      <c r="D77" s="97" t="s">
        <v>177</v>
      </c>
      <c r="E77" s="98" t="s">
        <v>178</v>
      </c>
      <c r="F77" s="99">
        <v>57</v>
      </c>
      <c r="G77" s="100">
        <v>177652</v>
      </c>
      <c r="H77" s="103"/>
      <c r="I77" s="87">
        <v>172000</v>
      </c>
      <c r="J77" s="88"/>
      <c r="K77" s="89">
        <f t="shared" si="9"/>
        <v>9804000</v>
      </c>
      <c r="L77" s="90">
        <f t="shared" si="10"/>
        <v>1.316173146538171E-2</v>
      </c>
      <c r="M77" s="84">
        <f t="shared" si="11"/>
        <v>-322164</v>
      </c>
      <c r="N77" s="91">
        <f t="shared" si="8"/>
        <v>-3.1815009118951659E-2</v>
      </c>
      <c r="O77" s="86" t="s">
        <v>40</v>
      </c>
      <c r="P77" s="5"/>
      <c r="Q77" s="5"/>
      <c r="R77" s="5"/>
    </row>
    <row r="78" spans="1:18" ht="12.75" customHeight="1" x14ac:dyDescent="0.35">
      <c r="A78" s="5" t="s">
        <v>173</v>
      </c>
      <c r="B78" s="5">
        <v>70</v>
      </c>
      <c r="C78" s="114" t="s">
        <v>18</v>
      </c>
      <c r="D78" s="97" t="s">
        <v>179</v>
      </c>
      <c r="E78" s="98" t="s">
        <v>180</v>
      </c>
      <c r="F78" s="99">
        <v>323</v>
      </c>
      <c r="G78" s="100">
        <v>24648</v>
      </c>
      <c r="H78" s="103"/>
      <c r="I78" s="87">
        <v>30110</v>
      </c>
      <c r="J78" s="88"/>
      <c r="K78" s="89">
        <f t="shared" si="9"/>
        <v>9725530</v>
      </c>
      <c r="L78" s="90">
        <f t="shared" si="10"/>
        <v>1.3056386599195611E-2</v>
      </c>
      <c r="M78" s="84">
        <f t="shared" si="11"/>
        <v>1764226</v>
      </c>
      <c r="N78" s="91">
        <f t="shared" si="8"/>
        <v>0.22160012982797794</v>
      </c>
      <c r="O78" s="86" t="s">
        <v>181</v>
      </c>
      <c r="P78" s="5"/>
      <c r="Q78" s="5"/>
      <c r="R78" s="5"/>
    </row>
    <row r="79" spans="1:18" ht="12.75" customHeight="1" x14ac:dyDescent="0.35">
      <c r="A79" s="5" t="s">
        <v>173</v>
      </c>
      <c r="B79" s="5">
        <v>71</v>
      </c>
      <c r="C79" s="114" t="s">
        <v>18</v>
      </c>
      <c r="D79" s="97" t="s">
        <v>48</v>
      </c>
      <c r="E79" s="98" t="s">
        <v>182</v>
      </c>
      <c r="F79" s="99">
        <v>376</v>
      </c>
      <c r="G79" s="100">
        <v>18437</v>
      </c>
      <c r="H79" s="103"/>
      <c r="I79" s="87">
        <v>21090</v>
      </c>
      <c r="J79" s="88"/>
      <c r="K79" s="89">
        <f t="shared" si="9"/>
        <v>7929840</v>
      </c>
      <c r="L79" s="90">
        <f t="shared" si="10"/>
        <v>1.0645698148045951E-2</v>
      </c>
      <c r="M79" s="84">
        <f t="shared" si="11"/>
        <v>997528</v>
      </c>
      <c r="N79" s="91">
        <f t="shared" si="8"/>
        <v>0.14389542767261485</v>
      </c>
      <c r="O79" s="86" t="s">
        <v>50</v>
      </c>
      <c r="P79" s="5"/>
      <c r="Q79" s="5"/>
      <c r="R79" s="5"/>
    </row>
    <row r="80" spans="1:18" ht="12.75" customHeight="1" x14ac:dyDescent="0.35">
      <c r="A80" s="72" t="s">
        <v>183</v>
      </c>
      <c r="B80" s="5">
        <v>72</v>
      </c>
      <c r="C80" s="104"/>
      <c r="D80" s="111" t="s">
        <v>113</v>
      </c>
      <c r="E80" s="136" t="s">
        <v>184</v>
      </c>
      <c r="F80" s="110">
        <v>1</v>
      </c>
      <c r="G80" s="104">
        <v>13435000</v>
      </c>
      <c r="H80" s="103"/>
      <c r="I80" s="82">
        <f>G80</f>
        <v>13435000</v>
      </c>
      <c r="J80" s="88"/>
      <c r="K80" s="89">
        <f t="shared" si="9"/>
        <v>13435000</v>
      </c>
      <c r="L80" s="90">
        <f t="shared" si="10"/>
        <v>1.803629765783387E-2</v>
      </c>
      <c r="M80" s="84">
        <f t="shared" si="11"/>
        <v>0</v>
      </c>
      <c r="N80" s="85">
        <f t="shared" si="8"/>
        <v>0</v>
      </c>
      <c r="O80" s="86" t="s">
        <v>185</v>
      </c>
      <c r="P80" s="5"/>
      <c r="Q80" s="5"/>
      <c r="R80" s="5"/>
    </row>
    <row r="81" spans="1:18" x14ac:dyDescent="0.35">
      <c r="A81" s="115" t="s">
        <v>186</v>
      </c>
      <c r="B81" s="5">
        <v>73</v>
      </c>
      <c r="C81" s="118" t="s">
        <v>96</v>
      </c>
      <c r="D81" s="119" t="s">
        <v>187</v>
      </c>
      <c r="E81" s="118" t="s">
        <v>188</v>
      </c>
      <c r="F81" s="104">
        <v>1</v>
      </c>
      <c r="G81" s="104"/>
      <c r="H81" s="120">
        <v>181.32</v>
      </c>
      <c r="I81" s="86"/>
      <c r="J81" s="122">
        <v>227.39500427246091</v>
      </c>
      <c r="K81" s="89">
        <f t="shared" si="9"/>
        <v>301478.02271438594</v>
      </c>
      <c r="L81" s="90">
        <f t="shared" si="10"/>
        <v>4.047299854835776E-4</v>
      </c>
      <c r="M81" s="84">
        <f t="shared" si="11"/>
        <v>61085.779914385959</v>
      </c>
      <c r="N81" s="85">
        <f t="shared" si="8"/>
        <v>0.25410878156000949</v>
      </c>
      <c r="O81" s="124" t="s">
        <v>188</v>
      </c>
      <c r="P81" s="5"/>
      <c r="Q81" s="5"/>
      <c r="R81" s="5"/>
    </row>
    <row r="82" spans="1:18" ht="12.75" customHeight="1" x14ac:dyDescent="0.35">
      <c r="A82" s="115" t="s">
        <v>186</v>
      </c>
      <c r="B82" s="5">
        <v>74</v>
      </c>
      <c r="C82" s="118" t="s">
        <v>96</v>
      </c>
      <c r="D82" s="121" t="s">
        <v>189</v>
      </c>
      <c r="E82" s="121" t="s">
        <v>190</v>
      </c>
      <c r="F82" s="104">
        <v>1</v>
      </c>
      <c r="G82" s="104"/>
      <c r="H82" s="120">
        <v>144.41</v>
      </c>
      <c r="I82" s="86"/>
      <c r="J82" s="123">
        <v>178.4649963378906</v>
      </c>
      <c r="K82" s="89">
        <f t="shared" si="9"/>
        <v>236607.10749481196</v>
      </c>
      <c r="L82" s="90">
        <f t="shared" si="10"/>
        <v>3.1764169845444913E-4</v>
      </c>
      <c r="M82" s="84">
        <f t="shared" si="11"/>
        <v>45149.773594811966</v>
      </c>
      <c r="N82" s="85">
        <f t="shared" si="8"/>
        <v>0.23582159364234187</v>
      </c>
      <c r="O82" s="125" t="s">
        <v>190</v>
      </c>
      <c r="P82" s="5"/>
      <c r="Q82" s="5"/>
      <c r="R82" s="5"/>
    </row>
    <row r="83" spans="1:18" ht="12.75" customHeight="1" x14ac:dyDescent="0.35">
      <c r="A83" s="115" t="s">
        <v>186</v>
      </c>
      <c r="B83" s="5">
        <v>75</v>
      </c>
      <c r="C83" s="118" t="s">
        <v>96</v>
      </c>
      <c r="D83" s="119" t="s">
        <v>191</v>
      </c>
      <c r="E83" s="121" t="s">
        <v>192</v>
      </c>
      <c r="F83" s="104">
        <v>2</v>
      </c>
      <c r="G83" s="104"/>
      <c r="H83" s="120">
        <v>111.91</v>
      </c>
      <c r="I83" s="86"/>
      <c r="J83" s="123">
        <v>118.2200012207031</v>
      </c>
      <c r="K83" s="89">
        <f t="shared" si="9"/>
        <v>313469.79083679192</v>
      </c>
      <c r="L83" s="90">
        <f t="shared" si="10"/>
        <v>4.2082876473921124E-4</v>
      </c>
      <c r="M83" s="84">
        <f t="shared" si="11"/>
        <v>16731.473036791955</v>
      </c>
      <c r="N83" s="85">
        <f t="shared" si="8"/>
        <v>5.6384605671549563E-2</v>
      </c>
      <c r="O83" s="125" t="s">
        <v>192</v>
      </c>
      <c r="P83" s="5"/>
      <c r="Q83" s="5"/>
      <c r="R83" s="5"/>
    </row>
    <row r="84" spans="1:18" ht="12.75" customHeight="1" x14ac:dyDescent="0.35">
      <c r="A84" s="5"/>
      <c r="B84" s="5"/>
      <c r="C84" s="116"/>
      <c r="D84" s="116"/>
      <c r="E84" s="117"/>
      <c r="F84" s="116"/>
      <c r="G84" s="116"/>
      <c r="H84" s="116"/>
      <c r="I84" s="5"/>
      <c r="L84" s="5"/>
      <c r="M84" s="5"/>
      <c r="N84" s="5"/>
      <c r="O84" s="126"/>
      <c r="P84" s="5"/>
      <c r="Q84" s="5"/>
      <c r="R84" s="5"/>
    </row>
    <row r="85" spans="1:18" ht="12.75" customHeight="1" x14ac:dyDescent="0.35">
      <c r="A85" s="5"/>
      <c r="B85" s="5"/>
      <c r="C85" s="5"/>
      <c r="D85" s="5"/>
      <c r="E85" s="13"/>
      <c r="F85" s="5"/>
      <c r="G85" s="5"/>
      <c r="H85" s="5"/>
      <c r="I85" s="5"/>
      <c r="L85" s="5"/>
      <c r="M85" s="5"/>
      <c r="N85" s="5"/>
      <c r="O85" s="5"/>
      <c r="P85" s="5"/>
      <c r="Q85" s="5"/>
      <c r="R85" s="5"/>
    </row>
    <row r="86" spans="1:18" ht="12.75" customHeight="1" x14ac:dyDescent="0.35">
      <c r="A86" s="5"/>
      <c r="B86" s="5"/>
      <c r="C86" s="5"/>
      <c r="D86" s="5"/>
      <c r="E86" s="13"/>
      <c r="F86" s="5"/>
      <c r="G86" s="5"/>
      <c r="H86" s="5"/>
      <c r="I86" s="5"/>
      <c r="L86" s="5"/>
      <c r="M86" s="5"/>
      <c r="N86" s="5"/>
      <c r="O86" s="5"/>
      <c r="P86" s="5"/>
      <c r="Q86" s="5"/>
      <c r="R86" s="5"/>
    </row>
    <row r="87" spans="1:18" ht="12.75" customHeight="1" x14ac:dyDescent="0.35">
      <c r="A87" s="5"/>
      <c r="B87" s="5"/>
      <c r="C87" s="5"/>
      <c r="D87" s="5"/>
      <c r="E87" s="13"/>
      <c r="F87" s="5"/>
      <c r="G87" s="5"/>
      <c r="H87" s="5"/>
      <c r="I87" s="5"/>
      <c r="L87" s="5"/>
      <c r="M87" s="5"/>
      <c r="N87" s="5"/>
      <c r="O87" s="5"/>
      <c r="P87" s="5"/>
      <c r="Q87" s="5"/>
      <c r="R87" s="5"/>
    </row>
    <row r="88" spans="1:18" ht="12.75" customHeight="1" x14ac:dyDescent="0.35">
      <c r="A88" s="5"/>
      <c r="B88" s="5"/>
      <c r="C88" s="5"/>
      <c r="D88" s="5"/>
      <c r="E88" s="13"/>
      <c r="F88" s="5"/>
      <c r="G88" s="5"/>
      <c r="H88" s="5"/>
      <c r="I88" s="5"/>
      <c r="L88" s="5"/>
      <c r="M88" s="5"/>
      <c r="N88" s="5"/>
      <c r="O88" s="5"/>
      <c r="P88" s="5"/>
      <c r="Q88" s="5"/>
      <c r="R88" s="5"/>
    </row>
    <row r="89" spans="1:18" ht="12.75" customHeight="1" x14ac:dyDescent="0.35">
      <c r="A89" s="5"/>
      <c r="B89" s="5"/>
      <c r="C89" s="5"/>
      <c r="D89" s="5"/>
      <c r="E89" s="13"/>
      <c r="F89" s="5"/>
      <c r="G89" s="5"/>
      <c r="H89" s="5"/>
      <c r="I89" s="5"/>
      <c r="L89" s="5"/>
      <c r="M89" s="5"/>
      <c r="N89" s="5"/>
      <c r="O89" s="5"/>
      <c r="P89" s="5"/>
      <c r="Q89" s="5"/>
      <c r="R89" s="5"/>
    </row>
    <row r="90" spans="1:18" ht="12.75" customHeight="1" x14ac:dyDescent="0.35">
      <c r="A90" s="5"/>
      <c r="B90" s="5"/>
      <c r="C90" s="5"/>
      <c r="D90" s="5"/>
      <c r="E90" s="13"/>
      <c r="F90" s="5"/>
      <c r="G90" s="5"/>
      <c r="H90" s="5"/>
      <c r="I90" s="5"/>
      <c r="L90" s="5"/>
      <c r="M90" s="5"/>
      <c r="N90" s="5"/>
      <c r="O90" s="5"/>
      <c r="P90" s="5"/>
      <c r="Q90" s="5"/>
      <c r="R90" s="5"/>
    </row>
    <row r="91" spans="1:18" ht="12.75" customHeight="1" x14ac:dyDescent="0.3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</row>
    <row r="92" spans="1:18" ht="12.75" customHeight="1" x14ac:dyDescent="0.3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</row>
    <row r="93" spans="1:18" ht="12.75" customHeight="1" x14ac:dyDescent="0.3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</row>
    <row r="94" spans="1:18" ht="12.75" customHeight="1" x14ac:dyDescent="0.3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</row>
    <row r="95" spans="1:18" ht="12.75" customHeight="1" x14ac:dyDescent="0.3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</row>
    <row r="96" spans="1:18" ht="12.75" customHeight="1" x14ac:dyDescent="0.3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</row>
    <row r="97" spans="1:18" ht="12.75" customHeight="1" x14ac:dyDescent="0.3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</row>
    <row r="98" spans="1:18" ht="12.75" customHeight="1" x14ac:dyDescent="0.3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</row>
    <row r="99" spans="1:18" ht="12.75" customHeight="1" x14ac:dyDescent="0.3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</row>
    <row r="100" spans="1:18" ht="12.75" customHeight="1" x14ac:dyDescent="0.3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</row>
    <row r="101" spans="1:18" ht="12.75" customHeight="1" x14ac:dyDescent="0.3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</row>
    <row r="102" spans="1:18" ht="12.75" customHeight="1" x14ac:dyDescent="0.3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</row>
    <row r="103" spans="1:18" ht="12.75" customHeight="1" x14ac:dyDescent="0.3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</row>
    <row r="104" spans="1:18" ht="12.75" customHeight="1" x14ac:dyDescent="0.3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</row>
    <row r="105" spans="1:18" ht="12.75" customHeight="1" x14ac:dyDescent="0.3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</row>
    <row r="106" spans="1:18" ht="12.75" customHeight="1" x14ac:dyDescent="0.3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</row>
    <row r="107" spans="1:18" ht="12.75" customHeight="1" x14ac:dyDescent="0.3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</row>
    <row r="108" spans="1:18" ht="12.75" customHeight="1" x14ac:dyDescent="0.3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</row>
    <row r="109" spans="1:18" ht="12.75" customHeight="1" x14ac:dyDescent="0.3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</row>
    <row r="110" spans="1:18" ht="12.75" customHeight="1" x14ac:dyDescent="0.3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</row>
    <row r="111" spans="1:18" ht="12.75" customHeight="1" x14ac:dyDescent="0.3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</row>
    <row r="112" spans="1:18" ht="12.75" customHeight="1" x14ac:dyDescent="0.3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</row>
    <row r="113" spans="1:18" ht="12.75" customHeight="1" x14ac:dyDescent="0.3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</row>
    <row r="114" spans="1:18" ht="12.75" customHeight="1" x14ac:dyDescent="0.3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</row>
    <row r="115" spans="1:18" ht="12.75" customHeight="1" x14ac:dyDescent="0.3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</row>
    <row r="116" spans="1:18" ht="12.75" customHeight="1" x14ac:dyDescent="0.3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</row>
    <row r="117" spans="1:18" ht="12.75" customHeight="1" x14ac:dyDescent="0.3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</row>
    <row r="118" spans="1:18" ht="12.75" customHeight="1" x14ac:dyDescent="0.3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</row>
    <row r="119" spans="1:18" ht="12.75" customHeight="1" x14ac:dyDescent="0.3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</row>
    <row r="120" spans="1:18" ht="12.75" customHeight="1" x14ac:dyDescent="0.3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</row>
    <row r="121" spans="1:18" ht="12.75" customHeight="1" x14ac:dyDescent="0.3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</row>
    <row r="122" spans="1:18" ht="12.75" customHeight="1" x14ac:dyDescent="0.3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</row>
    <row r="123" spans="1:18" ht="12.75" customHeight="1" x14ac:dyDescent="0.3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</row>
    <row r="124" spans="1:18" ht="12.75" customHeight="1" x14ac:dyDescent="0.3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</row>
    <row r="125" spans="1:18" ht="12.75" customHeight="1" x14ac:dyDescent="0.3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</row>
    <row r="126" spans="1:18" ht="12.75" customHeight="1" x14ac:dyDescent="0.3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</row>
    <row r="127" spans="1:18" ht="12.75" customHeight="1" x14ac:dyDescent="0.3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</row>
    <row r="128" spans="1:18" ht="12.75" customHeight="1" x14ac:dyDescent="0.3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</row>
    <row r="129" spans="1:18" ht="12.75" customHeight="1" x14ac:dyDescent="0.3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</row>
    <row r="130" spans="1:18" ht="12.75" customHeight="1" x14ac:dyDescent="0.3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</row>
    <row r="131" spans="1:18" ht="12.75" customHeight="1" x14ac:dyDescent="0.3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</row>
    <row r="132" spans="1:18" ht="12.75" customHeight="1" x14ac:dyDescent="0.3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</row>
    <row r="133" spans="1:18" ht="12.75" customHeight="1" x14ac:dyDescent="0.3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</row>
    <row r="134" spans="1:18" ht="12.75" customHeight="1" x14ac:dyDescent="0.3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</row>
    <row r="135" spans="1:18" ht="12.75" customHeight="1" x14ac:dyDescent="0.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</row>
    <row r="136" spans="1:18" ht="12.75" customHeight="1" x14ac:dyDescent="0.3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</row>
    <row r="137" spans="1:18" ht="12.75" customHeight="1" x14ac:dyDescent="0.3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</row>
    <row r="138" spans="1:18" ht="12.75" customHeight="1" x14ac:dyDescent="0.3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</row>
    <row r="139" spans="1:18" ht="12.75" customHeight="1" x14ac:dyDescent="0.3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</row>
    <row r="140" spans="1:18" ht="12.75" customHeight="1" x14ac:dyDescent="0.3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</row>
    <row r="141" spans="1:18" ht="12.75" customHeight="1" x14ac:dyDescent="0.3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</row>
    <row r="142" spans="1:18" ht="12.75" customHeight="1" x14ac:dyDescent="0.3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</row>
    <row r="143" spans="1:18" ht="12.75" customHeight="1" x14ac:dyDescent="0.3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</row>
    <row r="144" spans="1:18" ht="12.75" customHeight="1" x14ac:dyDescent="0.3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</row>
    <row r="145" spans="1:18" ht="12.75" customHeight="1" x14ac:dyDescent="0.3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</row>
    <row r="146" spans="1:18" ht="12.75" customHeight="1" x14ac:dyDescent="0.3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</row>
    <row r="147" spans="1:18" ht="12.75" customHeight="1" x14ac:dyDescent="0.3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</row>
    <row r="148" spans="1:18" ht="12.75" customHeight="1" x14ac:dyDescent="0.3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</row>
    <row r="149" spans="1:18" ht="12.75" customHeight="1" x14ac:dyDescent="0.3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</row>
    <row r="150" spans="1:18" ht="12.75" customHeight="1" x14ac:dyDescent="0.3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</row>
    <row r="151" spans="1:18" ht="12.75" customHeight="1" x14ac:dyDescent="0.3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</row>
    <row r="152" spans="1:18" ht="12.75" customHeight="1" x14ac:dyDescent="0.3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</row>
    <row r="153" spans="1:18" ht="12.75" customHeight="1" x14ac:dyDescent="0.3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</row>
    <row r="154" spans="1:18" ht="12.75" customHeight="1" x14ac:dyDescent="0.3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</row>
    <row r="155" spans="1:18" ht="12.75" customHeight="1" x14ac:dyDescent="0.3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</row>
    <row r="156" spans="1:18" ht="12.75" customHeight="1" x14ac:dyDescent="0.3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</row>
    <row r="157" spans="1:18" ht="12.75" customHeight="1" x14ac:dyDescent="0.3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</row>
    <row r="158" spans="1:18" ht="12.75" customHeight="1" x14ac:dyDescent="0.3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</row>
    <row r="159" spans="1:18" ht="12.75" customHeight="1" x14ac:dyDescent="0.3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</row>
    <row r="160" spans="1:18" ht="12.75" customHeight="1" x14ac:dyDescent="0.3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</row>
    <row r="161" spans="1:18" ht="12.75" customHeight="1" x14ac:dyDescent="0.3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</row>
    <row r="162" spans="1:18" ht="12.75" customHeight="1" x14ac:dyDescent="0.3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</row>
    <row r="163" spans="1:18" ht="12.75" customHeight="1" x14ac:dyDescent="0.3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</row>
    <row r="164" spans="1:18" ht="12.75" customHeight="1" x14ac:dyDescent="0.3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</row>
    <row r="165" spans="1:18" ht="12.75" customHeight="1" x14ac:dyDescent="0.3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</row>
    <row r="166" spans="1:18" ht="12.75" customHeight="1" x14ac:dyDescent="0.3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</row>
    <row r="167" spans="1:18" ht="12.75" customHeight="1" x14ac:dyDescent="0.3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</row>
    <row r="168" spans="1:18" ht="12.75" customHeight="1" x14ac:dyDescent="0.3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</row>
    <row r="169" spans="1:18" ht="12.75" customHeight="1" x14ac:dyDescent="0.3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</row>
    <row r="170" spans="1:18" ht="12.75" customHeight="1" x14ac:dyDescent="0.3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</row>
    <row r="171" spans="1:18" ht="12.75" customHeight="1" x14ac:dyDescent="0.3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</row>
    <row r="172" spans="1:18" ht="12.75" customHeight="1" x14ac:dyDescent="0.3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</row>
    <row r="173" spans="1:18" ht="12.75" customHeight="1" x14ac:dyDescent="0.3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</row>
    <row r="174" spans="1:18" ht="12.75" customHeight="1" x14ac:dyDescent="0.3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</row>
    <row r="175" spans="1:18" ht="12.75" customHeight="1" x14ac:dyDescent="0.3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</row>
    <row r="176" spans="1:18" ht="12.75" customHeight="1" x14ac:dyDescent="0.3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</row>
    <row r="177" spans="1:18" ht="12.75" customHeight="1" x14ac:dyDescent="0.3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</row>
    <row r="178" spans="1:18" ht="12.75" customHeight="1" x14ac:dyDescent="0.3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</row>
    <row r="179" spans="1:18" ht="12.75" customHeight="1" x14ac:dyDescent="0.3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</row>
    <row r="180" spans="1:18" ht="12.75" customHeight="1" x14ac:dyDescent="0.3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</row>
    <row r="181" spans="1:18" ht="12.75" customHeight="1" x14ac:dyDescent="0.3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</row>
    <row r="182" spans="1:18" ht="12.75" customHeight="1" x14ac:dyDescent="0.3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</row>
    <row r="183" spans="1:18" ht="12.75" customHeight="1" x14ac:dyDescent="0.3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</row>
    <row r="184" spans="1:18" ht="12.75" customHeight="1" x14ac:dyDescent="0.3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</row>
    <row r="185" spans="1:18" ht="12.75" customHeight="1" x14ac:dyDescent="0.3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</row>
    <row r="186" spans="1:18" ht="12.75" customHeight="1" x14ac:dyDescent="0.3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</row>
    <row r="187" spans="1:18" ht="12.75" customHeight="1" x14ac:dyDescent="0.3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</row>
    <row r="188" spans="1:18" ht="12.75" customHeight="1" x14ac:dyDescent="0.3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</row>
    <row r="189" spans="1:18" ht="12.75" customHeight="1" x14ac:dyDescent="0.3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</row>
    <row r="190" spans="1:18" ht="12.75" customHeight="1" x14ac:dyDescent="0.3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</row>
    <row r="191" spans="1:18" ht="12.75" customHeight="1" x14ac:dyDescent="0.3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</row>
    <row r="192" spans="1:18" ht="12.75" customHeight="1" x14ac:dyDescent="0.3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</row>
    <row r="193" spans="1:18" ht="12.75" customHeight="1" x14ac:dyDescent="0.3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</row>
    <row r="194" spans="1:18" ht="12.75" customHeight="1" x14ac:dyDescent="0.3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</row>
    <row r="195" spans="1:18" ht="12.75" customHeight="1" x14ac:dyDescent="0.3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</row>
    <row r="196" spans="1:18" ht="12.75" customHeight="1" x14ac:dyDescent="0.3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</row>
    <row r="197" spans="1:18" ht="12.75" customHeight="1" x14ac:dyDescent="0.3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</row>
    <row r="198" spans="1:18" ht="12.75" customHeight="1" x14ac:dyDescent="0.3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</row>
    <row r="199" spans="1:18" ht="12.75" customHeight="1" x14ac:dyDescent="0.3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</row>
    <row r="200" spans="1:18" ht="12.75" customHeight="1" x14ac:dyDescent="0.3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</row>
    <row r="201" spans="1:18" ht="12.75" customHeight="1" x14ac:dyDescent="0.3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</row>
    <row r="202" spans="1:18" ht="12.75" customHeight="1" x14ac:dyDescent="0.3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</row>
    <row r="203" spans="1:18" ht="12.75" customHeight="1" x14ac:dyDescent="0.3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</row>
    <row r="204" spans="1:18" ht="12.75" customHeight="1" x14ac:dyDescent="0.3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</row>
    <row r="205" spans="1:18" ht="12.75" customHeight="1" x14ac:dyDescent="0.3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</row>
    <row r="206" spans="1:18" ht="12.75" customHeight="1" x14ac:dyDescent="0.3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</row>
    <row r="207" spans="1:18" ht="12.75" customHeight="1" x14ac:dyDescent="0.3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</row>
    <row r="208" spans="1:18" ht="12.75" customHeight="1" x14ac:dyDescent="0.3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</row>
    <row r="209" spans="1:18" ht="12.75" customHeight="1" x14ac:dyDescent="0.3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</row>
    <row r="210" spans="1:18" ht="12.75" customHeight="1" x14ac:dyDescent="0.3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</row>
    <row r="211" spans="1:18" ht="12.75" customHeight="1" x14ac:dyDescent="0.3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</row>
    <row r="212" spans="1:18" ht="12.75" customHeight="1" x14ac:dyDescent="0.3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</row>
    <row r="213" spans="1:18" ht="12.75" customHeight="1" x14ac:dyDescent="0.3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</row>
    <row r="214" spans="1:18" ht="12.75" customHeight="1" x14ac:dyDescent="0.3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</row>
    <row r="215" spans="1:18" ht="12.75" customHeight="1" x14ac:dyDescent="0.3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</row>
    <row r="216" spans="1:18" ht="12.75" customHeight="1" x14ac:dyDescent="0.3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</row>
    <row r="217" spans="1:18" ht="12.75" customHeight="1" x14ac:dyDescent="0.3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</row>
    <row r="218" spans="1:18" ht="12.75" customHeight="1" x14ac:dyDescent="0.3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</row>
    <row r="219" spans="1:18" ht="12.75" customHeight="1" x14ac:dyDescent="0.3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</row>
    <row r="220" spans="1:18" ht="12.75" customHeight="1" x14ac:dyDescent="0.3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</row>
    <row r="221" spans="1:18" ht="12.75" customHeight="1" x14ac:dyDescent="0.3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</row>
    <row r="222" spans="1:18" ht="12.75" customHeight="1" x14ac:dyDescent="0.3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</row>
    <row r="223" spans="1:18" ht="12.75" customHeight="1" x14ac:dyDescent="0.3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</row>
    <row r="224" spans="1:18" ht="12.75" customHeight="1" x14ac:dyDescent="0.3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</row>
    <row r="225" spans="1:18" ht="12.75" customHeight="1" x14ac:dyDescent="0.3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</row>
    <row r="226" spans="1:18" ht="12.75" customHeight="1" x14ac:dyDescent="0.3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</row>
    <row r="227" spans="1:18" ht="12.75" customHeight="1" x14ac:dyDescent="0.3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</row>
    <row r="228" spans="1:18" ht="12.75" customHeight="1" x14ac:dyDescent="0.3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</row>
    <row r="229" spans="1:18" ht="12.75" customHeight="1" x14ac:dyDescent="0.3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</row>
    <row r="230" spans="1:18" ht="12.75" customHeight="1" x14ac:dyDescent="0.3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</row>
    <row r="231" spans="1:18" ht="12.75" customHeight="1" x14ac:dyDescent="0.3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</row>
    <row r="232" spans="1:18" ht="12.75" customHeight="1" x14ac:dyDescent="0.3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</row>
    <row r="233" spans="1:18" ht="12.75" customHeight="1" x14ac:dyDescent="0.3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</row>
    <row r="234" spans="1:18" ht="12.75" customHeight="1" x14ac:dyDescent="0.3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</row>
    <row r="235" spans="1:18" ht="12.75" customHeight="1" x14ac:dyDescent="0.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</row>
    <row r="236" spans="1:18" ht="12.75" customHeight="1" x14ac:dyDescent="0.3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</row>
    <row r="237" spans="1:18" ht="12.75" customHeight="1" x14ac:dyDescent="0.3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</row>
    <row r="238" spans="1:18" ht="12.75" customHeight="1" x14ac:dyDescent="0.3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</row>
    <row r="239" spans="1:18" ht="12.75" customHeight="1" x14ac:dyDescent="0.3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</row>
    <row r="240" spans="1:18" ht="12.75" customHeight="1" x14ac:dyDescent="0.3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</row>
    <row r="241" spans="1:18" ht="12.75" customHeight="1" x14ac:dyDescent="0.3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</row>
    <row r="242" spans="1:18" ht="12.75" customHeight="1" x14ac:dyDescent="0.3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</row>
    <row r="243" spans="1:18" ht="12.75" customHeight="1" x14ac:dyDescent="0.3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</row>
    <row r="244" spans="1:18" ht="12.75" customHeight="1" x14ac:dyDescent="0.3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</row>
    <row r="245" spans="1:18" ht="12.75" customHeight="1" x14ac:dyDescent="0.3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</row>
    <row r="246" spans="1:18" ht="12.75" customHeight="1" x14ac:dyDescent="0.3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</row>
    <row r="247" spans="1:18" ht="12.75" customHeight="1" x14ac:dyDescent="0.3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</row>
    <row r="248" spans="1:18" ht="12.75" customHeight="1" x14ac:dyDescent="0.3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</row>
    <row r="249" spans="1:18" ht="12.75" customHeight="1" x14ac:dyDescent="0.3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</row>
    <row r="250" spans="1:18" ht="12.75" customHeight="1" x14ac:dyDescent="0.3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</row>
    <row r="251" spans="1:18" ht="12.75" customHeight="1" x14ac:dyDescent="0.3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</row>
    <row r="252" spans="1:18" ht="12.75" customHeight="1" x14ac:dyDescent="0.3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</row>
    <row r="253" spans="1:18" ht="12.75" customHeight="1" x14ac:dyDescent="0.3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</row>
    <row r="254" spans="1:18" ht="12.75" customHeight="1" x14ac:dyDescent="0.3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</row>
    <row r="255" spans="1:18" ht="12.75" customHeight="1" x14ac:dyDescent="0.3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</row>
    <row r="256" spans="1:18" ht="12.75" customHeight="1" x14ac:dyDescent="0.3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</row>
    <row r="257" spans="1:18" ht="12.75" customHeight="1" x14ac:dyDescent="0.3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</row>
    <row r="258" spans="1:18" ht="12.75" customHeight="1" x14ac:dyDescent="0.3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</row>
    <row r="259" spans="1:18" ht="12.75" customHeight="1" x14ac:dyDescent="0.3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</row>
    <row r="260" spans="1:18" ht="12.75" customHeight="1" x14ac:dyDescent="0.3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</row>
    <row r="261" spans="1:18" ht="12.75" customHeight="1" x14ac:dyDescent="0.3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</row>
    <row r="262" spans="1:18" ht="12.75" customHeight="1" x14ac:dyDescent="0.3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</row>
    <row r="263" spans="1:18" ht="12.75" customHeight="1" x14ac:dyDescent="0.3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</row>
    <row r="264" spans="1:18" ht="12.75" customHeight="1" x14ac:dyDescent="0.3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</row>
    <row r="265" spans="1:18" ht="12.75" customHeight="1" x14ac:dyDescent="0.3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</row>
    <row r="266" spans="1:18" ht="12.75" customHeight="1" x14ac:dyDescent="0.3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</row>
    <row r="267" spans="1:18" ht="12.75" customHeight="1" x14ac:dyDescent="0.3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</row>
    <row r="268" spans="1:18" ht="12.75" customHeight="1" x14ac:dyDescent="0.3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</row>
    <row r="269" spans="1:18" ht="12.75" customHeight="1" x14ac:dyDescent="0.3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</row>
    <row r="270" spans="1:18" ht="12.75" customHeight="1" x14ac:dyDescent="0.3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</row>
    <row r="271" spans="1:18" ht="12.75" customHeight="1" x14ac:dyDescent="0.3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</row>
    <row r="272" spans="1:18" ht="12.75" customHeight="1" x14ac:dyDescent="0.3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</row>
    <row r="273" spans="1:18" ht="12.75" customHeight="1" x14ac:dyDescent="0.3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</row>
    <row r="274" spans="1:18" ht="12.75" customHeight="1" x14ac:dyDescent="0.3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</row>
    <row r="275" spans="1:18" ht="12.75" customHeight="1" x14ac:dyDescent="0.3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</row>
    <row r="276" spans="1:18" ht="12.75" customHeight="1" x14ac:dyDescent="0.3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</row>
    <row r="277" spans="1:18" ht="12.75" customHeight="1" x14ac:dyDescent="0.3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</row>
    <row r="278" spans="1:18" ht="12.75" customHeight="1" x14ac:dyDescent="0.3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</row>
    <row r="279" spans="1:18" ht="12.75" customHeight="1" x14ac:dyDescent="0.3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</row>
    <row r="280" spans="1:18" ht="12.75" customHeight="1" x14ac:dyDescent="0.3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</row>
    <row r="281" spans="1:18" ht="12.75" customHeight="1" x14ac:dyDescent="0.3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</row>
    <row r="282" spans="1:18" ht="12.75" customHeight="1" x14ac:dyDescent="0.3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</row>
    <row r="283" spans="1:18" ht="12.75" customHeight="1" x14ac:dyDescent="0.3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</row>
    <row r="284" spans="1:18" ht="12.75" customHeight="1" x14ac:dyDescent="0.3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</row>
    <row r="285" spans="1:18" ht="12.75" customHeight="1" x14ac:dyDescent="0.3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</row>
    <row r="286" spans="1:18" ht="12.75" customHeight="1" x14ac:dyDescent="0.3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</row>
    <row r="287" spans="1:18" ht="12.75" customHeight="1" x14ac:dyDescent="0.3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</row>
    <row r="288" spans="1:18" ht="12.75" customHeight="1" x14ac:dyDescent="0.3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</row>
    <row r="289" spans="1:18" ht="12.75" customHeight="1" x14ac:dyDescent="0.3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</row>
    <row r="290" spans="1:18" ht="12.75" customHeight="1" x14ac:dyDescent="0.3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</row>
    <row r="291" spans="1:18" ht="12.75" customHeight="1" x14ac:dyDescent="0.3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</row>
    <row r="292" spans="1:18" ht="12.75" customHeight="1" x14ac:dyDescent="0.3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</row>
    <row r="293" spans="1:18" ht="12.75" customHeight="1" x14ac:dyDescent="0.3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</row>
    <row r="294" spans="1:18" ht="12.75" customHeight="1" x14ac:dyDescent="0.3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</row>
    <row r="295" spans="1:18" ht="12.75" customHeight="1" x14ac:dyDescent="0.3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</row>
    <row r="296" spans="1:18" ht="12.75" customHeight="1" x14ac:dyDescent="0.3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</row>
    <row r="297" spans="1:18" ht="12.75" customHeight="1" x14ac:dyDescent="0.3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</row>
    <row r="298" spans="1:18" ht="12.75" customHeight="1" x14ac:dyDescent="0.3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</row>
    <row r="299" spans="1:18" ht="12.75" customHeight="1" x14ac:dyDescent="0.3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</row>
    <row r="300" spans="1:18" ht="12.75" customHeight="1" x14ac:dyDescent="0.3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</row>
    <row r="301" spans="1:18" ht="12.75" customHeight="1" x14ac:dyDescent="0.3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</row>
    <row r="302" spans="1:18" ht="12.75" customHeight="1" x14ac:dyDescent="0.3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</row>
    <row r="303" spans="1:18" ht="12.75" customHeight="1" x14ac:dyDescent="0.3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</row>
    <row r="304" spans="1:18" ht="12.75" customHeight="1" x14ac:dyDescent="0.3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</row>
    <row r="305" spans="1:18" ht="12.75" customHeight="1" x14ac:dyDescent="0.3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</row>
    <row r="306" spans="1:18" ht="12.75" customHeight="1" x14ac:dyDescent="0.3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</row>
    <row r="307" spans="1:18" ht="12.75" customHeight="1" x14ac:dyDescent="0.3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</row>
    <row r="308" spans="1:18" ht="12.75" customHeight="1" x14ac:dyDescent="0.3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</row>
    <row r="309" spans="1:18" ht="12.75" customHeight="1" x14ac:dyDescent="0.3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</row>
    <row r="310" spans="1:18" ht="12.75" customHeight="1" x14ac:dyDescent="0.3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</row>
    <row r="311" spans="1:18" ht="12.75" customHeight="1" x14ac:dyDescent="0.3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</row>
    <row r="312" spans="1:18" ht="12.75" customHeight="1" x14ac:dyDescent="0.3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</row>
    <row r="313" spans="1:18" ht="12.75" customHeight="1" x14ac:dyDescent="0.3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</row>
    <row r="314" spans="1:18" ht="12.75" customHeight="1" x14ac:dyDescent="0.3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</row>
    <row r="315" spans="1:18" ht="12.75" customHeight="1" x14ac:dyDescent="0.3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</row>
    <row r="316" spans="1:18" ht="12.75" customHeight="1" x14ac:dyDescent="0.3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</row>
    <row r="317" spans="1:18" ht="12.75" customHeight="1" x14ac:dyDescent="0.3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</row>
    <row r="318" spans="1:18" ht="12.75" customHeight="1" x14ac:dyDescent="0.3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</row>
    <row r="319" spans="1:18" ht="12.75" customHeight="1" x14ac:dyDescent="0.3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</row>
    <row r="320" spans="1:18" ht="12.75" customHeight="1" x14ac:dyDescent="0.3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</row>
    <row r="321" spans="1:18" ht="12.75" customHeight="1" x14ac:dyDescent="0.3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</row>
    <row r="322" spans="1:18" ht="12.75" customHeight="1" x14ac:dyDescent="0.3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</row>
    <row r="323" spans="1:18" ht="12.75" customHeight="1" x14ac:dyDescent="0.3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</row>
    <row r="324" spans="1:18" ht="12.75" customHeight="1" x14ac:dyDescent="0.3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</row>
    <row r="325" spans="1:18" ht="12.75" customHeight="1" x14ac:dyDescent="0.3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</row>
    <row r="326" spans="1:18" ht="12.75" customHeight="1" x14ac:dyDescent="0.3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</row>
    <row r="327" spans="1:18" ht="12.75" customHeight="1" x14ac:dyDescent="0.3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</row>
    <row r="328" spans="1:18" ht="12.75" customHeight="1" x14ac:dyDescent="0.3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</row>
    <row r="329" spans="1:18" ht="12.75" customHeight="1" x14ac:dyDescent="0.3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</row>
    <row r="330" spans="1:18" ht="12.75" customHeight="1" x14ac:dyDescent="0.3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</row>
    <row r="331" spans="1:18" ht="12.75" customHeight="1" x14ac:dyDescent="0.3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</row>
    <row r="332" spans="1:18" ht="12.75" customHeight="1" x14ac:dyDescent="0.3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</row>
    <row r="333" spans="1:18" ht="12.75" customHeight="1" x14ac:dyDescent="0.3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</row>
    <row r="334" spans="1:18" ht="12.75" customHeight="1" x14ac:dyDescent="0.3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</row>
    <row r="335" spans="1:18" ht="12.75" customHeight="1" x14ac:dyDescent="0.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</row>
    <row r="336" spans="1:18" ht="12.75" customHeight="1" x14ac:dyDescent="0.3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</row>
    <row r="337" spans="1:18" ht="12.75" customHeight="1" x14ac:dyDescent="0.3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</row>
    <row r="338" spans="1:18" ht="12.75" customHeight="1" x14ac:dyDescent="0.3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</row>
    <row r="339" spans="1:18" ht="12.75" customHeight="1" x14ac:dyDescent="0.3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</row>
    <row r="340" spans="1:18" ht="12.75" customHeight="1" x14ac:dyDescent="0.3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</row>
    <row r="341" spans="1:18" ht="12.75" customHeight="1" x14ac:dyDescent="0.3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</row>
    <row r="342" spans="1:18" ht="12.75" customHeight="1" x14ac:dyDescent="0.3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</row>
    <row r="343" spans="1:18" ht="12.75" customHeight="1" x14ac:dyDescent="0.3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</row>
    <row r="344" spans="1:18" ht="12.75" customHeight="1" x14ac:dyDescent="0.3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</row>
    <row r="345" spans="1:18" ht="12.75" customHeight="1" x14ac:dyDescent="0.3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</row>
    <row r="346" spans="1:18" ht="12.75" customHeight="1" x14ac:dyDescent="0.3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</row>
    <row r="347" spans="1:18" ht="12.75" customHeight="1" x14ac:dyDescent="0.3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</row>
    <row r="348" spans="1:18" ht="12.75" customHeight="1" x14ac:dyDescent="0.3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</row>
    <row r="349" spans="1:18" ht="12.75" customHeight="1" x14ac:dyDescent="0.3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</row>
    <row r="350" spans="1:18" ht="12.75" customHeight="1" x14ac:dyDescent="0.3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</row>
    <row r="351" spans="1:18" ht="12.75" customHeight="1" x14ac:dyDescent="0.3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</row>
    <row r="352" spans="1:18" ht="12.75" customHeight="1" x14ac:dyDescent="0.3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</row>
    <row r="353" spans="1:18" ht="12.75" customHeight="1" x14ac:dyDescent="0.3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</row>
    <row r="354" spans="1:18" ht="12.75" customHeight="1" x14ac:dyDescent="0.3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</row>
    <row r="355" spans="1:18" ht="12.75" customHeight="1" x14ac:dyDescent="0.3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</row>
    <row r="356" spans="1:18" ht="12.75" customHeight="1" x14ac:dyDescent="0.3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</row>
    <row r="357" spans="1:18" ht="12.75" customHeight="1" x14ac:dyDescent="0.3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</row>
    <row r="358" spans="1:18" ht="12.75" customHeight="1" x14ac:dyDescent="0.3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</row>
    <row r="359" spans="1:18" ht="12.75" customHeight="1" x14ac:dyDescent="0.3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</row>
    <row r="360" spans="1:18" ht="12.75" customHeight="1" x14ac:dyDescent="0.3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</row>
    <row r="361" spans="1:18" ht="12.75" customHeight="1" x14ac:dyDescent="0.3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</row>
    <row r="362" spans="1:18" ht="12.75" customHeight="1" x14ac:dyDescent="0.3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</row>
    <row r="363" spans="1:18" ht="12.75" customHeight="1" x14ac:dyDescent="0.3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</row>
    <row r="364" spans="1:18" ht="12.75" customHeight="1" x14ac:dyDescent="0.3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</row>
    <row r="365" spans="1:18" ht="12.75" customHeight="1" x14ac:dyDescent="0.3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</row>
    <row r="366" spans="1:18" ht="12.75" customHeight="1" x14ac:dyDescent="0.3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</row>
    <row r="367" spans="1:18" ht="12.75" customHeight="1" x14ac:dyDescent="0.3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</row>
    <row r="368" spans="1:18" ht="12.75" customHeight="1" x14ac:dyDescent="0.3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</row>
    <row r="369" spans="1:18" ht="12.75" customHeight="1" x14ac:dyDescent="0.3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</row>
    <row r="370" spans="1:18" ht="12.75" customHeight="1" x14ac:dyDescent="0.3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</row>
    <row r="371" spans="1:18" ht="12.75" customHeight="1" x14ac:dyDescent="0.3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</row>
    <row r="372" spans="1:18" ht="12.75" customHeight="1" x14ac:dyDescent="0.3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</row>
    <row r="373" spans="1:18" ht="12.75" customHeight="1" x14ac:dyDescent="0.3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</row>
    <row r="374" spans="1:18" ht="12.75" customHeight="1" x14ac:dyDescent="0.3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</row>
    <row r="375" spans="1:18" ht="12.75" customHeight="1" x14ac:dyDescent="0.3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</row>
    <row r="376" spans="1:18" ht="12.75" customHeight="1" x14ac:dyDescent="0.3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</row>
    <row r="377" spans="1:18" ht="12.75" customHeight="1" x14ac:dyDescent="0.3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</row>
    <row r="378" spans="1:18" ht="12.75" customHeight="1" x14ac:dyDescent="0.3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</row>
    <row r="379" spans="1:18" ht="12.75" customHeight="1" x14ac:dyDescent="0.3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</row>
    <row r="380" spans="1:18" ht="12.75" customHeight="1" x14ac:dyDescent="0.3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</row>
    <row r="381" spans="1:18" ht="12.75" customHeight="1" x14ac:dyDescent="0.3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</row>
    <row r="382" spans="1:18" ht="12.75" customHeight="1" x14ac:dyDescent="0.3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</row>
    <row r="383" spans="1:18" ht="12.75" customHeight="1" x14ac:dyDescent="0.3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</row>
    <row r="384" spans="1:18" ht="12.75" customHeight="1" x14ac:dyDescent="0.3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</row>
    <row r="385" spans="1:18" ht="12.75" customHeight="1" x14ac:dyDescent="0.3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</row>
    <row r="386" spans="1:18" ht="12.75" customHeight="1" x14ac:dyDescent="0.3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</row>
    <row r="387" spans="1:18" ht="12.75" customHeight="1" x14ac:dyDescent="0.3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</row>
    <row r="388" spans="1:18" ht="12.75" customHeight="1" x14ac:dyDescent="0.3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</row>
    <row r="389" spans="1:18" ht="12.75" customHeight="1" x14ac:dyDescent="0.3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</row>
    <row r="390" spans="1:18" ht="12.75" customHeight="1" x14ac:dyDescent="0.3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</row>
    <row r="391" spans="1:18" ht="12.75" customHeight="1" x14ac:dyDescent="0.3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</row>
    <row r="392" spans="1:18" ht="12.75" customHeight="1" x14ac:dyDescent="0.3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</row>
    <row r="393" spans="1:18" ht="12.75" customHeight="1" x14ac:dyDescent="0.3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</row>
    <row r="394" spans="1:18" ht="12.75" customHeight="1" x14ac:dyDescent="0.3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</row>
    <row r="395" spans="1:18" ht="12.75" customHeight="1" x14ac:dyDescent="0.3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</row>
    <row r="396" spans="1:18" ht="12.75" customHeight="1" x14ac:dyDescent="0.3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</row>
    <row r="397" spans="1:18" ht="12.75" customHeight="1" x14ac:dyDescent="0.3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</row>
    <row r="398" spans="1:18" ht="12.75" customHeight="1" x14ac:dyDescent="0.3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</row>
    <row r="399" spans="1:18" ht="12.75" customHeight="1" x14ac:dyDescent="0.3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</row>
    <row r="400" spans="1:18" ht="12.75" customHeight="1" x14ac:dyDescent="0.3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</row>
    <row r="401" spans="1:18" ht="12.75" customHeight="1" x14ac:dyDescent="0.3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</row>
    <row r="402" spans="1:18" ht="12.75" customHeight="1" x14ac:dyDescent="0.3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</row>
    <row r="403" spans="1:18" ht="12.75" customHeight="1" x14ac:dyDescent="0.3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</row>
    <row r="404" spans="1:18" ht="12.75" customHeight="1" x14ac:dyDescent="0.3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</row>
    <row r="405" spans="1:18" ht="12.75" customHeight="1" x14ac:dyDescent="0.3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</row>
    <row r="406" spans="1:18" ht="12.75" customHeight="1" x14ac:dyDescent="0.3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</row>
    <row r="407" spans="1:18" ht="12.75" customHeight="1" x14ac:dyDescent="0.3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</row>
    <row r="408" spans="1:18" ht="12.75" customHeight="1" x14ac:dyDescent="0.3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</row>
    <row r="409" spans="1:18" ht="12.75" customHeight="1" x14ac:dyDescent="0.3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</row>
    <row r="410" spans="1:18" ht="12.75" customHeight="1" x14ac:dyDescent="0.3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</row>
    <row r="411" spans="1:18" ht="12.75" customHeight="1" x14ac:dyDescent="0.3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</row>
    <row r="412" spans="1:18" ht="12.75" customHeight="1" x14ac:dyDescent="0.3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</row>
    <row r="413" spans="1:18" ht="12.75" customHeight="1" x14ac:dyDescent="0.3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</row>
    <row r="414" spans="1:18" ht="12.75" customHeight="1" x14ac:dyDescent="0.3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</row>
    <row r="415" spans="1:18" ht="12.75" customHeight="1" x14ac:dyDescent="0.3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</row>
    <row r="416" spans="1:18" ht="12.75" customHeight="1" x14ac:dyDescent="0.3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</row>
    <row r="417" spans="1:18" ht="12.75" customHeight="1" x14ac:dyDescent="0.3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</row>
    <row r="418" spans="1:18" ht="12.75" customHeight="1" x14ac:dyDescent="0.3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</row>
    <row r="419" spans="1:18" ht="12.75" customHeight="1" x14ac:dyDescent="0.3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</row>
    <row r="420" spans="1:18" ht="12.75" customHeight="1" x14ac:dyDescent="0.3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</row>
    <row r="421" spans="1:18" ht="12.75" customHeight="1" x14ac:dyDescent="0.3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</row>
    <row r="422" spans="1:18" ht="12.75" customHeight="1" x14ac:dyDescent="0.3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</row>
    <row r="423" spans="1:18" ht="12.75" customHeight="1" x14ac:dyDescent="0.3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</row>
    <row r="424" spans="1:18" ht="12.75" customHeight="1" x14ac:dyDescent="0.3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</row>
    <row r="425" spans="1:18" ht="12.75" customHeight="1" x14ac:dyDescent="0.3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</row>
    <row r="426" spans="1:18" ht="12.75" customHeight="1" x14ac:dyDescent="0.3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</row>
    <row r="427" spans="1:18" ht="12.75" customHeight="1" x14ac:dyDescent="0.3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</row>
    <row r="428" spans="1:18" ht="12.75" customHeight="1" x14ac:dyDescent="0.3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</row>
    <row r="429" spans="1:18" ht="12.75" customHeight="1" x14ac:dyDescent="0.3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</row>
    <row r="430" spans="1:18" ht="12.75" customHeight="1" x14ac:dyDescent="0.3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</row>
    <row r="431" spans="1:18" ht="12.75" customHeight="1" x14ac:dyDescent="0.3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</row>
    <row r="432" spans="1:18" ht="12.75" customHeight="1" x14ac:dyDescent="0.3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</row>
    <row r="433" spans="1:18" ht="12.75" customHeight="1" x14ac:dyDescent="0.3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</row>
    <row r="434" spans="1:18" ht="12.75" customHeight="1" x14ac:dyDescent="0.3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</row>
    <row r="435" spans="1:18" ht="12.75" customHeight="1" x14ac:dyDescent="0.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</row>
    <row r="436" spans="1:18" ht="12.75" customHeight="1" x14ac:dyDescent="0.3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</row>
    <row r="437" spans="1:18" ht="12.75" customHeight="1" x14ac:dyDescent="0.3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</row>
    <row r="438" spans="1:18" ht="12.75" customHeight="1" x14ac:dyDescent="0.3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</row>
    <row r="439" spans="1:18" ht="12.75" customHeight="1" x14ac:dyDescent="0.3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</row>
    <row r="440" spans="1:18" ht="12.75" customHeight="1" x14ac:dyDescent="0.3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</row>
    <row r="441" spans="1:18" ht="12.75" customHeight="1" x14ac:dyDescent="0.3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</row>
    <row r="442" spans="1:18" ht="12.75" customHeight="1" x14ac:dyDescent="0.3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</row>
    <row r="443" spans="1:18" ht="12.75" customHeight="1" x14ac:dyDescent="0.3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</row>
    <row r="444" spans="1:18" ht="12.75" customHeight="1" x14ac:dyDescent="0.3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</row>
    <row r="445" spans="1:18" ht="12.75" customHeight="1" x14ac:dyDescent="0.3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</row>
    <row r="446" spans="1:18" ht="12.75" customHeight="1" x14ac:dyDescent="0.3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</row>
    <row r="447" spans="1:18" ht="12.75" customHeight="1" x14ac:dyDescent="0.3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</row>
    <row r="448" spans="1:18" ht="12.75" customHeight="1" x14ac:dyDescent="0.3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</row>
    <row r="449" spans="1:18" ht="12.75" customHeight="1" x14ac:dyDescent="0.3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</row>
    <row r="450" spans="1:18" ht="12.75" customHeight="1" x14ac:dyDescent="0.3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</row>
    <row r="451" spans="1:18" ht="12.75" customHeight="1" x14ac:dyDescent="0.3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</row>
    <row r="452" spans="1:18" ht="12.75" customHeight="1" x14ac:dyDescent="0.3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</row>
    <row r="453" spans="1:18" ht="12.75" customHeight="1" x14ac:dyDescent="0.3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</row>
    <row r="454" spans="1:18" ht="12.75" customHeight="1" x14ac:dyDescent="0.3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</row>
    <row r="455" spans="1:18" ht="12.75" customHeight="1" x14ac:dyDescent="0.3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</row>
    <row r="456" spans="1:18" ht="12.75" customHeight="1" x14ac:dyDescent="0.3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</row>
    <row r="457" spans="1:18" ht="12.75" customHeight="1" x14ac:dyDescent="0.3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</row>
    <row r="458" spans="1:18" ht="12.75" customHeight="1" x14ac:dyDescent="0.3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</row>
    <row r="459" spans="1:18" ht="12.75" customHeight="1" x14ac:dyDescent="0.3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</row>
    <row r="460" spans="1:18" ht="12.75" customHeight="1" x14ac:dyDescent="0.3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</row>
    <row r="461" spans="1:18" ht="12.75" customHeight="1" x14ac:dyDescent="0.3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</row>
    <row r="462" spans="1:18" ht="12.75" customHeight="1" x14ac:dyDescent="0.3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</row>
    <row r="463" spans="1:18" ht="12.75" customHeight="1" x14ac:dyDescent="0.3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</row>
    <row r="464" spans="1:18" ht="12.75" customHeight="1" x14ac:dyDescent="0.3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</row>
    <row r="465" spans="1:18" ht="12.75" customHeight="1" x14ac:dyDescent="0.3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</row>
    <row r="466" spans="1:18" ht="12.75" customHeight="1" x14ac:dyDescent="0.3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</row>
    <row r="467" spans="1:18" ht="12.75" customHeight="1" x14ac:dyDescent="0.3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</row>
    <row r="468" spans="1:18" ht="12.75" customHeight="1" x14ac:dyDescent="0.3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</row>
    <row r="469" spans="1:18" ht="12.75" customHeight="1" x14ac:dyDescent="0.3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</row>
    <row r="470" spans="1:18" ht="12.75" customHeight="1" x14ac:dyDescent="0.3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</row>
    <row r="471" spans="1:18" ht="12.75" customHeight="1" x14ac:dyDescent="0.3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</row>
    <row r="472" spans="1:18" ht="12.75" customHeight="1" x14ac:dyDescent="0.3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</row>
    <row r="473" spans="1:18" ht="12.75" customHeight="1" x14ac:dyDescent="0.3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</row>
    <row r="474" spans="1:18" ht="12.75" customHeight="1" x14ac:dyDescent="0.3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</row>
    <row r="475" spans="1:18" ht="12.75" customHeight="1" x14ac:dyDescent="0.3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</row>
    <row r="476" spans="1:18" ht="12.75" customHeight="1" x14ac:dyDescent="0.3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</row>
    <row r="477" spans="1:18" ht="12.75" customHeight="1" x14ac:dyDescent="0.3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</row>
    <row r="478" spans="1:18" ht="12.75" customHeight="1" x14ac:dyDescent="0.3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</row>
    <row r="479" spans="1:18" ht="12.75" customHeight="1" x14ac:dyDescent="0.3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</row>
    <row r="480" spans="1:18" ht="12.75" customHeight="1" x14ac:dyDescent="0.3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</row>
    <row r="481" spans="1:18" ht="12.75" customHeight="1" x14ac:dyDescent="0.3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</row>
    <row r="482" spans="1:18" ht="12.75" customHeight="1" x14ac:dyDescent="0.3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</row>
    <row r="483" spans="1:18" ht="12.75" customHeight="1" x14ac:dyDescent="0.3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</row>
    <row r="484" spans="1:18" ht="12.75" customHeight="1" x14ac:dyDescent="0.3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</row>
    <row r="485" spans="1:18" ht="12.75" customHeight="1" x14ac:dyDescent="0.3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</row>
    <row r="486" spans="1:18" ht="12.75" customHeight="1" x14ac:dyDescent="0.3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</row>
    <row r="487" spans="1:18" ht="12.75" customHeight="1" x14ac:dyDescent="0.3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</row>
    <row r="488" spans="1:18" ht="12.75" customHeight="1" x14ac:dyDescent="0.3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</row>
    <row r="489" spans="1:18" ht="12.75" customHeight="1" x14ac:dyDescent="0.3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</row>
    <row r="490" spans="1:18" ht="12.75" customHeight="1" x14ac:dyDescent="0.3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</row>
    <row r="491" spans="1:18" ht="12.75" customHeight="1" x14ac:dyDescent="0.3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</row>
    <row r="492" spans="1:18" ht="12.75" customHeight="1" x14ac:dyDescent="0.3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</row>
    <row r="493" spans="1:18" ht="12.75" customHeight="1" x14ac:dyDescent="0.3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</row>
    <row r="494" spans="1:18" ht="12.75" customHeight="1" x14ac:dyDescent="0.3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</row>
    <row r="495" spans="1:18" ht="12.75" customHeight="1" x14ac:dyDescent="0.3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</row>
    <row r="496" spans="1:18" ht="12.75" customHeight="1" x14ac:dyDescent="0.3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</row>
    <row r="497" spans="1:18" ht="12.75" customHeight="1" x14ac:dyDescent="0.3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</row>
    <row r="498" spans="1:18" ht="12.75" customHeight="1" x14ac:dyDescent="0.3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</row>
    <row r="499" spans="1:18" ht="12.75" customHeight="1" x14ac:dyDescent="0.3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</row>
    <row r="500" spans="1:18" ht="12.75" customHeight="1" x14ac:dyDescent="0.3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</row>
    <row r="501" spans="1:18" ht="12.75" customHeight="1" x14ac:dyDescent="0.3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</row>
    <row r="502" spans="1:18" ht="12.75" customHeight="1" x14ac:dyDescent="0.3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</row>
    <row r="503" spans="1:18" ht="12.75" customHeight="1" x14ac:dyDescent="0.3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</row>
    <row r="504" spans="1:18" ht="12.75" customHeight="1" x14ac:dyDescent="0.3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</row>
    <row r="505" spans="1:18" ht="12.75" customHeight="1" x14ac:dyDescent="0.3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</row>
    <row r="506" spans="1:18" ht="12.75" customHeight="1" x14ac:dyDescent="0.3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</row>
    <row r="507" spans="1:18" ht="12.75" customHeight="1" x14ac:dyDescent="0.3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</row>
    <row r="508" spans="1:18" ht="12.75" customHeight="1" x14ac:dyDescent="0.3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</row>
    <row r="509" spans="1:18" ht="12.75" customHeight="1" x14ac:dyDescent="0.3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</row>
    <row r="510" spans="1:18" ht="12.75" customHeight="1" x14ac:dyDescent="0.3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</row>
    <row r="511" spans="1:18" ht="12.75" customHeight="1" x14ac:dyDescent="0.3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</row>
    <row r="512" spans="1:18" ht="12.75" customHeight="1" x14ac:dyDescent="0.3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</row>
    <row r="513" spans="1:18" ht="12.75" customHeight="1" x14ac:dyDescent="0.3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</row>
    <row r="514" spans="1:18" ht="12.75" customHeight="1" x14ac:dyDescent="0.3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</row>
    <row r="515" spans="1:18" ht="12.75" customHeight="1" x14ac:dyDescent="0.3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</row>
    <row r="516" spans="1:18" ht="12.75" customHeight="1" x14ac:dyDescent="0.3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</row>
    <row r="517" spans="1:18" ht="12.75" customHeight="1" x14ac:dyDescent="0.3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</row>
    <row r="518" spans="1:18" ht="12.75" customHeight="1" x14ac:dyDescent="0.3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</row>
    <row r="519" spans="1:18" ht="12.75" customHeight="1" x14ac:dyDescent="0.3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</row>
    <row r="520" spans="1:18" ht="12.75" customHeight="1" x14ac:dyDescent="0.3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</row>
    <row r="521" spans="1:18" ht="12.75" customHeight="1" x14ac:dyDescent="0.3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</row>
    <row r="522" spans="1:18" ht="12.75" customHeight="1" x14ac:dyDescent="0.3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</row>
    <row r="523" spans="1:18" ht="12.75" customHeight="1" x14ac:dyDescent="0.3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</row>
    <row r="524" spans="1:18" ht="12.75" customHeight="1" x14ac:dyDescent="0.3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</row>
    <row r="525" spans="1:18" ht="12.75" customHeight="1" x14ac:dyDescent="0.3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</row>
    <row r="526" spans="1:18" ht="12.75" customHeight="1" x14ac:dyDescent="0.3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</row>
    <row r="527" spans="1:18" ht="12.75" customHeight="1" x14ac:dyDescent="0.3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</row>
    <row r="528" spans="1:18" ht="12.75" customHeight="1" x14ac:dyDescent="0.3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</row>
    <row r="529" spans="1:18" ht="12.75" customHeight="1" x14ac:dyDescent="0.3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</row>
    <row r="530" spans="1:18" ht="12.75" customHeight="1" x14ac:dyDescent="0.3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</row>
    <row r="531" spans="1:18" ht="12.75" customHeight="1" x14ac:dyDescent="0.3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</row>
    <row r="532" spans="1:18" ht="12.75" customHeight="1" x14ac:dyDescent="0.3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</row>
    <row r="533" spans="1:18" ht="12.75" customHeight="1" x14ac:dyDescent="0.3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</row>
    <row r="534" spans="1:18" ht="12.75" customHeight="1" x14ac:dyDescent="0.3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</row>
    <row r="535" spans="1:18" ht="12.75" customHeight="1" x14ac:dyDescent="0.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</row>
    <row r="536" spans="1:18" ht="12.75" customHeight="1" x14ac:dyDescent="0.3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</row>
    <row r="537" spans="1:18" ht="12.75" customHeight="1" x14ac:dyDescent="0.3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</row>
    <row r="538" spans="1:18" ht="12.75" customHeight="1" x14ac:dyDescent="0.3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</row>
    <row r="539" spans="1:18" ht="12.75" customHeight="1" x14ac:dyDescent="0.3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</row>
    <row r="540" spans="1:18" ht="12.75" customHeight="1" x14ac:dyDescent="0.3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</row>
    <row r="541" spans="1:18" ht="12.75" customHeight="1" x14ac:dyDescent="0.3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</row>
    <row r="542" spans="1:18" ht="12.75" customHeight="1" x14ac:dyDescent="0.3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</row>
    <row r="543" spans="1:18" ht="12.75" customHeight="1" x14ac:dyDescent="0.3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</row>
    <row r="544" spans="1:18" ht="12.75" customHeight="1" x14ac:dyDescent="0.3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</row>
    <row r="545" spans="1:18" ht="12.75" customHeight="1" x14ac:dyDescent="0.3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</row>
    <row r="546" spans="1:18" ht="12.75" customHeight="1" x14ac:dyDescent="0.3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</row>
    <row r="547" spans="1:18" ht="12.75" customHeight="1" x14ac:dyDescent="0.3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</row>
    <row r="548" spans="1:18" ht="12.75" customHeight="1" x14ac:dyDescent="0.3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</row>
    <row r="549" spans="1:18" ht="12.75" customHeight="1" x14ac:dyDescent="0.3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</row>
    <row r="550" spans="1:18" ht="12.75" customHeight="1" x14ac:dyDescent="0.3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</row>
    <row r="551" spans="1:18" ht="12.75" customHeight="1" x14ac:dyDescent="0.3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</row>
    <row r="552" spans="1:18" ht="12.75" customHeight="1" x14ac:dyDescent="0.3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</row>
    <row r="553" spans="1:18" ht="12.75" customHeight="1" x14ac:dyDescent="0.3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</row>
    <row r="554" spans="1:18" ht="12.75" customHeight="1" x14ac:dyDescent="0.3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</row>
    <row r="555" spans="1:18" ht="12.75" customHeight="1" x14ac:dyDescent="0.3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</row>
    <row r="556" spans="1:18" ht="12.75" customHeight="1" x14ac:dyDescent="0.3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</row>
    <row r="557" spans="1:18" ht="12.75" customHeight="1" x14ac:dyDescent="0.3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</row>
    <row r="558" spans="1:18" ht="12.75" customHeight="1" x14ac:dyDescent="0.3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</row>
    <row r="559" spans="1:18" ht="12.75" customHeight="1" x14ac:dyDescent="0.3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</row>
    <row r="560" spans="1:18" ht="12.75" customHeight="1" x14ac:dyDescent="0.3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</row>
    <row r="561" spans="1:18" ht="12.75" customHeight="1" x14ac:dyDescent="0.3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</row>
    <row r="562" spans="1:18" ht="12.75" customHeight="1" x14ac:dyDescent="0.3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</row>
    <row r="563" spans="1:18" ht="12.75" customHeight="1" x14ac:dyDescent="0.3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</row>
    <row r="564" spans="1:18" ht="12.75" customHeight="1" x14ac:dyDescent="0.3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</row>
    <row r="565" spans="1:18" ht="12.75" customHeight="1" x14ac:dyDescent="0.3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</row>
    <row r="566" spans="1:18" ht="12.75" customHeight="1" x14ac:dyDescent="0.3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</row>
    <row r="567" spans="1:18" ht="12.75" customHeight="1" x14ac:dyDescent="0.3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</row>
    <row r="568" spans="1:18" ht="12.75" customHeight="1" x14ac:dyDescent="0.3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</row>
    <row r="569" spans="1:18" ht="12.75" customHeight="1" x14ac:dyDescent="0.3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</row>
    <row r="570" spans="1:18" ht="12.75" customHeight="1" x14ac:dyDescent="0.3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</row>
    <row r="571" spans="1:18" ht="12.75" customHeight="1" x14ac:dyDescent="0.3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</row>
    <row r="572" spans="1:18" ht="12.75" customHeight="1" x14ac:dyDescent="0.3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</row>
    <row r="573" spans="1:18" ht="12.75" customHeight="1" x14ac:dyDescent="0.3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</row>
    <row r="574" spans="1:18" ht="12.75" customHeight="1" x14ac:dyDescent="0.3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</row>
    <row r="575" spans="1:18" ht="12.75" customHeight="1" x14ac:dyDescent="0.3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</row>
    <row r="576" spans="1:18" ht="12.75" customHeight="1" x14ac:dyDescent="0.3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</row>
    <row r="577" spans="1:18" ht="12.75" customHeight="1" x14ac:dyDescent="0.3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</row>
    <row r="578" spans="1:18" ht="12.75" customHeight="1" x14ac:dyDescent="0.3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</row>
    <row r="579" spans="1:18" ht="12.75" customHeight="1" x14ac:dyDescent="0.3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</row>
    <row r="580" spans="1:18" ht="12.75" customHeight="1" x14ac:dyDescent="0.3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</row>
    <row r="581" spans="1:18" ht="12.75" customHeight="1" x14ac:dyDescent="0.3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</row>
    <row r="582" spans="1:18" ht="12.75" customHeight="1" x14ac:dyDescent="0.3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</row>
    <row r="583" spans="1:18" ht="12.75" customHeight="1" x14ac:dyDescent="0.3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</row>
    <row r="584" spans="1:18" ht="12.75" customHeight="1" x14ac:dyDescent="0.3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</row>
    <row r="585" spans="1:18" ht="12.75" customHeight="1" x14ac:dyDescent="0.3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</row>
    <row r="586" spans="1:18" ht="12.75" customHeight="1" x14ac:dyDescent="0.3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</row>
    <row r="587" spans="1:18" ht="12.75" customHeight="1" x14ac:dyDescent="0.3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</row>
    <row r="588" spans="1:18" ht="12.75" customHeight="1" x14ac:dyDescent="0.3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</row>
    <row r="589" spans="1:18" ht="12.75" customHeight="1" x14ac:dyDescent="0.3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</row>
    <row r="590" spans="1:18" ht="12.75" customHeight="1" x14ac:dyDescent="0.3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</row>
    <row r="591" spans="1:18" ht="12.75" customHeight="1" x14ac:dyDescent="0.3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</row>
    <row r="592" spans="1:18" ht="12.75" customHeight="1" x14ac:dyDescent="0.3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</row>
    <row r="593" spans="1:18" ht="12.75" customHeight="1" x14ac:dyDescent="0.3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</row>
    <row r="594" spans="1:18" ht="12.75" customHeight="1" x14ac:dyDescent="0.3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</row>
    <row r="595" spans="1:18" ht="12.75" customHeight="1" x14ac:dyDescent="0.3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</row>
    <row r="596" spans="1:18" ht="12.75" customHeight="1" x14ac:dyDescent="0.3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</row>
    <row r="597" spans="1:18" ht="12.75" customHeight="1" x14ac:dyDescent="0.3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</row>
    <row r="598" spans="1:18" ht="12.75" customHeight="1" x14ac:dyDescent="0.3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</row>
    <row r="599" spans="1:18" ht="12.75" customHeight="1" x14ac:dyDescent="0.3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</row>
    <row r="600" spans="1:18" ht="12.75" customHeight="1" x14ac:dyDescent="0.3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</row>
    <row r="601" spans="1:18" ht="12.75" customHeight="1" x14ac:dyDescent="0.3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</row>
    <row r="602" spans="1:18" ht="12.75" customHeight="1" x14ac:dyDescent="0.3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</row>
    <row r="603" spans="1:18" ht="12.75" customHeight="1" x14ac:dyDescent="0.3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</row>
    <row r="604" spans="1:18" ht="12.75" customHeight="1" x14ac:dyDescent="0.3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</row>
    <row r="605" spans="1:18" ht="12.75" customHeight="1" x14ac:dyDescent="0.3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</row>
    <row r="606" spans="1:18" ht="12.75" customHeight="1" x14ac:dyDescent="0.3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</row>
    <row r="607" spans="1:18" ht="12.75" customHeight="1" x14ac:dyDescent="0.3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</row>
    <row r="608" spans="1:18" ht="12.75" customHeight="1" x14ac:dyDescent="0.3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</row>
    <row r="609" spans="1:18" ht="12.75" customHeight="1" x14ac:dyDescent="0.3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</row>
    <row r="610" spans="1:18" ht="12.75" customHeight="1" x14ac:dyDescent="0.3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</row>
    <row r="611" spans="1:18" ht="12.75" customHeight="1" x14ac:dyDescent="0.3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</row>
    <row r="612" spans="1:18" ht="12.75" customHeight="1" x14ac:dyDescent="0.3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</row>
    <row r="613" spans="1:18" ht="12.75" customHeight="1" x14ac:dyDescent="0.3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</row>
    <row r="614" spans="1:18" ht="12.75" customHeight="1" x14ac:dyDescent="0.3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</row>
    <row r="615" spans="1:18" ht="12.75" customHeight="1" x14ac:dyDescent="0.3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</row>
    <row r="616" spans="1:18" ht="12.75" customHeight="1" x14ac:dyDescent="0.3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</row>
    <row r="617" spans="1:18" ht="12.75" customHeight="1" x14ac:dyDescent="0.3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</row>
    <row r="618" spans="1:18" ht="12.75" customHeight="1" x14ac:dyDescent="0.3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</row>
    <row r="619" spans="1:18" ht="12.75" customHeight="1" x14ac:dyDescent="0.3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</row>
    <row r="620" spans="1:18" ht="12.75" customHeight="1" x14ac:dyDescent="0.3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</row>
    <row r="621" spans="1:18" ht="12.75" customHeight="1" x14ac:dyDescent="0.3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</row>
    <row r="622" spans="1:18" ht="12.75" customHeight="1" x14ac:dyDescent="0.3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</row>
    <row r="623" spans="1:18" ht="12.75" customHeight="1" x14ac:dyDescent="0.3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</row>
    <row r="624" spans="1:18" ht="12.75" customHeight="1" x14ac:dyDescent="0.3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</row>
    <row r="625" spans="1:18" ht="12.75" customHeight="1" x14ac:dyDescent="0.3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</row>
    <row r="626" spans="1:18" ht="12.75" customHeight="1" x14ac:dyDescent="0.3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</row>
    <row r="627" spans="1:18" ht="12.75" customHeight="1" x14ac:dyDescent="0.3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</row>
    <row r="628" spans="1:18" ht="12.75" customHeight="1" x14ac:dyDescent="0.3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</row>
    <row r="629" spans="1:18" ht="12.75" customHeight="1" x14ac:dyDescent="0.3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</row>
    <row r="630" spans="1:18" ht="12.75" customHeight="1" x14ac:dyDescent="0.3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</row>
    <row r="631" spans="1:18" ht="12.75" customHeight="1" x14ac:dyDescent="0.3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</row>
    <row r="632" spans="1:18" ht="12.75" customHeight="1" x14ac:dyDescent="0.3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</row>
    <row r="633" spans="1:18" ht="12.75" customHeight="1" x14ac:dyDescent="0.3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</row>
    <row r="634" spans="1:18" ht="12.75" customHeight="1" x14ac:dyDescent="0.3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</row>
    <row r="635" spans="1:18" ht="12.75" customHeight="1" x14ac:dyDescent="0.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</row>
    <row r="636" spans="1:18" ht="12.75" customHeight="1" x14ac:dyDescent="0.3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</row>
    <row r="637" spans="1:18" ht="12.75" customHeight="1" x14ac:dyDescent="0.3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</row>
    <row r="638" spans="1:18" ht="12.75" customHeight="1" x14ac:dyDescent="0.3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</row>
    <row r="639" spans="1:18" ht="12.75" customHeight="1" x14ac:dyDescent="0.3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</row>
    <row r="640" spans="1:18" ht="12.75" customHeight="1" x14ac:dyDescent="0.3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</row>
    <row r="641" spans="1:18" ht="12.75" customHeight="1" x14ac:dyDescent="0.3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</row>
    <row r="642" spans="1:18" ht="12.75" customHeight="1" x14ac:dyDescent="0.3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</row>
    <row r="643" spans="1:18" ht="12.75" customHeight="1" x14ac:dyDescent="0.3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</row>
    <row r="644" spans="1:18" ht="12.75" customHeight="1" x14ac:dyDescent="0.3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</row>
    <row r="645" spans="1:18" ht="12.75" customHeight="1" x14ac:dyDescent="0.3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</row>
    <row r="646" spans="1:18" ht="12.75" customHeight="1" x14ac:dyDescent="0.3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</row>
    <row r="647" spans="1:18" ht="12.75" customHeight="1" x14ac:dyDescent="0.3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</row>
    <row r="648" spans="1:18" ht="12.75" customHeight="1" x14ac:dyDescent="0.3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</row>
    <row r="649" spans="1:18" ht="12.75" customHeight="1" x14ac:dyDescent="0.3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</row>
    <row r="650" spans="1:18" ht="12.75" customHeight="1" x14ac:dyDescent="0.3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</row>
    <row r="651" spans="1:18" ht="12.75" customHeight="1" x14ac:dyDescent="0.3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</row>
    <row r="652" spans="1:18" ht="12.75" customHeight="1" x14ac:dyDescent="0.3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</row>
    <row r="653" spans="1:18" ht="12.75" customHeight="1" x14ac:dyDescent="0.3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</row>
    <row r="654" spans="1:18" ht="12.75" customHeight="1" x14ac:dyDescent="0.3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</row>
    <row r="655" spans="1:18" ht="12.75" customHeight="1" x14ac:dyDescent="0.3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</row>
    <row r="656" spans="1:18" ht="12.75" customHeight="1" x14ac:dyDescent="0.3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</row>
    <row r="657" spans="1:18" ht="12.75" customHeight="1" x14ac:dyDescent="0.3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</row>
    <row r="658" spans="1:18" ht="12.75" customHeight="1" x14ac:dyDescent="0.3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</row>
    <row r="659" spans="1:18" ht="12.75" customHeight="1" x14ac:dyDescent="0.3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</row>
    <row r="660" spans="1:18" ht="12.75" customHeight="1" x14ac:dyDescent="0.3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</row>
    <row r="661" spans="1:18" ht="12.75" customHeight="1" x14ac:dyDescent="0.3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</row>
    <row r="662" spans="1:18" ht="12.75" customHeight="1" x14ac:dyDescent="0.3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</row>
    <row r="663" spans="1:18" ht="12.75" customHeight="1" x14ac:dyDescent="0.3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</row>
    <row r="664" spans="1:18" ht="12.75" customHeight="1" x14ac:dyDescent="0.3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</row>
    <row r="665" spans="1:18" ht="12.75" customHeight="1" x14ac:dyDescent="0.3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</row>
    <row r="666" spans="1:18" ht="12.75" customHeight="1" x14ac:dyDescent="0.3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</row>
    <row r="667" spans="1:18" ht="12.75" customHeight="1" x14ac:dyDescent="0.3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</row>
    <row r="668" spans="1:18" ht="12.75" customHeight="1" x14ac:dyDescent="0.3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</row>
    <row r="669" spans="1:18" ht="12.75" customHeight="1" x14ac:dyDescent="0.3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</row>
    <row r="670" spans="1:18" ht="12.75" customHeight="1" x14ac:dyDescent="0.3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</row>
    <row r="671" spans="1:18" ht="12.75" customHeight="1" x14ac:dyDescent="0.3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</row>
    <row r="672" spans="1:18" ht="12.75" customHeight="1" x14ac:dyDescent="0.3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</row>
    <row r="673" spans="1:18" ht="12.75" customHeight="1" x14ac:dyDescent="0.3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</row>
    <row r="674" spans="1:18" ht="12.75" customHeight="1" x14ac:dyDescent="0.3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</row>
    <row r="675" spans="1:18" ht="12.75" customHeight="1" x14ac:dyDescent="0.3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</row>
    <row r="676" spans="1:18" ht="12.75" customHeight="1" x14ac:dyDescent="0.3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</row>
    <row r="677" spans="1:18" ht="12.75" customHeight="1" x14ac:dyDescent="0.3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</row>
    <row r="678" spans="1:18" ht="12.75" customHeight="1" x14ac:dyDescent="0.3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</row>
    <row r="679" spans="1:18" ht="12.75" customHeight="1" x14ac:dyDescent="0.3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</row>
    <row r="680" spans="1:18" ht="12.75" customHeight="1" x14ac:dyDescent="0.3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</row>
    <row r="681" spans="1:18" ht="12.75" customHeight="1" x14ac:dyDescent="0.3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</row>
    <row r="682" spans="1:18" ht="12.75" customHeight="1" x14ac:dyDescent="0.3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</row>
    <row r="683" spans="1:18" ht="12.75" customHeight="1" x14ac:dyDescent="0.3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</row>
    <row r="684" spans="1:18" ht="12.75" customHeight="1" x14ac:dyDescent="0.3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</row>
    <row r="685" spans="1:18" ht="12.75" customHeight="1" x14ac:dyDescent="0.3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</row>
    <row r="686" spans="1:18" ht="12.75" customHeight="1" x14ac:dyDescent="0.3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</row>
    <row r="687" spans="1:18" ht="12.75" customHeight="1" x14ac:dyDescent="0.3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</row>
    <row r="688" spans="1:18" ht="12.75" customHeight="1" x14ac:dyDescent="0.3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</row>
    <row r="689" spans="1:18" ht="12.75" customHeight="1" x14ac:dyDescent="0.3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</row>
    <row r="690" spans="1:18" ht="12.75" customHeight="1" x14ac:dyDescent="0.3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</row>
    <row r="691" spans="1:18" ht="12.75" customHeight="1" x14ac:dyDescent="0.3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</row>
    <row r="692" spans="1:18" ht="12.75" customHeight="1" x14ac:dyDescent="0.3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</row>
    <row r="693" spans="1:18" ht="12.75" customHeight="1" x14ac:dyDescent="0.3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</row>
    <row r="694" spans="1:18" ht="12.75" customHeight="1" x14ac:dyDescent="0.3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</row>
    <row r="695" spans="1:18" ht="12.75" customHeight="1" x14ac:dyDescent="0.3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</row>
    <row r="696" spans="1:18" ht="12.75" customHeight="1" x14ac:dyDescent="0.3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</row>
    <row r="697" spans="1:18" ht="12.75" customHeight="1" x14ac:dyDescent="0.3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</row>
    <row r="698" spans="1:18" ht="12.75" customHeight="1" x14ac:dyDescent="0.3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</row>
    <row r="699" spans="1:18" ht="12.75" customHeight="1" x14ac:dyDescent="0.3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</row>
    <row r="700" spans="1:18" ht="12.75" customHeight="1" x14ac:dyDescent="0.3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</row>
    <row r="701" spans="1:18" ht="12.75" customHeight="1" x14ac:dyDescent="0.3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</row>
    <row r="702" spans="1:18" ht="12.75" customHeight="1" x14ac:dyDescent="0.3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</row>
    <row r="703" spans="1:18" ht="12.75" customHeight="1" x14ac:dyDescent="0.3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</row>
    <row r="704" spans="1:18" ht="12.75" customHeight="1" x14ac:dyDescent="0.3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</row>
    <row r="705" spans="1:18" ht="12.75" customHeight="1" x14ac:dyDescent="0.3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</row>
    <row r="706" spans="1:18" ht="12.75" customHeight="1" x14ac:dyDescent="0.3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</row>
    <row r="707" spans="1:18" ht="12.75" customHeight="1" x14ac:dyDescent="0.3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</row>
    <row r="708" spans="1:18" ht="12.75" customHeight="1" x14ac:dyDescent="0.3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</row>
    <row r="709" spans="1:18" ht="12.75" customHeight="1" x14ac:dyDescent="0.3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</row>
    <row r="710" spans="1:18" ht="12.75" customHeight="1" x14ac:dyDescent="0.3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</row>
    <row r="711" spans="1:18" ht="12.75" customHeight="1" x14ac:dyDescent="0.3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</row>
    <row r="712" spans="1:18" ht="12.75" customHeight="1" x14ac:dyDescent="0.3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</row>
    <row r="713" spans="1:18" ht="12.75" customHeight="1" x14ac:dyDescent="0.3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</row>
    <row r="714" spans="1:18" ht="12.75" customHeight="1" x14ac:dyDescent="0.3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</row>
    <row r="715" spans="1:18" ht="12.75" customHeight="1" x14ac:dyDescent="0.3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</row>
    <row r="716" spans="1:18" ht="12.75" customHeight="1" x14ac:dyDescent="0.3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</row>
    <row r="717" spans="1:18" ht="12.75" customHeight="1" x14ac:dyDescent="0.3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</row>
    <row r="718" spans="1:18" ht="12.75" customHeight="1" x14ac:dyDescent="0.3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</row>
    <row r="719" spans="1:18" ht="12.75" customHeight="1" x14ac:dyDescent="0.3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</row>
    <row r="720" spans="1:18" ht="12.75" customHeight="1" x14ac:dyDescent="0.3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</row>
    <row r="721" spans="1:18" ht="12.75" customHeight="1" x14ac:dyDescent="0.3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</row>
    <row r="722" spans="1:18" ht="12.75" customHeight="1" x14ac:dyDescent="0.3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</row>
    <row r="723" spans="1:18" ht="12.75" customHeight="1" x14ac:dyDescent="0.3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</row>
    <row r="724" spans="1:18" ht="12.75" customHeight="1" x14ac:dyDescent="0.3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</row>
    <row r="725" spans="1:18" ht="12.75" customHeight="1" x14ac:dyDescent="0.3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</row>
    <row r="726" spans="1:18" ht="12.75" customHeight="1" x14ac:dyDescent="0.3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</row>
    <row r="727" spans="1:18" ht="12.75" customHeight="1" x14ac:dyDescent="0.3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</row>
    <row r="728" spans="1:18" ht="12.75" customHeight="1" x14ac:dyDescent="0.3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</row>
    <row r="729" spans="1:18" ht="12.75" customHeight="1" x14ac:dyDescent="0.3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</row>
    <row r="730" spans="1:18" ht="12.75" customHeight="1" x14ac:dyDescent="0.3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</row>
    <row r="731" spans="1:18" ht="12.75" customHeight="1" x14ac:dyDescent="0.3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</row>
    <row r="732" spans="1:18" ht="12.75" customHeight="1" x14ac:dyDescent="0.3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</row>
    <row r="733" spans="1:18" ht="12.75" customHeight="1" x14ac:dyDescent="0.3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</row>
    <row r="734" spans="1:18" ht="12.75" customHeight="1" x14ac:dyDescent="0.3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</row>
    <row r="735" spans="1:18" ht="12.75" customHeight="1" x14ac:dyDescent="0.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</row>
    <row r="736" spans="1:18" ht="12.75" customHeight="1" x14ac:dyDescent="0.3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</row>
    <row r="737" spans="1:18" ht="12.75" customHeight="1" x14ac:dyDescent="0.3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</row>
    <row r="738" spans="1:18" ht="12.75" customHeight="1" x14ac:dyDescent="0.3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</row>
    <row r="739" spans="1:18" ht="12.75" customHeight="1" x14ac:dyDescent="0.3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</row>
    <row r="740" spans="1:18" ht="12.75" customHeight="1" x14ac:dyDescent="0.3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</row>
    <row r="741" spans="1:18" ht="12.75" customHeight="1" x14ac:dyDescent="0.3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</row>
    <row r="742" spans="1:18" ht="12.75" customHeight="1" x14ac:dyDescent="0.3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</row>
    <row r="743" spans="1:18" ht="12.75" customHeight="1" x14ac:dyDescent="0.3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</row>
    <row r="744" spans="1:18" ht="12.75" customHeight="1" x14ac:dyDescent="0.3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</row>
    <row r="745" spans="1:18" ht="12.75" customHeight="1" x14ac:dyDescent="0.3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</row>
    <row r="746" spans="1:18" ht="12.75" customHeight="1" x14ac:dyDescent="0.3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</row>
    <row r="747" spans="1:18" ht="12.75" customHeight="1" x14ac:dyDescent="0.3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</row>
    <row r="748" spans="1:18" ht="12.75" customHeight="1" x14ac:dyDescent="0.3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</row>
    <row r="749" spans="1:18" ht="12.75" customHeight="1" x14ac:dyDescent="0.3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</row>
    <row r="750" spans="1:18" ht="12.75" customHeight="1" x14ac:dyDescent="0.3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</row>
    <row r="751" spans="1:18" ht="12.75" customHeight="1" x14ac:dyDescent="0.3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</row>
    <row r="752" spans="1:18" ht="12.75" customHeight="1" x14ac:dyDescent="0.3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</row>
    <row r="753" spans="1:18" ht="12.75" customHeight="1" x14ac:dyDescent="0.3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</row>
    <row r="754" spans="1:18" ht="12.75" customHeight="1" x14ac:dyDescent="0.3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</row>
    <row r="755" spans="1:18" ht="12.75" customHeight="1" x14ac:dyDescent="0.3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</row>
    <row r="756" spans="1:18" ht="12.75" customHeight="1" x14ac:dyDescent="0.3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</row>
    <row r="757" spans="1:18" ht="12.75" customHeight="1" x14ac:dyDescent="0.3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</row>
    <row r="758" spans="1:18" ht="12.75" customHeight="1" x14ac:dyDescent="0.3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</row>
    <row r="759" spans="1:18" ht="12.75" customHeight="1" x14ac:dyDescent="0.3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</row>
    <row r="760" spans="1:18" ht="12.75" customHeight="1" x14ac:dyDescent="0.3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</row>
    <row r="761" spans="1:18" ht="12.75" customHeight="1" x14ac:dyDescent="0.3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</row>
    <row r="762" spans="1:18" ht="12.75" customHeight="1" x14ac:dyDescent="0.3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</row>
    <row r="763" spans="1:18" ht="12.75" customHeight="1" x14ac:dyDescent="0.3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</row>
    <row r="764" spans="1:18" ht="12.75" customHeight="1" x14ac:dyDescent="0.3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</row>
    <row r="765" spans="1:18" ht="12.75" customHeight="1" x14ac:dyDescent="0.3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</row>
    <row r="766" spans="1:18" ht="12.75" customHeight="1" x14ac:dyDescent="0.3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</row>
    <row r="767" spans="1:18" ht="12.75" customHeight="1" x14ac:dyDescent="0.3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</row>
    <row r="768" spans="1:18" ht="12.75" customHeight="1" x14ac:dyDescent="0.3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</row>
    <row r="769" spans="1:18" ht="12.75" customHeight="1" x14ac:dyDescent="0.3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</row>
    <row r="770" spans="1:18" ht="12.75" customHeight="1" x14ac:dyDescent="0.3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</row>
    <row r="771" spans="1:18" ht="12.75" customHeight="1" x14ac:dyDescent="0.3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</row>
    <row r="772" spans="1:18" ht="12.75" customHeight="1" x14ac:dyDescent="0.3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</row>
    <row r="773" spans="1:18" ht="12.75" customHeight="1" x14ac:dyDescent="0.3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</row>
    <row r="774" spans="1:18" ht="12.75" customHeight="1" x14ac:dyDescent="0.3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</row>
    <row r="775" spans="1:18" ht="12.75" customHeight="1" x14ac:dyDescent="0.3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</row>
    <row r="776" spans="1:18" ht="12.75" customHeight="1" x14ac:dyDescent="0.3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</row>
    <row r="777" spans="1:18" ht="12.75" customHeight="1" x14ac:dyDescent="0.3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</row>
    <row r="778" spans="1:18" ht="12.75" customHeight="1" x14ac:dyDescent="0.3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</row>
    <row r="779" spans="1:18" ht="12.75" customHeight="1" x14ac:dyDescent="0.3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</row>
    <row r="780" spans="1:18" ht="12.75" customHeight="1" x14ac:dyDescent="0.3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</row>
    <row r="781" spans="1:18" ht="12.75" customHeight="1" x14ac:dyDescent="0.3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</row>
    <row r="782" spans="1:18" ht="12.75" customHeight="1" x14ac:dyDescent="0.3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</row>
    <row r="783" spans="1:18" ht="12.75" customHeight="1" x14ac:dyDescent="0.3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</row>
    <row r="784" spans="1:18" ht="12.75" customHeight="1" x14ac:dyDescent="0.3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</row>
    <row r="785" spans="1:18" ht="12.75" customHeight="1" x14ac:dyDescent="0.3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</row>
    <row r="786" spans="1:18" ht="12.75" customHeight="1" x14ac:dyDescent="0.3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</row>
    <row r="787" spans="1:18" ht="12.75" customHeight="1" x14ac:dyDescent="0.3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</row>
    <row r="788" spans="1:18" ht="12.75" customHeight="1" x14ac:dyDescent="0.3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</row>
    <row r="789" spans="1:18" ht="12.75" customHeight="1" x14ac:dyDescent="0.3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</row>
    <row r="790" spans="1:18" ht="12.75" customHeight="1" x14ac:dyDescent="0.3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</row>
    <row r="791" spans="1:18" ht="12.75" customHeight="1" x14ac:dyDescent="0.3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</row>
    <row r="792" spans="1:18" ht="12.75" customHeight="1" x14ac:dyDescent="0.3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</row>
    <row r="793" spans="1:18" ht="12.75" customHeight="1" x14ac:dyDescent="0.3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</row>
    <row r="794" spans="1:18" ht="12.75" customHeight="1" x14ac:dyDescent="0.3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</row>
    <row r="795" spans="1:18" ht="12.75" customHeight="1" x14ac:dyDescent="0.3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</row>
    <row r="796" spans="1:18" ht="12.75" customHeight="1" x14ac:dyDescent="0.3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</row>
    <row r="797" spans="1:18" ht="12.75" customHeight="1" x14ac:dyDescent="0.3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</row>
    <row r="798" spans="1:18" ht="12.75" customHeight="1" x14ac:dyDescent="0.3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</row>
    <row r="799" spans="1:18" ht="12.75" customHeight="1" x14ac:dyDescent="0.3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</row>
    <row r="800" spans="1:18" ht="12.75" customHeight="1" x14ac:dyDescent="0.3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</row>
    <row r="801" spans="1:18" ht="12.75" customHeight="1" x14ac:dyDescent="0.3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</row>
    <row r="802" spans="1:18" ht="12.75" customHeight="1" x14ac:dyDescent="0.3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</row>
    <row r="803" spans="1:18" ht="12.75" customHeight="1" x14ac:dyDescent="0.3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</row>
    <row r="804" spans="1:18" ht="12.75" customHeight="1" x14ac:dyDescent="0.3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</row>
    <row r="805" spans="1:18" ht="12.75" customHeight="1" x14ac:dyDescent="0.3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</row>
    <row r="806" spans="1:18" ht="12.75" customHeight="1" x14ac:dyDescent="0.3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</row>
    <row r="807" spans="1:18" ht="12.75" customHeight="1" x14ac:dyDescent="0.3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</row>
    <row r="808" spans="1:18" ht="12.75" customHeight="1" x14ac:dyDescent="0.3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</row>
    <row r="809" spans="1:18" ht="12.75" customHeight="1" x14ac:dyDescent="0.3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</row>
    <row r="810" spans="1:18" ht="12.75" customHeight="1" x14ac:dyDescent="0.3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</row>
    <row r="811" spans="1:18" ht="12.75" customHeight="1" x14ac:dyDescent="0.3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</row>
    <row r="812" spans="1:18" ht="12.75" customHeight="1" x14ac:dyDescent="0.3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</row>
    <row r="813" spans="1:18" ht="12.75" customHeight="1" x14ac:dyDescent="0.3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</row>
    <row r="814" spans="1:18" ht="12.75" customHeight="1" x14ac:dyDescent="0.3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</row>
    <row r="815" spans="1:18" ht="12.75" customHeight="1" x14ac:dyDescent="0.3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</row>
    <row r="816" spans="1:18" ht="12.75" customHeight="1" x14ac:dyDescent="0.3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</row>
    <row r="817" spans="1:18" ht="12.75" customHeight="1" x14ac:dyDescent="0.3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</row>
    <row r="818" spans="1:18" ht="12.75" customHeight="1" x14ac:dyDescent="0.3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</row>
    <row r="819" spans="1:18" ht="12.75" customHeight="1" x14ac:dyDescent="0.3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</row>
    <row r="820" spans="1:18" ht="12.75" customHeight="1" x14ac:dyDescent="0.3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</row>
    <row r="821" spans="1:18" ht="12.75" customHeight="1" x14ac:dyDescent="0.3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</row>
    <row r="822" spans="1:18" ht="12.75" customHeight="1" x14ac:dyDescent="0.3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</row>
    <row r="823" spans="1:18" ht="12.75" customHeight="1" x14ac:dyDescent="0.3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</row>
    <row r="824" spans="1:18" ht="12.75" customHeight="1" x14ac:dyDescent="0.3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</row>
    <row r="825" spans="1:18" ht="12.75" customHeight="1" x14ac:dyDescent="0.3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</row>
    <row r="826" spans="1:18" ht="12.75" customHeight="1" x14ac:dyDescent="0.3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</row>
    <row r="827" spans="1:18" ht="12.75" customHeight="1" x14ac:dyDescent="0.3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</row>
    <row r="828" spans="1:18" ht="12.75" customHeight="1" x14ac:dyDescent="0.3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</row>
    <row r="829" spans="1:18" ht="12.75" customHeight="1" x14ac:dyDescent="0.3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</row>
    <row r="830" spans="1:18" ht="12.75" customHeight="1" x14ac:dyDescent="0.3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</row>
    <row r="831" spans="1:18" ht="12.75" customHeight="1" x14ac:dyDescent="0.3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</row>
    <row r="832" spans="1:18" ht="12.75" customHeight="1" x14ac:dyDescent="0.3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</row>
    <row r="833" spans="1:18" ht="12.75" customHeight="1" x14ac:dyDescent="0.3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</row>
    <row r="834" spans="1:18" ht="12.75" customHeight="1" x14ac:dyDescent="0.3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</row>
    <row r="835" spans="1:18" ht="12.75" customHeight="1" x14ac:dyDescent="0.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</row>
    <row r="836" spans="1:18" ht="12.75" customHeight="1" x14ac:dyDescent="0.3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</row>
    <row r="837" spans="1:18" ht="12.75" customHeight="1" x14ac:dyDescent="0.3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</row>
    <row r="838" spans="1:18" ht="12.75" customHeight="1" x14ac:dyDescent="0.3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</row>
    <row r="839" spans="1:18" ht="12.75" customHeight="1" x14ac:dyDescent="0.3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</row>
    <row r="840" spans="1:18" ht="12.75" customHeight="1" x14ac:dyDescent="0.3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</row>
    <row r="841" spans="1:18" ht="12.75" customHeight="1" x14ac:dyDescent="0.3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</row>
    <row r="842" spans="1:18" ht="12.75" customHeight="1" x14ac:dyDescent="0.3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</row>
    <row r="843" spans="1:18" ht="12.75" customHeight="1" x14ac:dyDescent="0.3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</row>
    <row r="844" spans="1:18" ht="12.75" customHeight="1" x14ac:dyDescent="0.3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</row>
    <row r="845" spans="1:18" ht="12.75" customHeight="1" x14ac:dyDescent="0.3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</row>
    <row r="846" spans="1:18" ht="12.75" customHeight="1" x14ac:dyDescent="0.3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</row>
    <row r="847" spans="1:18" ht="12.75" customHeight="1" x14ac:dyDescent="0.3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</row>
    <row r="848" spans="1:18" ht="12.75" customHeight="1" x14ac:dyDescent="0.3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</row>
    <row r="849" spans="1:18" ht="12.75" customHeight="1" x14ac:dyDescent="0.3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</row>
    <row r="850" spans="1:18" ht="12.75" customHeight="1" x14ac:dyDescent="0.3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</row>
    <row r="851" spans="1:18" ht="12.75" customHeight="1" x14ac:dyDescent="0.3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</row>
    <row r="852" spans="1:18" ht="12.75" customHeight="1" x14ac:dyDescent="0.3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</row>
    <row r="853" spans="1:18" ht="12.75" customHeight="1" x14ac:dyDescent="0.3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</row>
    <row r="854" spans="1:18" ht="12.75" customHeight="1" x14ac:dyDescent="0.3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</row>
    <row r="855" spans="1:18" ht="12.75" customHeight="1" x14ac:dyDescent="0.3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</row>
    <row r="856" spans="1:18" ht="12.75" customHeight="1" x14ac:dyDescent="0.3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</row>
    <row r="857" spans="1:18" ht="12.75" customHeight="1" x14ac:dyDescent="0.3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</row>
    <row r="858" spans="1:18" ht="12.75" customHeight="1" x14ac:dyDescent="0.3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</row>
    <row r="859" spans="1:18" ht="12.75" customHeight="1" x14ac:dyDescent="0.3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</row>
    <row r="860" spans="1:18" ht="12.75" customHeight="1" x14ac:dyDescent="0.3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</row>
    <row r="861" spans="1:18" ht="12.75" customHeight="1" x14ac:dyDescent="0.3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</row>
    <row r="862" spans="1:18" ht="12.75" customHeight="1" x14ac:dyDescent="0.3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</row>
    <row r="863" spans="1:18" ht="12.75" customHeight="1" x14ac:dyDescent="0.3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</row>
    <row r="864" spans="1:18" ht="12.75" customHeight="1" x14ac:dyDescent="0.3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</row>
    <row r="865" spans="1:18" ht="12.75" customHeight="1" x14ac:dyDescent="0.3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</row>
    <row r="866" spans="1:18" ht="12.75" customHeight="1" x14ac:dyDescent="0.3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</row>
    <row r="867" spans="1:18" ht="12.75" customHeight="1" x14ac:dyDescent="0.3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</row>
    <row r="868" spans="1:18" ht="12.75" customHeight="1" x14ac:dyDescent="0.3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</row>
    <row r="869" spans="1:18" ht="12.75" customHeight="1" x14ac:dyDescent="0.3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</row>
    <row r="870" spans="1:18" ht="12.75" customHeight="1" x14ac:dyDescent="0.3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</row>
    <row r="871" spans="1:18" ht="12.75" customHeight="1" x14ac:dyDescent="0.3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</row>
    <row r="872" spans="1:18" ht="12.75" customHeight="1" x14ac:dyDescent="0.3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</row>
    <row r="873" spans="1:18" ht="12.75" customHeight="1" x14ac:dyDescent="0.3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</row>
    <row r="874" spans="1:18" ht="12.75" customHeight="1" x14ac:dyDescent="0.3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</row>
    <row r="875" spans="1:18" ht="12.75" customHeight="1" x14ac:dyDescent="0.3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</row>
    <row r="876" spans="1:18" ht="12.75" customHeight="1" x14ac:dyDescent="0.3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</row>
    <row r="877" spans="1:18" ht="12.75" customHeight="1" x14ac:dyDescent="0.3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</row>
    <row r="878" spans="1:18" ht="12.75" customHeight="1" x14ac:dyDescent="0.3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</row>
    <row r="879" spans="1:18" ht="12.75" customHeight="1" x14ac:dyDescent="0.3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</row>
    <row r="880" spans="1:18" ht="12.75" customHeight="1" x14ac:dyDescent="0.3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</row>
    <row r="881" spans="1:18" ht="12.75" customHeight="1" x14ac:dyDescent="0.3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</row>
    <row r="882" spans="1:18" ht="12.75" customHeight="1" x14ac:dyDescent="0.3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</row>
    <row r="883" spans="1:18" ht="12.75" customHeight="1" x14ac:dyDescent="0.3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</row>
    <row r="884" spans="1:18" ht="12.75" customHeight="1" x14ac:dyDescent="0.3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</row>
    <row r="885" spans="1:18" ht="12.75" customHeight="1" x14ac:dyDescent="0.3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</row>
    <row r="886" spans="1:18" ht="12.75" customHeight="1" x14ac:dyDescent="0.3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</row>
    <row r="887" spans="1:18" ht="12.75" customHeight="1" x14ac:dyDescent="0.3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</row>
    <row r="888" spans="1:18" ht="12.75" customHeight="1" x14ac:dyDescent="0.3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</row>
    <row r="889" spans="1:18" ht="12.75" customHeight="1" x14ac:dyDescent="0.3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</row>
    <row r="890" spans="1:18" ht="12.75" customHeight="1" x14ac:dyDescent="0.3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</row>
    <row r="891" spans="1:18" ht="12.75" customHeight="1" x14ac:dyDescent="0.3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</row>
    <row r="892" spans="1:18" ht="12.75" customHeight="1" x14ac:dyDescent="0.3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</row>
    <row r="893" spans="1:18" ht="12.75" customHeight="1" x14ac:dyDescent="0.3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</row>
    <row r="894" spans="1:18" ht="12.75" customHeight="1" x14ac:dyDescent="0.3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</row>
    <row r="895" spans="1:18" ht="12.75" customHeight="1" x14ac:dyDescent="0.3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</row>
    <row r="896" spans="1:18" ht="12.75" customHeight="1" x14ac:dyDescent="0.3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</row>
    <row r="897" spans="1:18" ht="12.75" customHeight="1" x14ac:dyDescent="0.3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</row>
    <row r="898" spans="1:18" ht="12.75" customHeight="1" x14ac:dyDescent="0.3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</row>
    <row r="899" spans="1:18" ht="12.75" customHeight="1" x14ac:dyDescent="0.3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</row>
    <row r="900" spans="1:18" ht="12.75" customHeight="1" x14ac:dyDescent="0.3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</row>
    <row r="901" spans="1:18" ht="12.75" customHeight="1" x14ac:dyDescent="0.3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</row>
    <row r="902" spans="1:18" ht="12.75" customHeight="1" x14ac:dyDescent="0.3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</row>
    <row r="903" spans="1:18" ht="12.75" customHeight="1" x14ac:dyDescent="0.3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</row>
    <row r="904" spans="1:18" ht="12.75" customHeight="1" x14ac:dyDescent="0.3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</row>
    <row r="905" spans="1:18" ht="12.75" customHeight="1" x14ac:dyDescent="0.3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</row>
    <row r="906" spans="1:18" ht="12.75" customHeight="1" x14ac:dyDescent="0.3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</row>
    <row r="907" spans="1:18" ht="12.75" customHeight="1" x14ac:dyDescent="0.3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</row>
    <row r="908" spans="1:18" ht="12.75" customHeight="1" x14ac:dyDescent="0.3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</row>
    <row r="909" spans="1:18" ht="12.75" customHeight="1" x14ac:dyDescent="0.3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</row>
    <row r="910" spans="1:18" ht="12.75" customHeight="1" x14ac:dyDescent="0.3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</row>
    <row r="911" spans="1:18" ht="12.75" customHeight="1" x14ac:dyDescent="0.3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</row>
    <row r="912" spans="1:18" ht="12.75" customHeight="1" x14ac:dyDescent="0.3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</row>
    <row r="913" spans="1:18" ht="12.75" customHeight="1" x14ac:dyDescent="0.3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</row>
    <row r="914" spans="1:18" ht="12.75" customHeight="1" x14ac:dyDescent="0.3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</row>
    <row r="915" spans="1:18" ht="12.75" customHeight="1" x14ac:dyDescent="0.3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</row>
    <row r="916" spans="1:18" ht="12.75" customHeight="1" x14ac:dyDescent="0.3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</row>
    <row r="917" spans="1:18" ht="12.75" customHeight="1" x14ac:dyDescent="0.3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</row>
    <row r="918" spans="1:18" ht="12.75" customHeight="1" x14ac:dyDescent="0.3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</row>
    <row r="919" spans="1:18" ht="12.75" customHeight="1" x14ac:dyDescent="0.3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</row>
    <row r="920" spans="1:18" ht="12.75" customHeight="1" x14ac:dyDescent="0.3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</row>
    <row r="921" spans="1:18" ht="12.75" customHeight="1" x14ac:dyDescent="0.3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</row>
    <row r="922" spans="1:18" ht="12.75" customHeight="1" x14ac:dyDescent="0.3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</row>
    <row r="923" spans="1:18" ht="12.75" customHeight="1" x14ac:dyDescent="0.3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</row>
    <row r="924" spans="1:18" ht="12.75" customHeight="1" x14ac:dyDescent="0.3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</row>
    <row r="925" spans="1:18" ht="12.75" customHeight="1" x14ac:dyDescent="0.3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</row>
    <row r="926" spans="1:18" ht="12.75" customHeight="1" x14ac:dyDescent="0.3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</row>
    <row r="927" spans="1:18" ht="12.75" customHeight="1" x14ac:dyDescent="0.3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</row>
    <row r="928" spans="1:18" ht="12.75" customHeight="1" x14ac:dyDescent="0.3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</row>
    <row r="929" spans="1:18" ht="12.75" customHeight="1" x14ac:dyDescent="0.3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</row>
    <row r="930" spans="1:18" ht="12.75" customHeight="1" x14ac:dyDescent="0.3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</row>
    <row r="931" spans="1:18" ht="12.75" customHeight="1" x14ac:dyDescent="0.3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</row>
    <row r="932" spans="1:18" ht="12.75" customHeight="1" x14ac:dyDescent="0.3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</row>
    <row r="933" spans="1:18" ht="12.75" customHeight="1" x14ac:dyDescent="0.3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</row>
    <row r="934" spans="1:18" ht="12.75" customHeight="1" x14ac:dyDescent="0.3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</row>
    <row r="935" spans="1:18" ht="12.75" customHeight="1" x14ac:dyDescent="0.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</row>
    <row r="936" spans="1:18" ht="12.75" customHeight="1" x14ac:dyDescent="0.3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</row>
    <row r="937" spans="1:18" ht="12.75" customHeight="1" x14ac:dyDescent="0.3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</row>
    <row r="938" spans="1:18" ht="12.75" customHeight="1" x14ac:dyDescent="0.3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</row>
    <row r="939" spans="1:18" ht="12.75" customHeight="1" x14ac:dyDescent="0.3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</row>
    <row r="940" spans="1:18" ht="12.75" customHeight="1" x14ac:dyDescent="0.3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</row>
    <row r="941" spans="1:18" ht="12.75" customHeight="1" x14ac:dyDescent="0.3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</row>
    <row r="942" spans="1:18" ht="12.75" customHeight="1" x14ac:dyDescent="0.3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</row>
    <row r="943" spans="1:18" ht="12.75" customHeight="1" x14ac:dyDescent="0.3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</row>
    <row r="944" spans="1:18" ht="12.75" customHeight="1" x14ac:dyDescent="0.3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</row>
    <row r="945" spans="1:18" ht="12.75" customHeight="1" x14ac:dyDescent="0.3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</row>
    <row r="946" spans="1:18" ht="12.75" customHeight="1" x14ac:dyDescent="0.3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</row>
    <row r="947" spans="1:18" ht="12.75" customHeight="1" x14ac:dyDescent="0.3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</row>
    <row r="948" spans="1:18" ht="12.75" customHeight="1" x14ac:dyDescent="0.3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</row>
    <row r="949" spans="1:18" ht="12.75" customHeight="1" x14ac:dyDescent="0.3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</row>
    <row r="950" spans="1:18" ht="12.75" customHeight="1" x14ac:dyDescent="0.3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</row>
    <row r="951" spans="1:18" ht="12.75" customHeight="1" x14ac:dyDescent="0.3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</row>
    <row r="952" spans="1:18" ht="12.75" customHeight="1" x14ac:dyDescent="0.3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</row>
    <row r="953" spans="1:18" ht="12.75" customHeight="1" x14ac:dyDescent="0.3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</row>
    <row r="954" spans="1:18" ht="12.75" customHeight="1" x14ac:dyDescent="0.3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</row>
    <row r="955" spans="1:18" ht="12.75" customHeight="1" x14ac:dyDescent="0.3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</row>
    <row r="956" spans="1:18" ht="12.75" customHeight="1" x14ac:dyDescent="0.3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</row>
    <row r="957" spans="1:18" ht="12.75" customHeight="1" x14ac:dyDescent="0.3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</row>
    <row r="958" spans="1:18" ht="12.75" customHeight="1" x14ac:dyDescent="0.3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</row>
    <row r="959" spans="1:18" ht="12.75" customHeight="1" x14ac:dyDescent="0.3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</row>
    <row r="960" spans="1:18" ht="12.75" customHeight="1" x14ac:dyDescent="0.3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</row>
    <row r="961" spans="1:18" ht="12.75" customHeight="1" x14ac:dyDescent="0.3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</row>
    <row r="962" spans="1:18" ht="12.75" customHeight="1" x14ac:dyDescent="0.3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</row>
    <row r="963" spans="1:18" ht="12.75" customHeight="1" x14ac:dyDescent="0.3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</row>
    <row r="964" spans="1:18" ht="12.75" customHeight="1" x14ac:dyDescent="0.3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</row>
    <row r="965" spans="1:18" ht="12.75" customHeight="1" x14ac:dyDescent="0.3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</row>
    <row r="966" spans="1:18" ht="12.75" customHeight="1" x14ac:dyDescent="0.3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</row>
    <row r="967" spans="1:18" ht="12.75" customHeight="1" x14ac:dyDescent="0.3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</row>
    <row r="968" spans="1:18" ht="12.75" customHeight="1" x14ac:dyDescent="0.3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</row>
    <row r="969" spans="1:18" ht="12.75" customHeight="1" x14ac:dyDescent="0.3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</row>
    <row r="970" spans="1:18" ht="12.75" customHeight="1" x14ac:dyDescent="0.3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</row>
    <row r="971" spans="1:18" ht="12.75" customHeight="1" x14ac:dyDescent="0.3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</row>
    <row r="972" spans="1:18" ht="12.75" customHeight="1" x14ac:dyDescent="0.3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</row>
    <row r="973" spans="1:18" ht="12.75" customHeight="1" x14ac:dyDescent="0.3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</row>
    <row r="974" spans="1:18" ht="12.75" customHeight="1" x14ac:dyDescent="0.3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</row>
    <row r="975" spans="1:18" ht="12.75" customHeight="1" x14ac:dyDescent="0.3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</row>
    <row r="976" spans="1:18" ht="12.75" customHeight="1" x14ac:dyDescent="0.3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</row>
    <row r="977" spans="1:18" ht="12.75" customHeight="1" x14ac:dyDescent="0.3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</row>
    <row r="978" spans="1:18" ht="12.75" customHeight="1" x14ac:dyDescent="0.3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</row>
    <row r="979" spans="1:18" ht="12.75" customHeight="1" x14ac:dyDescent="0.3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</row>
    <row r="980" spans="1:18" ht="12.75" customHeight="1" x14ac:dyDescent="0.3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</row>
    <row r="981" spans="1:18" ht="12.75" customHeight="1" x14ac:dyDescent="0.3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</row>
    <row r="982" spans="1:18" ht="12.75" customHeight="1" x14ac:dyDescent="0.3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</row>
    <row r="983" spans="1:18" ht="12.75" customHeight="1" x14ac:dyDescent="0.3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</row>
    <row r="984" spans="1:18" ht="12.75" customHeight="1" x14ac:dyDescent="0.3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</row>
    <row r="985" spans="1:18" ht="12.75" customHeight="1" x14ac:dyDescent="0.3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</row>
    <row r="986" spans="1:18" ht="12.75" customHeight="1" x14ac:dyDescent="0.3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</row>
    <row r="987" spans="1:18" ht="12.75" customHeight="1" x14ac:dyDescent="0.3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</row>
    <row r="988" spans="1:18" ht="12.75" customHeight="1" x14ac:dyDescent="0.3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</row>
    <row r="989" spans="1:18" ht="12.75" customHeight="1" x14ac:dyDescent="0.3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</row>
    <row r="990" spans="1:18" ht="12.75" customHeight="1" x14ac:dyDescent="0.3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</row>
    <row r="991" spans="1:18" ht="12.75" customHeight="1" x14ac:dyDescent="0.3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</row>
    <row r="992" spans="1:18" ht="12.75" customHeight="1" x14ac:dyDescent="0.3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</row>
    <row r="993" spans="1:18" ht="12.75" customHeight="1" x14ac:dyDescent="0.3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</row>
    <row r="994" spans="1:18" ht="12.75" customHeight="1" x14ac:dyDescent="0.3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</row>
    <row r="995" spans="1:18" ht="12.75" customHeight="1" x14ac:dyDescent="0.3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</row>
    <row r="996" spans="1:18" ht="12.75" customHeight="1" x14ac:dyDescent="0.3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</row>
    <row r="997" spans="1:18" ht="12.75" customHeight="1" x14ac:dyDescent="0.3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</row>
    <row r="998" spans="1:18" ht="12.75" customHeight="1" x14ac:dyDescent="0.3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</row>
    <row r="999" spans="1:18" ht="12.75" customHeight="1" x14ac:dyDescent="0.3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</row>
    <row r="1000" spans="1:18" ht="12.75" customHeight="1" x14ac:dyDescent="0.35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</row>
    <row r="1001" spans="1:18" ht="12.75" customHeight="1" x14ac:dyDescent="0.35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</row>
    <row r="1002" spans="1:18" ht="12.75" customHeight="1" x14ac:dyDescent="0.35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</row>
    <row r="1003" spans="1:18" ht="12.75" customHeight="1" x14ac:dyDescent="0.35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</row>
    <row r="1004" spans="1:18" ht="12.75" customHeight="1" x14ac:dyDescent="0.35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</row>
    <row r="1005" spans="1:18" ht="12.75" customHeight="1" x14ac:dyDescent="0.3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</row>
    <row r="1006" spans="1:18" ht="12.75" customHeight="1" x14ac:dyDescent="0.35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</row>
    <row r="1007" spans="1:18" ht="12.75" customHeight="1" x14ac:dyDescent="0.35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</row>
    <row r="1008" spans="1:18" ht="12.75" customHeight="1" x14ac:dyDescent="0.35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</row>
    <row r="1009" spans="1:18" ht="12.75" customHeight="1" x14ac:dyDescent="0.35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</row>
    <row r="1010" spans="1:18" ht="12.75" customHeight="1" x14ac:dyDescent="0.35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</row>
    <row r="1011" spans="1:18" ht="12.75" customHeight="1" x14ac:dyDescent="0.35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</row>
    <row r="1012" spans="1:18" ht="12.75" customHeight="1" x14ac:dyDescent="0.35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</row>
    <row r="1013" spans="1:18" ht="12.75" customHeight="1" x14ac:dyDescent="0.35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</row>
    <row r="1014" spans="1:18" ht="12.75" customHeight="1" x14ac:dyDescent="0.35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</row>
    <row r="1015" spans="1:18" ht="12.75" customHeight="1" x14ac:dyDescent="0.3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</row>
    <row r="1016" spans="1:18" ht="12.75" customHeight="1" x14ac:dyDescent="0.35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</row>
    <row r="1017" spans="1:18" ht="12.75" customHeight="1" x14ac:dyDescent="0.35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</row>
    <row r="1018" spans="1:18" ht="12.75" customHeight="1" x14ac:dyDescent="0.35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</row>
    <row r="1019" spans="1:18" ht="12.75" customHeight="1" x14ac:dyDescent="0.35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</row>
    <row r="1020" spans="1:18" ht="12.75" customHeight="1" x14ac:dyDescent="0.35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</row>
    <row r="1021" spans="1:18" ht="12.75" customHeight="1" x14ac:dyDescent="0.35"/>
  </sheetData>
  <mergeCells count="11">
    <mergeCell ref="G6:H6"/>
    <mergeCell ref="C6:C7"/>
    <mergeCell ref="O6:O7"/>
    <mergeCell ref="D6:D7"/>
    <mergeCell ref="E6:E7"/>
    <mergeCell ref="F6:F7"/>
    <mergeCell ref="I6:J6"/>
    <mergeCell ref="L6:L7"/>
    <mergeCell ref="M6:M7"/>
    <mergeCell ref="K6:K7"/>
    <mergeCell ref="N6:N7"/>
  </mergeCells>
  <phoneticPr fontId="10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99"/>
  <sheetViews>
    <sheetView topLeftCell="A37" workbookViewId="0">
      <selection sqref="A1:H1"/>
    </sheetView>
  </sheetViews>
  <sheetFormatPr defaultRowHeight="12.75" x14ac:dyDescent="0.35"/>
  <cols>
    <col min="1" max="1" width="8" customWidth="1"/>
    <col min="2" max="2" width="12" customWidth="1"/>
    <col min="3" max="3" width="8" customWidth="1"/>
    <col min="4" max="4" width="12" customWidth="1"/>
    <col min="5" max="5" width="36" customWidth="1"/>
    <col min="6" max="6" width="10" customWidth="1"/>
    <col min="7" max="7" width="14" customWidth="1"/>
    <col min="8" max="9" width="10" customWidth="1"/>
    <col min="12" max="12" width="8" customWidth="1"/>
    <col min="13" max="13" width="12" customWidth="1"/>
    <col min="14" max="14" width="14" customWidth="1"/>
  </cols>
  <sheetData>
    <row r="1" spans="1:8" ht="17.649999999999999" x14ac:dyDescent="0.5">
      <c r="A1" s="211" t="s">
        <v>193</v>
      </c>
      <c r="B1" s="210"/>
      <c r="C1" s="210"/>
      <c r="D1" s="210"/>
      <c r="E1" s="210"/>
      <c r="F1" s="210"/>
      <c r="G1" s="210"/>
      <c r="H1" s="210"/>
    </row>
    <row r="2" spans="1:8" x14ac:dyDescent="0.35">
      <c r="A2" s="212" t="s">
        <v>194</v>
      </c>
      <c r="B2" s="210"/>
      <c r="C2" s="210"/>
      <c r="D2" s="210"/>
      <c r="E2" s="210"/>
      <c r="F2" s="210"/>
      <c r="G2" s="210"/>
      <c r="H2" s="210"/>
    </row>
    <row r="3" spans="1:8" ht="15" x14ac:dyDescent="0.4">
      <c r="A3" t="s">
        <v>195</v>
      </c>
      <c r="B3" s="138">
        <f>SUM(계좌현황!K9:K83)</f>
        <v>744886797.43897736</v>
      </c>
      <c r="C3" t="s">
        <v>196</v>
      </c>
      <c r="D3" s="139">
        <f>COUNTA(계좌현황!E9:E83)</f>
        <v>75</v>
      </c>
    </row>
    <row r="5" spans="1:8" ht="17.649999999999999" x14ac:dyDescent="0.5">
      <c r="A5" s="137" t="s">
        <v>197</v>
      </c>
    </row>
    <row r="6" spans="1:8" ht="13.15" x14ac:dyDescent="0.4">
      <c r="A6" s="140" t="s">
        <v>15</v>
      </c>
      <c r="B6" s="140" t="s">
        <v>198</v>
      </c>
      <c r="C6" s="140" t="s">
        <v>199</v>
      </c>
      <c r="D6" s="140" t="s">
        <v>196</v>
      </c>
    </row>
    <row r="7" spans="1:8" x14ac:dyDescent="0.35">
      <c r="A7" s="141" t="s">
        <v>17</v>
      </c>
      <c r="B7" s="142">
        <f>SUMIF(계좌현황!A:A,A7,계좌현황!K:K)</f>
        <v>298088610</v>
      </c>
      <c r="C7" s="143">
        <f t="shared" ref="C7:C16" si="0">IF($B$3=0,0,B7/$B$3)</f>
        <v>0.40017974680833301</v>
      </c>
      <c r="D7" s="141">
        <f>COUNTIF(계좌현황!A9:A83,A7)</f>
        <v>8</v>
      </c>
    </row>
    <row r="8" spans="1:8" x14ac:dyDescent="0.35">
      <c r="A8" s="144" t="s">
        <v>41</v>
      </c>
      <c r="B8" s="145">
        <f>SUMIF(계좌현황!A:A,A8,계좌현황!K:K)</f>
        <v>134936215</v>
      </c>
      <c r="C8" s="146">
        <f t="shared" si="0"/>
        <v>0.1811499619323757</v>
      </c>
      <c r="D8" s="144">
        <f>COUNTIF(계좌현황!A9:A83,A8)</f>
        <v>5</v>
      </c>
    </row>
    <row r="9" spans="1:8" x14ac:dyDescent="0.35">
      <c r="A9" s="147" t="s">
        <v>54</v>
      </c>
      <c r="B9" s="148">
        <f>SUMIF(계좌현황!A:A,A9,계좌현황!K:K)</f>
        <v>15587715</v>
      </c>
      <c r="C9" s="149">
        <f t="shared" si="0"/>
        <v>2.0926287126571037E-2</v>
      </c>
      <c r="D9" s="147">
        <f>COUNTIF(계좌현황!A9:A83,A9)</f>
        <v>2</v>
      </c>
    </row>
    <row r="10" spans="1:8" x14ac:dyDescent="0.35">
      <c r="A10" s="150" t="s">
        <v>59</v>
      </c>
      <c r="B10" s="151">
        <f>SUMIF(계좌현황!A:A,A10,계좌현황!K:K)</f>
        <v>99411365</v>
      </c>
      <c r="C10" s="152">
        <f t="shared" si="0"/>
        <v>0.13345835278835638</v>
      </c>
      <c r="D10" s="150">
        <f>COUNTIF(계좌현황!A9:A83,A10)</f>
        <v>12</v>
      </c>
    </row>
    <row r="11" spans="1:8" x14ac:dyDescent="0.35">
      <c r="A11" s="153" t="s">
        <v>90</v>
      </c>
      <c r="B11" s="154">
        <f>SUMIF(계좌현황!A:A,A11,계좌현황!K:K)</f>
        <v>94096947.933978975</v>
      </c>
      <c r="C11" s="155">
        <f t="shared" si="0"/>
        <v>0.12632382297215786</v>
      </c>
      <c r="D11" s="153">
        <f>COUNTIF(계좌현황!A9:A83,A11)</f>
        <v>38</v>
      </c>
    </row>
    <row r="12" spans="1:8" x14ac:dyDescent="0.35">
      <c r="A12" s="156" t="s">
        <v>172</v>
      </c>
      <c r="B12" s="157">
        <f>SUMIF(계좌현황!A:A,A12,계좌현황!K:K)</f>
        <v>40325031</v>
      </c>
      <c r="C12" s="158">
        <f t="shared" si="0"/>
        <v>5.4135784307955209E-2</v>
      </c>
      <c r="D12" s="156">
        <f>COUNTIF(계좌현황!A9:A83,A12)</f>
        <v>1</v>
      </c>
    </row>
    <row r="13" spans="1:8" x14ac:dyDescent="0.35">
      <c r="A13" s="159" t="s">
        <v>173</v>
      </c>
      <c r="B13" s="160">
        <f>SUMIF(계좌현황!A:A,A13,계좌현황!K:K)</f>
        <v>39020010</v>
      </c>
      <c r="C13" s="161">
        <f t="shared" si="0"/>
        <v>5.2383812055947464E-2</v>
      </c>
      <c r="D13" s="159">
        <f>COUNTIF(계좌현황!A9:A83,A13)</f>
        <v>4</v>
      </c>
    </row>
    <row r="14" spans="1:8" x14ac:dyDescent="0.35">
      <c r="A14" s="162" t="s">
        <v>183</v>
      </c>
      <c r="B14" s="163">
        <f>SUMIF(계좌현황!A:A,A14,계좌현황!K:K)</f>
        <v>13435000</v>
      </c>
      <c r="C14" s="164">
        <f t="shared" si="0"/>
        <v>1.803629765783387E-2</v>
      </c>
      <c r="D14" s="162">
        <f>COUNTIF(계좌현황!A9:A83,A14)</f>
        <v>1</v>
      </c>
    </row>
    <row r="15" spans="1:8" x14ac:dyDescent="0.35">
      <c r="A15" s="165" t="s">
        <v>111</v>
      </c>
      <c r="B15" s="166">
        <f>SUMIF(계좌현황!A:A,A15,계좌현황!K:K)</f>
        <v>9134348.5839523319</v>
      </c>
      <c r="C15" s="167">
        <f t="shared" si="0"/>
        <v>1.2262733901792153E-2</v>
      </c>
      <c r="D15" s="165">
        <f>COUNTIF(계좌현황!A9:A83,A15)</f>
        <v>1</v>
      </c>
    </row>
    <row r="16" spans="1:8" x14ac:dyDescent="0.35">
      <c r="A16" s="165" t="s">
        <v>186</v>
      </c>
      <c r="B16" s="166">
        <f>SUMIF(계좌현황!A:A,A16,계좌현황!K:K)</f>
        <v>851554.92104598973</v>
      </c>
      <c r="C16" s="167">
        <f t="shared" si="0"/>
        <v>1.143200448677238E-3</v>
      </c>
      <c r="D16" s="165">
        <f>COUNTIF(계좌현황!A9:A83,A16)</f>
        <v>3</v>
      </c>
    </row>
    <row r="19" spans="1:14" ht="17.649999999999999" x14ac:dyDescent="0.5">
      <c r="A19" s="211" t="s">
        <v>200</v>
      </c>
      <c r="B19" s="210"/>
      <c r="C19" s="210"/>
      <c r="D19" s="210"/>
      <c r="E19" s="210"/>
      <c r="F19" s="210"/>
      <c r="G19" s="210"/>
      <c r="H19" s="210"/>
      <c r="L19" s="168" t="s">
        <v>201</v>
      </c>
    </row>
    <row r="20" spans="1:14" ht="28.05" customHeight="1" x14ac:dyDescent="0.4">
      <c r="A20" s="169" t="s">
        <v>202</v>
      </c>
      <c r="B20" s="169" t="s">
        <v>15</v>
      </c>
      <c r="C20" s="169" t="s">
        <v>2</v>
      </c>
      <c r="D20" s="169" t="s">
        <v>203</v>
      </c>
      <c r="E20" s="169" t="s">
        <v>4</v>
      </c>
      <c r="F20" s="169" t="s">
        <v>5</v>
      </c>
      <c r="G20" s="169" t="s">
        <v>198</v>
      </c>
      <c r="H20" s="169" t="s">
        <v>199</v>
      </c>
      <c r="I20" s="169" t="s">
        <v>204</v>
      </c>
      <c r="L20" s="170" t="s">
        <v>205</v>
      </c>
      <c r="M20" s="170" t="s">
        <v>206</v>
      </c>
      <c r="N20" s="170" t="s">
        <v>207</v>
      </c>
    </row>
    <row r="21" spans="1:14" ht="13.15" x14ac:dyDescent="0.4">
      <c r="A21" s="141">
        <v>1</v>
      </c>
      <c r="B21" s="141" t="str">
        <f>IFERROR(INDEX(계좌현황!A:A,INDEX($L$21:$L$95,MATCH(LARGE($N$21:$N$95,1),$N$21:$N$95,0))),"")</f>
        <v>DC</v>
      </c>
      <c r="C21" s="141" t="str">
        <f>IFERROR(INDEX(계좌현황!C:C,INDEX($L$21:$L$95,MATCH(LARGE($N$21:$N$95,1),$N$21:$N$95,0))),"")</f>
        <v>한국</v>
      </c>
      <c r="D21" s="141" t="str">
        <f>IFERROR(INDEX(계좌현황!D:D,INDEX($L$21:$L$95,MATCH(LARGE($N$21:$N$95,1),$N$21:$N$95,0))),"")</f>
        <v>458760</v>
      </c>
      <c r="E21" s="141" t="str">
        <f>IFERROR(INDEX(계좌현황!E:E,INDEX($L$21:$L$95,MATCH(LARGE($N$21:$N$95,1),$N$21:$N$95,0))),"")</f>
        <v xml:space="preserve">TIGER 미배당다우커버드콜2호 </v>
      </c>
      <c r="F21" s="171">
        <f>IFERROR(INDEX(계좌현황!F:F,INDEX($L$21:$L$95,MATCH(LARGE($N$21:$N$95,1),$N$21:$N$95,0))),"")</f>
        <v>9359</v>
      </c>
      <c r="G21" s="172">
        <f>IFERROR(INDEX(계좌현황!K:K,INDEX($L$21:$L$95,MATCH(LARGE($N$21:$N$95,1),$N$21:$N$95,0))),0)</f>
        <v>99205400</v>
      </c>
      <c r="H21" s="173">
        <f t="shared" ref="H21:H52" si="1">IF($B$3=0,0,G21/$B$3)</f>
        <v>0.13318184768622793</v>
      </c>
      <c r="I21" s="173">
        <f>H21</f>
        <v>0.13318184768622793</v>
      </c>
      <c r="L21">
        <v>9</v>
      </c>
      <c r="M21">
        <f>계좌현황!K9</f>
        <v>99205400</v>
      </c>
      <c r="N21">
        <f t="shared" ref="N21:N52" si="2">IF(M21="",-1E+99,M21*100000+(10000-L21))</f>
        <v>9920540009991</v>
      </c>
    </row>
    <row r="22" spans="1:14" ht="13.15" x14ac:dyDescent="0.4">
      <c r="A22" s="141">
        <v>2</v>
      </c>
      <c r="B22" s="141" t="str">
        <f>IFERROR(INDEX(계좌현황!A:A,INDEX($L$21:$L$95,MATCH(LARGE($N$21:$N$95,2),$N$21:$N$95,0))),"")</f>
        <v>DC</v>
      </c>
      <c r="C22" s="141" t="str">
        <f>IFERROR(INDEX(계좌현황!C:C,INDEX($L$21:$L$95,MATCH(LARGE($N$21:$N$95,2),$N$21:$N$95,0))),"")</f>
        <v>한국</v>
      </c>
      <c r="D22" s="141" t="str">
        <f>IFERROR(INDEX(계좌현황!D:D,INDEX($L$21:$L$95,MATCH(LARGE($N$21:$N$95,2),$N$21:$N$95,0))),"")</f>
        <v>472170</v>
      </c>
      <c r="E22" s="141" t="str">
        <f>IFERROR(INDEX(계좌현황!E:E,INDEX($L$21:$L$95,MATCH(LARGE($N$21:$N$95,2),$N$21:$N$95,0))),"")</f>
        <v>TIGER 미국테크TOP10채권혼합</v>
      </c>
      <c r="F22" s="171">
        <f>IFERROR(INDEX(계좌현황!F:F,INDEX($L$21:$L$95,MATCH(LARGE($N$21:$N$95,2),$N$21:$N$95,0))),"")</f>
        <v>3649</v>
      </c>
      <c r="G22" s="172">
        <f>IFERROR(INDEX(계좌현황!K:K,INDEX($L$21:$L$95,MATCH(LARGE($N$21:$N$95,2),$N$21:$N$95,0))),0)</f>
        <v>50556895</v>
      </c>
      <c r="H22" s="173">
        <f t="shared" si="1"/>
        <v>6.7871917147439745E-2</v>
      </c>
      <c r="I22" s="173">
        <f t="shared" ref="I22:I53" si="3">I21+H22</f>
        <v>0.20105376483366766</v>
      </c>
      <c r="L22">
        <v>10</v>
      </c>
      <c r="M22">
        <f>계좌현황!K10</f>
        <v>40464390</v>
      </c>
      <c r="N22">
        <f t="shared" si="2"/>
        <v>4046439009990</v>
      </c>
    </row>
    <row r="23" spans="1:14" ht="13.15" x14ac:dyDescent="0.4">
      <c r="A23" s="144">
        <v>3</v>
      </c>
      <c r="B23" s="144" t="str">
        <f>IFERROR(INDEX(계좌현황!A:A,INDEX($L$21:$L$95,MATCH(LARGE($N$21:$N$95,3),$N$21:$N$95,0))),"")</f>
        <v>개인연금1</v>
      </c>
      <c r="C23" s="144" t="str">
        <f>IFERROR(INDEX(계좌현황!C:C,INDEX($L$21:$L$95,MATCH(LARGE($N$21:$N$95,3),$N$21:$N$95,0))),"")</f>
        <v>한국</v>
      </c>
      <c r="D23" s="144" t="str">
        <f>IFERROR(INDEX(계좌현황!D:D,INDEX($L$21:$L$95,MATCH(LARGE($N$21:$N$95,3),$N$21:$N$95,0))),"")</f>
        <v>474220</v>
      </c>
      <c r="E23" s="144" t="str">
        <f>IFERROR(INDEX(계좌현황!E:E,INDEX($L$21:$L$95,MATCH(LARGE($N$21:$N$95,3),$N$21:$N$95,0))),"")</f>
        <v xml:space="preserve">TIGER미국테크TOP10커버드콜 </v>
      </c>
      <c r="F23" s="174">
        <f>IFERROR(INDEX(계좌현황!F:F,INDEX($L$21:$L$95,MATCH(LARGE($N$21:$N$95,3),$N$21:$N$95,0))),"")</f>
        <v>3260</v>
      </c>
      <c r="G23" s="175">
        <f>IFERROR(INDEX(계좌현황!K:K,INDEX($L$21:$L$95,MATCH(LARGE($N$21:$N$95,3),$N$21:$N$95,0))),0)</f>
        <v>47090700</v>
      </c>
      <c r="H23" s="176">
        <f t="shared" si="1"/>
        <v>6.3218599338724035E-2</v>
      </c>
      <c r="I23" s="176">
        <f t="shared" si="3"/>
        <v>0.26427236417239169</v>
      </c>
      <c r="L23">
        <v>11</v>
      </c>
      <c r="M23">
        <f>계좌현황!K11</f>
        <v>28545000</v>
      </c>
      <c r="N23">
        <f t="shared" si="2"/>
        <v>2854500009989</v>
      </c>
    </row>
    <row r="24" spans="1:14" ht="13.15" x14ac:dyDescent="0.4">
      <c r="A24" s="144">
        <v>4</v>
      </c>
      <c r="B24" s="144" t="str">
        <f>IFERROR(INDEX(계좌현황!A:A,INDEX($L$21:$L$95,MATCH(LARGE($N$21:$N$95,4),$N$21:$N$95,0))),"")</f>
        <v>개인연금1</v>
      </c>
      <c r="C24" s="144" t="str">
        <f>IFERROR(INDEX(계좌현황!C:C,INDEX($L$21:$L$95,MATCH(LARGE($N$21:$N$95,4),$N$21:$N$95,0))),"")</f>
        <v>한국</v>
      </c>
      <c r="D24" s="144" t="str">
        <f>IFERROR(INDEX(계좌현황!D:D,INDEX($L$21:$L$95,MATCH(LARGE($N$21:$N$95,4),$N$21:$N$95,0))),"")</f>
        <v>458760</v>
      </c>
      <c r="E24" s="144" t="str">
        <f>IFERROR(INDEX(계좌현황!E:E,INDEX($L$21:$L$95,MATCH(LARGE($N$21:$N$95,4),$N$21:$N$95,0))),"")</f>
        <v xml:space="preserve">TIGER 미배당다우커버드콜2호 </v>
      </c>
      <c r="F24" s="174">
        <f>IFERROR(INDEX(계좌현황!F:F,INDEX($L$21:$L$95,MATCH(LARGE($N$21:$N$95,4),$N$21:$N$95,0))),"")</f>
        <v>4055</v>
      </c>
      <c r="G24" s="175">
        <f>IFERROR(INDEX(계좌현황!K:K,INDEX($L$21:$L$95,MATCH(LARGE($N$21:$N$95,4),$N$21:$N$95,0))),0)</f>
        <v>42983000</v>
      </c>
      <c r="H24" s="176">
        <f t="shared" si="1"/>
        <v>5.7704070132242144E-2</v>
      </c>
      <c r="I24" s="176">
        <f t="shared" si="3"/>
        <v>0.32197643430463385</v>
      </c>
      <c r="L24">
        <v>12</v>
      </c>
      <c r="M24">
        <f>계좌현황!K12</f>
        <v>25552750</v>
      </c>
      <c r="N24">
        <f t="shared" si="2"/>
        <v>2555275009988</v>
      </c>
    </row>
    <row r="25" spans="1:14" ht="13.15" x14ac:dyDescent="0.4">
      <c r="A25" s="141">
        <v>5</v>
      </c>
      <c r="B25" s="141" t="str">
        <f>IFERROR(INDEX(계좌현황!A:A,INDEX($L$21:$L$95,MATCH(LARGE($N$21:$N$95,5),$N$21:$N$95,0))),"")</f>
        <v>DC</v>
      </c>
      <c r="C25" s="141" t="str">
        <f>IFERROR(INDEX(계좌현황!C:C,INDEX($L$21:$L$95,MATCH(LARGE($N$21:$N$95,5),$N$21:$N$95,0))),"")</f>
        <v>한국</v>
      </c>
      <c r="D25" s="141" t="str">
        <f>IFERROR(INDEX(계좌현황!D:D,INDEX($L$21:$L$95,MATCH(LARGE($N$21:$N$95,5),$N$21:$N$95,0))),"")</f>
        <v>490490</v>
      </c>
      <c r="E25" s="141" t="str">
        <f>IFERROR(INDEX(계좌현황!E:E,INDEX($L$21:$L$95,MATCH(LARGE($N$21:$N$95,5),$N$21:$N$95,0))),"")</f>
        <v>SOL미국배당미국채혼합50</v>
      </c>
      <c r="F25" s="171">
        <f>IFERROR(INDEX(계좌현황!F:F,INDEX($L$21:$L$95,MATCH(LARGE($N$21:$N$95,5),$N$21:$N$95,0))),"")</f>
        <v>3821</v>
      </c>
      <c r="G25" s="172">
        <f>IFERROR(INDEX(계좌현황!K:K,INDEX($L$21:$L$95,MATCH(LARGE($N$21:$N$95,5),$N$21:$N$95,0))),0)</f>
        <v>40464390</v>
      </c>
      <c r="H25" s="173">
        <f t="shared" si="1"/>
        <v>5.432287179625428E-2</v>
      </c>
      <c r="I25" s="173">
        <f t="shared" si="3"/>
        <v>0.37629930610088813</v>
      </c>
      <c r="L25">
        <v>13</v>
      </c>
      <c r="M25">
        <f>계좌현황!K13</f>
        <v>50556895</v>
      </c>
      <c r="N25">
        <f t="shared" si="2"/>
        <v>5055689509987</v>
      </c>
    </row>
    <row r="26" spans="1:14" ht="13.15" x14ac:dyDescent="0.4">
      <c r="A26" s="141">
        <v>6</v>
      </c>
      <c r="B26" s="141" t="str">
        <f>IFERROR(INDEX(계좌현황!A:A,INDEX($L$21:$L$95,MATCH(LARGE($N$21:$N$95,6),$N$21:$N$95,0))),"")</f>
        <v>CMA</v>
      </c>
      <c r="C26" s="141">
        <f>IFERROR(INDEX(계좌현황!C:C,INDEX($L$21:$L$95,MATCH(LARGE($N$21:$N$95,6),$N$21:$N$95,0))),"")</f>
        <v>0</v>
      </c>
      <c r="D26" s="141" t="str">
        <f>IFERROR(INDEX(계좌현황!D:D,INDEX($L$21:$L$95,MATCH(LARGE($N$21:$N$95,6),$N$21:$N$95,0))),"")</f>
        <v>현금</v>
      </c>
      <c r="E26" s="141" t="str">
        <f>IFERROR(INDEX(계좌현황!E:E,INDEX($L$21:$L$95,MATCH(LARGE($N$21:$N$95,6),$N$21:$N$95,0))),"")</f>
        <v>CMA RP</v>
      </c>
      <c r="F26" s="171">
        <f>IFERROR(INDEX(계좌현황!F:F,INDEX($L$21:$L$95,MATCH(LARGE($N$21:$N$95,6),$N$21:$N$95,0))),"")</f>
        <v>1</v>
      </c>
      <c r="G26" s="172">
        <f>IFERROR(INDEX(계좌현황!K:K,INDEX($L$21:$L$95,MATCH(LARGE($N$21:$N$95,6),$N$21:$N$95,0))),0)</f>
        <v>40325031</v>
      </c>
      <c r="H26" s="173">
        <f t="shared" si="1"/>
        <v>5.4135784307955209E-2</v>
      </c>
      <c r="I26" s="173">
        <f t="shared" si="3"/>
        <v>0.43043509040884331</v>
      </c>
      <c r="L26">
        <v>14</v>
      </c>
      <c r="M26">
        <f>계좌현황!K14</f>
        <v>20310000</v>
      </c>
      <c r="N26">
        <f t="shared" si="2"/>
        <v>2031000009986</v>
      </c>
    </row>
    <row r="27" spans="1:14" ht="13.15" x14ac:dyDescent="0.4">
      <c r="A27" s="141">
        <v>7</v>
      </c>
      <c r="B27" s="141" t="str">
        <f>IFERROR(INDEX(계좌현황!A:A,INDEX($L$21:$L$95,MATCH(LARGE($N$21:$N$95,7),$N$21:$N$95,0))),"")</f>
        <v>DC</v>
      </c>
      <c r="C27" s="141" t="str">
        <f>IFERROR(INDEX(계좌현황!C:C,INDEX($L$21:$L$95,MATCH(LARGE($N$21:$N$95,7),$N$21:$N$95,0))),"")</f>
        <v>한국</v>
      </c>
      <c r="D27" s="141" t="str">
        <f>IFERROR(INDEX(계좌현황!D:D,INDEX($L$21:$L$95,MATCH(LARGE($N$21:$N$95,7),$N$21:$N$95,0))),"")</f>
        <v>0008S0</v>
      </c>
      <c r="E27" s="141" t="str">
        <f>IFERROR(INDEX(계좌현황!E:E,INDEX($L$21:$L$95,MATCH(LARGE($N$21:$N$95,7),$N$21:$N$95,0))),"")</f>
        <v>TIGER 미국배당다우존스타겟데일리커버드콜</v>
      </c>
      <c r="F27" s="171">
        <f>IFERROR(INDEX(계좌현황!F:F,INDEX($L$21:$L$95,MATCH(LARGE($N$21:$N$95,7),$N$21:$N$95,0))),"")</f>
        <v>3000</v>
      </c>
      <c r="G27" s="172">
        <f>IFERROR(INDEX(계좌현황!K:K,INDEX($L$21:$L$95,MATCH(LARGE($N$21:$N$95,7),$N$21:$N$95,0))),0)</f>
        <v>28545000</v>
      </c>
      <c r="H27" s="173">
        <f t="shared" si="1"/>
        <v>3.8321259147217554E-2</v>
      </c>
      <c r="I27" s="173">
        <f t="shared" si="3"/>
        <v>0.46875634955606088</v>
      </c>
      <c r="L27">
        <v>15</v>
      </c>
      <c r="M27">
        <f>계좌현황!K15</f>
        <v>20000000</v>
      </c>
      <c r="N27">
        <f t="shared" si="2"/>
        <v>2000000009985</v>
      </c>
    </row>
    <row r="28" spans="1:14" ht="13.15" x14ac:dyDescent="0.4">
      <c r="A28" s="150">
        <v>8</v>
      </c>
      <c r="B28" s="150" t="str">
        <f>IFERROR(INDEX(계좌현황!A:A,INDEX($L$21:$L$95,MATCH(LARGE($N$21:$N$95,8),$N$21:$N$95,0))),"")</f>
        <v>DC</v>
      </c>
      <c r="C28" s="150" t="str">
        <f>IFERROR(INDEX(계좌현황!C:C,INDEX($L$21:$L$95,MATCH(LARGE($N$21:$N$95,8),$N$21:$N$95,0))),"")</f>
        <v>한국</v>
      </c>
      <c r="D28" s="150" t="str">
        <f>IFERROR(INDEX(계좌현황!D:D,INDEX($L$21:$L$95,MATCH(LARGE($N$21:$N$95,8),$N$21:$N$95,0))),"")</f>
        <v>498410</v>
      </c>
      <c r="E28" s="150" t="str">
        <f>IFERROR(INDEX(계좌현황!E:E,INDEX($L$21:$L$95,MATCH(LARGE($N$21:$N$95,8),$N$21:$N$95,0))),"")</f>
        <v>KODEX금융고배당TOP10타겟위클리커버드콜</v>
      </c>
      <c r="F28" s="177">
        <f>IFERROR(INDEX(계좌현황!F:F,INDEX($L$21:$L$95,MATCH(LARGE($N$21:$N$95,8),$N$21:$N$95,0))),"")</f>
        <v>2377</v>
      </c>
      <c r="G28" s="178">
        <f>IFERROR(INDEX(계좌현황!K:K,INDEX($L$21:$L$95,MATCH(LARGE($N$21:$N$95,8),$N$21:$N$95,0))),0)</f>
        <v>25552750</v>
      </c>
      <c r="H28" s="179">
        <f t="shared" si="1"/>
        <v>3.4304205803960881E-2</v>
      </c>
      <c r="I28" s="179">
        <f t="shared" si="3"/>
        <v>0.50306055536002181</v>
      </c>
      <c r="L28">
        <v>16</v>
      </c>
      <c r="M28">
        <f>계좌현황!K16</f>
        <v>13454175</v>
      </c>
      <c r="N28">
        <f t="shared" si="2"/>
        <v>1345417509984</v>
      </c>
    </row>
    <row r="29" spans="1:14" ht="13.15" x14ac:dyDescent="0.4">
      <c r="A29" s="144">
        <v>9</v>
      </c>
      <c r="B29" s="144" t="str">
        <f>IFERROR(INDEX(계좌현황!A:A,INDEX($L$21:$L$95,MATCH(LARGE($N$21:$N$95,9),$N$21:$N$95,0))),"")</f>
        <v>ISA</v>
      </c>
      <c r="C29" s="144" t="str">
        <f>IFERROR(INDEX(계좌현황!C:C,INDEX($L$21:$L$95,MATCH(LARGE($N$21:$N$95,9),$N$21:$N$95,0))),"")</f>
        <v>한국</v>
      </c>
      <c r="D29" s="144" t="str">
        <f>IFERROR(INDEX(계좌현황!D:D,INDEX($L$21:$L$95,MATCH(LARGE($N$21:$N$95,9),$N$21:$N$95,0))),"")</f>
        <v>483280</v>
      </c>
      <c r="E29" s="144" t="str">
        <f>IFERROR(INDEX(계좌현황!E:E,INDEX($L$21:$L$95,MATCH(LARGE($N$21:$N$95,9),$N$21:$N$95,0))),"")</f>
        <v>KODEX 미국AI테크TOP10타겟커버드콜</v>
      </c>
      <c r="F29" s="174">
        <f>IFERROR(INDEX(계좌현황!F:F,INDEX($L$21:$L$95,MATCH(LARGE($N$21:$N$95,9),$N$21:$N$95,0))),"")</f>
        <v>2226</v>
      </c>
      <c r="G29" s="175">
        <f>IFERROR(INDEX(계좌현황!K:K,INDEX($L$21:$L$95,MATCH(LARGE($N$21:$N$95,9),$N$21:$N$95,0))),0)</f>
        <v>24652950</v>
      </c>
      <c r="H29" s="176">
        <f t="shared" si="1"/>
        <v>3.309623701851102E-2</v>
      </c>
      <c r="I29" s="176">
        <f t="shared" si="3"/>
        <v>0.53615679237853286</v>
      </c>
      <c r="L29">
        <v>17</v>
      </c>
      <c r="M29">
        <f>계좌현황!K17</f>
        <v>47090700</v>
      </c>
      <c r="N29">
        <f t="shared" si="2"/>
        <v>4709070009983</v>
      </c>
    </row>
    <row r="30" spans="1:14" ht="13.15" x14ac:dyDescent="0.4">
      <c r="A30" s="150">
        <v>10</v>
      </c>
      <c r="B30" s="150" t="str">
        <f>IFERROR(INDEX(계좌현황!A:A,INDEX($L$21:$L$95,MATCH(LARGE($N$21:$N$95,10),$N$21:$N$95,0))),"")</f>
        <v>개인연금1</v>
      </c>
      <c r="C30" s="150" t="str">
        <f>IFERROR(INDEX(계좌현황!C:C,INDEX($L$21:$L$95,MATCH(LARGE($N$21:$N$95,10),$N$21:$N$95,0))),"")</f>
        <v>한국</v>
      </c>
      <c r="D30" s="150" t="str">
        <f>IFERROR(INDEX(계좌현황!D:D,INDEX($L$21:$L$95,MATCH(LARGE($N$21:$N$95,10),$N$21:$N$95,0))),"")</f>
        <v>433330</v>
      </c>
      <c r="E30" s="150" t="str">
        <f>IFERROR(INDEX(계좌현황!E:E,INDEX($L$21:$L$95,MATCH(LARGE($N$21:$N$95,10),$N$21:$N$95,0))),"")</f>
        <v xml:space="preserve">SOL 미국 S&amp;P500  </v>
      </c>
      <c r="F30" s="177">
        <f>IFERROR(INDEX(계좌현황!F:F,INDEX($L$21:$L$95,MATCH(LARGE($N$21:$N$95,10),$N$21:$N$95,0))),"")</f>
        <v>1061</v>
      </c>
      <c r="G30" s="178">
        <f>IFERROR(INDEX(계좌현황!K:K,INDEX($L$21:$L$95,MATCH(LARGE($N$21:$N$95,10),$N$21:$N$95,0))),0)</f>
        <v>22376490</v>
      </c>
      <c r="H30" s="179">
        <f t="shared" si="1"/>
        <v>3.0040121635842427E-2</v>
      </c>
      <c r="I30" s="179">
        <f t="shared" si="3"/>
        <v>0.56619691401437533</v>
      </c>
      <c r="L30">
        <v>18</v>
      </c>
      <c r="M30">
        <f>계좌현황!K18</f>
        <v>42983000</v>
      </c>
      <c r="N30">
        <f t="shared" si="2"/>
        <v>4298300009982</v>
      </c>
    </row>
    <row r="31" spans="1:14" ht="13.15" x14ac:dyDescent="0.4">
      <c r="A31" s="141">
        <v>11</v>
      </c>
      <c r="B31" s="141" t="str">
        <f>IFERROR(INDEX(계좌현황!A:A,INDEX($L$21:$L$95,MATCH(LARGE($N$21:$N$95,11),$N$21:$N$95,0))),"")</f>
        <v>ISA</v>
      </c>
      <c r="C31" s="141" t="str">
        <f>IFERROR(INDEX(계좌현황!C:C,INDEX($L$21:$L$95,MATCH(LARGE($N$21:$N$95,11),$N$21:$N$95,0))),"")</f>
        <v>한국</v>
      </c>
      <c r="D31" s="141" t="str">
        <f>IFERROR(INDEX(계좌현황!D:D,INDEX($L$21:$L$95,MATCH(LARGE($N$21:$N$95,11),$N$21:$N$95,0))),"")</f>
        <v>458760</v>
      </c>
      <c r="E31" s="141" t="str">
        <f>IFERROR(INDEX(계좌현황!E:E,INDEX($L$21:$L$95,MATCH(LARGE($N$21:$N$95,11),$N$21:$N$95,0))),"")</f>
        <v>TIGER 미배당다우커버드콜2호</v>
      </c>
      <c r="F31" s="171">
        <f>IFERROR(INDEX(계좌현황!F:F,INDEX($L$21:$L$95,MATCH(LARGE($N$21:$N$95,11),$N$21:$N$95,0))),"")</f>
        <v>1964</v>
      </c>
      <c r="G31" s="172">
        <f>IFERROR(INDEX(계좌현황!K:K,INDEX($L$21:$L$95,MATCH(LARGE($N$21:$N$95,11),$N$21:$N$95,0))),0)</f>
        <v>20818400</v>
      </c>
      <c r="H31" s="173">
        <f t="shared" si="1"/>
        <v>2.7948407827305444E-2</v>
      </c>
      <c r="I31" s="173">
        <f t="shared" si="3"/>
        <v>0.59414532184168078</v>
      </c>
      <c r="L31">
        <v>19</v>
      </c>
      <c r="M31">
        <f>계좌현황!K19</f>
        <v>17762150</v>
      </c>
      <c r="N31">
        <f t="shared" si="2"/>
        <v>1776215009981</v>
      </c>
    </row>
    <row r="32" spans="1:14" ht="13.15" x14ac:dyDescent="0.4">
      <c r="A32" s="141">
        <v>12</v>
      </c>
      <c r="B32" s="141" t="str">
        <f>IFERROR(INDEX(계좌현황!A:A,INDEX($L$21:$L$95,MATCH(LARGE($N$21:$N$95,12),$N$21:$N$95,0))),"")</f>
        <v>DC</v>
      </c>
      <c r="C32" s="141" t="str">
        <f>IFERROR(INDEX(계좌현황!C:C,INDEX($L$21:$L$95,MATCH(LARGE($N$21:$N$95,12),$N$21:$N$95,0))),"")</f>
        <v>한국</v>
      </c>
      <c r="D32" s="141" t="str">
        <f>IFERROR(INDEX(계좌현황!D:D,INDEX($L$21:$L$95,MATCH(LARGE($N$21:$N$95,12),$N$21:$N$95,0))),"")</f>
        <v>468380</v>
      </c>
      <c r="E32" s="141" t="str">
        <f>IFERROR(INDEX(계좌현황!E:E,INDEX($L$21:$L$95,MATCH(LARGE($N$21:$N$95,12),$N$21:$N$95,0))),"")</f>
        <v>KODEX iShares미국하이일드액티브</v>
      </c>
      <c r="F32" s="171">
        <f>IFERROR(INDEX(계좌현황!F:F,INDEX($L$21:$L$95,MATCH(LARGE($N$21:$N$95,12),$N$21:$N$95,0))),"")</f>
        <v>2000</v>
      </c>
      <c r="G32" s="172">
        <f>IFERROR(INDEX(계좌현황!K:K,INDEX($L$21:$L$95,MATCH(LARGE($N$21:$N$95,12),$N$21:$N$95,0))),0)</f>
        <v>20310000</v>
      </c>
      <c r="H32" s="173">
        <f t="shared" si="1"/>
        <v>2.7265888011209966E-2</v>
      </c>
      <c r="I32" s="173">
        <f t="shared" si="3"/>
        <v>0.62141120985289078</v>
      </c>
      <c r="L32">
        <v>20</v>
      </c>
      <c r="M32">
        <f>계좌현황!K20</f>
        <v>22376490</v>
      </c>
      <c r="N32">
        <f t="shared" si="2"/>
        <v>2237649009980</v>
      </c>
    </row>
    <row r="33" spans="1:14" ht="13.15" x14ac:dyDescent="0.4">
      <c r="A33" s="150">
        <v>13</v>
      </c>
      <c r="B33" s="150" t="str">
        <f>IFERROR(INDEX(계좌현황!A:A,INDEX($L$21:$L$95,MATCH(LARGE($N$21:$N$95,13),$N$21:$N$95,0))),"")</f>
        <v>DC</v>
      </c>
      <c r="C33" s="150" t="str">
        <f>IFERROR(INDEX(계좌현황!C:C,INDEX($L$21:$L$95,MATCH(LARGE($N$21:$N$95,13),$N$21:$N$95,0))),"")</f>
        <v>한국</v>
      </c>
      <c r="D33" s="150" t="str">
        <f>IFERROR(INDEX(계좌현황!D:D,INDEX($L$21:$L$95,MATCH(LARGE($N$21:$N$95,13),$N$21:$N$95,0))),"")</f>
        <v>329200</v>
      </c>
      <c r="E33" s="150" t="str">
        <f>IFERROR(INDEX(계좌현황!E:E,INDEX($L$21:$L$95,MATCH(LARGE($N$21:$N$95,13),$N$21:$N$95,0))),"")</f>
        <v>TIGER리츠부동산인프라</v>
      </c>
      <c r="F33" s="177">
        <f>IFERROR(INDEX(계좌현황!F:F,INDEX($L$21:$L$95,MATCH(LARGE($N$21:$N$95,13),$N$21:$N$95,0))),"")</f>
        <v>5000</v>
      </c>
      <c r="G33" s="178">
        <f>IFERROR(INDEX(계좌현황!K:K,INDEX($L$21:$L$95,MATCH(LARGE($N$21:$N$95,13),$N$21:$N$95,0))),0)</f>
        <v>20000000</v>
      </c>
      <c r="H33" s="179">
        <f t="shared" si="1"/>
        <v>2.6849717391639553E-2</v>
      </c>
      <c r="I33" s="179">
        <f t="shared" si="3"/>
        <v>0.64826092724453033</v>
      </c>
      <c r="L33">
        <v>21</v>
      </c>
      <c r="M33">
        <f>계좌현황!K21</f>
        <v>4723875</v>
      </c>
      <c r="N33">
        <f t="shared" si="2"/>
        <v>472387509979</v>
      </c>
    </row>
    <row r="34" spans="1:14" ht="13.15" x14ac:dyDescent="0.4">
      <c r="A34" s="144">
        <v>14</v>
      </c>
      <c r="B34" s="144" t="str">
        <f>IFERROR(INDEX(계좌현황!A:A,INDEX($L$21:$L$95,MATCH(LARGE($N$21:$N$95,14),$N$21:$N$95,0))),"")</f>
        <v>ISA</v>
      </c>
      <c r="C34" s="144" t="str">
        <f>IFERROR(INDEX(계좌현황!C:C,INDEX($L$21:$L$95,MATCH(LARGE($N$21:$N$95,14),$N$21:$N$95,0))),"")</f>
        <v>한국</v>
      </c>
      <c r="D34" s="144" t="str">
        <f>IFERROR(INDEX(계좌현황!D:D,INDEX($L$21:$L$95,MATCH(LARGE($N$21:$N$95,14),$N$21:$N$95,0))),"")</f>
        <v>474220</v>
      </c>
      <c r="E34" s="144" t="str">
        <f>IFERROR(INDEX(계좌현황!E:E,INDEX($L$21:$L$95,MATCH(LARGE($N$21:$N$95,14),$N$21:$N$95,0))),"")</f>
        <v>TIGER미국테크TOP10커버드콜</v>
      </c>
      <c r="F34" s="174">
        <f>IFERROR(INDEX(계좌현황!F:F,INDEX($L$21:$L$95,MATCH(LARGE($N$21:$N$95,14),$N$21:$N$95,0))),"")</f>
        <v>1350</v>
      </c>
      <c r="G34" s="175">
        <f>IFERROR(INDEX(계좌현황!K:K,INDEX($L$21:$L$95,MATCH(LARGE($N$21:$N$95,14),$N$21:$N$95,0))),0)</f>
        <v>19500750</v>
      </c>
      <c r="H34" s="176">
        <f t="shared" si="1"/>
        <v>2.6179481321250753E-2</v>
      </c>
      <c r="I34" s="176">
        <f t="shared" si="3"/>
        <v>0.67444040856578114</v>
      </c>
      <c r="L34">
        <v>22</v>
      </c>
      <c r="M34">
        <f>계좌현황!K22</f>
        <v>9999730</v>
      </c>
      <c r="N34">
        <f t="shared" si="2"/>
        <v>999973009978</v>
      </c>
    </row>
    <row r="35" spans="1:14" ht="13.15" x14ac:dyDescent="0.4">
      <c r="A35" s="141">
        <v>15</v>
      </c>
      <c r="B35" s="141" t="str">
        <f>IFERROR(INDEX(계좌현황!A:A,INDEX($L$21:$L$95,MATCH(LARGE($N$21:$N$95,15),$N$21:$N$95,0))),"")</f>
        <v>개인연금1</v>
      </c>
      <c r="C35" s="141" t="str">
        <f>IFERROR(INDEX(계좌현황!C:C,INDEX($L$21:$L$95,MATCH(LARGE($N$21:$N$95,15),$N$21:$N$95,0))),"")</f>
        <v>한국</v>
      </c>
      <c r="D35" s="141" t="str">
        <f>IFERROR(INDEX(계좌현황!D:D,INDEX($L$21:$L$95,MATCH(LARGE($N$21:$N$95,15),$N$21:$N$95,0))),"")</f>
        <v>446720</v>
      </c>
      <c r="E35" s="141" t="str">
        <f>IFERROR(INDEX(계좌현황!E:E,INDEX($L$21:$L$95,MATCH(LARGE($N$21:$N$95,15),$N$21:$N$95,0))),"")</f>
        <v>SOL 미국배당다우존스</v>
      </c>
      <c r="F35" s="171">
        <f>IFERROR(INDEX(계좌현황!F:F,INDEX($L$21:$L$95,MATCH(LARGE($N$21:$N$95,15),$N$21:$N$95,0))),"")</f>
        <v>1330</v>
      </c>
      <c r="G35" s="172">
        <f>IFERROR(INDEX(계좌현황!K:K,INDEX($L$21:$L$95,MATCH(LARGE($N$21:$N$95,15),$N$21:$N$95,0))),0)</f>
        <v>17762150</v>
      </c>
      <c r="H35" s="173">
        <f t="shared" si="1"/>
        <v>2.3845435388395526E-2</v>
      </c>
      <c r="I35" s="173">
        <f t="shared" si="3"/>
        <v>0.6982858439541767</v>
      </c>
      <c r="L35">
        <v>23</v>
      </c>
      <c r="M35">
        <f>계좌현황!K23</f>
        <v>5587985</v>
      </c>
      <c r="N35">
        <f t="shared" si="2"/>
        <v>558798509977</v>
      </c>
    </row>
    <row r="36" spans="1:14" ht="13.15" x14ac:dyDescent="0.4">
      <c r="A36" s="153">
        <v>16</v>
      </c>
      <c r="B36" s="153" t="str">
        <f>IFERROR(INDEX(계좌현황!A:A,INDEX($L$21:$L$95,MATCH(LARGE($N$21:$N$95,16),$N$21:$N$95,0))),"")</f>
        <v>DC</v>
      </c>
      <c r="C36" s="153" t="str">
        <f>IFERROR(INDEX(계좌현황!C:C,INDEX($L$21:$L$95,MATCH(LARGE($N$21:$N$95,16),$N$21:$N$95,0))),"")</f>
        <v>한국</v>
      </c>
      <c r="D36" s="153" t="str">
        <f>IFERROR(INDEX(계좌현황!D:D,INDEX($L$21:$L$95,MATCH(LARGE($N$21:$N$95,16),$N$21:$N$95,0))),"")</f>
        <v>379810</v>
      </c>
      <c r="E36" s="153" t="str">
        <f>IFERROR(INDEX(계좌현황!E:E,INDEX($L$21:$L$95,MATCH(LARGE($N$21:$N$95,16),$N$21:$N$95,0))),"")</f>
        <v>KODEX 미국나스닥100</v>
      </c>
      <c r="F36" s="180">
        <f>IFERROR(INDEX(계좌현황!F:F,INDEX($L$21:$L$95,MATCH(LARGE($N$21:$N$95,16),$N$21:$N$95,0))),"")</f>
        <v>523</v>
      </c>
      <c r="G36" s="181">
        <f>IFERROR(INDEX(계좌현황!K:K,INDEX($L$21:$L$95,MATCH(LARGE($N$21:$N$95,16),$N$21:$N$95,0))),0)</f>
        <v>13454175</v>
      </c>
      <c r="H36" s="182">
        <f t="shared" si="1"/>
        <v>1.8062039824383105E-2</v>
      </c>
      <c r="I36" s="182">
        <f t="shared" si="3"/>
        <v>0.71634788377855985</v>
      </c>
      <c r="L36">
        <v>24</v>
      </c>
      <c r="M36">
        <f>계좌현황!K24</f>
        <v>24652950</v>
      </c>
      <c r="N36">
        <f t="shared" si="2"/>
        <v>2465295009976</v>
      </c>
    </row>
    <row r="37" spans="1:14" ht="13.15" x14ac:dyDescent="0.4">
      <c r="A37" s="159">
        <v>17</v>
      </c>
      <c r="B37" s="159" t="str">
        <f>IFERROR(INDEX(계좌현황!A:A,INDEX($L$21:$L$95,MATCH(LARGE($N$21:$N$95,17),$N$21:$N$95,0))),"")</f>
        <v>은행예금</v>
      </c>
      <c r="C37" s="159">
        <f>IFERROR(INDEX(계좌현황!C:C,INDEX($L$21:$L$95,MATCH(LARGE($N$21:$N$95,17),$N$21:$N$95,0))),"")</f>
        <v>0</v>
      </c>
      <c r="D37" s="159" t="str">
        <f>IFERROR(INDEX(계좌현황!D:D,INDEX($L$21:$L$95,MATCH(LARGE($N$21:$N$95,17),$N$21:$N$95,0))),"")</f>
        <v>현금</v>
      </c>
      <c r="E37" s="159" t="str">
        <f>IFERROR(INDEX(계좌현황!E:E,INDEX($L$21:$L$95,MATCH(LARGE($N$21:$N$95,17),$N$21:$N$95,0))),"")</f>
        <v>새마을 예금</v>
      </c>
      <c r="F37" s="183">
        <f>IFERROR(INDEX(계좌현황!F:F,INDEX($L$21:$L$95,MATCH(LARGE($N$21:$N$95,17),$N$21:$N$95,0))),"")</f>
        <v>1</v>
      </c>
      <c r="G37" s="184">
        <f>IFERROR(INDEX(계좌현황!K:K,INDEX($L$21:$L$95,MATCH(LARGE($N$21:$N$95,17),$N$21:$N$95,0))),0)</f>
        <v>13435000</v>
      </c>
      <c r="H37" s="185">
        <f t="shared" si="1"/>
        <v>1.803629765783387E-2</v>
      </c>
      <c r="I37" s="185">
        <f t="shared" si="3"/>
        <v>0.73438418143639372</v>
      </c>
      <c r="L37">
        <v>25</v>
      </c>
      <c r="M37">
        <f>계좌현황!K25</f>
        <v>20818400</v>
      </c>
      <c r="N37">
        <f t="shared" si="2"/>
        <v>2081840009975</v>
      </c>
    </row>
    <row r="38" spans="1:14" ht="13.15" x14ac:dyDescent="0.4">
      <c r="A38" s="153">
        <v>18</v>
      </c>
      <c r="B38" s="153" t="str">
        <f>IFERROR(INDEX(계좌현황!A:A,INDEX($L$21:$L$95,MATCH(LARGE($N$21:$N$95,18),$N$21:$N$95,0))),"")</f>
        <v>일반계좌</v>
      </c>
      <c r="C38" s="153" t="str">
        <f>IFERROR(INDEX(계좌현황!C:C,INDEX($L$21:$L$95,MATCH(LARGE($N$21:$N$95,18),$N$21:$N$95,0))),"")</f>
        <v>한국</v>
      </c>
      <c r="D38" s="153" t="str">
        <f>IFERROR(INDEX(계좌현황!D:D,INDEX($L$21:$L$95,MATCH(LARGE($N$21:$N$95,18),$N$21:$N$95,0))),"")</f>
        <v>005930</v>
      </c>
      <c r="E38" s="153" t="str">
        <f>IFERROR(INDEX(계좌현황!E:E,INDEX($L$21:$L$95,MATCH(LARGE($N$21:$N$95,18),$N$21:$N$95,0))),"")</f>
        <v>삼성전자</v>
      </c>
      <c r="F38" s="180">
        <f>IFERROR(INDEX(계좌현황!F:F,INDEX($L$21:$L$95,MATCH(LARGE($N$21:$N$95,18),$N$21:$N$95,0))),"")</f>
        <v>55</v>
      </c>
      <c r="G38" s="181">
        <f>IFERROR(INDEX(계좌현황!K:K,INDEX($L$21:$L$95,MATCH(LARGE($N$21:$N$95,18),$N$21:$N$95,0))),0)</f>
        <v>11797500</v>
      </c>
      <c r="H38" s="182">
        <f t="shared" si="1"/>
        <v>1.5837977046393382E-2</v>
      </c>
      <c r="I38" s="182">
        <f t="shared" si="3"/>
        <v>0.75022215848278706</v>
      </c>
      <c r="L38">
        <v>26</v>
      </c>
      <c r="M38">
        <f>계좌현황!K26</f>
        <v>19500750</v>
      </c>
      <c r="N38">
        <f t="shared" si="2"/>
        <v>1950075009974</v>
      </c>
    </row>
    <row r="39" spans="1:14" ht="13.15" x14ac:dyDescent="0.4">
      <c r="A39" s="147">
        <v>19</v>
      </c>
      <c r="B39" s="147" t="str">
        <f>IFERROR(INDEX(계좌현황!A:A,INDEX($L$21:$L$95,MATCH(LARGE($N$21:$N$95,19),$N$21:$N$95,0))),"")</f>
        <v>IRP</v>
      </c>
      <c r="C39" s="147" t="str">
        <f>IFERROR(INDEX(계좌현황!C:C,INDEX($L$21:$L$95,MATCH(LARGE($N$21:$N$95,19),$N$21:$N$95,0))),"")</f>
        <v>한국</v>
      </c>
      <c r="D39" s="147" t="str">
        <f>IFERROR(INDEX(계좌현황!D:D,INDEX($L$21:$L$95,MATCH(LARGE($N$21:$N$95,19),$N$21:$N$95,0))),"")</f>
        <v>438100</v>
      </c>
      <c r="E39" s="147" t="str">
        <f>IFERROR(INDEX(계좌현황!E:E,INDEX($L$21:$L$95,MATCH(LARGE($N$21:$N$95,19),$N$21:$N$95,0))),"")</f>
        <v>ACE미국나스닥100미국채혼합50액티브</v>
      </c>
      <c r="F39" s="186">
        <f>IFERROR(INDEX(계좌현황!F:F,INDEX($L$21:$L$95,MATCH(LARGE($N$21:$N$95,19),$N$21:$N$95,0))),"")</f>
        <v>794</v>
      </c>
      <c r="G39" s="187">
        <f>IFERROR(INDEX(계좌현황!K:K,INDEX($L$21:$L$95,MATCH(LARGE($N$21:$N$95,19),$N$21:$N$95,0))),0)</f>
        <v>11560640</v>
      </c>
      <c r="H39" s="188">
        <f t="shared" si="1"/>
        <v>1.5519995843324195E-2</v>
      </c>
      <c r="I39" s="188">
        <f t="shared" si="3"/>
        <v>0.76574215432611126</v>
      </c>
      <c r="L39">
        <v>27</v>
      </c>
      <c r="M39">
        <f>계좌현황!K27</f>
        <v>8381625</v>
      </c>
      <c r="N39">
        <f t="shared" si="2"/>
        <v>838162509973</v>
      </c>
    </row>
    <row r="40" spans="1:14" ht="13.15" x14ac:dyDescent="0.4">
      <c r="A40" s="159">
        <v>20</v>
      </c>
      <c r="B40" s="159" t="str">
        <f>IFERROR(INDEX(계좌현황!A:A,INDEX($L$21:$L$95,MATCH(LARGE($N$21:$N$95,20),$N$21:$N$95,0))),"")</f>
        <v>일반계좌</v>
      </c>
      <c r="C40" s="159" t="str">
        <f>IFERROR(INDEX(계좌현황!C:C,INDEX($L$21:$L$95,MATCH(LARGE($N$21:$N$95,20),$N$21:$N$95,0))),"")</f>
        <v>한국</v>
      </c>
      <c r="D40" s="159" t="str">
        <f>IFERROR(INDEX(계좌현황!D:D,INDEX($L$21:$L$95,MATCH(LARGE($N$21:$N$95,20),$N$21:$N$95,0))),"")</f>
        <v>498400</v>
      </c>
      <c r="E40" s="159" t="str">
        <f>IFERROR(INDEX(계좌현황!E:E,INDEX($L$21:$L$95,MATCH(LARGE($N$21:$N$95,20),$N$21:$N$95,0))),"")</f>
        <v>KODEX 200타켓위클리커버드콜</v>
      </c>
      <c r="F40" s="183">
        <f>IFERROR(INDEX(계좌현황!F:F,INDEX($L$21:$L$95,MATCH(LARGE($N$21:$N$95,20),$N$21:$N$95,0))),"")</f>
        <v>704</v>
      </c>
      <c r="G40" s="184">
        <f>IFERROR(INDEX(계좌현황!K:K,INDEX($L$21:$L$95,MATCH(LARGE($N$21:$N$95,20),$N$21:$N$95,0))),0)</f>
        <v>11267520</v>
      </c>
      <c r="H40" s="185">
        <f t="shared" si="1"/>
        <v>1.5126486385232325E-2</v>
      </c>
      <c r="I40" s="185">
        <f t="shared" si="3"/>
        <v>0.78086864071134354</v>
      </c>
      <c r="L40">
        <v>28</v>
      </c>
      <c r="M40">
        <f>계좌현황!K28</f>
        <v>7228800</v>
      </c>
      <c r="N40">
        <f t="shared" si="2"/>
        <v>722880009972</v>
      </c>
    </row>
    <row r="41" spans="1:14" ht="13.15" x14ac:dyDescent="0.4">
      <c r="A41" s="159">
        <v>21</v>
      </c>
      <c r="B41" s="159" t="str">
        <f>IFERROR(INDEX(계좌현황!A:A,INDEX($L$21:$L$95,MATCH(LARGE($N$21:$N$95,21),$N$21:$N$95,0))),"")</f>
        <v>개인연금2</v>
      </c>
      <c r="C41" s="159" t="str">
        <f>IFERROR(INDEX(계좌현황!C:C,INDEX($L$21:$L$95,MATCH(LARGE($N$21:$N$95,21),$N$21:$N$95,0))),"")</f>
        <v>한국</v>
      </c>
      <c r="D41" s="159" t="str">
        <f>IFERROR(INDEX(계좌현황!D:D,INDEX($L$21:$L$95,MATCH(LARGE($N$21:$N$95,21),$N$21:$N$95,0))),"")</f>
        <v>367380</v>
      </c>
      <c r="E41" s="159" t="str">
        <f>IFERROR(INDEX(계좌현황!E:E,INDEX($L$21:$L$95,MATCH(LARGE($N$21:$N$95,21),$N$21:$N$95,0))),"")</f>
        <v>ACE 미국나스닥100</v>
      </c>
      <c r="F41" s="183">
        <f>IFERROR(INDEX(계좌현황!F:F,INDEX($L$21:$L$95,MATCH(LARGE($N$21:$N$95,21),$N$21:$N$95,0))),"")</f>
        <v>338</v>
      </c>
      <c r="G41" s="184">
        <f>IFERROR(INDEX(계좌현황!K:K,INDEX($L$21:$L$95,MATCH(LARGE($N$21:$N$95,21),$N$21:$N$95,0))),0)</f>
        <v>9999730</v>
      </c>
      <c r="H41" s="185">
        <f t="shared" si="1"/>
        <v>1.342449622463499E-2</v>
      </c>
      <c r="I41" s="185">
        <f t="shared" si="3"/>
        <v>0.79429313693597858</v>
      </c>
      <c r="L41">
        <v>29</v>
      </c>
      <c r="M41">
        <f>계좌현황!K29</f>
        <v>3699200</v>
      </c>
      <c r="N41">
        <f t="shared" si="2"/>
        <v>369920009971</v>
      </c>
    </row>
    <row r="42" spans="1:14" ht="13.15" x14ac:dyDescent="0.4">
      <c r="A42" s="153">
        <v>22</v>
      </c>
      <c r="B42" s="153" t="str">
        <f>IFERROR(INDEX(계좌현황!A:A,INDEX($L$21:$L$95,MATCH(LARGE($N$21:$N$95,22),$N$21:$N$95,0))),"")</f>
        <v>IRP</v>
      </c>
      <c r="C42" s="153" t="str">
        <f>IFERROR(INDEX(계좌현황!C:C,INDEX($L$21:$L$95,MATCH(LARGE($N$21:$N$95,22),$N$21:$N$95,0))),"")</f>
        <v>한국</v>
      </c>
      <c r="D42" s="153" t="str">
        <f>IFERROR(INDEX(계좌현황!D:D,INDEX($L$21:$L$95,MATCH(LARGE($N$21:$N$95,22),$N$21:$N$95,0))),"")</f>
        <v>133690</v>
      </c>
      <c r="E42" s="153" t="str">
        <f>IFERROR(INDEX(계좌현황!E:E,INDEX($L$21:$L$95,MATCH(LARGE($N$21:$N$95,22),$N$21:$N$95,0))),"")</f>
        <v>TIGER 미국나스닥100</v>
      </c>
      <c r="F42" s="180">
        <f>IFERROR(INDEX(계좌현황!F:F,INDEX($L$21:$L$95,MATCH(LARGE($N$21:$N$95,22),$N$21:$N$95,0))),"")</f>
        <v>57</v>
      </c>
      <c r="G42" s="181">
        <f>IFERROR(INDEX(계좌현황!K:K,INDEX($L$21:$L$95,MATCH(LARGE($N$21:$N$95,22),$N$21:$N$95,0))),0)</f>
        <v>9804000</v>
      </c>
      <c r="H42" s="182">
        <f t="shared" si="1"/>
        <v>1.316173146538171E-2</v>
      </c>
      <c r="I42" s="182">
        <f t="shared" si="3"/>
        <v>0.80745486840136027</v>
      </c>
      <c r="L42">
        <v>30</v>
      </c>
      <c r="M42">
        <f>계좌현황!K30</f>
        <v>3746655</v>
      </c>
      <c r="N42">
        <f t="shared" si="2"/>
        <v>374665509970</v>
      </c>
    </row>
    <row r="43" spans="1:14" ht="13.15" x14ac:dyDescent="0.4">
      <c r="A43" s="165">
        <v>23</v>
      </c>
      <c r="B43" s="165" t="str">
        <f>IFERROR(INDEX(계좌현황!A:A,INDEX($L$21:$L$95,MATCH(LARGE($N$21:$N$95,23),$N$21:$N$95,0))),"")</f>
        <v>IRP</v>
      </c>
      <c r="C43" s="165" t="str">
        <f>IFERROR(INDEX(계좌현황!C:C,INDEX($L$21:$L$95,MATCH(LARGE($N$21:$N$95,23),$N$21:$N$95,0))),"")</f>
        <v>한국</v>
      </c>
      <c r="D43" s="165" t="str">
        <f>IFERROR(INDEX(계좌현황!D:D,INDEX($L$21:$L$95,MATCH(LARGE($N$21:$N$95,23),$N$21:$N$95,0))),"")</f>
        <v>381170</v>
      </c>
      <c r="E43" s="165" t="str">
        <f>IFERROR(INDEX(계좌현황!E:E,INDEX($L$21:$L$95,MATCH(LARGE($N$21:$N$95,23),$N$21:$N$95,0))),"")</f>
        <v>TIGER 미국테크TOP10 INDXX</v>
      </c>
      <c r="F43" s="189">
        <f>IFERROR(INDEX(계좌현황!F:F,INDEX($L$21:$L$95,MATCH(LARGE($N$21:$N$95,23),$N$21:$N$95,0))),"")</f>
        <v>323</v>
      </c>
      <c r="G43" s="190">
        <f>IFERROR(INDEX(계좌현황!K:K,INDEX($L$21:$L$95,MATCH(LARGE($N$21:$N$95,23),$N$21:$N$95,0))),0)</f>
        <v>9725530</v>
      </c>
      <c r="H43" s="191">
        <f t="shared" si="1"/>
        <v>1.3056386599195611E-2</v>
      </c>
      <c r="I43" s="191">
        <f t="shared" si="3"/>
        <v>0.82051125500055588</v>
      </c>
      <c r="L43">
        <v>31</v>
      </c>
      <c r="M43">
        <f>계좌현황!K31</f>
        <v>5579600</v>
      </c>
      <c r="N43">
        <f t="shared" si="2"/>
        <v>557960009969</v>
      </c>
    </row>
    <row r="44" spans="1:14" ht="13.15" x14ac:dyDescent="0.4">
      <c r="A44" s="153">
        <v>24</v>
      </c>
      <c r="B44" s="153" t="str">
        <f>IFERROR(INDEX(계좌현황!A:A,INDEX($L$21:$L$95,MATCH(LARGE($N$21:$N$95,24),$N$21:$N$95,0))),"")</f>
        <v>일반계좌</v>
      </c>
      <c r="C44" s="153" t="str">
        <f>IFERROR(INDEX(계좌현황!C:C,INDEX($L$21:$L$95,MATCH(LARGE($N$21:$N$95,24),$N$21:$N$95,0))),"")</f>
        <v>한국</v>
      </c>
      <c r="D44" s="153" t="str">
        <f>IFERROR(INDEX(계좌현황!D:D,INDEX($L$21:$L$95,MATCH(LARGE($N$21:$N$95,24),$N$21:$N$95,0))),"")</f>
        <v>005930</v>
      </c>
      <c r="E44" s="153" t="str">
        <f>IFERROR(INDEX(계좌현황!E:E,INDEX($L$21:$L$95,MATCH(LARGE($N$21:$N$95,24),$N$21:$N$95,0))),"")</f>
        <v>삼성전자</v>
      </c>
      <c r="F44" s="180">
        <f>IFERROR(INDEX(계좌현황!F:F,INDEX($L$21:$L$95,MATCH(LARGE($N$21:$N$95,24),$N$21:$N$95,0))),"")</f>
        <v>44</v>
      </c>
      <c r="G44" s="181">
        <f>IFERROR(INDEX(계좌현황!K:K,INDEX($L$21:$L$95,MATCH(LARGE($N$21:$N$95,24),$N$21:$N$95,0))),0)</f>
        <v>9438000</v>
      </c>
      <c r="H44" s="182">
        <f t="shared" si="1"/>
        <v>1.2670381637114706E-2</v>
      </c>
      <c r="I44" s="182">
        <f t="shared" si="3"/>
        <v>0.83318163663767064</v>
      </c>
      <c r="L44">
        <v>32</v>
      </c>
      <c r="M44">
        <f>계좌현황!K32</f>
        <v>2082600</v>
      </c>
      <c r="N44">
        <f t="shared" si="2"/>
        <v>208260009968</v>
      </c>
    </row>
    <row r="45" spans="1:14" ht="13.15" x14ac:dyDescent="0.4">
      <c r="A45" s="153">
        <v>25</v>
      </c>
      <c r="B45" s="153" t="str">
        <f>IFERROR(INDEX(계좌현황!A:A,INDEX($L$21:$L$95,MATCH(LARGE($N$21:$N$95,25),$N$21:$N$95,0))),"")</f>
        <v>일반계좌2</v>
      </c>
      <c r="C45" s="153" t="str">
        <f>IFERROR(INDEX(계좌현황!C:C,INDEX($L$21:$L$95,MATCH(LARGE($N$21:$N$95,25),$N$21:$N$95,0))),"")</f>
        <v>미국</v>
      </c>
      <c r="D45" s="153" t="str">
        <f>IFERROR(INDEX(계좌현황!D:D,INDEX($L$21:$L$95,MATCH(LARGE($N$21:$N$95,25),$N$21:$N$95,0))),"")</f>
        <v>QLD</v>
      </c>
      <c r="E45" s="153" t="str">
        <f>IFERROR(INDEX(계좌현황!E:E,INDEX($L$21:$L$95,MATCH(LARGE($N$21:$N$95,25),$N$21:$N$95,0))),"")</f>
        <v>QLD</v>
      </c>
      <c r="F45" s="180">
        <f>IFERROR(INDEX(계좌현황!F:F,INDEX($L$21:$L$95,MATCH(LARGE($N$21:$N$95,25),$N$21:$N$95,0))),"")</f>
        <v>78</v>
      </c>
      <c r="G45" s="181">
        <f>IFERROR(INDEX(계좌현황!K:K,INDEX($L$21:$L$95,MATCH(LARGE($N$21:$N$95,25),$N$21:$N$95,0))),0)</f>
        <v>9134348.5839523319</v>
      </c>
      <c r="H45" s="182">
        <f t="shared" si="1"/>
        <v>1.2262733901792153E-2</v>
      </c>
      <c r="I45" s="182">
        <f t="shared" si="3"/>
        <v>0.84544437053946275</v>
      </c>
      <c r="L45">
        <v>33</v>
      </c>
      <c r="M45">
        <f>계좌현황!K33</f>
        <v>1736240</v>
      </c>
      <c r="N45">
        <f t="shared" si="2"/>
        <v>173624009967</v>
      </c>
    </row>
    <row r="46" spans="1:14" ht="13.15" x14ac:dyDescent="0.4">
      <c r="A46" s="150">
        <v>26</v>
      </c>
      <c r="B46" s="150" t="str">
        <f>IFERROR(INDEX(계좌현황!A:A,INDEX($L$21:$L$95,MATCH(LARGE($N$21:$N$95,26),$N$21:$N$95,0))),"")</f>
        <v>일반계좌</v>
      </c>
      <c r="C46" s="150" t="str">
        <f>IFERROR(INDEX(계좌현황!C:C,INDEX($L$21:$L$95,MATCH(LARGE($N$21:$N$95,26),$N$21:$N$95,0))),"")</f>
        <v>한국</v>
      </c>
      <c r="D46" s="150" t="str">
        <f>IFERROR(INDEX(계좌현황!D:D,INDEX($L$21:$L$95,MATCH(LARGE($N$21:$N$95,26),$N$21:$N$95,0))),"")</f>
        <v>0219E0</v>
      </c>
      <c r="E46" s="150" t="str">
        <f>IFERROR(INDEX(계좌현황!E:E,INDEX($L$21:$L$95,MATCH(LARGE($N$21:$N$95,26),$N$21:$N$95,0))),"")</f>
        <v>KODEX 200커버드콜액티브</v>
      </c>
      <c r="F46" s="177">
        <f>IFERROR(INDEX(계좌현황!F:F,INDEX($L$21:$L$95,MATCH(LARGE($N$21:$N$95,26),$N$21:$N$95,0))),"")</f>
        <v>1312</v>
      </c>
      <c r="G46" s="178">
        <f>IFERROR(INDEX(계좌현황!K:K,INDEX($L$21:$L$95,MATCH(LARGE($N$21:$N$95,26),$N$21:$N$95,0))),0)</f>
        <v>8587040</v>
      </c>
      <c r="H46" s="179">
        <f t="shared" si="1"/>
        <v>1.1527979861535226E-2</v>
      </c>
      <c r="I46" s="179">
        <f t="shared" si="3"/>
        <v>0.85697235040099795</v>
      </c>
      <c r="L46">
        <v>34</v>
      </c>
      <c r="M46">
        <f>계좌현황!K34</f>
        <v>1020500</v>
      </c>
      <c r="N46">
        <f t="shared" si="2"/>
        <v>102050009966</v>
      </c>
    </row>
    <row r="47" spans="1:14" ht="13.15" x14ac:dyDescent="0.4">
      <c r="A47" s="159">
        <v>27</v>
      </c>
      <c r="B47" s="159" t="str">
        <f>IFERROR(INDEX(계좌현황!A:A,INDEX($L$21:$L$95,MATCH(LARGE($N$21:$N$95,27),$N$21:$N$95,0))),"")</f>
        <v>일반계좌</v>
      </c>
      <c r="C47" s="159" t="str">
        <f>IFERROR(INDEX(계좌현황!C:C,INDEX($L$21:$L$95,MATCH(LARGE($N$21:$N$95,27),$N$21:$N$95,0))),"")</f>
        <v>미국</v>
      </c>
      <c r="D47" s="159" t="str">
        <f>IFERROR(INDEX(계좌현황!D:D,INDEX($L$21:$L$95,MATCH(LARGE($N$21:$N$95,27),$N$21:$N$95,0))),"")</f>
        <v>TSLA</v>
      </c>
      <c r="E47" s="159" t="str">
        <f>IFERROR(INDEX(계좌현황!E:E,INDEX($L$21:$L$95,MATCH(LARGE($N$21:$N$95,27),$N$21:$N$95,0))),"")</f>
        <v>테슬라</v>
      </c>
      <c r="F47" s="183">
        <f>IFERROR(INDEX(계좌현황!F:F,INDEX($L$21:$L$95,MATCH(LARGE($N$21:$N$95,27),$N$21:$N$95,0))),"")</f>
        <v>17</v>
      </c>
      <c r="G47" s="184">
        <f>IFERROR(INDEX(계좌현황!K:K,INDEX($L$21:$L$95,MATCH(LARGE($N$21:$N$95,27),$N$21:$N$95,0))),0)</f>
        <v>8572266.3836618047</v>
      </c>
      <c r="H47" s="185">
        <f t="shared" si="1"/>
        <v>1.1508146490358574E-2</v>
      </c>
      <c r="I47" s="185">
        <f t="shared" si="3"/>
        <v>0.86848049689135653</v>
      </c>
      <c r="L47">
        <v>35</v>
      </c>
      <c r="M47">
        <f>계좌현황!K35</f>
        <v>964045</v>
      </c>
      <c r="N47">
        <f t="shared" si="2"/>
        <v>96404509965</v>
      </c>
    </row>
    <row r="48" spans="1:14" ht="13.15" x14ac:dyDescent="0.4">
      <c r="A48" s="153">
        <v>28</v>
      </c>
      <c r="B48" s="153" t="str">
        <f>IFERROR(INDEX(계좌현황!A:A,INDEX($L$21:$L$95,MATCH(LARGE($N$21:$N$95,28),$N$21:$N$95,0))),"")</f>
        <v>ISA</v>
      </c>
      <c r="C48" s="153" t="str">
        <f>IFERROR(INDEX(계좌현황!C:C,INDEX($L$21:$L$95,MATCH(LARGE($N$21:$N$95,28),$N$21:$N$95,0))),"")</f>
        <v>한국</v>
      </c>
      <c r="D48" s="153" t="str">
        <f>IFERROR(INDEX(계좌현황!D:D,INDEX($L$21:$L$95,MATCH(LARGE($N$21:$N$95,28),$N$21:$N$95,0))),"")</f>
        <v>457480</v>
      </c>
      <c r="E48" s="153" t="str">
        <f>IFERROR(INDEX(계좌현황!E:E,INDEX($L$21:$L$95,MATCH(LARGE($N$21:$N$95,28),$N$21:$N$95,0))),"")</f>
        <v>ACE테슬라밸류체인액티브</v>
      </c>
      <c r="F48" s="180">
        <f>IFERROR(INDEX(계좌현황!F:F,INDEX($L$21:$L$95,MATCH(LARGE($N$21:$N$95,28),$N$21:$N$95,0))),"")</f>
        <v>515</v>
      </c>
      <c r="G48" s="181">
        <f>IFERROR(INDEX(계좌현황!K:K,INDEX($L$21:$L$95,MATCH(LARGE($N$21:$N$95,28),$N$21:$N$95,0))),0)</f>
        <v>8381625</v>
      </c>
      <c r="H48" s="182">
        <f t="shared" si="1"/>
        <v>1.1252213126635043E-2</v>
      </c>
      <c r="I48" s="182">
        <f t="shared" si="3"/>
        <v>0.87973271001799158</v>
      </c>
      <c r="L48">
        <v>36</v>
      </c>
      <c r="M48">
        <f>계좌현황!K36</f>
        <v>11797500</v>
      </c>
      <c r="N48">
        <f t="shared" si="2"/>
        <v>1179750009964</v>
      </c>
    </row>
    <row r="49" spans="1:14" ht="13.15" x14ac:dyDescent="0.4">
      <c r="A49" s="150">
        <v>29</v>
      </c>
      <c r="B49" s="150" t="str">
        <f>IFERROR(INDEX(계좌현황!A:A,INDEX($L$21:$L$95,MATCH(LARGE($N$21:$N$95,29),$N$21:$N$95,0))),"")</f>
        <v>IRP</v>
      </c>
      <c r="C49" s="150" t="str">
        <f>IFERROR(INDEX(계좌현황!C:C,INDEX($L$21:$L$95,MATCH(LARGE($N$21:$N$95,29),$N$21:$N$95,0))),"")</f>
        <v>한국</v>
      </c>
      <c r="D49" s="150" t="str">
        <f>IFERROR(INDEX(계좌현황!D:D,INDEX($L$21:$L$95,MATCH(LARGE($N$21:$N$95,29),$N$21:$N$95,0))),"")</f>
        <v>433330</v>
      </c>
      <c r="E49" s="150" t="str">
        <f>IFERROR(INDEX(계좌현황!E:E,INDEX($L$21:$L$95,MATCH(LARGE($N$21:$N$95,29),$N$21:$N$95,0))),"")</f>
        <v xml:space="preserve">SOL 미국 S&amp;P500 </v>
      </c>
      <c r="F49" s="177">
        <f>IFERROR(INDEX(계좌현황!F:F,INDEX($L$21:$L$95,MATCH(LARGE($N$21:$N$95,29),$N$21:$N$95,0))),"")</f>
        <v>376</v>
      </c>
      <c r="G49" s="178">
        <f>IFERROR(INDEX(계좌현황!K:K,INDEX($L$21:$L$95,MATCH(LARGE($N$21:$N$95,29),$N$21:$N$95,0))),0)</f>
        <v>7929840</v>
      </c>
      <c r="H49" s="179">
        <f t="shared" si="1"/>
        <v>1.0645698148045951E-2</v>
      </c>
      <c r="I49" s="179">
        <f t="shared" si="3"/>
        <v>0.89037840816603753</v>
      </c>
      <c r="L49">
        <v>37</v>
      </c>
      <c r="M49">
        <f>계좌현황!K37</f>
        <v>9438000</v>
      </c>
      <c r="N49">
        <f t="shared" si="2"/>
        <v>943800009963</v>
      </c>
    </row>
    <row r="50" spans="1:14" ht="13.15" x14ac:dyDescent="0.4">
      <c r="A50" s="147">
        <v>30</v>
      </c>
      <c r="B50" s="147" t="str">
        <f>IFERROR(INDEX(계좌현황!A:A,INDEX($L$21:$L$95,MATCH(LARGE($N$21:$N$95,30),$N$21:$N$95,0))),"")</f>
        <v>일반계좌</v>
      </c>
      <c r="C50" s="147" t="str">
        <f>IFERROR(INDEX(계좌현황!C:C,INDEX($L$21:$L$95,MATCH(LARGE($N$21:$N$95,30),$N$21:$N$95,0))),"")</f>
        <v>미국</v>
      </c>
      <c r="D50" s="147" t="str">
        <f>IFERROR(INDEX(계좌현황!D:D,INDEX($L$21:$L$95,MATCH(LARGE($N$21:$N$95,30),$N$21:$N$95,0))),"")</f>
        <v>QLD</v>
      </c>
      <c r="E50" s="147" t="str">
        <f>IFERROR(INDEX(계좌현황!E:E,INDEX($L$21:$L$95,MATCH(LARGE($N$21:$N$95,30),$N$21:$N$95,0))),"")</f>
        <v>QLD</v>
      </c>
      <c r="F50" s="186">
        <f>IFERROR(INDEX(계좌현황!F:F,INDEX($L$21:$L$95,MATCH(LARGE($N$21:$N$95,30),$N$21:$N$95,0))),"")</f>
        <v>62</v>
      </c>
      <c r="G50" s="187">
        <f>IFERROR(INDEX(계좌현황!K:K,INDEX($L$21:$L$95,MATCH(LARGE($N$21:$N$95,30),$N$21:$N$95,0))),0)</f>
        <v>7260636.0539108282</v>
      </c>
      <c r="H50" s="188">
        <f t="shared" si="1"/>
        <v>9.7473013065527379E-3</v>
      </c>
      <c r="I50" s="188">
        <f t="shared" si="3"/>
        <v>0.9001257094725903</v>
      </c>
      <c r="L50">
        <v>38</v>
      </c>
      <c r="M50">
        <f>계좌현황!K38</f>
        <v>11267520</v>
      </c>
      <c r="N50">
        <f t="shared" si="2"/>
        <v>1126752009962</v>
      </c>
    </row>
    <row r="51" spans="1:14" ht="13.15" x14ac:dyDescent="0.4">
      <c r="A51" s="150">
        <v>31</v>
      </c>
      <c r="B51" s="150" t="str">
        <f>IFERROR(INDEX(계좌현황!A:A,INDEX($L$21:$L$95,MATCH(LARGE($N$21:$N$95,31),$N$21:$N$95,0))),"")</f>
        <v>ISA</v>
      </c>
      <c r="C51" s="150" t="str">
        <f>IFERROR(INDEX(계좌현황!C:C,INDEX($L$21:$L$95,MATCH(LARGE($N$21:$N$95,31),$N$21:$N$95,0))),"")</f>
        <v>한국</v>
      </c>
      <c r="D51" s="150" t="str">
        <f>IFERROR(INDEX(계좌현황!D:D,INDEX($L$21:$L$95,MATCH(LARGE($N$21:$N$95,31),$N$21:$N$95,0))),"")</f>
        <v>473330</v>
      </c>
      <c r="E51" s="150" t="str">
        <f>IFERROR(INDEX(계좌현황!E:E,INDEX($L$21:$L$95,MATCH(LARGE($N$21:$N$95,31),$N$21:$N$95,0))),"")</f>
        <v>SOL 미국 30년국채커버드콜(합성)</v>
      </c>
      <c r="F51" s="177">
        <f>IFERROR(INDEX(계좌현황!F:F,INDEX($L$21:$L$95,MATCH(LARGE($N$21:$N$95,31),$N$21:$N$95,0))),"")</f>
        <v>960</v>
      </c>
      <c r="G51" s="178">
        <f>IFERROR(INDEX(계좌현황!K:K,INDEX($L$21:$L$95,MATCH(LARGE($N$21:$N$95,31),$N$21:$N$95,0))),0)</f>
        <v>7228800</v>
      </c>
      <c r="H51" s="179">
        <f t="shared" si="1"/>
        <v>9.7045618540341997E-3</v>
      </c>
      <c r="I51" s="179">
        <f t="shared" si="3"/>
        <v>0.90983027132662453</v>
      </c>
      <c r="L51">
        <v>39</v>
      </c>
      <c r="M51">
        <f>계좌현황!K39</f>
        <v>8572266.3836618047</v>
      </c>
      <c r="N51">
        <f t="shared" si="2"/>
        <v>857226648327.18042</v>
      </c>
    </row>
    <row r="52" spans="1:14" ht="13.15" x14ac:dyDescent="0.4">
      <c r="A52" s="144">
        <v>32</v>
      </c>
      <c r="B52" s="144" t="str">
        <f>IFERROR(INDEX(계좌현황!A:A,INDEX($L$21:$L$95,MATCH(LARGE($N$21:$N$95,32),$N$21:$N$95,0))),"")</f>
        <v>개인연금2</v>
      </c>
      <c r="C52" s="144" t="str">
        <f>IFERROR(INDEX(계좌현황!C:C,INDEX($L$21:$L$95,MATCH(LARGE($N$21:$N$95,32),$N$21:$N$95,0))),"")</f>
        <v>한국</v>
      </c>
      <c r="D52" s="144" t="str">
        <f>IFERROR(INDEX(계좌현황!D:D,INDEX($L$21:$L$95,MATCH(LARGE($N$21:$N$95,32),$N$21:$N$95,0))),"")</f>
        <v>360750</v>
      </c>
      <c r="E52" s="144" t="str">
        <f>IFERROR(INDEX(계좌현황!E:E,INDEX($L$21:$L$95,MATCH(LARGE($N$21:$N$95,32),$N$21:$N$95,0))),"")</f>
        <v>TIGER미국S&amp;P500</v>
      </c>
      <c r="F52" s="174">
        <f>IFERROR(INDEX(계좌현황!F:F,INDEX($L$21:$L$95,MATCH(LARGE($N$21:$N$95,32),$N$21:$N$95,0))),"")</f>
        <v>221</v>
      </c>
      <c r="G52" s="175">
        <f>IFERROR(INDEX(계좌현황!K:K,INDEX($L$21:$L$95,MATCH(LARGE($N$21:$N$95,32),$N$21:$N$95,0))),0)</f>
        <v>5587985</v>
      </c>
      <c r="H52" s="176">
        <f t="shared" si="1"/>
        <v>7.5017909019360479E-3</v>
      </c>
      <c r="I52" s="176">
        <f t="shared" si="3"/>
        <v>0.91733206222856056</v>
      </c>
      <c r="L52">
        <v>40</v>
      </c>
      <c r="M52">
        <f>계좌현황!K40</f>
        <v>3932133.9808687596</v>
      </c>
      <c r="N52">
        <f t="shared" si="2"/>
        <v>393213408046.87598</v>
      </c>
    </row>
    <row r="53" spans="1:14" ht="13.15" x14ac:dyDescent="0.4">
      <c r="A53" s="153">
        <v>33</v>
      </c>
      <c r="B53" s="153" t="str">
        <f>IFERROR(INDEX(계좌현황!A:A,INDEX($L$21:$L$95,MATCH(LARGE($N$21:$N$95,33),$N$21:$N$95,0))),"")</f>
        <v>ISA</v>
      </c>
      <c r="C53" s="153" t="str">
        <f>IFERROR(INDEX(계좌현황!C:C,INDEX($L$21:$L$95,MATCH(LARGE($N$21:$N$95,33),$N$21:$N$95,0))),"")</f>
        <v>한국</v>
      </c>
      <c r="D53" s="153" t="str">
        <f>IFERROR(INDEX(계좌현황!D:D,INDEX($L$21:$L$95,MATCH(LARGE($N$21:$N$95,33),$N$21:$N$95,0))),"")</f>
        <v>0072R0</v>
      </c>
      <c r="E53" s="153" t="str">
        <f>IFERROR(INDEX(계좌현황!E:E,INDEX($L$21:$L$95,MATCH(LARGE($N$21:$N$95,33),$N$21:$N$95,0))),"")</f>
        <v>TIGER KRX금현물</v>
      </c>
      <c r="F53" s="180">
        <f>IFERROR(INDEX(계좌현황!F:F,INDEX($L$21:$L$95,MATCH(LARGE($N$21:$N$95,33),$N$21:$N$95,0))),"")</f>
        <v>481</v>
      </c>
      <c r="G53" s="181">
        <f>IFERROR(INDEX(계좌현황!K:K,INDEX($L$21:$L$95,MATCH(LARGE($N$21:$N$95,33),$N$21:$N$95,0))),0)</f>
        <v>5579600</v>
      </c>
      <c r="H53" s="182">
        <f t="shared" ref="H53:H84" si="4">IF($B$3=0,0,G53/$B$3)</f>
        <v>7.4905341579196028E-3</v>
      </c>
      <c r="I53" s="182">
        <f t="shared" si="3"/>
        <v>0.92482259638648012</v>
      </c>
      <c r="L53">
        <v>41</v>
      </c>
      <c r="M53">
        <f>계좌현황!K41</f>
        <v>3851688.2294812771</v>
      </c>
      <c r="N53">
        <f t="shared" ref="N53:N84" si="5">IF(M53="",-1E+99,M53*100000+(10000-L53))</f>
        <v>385168832907.12769</v>
      </c>
    </row>
    <row r="54" spans="1:14" ht="13.15" x14ac:dyDescent="0.4">
      <c r="A54" s="153">
        <v>34</v>
      </c>
      <c r="B54" s="153" t="str">
        <f>IFERROR(INDEX(계좌현황!A:A,INDEX($L$21:$L$95,MATCH(LARGE($N$21:$N$95,34),$N$21:$N$95,0))),"")</f>
        <v>개인연금1</v>
      </c>
      <c r="C54" s="153" t="str">
        <f>IFERROR(INDEX(계좌현황!C:C,INDEX($L$21:$L$95,MATCH(LARGE($N$21:$N$95,34),$N$21:$N$95,0))),"")</f>
        <v>한국</v>
      </c>
      <c r="D54" s="153" t="str">
        <f>IFERROR(INDEX(계좌현황!D:D,INDEX($L$21:$L$95,MATCH(LARGE($N$21:$N$95,34),$N$21:$N$95,0))),"")</f>
        <v>482730</v>
      </c>
      <c r="E54" s="153" t="str">
        <f>IFERROR(INDEX(계좌현황!E:E,INDEX($L$21:$L$95,MATCH(LARGE($N$21:$N$95,34),$N$21:$N$95,0))),"")</f>
        <v xml:space="preserve">미국S&amp;P500타겟데일리커버드콜 </v>
      </c>
      <c r="F54" s="180">
        <f>IFERROR(INDEX(계좌현황!F:F,INDEX($L$21:$L$95,MATCH(LARGE($N$21:$N$95,34),$N$21:$N$95,0))),"")</f>
        <v>425</v>
      </c>
      <c r="G54" s="181">
        <f>IFERROR(INDEX(계좌현황!K:K,INDEX($L$21:$L$95,MATCH(LARGE($N$21:$N$95,34),$N$21:$N$95,0))),0)</f>
        <v>4723875</v>
      </c>
      <c r="H54" s="182">
        <f t="shared" si="4"/>
        <v>6.3417354371715648E-3</v>
      </c>
      <c r="I54" s="182">
        <f t="shared" ref="I54:I85" si="6">I53+H54</f>
        <v>0.93116433182365166</v>
      </c>
      <c r="L54">
        <v>42</v>
      </c>
      <c r="M54">
        <f>계좌현황!K42</f>
        <v>4120694.5425155642</v>
      </c>
      <c r="N54">
        <f t="shared" si="5"/>
        <v>412069464209.5564</v>
      </c>
    </row>
    <row r="55" spans="1:14" ht="13.15" x14ac:dyDescent="0.4">
      <c r="A55" s="153">
        <v>35</v>
      </c>
      <c r="B55" s="153" t="str">
        <f>IFERROR(INDEX(계좌현황!A:A,INDEX($L$21:$L$95,MATCH(LARGE($N$21:$N$95,35),$N$21:$N$95,0))),"")</f>
        <v>일반계좌</v>
      </c>
      <c r="C55" s="153" t="str">
        <f>IFERROR(INDEX(계좌현황!C:C,INDEX($L$21:$L$95,MATCH(LARGE($N$21:$N$95,35),$N$21:$N$95,0))),"")</f>
        <v>미국</v>
      </c>
      <c r="D55" s="153" t="str">
        <f>IFERROR(INDEX(계좌현황!D:D,INDEX($L$21:$L$95,MATCH(LARGE($N$21:$N$95,35),$N$21:$N$95,0))),"")</f>
        <v>AAPL</v>
      </c>
      <c r="E55" s="153" t="str">
        <f>IFERROR(INDEX(계좌현황!E:E,INDEX($L$21:$L$95,MATCH(LARGE($N$21:$N$95,35),$N$21:$N$95,0))),"")</f>
        <v>애플</v>
      </c>
      <c r="F55" s="180">
        <f>IFERROR(INDEX(계좌현황!F:F,INDEX($L$21:$L$95,MATCH(LARGE($N$21:$N$95,35),$N$21:$N$95,0))),"")</f>
        <v>9</v>
      </c>
      <c r="G55" s="181">
        <f>IFERROR(INDEX(계좌현황!K:K,INDEX($L$21:$L$95,MATCH(LARGE($N$21:$N$95,35),$N$21:$N$95,0))),0)</f>
        <v>4120694.5425155642</v>
      </c>
      <c r="H55" s="182">
        <f t="shared" si="4"/>
        <v>5.5319741961907167E-3</v>
      </c>
      <c r="I55" s="182">
        <f t="shared" si="6"/>
        <v>0.93669630601984233</v>
      </c>
      <c r="L55">
        <v>43</v>
      </c>
      <c r="M55">
        <f>계좌현황!K43</f>
        <v>3553150</v>
      </c>
      <c r="N55">
        <f t="shared" si="5"/>
        <v>355315009957</v>
      </c>
    </row>
    <row r="56" spans="1:14" ht="13.15" x14ac:dyDescent="0.4">
      <c r="A56" s="150">
        <v>36</v>
      </c>
      <c r="B56" s="150" t="str">
        <f>IFERROR(INDEX(계좌현황!A:A,INDEX($L$21:$L$95,MATCH(LARGE($N$21:$N$95,36),$N$21:$N$95,0))),"")</f>
        <v>일반계좌</v>
      </c>
      <c r="C56" s="150" t="str">
        <f>IFERROR(INDEX(계좌현황!C:C,INDEX($L$21:$L$95,MATCH(LARGE($N$21:$N$95,36),$N$21:$N$95,0))),"")</f>
        <v>미국</v>
      </c>
      <c r="D56" s="150" t="str">
        <f>IFERROR(INDEX(계좌현황!D:D,INDEX($L$21:$L$95,MATCH(LARGE($N$21:$N$95,36),$N$21:$N$95,0))),"")</f>
        <v>O</v>
      </c>
      <c r="E56" s="150" t="str">
        <f>IFERROR(INDEX(계좌현황!E:E,INDEX($L$21:$L$95,MATCH(LARGE($N$21:$N$95,36),$N$21:$N$95,0))),"")</f>
        <v>리얼티인컴</v>
      </c>
      <c r="F56" s="177">
        <f>IFERROR(INDEX(계좌현황!F:F,INDEX($L$21:$L$95,MATCH(LARGE($N$21:$N$95,36),$N$21:$N$95,0))),"")</f>
        <v>53</v>
      </c>
      <c r="G56" s="178">
        <f>IFERROR(INDEX(계좌현황!K:K,INDEX($L$21:$L$95,MATCH(LARGE($N$21:$N$95,36),$N$21:$N$95,0))),0)</f>
        <v>3932133.9808687596</v>
      </c>
      <c r="H56" s="179">
        <f t="shared" si="4"/>
        <v>5.2788343066194404E-3</v>
      </c>
      <c r="I56" s="179">
        <f t="shared" si="6"/>
        <v>0.94197514032646179</v>
      </c>
      <c r="L56">
        <v>44</v>
      </c>
      <c r="M56">
        <f>계좌현황!K44</f>
        <v>3164400</v>
      </c>
      <c r="N56">
        <f t="shared" si="5"/>
        <v>316440009956</v>
      </c>
    </row>
    <row r="57" spans="1:14" ht="13.15" x14ac:dyDescent="0.4">
      <c r="A57" s="150">
        <v>37</v>
      </c>
      <c r="B57" s="150" t="str">
        <f>IFERROR(INDEX(계좌현황!A:A,INDEX($L$21:$L$95,MATCH(LARGE($N$21:$N$95,37),$N$21:$N$95,0))),"")</f>
        <v>일반계좌</v>
      </c>
      <c r="C57" s="150" t="str">
        <f>IFERROR(INDEX(계좌현황!C:C,INDEX($L$21:$L$95,MATCH(LARGE($N$21:$N$95,37),$N$21:$N$95,0))),"")</f>
        <v>미국</v>
      </c>
      <c r="D57" s="150" t="str">
        <f>IFERROR(INDEX(계좌현황!D:D,INDEX($L$21:$L$95,MATCH(LARGE($N$21:$N$95,37),$N$21:$N$95,0))),"")</f>
        <v>IONQ</v>
      </c>
      <c r="E57" s="150" t="str">
        <f>IFERROR(INDEX(계좌현황!E:E,INDEX($L$21:$L$95,MATCH(LARGE($N$21:$N$95,37),$N$21:$N$95,0))),"")</f>
        <v>아이온큐</v>
      </c>
      <c r="F57" s="177">
        <f>IFERROR(INDEX(계좌현황!F:F,INDEX($L$21:$L$95,MATCH(LARGE($N$21:$N$95,37),$N$21:$N$95,0))),"")</f>
        <v>91</v>
      </c>
      <c r="G57" s="178">
        <f>IFERROR(INDEX(계좌현황!K:K,INDEX($L$21:$L$95,MATCH(LARGE($N$21:$N$95,37),$N$21:$N$95,0))),0)</f>
        <v>3851688.2294812771</v>
      </c>
      <c r="H57" s="179">
        <f t="shared" si="4"/>
        <v>5.1708370221138404E-3</v>
      </c>
      <c r="I57" s="179">
        <f t="shared" si="6"/>
        <v>0.94714597734857564</v>
      </c>
      <c r="L57">
        <v>45</v>
      </c>
      <c r="M57">
        <f>계좌현황!K45</f>
        <v>7260636.0539108282</v>
      </c>
      <c r="N57">
        <f t="shared" si="5"/>
        <v>726063615346.08276</v>
      </c>
    </row>
    <row r="58" spans="1:14" ht="13.15" x14ac:dyDescent="0.4">
      <c r="A58" s="153">
        <v>38</v>
      </c>
      <c r="B58" s="153" t="str">
        <f>IFERROR(INDEX(계좌현황!A:A,INDEX($L$21:$L$95,MATCH(LARGE($N$21:$N$95,38),$N$21:$N$95,0))),"")</f>
        <v>ISA</v>
      </c>
      <c r="C58" s="153" t="str">
        <f>IFERROR(INDEX(계좌현황!C:C,INDEX($L$21:$L$95,MATCH(LARGE($N$21:$N$95,38),$N$21:$N$95,0))),"")</f>
        <v>한국</v>
      </c>
      <c r="D58" s="153" t="str">
        <f>IFERROR(INDEX(계좌현황!D:D,INDEX($L$21:$L$95,MATCH(LARGE($N$21:$N$95,38),$N$21:$N$95,0))),"")</f>
        <v>498270</v>
      </c>
      <c r="E58" s="153" t="str">
        <f>IFERROR(INDEX(계좌현황!E:E,INDEX($L$21:$L$95,MATCH(LARGE($N$21:$N$95,38),$N$21:$N$95,0))),"")</f>
        <v>KIWOOM 미국양자컴퓨팅</v>
      </c>
      <c r="F58" s="180">
        <f>IFERROR(INDEX(계좌현황!F:F,INDEX($L$21:$L$95,MATCH(LARGE($N$21:$N$95,38),$N$21:$N$95,0))),"")</f>
        <v>297</v>
      </c>
      <c r="G58" s="181">
        <f>IFERROR(INDEX(계좌현황!K:K,INDEX($L$21:$L$95,MATCH(LARGE($N$21:$N$95,38),$N$21:$N$95,0))),0)</f>
        <v>3746655</v>
      </c>
      <c r="H58" s="182">
        <f t="shared" si="4"/>
        <v>5.029831395698665E-3</v>
      </c>
      <c r="I58" s="182">
        <f t="shared" si="6"/>
        <v>0.95217580874427432</v>
      </c>
      <c r="L58">
        <v>46</v>
      </c>
      <c r="M58">
        <f>계좌현황!K46</f>
        <v>9134348.5839523319</v>
      </c>
      <c r="N58">
        <f t="shared" si="5"/>
        <v>913434868349.23315</v>
      </c>
    </row>
    <row r="59" spans="1:14" ht="13.15" x14ac:dyDescent="0.4">
      <c r="A59" s="153">
        <v>39</v>
      </c>
      <c r="B59" s="153" t="str">
        <f>IFERROR(INDEX(계좌현황!A:A,INDEX($L$21:$L$95,MATCH(LARGE($N$21:$N$95,39),$N$21:$N$95,0))),"")</f>
        <v>ISA</v>
      </c>
      <c r="C59" s="153" t="str">
        <f>IFERROR(INDEX(계좌현황!C:C,INDEX($L$21:$L$95,MATCH(LARGE($N$21:$N$95,39),$N$21:$N$95,0))),"")</f>
        <v>한국</v>
      </c>
      <c r="D59" s="153" t="str">
        <f>IFERROR(INDEX(계좌현황!D:D,INDEX($L$21:$L$95,MATCH(LARGE($N$21:$N$95,39),$N$21:$N$95,0))),"")</f>
        <v>000270</v>
      </c>
      <c r="E59" s="153" t="str">
        <f>IFERROR(INDEX(계좌현황!E:E,INDEX($L$21:$L$95,MATCH(LARGE($N$21:$N$95,39),$N$21:$N$95,0))),"")</f>
        <v>기아</v>
      </c>
      <c r="F59" s="180">
        <f>IFERROR(INDEX(계좌현황!F:F,INDEX($L$21:$L$95,MATCH(LARGE($N$21:$N$95,39),$N$21:$N$95,0))),"")</f>
        <v>34</v>
      </c>
      <c r="G59" s="181">
        <f>IFERROR(INDEX(계좌현황!K:K,INDEX($L$21:$L$95,MATCH(LARGE($N$21:$N$95,39),$N$21:$N$95,0))),0)</f>
        <v>3699200</v>
      </c>
      <c r="H59" s="182">
        <f t="shared" si="4"/>
        <v>4.9661237287576517E-3</v>
      </c>
      <c r="I59" s="182">
        <f t="shared" si="6"/>
        <v>0.95714193247303192</v>
      </c>
      <c r="L59">
        <v>47</v>
      </c>
      <c r="M59">
        <f>계좌현황!K47</f>
        <v>1898400</v>
      </c>
      <c r="N59">
        <f t="shared" si="5"/>
        <v>189840009953</v>
      </c>
    </row>
    <row r="60" spans="1:14" ht="13.15" x14ac:dyDescent="0.4">
      <c r="A60" s="150">
        <v>40</v>
      </c>
      <c r="B60" s="150" t="str">
        <f>IFERROR(INDEX(계좌현황!A:A,INDEX($L$21:$L$95,MATCH(LARGE($N$21:$N$95,40),$N$21:$N$95,0))),"")</f>
        <v>일반계좌</v>
      </c>
      <c r="C60" s="150" t="str">
        <f>IFERROR(INDEX(계좌현황!C:C,INDEX($L$21:$L$95,MATCH(LARGE($N$21:$N$95,40),$N$21:$N$95,0))),"")</f>
        <v>한국</v>
      </c>
      <c r="D60" s="150" t="str">
        <f>IFERROR(INDEX(계좌현황!D:D,INDEX($L$21:$L$95,MATCH(LARGE($N$21:$N$95,40),$N$21:$N$95,0))),"")</f>
        <v>024110</v>
      </c>
      <c r="E60" s="150" t="str">
        <f>IFERROR(INDEX(계좌현황!E:E,INDEX($L$21:$L$95,MATCH(LARGE($N$21:$N$95,40),$N$21:$N$95,0))),"")</f>
        <v>기업은행</v>
      </c>
      <c r="F60" s="177">
        <f>IFERROR(INDEX(계좌현황!F:F,INDEX($L$21:$L$95,MATCH(LARGE($N$21:$N$95,40),$N$21:$N$95,0))),"")</f>
        <v>179</v>
      </c>
      <c r="G60" s="178">
        <f>IFERROR(INDEX(계좌현황!K:K,INDEX($L$21:$L$95,MATCH(LARGE($N$21:$N$95,40),$N$21:$N$95,0))),0)</f>
        <v>3553150</v>
      </c>
      <c r="H60" s="179">
        <f t="shared" si="4"/>
        <v>4.7700536675052037E-3</v>
      </c>
      <c r="I60" s="179">
        <f t="shared" si="6"/>
        <v>0.96191198614053708</v>
      </c>
      <c r="L60">
        <v>48</v>
      </c>
      <c r="M60">
        <f>계좌현황!K48</f>
        <v>0</v>
      </c>
      <c r="N60">
        <f t="shared" si="5"/>
        <v>9952</v>
      </c>
    </row>
    <row r="61" spans="1:14" ht="13.15" x14ac:dyDescent="0.4">
      <c r="A61" s="153">
        <v>41</v>
      </c>
      <c r="B61" s="153" t="str">
        <f>IFERROR(INDEX(계좌현황!A:A,INDEX($L$21:$L$95,MATCH(LARGE($N$21:$N$95,41),$N$21:$N$95,0))),"")</f>
        <v>일반계좌</v>
      </c>
      <c r="C61" s="153" t="str">
        <f>IFERROR(INDEX(계좌현황!C:C,INDEX($L$21:$L$95,MATCH(LARGE($N$21:$N$95,41),$N$21:$N$95,0))),"")</f>
        <v>한국</v>
      </c>
      <c r="D61" s="153" t="str">
        <f>IFERROR(INDEX(계좌현황!D:D,INDEX($L$21:$L$95,MATCH(LARGE($N$21:$N$95,41),$N$21:$N$95,0))),"")</f>
        <v>352820</v>
      </c>
      <c r="E61" s="153" t="str">
        <f>IFERROR(INDEX(계좌현황!E:E,INDEX($L$21:$L$95,MATCH(LARGE($N$21:$N$95,41),$N$21:$N$95,0))),"")</f>
        <v>하이브</v>
      </c>
      <c r="F61" s="180">
        <f>IFERROR(INDEX(계좌현황!F:F,INDEX($L$21:$L$95,MATCH(LARGE($N$21:$N$95,41),$N$21:$N$95,0))),"")</f>
        <v>18</v>
      </c>
      <c r="G61" s="181">
        <f>IFERROR(INDEX(계좌현황!K:K,INDEX($L$21:$L$95,MATCH(LARGE($N$21:$N$95,41),$N$21:$N$95,0))),0)</f>
        <v>3164400</v>
      </c>
      <c r="H61" s="182">
        <f t="shared" si="4"/>
        <v>4.2481622857052101E-3</v>
      </c>
      <c r="I61" s="182">
        <f t="shared" si="6"/>
        <v>0.96616014842624232</v>
      </c>
      <c r="L61">
        <v>49</v>
      </c>
      <c r="M61">
        <f>계좌현황!K49</f>
        <v>8587040</v>
      </c>
      <c r="N61">
        <f t="shared" si="5"/>
        <v>858704009951</v>
      </c>
    </row>
    <row r="62" spans="1:14" ht="13.15" x14ac:dyDescent="0.4">
      <c r="A62" s="153">
        <v>42</v>
      </c>
      <c r="B62" s="153" t="str">
        <f>IFERROR(INDEX(계좌현황!A:A,INDEX($L$21:$L$95,MATCH(LARGE($N$21:$N$95,42),$N$21:$N$95,0))),"")</f>
        <v>ISA</v>
      </c>
      <c r="C62" s="153" t="str">
        <f>IFERROR(INDEX(계좌현황!C:C,INDEX($L$21:$L$95,MATCH(LARGE($N$21:$N$95,42),$N$21:$N$95,0))),"")</f>
        <v>한국</v>
      </c>
      <c r="D62" s="153" t="str">
        <f>IFERROR(INDEX(계좌현황!D:D,INDEX($L$21:$L$95,MATCH(LARGE($N$21:$N$95,42),$N$21:$N$95,0))),"")</f>
        <v>005389</v>
      </c>
      <c r="E62" s="153" t="str">
        <f>IFERROR(INDEX(계좌현황!E:E,INDEX($L$21:$L$95,MATCH(LARGE($N$21:$N$95,42),$N$21:$N$95,0))),"")</f>
        <v>현대차3우B</v>
      </c>
      <c r="F62" s="180">
        <f>IFERROR(INDEX(계좌현황!F:F,INDEX($L$21:$L$95,MATCH(LARGE($N$21:$N$95,42),$N$21:$N$95,0))),"")</f>
        <v>13</v>
      </c>
      <c r="G62" s="181">
        <f>IFERROR(INDEX(계좌현황!K:K,INDEX($L$21:$L$95,MATCH(LARGE($N$21:$N$95,42),$N$21:$N$95,0))),0)</f>
        <v>2082600</v>
      </c>
      <c r="H62" s="182">
        <f t="shared" si="4"/>
        <v>2.7958610719914269E-3</v>
      </c>
      <c r="I62" s="182">
        <f t="shared" si="6"/>
        <v>0.96895600949823379</v>
      </c>
      <c r="L62">
        <v>50</v>
      </c>
      <c r="M62">
        <f>계좌현황!K50</f>
        <v>912054</v>
      </c>
      <c r="N62">
        <f t="shared" si="5"/>
        <v>91205409950</v>
      </c>
    </row>
    <row r="63" spans="1:14" ht="13.15" x14ac:dyDescent="0.4">
      <c r="A63" s="150">
        <v>43</v>
      </c>
      <c r="B63" s="150" t="str">
        <f>IFERROR(INDEX(계좌현황!A:A,INDEX($L$21:$L$95,MATCH(LARGE($N$21:$N$95,43),$N$21:$N$95,0))),"")</f>
        <v>일반계좌</v>
      </c>
      <c r="C63" s="150" t="str">
        <f>IFERROR(INDEX(계좌현황!C:C,INDEX($L$21:$L$95,MATCH(LARGE($N$21:$N$95,43),$N$21:$N$95,0))),"")</f>
        <v>한국</v>
      </c>
      <c r="D63" s="150" t="str">
        <f>IFERROR(INDEX(계좌현황!D:D,INDEX($L$21:$L$95,MATCH(LARGE($N$21:$N$95,43),$N$21:$N$95,0))),"")</f>
        <v>041510</v>
      </c>
      <c r="E63" s="150" t="str">
        <f>IFERROR(INDEX(계좌현황!E:E,INDEX($L$21:$L$95,MATCH(LARGE($N$21:$N$95,43),$N$21:$N$95,0))),"")</f>
        <v>에스엠</v>
      </c>
      <c r="F63" s="177">
        <f>IFERROR(INDEX(계좌현황!F:F,INDEX($L$21:$L$95,MATCH(LARGE($N$21:$N$95,43),$N$21:$N$95,0))),"")</f>
        <v>24</v>
      </c>
      <c r="G63" s="178">
        <f>IFERROR(INDEX(계좌현황!K:K,INDEX($L$21:$L$95,MATCH(LARGE($N$21:$N$95,43),$N$21:$N$95,0))),0)</f>
        <v>2025600</v>
      </c>
      <c r="H63" s="179">
        <f t="shared" si="4"/>
        <v>2.7193393774252541E-3</v>
      </c>
      <c r="I63" s="179">
        <f t="shared" si="6"/>
        <v>0.9716753488756591</v>
      </c>
      <c r="L63">
        <v>51</v>
      </c>
      <c r="M63">
        <f>계좌현황!K51</f>
        <v>2025600</v>
      </c>
      <c r="N63">
        <f t="shared" si="5"/>
        <v>202560009949</v>
      </c>
    </row>
    <row r="64" spans="1:14" ht="13.15" x14ac:dyDescent="0.4">
      <c r="A64" s="153">
        <v>44</v>
      </c>
      <c r="B64" s="153" t="str">
        <f>IFERROR(INDEX(계좌현황!A:A,INDEX($L$21:$L$95,MATCH(LARGE($N$21:$N$95,44),$N$21:$N$95,0))),"")</f>
        <v>일반계좌</v>
      </c>
      <c r="C64" s="153" t="str">
        <f>IFERROR(INDEX(계좌현황!C:C,INDEX($L$21:$L$95,MATCH(LARGE($N$21:$N$95,44),$N$21:$N$95,0))),"")</f>
        <v>한국</v>
      </c>
      <c r="D64" s="153">
        <f>IFERROR(INDEX(계좌현황!D:D,INDEX($L$21:$L$95,MATCH(LARGE($N$21:$N$95,44),$N$21:$N$95,0))),"")</f>
        <v>105560</v>
      </c>
      <c r="E64" s="153" t="str">
        <f>IFERROR(INDEX(계좌현황!E:E,INDEX($L$21:$L$95,MATCH(LARGE($N$21:$N$95,44),$N$21:$N$95,0))),"")</f>
        <v>KB금융</v>
      </c>
      <c r="F64" s="180">
        <f>IFERROR(INDEX(계좌현황!F:F,INDEX($L$21:$L$95,MATCH(LARGE($N$21:$N$95,44),$N$21:$N$95,0))),"")</f>
        <v>12</v>
      </c>
      <c r="G64" s="181">
        <f>IFERROR(INDEX(계좌현황!K:K,INDEX($L$21:$L$95,MATCH(LARGE($N$21:$N$95,44),$N$21:$N$95,0))),0)</f>
        <v>1898400</v>
      </c>
      <c r="H64" s="182">
        <f t="shared" si="4"/>
        <v>2.5485751748144264E-3</v>
      </c>
      <c r="I64" s="182">
        <f t="shared" si="6"/>
        <v>0.97422392405047353</v>
      </c>
      <c r="L64">
        <v>52</v>
      </c>
      <c r="M64">
        <f>계좌현황!K52</f>
        <v>327551</v>
      </c>
      <c r="N64">
        <f t="shared" si="5"/>
        <v>32755109948</v>
      </c>
    </row>
    <row r="65" spans="1:14" ht="13.15" x14ac:dyDescent="0.4">
      <c r="A65" s="153">
        <v>45</v>
      </c>
      <c r="B65" s="153" t="str">
        <f>IFERROR(INDEX(계좌현황!A:A,INDEX($L$21:$L$95,MATCH(LARGE($N$21:$N$95,45),$N$21:$N$95,0))),"")</f>
        <v>ISA</v>
      </c>
      <c r="C65" s="153" t="str">
        <f>IFERROR(INDEX(계좌현황!C:C,INDEX($L$21:$L$95,MATCH(LARGE($N$21:$N$95,45),$N$21:$N$95,0))),"")</f>
        <v>한국</v>
      </c>
      <c r="D65" s="153" t="str">
        <f>IFERROR(INDEX(계좌현황!D:D,INDEX($L$21:$L$95,MATCH(LARGE($N$21:$N$95,45),$N$21:$N$95,0))),"")</f>
        <v>364980</v>
      </c>
      <c r="E65" s="153" t="str">
        <f>IFERROR(INDEX(계좌현황!E:E,INDEX($L$21:$L$95,MATCH(LARGE($N$21:$N$95,45),$N$21:$N$95,0))),"")</f>
        <v>TIGER 2차전지TOP10</v>
      </c>
      <c r="F65" s="180">
        <f>IFERROR(INDEX(계좌현황!F:F,INDEX($L$21:$L$95,MATCH(LARGE($N$21:$N$95,45),$N$21:$N$95,0))),"")</f>
        <v>176</v>
      </c>
      <c r="G65" s="181">
        <f>IFERROR(INDEX(계좌현황!K:K,INDEX($L$21:$L$95,MATCH(LARGE($N$21:$N$95,45),$N$21:$N$95,0))),0)</f>
        <v>1736240</v>
      </c>
      <c r="H65" s="182">
        <f t="shared" si="4"/>
        <v>2.3308776662030128E-3</v>
      </c>
      <c r="I65" s="182">
        <f t="shared" si="6"/>
        <v>0.97655480171667652</v>
      </c>
      <c r="L65">
        <v>53</v>
      </c>
      <c r="M65">
        <f>계좌현황!K53</f>
        <v>1419231.5926158142</v>
      </c>
      <c r="N65">
        <f t="shared" si="5"/>
        <v>141923169208.58142</v>
      </c>
    </row>
    <row r="66" spans="1:14" ht="13.15" x14ac:dyDescent="0.4">
      <c r="A66" s="153">
        <v>46</v>
      </c>
      <c r="B66" s="153" t="str">
        <f>IFERROR(INDEX(계좌현황!A:A,INDEX($L$21:$L$95,MATCH(LARGE($N$21:$N$95,46),$N$21:$N$95,0))),"")</f>
        <v>일반계좌</v>
      </c>
      <c r="C66" s="153" t="str">
        <f>IFERROR(INDEX(계좌현황!C:C,INDEX($L$21:$L$95,MATCH(LARGE($N$21:$N$95,46),$N$21:$N$95,0))),"")</f>
        <v>미국</v>
      </c>
      <c r="D66" s="153" t="str">
        <f>IFERROR(INDEX(계좌현황!D:D,INDEX($L$21:$L$95,MATCH(LARGE($N$21:$N$95,46),$N$21:$N$95,0))),"")</f>
        <v>SPCX</v>
      </c>
      <c r="E66" s="153" t="str">
        <f>IFERROR(INDEX(계좌현황!E:E,INDEX($L$21:$L$95,MATCH(LARGE($N$21:$N$95,46),$N$21:$N$95,0))),"")</f>
        <v>스페이스 X</v>
      </c>
      <c r="F66" s="180">
        <f>IFERROR(INDEX(계좌현황!F:F,INDEX($L$21:$L$95,MATCH(LARGE($N$21:$N$95,46),$N$21:$N$95,0))),"")</f>
        <v>7</v>
      </c>
      <c r="G66" s="181">
        <f>IFERROR(INDEX(계좌현황!K:K,INDEX($L$21:$L$95,MATCH(LARGE($N$21:$N$95,46),$N$21:$N$95,0))),0)</f>
        <v>1419231.5926158142</v>
      </c>
      <c r="H66" s="182">
        <f t="shared" si="4"/>
        <v>1.9052983587510564E-3</v>
      </c>
      <c r="I66" s="182">
        <f t="shared" si="6"/>
        <v>0.97846010007542761</v>
      </c>
      <c r="L66">
        <v>54</v>
      </c>
      <c r="M66">
        <f>계좌현황!K54</f>
        <v>1179953.1000000001</v>
      </c>
      <c r="N66">
        <f t="shared" si="5"/>
        <v>117995319946.00002</v>
      </c>
    </row>
    <row r="67" spans="1:14" ht="13.15" x14ac:dyDescent="0.4">
      <c r="A67" s="153">
        <v>47</v>
      </c>
      <c r="B67" s="153" t="str">
        <f>IFERROR(INDEX(계좌현황!A:A,INDEX($L$21:$L$95,MATCH(LARGE($N$21:$N$95,47),$N$21:$N$95,0))),"")</f>
        <v>일반계좌</v>
      </c>
      <c r="C67" s="153" t="str">
        <f>IFERROR(INDEX(계좌현황!C:C,INDEX($L$21:$L$95,MATCH(LARGE($N$21:$N$95,47),$N$21:$N$95,0))),"")</f>
        <v>미국</v>
      </c>
      <c r="D67" s="153" t="str">
        <f>IFERROR(INDEX(계좌현황!D:D,INDEX($L$21:$L$95,MATCH(LARGE($N$21:$N$95,47),$N$21:$N$95,0))),"")</f>
        <v>MSFT</v>
      </c>
      <c r="E67" s="153" t="str">
        <f>IFERROR(INDEX(계좌현황!E:E,INDEX($L$21:$L$95,MATCH(LARGE($N$21:$N$95,47),$N$21:$N$95,0))),"")</f>
        <v>마이크로소프트</v>
      </c>
      <c r="F67" s="180">
        <f>IFERROR(INDEX(계좌현황!F:F,INDEX($L$21:$L$95,MATCH(LARGE($N$21:$N$95,47),$N$21:$N$95,0))),"")</f>
        <v>2</v>
      </c>
      <c r="G67" s="181">
        <f>IFERROR(INDEX(계좌현황!K:K,INDEX($L$21:$L$95,MATCH(LARGE($N$21:$N$95,47),$N$21:$N$95,0))),0)</f>
        <v>1404091.2350830077</v>
      </c>
      <c r="H67" s="182">
        <f t="shared" si="4"/>
        <v>1.8849726427028447E-3</v>
      </c>
      <c r="I67" s="182">
        <f t="shared" si="6"/>
        <v>0.98034507271813043</v>
      </c>
      <c r="L67">
        <v>55</v>
      </c>
      <c r="M67">
        <f>계좌현황!K55</f>
        <v>1152986.4957952881</v>
      </c>
      <c r="N67">
        <f t="shared" si="5"/>
        <v>115298659524.52881</v>
      </c>
    </row>
    <row r="68" spans="1:14" ht="13.15" x14ac:dyDescent="0.4">
      <c r="A68" s="153">
        <v>48</v>
      </c>
      <c r="B68" s="153" t="str">
        <f>IFERROR(INDEX(계좌현황!A:A,INDEX($L$21:$L$95,MATCH(LARGE($N$21:$N$95,48),$N$21:$N$95,0))),"")</f>
        <v>일반계좌</v>
      </c>
      <c r="C68" s="153" t="str">
        <f>IFERROR(INDEX(계좌현황!C:C,INDEX($L$21:$L$95,MATCH(LARGE($N$21:$N$95,48),$N$21:$N$95,0))),"")</f>
        <v>미국</v>
      </c>
      <c r="D68" s="153" t="str">
        <f>IFERROR(INDEX(계좌현황!D:D,INDEX($L$21:$L$95,MATCH(LARGE($N$21:$N$95,48),$N$21:$N$95,0))),"")</f>
        <v>AMT</v>
      </c>
      <c r="E68" s="153" t="str">
        <f>IFERROR(INDEX(계좌현황!E:E,INDEX($L$21:$L$95,MATCH(LARGE($N$21:$N$95,48),$N$21:$N$95,0))),"")</f>
        <v>아메리칸타워</v>
      </c>
      <c r="F68" s="180">
        <f>IFERROR(INDEX(계좌현황!F:F,INDEX($L$21:$L$95,MATCH(LARGE($N$21:$N$95,48),$N$21:$N$95,0))),"")</f>
        <v>5</v>
      </c>
      <c r="G68" s="181">
        <f>IFERROR(INDEX(계좌현황!K:K,INDEX($L$21:$L$95,MATCH(LARGE($N$21:$N$95,48),$N$21:$N$95,0))),0)</f>
        <v>1179953.1000000001</v>
      </c>
      <c r="H68" s="182">
        <f t="shared" si="4"/>
        <v>1.5840703635194504E-3</v>
      </c>
      <c r="I68" s="182">
        <f t="shared" si="6"/>
        <v>0.98192914308164991</v>
      </c>
      <c r="L68">
        <v>56</v>
      </c>
      <c r="M68">
        <f>계좌현황!K56</f>
        <v>1113864.119263916</v>
      </c>
      <c r="N68">
        <f t="shared" si="5"/>
        <v>111386421870.3916</v>
      </c>
    </row>
    <row r="69" spans="1:14" ht="13.15" x14ac:dyDescent="0.4">
      <c r="A69" s="153">
        <v>49</v>
      </c>
      <c r="B69" s="153" t="str">
        <f>IFERROR(INDEX(계좌현황!A:A,INDEX($L$21:$L$95,MATCH(LARGE($N$21:$N$95,49),$N$21:$N$95,0))),"")</f>
        <v>일반계좌</v>
      </c>
      <c r="C69" s="153" t="str">
        <f>IFERROR(INDEX(계좌현황!C:C,INDEX($L$21:$L$95,MATCH(LARGE($N$21:$N$95,49),$N$21:$N$95,0))),"")</f>
        <v>미국</v>
      </c>
      <c r="D69" s="153" t="str">
        <f>IFERROR(INDEX(계좌현황!D:D,INDEX($L$21:$L$95,MATCH(LARGE($N$21:$N$95,49),$N$21:$N$95,0))),"")</f>
        <v>NVDA</v>
      </c>
      <c r="E69" s="153" t="str">
        <f>IFERROR(INDEX(계좌현황!E:E,INDEX($L$21:$L$95,MATCH(LARGE($N$21:$N$95,49),$N$21:$N$95,0))),"")</f>
        <v>엔비디아</v>
      </c>
      <c r="F69" s="180">
        <f>IFERROR(INDEX(계좌현황!F:F,INDEX($L$21:$L$95,MATCH(LARGE($N$21:$N$95,49),$N$21:$N$95,0))),"")</f>
        <v>4</v>
      </c>
      <c r="G69" s="181">
        <f>IFERROR(INDEX(계좌현황!K:K,INDEX($L$21:$L$95,MATCH(LARGE($N$21:$N$95,49),$N$21:$N$95,0))),0)</f>
        <v>1152986.4957952881</v>
      </c>
      <c r="H69" s="182">
        <f t="shared" si="4"/>
        <v>1.5478680784240147E-3</v>
      </c>
      <c r="I69" s="182">
        <f t="shared" si="6"/>
        <v>0.98347701116007391</v>
      </c>
      <c r="L69">
        <v>57</v>
      </c>
      <c r="M69">
        <f>계좌현황!K57</f>
        <v>1404091.2350830077</v>
      </c>
      <c r="N69">
        <f t="shared" si="5"/>
        <v>140409133451.30078</v>
      </c>
    </row>
    <row r="70" spans="1:14" ht="13.15" x14ac:dyDescent="0.4">
      <c r="A70" s="150">
        <v>50</v>
      </c>
      <c r="B70" s="150" t="str">
        <f>IFERROR(INDEX(계좌현황!A:A,INDEX($L$21:$L$95,MATCH(LARGE($N$21:$N$95,50),$N$21:$N$95,0))),"")</f>
        <v>일반계좌</v>
      </c>
      <c r="C70" s="150" t="str">
        <f>IFERROR(INDEX(계좌현황!C:C,INDEX($L$21:$L$95,MATCH(LARGE($N$21:$N$95,50),$N$21:$N$95,0))),"")</f>
        <v>미국</v>
      </c>
      <c r="D70" s="150" t="str">
        <f>IFERROR(INDEX(계좌현황!D:D,INDEX($L$21:$L$95,MATCH(LARGE($N$21:$N$95,50),$N$21:$N$95,0))),"")</f>
        <v>SCHD</v>
      </c>
      <c r="E70" s="150" t="str">
        <f>IFERROR(INDEX(계좌현황!E:E,INDEX($L$21:$L$95,MATCH(LARGE($N$21:$N$95,50),$N$21:$N$95,0))),"")</f>
        <v>SCHD</v>
      </c>
      <c r="F70" s="177">
        <f>IFERROR(INDEX(계좌현황!F:F,INDEX($L$21:$L$95,MATCH(LARGE($N$21:$N$95,50),$N$21:$N$95,0))),"")</f>
        <v>24</v>
      </c>
      <c r="G70" s="178">
        <f>IFERROR(INDEX(계좌현황!K:K,INDEX($L$21:$L$95,MATCH(LARGE($N$21:$N$95,50),$N$21:$N$95,0))),0)</f>
        <v>1113864.119263916</v>
      </c>
      <c r="H70" s="179">
        <f t="shared" si="4"/>
        <v>1.4953468407461821E-3</v>
      </c>
      <c r="I70" s="179">
        <f t="shared" si="6"/>
        <v>0.98497235800082006</v>
      </c>
      <c r="L70">
        <v>58</v>
      </c>
      <c r="M70">
        <f>계좌현황!K58</f>
        <v>830633.97669433593</v>
      </c>
      <c r="N70">
        <f t="shared" si="5"/>
        <v>83063407611.433594</v>
      </c>
    </row>
    <row r="71" spans="1:14" ht="13.15" x14ac:dyDescent="0.4">
      <c r="A71" s="150">
        <v>51</v>
      </c>
      <c r="B71" s="150" t="str">
        <f>IFERROR(INDEX(계좌현황!A:A,INDEX($L$21:$L$95,MATCH(LARGE($N$21:$N$95,51),$N$21:$N$95,0))),"")</f>
        <v>일반계좌</v>
      </c>
      <c r="C71" s="150" t="str">
        <f>IFERROR(INDEX(계좌현황!C:C,INDEX($L$21:$L$95,MATCH(LARGE($N$21:$N$95,51),$N$21:$N$95,0))),"")</f>
        <v>미국</v>
      </c>
      <c r="D71" s="150" t="str">
        <f>IFERROR(INDEX(계좌현황!D:D,INDEX($L$21:$L$95,MATCH(LARGE($N$21:$N$95,51),$N$21:$N$95,0))),"")</f>
        <v>PLTR</v>
      </c>
      <c r="E71" s="150" t="str">
        <f>IFERROR(INDEX(계좌현황!E:E,INDEX($L$21:$L$95,MATCH(LARGE($N$21:$N$95,51),$N$21:$N$95,0))),"")</f>
        <v>팔란티어</v>
      </c>
      <c r="F71" s="177">
        <f>IFERROR(INDEX(계좌현황!F:F,INDEX($L$21:$L$95,MATCH(LARGE($N$21:$N$95,51),$N$21:$N$95,0))),"")</f>
        <v>4</v>
      </c>
      <c r="G71" s="178">
        <f>IFERROR(INDEX(계좌현황!K:K,INDEX($L$21:$L$95,MATCH(LARGE($N$21:$N$95,51),$N$21:$N$95,0))),0)</f>
        <v>1070018.6158575437</v>
      </c>
      <c r="H71" s="179">
        <f t="shared" si="4"/>
        <v>1.4364848719784187E-3</v>
      </c>
      <c r="I71" s="179">
        <f t="shared" si="6"/>
        <v>0.98640884287279851</v>
      </c>
      <c r="L71">
        <v>59</v>
      </c>
      <c r="M71">
        <f>계좌현황!K59</f>
        <v>785033.37340507493</v>
      </c>
      <c r="N71">
        <f t="shared" si="5"/>
        <v>78503347281.507492</v>
      </c>
    </row>
    <row r="72" spans="1:14" ht="13.15" x14ac:dyDescent="0.4">
      <c r="A72" s="153">
        <v>52</v>
      </c>
      <c r="B72" s="153" t="str">
        <f>IFERROR(INDEX(계좌현황!A:A,INDEX($L$21:$L$95,MATCH(LARGE($N$21:$N$95,52),$N$21:$N$95,0))),"")</f>
        <v>ISA</v>
      </c>
      <c r="C72" s="153" t="str">
        <f>IFERROR(INDEX(계좌현황!C:C,INDEX($L$21:$L$95,MATCH(LARGE($N$21:$N$95,52),$N$21:$N$95,0))),"")</f>
        <v>한국</v>
      </c>
      <c r="D72" s="153" t="str">
        <f>IFERROR(INDEX(계좌현황!D:D,INDEX($L$21:$L$95,MATCH(LARGE($N$21:$N$95,52),$N$21:$N$95,0))),"")</f>
        <v>476690</v>
      </c>
      <c r="E72" s="153" t="str">
        <f>IFERROR(INDEX(계좌현황!E:E,INDEX($L$21:$L$95,MATCH(LARGE($N$21:$N$95,52),$N$21:$N$95,0))),"")</f>
        <v>TIGER 글로벌비만치료제 TOP2 Plus</v>
      </c>
      <c r="F72" s="180">
        <f>IFERROR(INDEX(계좌현황!F:F,INDEX($L$21:$L$95,MATCH(LARGE($N$21:$N$95,52),$N$21:$N$95,0))),"")</f>
        <v>100</v>
      </c>
      <c r="G72" s="181">
        <f>IFERROR(INDEX(계좌현황!K:K,INDEX($L$21:$L$95,MATCH(LARGE($N$21:$N$95,52),$N$21:$N$95,0))),0)</f>
        <v>1020500</v>
      </c>
      <c r="H72" s="182">
        <f t="shared" si="4"/>
        <v>1.3700068299084083E-3</v>
      </c>
      <c r="I72" s="182">
        <f t="shared" si="6"/>
        <v>0.98777884970270691</v>
      </c>
      <c r="L72">
        <v>60</v>
      </c>
      <c r="M72">
        <f>계좌현황!K60</f>
        <v>1070018.6158575437</v>
      </c>
      <c r="N72">
        <f t="shared" si="5"/>
        <v>107001871525.75436</v>
      </c>
    </row>
    <row r="73" spans="1:14" ht="13.15" x14ac:dyDescent="0.4">
      <c r="A73" s="153">
        <v>53</v>
      </c>
      <c r="B73" s="153" t="str">
        <f>IFERROR(INDEX(계좌현황!A:A,INDEX($L$21:$L$95,MATCH(LARGE($N$21:$N$95,53),$N$21:$N$95,0))),"")</f>
        <v>ISA</v>
      </c>
      <c r="C73" s="153" t="str">
        <f>IFERROR(INDEX(계좌현황!C:C,INDEX($L$21:$L$95,MATCH(LARGE($N$21:$N$95,53),$N$21:$N$95,0))),"")</f>
        <v>한국</v>
      </c>
      <c r="D73" s="153" t="str">
        <f>IFERROR(INDEX(계좌현황!D:D,INDEX($L$21:$L$95,MATCH(LARGE($N$21:$N$95,53),$N$21:$N$95,0))),"")</f>
        <v>475380</v>
      </c>
      <c r="E73" s="153" t="str">
        <f>IFERROR(INDEX(계좌현황!E:E,INDEX($L$21:$L$95,MATCH(LARGE($N$21:$N$95,53),$N$21:$N$95,0))),"")</f>
        <v>RISE 글로벌리얼티인컴</v>
      </c>
      <c r="F73" s="180">
        <f>IFERROR(INDEX(계좌현황!F:F,INDEX($L$21:$L$95,MATCH(LARGE($N$21:$N$95,53),$N$21:$N$95,0))),"")</f>
        <v>101</v>
      </c>
      <c r="G73" s="181">
        <f>IFERROR(INDEX(계좌현황!K:K,INDEX($L$21:$L$95,MATCH(LARGE($N$21:$N$95,53),$N$21:$N$95,0))),0)</f>
        <v>964045</v>
      </c>
      <c r="H73" s="182">
        <f t="shared" si="4"/>
        <v>1.2942167901411577E-3</v>
      </c>
      <c r="I73" s="182">
        <f t="shared" si="6"/>
        <v>0.9890730664928481</v>
      </c>
      <c r="L73">
        <v>61</v>
      </c>
      <c r="M73">
        <f>계좌현황!K61</f>
        <v>485716.03578266152</v>
      </c>
      <c r="N73">
        <f t="shared" si="5"/>
        <v>48571613517.266151</v>
      </c>
    </row>
    <row r="74" spans="1:14" ht="13.15" x14ac:dyDescent="0.4">
      <c r="A74" s="153">
        <v>54</v>
      </c>
      <c r="B74" s="153" t="str">
        <f>IFERROR(INDEX(계좌현황!A:A,INDEX($L$21:$L$95,MATCH(LARGE($N$21:$N$95,54),$N$21:$N$95,0))),"")</f>
        <v>일반계좌</v>
      </c>
      <c r="C74" s="153">
        <f>IFERROR(INDEX(계좌현황!C:C,INDEX($L$21:$L$95,MATCH(LARGE($N$21:$N$95,54),$N$21:$N$95,0))),"")</f>
        <v>0</v>
      </c>
      <c r="D74" s="153" t="str">
        <f>IFERROR(INDEX(계좌현황!D:D,INDEX($L$21:$L$95,MATCH(LARGE($N$21:$N$95,54),$N$21:$N$95,0))),"")</f>
        <v>현금</v>
      </c>
      <c r="E74" s="153" t="str">
        <f>IFERROR(INDEX(계좌현황!E:E,INDEX($L$21:$L$95,MATCH(LARGE($N$21:$N$95,54),$N$21:$N$95,0))),"")</f>
        <v>예수금(직투달러)</v>
      </c>
      <c r="F74" s="180">
        <f>IFERROR(INDEX(계좌현황!F:F,INDEX($L$21:$L$95,MATCH(LARGE($N$21:$N$95,54),$N$21:$N$95,0))),"")</f>
        <v>1</v>
      </c>
      <c r="G74" s="181">
        <f>IFERROR(INDEX(계좌현황!K:K,INDEX($L$21:$L$95,MATCH(LARGE($N$21:$N$95,54),$N$21:$N$95,0))),0)</f>
        <v>912054</v>
      </c>
      <c r="H74" s="182">
        <f t="shared" si="4"/>
        <v>1.2244196072957211E-3</v>
      </c>
      <c r="I74" s="182">
        <f t="shared" si="6"/>
        <v>0.99029748610014379</v>
      </c>
      <c r="L74">
        <v>62</v>
      </c>
      <c r="M74">
        <f>계좌현황!K62</f>
        <v>835473.108424215</v>
      </c>
      <c r="N74">
        <f t="shared" si="5"/>
        <v>83547320780.421494</v>
      </c>
    </row>
    <row r="75" spans="1:14" ht="13.15" x14ac:dyDescent="0.4">
      <c r="A75" s="153">
        <v>55</v>
      </c>
      <c r="B75" s="153" t="str">
        <f>IFERROR(INDEX(계좌현황!A:A,INDEX($L$21:$L$95,MATCH(LARGE($N$21:$N$95,55),$N$21:$N$95,0))),"")</f>
        <v>일반계좌</v>
      </c>
      <c r="C75" s="153" t="str">
        <f>IFERROR(INDEX(계좌현황!C:C,INDEX($L$21:$L$95,MATCH(LARGE($N$21:$N$95,55),$N$21:$N$95,0))),"")</f>
        <v>미국</v>
      </c>
      <c r="D75" s="153" t="str">
        <f>IFERROR(INDEX(계좌현황!D:D,INDEX($L$21:$L$95,MATCH(LARGE($N$21:$N$95,55),$N$21:$N$95,0))),"")</f>
        <v>AI</v>
      </c>
      <c r="E75" s="153" t="str">
        <f>IFERROR(INDEX(계좌현황!E:E,INDEX($L$21:$L$95,MATCH(LARGE($N$21:$N$95,55),$N$21:$N$95,0))),"")</f>
        <v>C3AI</v>
      </c>
      <c r="F75" s="180">
        <f>IFERROR(INDEX(계좌현황!F:F,INDEX($L$21:$L$95,MATCH(LARGE($N$21:$N$95,55),$N$21:$N$95,0))),"")</f>
        <v>53</v>
      </c>
      <c r="G75" s="181">
        <f>IFERROR(INDEX(계좌현황!K:K,INDEX($L$21:$L$95,MATCH(LARGE($N$21:$N$95,55),$N$21:$N$95,0))),0)</f>
        <v>835473.108424215</v>
      </c>
      <c r="H75" s="182">
        <f t="shared" si="4"/>
        <v>1.1216108424752403E-3</v>
      </c>
      <c r="I75" s="182">
        <f t="shared" si="6"/>
        <v>0.99141909694261898</v>
      </c>
      <c r="L75">
        <v>63</v>
      </c>
      <c r="M75">
        <f>계좌현황!K63</f>
        <v>495116.29168395989</v>
      </c>
      <c r="N75">
        <f t="shared" si="5"/>
        <v>49511639105.395988</v>
      </c>
    </row>
    <row r="76" spans="1:14" ht="13.15" x14ac:dyDescent="0.4">
      <c r="A76" s="153">
        <v>56</v>
      </c>
      <c r="B76" s="153" t="str">
        <f>IFERROR(INDEX(계좌현황!A:A,INDEX($L$21:$L$95,MATCH(LARGE($N$21:$N$95,56),$N$21:$N$95,0))),"")</f>
        <v>일반계좌</v>
      </c>
      <c r="C76" s="153" t="str">
        <f>IFERROR(INDEX(계좌현황!C:C,INDEX($L$21:$L$95,MATCH(LARGE($N$21:$N$95,56),$N$21:$N$95,0))),"")</f>
        <v>미국</v>
      </c>
      <c r="D76" s="153" t="str">
        <f>IFERROR(INDEX(계좌현황!D:D,INDEX($L$21:$L$95,MATCH(LARGE($N$21:$N$95,56),$N$21:$N$95,0))),"")</f>
        <v>TMUS</v>
      </c>
      <c r="E76" s="153" t="str">
        <f>IFERROR(INDEX(계좌현황!E:E,INDEX($L$21:$L$95,MATCH(LARGE($N$21:$N$95,56),$N$21:$N$95,0))),"")</f>
        <v>T-모바일</v>
      </c>
      <c r="F76" s="180">
        <f>IFERROR(INDEX(계좌현황!F:F,INDEX($L$21:$L$95,MATCH(LARGE($N$21:$N$95,56),$N$21:$N$95,0))),"")</f>
        <v>4</v>
      </c>
      <c r="G76" s="181">
        <f>IFERROR(INDEX(계좌현황!K:K,INDEX($L$21:$L$95,MATCH(LARGE($N$21:$N$95,56),$N$21:$N$95,0))),0)</f>
        <v>830633.97669433593</v>
      </c>
      <c r="H76" s="182">
        <f t="shared" si="4"/>
        <v>1.1151143765068317E-3</v>
      </c>
      <c r="I76" s="182">
        <f t="shared" si="6"/>
        <v>0.99253421131912578</v>
      </c>
      <c r="L76">
        <v>64</v>
      </c>
      <c r="M76">
        <f>계좌현황!K64</f>
        <v>556009.81667358393</v>
      </c>
      <c r="N76">
        <f t="shared" si="5"/>
        <v>55600991603.358391</v>
      </c>
    </row>
    <row r="77" spans="1:14" ht="13.15" x14ac:dyDescent="0.4">
      <c r="A77" s="153">
        <v>57</v>
      </c>
      <c r="B77" s="153" t="str">
        <f>IFERROR(INDEX(계좌현황!A:A,INDEX($L$21:$L$95,MATCH(LARGE($N$21:$N$95,57),$N$21:$N$95,0))),"")</f>
        <v>일반계좌</v>
      </c>
      <c r="C77" s="153" t="str">
        <f>IFERROR(INDEX(계좌현황!C:C,INDEX($L$21:$L$95,MATCH(LARGE($N$21:$N$95,57),$N$21:$N$95,0))),"")</f>
        <v>미국</v>
      </c>
      <c r="D77" s="153" t="str">
        <f>IFERROR(INDEX(계좌현황!D:D,INDEX($L$21:$L$95,MATCH(LARGE($N$21:$N$95,57),$N$21:$N$95,0))),"")</f>
        <v>NVO</v>
      </c>
      <c r="E77" s="153" t="str">
        <f>IFERROR(INDEX(계좌현황!E:E,INDEX($L$21:$L$95,MATCH(LARGE($N$21:$N$95,57),$N$21:$N$95,0))),"")</f>
        <v>노보 노디스크</v>
      </c>
      <c r="F77" s="180">
        <f>IFERROR(INDEX(계좌현황!F:F,INDEX($L$21:$L$95,MATCH(LARGE($N$21:$N$95,57),$N$21:$N$95,0))),"")</f>
        <v>15</v>
      </c>
      <c r="G77" s="181">
        <f>IFERROR(INDEX(계좌현황!K:K,INDEX($L$21:$L$95,MATCH(LARGE($N$21:$N$95,57),$N$21:$N$95,0))),0)</f>
        <v>785033.37340507493</v>
      </c>
      <c r="H77" s="182">
        <f t="shared" si="4"/>
        <v>1.0538962109465854E-3</v>
      </c>
      <c r="I77" s="182">
        <f t="shared" si="6"/>
        <v>0.99358810753007232</v>
      </c>
      <c r="L77">
        <v>65</v>
      </c>
      <c r="M77">
        <f>계좌현황!K65</f>
        <v>452704.2420712281</v>
      </c>
      <c r="N77">
        <f t="shared" si="5"/>
        <v>45270434142.12281</v>
      </c>
    </row>
    <row r="78" spans="1:14" ht="13.15" x14ac:dyDescent="0.4">
      <c r="A78" s="153">
        <v>58</v>
      </c>
      <c r="B78" s="153" t="str">
        <f>IFERROR(INDEX(계좌현황!A:A,INDEX($L$21:$L$95,MATCH(LARGE($N$21:$N$95,58),$N$21:$N$95,0))),"")</f>
        <v>일반계좌</v>
      </c>
      <c r="C78" s="153" t="str">
        <f>IFERROR(INDEX(계좌현황!C:C,INDEX($L$21:$L$95,MATCH(LARGE($N$21:$N$95,58),$N$21:$N$95,0))),"")</f>
        <v>미국</v>
      </c>
      <c r="D78" s="153" t="str">
        <f>IFERROR(INDEX(계좌현황!D:D,INDEX($L$21:$L$95,MATCH(LARGE($N$21:$N$95,58),$N$21:$N$95,0))),"")</f>
        <v>TSM</v>
      </c>
      <c r="E78" s="153" t="str">
        <f>IFERROR(INDEX(계좌현황!E:E,INDEX($L$21:$L$95,MATCH(LARGE($N$21:$N$95,58),$N$21:$N$95,0))),"")</f>
        <v>TSMC</v>
      </c>
      <c r="F78" s="180">
        <f>IFERROR(INDEX(계좌현황!F:F,INDEX($L$21:$L$95,MATCH(LARGE($N$21:$N$95,58),$N$21:$N$95,0))),"")</f>
        <v>1</v>
      </c>
      <c r="G78" s="181">
        <f>IFERROR(INDEX(계좌현황!K:K,INDEX($L$21:$L$95,MATCH(LARGE($N$21:$N$95,58),$N$21:$N$95,0))),0)</f>
        <v>556009.81667358393</v>
      </c>
      <c r="H78" s="182">
        <f t="shared" si="4"/>
        <v>7.4643532223315232E-4</v>
      </c>
      <c r="I78" s="182">
        <f t="shared" si="6"/>
        <v>0.99433454285230549</v>
      </c>
      <c r="L78">
        <v>66</v>
      </c>
      <c r="M78">
        <f>계좌현황!K66</f>
        <v>281067.48</v>
      </c>
      <c r="N78">
        <f t="shared" si="5"/>
        <v>28106757934</v>
      </c>
    </row>
    <row r="79" spans="1:14" ht="13.15" x14ac:dyDescent="0.4">
      <c r="A79" s="153">
        <v>59</v>
      </c>
      <c r="B79" s="153" t="str">
        <f>IFERROR(INDEX(계좌현황!A:A,INDEX($L$21:$L$95,MATCH(LARGE($N$21:$N$95,59),$N$21:$N$95,0))),"")</f>
        <v>일반계좌</v>
      </c>
      <c r="C79" s="153" t="str">
        <f>IFERROR(INDEX(계좌현황!C:C,INDEX($L$21:$L$95,MATCH(LARGE($N$21:$N$95,59),$N$21:$N$95,0))),"")</f>
        <v>미국</v>
      </c>
      <c r="D79" s="153" t="str">
        <f>IFERROR(INDEX(계좌현황!D:D,INDEX($L$21:$L$95,MATCH(LARGE($N$21:$N$95,59),$N$21:$N$95,0))),"")</f>
        <v>NKE</v>
      </c>
      <c r="E79" s="153" t="str">
        <f>IFERROR(INDEX(계좌현황!E:E,INDEX($L$21:$L$95,MATCH(LARGE($N$21:$N$95,59),$N$21:$N$95,0))),"")</f>
        <v>나이키</v>
      </c>
      <c r="F79" s="180">
        <f>IFERROR(INDEX(계좌현황!F:F,INDEX($L$21:$L$95,MATCH(LARGE($N$21:$N$95,59),$N$21:$N$95,0))),"")</f>
        <v>10</v>
      </c>
      <c r="G79" s="181">
        <f>IFERROR(INDEX(계좌현황!K:K,INDEX($L$21:$L$95,MATCH(LARGE($N$21:$N$95,59),$N$21:$N$95,0))),0)</f>
        <v>495116.29168395989</v>
      </c>
      <c r="H79" s="182">
        <f t="shared" si="4"/>
        <v>6.6468662538554505E-4</v>
      </c>
      <c r="I79" s="182">
        <f t="shared" si="6"/>
        <v>0.99499922947769104</v>
      </c>
      <c r="L79">
        <v>67</v>
      </c>
      <c r="M79">
        <f>계좌현황!K67</f>
        <v>334287.33991424553</v>
      </c>
      <c r="N79">
        <f t="shared" si="5"/>
        <v>33428743924.424553</v>
      </c>
    </row>
    <row r="80" spans="1:14" ht="13.15" x14ac:dyDescent="0.4">
      <c r="A80" s="165">
        <v>60</v>
      </c>
      <c r="B80" s="165" t="str">
        <f>IFERROR(INDEX(계좌현황!A:A,INDEX($L$21:$L$95,MATCH(LARGE($N$21:$N$95,60),$N$21:$N$95,0))),"")</f>
        <v>일반계좌</v>
      </c>
      <c r="C80" s="165" t="str">
        <f>IFERROR(INDEX(계좌현황!C:C,INDEX($L$21:$L$95,MATCH(LARGE($N$21:$N$95,60),$N$21:$N$95,0))),"")</f>
        <v>미국</v>
      </c>
      <c r="D80" s="165" t="str">
        <f>IFERROR(INDEX(계좌현황!D:D,INDEX($L$21:$L$95,MATCH(LARGE($N$21:$N$95,60),$N$21:$N$95,0))),"")</f>
        <v>RKLB</v>
      </c>
      <c r="E80" s="165" t="str">
        <f>IFERROR(INDEX(계좌현황!E:E,INDEX($L$21:$L$95,MATCH(LARGE($N$21:$N$95,60),$N$21:$N$95,0))),"")</f>
        <v>로켓랩</v>
      </c>
      <c r="F80" s="189">
        <f>IFERROR(INDEX(계좌현황!F:F,INDEX($L$21:$L$95,MATCH(LARGE($N$21:$N$95,60),$N$21:$N$95,0))),"")</f>
        <v>7</v>
      </c>
      <c r="G80" s="190">
        <f>IFERROR(INDEX(계좌현황!K:K,INDEX($L$21:$L$95,MATCH(LARGE($N$21:$N$95,60),$N$21:$N$95,0))),0)</f>
        <v>485716.03578266152</v>
      </c>
      <c r="H80" s="191">
        <f t="shared" si="4"/>
        <v>6.5206691466759739E-4</v>
      </c>
      <c r="I80" s="191">
        <f t="shared" si="6"/>
        <v>0.99565129639235861</v>
      </c>
      <c r="L80">
        <v>68</v>
      </c>
      <c r="M80">
        <f>계좌현황!K68</f>
        <v>209607.40329886434</v>
      </c>
      <c r="N80">
        <f t="shared" si="5"/>
        <v>20960750261.886433</v>
      </c>
    </row>
    <row r="81" spans="1:14" ht="13.15" x14ac:dyDescent="0.4">
      <c r="A81" s="165">
        <v>61</v>
      </c>
      <c r="B81" s="165" t="str">
        <f>IFERROR(INDEX(계좌현황!A:A,INDEX($L$21:$L$95,MATCH(LARGE($N$21:$N$95,61),$N$21:$N$95,0))),"")</f>
        <v>일반계좌</v>
      </c>
      <c r="C81" s="165" t="str">
        <f>IFERROR(INDEX(계좌현황!C:C,INDEX($L$21:$L$95,MATCH(LARGE($N$21:$N$95,61),$N$21:$N$95,0))),"")</f>
        <v>미국</v>
      </c>
      <c r="D81" s="165" t="str">
        <f>IFERROR(INDEX(계좌현황!D:D,INDEX($L$21:$L$95,MATCH(LARGE($N$21:$N$95,61),$N$21:$N$95,0))),"")</f>
        <v>COIN</v>
      </c>
      <c r="E81" s="165" t="str">
        <f>IFERROR(INDEX(계좌현황!E:E,INDEX($L$21:$L$95,MATCH(LARGE($N$21:$N$95,61),$N$21:$N$95,0))),"")</f>
        <v>코인베이스 글로벌</v>
      </c>
      <c r="F81" s="189">
        <f>IFERROR(INDEX(계좌현황!F:F,INDEX($L$21:$L$95,MATCH(LARGE($N$21:$N$95,61),$N$21:$N$95,0))),"")</f>
        <v>2</v>
      </c>
      <c r="G81" s="190">
        <f>IFERROR(INDEX(계좌현황!K:K,INDEX($L$21:$L$95,MATCH(LARGE($N$21:$N$95,61),$N$21:$N$95,0))),0)</f>
        <v>452704.2420712281</v>
      </c>
      <c r="H81" s="191">
        <f t="shared" si="4"/>
        <v>6.0774904808044282E-4</v>
      </c>
      <c r="I81" s="191">
        <f t="shared" si="6"/>
        <v>0.99625904544043908</v>
      </c>
      <c r="L81">
        <v>69</v>
      </c>
      <c r="M81">
        <f>계좌현황!K69</f>
        <v>263832.21000000002</v>
      </c>
      <c r="N81">
        <f t="shared" si="5"/>
        <v>26383230931.000004</v>
      </c>
    </row>
    <row r="82" spans="1:14" ht="13.15" x14ac:dyDescent="0.4">
      <c r="A82" s="153">
        <v>62</v>
      </c>
      <c r="B82" s="153" t="str">
        <f>IFERROR(INDEX(계좌현황!A:A,INDEX($L$21:$L$95,MATCH(LARGE($N$21:$N$95,62),$N$21:$N$95,0))),"")</f>
        <v>일반계좌</v>
      </c>
      <c r="C82" s="153" t="str">
        <f>IFERROR(INDEX(계좌현황!C:C,INDEX($L$21:$L$95,MATCH(LARGE($N$21:$N$95,62),$N$21:$N$95,0))),"")</f>
        <v>미국</v>
      </c>
      <c r="D82" s="153" t="str">
        <f>IFERROR(INDEX(계좌현황!D:D,INDEX($L$21:$L$95,MATCH(LARGE($N$21:$N$95,62),$N$21:$N$95,0))),"")</f>
        <v>ORCL</v>
      </c>
      <c r="E82" s="153" t="str">
        <f>IFERROR(INDEX(계좌현황!E:E,INDEX($L$21:$L$95,MATCH(LARGE($N$21:$N$95,62),$N$21:$N$95,0))),"")</f>
        <v>오라클</v>
      </c>
      <c r="F82" s="180">
        <f>IFERROR(INDEX(계좌현황!F:F,INDEX($L$21:$L$95,MATCH(LARGE($N$21:$N$95,62),$N$21:$N$95,0))),"")</f>
        <v>2</v>
      </c>
      <c r="G82" s="181">
        <f>IFERROR(INDEX(계좌현황!K:K,INDEX($L$21:$L$95,MATCH(LARGE($N$21:$N$95,62),$N$21:$N$95,0))),0)</f>
        <v>334287.33991424553</v>
      </c>
      <c r="H82" s="182">
        <f t="shared" si="4"/>
        <v>4.4877603021502207E-4</v>
      </c>
      <c r="I82" s="182">
        <f t="shared" si="6"/>
        <v>0.99670782147065407</v>
      </c>
      <c r="L82">
        <v>70</v>
      </c>
      <c r="M82">
        <f>계좌현황!K70</f>
        <v>141461.79401149749</v>
      </c>
      <c r="N82">
        <f t="shared" si="5"/>
        <v>14146189331.14975</v>
      </c>
    </row>
    <row r="83" spans="1:14" ht="13.15" x14ac:dyDescent="0.4">
      <c r="A83" s="153">
        <v>63</v>
      </c>
      <c r="B83" s="153" t="str">
        <f>IFERROR(INDEX(계좌현황!A:A,INDEX($L$21:$L$95,MATCH(LARGE($N$21:$N$95,63),$N$21:$N$95,0))),"")</f>
        <v>일반계좌</v>
      </c>
      <c r="C83" s="153">
        <f>IFERROR(INDEX(계좌현황!C:C,INDEX($L$21:$L$95,MATCH(LARGE($N$21:$N$95,63),$N$21:$N$95,0))),"")</f>
        <v>0</v>
      </c>
      <c r="D83" s="153" t="str">
        <f>IFERROR(INDEX(계좌현황!D:D,INDEX($L$21:$L$95,MATCH(LARGE($N$21:$N$95,63),$N$21:$N$95,0))),"")</f>
        <v>현금</v>
      </c>
      <c r="E83" s="153" t="str">
        <f>IFERROR(INDEX(계좌현황!E:E,INDEX($L$21:$L$95,MATCH(LARGE($N$21:$N$95,63),$N$21:$N$95,0))),"")</f>
        <v>현금성자산(삼성증권)</v>
      </c>
      <c r="F83" s="180">
        <f>IFERROR(INDEX(계좌현황!F:F,INDEX($L$21:$L$95,MATCH(LARGE($N$21:$N$95,63),$N$21:$N$95,0))),"")</f>
        <v>1</v>
      </c>
      <c r="G83" s="181">
        <f>IFERROR(INDEX(계좌현황!K:K,INDEX($L$21:$L$95,MATCH(LARGE($N$21:$N$95,63),$N$21:$N$95,0))),0)</f>
        <v>327551</v>
      </c>
      <c r="H83" s="182">
        <f t="shared" si="4"/>
        <v>4.3973258906744638E-4</v>
      </c>
      <c r="I83" s="182">
        <f t="shared" si="6"/>
        <v>0.99714755405972155</v>
      </c>
      <c r="L83">
        <v>71</v>
      </c>
      <c r="M83">
        <f>계좌현황!K71</f>
        <v>216300</v>
      </c>
      <c r="N83">
        <f t="shared" si="5"/>
        <v>21630009929</v>
      </c>
    </row>
    <row r="84" spans="1:14" ht="13.15" x14ac:dyDescent="0.4">
      <c r="A84" s="165">
        <v>64</v>
      </c>
      <c r="B84" s="165" t="str">
        <f>IFERROR(INDEX(계좌현황!A:A,INDEX($L$21:$L$95,MATCH(LARGE($N$21:$N$95,64),$N$21:$N$95,0))),"")</f>
        <v>TOSS</v>
      </c>
      <c r="C84" s="165" t="str">
        <f>IFERROR(INDEX(계좌현황!C:C,INDEX($L$21:$L$95,MATCH(LARGE($N$21:$N$95,64),$N$21:$N$95,0))),"")</f>
        <v>미국</v>
      </c>
      <c r="D84" s="165" t="str">
        <f>IFERROR(INDEX(계좌현황!D:D,INDEX($L$21:$L$95,MATCH(LARGE($N$21:$N$95,64),$N$21:$N$95,0))),"")</f>
        <v>WMT</v>
      </c>
      <c r="E84" s="165" t="str">
        <f>IFERROR(INDEX(계좌현황!E:E,INDEX($L$21:$L$95,MATCH(LARGE($N$21:$N$95,64),$N$21:$N$95,0))),"")</f>
        <v>월마트</v>
      </c>
      <c r="F84" s="189">
        <f>IFERROR(INDEX(계좌현황!F:F,INDEX($L$21:$L$95,MATCH(LARGE($N$21:$N$95,64),$N$21:$N$95,0))),"")</f>
        <v>2</v>
      </c>
      <c r="G84" s="190">
        <f>IFERROR(INDEX(계좌현황!K:K,INDEX($L$21:$L$95,MATCH(LARGE($N$21:$N$95,64),$N$21:$N$95,0))),0)</f>
        <v>313469.79083679192</v>
      </c>
      <c r="H84" s="191">
        <f t="shared" si="4"/>
        <v>4.2082876473921124E-4</v>
      </c>
      <c r="I84" s="191">
        <f t="shared" si="6"/>
        <v>0.99756838282446081</v>
      </c>
      <c r="L84">
        <v>72</v>
      </c>
      <c r="M84">
        <f>계좌현황!K72</f>
        <v>106593.51296550751</v>
      </c>
      <c r="N84">
        <f t="shared" si="5"/>
        <v>10659361224.550751</v>
      </c>
    </row>
    <row r="85" spans="1:14" ht="13.15" x14ac:dyDescent="0.4">
      <c r="A85" s="153">
        <v>65</v>
      </c>
      <c r="B85" s="153" t="str">
        <f>IFERROR(INDEX(계좌현황!A:A,INDEX($L$21:$L$95,MATCH(LARGE($N$21:$N$95,65),$N$21:$N$95,0))),"")</f>
        <v>TOSS</v>
      </c>
      <c r="C85" s="153" t="str">
        <f>IFERROR(INDEX(계좌현황!C:C,INDEX($L$21:$L$95,MATCH(LARGE($N$21:$N$95,65),$N$21:$N$95,0))),"")</f>
        <v>미국</v>
      </c>
      <c r="D85" s="153" t="str">
        <f>IFERROR(INDEX(계좌현황!D:D,INDEX($L$21:$L$95,MATCH(LARGE($N$21:$N$95,65),$N$21:$N$95,0))),"")</f>
        <v>CVX</v>
      </c>
      <c r="E85" s="153" t="str">
        <f>IFERROR(INDEX(계좌현황!E:E,INDEX($L$21:$L$95,MATCH(LARGE($N$21:$N$95,65),$N$21:$N$95,0))),"")</f>
        <v>셰브론</v>
      </c>
      <c r="F85" s="180">
        <f>IFERROR(INDEX(계좌현황!F:F,INDEX($L$21:$L$95,MATCH(LARGE($N$21:$N$95,65),$N$21:$N$95,0))),"")</f>
        <v>1</v>
      </c>
      <c r="G85" s="181">
        <f>IFERROR(INDEX(계좌현황!K:K,INDEX($L$21:$L$95,MATCH(LARGE($N$21:$N$95,65),$N$21:$N$95,0))),0)</f>
        <v>301478.02271438594</v>
      </c>
      <c r="H85" s="182">
        <f t="shared" ref="H85:H116" si="7">IF($B$3=0,0,G85/$B$3)</f>
        <v>4.047299854835776E-4</v>
      </c>
      <c r="I85" s="182">
        <f t="shared" si="6"/>
        <v>0.99797311280994438</v>
      </c>
      <c r="L85">
        <v>73</v>
      </c>
      <c r="M85">
        <f>계좌현황!K73</f>
        <v>54332</v>
      </c>
      <c r="N85">
        <f t="shared" ref="N85:N116" si="8">IF(M85="",-1E+99,M85*100000+(10000-L85))</f>
        <v>5433209927</v>
      </c>
    </row>
    <row r="86" spans="1:14" ht="13.15" x14ac:dyDescent="0.4">
      <c r="A86" s="153">
        <v>66</v>
      </c>
      <c r="B86" s="153" t="str">
        <f>IFERROR(INDEX(계좌현황!A:A,INDEX($L$21:$L$95,MATCH(LARGE($N$21:$N$95,66),$N$21:$N$95,0))),"")</f>
        <v>일반계좌</v>
      </c>
      <c r="C86" s="153" t="str">
        <f>IFERROR(INDEX(계좌현황!C:C,INDEX($L$21:$L$95,MATCH(LARGE($N$21:$N$95,66),$N$21:$N$95,0))),"")</f>
        <v>미국</v>
      </c>
      <c r="D86" s="153" t="str">
        <f>IFERROR(INDEX(계좌현황!D:D,INDEX($L$21:$L$95,MATCH(LARGE($N$21:$N$95,66),$N$21:$N$95,0))),"")</f>
        <v>LEU</v>
      </c>
      <c r="E86" s="153" t="str">
        <f>IFERROR(INDEX(계좌현황!E:E,INDEX($L$21:$L$95,MATCH(LARGE($N$21:$N$95,66),$N$21:$N$95,0))),"")</f>
        <v>센트러스 에너지</v>
      </c>
      <c r="F86" s="180">
        <f>IFERROR(INDEX(계좌현황!F:F,INDEX($L$21:$L$95,MATCH(LARGE($N$21:$N$95,66),$N$21:$N$95,0))),"")</f>
        <v>2</v>
      </c>
      <c r="G86" s="181">
        <f>IFERROR(INDEX(계좌현황!K:K,INDEX($L$21:$L$95,MATCH(LARGE($N$21:$N$95,66),$N$21:$N$95,0))),0)</f>
        <v>281067.48</v>
      </c>
      <c r="H86" s="182">
        <f t="shared" si="7"/>
        <v>3.7732912029901509E-4</v>
      </c>
      <c r="I86" s="182">
        <f t="shared" ref="I86:I117" si="9">I85+H86</f>
        <v>0.99835044193024336</v>
      </c>
      <c r="L86">
        <v>74</v>
      </c>
      <c r="M86">
        <f>계좌현황!K74</f>
        <v>0</v>
      </c>
      <c r="N86">
        <f t="shared" si="8"/>
        <v>9926</v>
      </c>
    </row>
    <row r="87" spans="1:14" ht="13.15" x14ac:dyDescent="0.4">
      <c r="A87" s="153">
        <v>67</v>
      </c>
      <c r="B87" s="153" t="str">
        <f>IFERROR(INDEX(계좌현황!A:A,INDEX($L$21:$L$95,MATCH(LARGE($N$21:$N$95,67),$N$21:$N$95,0))),"")</f>
        <v>일반계좌</v>
      </c>
      <c r="C87" s="153" t="str">
        <f>IFERROR(INDEX(계좌현황!C:C,INDEX($L$21:$L$95,MATCH(LARGE($N$21:$N$95,67),$N$21:$N$95,0))),"")</f>
        <v>미국</v>
      </c>
      <c r="D87" s="153" t="str">
        <f>IFERROR(INDEX(계좌현황!D:D,INDEX($L$21:$L$95,MATCH(LARGE($N$21:$N$95,67),$N$21:$N$95,0))),"")</f>
        <v>SBUX</v>
      </c>
      <c r="E87" s="153" t="str">
        <f>IFERROR(INDEX(계좌현황!E:E,INDEX($L$21:$L$95,MATCH(LARGE($N$21:$N$95,67),$N$21:$N$95,0))),"")</f>
        <v>스타벅스</v>
      </c>
      <c r="F87" s="180">
        <f>IFERROR(INDEX(계좌현황!F:F,INDEX($L$21:$L$95,MATCH(LARGE($N$21:$N$95,67),$N$21:$N$95,0))),"")</f>
        <v>2</v>
      </c>
      <c r="G87" s="181">
        <f>IFERROR(INDEX(계좌현황!K:K,INDEX($L$21:$L$95,MATCH(LARGE($N$21:$N$95,67),$N$21:$N$95,0))),0)</f>
        <v>263832.21000000002</v>
      </c>
      <c r="H87" s="182">
        <f t="shared" si="7"/>
        <v>3.5419101386558496E-4</v>
      </c>
      <c r="I87" s="182">
        <f t="shared" si="9"/>
        <v>0.99870463294410894</v>
      </c>
      <c r="L87">
        <v>75</v>
      </c>
      <c r="M87">
        <f>계좌현황!K75</f>
        <v>40325031</v>
      </c>
      <c r="N87">
        <f t="shared" si="8"/>
        <v>4032503109925</v>
      </c>
    </row>
    <row r="88" spans="1:14" ht="13.15" x14ac:dyDescent="0.4">
      <c r="A88" s="153">
        <v>68</v>
      </c>
      <c r="B88" s="153" t="str">
        <f>IFERROR(INDEX(계좌현황!A:A,INDEX($L$21:$L$95,MATCH(LARGE($N$21:$N$95,68),$N$21:$N$95,0))),"")</f>
        <v>TOSS</v>
      </c>
      <c r="C88" s="153" t="str">
        <f>IFERROR(INDEX(계좌현황!C:C,INDEX($L$21:$L$95,MATCH(LARGE($N$21:$N$95,68),$N$21:$N$95,0))),"")</f>
        <v>미국</v>
      </c>
      <c r="D88" s="153" t="str">
        <f>IFERROR(INDEX(계좌현황!D:D,INDEX($L$21:$L$95,MATCH(LARGE($N$21:$N$95,68),$N$21:$N$95,0))),"")</f>
        <v>XOM</v>
      </c>
      <c r="E88" s="153" t="str">
        <f>IFERROR(INDEX(계좌현황!E:E,INDEX($L$21:$L$95,MATCH(LARGE($N$21:$N$95,68),$N$21:$N$95,0))),"")</f>
        <v>엑슨모빌</v>
      </c>
      <c r="F88" s="180">
        <f>IFERROR(INDEX(계좌현황!F:F,INDEX($L$21:$L$95,MATCH(LARGE($N$21:$N$95,68),$N$21:$N$95,0))),"")</f>
        <v>1</v>
      </c>
      <c r="G88" s="181">
        <f>IFERROR(INDEX(계좌현황!K:K,INDEX($L$21:$L$95,MATCH(LARGE($N$21:$N$95,68),$N$21:$N$95,0))),0)</f>
        <v>236607.10749481196</v>
      </c>
      <c r="H88" s="182">
        <f t="shared" si="7"/>
        <v>3.1764169845444913E-4</v>
      </c>
      <c r="I88" s="182">
        <f t="shared" si="9"/>
        <v>0.99902227464256343</v>
      </c>
      <c r="L88">
        <v>76</v>
      </c>
      <c r="M88">
        <f>계좌현황!K76</f>
        <v>11560640</v>
      </c>
      <c r="N88">
        <f t="shared" si="8"/>
        <v>1156064009924</v>
      </c>
    </row>
    <row r="89" spans="1:14" ht="13.15" x14ac:dyDescent="0.4">
      <c r="A89" s="153">
        <v>69</v>
      </c>
      <c r="B89" s="153" t="str">
        <f>IFERROR(INDEX(계좌현황!A:A,INDEX($L$21:$L$95,MATCH(LARGE($N$21:$N$95,69),$N$21:$N$95,0))),"")</f>
        <v>일반계좌</v>
      </c>
      <c r="C89" s="153" t="str">
        <f>IFERROR(INDEX(계좌현황!C:C,INDEX($L$21:$L$95,MATCH(LARGE($N$21:$N$95,69),$N$21:$N$95,0))),"")</f>
        <v>한국</v>
      </c>
      <c r="D89" s="153" t="str">
        <f>IFERROR(INDEX(계좌현황!D:D,INDEX($L$21:$L$95,MATCH(LARGE($N$21:$N$95,69),$N$21:$N$95,0))),"")</f>
        <v>475560</v>
      </c>
      <c r="E89" s="153" t="str">
        <f>IFERROR(INDEX(계좌현황!E:E,INDEX($L$21:$L$95,MATCH(LARGE($N$21:$N$95,69),$N$21:$N$95,0))),"")</f>
        <v>더본코리아</v>
      </c>
      <c r="F89" s="180">
        <f>IFERROR(INDEX(계좌현황!F:F,INDEX($L$21:$L$95,MATCH(LARGE($N$21:$N$95,69),$N$21:$N$95,0))),"")</f>
        <v>15</v>
      </c>
      <c r="G89" s="181">
        <f>IFERROR(INDEX(계좌현황!K:K,INDEX($L$21:$L$95,MATCH(LARGE($N$21:$N$95,69),$N$21:$N$95,0))),0)</f>
        <v>216300</v>
      </c>
      <c r="H89" s="182">
        <f t="shared" si="7"/>
        <v>2.9037969359058178E-4</v>
      </c>
      <c r="I89" s="182">
        <f t="shared" si="9"/>
        <v>0.99931265433615402</v>
      </c>
      <c r="L89">
        <v>77</v>
      </c>
      <c r="M89">
        <f>계좌현황!K77</f>
        <v>9804000</v>
      </c>
      <c r="N89">
        <f t="shared" si="8"/>
        <v>980400009923</v>
      </c>
    </row>
    <row r="90" spans="1:14" ht="13.15" x14ac:dyDescent="0.4">
      <c r="A90" s="153">
        <v>70</v>
      </c>
      <c r="B90" s="153" t="str">
        <f>IFERROR(INDEX(계좌현황!A:A,INDEX($L$21:$L$95,MATCH(LARGE($N$21:$N$95,70),$N$21:$N$95,0))),"")</f>
        <v>일반계좌</v>
      </c>
      <c r="C90" s="153" t="str">
        <f>IFERROR(INDEX(계좌현황!C:C,INDEX($L$21:$L$95,MATCH(LARGE($N$21:$N$95,70),$N$21:$N$95,0))),"")</f>
        <v>미국</v>
      </c>
      <c r="D90" s="153" t="str">
        <f>IFERROR(INDEX(계좌현황!D:D,INDEX($L$21:$L$95,MATCH(LARGE($N$21:$N$95,70),$N$21:$N$95,0))),"")</f>
        <v>JOBY</v>
      </c>
      <c r="E90" s="153" t="str">
        <f>IFERROR(INDEX(계좌현황!E:E,INDEX($L$21:$L$95,MATCH(LARGE($N$21:$N$95,70),$N$21:$N$95,0))),"")</f>
        <v>조비에비에이션</v>
      </c>
      <c r="F90" s="180">
        <f>IFERROR(INDEX(계좌현황!F:F,INDEX($L$21:$L$95,MATCH(LARGE($N$21:$N$95,70),$N$21:$N$95,0))),"")</f>
        <v>34</v>
      </c>
      <c r="G90" s="181">
        <f>IFERROR(INDEX(계좌현황!K:K,INDEX($L$21:$L$95,MATCH(LARGE($N$21:$N$95,70),$N$21:$N$95,0))),0)</f>
        <v>209607.40329886434</v>
      </c>
      <c r="H90" s="182">
        <f t="shared" si="7"/>
        <v>2.8139497708849618E-4</v>
      </c>
      <c r="I90" s="182">
        <f t="shared" si="9"/>
        <v>0.99959404931324247</v>
      </c>
      <c r="L90">
        <v>78</v>
      </c>
      <c r="M90">
        <f>계좌현황!K78</f>
        <v>9725530</v>
      </c>
      <c r="N90">
        <f t="shared" si="8"/>
        <v>972553009922</v>
      </c>
    </row>
    <row r="91" spans="1:14" ht="13.15" x14ac:dyDescent="0.4">
      <c r="A91" s="153">
        <v>71</v>
      </c>
      <c r="B91" s="153" t="str">
        <f>IFERROR(INDEX(계좌현황!A:A,INDEX($L$21:$L$95,MATCH(LARGE($N$21:$N$95,71),$N$21:$N$95,0))),"")</f>
        <v>일반계좌</v>
      </c>
      <c r="C91" s="153" t="str">
        <f>IFERROR(INDEX(계좌현황!C:C,INDEX($L$21:$L$95,MATCH(LARGE($N$21:$N$95,71),$N$21:$N$95,0))),"")</f>
        <v>미국</v>
      </c>
      <c r="D91" s="153" t="str">
        <f>IFERROR(INDEX(계좌현황!D:D,INDEX($L$21:$L$95,MATCH(LARGE($N$21:$N$95,71),$N$21:$N$95,0))),"")</f>
        <v>SMR</v>
      </c>
      <c r="E91" s="153" t="str">
        <f>IFERROR(INDEX(계좌현황!E:E,INDEX($L$21:$L$95,MATCH(LARGE($N$21:$N$95,71),$N$21:$N$95,0))),"")</f>
        <v>누스케일파워</v>
      </c>
      <c r="F91" s="180">
        <f>IFERROR(INDEX(계좌현황!F:F,INDEX($L$21:$L$95,MATCH(LARGE($N$21:$N$95,71),$N$21:$N$95,0))),"")</f>
        <v>20</v>
      </c>
      <c r="G91" s="181">
        <f>IFERROR(INDEX(계좌현황!K:K,INDEX($L$21:$L$95,MATCH(LARGE($N$21:$N$95,71),$N$21:$N$95,0))),0)</f>
        <v>141461.79401149749</v>
      </c>
      <c r="H91" s="182">
        <f t="shared" si="7"/>
        <v>1.8991045954615181E-4</v>
      </c>
      <c r="I91" s="182">
        <f t="shared" si="9"/>
        <v>0.99978395977278867</v>
      </c>
      <c r="L91">
        <v>79</v>
      </c>
      <c r="M91">
        <f>계좌현황!K79</f>
        <v>7929840</v>
      </c>
      <c r="N91">
        <f t="shared" si="8"/>
        <v>792984009921</v>
      </c>
    </row>
    <row r="92" spans="1:14" ht="13.15" x14ac:dyDescent="0.4">
      <c r="A92" s="153">
        <v>72</v>
      </c>
      <c r="B92" s="153" t="str">
        <f>IFERROR(INDEX(계좌현황!A:A,INDEX($L$21:$L$95,MATCH(LARGE($N$21:$N$95,72),$N$21:$N$95,0))),"")</f>
        <v>일반계좌</v>
      </c>
      <c r="C92" s="153" t="str">
        <f>IFERROR(INDEX(계좌현황!C:C,INDEX($L$21:$L$95,MATCH(LARGE($N$21:$N$95,72),$N$21:$N$95,0))),"")</f>
        <v>미국</v>
      </c>
      <c r="D92" s="153" t="str">
        <f>IFERROR(INDEX(계좌현황!D:D,INDEX($L$21:$L$95,MATCH(LARGE($N$21:$N$95,72),$N$21:$N$95,0))),"")</f>
        <v>OKLO</v>
      </c>
      <c r="E92" s="153" t="str">
        <f>IFERROR(INDEX(계좌현황!E:E,INDEX($L$21:$L$95,MATCH(LARGE($N$21:$N$95,72),$N$21:$N$95,0))),"")</f>
        <v>오클로</v>
      </c>
      <c r="F92" s="180">
        <f>IFERROR(INDEX(계좌현황!F:F,INDEX($L$21:$L$95,MATCH(LARGE($N$21:$N$95,72),$N$21:$N$95,0))),"")</f>
        <v>3</v>
      </c>
      <c r="G92" s="181">
        <f>IFERROR(INDEX(계좌현황!K:K,INDEX($L$21:$L$95,MATCH(LARGE($N$21:$N$95,72),$N$21:$N$95,0))),0)</f>
        <v>106593.51296550751</v>
      </c>
      <c r="H92" s="182">
        <f t="shared" si="7"/>
        <v>1.4310028494529716E-4</v>
      </c>
      <c r="I92" s="182">
        <f t="shared" si="9"/>
        <v>0.99992706005773402</v>
      </c>
      <c r="L92">
        <v>80</v>
      </c>
      <c r="M92">
        <f>계좌현황!K80</f>
        <v>13435000</v>
      </c>
      <c r="N92">
        <f t="shared" si="8"/>
        <v>1343500009920</v>
      </c>
    </row>
    <row r="93" spans="1:14" ht="13.15" x14ac:dyDescent="0.4">
      <c r="A93" s="153">
        <v>73</v>
      </c>
      <c r="B93" s="153" t="str">
        <f>IFERROR(INDEX(계좌현황!A:A,INDEX($L$21:$L$95,MATCH(LARGE($N$21:$N$95,73),$N$21:$N$95,0))),"")</f>
        <v>일반계좌</v>
      </c>
      <c r="C93" s="153">
        <f>IFERROR(INDEX(계좌현황!C:C,INDEX($L$21:$L$95,MATCH(LARGE($N$21:$N$95,73),$N$21:$N$95,0))),"")</f>
        <v>0</v>
      </c>
      <c r="D93" s="153" t="str">
        <f>IFERROR(INDEX(계좌현황!D:D,INDEX($L$21:$L$95,MATCH(LARGE($N$21:$N$95,73),$N$21:$N$95,0))),"")</f>
        <v>현금</v>
      </c>
      <c r="E93" s="153" t="str">
        <f>IFERROR(INDEX(계좌현황!E:E,INDEX($L$21:$L$95,MATCH(LARGE($N$21:$N$95,73),$N$21:$N$95,0))),"")</f>
        <v>미래에셋현금성자산</v>
      </c>
      <c r="F93" s="180">
        <f>IFERROR(INDEX(계좌현황!F:F,INDEX($L$21:$L$95,MATCH(LARGE($N$21:$N$95,73),$N$21:$N$95,0))),"")</f>
        <v>1</v>
      </c>
      <c r="G93" s="181">
        <f>IFERROR(INDEX(계좌현황!K:K,INDEX($L$21:$L$95,MATCH(LARGE($N$21:$N$95,73),$N$21:$N$95,0))),0)</f>
        <v>54332</v>
      </c>
      <c r="H93" s="182">
        <f t="shared" si="7"/>
        <v>7.2939942266128012E-5</v>
      </c>
      <c r="I93" s="182">
        <f t="shared" si="9"/>
        <v>1.0000000000000002</v>
      </c>
      <c r="L93">
        <v>81</v>
      </c>
      <c r="M93">
        <f>계좌현황!K81</f>
        <v>301478.02271438594</v>
      </c>
      <c r="N93">
        <f t="shared" si="8"/>
        <v>30147812190.438595</v>
      </c>
    </row>
    <row r="94" spans="1:14" ht="13.15" x14ac:dyDescent="0.4">
      <c r="A94" s="156">
        <v>74</v>
      </c>
      <c r="B94" s="156" t="str">
        <f>IFERROR(INDEX(계좌현황!A:A,INDEX($L$21:$L$95,MATCH(LARGE($N$21:$N$95,74),$N$21:$N$95,0))),"")</f>
        <v>일반계좌</v>
      </c>
      <c r="C94" s="156">
        <f>IFERROR(INDEX(계좌현황!C:C,INDEX($L$21:$L$95,MATCH(LARGE($N$21:$N$95,74),$N$21:$N$95,0))),"")</f>
        <v>0</v>
      </c>
      <c r="D94" s="156" t="str">
        <f>IFERROR(INDEX(계좌현황!D:D,INDEX($L$21:$L$95,MATCH(LARGE($N$21:$N$95,74),$N$21:$N$95,0))),"")</f>
        <v>현금</v>
      </c>
      <c r="E94" s="156" t="str">
        <f>IFERROR(INDEX(계좌현황!E:E,INDEX($L$21:$L$95,MATCH(LARGE($N$21:$N$95,74),$N$21:$N$95,0))),"")</f>
        <v>CMA RP</v>
      </c>
      <c r="F94" s="192">
        <f>IFERROR(INDEX(계좌현황!F:F,INDEX($L$21:$L$95,MATCH(LARGE($N$21:$N$95,74),$N$21:$N$95,0))),"")</f>
        <v>1</v>
      </c>
      <c r="G94" s="193">
        <f>IFERROR(INDEX(계좌현황!K:K,INDEX($L$21:$L$95,MATCH(LARGE($N$21:$N$95,74),$N$21:$N$95,0))),0)</f>
        <v>0</v>
      </c>
      <c r="H94" s="194">
        <f t="shared" si="7"/>
        <v>0</v>
      </c>
      <c r="I94" s="194">
        <f t="shared" si="9"/>
        <v>1.0000000000000002</v>
      </c>
      <c r="L94">
        <v>82</v>
      </c>
      <c r="M94">
        <f>계좌현황!K82</f>
        <v>236607.10749481196</v>
      </c>
      <c r="N94">
        <f t="shared" si="8"/>
        <v>23660720667.481197</v>
      </c>
    </row>
    <row r="95" spans="1:14" ht="13.15" x14ac:dyDescent="0.4">
      <c r="A95" s="162">
        <v>75</v>
      </c>
      <c r="B95" s="162" t="str">
        <f>IFERROR(INDEX(계좌현황!A:A,INDEX($L$21:$L$95,MATCH(LARGE($N$21:$N$95,75),$N$21:$N$95,0))),"")</f>
        <v>일반계좌</v>
      </c>
      <c r="C95" s="162">
        <f>IFERROR(INDEX(계좌현황!C:C,INDEX($L$21:$L$95,MATCH(LARGE($N$21:$N$95,75),$N$21:$N$95,0))),"")</f>
        <v>0</v>
      </c>
      <c r="D95" s="162" t="str">
        <f>IFERROR(INDEX(계좌현황!D:D,INDEX($L$21:$L$95,MATCH(LARGE($N$21:$N$95,75),$N$21:$N$95,0))),"")</f>
        <v>현금</v>
      </c>
      <c r="E95" s="162" t="str">
        <f>IFERROR(INDEX(계좌현황!E:E,INDEX($L$21:$L$95,MATCH(LARGE($N$21:$N$95,75),$N$21:$N$95,0))),"")</f>
        <v>예수금(직투달러)</v>
      </c>
      <c r="F95" s="195">
        <f>IFERROR(INDEX(계좌현황!F:F,INDEX($L$21:$L$95,MATCH(LARGE($N$21:$N$95,75),$N$21:$N$95,0))),"")</f>
        <v>1</v>
      </c>
      <c r="G95" s="196">
        <f>IFERROR(INDEX(계좌현황!K:K,INDEX($L$21:$L$95,MATCH(LARGE($N$21:$N$95,75),$N$21:$N$95,0))),0)</f>
        <v>0</v>
      </c>
      <c r="H95" s="197">
        <f t="shared" si="7"/>
        <v>0</v>
      </c>
      <c r="I95" s="197">
        <f t="shared" si="9"/>
        <v>1.0000000000000002</v>
      </c>
      <c r="L95">
        <v>83</v>
      </c>
      <c r="M95">
        <f>계좌현황!K83</f>
        <v>313469.79083679192</v>
      </c>
      <c r="N95">
        <f t="shared" si="8"/>
        <v>31346989000.679192</v>
      </c>
    </row>
    <row r="96" spans="1:14" ht="13.15" x14ac:dyDescent="0.4">
      <c r="E96" s="139" t="s">
        <v>208</v>
      </c>
      <c r="G96" s="198">
        <f>SUM(G21:G95)</f>
        <v>744886797.43897736</v>
      </c>
      <c r="H96" s="199">
        <f>SUM(H21:H95)</f>
        <v>1.0000000000000002</v>
      </c>
    </row>
    <row r="99" spans="1:8" ht="17.649999999999999" x14ac:dyDescent="0.5">
      <c r="A99" s="211" t="s">
        <v>209</v>
      </c>
      <c r="B99" s="210"/>
      <c r="C99" s="210"/>
      <c r="D99" s="210"/>
      <c r="E99" s="210"/>
      <c r="F99" s="210"/>
      <c r="G99" s="210"/>
      <c r="H99" s="210"/>
    </row>
  </sheetData>
  <autoFilter ref="A20:I95" xr:uid="{00000000-0009-0000-0000-000001000000}"/>
  <mergeCells count="4">
    <mergeCell ref="A99:H99"/>
    <mergeCell ref="A19:H19"/>
    <mergeCell ref="A2:H2"/>
    <mergeCell ref="A1:H1"/>
  </mergeCells>
  <phoneticPr fontId="10" type="noConversion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C13:C25"/>
  <sheetViews>
    <sheetView workbookViewId="0"/>
  </sheetViews>
  <sheetFormatPr defaultColWidth="12.59765625" defaultRowHeight="15.75" customHeight="1" x14ac:dyDescent="0.35"/>
  <sheetData>
    <row r="13" spans="3:3" x14ac:dyDescent="0.35">
      <c r="C13" s="6"/>
    </row>
    <row r="24" spans="3:3" x14ac:dyDescent="0.35">
      <c r="C24" s="15" t="s">
        <v>210</v>
      </c>
    </row>
    <row r="25" spans="3:3" x14ac:dyDescent="0.35">
      <c r="C25" s="6" t="s">
        <v>211</v>
      </c>
    </row>
  </sheetData>
  <phoneticPr fontId="10" type="noConversion"/>
  <hyperlinks>
    <hyperlink ref="C24" r:id="rId1" xr:uid="{00000000-0004-0000-0200-000000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G932"/>
  <sheetViews>
    <sheetView showGridLines="0" workbookViewId="0"/>
  </sheetViews>
  <sheetFormatPr defaultColWidth="12.59765625" defaultRowHeight="15.75" customHeight="1" outlineLevelRow="1" outlineLevelCol="1" x14ac:dyDescent="0.35"/>
  <cols>
    <col min="1" max="1" width="9" customWidth="1"/>
    <col min="2" max="5" width="12.59765625" customWidth="1" outlineLevel="1"/>
    <col min="6" max="6" width="11.1328125" customWidth="1" outlineLevel="1"/>
    <col min="7" max="7" width="15" customWidth="1"/>
    <col min="8" max="8" width="16.265625" customWidth="1"/>
    <col min="14" max="16" width="4.3984375" customWidth="1"/>
    <col min="21" max="33" width="12.59765625" customWidth="1" outlineLevel="1"/>
  </cols>
  <sheetData>
    <row r="1" spans="1:33" ht="12.75" customHeight="1" x14ac:dyDescent="0.3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 spans="1:33" ht="12.75" customHeight="1" outlineLevel="1" x14ac:dyDescent="0.35">
      <c r="A2" s="5"/>
      <c r="B2" s="5"/>
      <c r="C2" s="5"/>
      <c r="D2" s="5"/>
      <c r="E2" s="5"/>
      <c r="F2" s="5"/>
      <c r="G2" s="16"/>
      <c r="H2" s="17"/>
      <c r="I2" s="18"/>
      <c r="J2" s="18"/>
      <c r="K2" s="18"/>
      <c r="L2" s="18"/>
      <c r="M2" s="18"/>
      <c r="N2" s="5"/>
      <c r="O2" s="5"/>
      <c r="P2" s="5"/>
      <c r="Q2" s="7" t="s">
        <v>212</v>
      </c>
      <c r="R2" s="7" t="s">
        <v>213</v>
      </c>
      <c r="S2" s="7" t="s">
        <v>214</v>
      </c>
      <c r="T2" s="5"/>
      <c r="U2" s="7" t="s">
        <v>215</v>
      </c>
      <c r="V2" s="7" t="s">
        <v>216</v>
      </c>
      <c r="W2" s="7" t="s">
        <v>217</v>
      </c>
      <c r="X2" s="5"/>
      <c r="Y2" s="5"/>
      <c r="Z2" s="5"/>
      <c r="AA2" s="5"/>
      <c r="AB2" s="5"/>
      <c r="AC2" s="5"/>
      <c r="AD2" s="5"/>
      <c r="AE2" s="5"/>
      <c r="AF2" s="5"/>
      <c r="AG2" s="5"/>
    </row>
    <row r="3" spans="1:33" ht="24.75" customHeight="1" x14ac:dyDescent="0.35">
      <c r="A3" s="5"/>
      <c r="B3" s="5"/>
      <c r="C3" s="5"/>
      <c r="D3" s="5"/>
      <c r="E3" s="5"/>
      <c r="F3" s="5"/>
      <c r="G3" s="11" t="s">
        <v>218</v>
      </c>
      <c r="H3" s="19" t="s">
        <v>219</v>
      </c>
      <c r="I3" s="19" t="s">
        <v>220</v>
      </c>
      <c r="J3" s="19" t="s">
        <v>221</v>
      </c>
      <c r="K3" s="20" t="s">
        <v>40</v>
      </c>
      <c r="L3" s="20" t="s">
        <v>222</v>
      </c>
      <c r="M3" s="20" t="s">
        <v>223</v>
      </c>
      <c r="N3" s="5"/>
      <c r="O3" s="5"/>
      <c r="P3" s="5"/>
      <c r="Q3" s="10" t="s">
        <v>220</v>
      </c>
      <c r="R3" s="19" t="s">
        <v>221</v>
      </c>
      <c r="S3" s="20" t="s">
        <v>40</v>
      </c>
      <c r="T3" s="5"/>
      <c r="U3" s="21" t="s">
        <v>222</v>
      </c>
      <c r="V3" s="21" t="s">
        <v>224</v>
      </c>
      <c r="W3" s="21" t="s">
        <v>225</v>
      </c>
      <c r="X3" s="19" t="s">
        <v>226</v>
      </c>
      <c r="Y3" s="20" t="s">
        <v>227</v>
      </c>
      <c r="Z3" s="20" t="s">
        <v>228</v>
      </c>
      <c r="AA3" s="20" t="s">
        <v>229</v>
      </c>
      <c r="AB3" s="21"/>
      <c r="AC3" s="19" t="s">
        <v>225</v>
      </c>
      <c r="AD3" s="19" t="s">
        <v>226</v>
      </c>
      <c r="AE3" s="19" t="s">
        <v>227</v>
      </c>
      <c r="AF3" s="20" t="s">
        <v>228</v>
      </c>
      <c r="AG3" s="20" t="s">
        <v>229</v>
      </c>
    </row>
    <row r="4" spans="1:33" ht="12.75" customHeight="1" x14ac:dyDescent="0.35">
      <c r="A4" s="5"/>
      <c r="B4" s="22">
        <f>VALUE(MID(G4,1,2))</f>
        <v>17</v>
      </c>
      <c r="C4" s="22">
        <f>VALUE(MID(G4,4,2))</f>
        <v>12</v>
      </c>
      <c r="D4" s="22" t="str">
        <f>IF(F4="12월",(E4+1)&amp;VLOOKUP(F4,인덱스!$C:$D,2,0),E4&amp;VLOOKUP(F4,인덱스!$C:$D,2,0))</f>
        <v>20181</v>
      </c>
      <c r="E4" s="5" t="str">
        <f>"20"&amp;MID(G4,1,2)</f>
        <v>2017</v>
      </c>
      <c r="F4" s="5" t="str">
        <f>VLOOKUP(RIGHT(G4,2),인덱스!B:D,2,0)</f>
        <v>12월</v>
      </c>
      <c r="G4" s="46">
        <v>17.12</v>
      </c>
      <c r="H4" s="23">
        <v>0</v>
      </c>
      <c r="I4" s="24">
        <v>100</v>
      </c>
      <c r="J4" s="24">
        <v>100</v>
      </c>
      <c r="K4" s="25">
        <v>100</v>
      </c>
      <c r="L4" s="25">
        <v>100</v>
      </c>
      <c r="M4" s="25">
        <v>100</v>
      </c>
      <c r="N4" s="5"/>
      <c r="O4" s="5"/>
      <c r="P4" s="5"/>
      <c r="Q4" s="26">
        <f ca="1">IFERROR(__xludf.DUMMYFUNCTION("iferror(index('지수RAW'!$V$7:$V$12040,MATCH($D4,'지수RAW'!$R$7:$R$12040,0)-1,1),GOOGLEFINANCE(Q$2))"),2467.49)</f>
        <v>2467.4899999999998</v>
      </c>
      <c r="R4" s="27">
        <f ca="1">IFERROR(__xludf.DUMMYFUNCTION("iferror(index('지수RAW'!$F$7:$F$12040,MATCH($D4,'지수RAW'!$B$7:$B$12040,0)-1,1),GOOGLEFINANCE(R$2))"),2673.61)</f>
        <v>2673.61</v>
      </c>
      <c r="S4" s="28">
        <f ca="1">IFERROR(__xludf.DUMMYFUNCTION("iferror(index('지수RAW'!$N$7:$N$12040,MATCH($D4,'지수RAW'!$J$7:$J$12040,0)-1,1),GOOGLEFINANCE(S$2))"),6903.39)</f>
        <v>6903.39</v>
      </c>
      <c r="T4" s="5"/>
      <c r="U4" s="29">
        <f t="array" aca="1" ref="U4" ca="1">IFERROR(INDEX(지수RAW!$AT$7:$AT$12040,MATCH($D4,지수RAW!$AP$7:$AP$12040,0)-1,1),지수RAW!$AU$4)</f>
        <v>1309.3</v>
      </c>
      <c r="V4" s="29">
        <f ca="1">IFERROR(__xludf.DUMMYFUNCTION("iferror(index('지수RAW'!$AL$7:$AL$12040,MATCH($D4,'지수RAW'!$AH$7:$AH$12040,0)-1,1),GOOGLEFINANCE(V$2))"),13880.99)</f>
        <v>13880.99</v>
      </c>
      <c r="W4" s="30">
        <f ca="1">IFERROR(__xludf.DUMMYFUNCTION("iferror(index('지수RAW'!$AD$7:$AD$12040,MATCH($D4,'지수RAW'!$Z$7:$Z$12040,0)-1,1),GOOGLEFINANCE(W$2))"),1066.07)</f>
        <v>1066.07</v>
      </c>
      <c r="X4" s="31">
        <f t="shared" ref="X4:X35" ca="1" si="0">$W4*R4</f>
        <v>2850255.4126999998</v>
      </c>
      <c r="Y4" s="31">
        <f t="shared" ref="Y4:Y35" ca="1" si="1">$W4*S4</f>
        <v>7359496.9772999994</v>
      </c>
      <c r="Z4" s="31">
        <f t="shared" ref="Z4:Z35" ca="1" si="2">$W4*U4</f>
        <v>1395805.4509999999</v>
      </c>
      <c r="AA4" s="31">
        <f t="shared" ref="AA4:AA35" ca="1" si="3">$W4*V4</f>
        <v>14798107.009299999</v>
      </c>
      <c r="AB4" s="32"/>
      <c r="AC4" s="24">
        <v>100</v>
      </c>
      <c r="AD4" s="24">
        <v>100</v>
      </c>
      <c r="AE4" s="24">
        <v>100</v>
      </c>
      <c r="AF4" s="24">
        <v>100</v>
      </c>
      <c r="AG4" s="24">
        <v>100</v>
      </c>
    </row>
    <row r="5" spans="1:33" ht="12.75" customHeight="1" x14ac:dyDescent="0.35">
      <c r="A5" s="5"/>
      <c r="B5" s="22">
        <f t="shared" ref="B5:B36" si="4">IF(C4=12,B4+1,B4)</f>
        <v>18</v>
      </c>
      <c r="C5" s="22">
        <f t="shared" ref="C5:C36" si="5">IF(C4=12,1,C4+1)</f>
        <v>1</v>
      </c>
      <c r="D5" s="22" t="str">
        <f>IF(F5="12월",(E5+1)&amp;VLOOKUP(F5,인덱스!$C:$D,2,0),E5&amp;VLOOKUP(F5,인덱스!$C:$D,2,0))</f>
        <v>20182</v>
      </c>
      <c r="E5" s="5" t="str">
        <f t="shared" ref="E5:E36" si="6">"20"&amp;B5</f>
        <v>2018</v>
      </c>
      <c r="F5" s="5" t="str">
        <f t="shared" ref="F5:F36" si="7">C5&amp;"월"</f>
        <v>1월</v>
      </c>
      <c r="G5" s="33" t="str">
        <f>B5&amp;"."&amp;VLOOKUP(F5,인덱스!$A:$B,2,0)</f>
        <v>18.01</v>
      </c>
      <c r="H5" s="34">
        <f>IFERROR(VLOOKUP(G5,#REF!,2,0),)</f>
        <v>0</v>
      </c>
      <c r="I5" s="18">
        <f t="shared" ref="I5:I36" ca="1" si="8">IF(Q5="","",I4*(Q5/Q4))</f>
        <v>104.0109585043911</v>
      </c>
      <c r="J5" s="18">
        <f t="shared" ref="J5:J36" ca="1" si="9">IF(R5="","",J4*(R5/R4))</f>
        <v>105.61787246457037</v>
      </c>
      <c r="K5" s="35">
        <f t="shared" ref="K5:K36" ca="1" si="10">IF(S5="","",K4*(S5/S4))</f>
        <v>107.36000718487581</v>
      </c>
      <c r="L5" s="35">
        <f t="shared" ref="L5:L36" ca="1" si="11">IF(U5="","",L4*(U5/U4))</f>
        <v>102.58153211639807</v>
      </c>
      <c r="M5" s="35">
        <f t="shared" ref="M5:M36" ca="1" si="12">IF(V5="","",M4*(V5/V4))</f>
        <v>72.203135367146004</v>
      </c>
      <c r="N5" s="5"/>
      <c r="O5" s="5"/>
      <c r="P5" s="5"/>
      <c r="Q5" s="8">
        <f ca="1">IFERROR(__xludf.DUMMYFUNCTION("iferror(index('지수RAW'!$V$7:$V$12040,MATCH($D5,'지수RAW'!$R$7:$R$12040,0)-1,1),GOOGLEFINANCE(Q$2))"),2566.46)</f>
        <v>2566.46</v>
      </c>
      <c r="R5" s="5">
        <f ca="1">IFERROR(__xludf.DUMMYFUNCTION("iferror(index('지수RAW'!$F$7:$F$12040,MATCH($D5,'지수RAW'!$B$7:$B$12040,0)-1,1),GOOGLEFINANCE(R$2))"),2823.81)</f>
        <v>2823.81</v>
      </c>
      <c r="S5" s="9">
        <f ca="1">IFERROR(__xludf.DUMMYFUNCTION("iferror(index('지수RAW'!$N$7:$N$12040,MATCH($D5,'지수RAW'!$J$7:$J$12040,0)-1,1),GOOGLEFINANCE(S$2))"),7411.48)</f>
        <v>7411.48</v>
      </c>
      <c r="T5" s="5"/>
      <c r="U5" s="29">
        <f t="array" aca="1" ref="U5" ca="1">IFERROR(INDEX(지수RAW!$AT$7:$AT$12040,MATCH($D5,지수RAW!$AP$7:$AP$12040,0)-1,1),지수RAW!$AU$4)</f>
        <v>1343.1</v>
      </c>
      <c r="V5" s="29">
        <f ca="1">IFERROR(__xludf.DUMMYFUNCTION("iferror(index('지수RAW'!$AL$7:$AL$12040,MATCH($D5,'지수RAW'!$AH$7:$AH$12040,0)-1,1),GOOGLEFINANCE(V$2))"),10022.51)</f>
        <v>10022.51</v>
      </c>
      <c r="W5" s="30">
        <f ca="1">IFERROR(__xludf.DUMMYFUNCTION("iferror(index('지수RAW'!$AD$7:$AD$12040,MATCH($D5,'지수RAW'!$Z$7:$Z$12040,0)-1,1),GOOGLEFINANCE(W$2))"),1069.02)</f>
        <v>1069.02</v>
      </c>
      <c r="X5" s="36">
        <f t="shared" ca="1" si="0"/>
        <v>3018709.3662</v>
      </c>
      <c r="Y5" s="36">
        <f t="shared" ca="1" si="1"/>
        <v>7923020.3495999994</v>
      </c>
      <c r="Z5" s="36">
        <f t="shared" ca="1" si="2"/>
        <v>1435800.7619999999</v>
      </c>
      <c r="AA5" s="36">
        <f t="shared" ca="1" si="3"/>
        <v>10714263.6402</v>
      </c>
      <c r="AB5" s="12"/>
      <c r="AC5" s="18">
        <f t="shared" ref="AC5:AC36" ca="1" si="13">IF(Q5="","",AC4*(W5/W4))</f>
        <v>100.27671728873339</v>
      </c>
      <c r="AD5" s="18">
        <f t="shared" ref="AD5:AD36" ca="1" si="14">IF(R5="","",AD4*(X5/X4))</f>
        <v>105.91013537767222</v>
      </c>
      <c r="AE5" s="18">
        <f t="shared" ref="AE5:AE36" ca="1" si="15">IF(S5="","",AE4*(Y5/Y4))</f>
        <v>107.6570908859418</v>
      </c>
      <c r="AF5" s="18">
        <f t="shared" ref="AF5:AF36" ca="1" si="16">IF(U5="","",AF4*(Z5/Z4))</f>
        <v>102.86539295081174</v>
      </c>
      <c r="AG5" s="18">
        <f t="shared" ref="AG5:AG36" ca="1" si="17">IF(V5="","",AG4*(AA5/AA4))</f>
        <v>72.402933925714478</v>
      </c>
    </row>
    <row r="6" spans="1:33" ht="12.75" customHeight="1" x14ac:dyDescent="0.35">
      <c r="A6" s="5"/>
      <c r="B6" s="22">
        <f t="shared" si="4"/>
        <v>18</v>
      </c>
      <c r="C6" s="22">
        <f t="shared" si="5"/>
        <v>2</v>
      </c>
      <c r="D6" s="22" t="str">
        <f>IF(F6="12월",(E6+1)&amp;VLOOKUP(F6,인덱스!$C:$D,2,0),E6&amp;VLOOKUP(F6,인덱스!$C:$D,2,0))</f>
        <v>20183</v>
      </c>
      <c r="E6" s="5" t="str">
        <f t="shared" si="6"/>
        <v>2018</v>
      </c>
      <c r="F6" s="5" t="str">
        <f t="shared" si="7"/>
        <v>2월</v>
      </c>
      <c r="G6" s="37" t="str">
        <f>B6&amp;"."&amp;VLOOKUP(F6,인덱스!$A:$B,2,0)</f>
        <v>18.02</v>
      </c>
      <c r="H6" s="14">
        <f>IFERROR(VLOOKUP(G6,#REF!,2,0),)</f>
        <v>0</v>
      </c>
      <c r="I6" s="38">
        <f t="shared" ca="1" si="8"/>
        <v>98.373650957045427</v>
      </c>
      <c r="J6" s="38">
        <f t="shared" ca="1" si="9"/>
        <v>101.50433309270986</v>
      </c>
      <c r="K6" s="39">
        <f t="shared" ca="1" si="10"/>
        <v>105.35418106176819</v>
      </c>
      <c r="L6" s="39">
        <f t="shared" ca="1" si="11"/>
        <v>100.65683953257466</v>
      </c>
      <c r="M6" s="39">
        <f t="shared" ca="1" si="12"/>
        <v>75.949554030368148</v>
      </c>
      <c r="N6" s="5"/>
      <c r="O6" s="5"/>
      <c r="P6" s="5"/>
      <c r="Q6" s="8">
        <f ca="1">IFERROR(__xludf.DUMMYFUNCTION("iferror(index('지수RAW'!$V$7:$V$12040,MATCH($D6,'지수RAW'!$R$7:$R$12040,0)-1,1),GOOGLEFINANCE(Q$2))"),2427.36)</f>
        <v>2427.36</v>
      </c>
      <c r="R6" s="5">
        <f ca="1">IFERROR(__xludf.DUMMYFUNCTION("iferror(index('지수RAW'!$F$7:$F$12040,MATCH($D6,'지수RAW'!$B$7:$B$12040,0)-1,1),GOOGLEFINANCE(R$2))"),2713.83)</f>
        <v>2713.83</v>
      </c>
      <c r="S6" s="9">
        <f ca="1">IFERROR(__xludf.DUMMYFUNCTION("iferror(index('지수RAW'!$N$7:$N$12040,MATCH($D6,'지수RAW'!$J$7:$J$12040,0)-1,1),GOOGLEFINANCE(S$2))"),7273.01)</f>
        <v>7273.01</v>
      </c>
      <c r="T6" s="5"/>
      <c r="U6" s="29">
        <f t="array" aca="1" ref="U6" ca="1">IFERROR(INDEX(지수RAW!$AT$7:$AT$12040,MATCH($D6,지수RAW!$AP$7:$AP$12040,0)-1,1),지수RAW!$AU$4)</f>
        <v>1317.9</v>
      </c>
      <c r="V6" s="29">
        <f ca="1">IFERROR(__xludf.DUMMYFUNCTION("iferror(index('지수RAW'!$AL$7:$AL$12040,MATCH($D6,'지수RAW'!$AH$7:$AH$12040,0)-1,1),GOOGLEFINANCE(V$2))"),10542.55)</f>
        <v>10542.55</v>
      </c>
      <c r="W6" s="30">
        <f ca="1">IFERROR(__xludf.DUMMYFUNCTION("iferror(index('지수RAW'!$AD$7:$AD$12040,MATCH($D6,'지수RAW'!$Z$7:$Z$12040,0)-1,1),GOOGLEFINANCE(W$2))"),1085.35)</f>
        <v>1085.3499999999999</v>
      </c>
      <c r="X6" s="36">
        <f t="shared" ca="1" si="0"/>
        <v>2945455.3904999997</v>
      </c>
      <c r="Y6" s="36">
        <f t="shared" ca="1" si="1"/>
        <v>7893761.4035</v>
      </c>
      <c r="Z6" s="36">
        <f t="shared" ca="1" si="2"/>
        <v>1430382.7649999999</v>
      </c>
      <c r="AA6" s="36">
        <f t="shared" ca="1" si="3"/>
        <v>11442356.642499998</v>
      </c>
      <c r="AB6" s="12"/>
      <c r="AC6" s="38">
        <f t="shared" ca="1" si="13"/>
        <v>101.8085116361965</v>
      </c>
      <c r="AD6" s="38">
        <f t="shared" ca="1" si="14"/>
        <v>103.34005076793515</v>
      </c>
      <c r="AE6" s="38">
        <f t="shared" ca="1" si="15"/>
        <v>107.25952368548982</v>
      </c>
      <c r="AF6" s="38">
        <f t="shared" ca="1" si="16"/>
        <v>102.47723018814891</v>
      </c>
      <c r="AG6" s="38">
        <f t="shared" ca="1" si="17"/>
        <v>77.32311055264671</v>
      </c>
    </row>
    <row r="7" spans="1:33" ht="12.75" customHeight="1" x14ac:dyDescent="0.35">
      <c r="A7" s="5"/>
      <c r="B7" s="22">
        <f t="shared" si="4"/>
        <v>18</v>
      </c>
      <c r="C7" s="22">
        <f t="shared" si="5"/>
        <v>3</v>
      </c>
      <c r="D7" s="22" t="str">
        <f>IF(F7="12월",(E7+1)&amp;VLOOKUP(F7,인덱스!$C:$D,2,0),E7&amp;VLOOKUP(F7,인덱스!$C:$D,2,0))</f>
        <v>20184</v>
      </c>
      <c r="E7" s="5" t="str">
        <f t="shared" si="6"/>
        <v>2018</v>
      </c>
      <c r="F7" s="5" t="str">
        <f t="shared" si="7"/>
        <v>3월</v>
      </c>
      <c r="G7" s="37" t="str">
        <f>B7&amp;"."&amp;VLOOKUP(F7,인덱스!$A:$B,2,0)</f>
        <v>18.03</v>
      </c>
      <c r="H7" s="14">
        <f>IFERROR(VLOOKUP(G7,#REF!,2,0),)</f>
        <v>0</v>
      </c>
      <c r="I7" s="38">
        <f t="shared" ca="1" si="8"/>
        <v>99.122995432605606</v>
      </c>
      <c r="J7" s="38">
        <f t="shared" ca="1" si="9"/>
        <v>98.77543845213026</v>
      </c>
      <c r="K7" s="39">
        <f t="shared" ca="1" si="10"/>
        <v>102.3185710209042</v>
      </c>
      <c r="L7" s="39">
        <f t="shared" ca="1" si="11"/>
        <v>101.37478041701674</v>
      </c>
      <c r="M7" s="39">
        <f t="shared" ca="1" si="12"/>
        <v>49.903357037214207</v>
      </c>
      <c r="N7" s="5"/>
      <c r="O7" s="5"/>
      <c r="P7" s="5"/>
      <c r="Q7" s="8">
        <f ca="1">IFERROR(__xludf.DUMMYFUNCTION("iferror(index('지수RAW'!$V$7:$V$12040,MATCH($D7,'지수RAW'!$R$7:$R$12040,0)-1,1),GOOGLEFINANCE(Q$2))"),2445.85)</f>
        <v>2445.85</v>
      </c>
      <c r="R7" s="5">
        <f ca="1">IFERROR(__xludf.DUMMYFUNCTION("iferror(index('지수RAW'!$F$7:$F$12040,MATCH($D7,'지수RAW'!$B$7:$B$12040,0)-1,1),GOOGLEFINANCE(R$2))"),2640.87)</f>
        <v>2640.87</v>
      </c>
      <c r="S7" s="9">
        <f ca="1">IFERROR(__xludf.DUMMYFUNCTION("iferror(index('지수RAW'!$N$7:$N$12040,MATCH($D7,'지수RAW'!$J$7:$J$12040,0)-1,1),GOOGLEFINANCE(S$2))"),7063.45)</f>
        <v>7063.45</v>
      </c>
      <c r="T7" s="5"/>
      <c r="U7" s="29">
        <f t="array" aca="1" ref="U7" ca="1">IFERROR(INDEX(지수RAW!$AT$7:$AT$12040,MATCH($D7,지수RAW!$AP$7:$AP$12040,0)-1,1),지수RAW!$AU$4)</f>
        <v>1327.3</v>
      </c>
      <c r="V7" s="29">
        <f ca="1">IFERROR(__xludf.DUMMYFUNCTION("iferror(index('지수RAW'!$AL$7:$AL$12040,MATCH($D7,'지수RAW'!$AH$7:$AH$12040,0)-1,1),GOOGLEFINANCE(V$2))"),6927.08)</f>
        <v>6927.08</v>
      </c>
      <c r="W7" s="30">
        <f ca="1">IFERROR(__xludf.DUMMYFUNCTION("iferror(index('지수RAW'!$AD$7:$AD$12040,MATCH($D7,'지수RAW'!$Z$7:$Z$12040,0)-1,1),GOOGLEFINANCE(W$2))"),1059.55)</f>
        <v>1059.55</v>
      </c>
      <c r="X7" s="36">
        <f t="shared" ca="1" si="0"/>
        <v>2798133.8084999998</v>
      </c>
      <c r="Y7" s="36">
        <f t="shared" ca="1" si="1"/>
        <v>7484078.4474999998</v>
      </c>
      <c r="Z7" s="36">
        <f t="shared" ca="1" si="2"/>
        <v>1406340.7149999999</v>
      </c>
      <c r="AA7" s="36">
        <f t="shared" ca="1" si="3"/>
        <v>7339587.6140000001</v>
      </c>
      <c r="AB7" s="12"/>
      <c r="AC7" s="38">
        <f t="shared" ca="1" si="13"/>
        <v>99.388407890663842</v>
      </c>
      <c r="AD7" s="38">
        <f t="shared" ca="1" si="14"/>
        <v>98.171335664594835</v>
      </c>
      <c r="AE7" s="38">
        <f t="shared" ca="1" si="15"/>
        <v>101.69279871415488</v>
      </c>
      <c r="AF7" s="38">
        <f t="shared" ca="1" si="16"/>
        <v>100.75478025912939</v>
      </c>
      <c r="AG7" s="38">
        <f t="shared" ca="1" si="17"/>
        <v>49.598152043280763</v>
      </c>
    </row>
    <row r="8" spans="1:33" ht="12.75" customHeight="1" x14ac:dyDescent="0.35">
      <c r="A8" s="5"/>
      <c r="B8" s="22">
        <f t="shared" si="4"/>
        <v>18</v>
      </c>
      <c r="C8" s="22">
        <f t="shared" si="5"/>
        <v>4</v>
      </c>
      <c r="D8" s="22" t="str">
        <f>IF(F8="12월",(E8+1)&amp;VLOOKUP(F8,인덱스!$C:$D,2,0),E8&amp;VLOOKUP(F8,인덱스!$C:$D,2,0))</f>
        <v>20185</v>
      </c>
      <c r="E8" s="5" t="str">
        <f t="shared" si="6"/>
        <v>2018</v>
      </c>
      <c r="F8" s="5" t="str">
        <f t="shared" si="7"/>
        <v>4월</v>
      </c>
      <c r="G8" s="37" t="str">
        <f>B8&amp;"."&amp;VLOOKUP(F8,인덱스!$A:$B,2,0)</f>
        <v>18.04</v>
      </c>
      <c r="H8" s="14">
        <f>IFERROR(VLOOKUP(G8,#REF!,2,0),)</f>
        <v>0</v>
      </c>
      <c r="I8" s="38">
        <f t="shared" ca="1" si="8"/>
        <v>101.94083866601285</v>
      </c>
      <c r="J8" s="38">
        <f t="shared" ca="1" si="9"/>
        <v>99.043989213086434</v>
      </c>
      <c r="K8" s="39">
        <f t="shared" ca="1" si="10"/>
        <v>102.35942051658678</v>
      </c>
      <c r="L8" s="39">
        <f t="shared" ca="1" si="11"/>
        <v>100.75612922935922</v>
      </c>
      <c r="M8" s="39">
        <f t="shared" ca="1" si="12"/>
        <v>66.50303760754818</v>
      </c>
      <c r="N8" s="5"/>
      <c r="O8" s="5"/>
      <c r="P8" s="5"/>
      <c r="Q8" s="8">
        <f ca="1">IFERROR(__xludf.DUMMYFUNCTION("iferror(index('지수RAW'!$V$7:$V$12040,MATCH($D8,'지수RAW'!$R$7:$R$12040,0)-1,1),GOOGLEFINANCE(Q$2))"),2515.38)</f>
        <v>2515.38</v>
      </c>
      <c r="R8" s="5">
        <f ca="1">IFERROR(__xludf.DUMMYFUNCTION("iferror(index('지수RAW'!$F$7:$F$12040,MATCH($D8,'지수RAW'!$B$7:$B$12040,0)-1,1),GOOGLEFINANCE(R$2))"),2648.05)</f>
        <v>2648.05</v>
      </c>
      <c r="S8" s="9">
        <f ca="1">IFERROR(__xludf.DUMMYFUNCTION("iferror(index('지수RAW'!$N$7:$N$12040,MATCH($D8,'지수RAW'!$J$7:$J$12040,0)-1,1),GOOGLEFINANCE(S$2))"),7066.27)</f>
        <v>7066.27</v>
      </c>
      <c r="T8" s="5"/>
      <c r="U8" s="29">
        <f t="array" aca="1" ref="U8" ca="1">IFERROR(INDEX(지수RAW!$AT$7:$AT$12040,MATCH($D8,지수RAW!$AP$7:$AP$12040,0)-1,1),지수RAW!$AU$4)</f>
        <v>1319.2</v>
      </c>
      <c r="V8" s="29">
        <f ca="1">IFERROR(__xludf.DUMMYFUNCTION("iferror(index('지수RAW'!$AL$7:$AL$12040,MATCH($D8,'지수RAW'!$AH$7:$AH$12040,0)-1,1),GOOGLEFINANCE(V$2))"),9231.28)</f>
        <v>9231.2800000000007</v>
      </c>
      <c r="W8" s="30">
        <f ca="1">IFERROR(__xludf.DUMMYFUNCTION("iferror(index('지수RAW'!$AD$7:$AD$12040,MATCH($D8,'지수RAW'!$Z$7:$Z$12040,0)-1,1),GOOGLEFINANCE(W$2))"),1069.45)</f>
        <v>1069.45</v>
      </c>
      <c r="X8" s="36">
        <f t="shared" ca="1" si="0"/>
        <v>2831957.0725000002</v>
      </c>
      <c r="Y8" s="36">
        <f t="shared" ca="1" si="1"/>
        <v>7557022.4515000004</v>
      </c>
      <c r="Z8" s="36">
        <f t="shared" ca="1" si="2"/>
        <v>1410818.4400000002</v>
      </c>
      <c r="AA8" s="36">
        <f t="shared" ca="1" si="3"/>
        <v>9872392.3960000016</v>
      </c>
      <c r="AB8" s="12"/>
      <c r="AC8" s="38">
        <f t="shared" ca="1" si="13"/>
        <v>100.31705235115895</v>
      </c>
      <c r="AD8" s="38">
        <f t="shared" ca="1" si="14"/>
        <v>99.358010509568118</v>
      </c>
      <c r="AE8" s="38">
        <f t="shared" ca="1" si="15"/>
        <v>102.68395346596729</v>
      </c>
      <c r="AF8" s="38">
        <f t="shared" ca="1" si="16"/>
        <v>101.07557890601763</v>
      </c>
      <c r="AG8" s="38">
        <f t="shared" ca="1" si="17"/>
        <v>66.713887051875034</v>
      </c>
    </row>
    <row r="9" spans="1:33" ht="12.75" customHeight="1" x14ac:dyDescent="0.35">
      <c r="A9" s="5"/>
      <c r="B9" s="22">
        <f t="shared" si="4"/>
        <v>18</v>
      </c>
      <c r="C9" s="22">
        <f t="shared" si="5"/>
        <v>5</v>
      </c>
      <c r="D9" s="22" t="str">
        <f>IF(F9="12월",(E9+1)&amp;VLOOKUP(F9,인덱스!$C:$D,2,0),E9&amp;VLOOKUP(F9,인덱스!$C:$D,2,0))</f>
        <v>20186</v>
      </c>
      <c r="E9" s="5" t="str">
        <f t="shared" si="6"/>
        <v>2018</v>
      </c>
      <c r="F9" s="5" t="str">
        <f t="shared" si="7"/>
        <v>5월</v>
      </c>
      <c r="G9" s="37" t="str">
        <f>B9&amp;"."&amp;VLOOKUP(F9,인덱스!$A:$B,2,0)</f>
        <v>18.05</v>
      </c>
      <c r="H9" s="14">
        <f>IFERROR(VLOOKUP(G9,#REF!,2,0),)</f>
        <v>0</v>
      </c>
      <c r="I9" s="38">
        <f t="shared" ca="1" si="8"/>
        <v>98.19735844927439</v>
      </c>
      <c r="J9" s="38">
        <f t="shared" ca="1" si="9"/>
        <v>101.18416672588747</v>
      </c>
      <c r="K9" s="39">
        <f t="shared" ca="1" si="10"/>
        <v>107.80384709541255</v>
      </c>
      <c r="L9" s="39">
        <f t="shared" ca="1" si="11"/>
        <v>99.648667226762413</v>
      </c>
      <c r="M9" s="39">
        <f t="shared" ca="1" si="12"/>
        <v>52.722248196994599</v>
      </c>
      <c r="N9" s="5"/>
      <c r="O9" s="5"/>
      <c r="P9" s="5"/>
      <c r="Q9" s="8">
        <f ca="1">IFERROR(__xludf.DUMMYFUNCTION("iferror(index('지수RAW'!$V$7:$V$12040,MATCH($D9,'지수RAW'!$R$7:$R$12040,0)-1,1),GOOGLEFINANCE(Q$2))"),2423.01)</f>
        <v>2423.0100000000002</v>
      </c>
      <c r="R9" s="5">
        <f ca="1">IFERROR(__xludf.DUMMYFUNCTION("iferror(index('지수RAW'!$F$7:$F$12040,MATCH($D9,'지수RAW'!$B$7:$B$12040,0)-1,1),GOOGLEFINANCE(R$2))"),2705.27)</f>
        <v>2705.27</v>
      </c>
      <c r="S9" s="9">
        <f ca="1">IFERROR(__xludf.DUMMYFUNCTION("iferror(index('지수RAW'!$N$7:$N$12040,MATCH($D9,'지수RAW'!$J$7:$J$12040,0)-1,1),GOOGLEFINANCE(S$2))"),7442.12)</f>
        <v>7442.12</v>
      </c>
      <c r="T9" s="5"/>
      <c r="U9" s="29">
        <f t="array" aca="1" ref="U9" ca="1">IFERROR(INDEX(지수RAW!$AT$7:$AT$12040,MATCH($D9,지수RAW!$AP$7:$AP$12040,0)-1,1),지수RAW!$AU$4)</f>
        <v>1304.7</v>
      </c>
      <c r="V9" s="29">
        <f ca="1">IFERROR(__xludf.DUMMYFUNCTION("iferror(index('지수RAW'!$AL$7:$AL$12040,MATCH($D9,'지수RAW'!$AH$7:$AH$12040,0)-1,1),GOOGLEFINANCE(V$2))"),7318.37)</f>
        <v>7318.37</v>
      </c>
      <c r="W9" s="30">
        <f ca="1">IFERROR(__xludf.DUMMYFUNCTION("iferror(index('지수RAW'!$AD$7:$AD$12040,MATCH($D9,'지수RAW'!$Z$7:$Z$12040,0)-1,1),GOOGLEFINANCE(W$2))"),1079.95)</f>
        <v>1079.95</v>
      </c>
      <c r="X9" s="36">
        <f t="shared" ca="1" si="0"/>
        <v>2921556.3365000002</v>
      </c>
      <c r="Y9" s="36">
        <f t="shared" ca="1" si="1"/>
        <v>8037117.4939999999</v>
      </c>
      <c r="Z9" s="36">
        <f t="shared" ca="1" si="2"/>
        <v>1409010.7650000001</v>
      </c>
      <c r="AA9" s="36">
        <f t="shared" ca="1" si="3"/>
        <v>7903473.6814999999</v>
      </c>
      <c r="AB9" s="12"/>
      <c r="AC9" s="38">
        <f t="shared" ca="1" si="13"/>
        <v>101.30197829410828</v>
      </c>
      <c r="AD9" s="38">
        <f t="shared" ca="1" si="14"/>
        <v>102.50156261373286</v>
      </c>
      <c r="AE9" s="38">
        <f t="shared" ca="1" si="15"/>
        <v>109.2074297848085</v>
      </c>
      <c r="AF9" s="38">
        <f t="shared" ca="1" si="16"/>
        <v>100.94607124442302</v>
      </c>
      <c r="AG9" s="38">
        <f t="shared" ca="1" si="17"/>
        <v>53.408680424685365</v>
      </c>
    </row>
    <row r="10" spans="1:33" ht="12.75" customHeight="1" x14ac:dyDescent="0.35">
      <c r="A10" s="5"/>
      <c r="B10" s="22">
        <f t="shared" si="4"/>
        <v>18</v>
      </c>
      <c r="C10" s="22">
        <f t="shared" si="5"/>
        <v>6</v>
      </c>
      <c r="D10" s="22" t="str">
        <f>IF(F10="12월",(E10+1)&amp;VLOOKUP(F10,인덱스!$C:$D,2,0),E10&amp;VLOOKUP(F10,인덱스!$C:$D,2,0))</f>
        <v>20187</v>
      </c>
      <c r="E10" s="5" t="str">
        <f t="shared" si="6"/>
        <v>2018</v>
      </c>
      <c r="F10" s="5" t="str">
        <f t="shared" si="7"/>
        <v>6월</v>
      </c>
      <c r="G10" s="37" t="str">
        <f>B10&amp;"."&amp;VLOOKUP(F10,인덱스!$A:$B,2,0)</f>
        <v>18.06</v>
      </c>
      <c r="H10" s="14">
        <f>IFERROR(VLOOKUP(G10,#REF!,2,0),)</f>
        <v>0</v>
      </c>
      <c r="I10" s="38">
        <f t="shared" ca="1" si="8"/>
        <v>94.271101402639957</v>
      </c>
      <c r="J10" s="38">
        <f t="shared" ca="1" si="9"/>
        <v>101.67414095548715</v>
      </c>
      <c r="K10" s="39">
        <f t="shared" ca="1" si="10"/>
        <v>108.79147781017733</v>
      </c>
      <c r="L10" s="39">
        <f t="shared" ca="1" si="11"/>
        <v>95.814557397082424</v>
      </c>
      <c r="M10" s="39">
        <f t="shared" ca="1" si="12"/>
        <v>46.014513374046096</v>
      </c>
      <c r="N10" s="5"/>
      <c r="O10" s="5"/>
      <c r="P10" s="5"/>
      <c r="Q10" s="8">
        <f ca="1">IFERROR(__xludf.DUMMYFUNCTION("iferror(index('지수RAW'!$V$7:$V$12040,MATCH($D10,'지수RAW'!$R$7:$R$12040,0)-1,1),GOOGLEFINANCE(Q$2))"),2326.13)</f>
        <v>2326.13</v>
      </c>
      <c r="R10" s="5">
        <f ca="1">IFERROR(__xludf.DUMMYFUNCTION("iferror(index('지수RAW'!$F$7:$F$12040,MATCH($D10,'지수RAW'!$B$7:$B$12040,0)-1,1),GOOGLEFINANCE(R$2))"),2718.37)</f>
        <v>2718.37</v>
      </c>
      <c r="S10" s="9">
        <f ca="1">IFERROR(__xludf.DUMMYFUNCTION("iferror(index('지수RAW'!$N$7:$N$12040,MATCH($D10,'지수RAW'!$J$7:$J$12040,0)-1,1),GOOGLEFINANCE(S$2))"),7510.3)</f>
        <v>7510.3</v>
      </c>
      <c r="T10" s="5"/>
      <c r="U10" s="29">
        <f t="array" aca="1" ref="U10" ca="1">IFERROR(INDEX(지수RAW!$AT$7:$AT$12040,MATCH($D10,지수RAW!$AP$7:$AP$12040,0)-1,1),지수RAW!$AU$4)</f>
        <v>1254.5</v>
      </c>
      <c r="V10" s="29">
        <f ca="1">IFERROR(__xludf.DUMMYFUNCTION("iferror(index('지수RAW'!$AL$7:$AL$12040,MATCH($D10,'지수RAW'!$AH$7:$AH$12040,0)-1,1),GOOGLEFINANCE(V$2))"),6387.27)</f>
        <v>6387.27</v>
      </c>
      <c r="W10" s="30">
        <f ca="1">IFERROR(__xludf.DUMMYFUNCTION("iferror(index('지수RAW'!$AD$7:$AD$12040,MATCH($D10,'지수RAW'!$Z$7:$Z$12040,0)-1,1),GOOGLEFINANCE(W$2))"),1113.92)</f>
        <v>1113.92</v>
      </c>
      <c r="X10" s="36">
        <f t="shared" ca="1" si="0"/>
        <v>3028046.7104000002</v>
      </c>
      <c r="Y10" s="36">
        <f t="shared" ca="1" si="1"/>
        <v>8365873.3760000011</v>
      </c>
      <c r="Z10" s="36">
        <f t="shared" ca="1" si="2"/>
        <v>1397412.6400000001</v>
      </c>
      <c r="AA10" s="36">
        <f t="shared" ca="1" si="3"/>
        <v>7114907.7984000007</v>
      </c>
      <c r="AB10" s="12"/>
      <c r="AC10" s="38">
        <f t="shared" ca="1" si="13"/>
        <v>104.48844822572627</v>
      </c>
      <c r="AD10" s="38">
        <f t="shared" ca="1" si="14"/>
        <v>106.23773213122615</v>
      </c>
      <c r="AE10" s="38">
        <f t="shared" ca="1" si="15"/>
        <v>113.67452696568965</v>
      </c>
      <c r="AF10" s="38">
        <f t="shared" ca="1" si="16"/>
        <v>100.11514419855924</v>
      </c>
      <c r="AG10" s="38">
        <f t="shared" ca="1" si="17"/>
        <v>48.07985098316005</v>
      </c>
    </row>
    <row r="11" spans="1:33" ht="12.75" customHeight="1" x14ac:dyDescent="0.35">
      <c r="A11" s="5"/>
      <c r="B11" s="22">
        <f t="shared" si="4"/>
        <v>18</v>
      </c>
      <c r="C11" s="22">
        <f t="shared" si="5"/>
        <v>7</v>
      </c>
      <c r="D11" s="22" t="str">
        <f>IF(F11="12월",(E11+1)&amp;VLOOKUP(F11,인덱스!$C:$D,2,0),E11&amp;VLOOKUP(F11,인덱스!$C:$D,2,0))</f>
        <v>20188</v>
      </c>
      <c r="E11" s="5" t="str">
        <f t="shared" si="6"/>
        <v>2018</v>
      </c>
      <c r="F11" s="5" t="str">
        <f t="shared" si="7"/>
        <v>7월</v>
      </c>
      <c r="G11" s="37" t="str">
        <f>B11&amp;"."&amp;VLOOKUP(F11,인덱스!$A:$B,2,0)</f>
        <v>18.07</v>
      </c>
      <c r="H11" s="14">
        <f>IFERROR(VLOOKUP(G11,#REF!,2,0),)</f>
        <v>0</v>
      </c>
      <c r="I11" s="38">
        <f t="shared" ca="1" si="8"/>
        <v>93.020032502664677</v>
      </c>
      <c r="J11" s="38">
        <f t="shared" ca="1" si="9"/>
        <v>105.3366048152124</v>
      </c>
      <c r="K11" s="39">
        <f t="shared" ca="1" si="10"/>
        <v>111.13076329165817</v>
      </c>
      <c r="L11" s="39">
        <f t="shared" ca="1" si="11"/>
        <v>94.218284579546335</v>
      </c>
      <c r="M11" s="39">
        <f t="shared" ca="1" si="12"/>
        <v>55.733200585837182</v>
      </c>
      <c r="N11" s="5"/>
      <c r="O11" s="5"/>
      <c r="P11" s="5"/>
      <c r="Q11" s="8">
        <f ca="1">IFERROR(__xludf.DUMMYFUNCTION("iferror(index('지수RAW'!$V$7:$V$12040,MATCH($D11,'지수RAW'!$R$7:$R$12040,0)-1,1),GOOGLEFINANCE(Q$2))"),2295.26)</f>
        <v>2295.2600000000002</v>
      </c>
      <c r="R11" s="5">
        <f ca="1">IFERROR(__xludf.DUMMYFUNCTION("iferror(index('지수RAW'!$F$7:$F$12040,MATCH($D11,'지수RAW'!$B$7:$B$12040,0)-1,1),GOOGLEFINANCE(R$2))"),2816.29)</f>
        <v>2816.29</v>
      </c>
      <c r="S11" s="9">
        <f ca="1">IFERROR(__xludf.DUMMYFUNCTION("iferror(index('지수RAW'!$N$7:$N$12040,MATCH($D11,'지수RAW'!$J$7:$J$12040,0)-1,1),GOOGLEFINANCE(S$2))"),7671.79)</f>
        <v>7671.79</v>
      </c>
      <c r="T11" s="5"/>
      <c r="U11" s="29">
        <f t="array" aca="1" ref="U11" ca="1">IFERROR(INDEX(지수RAW!$AT$7:$AT$12040,MATCH($D11,지수RAW!$AP$7:$AP$12040,0)-1,1),지수RAW!$AU$4)</f>
        <v>1233.5999999999999</v>
      </c>
      <c r="V11" s="29">
        <f ca="1">IFERROR(__xludf.DUMMYFUNCTION("iferror(index('지수RAW'!$AL$7:$AL$12040,MATCH($D11,'지수RAW'!$AH$7:$AH$12040,0)-1,1),GOOGLEFINANCE(V$2))"),7736.32)</f>
        <v>7736.32</v>
      </c>
      <c r="W11" s="30">
        <f ca="1">IFERROR(__xludf.DUMMYFUNCTION("iferror(index('지수RAW'!$AD$7:$AD$12040,MATCH($D11,'지수RAW'!$Z$7:$Z$12040,0)-1,1),GOOGLEFINANCE(W$2))"),1112.2)</f>
        <v>1112.2</v>
      </c>
      <c r="X11" s="36">
        <f t="shared" ca="1" si="0"/>
        <v>3132277.7379999999</v>
      </c>
      <c r="Y11" s="36">
        <f t="shared" ca="1" si="1"/>
        <v>8532564.8379999995</v>
      </c>
      <c r="Z11" s="36">
        <f t="shared" ca="1" si="2"/>
        <v>1372009.92</v>
      </c>
      <c r="AA11" s="36">
        <f t="shared" ca="1" si="3"/>
        <v>8604335.1040000003</v>
      </c>
      <c r="AB11" s="12"/>
      <c r="AC11" s="38">
        <f t="shared" ca="1" si="13"/>
        <v>104.3271079760241</v>
      </c>
      <c r="AD11" s="38">
        <f t="shared" ca="1" si="14"/>
        <v>109.89463344384443</v>
      </c>
      <c r="AE11" s="38">
        <f t="shared" ca="1" si="15"/>
        <v>115.93951141386798</v>
      </c>
      <c r="AF11" s="38">
        <f t="shared" ca="1" si="16"/>
        <v>98.295211486460943</v>
      </c>
      <c r="AG11" s="38">
        <f t="shared" ca="1" si="17"/>
        <v>58.144836353680454</v>
      </c>
    </row>
    <row r="12" spans="1:33" ht="12.75" customHeight="1" x14ac:dyDescent="0.35">
      <c r="A12" s="5"/>
      <c r="B12" s="22">
        <f t="shared" si="4"/>
        <v>18</v>
      </c>
      <c r="C12" s="22">
        <f t="shared" si="5"/>
        <v>8</v>
      </c>
      <c r="D12" s="22" t="str">
        <f>IF(F12="12월",(E12+1)&amp;VLOOKUP(F12,인덱스!$C:$D,2,0),E12&amp;VLOOKUP(F12,인덱스!$C:$D,2,0))</f>
        <v>20189</v>
      </c>
      <c r="E12" s="5" t="str">
        <f t="shared" si="6"/>
        <v>2018</v>
      </c>
      <c r="F12" s="5" t="str">
        <f t="shared" si="7"/>
        <v>8월</v>
      </c>
      <c r="G12" s="37" t="str">
        <f>B12&amp;"."&amp;VLOOKUP(F12,인덱스!$A:$B,2,0)</f>
        <v>18.08</v>
      </c>
      <c r="H12" s="14">
        <f>IFERROR(VLOOKUP(G12,#REF!,2,0),)</f>
        <v>0</v>
      </c>
      <c r="I12" s="38">
        <f t="shared" ca="1" si="8"/>
        <v>94.139388609477678</v>
      </c>
      <c r="J12" s="38">
        <f t="shared" ca="1" si="9"/>
        <v>108.52442951664605</v>
      </c>
      <c r="K12" s="39">
        <f t="shared" ca="1" si="10"/>
        <v>117.4718507863528</v>
      </c>
      <c r="L12" s="39">
        <f t="shared" ca="1" si="11"/>
        <v>92.163751623004686</v>
      </c>
      <c r="M12" s="39">
        <f t="shared" ca="1" si="12"/>
        <v>50.517002029394163</v>
      </c>
      <c r="N12" s="5"/>
      <c r="O12" s="5"/>
      <c r="P12" s="5"/>
      <c r="Q12" s="8">
        <f ca="1">IFERROR(__xludf.DUMMYFUNCTION("iferror(index('지수RAW'!$V$7:$V$12040,MATCH($D12,'지수RAW'!$R$7:$R$12040,0)-1,1),GOOGLEFINANCE(Q$2))"),2322.88)</f>
        <v>2322.88</v>
      </c>
      <c r="R12" s="5">
        <f ca="1">IFERROR(__xludf.DUMMYFUNCTION("iferror(index('지수RAW'!$F$7:$F$12040,MATCH($D12,'지수RAW'!$B$7:$B$12040,0)-1,1),GOOGLEFINANCE(R$2))"),2901.52)</f>
        <v>2901.52</v>
      </c>
      <c r="S12" s="9">
        <f ca="1">IFERROR(__xludf.DUMMYFUNCTION("iferror(index('지수RAW'!$N$7:$N$12040,MATCH($D12,'지수RAW'!$J$7:$J$12040,0)-1,1),GOOGLEFINANCE(S$2))"),8109.54)</f>
        <v>8109.54</v>
      </c>
      <c r="T12" s="5"/>
      <c r="U12" s="29">
        <f t="array" aca="1" ref="U12" ca="1">IFERROR(INDEX(지수RAW!$AT$7:$AT$12040,MATCH($D12,지수RAW!$AP$7:$AP$12040,0)-1,1),지수RAW!$AU$4)</f>
        <v>1206.7</v>
      </c>
      <c r="V12" s="29">
        <f ca="1">IFERROR(__xludf.DUMMYFUNCTION("iferror(index('지수RAW'!$AL$7:$AL$12040,MATCH($D12,'지수RAW'!$AH$7:$AH$12040,0)-1,1),GOOGLEFINANCE(V$2))"),7012.26)</f>
        <v>7012.26</v>
      </c>
      <c r="W12" s="30">
        <f ca="1">IFERROR(__xludf.DUMMYFUNCTION("iferror(index('지수RAW'!$AD$7:$AD$12040,MATCH($D12,'지수RAW'!$Z$7:$Z$12040,0)-1,1),GOOGLEFINANCE(W$2))"),1114.64)</f>
        <v>1114.6400000000001</v>
      </c>
      <c r="X12" s="36">
        <f t="shared" ca="1" si="0"/>
        <v>3234150.2528000004</v>
      </c>
      <c r="Y12" s="36">
        <f t="shared" ca="1" si="1"/>
        <v>9039217.6655999999</v>
      </c>
      <c r="Z12" s="36">
        <f t="shared" ca="1" si="2"/>
        <v>1345036.0880000002</v>
      </c>
      <c r="AA12" s="36">
        <f t="shared" ca="1" si="3"/>
        <v>7816145.4864000008</v>
      </c>
      <c r="AB12" s="12"/>
      <c r="AC12" s="38">
        <f t="shared" ca="1" si="13"/>
        <v>104.55598600467137</v>
      </c>
      <c r="AD12" s="38">
        <f t="shared" ca="1" si="14"/>
        <v>113.46878733707389</v>
      </c>
      <c r="AE12" s="38">
        <f t="shared" ca="1" si="15"/>
        <v>122.82385186760749</v>
      </c>
      <c r="AF12" s="38">
        <f t="shared" ca="1" si="16"/>
        <v>96.362719248328844</v>
      </c>
      <c r="AG12" s="38">
        <f t="shared" ca="1" si="17"/>
        <v>52.818549571832918</v>
      </c>
    </row>
    <row r="13" spans="1:33" ht="12.75" customHeight="1" x14ac:dyDescent="0.35">
      <c r="A13" s="5"/>
      <c r="B13" s="22">
        <f t="shared" si="4"/>
        <v>18</v>
      </c>
      <c r="C13" s="22">
        <f t="shared" si="5"/>
        <v>9</v>
      </c>
      <c r="D13" s="22" t="str">
        <f>IF(F13="12월",(E13+1)&amp;VLOOKUP(F13,인덱스!$C:$D,2,0),E13&amp;VLOOKUP(F13,인덱스!$C:$D,2,0))</f>
        <v>201810</v>
      </c>
      <c r="E13" s="5" t="str">
        <f t="shared" si="6"/>
        <v>2018</v>
      </c>
      <c r="F13" s="5" t="str">
        <f t="shared" si="7"/>
        <v>9월</v>
      </c>
      <c r="G13" s="37" t="str">
        <f>B13&amp;"."&amp;VLOOKUP(F13,인덱스!$A:$B,2,0)</f>
        <v>18.09</v>
      </c>
      <c r="H13" s="14">
        <f>IFERROR(VLOOKUP(G13,#REF!,2,0),)</f>
        <v>0</v>
      </c>
      <c r="I13" s="38">
        <f t="shared" ca="1" si="8"/>
        <v>94.957629007615054</v>
      </c>
      <c r="J13" s="38">
        <f t="shared" ca="1" si="9"/>
        <v>108.99046607395995</v>
      </c>
      <c r="K13" s="39">
        <f t="shared" ca="1" si="10"/>
        <v>116.55650339905469</v>
      </c>
      <c r="L13" s="39">
        <f t="shared" ca="1" si="11"/>
        <v>91.361796379744931</v>
      </c>
      <c r="M13" s="39">
        <f t="shared" ca="1" si="12"/>
        <v>47.682189814991588</v>
      </c>
      <c r="N13" s="5"/>
      <c r="O13" s="5"/>
      <c r="P13" s="5"/>
      <c r="Q13" s="8">
        <f ca="1">IFERROR(__xludf.DUMMYFUNCTION("iferror(index('지수RAW'!$V$7:$V$12040,MATCH($D13,'지수RAW'!$R$7:$R$12040,0)-1,1),GOOGLEFINANCE(Q$2))"),2343.07)</f>
        <v>2343.0700000000002</v>
      </c>
      <c r="R13" s="5">
        <f ca="1">IFERROR(__xludf.DUMMYFUNCTION("iferror(index('지수RAW'!$F$7:$F$12040,MATCH($D13,'지수RAW'!$B$7:$B$12040,0)-1,1),GOOGLEFINANCE(R$2))"),2913.98)</f>
        <v>2913.98</v>
      </c>
      <c r="S13" s="9">
        <f ca="1">IFERROR(__xludf.DUMMYFUNCTION("iferror(index('지수RAW'!$N$7:$N$12040,MATCH($D13,'지수RAW'!$J$7:$J$12040,0)-1,1),GOOGLEFINANCE(S$2))"),8046.35)</f>
        <v>8046.35</v>
      </c>
      <c r="T13" s="5"/>
      <c r="U13" s="29">
        <f t="array" aca="1" ref="U13" ca="1">IFERROR(INDEX(지수RAW!$AT$7:$AT$12040,MATCH($D13,지수RAW!$AP$7:$AP$12040,0)-1,1),지수RAW!$AU$4)</f>
        <v>1196.2</v>
      </c>
      <c r="V13" s="29">
        <f ca="1">IFERROR(__xludf.DUMMYFUNCTION("iferror(index('지수RAW'!$AL$7:$AL$12040,MATCH($D13,'지수RAW'!$AH$7:$AH$12040,0)-1,1),GOOGLEFINANCE(V$2))"),6618.76)</f>
        <v>6618.76</v>
      </c>
      <c r="W13" s="30">
        <f ca="1">IFERROR(__xludf.DUMMYFUNCTION("iferror(index('지수RAW'!$AD$7:$AD$12040,MATCH($D13,'지수RAW'!$Z$7:$Z$12040,0)-1,1),GOOGLEFINANCE(W$2))"),1109.01)</f>
        <v>1109.01</v>
      </c>
      <c r="X13" s="36">
        <f t="shared" ca="1" si="0"/>
        <v>3231632.9597999998</v>
      </c>
      <c r="Y13" s="36">
        <f t="shared" ca="1" si="1"/>
        <v>8923482.6135000009</v>
      </c>
      <c r="Z13" s="36">
        <f t="shared" ca="1" si="2"/>
        <v>1326597.7620000001</v>
      </c>
      <c r="AA13" s="36">
        <f t="shared" ca="1" si="3"/>
        <v>7340271.0276000006</v>
      </c>
      <c r="AB13" s="12"/>
      <c r="AC13" s="38">
        <f t="shared" ca="1" si="13"/>
        <v>104.027878094309</v>
      </c>
      <c r="AD13" s="38">
        <f t="shared" ca="1" si="14"/>
        <v>113.38046918183827</v>
      </c>
      <c r="AE13" s="38">
        <f t="shared" ca="1" si="15"/>
        <v>121.25125726695778</v>
      </c>
      <c r="AF13" s="38">
        <f t="shared" ca="1" si="16"/>
        <v>95.041738162691857</v>
      </c>
      <c r="AG13" s="38">
        <f t="shared" ca="1" si="17"/>
        <v>49.602770293436478</v>
      </c>
    </row>
    <row r="14" spans="1:33" ht="12.75" customHeight="1" x14ac:dyDescent="0.35">
      <c r="A14" s="5"/>
      <c r="B14" s="22">
        <f t="shared" si="4"/>
        <v>18</v>
      </c>
      <c r="C14" s="22">
        <f t="shared" si="5"/>
        <v>10</v>
      </c>
      <c r="D14" s="22" t="str">
        <f>IF(F14="12월",(E14+1)&amp;VLOOKUP(F14,인덱스!$C:$D,2,0),E14&amp;VLOOKUP(F14,인덱스!$C:$D,2,0))</f>
        <v>201811</v>
      </c>
      <c r="E14" s="5" t="str">
        <f t="shared" si="6"/>
        <v>2018</v>
      </c>
      <c r="F14" s="5" t="str">
        <f t="shared" si="7"/>
        <v>10월</v>
      </c>
      <c r="G14" s="37" t="str">
        <f>B14&amp;"."&amp;VLOOKUP(F14,인덱스!$A:$B,2,0)</f>
        <v>18.10</v>
      </c>
      <c r="H14" s="14">
        <f>IFERROR(VLOOKUP(G14,#REF!,2,0),)</f>
        <v>0</v>
      </c>
      <c r="I14" s="38">
        <f t="shared" ca="1" si="8"/>
        <v>82.257273585708575</v>
      </c>
      <c r="J14" s="38">
        <f t="shared" ca="1" si="9"/>
        <v>101.4261616316516</v>
      </c>
      <c r="K14" s="39">
        <f t="shared" ca="1" si="10"/>
        <v>105.83061365503036</v>
      </c>
      <c r="L14" s="39">
        <f t="shared" ca="1" si="11"/>
        <v>92.797678148629061</v>
      </c>
      <c r="M14" s="39">
        <f t="shared" ca="1" si="12"/>
        <v>45.676713260365439</v>
      </c>
      <c r="N14" s="5"/>
      <c r="O14" s="5"/>
      <c r="P14" s="5"/>
      <c r="Q14" s="8">
        <f ca="1">IFERROR(__xludf.DUMMYFUNCTION("iferror(index('지수RAW'!$V$7:$V$12040,MATCH($D14,'지수RAW'!$R$7:$R$12040,0)-1,1),GOOGLEFINANCE(Q$2))"),2029.69)</f>
        <v>2029.69</v>
      </c>
      <c r="R14" s="5">
        <f ca="1">IFERROR(__xludf.DUMMYFUNCTION("iferror(index('지수RAW'!$F$7:$F$12040,MATCH($D14,'지수RAW'!$B$7:$B$12040,0)-1,1),GOOGLEFINANCE(R$2))"),2711.74)</f>
        <v>2711.74</v>
      </c>
      <c r="S14" s="9">
        <f ca="1">IFERROR(__xludf.DUMMYFUNCTION("iferror(index('지수RAW'!$N$7:$N$12040,MATCH($D14,'지수RAW'!$J$7:$J$12040,0)-1,1),GOOGLEFINANCE(S$2))"),7305.9)</f>
        <v>7305.9</v>
      </c>
      <c r="T14" s="5"/>
      <c r="U14" s="29">
        <f t="array" aca="1" ref="U14" ca="1">IFERROR(INDEX(지수RAW!$AT$7:$AT$12040,MATCH($D14,지수RAW!$AP$7:$AP$12040,0)-1,1),지수RAW!$AU$4)</f>
        <v>1215</v>
      </c>
      <c r="V14" s="29">
        <f ca="1">IFERROR(__xludf.DUMMYFUNCTION("iferror(index('지수RAW'!$AL$7:$AL$12040,MATCH($D14,'지수RAW'!$AH$7:$AH$12040,0)-1,1),GOOGLEFINANCE(V$2))"),6340.38)</f>
        <v>6340.38</v>
      </c>
      <c r="W14" s="30">
        <f ca="1">IFERROR(__xludf.DUMMYFUNCTION("iferror(index('지수RAW'!$AD$7:$AD$12040,MATCH($D14,'지수RAW'!$Z$7:$Z$12040,0)-1,1),GOOGLEFINANCE(W$2))"),1140.97)</f>
        <v>1140.97</v>
      </c>
      <c r="X14" s="36">
        <f t="shared" ca="1" si="0"/>
        <v>3094013.9877999998</v>
      </c>
      <c r="Y14" s="36">
        <f t="shared" ca="1" si="1"/>
        <v>8335812.7230000002</v>
      </c>
      <c r="Z14" s="36">
        <f t="shared" ca="1" si="2"/>
        <v>1386278.55</v>
      </c>
      <c r="AA14" s="36">
        <f t="shared" ca="1" si="3"/>
        <v>7234183.3686000006</v>
      </c>
      <c r="AB14" s="12"/>
      <c r="AC14" s="38">
        <f t="shared" ca="1" si="13"/>
        <v>107.02580505970528</v>
      </c>
      <c r="AD14" s="38">
        <f t="shared" ca="1" si="14"/>
        <v>108.55216602743303</v>
      </c>
      <c r="AE14" s="38">
        <f t="shared" ca="1" si="15"/>
        <v>113.26606626392267</v>
      </c>
      <c r="AF14" s="38">
        <f t="shared" ca="1" si="16"/>
        <v>99.317462115284442</v>
      </c>
      <c r="AG14" s="38">
        <f t="shared" ca="1" si="17"/>
        <v>48.885870091719269</v>
      </c>
    </row>
    <row r="15" spans="1:33" ht="12.75" customHeight="1" x14ac:dyDescent="0.35">
      <c r="A15" s="5"/>
      <c r="B15" s="22">
        <f t="shared" si="4"/>
        <v>18</v>
      </c>
      <c r="C15" s="22">
        <f t="shared" si="5"/>
        <v>11</v>
      </c>
      <c r="D15" s="22" t="str">
        <f>IF(F15="12월",(E15+1)&amp;VLOOKUP(F15,인덱스!$C:$D,2,0),E15&amp;VLOOKUP(F15,인덱스!$C:$D,2,0))</f>
        <v>201812</v>
      </c>
      <c r="E15" s="5" t="str">
        <f t="shared" si="6"/>
        <v>2018</v>
      </c>
      <c r="F15" s="5" t="str">
        <f t="shared" si="7"/>
        <v>11월</v>
      </c>
      <c r="G15" s="37" t="str">
        <f>B15&amp;"."&amp;VLOOKUP(F15,인덱스!$A:$B,2,0)</f>
        <v>18.11</v>
      </c>
      <c r="H15" s="14">
        <f>IFERROR(VLOOKUP(G15,#REF!,2,0),)</f>
        <v>0</v>
      </c>
      <c r="I15" s="38">
        <f t="shared" ca="1" si="8"/>
        <v>84.979473067773341</v>
      </c>
      <c r="J15" s="38">
        <f t="shared" ca="1" si="9"/>
        <v>103.23757017665257</v>
      </c>
      <c r="K15" s="39">
        <f t="shared" ca="1" si="10"/>
        <v>106.18753974496589</v>
      </c>
      <c r="L15" s="39">
        <f t="shared" ca="1" si="11"/>
        <v>93.637821736805947</v>
      </c>
      <c r="M15" s="39">
        <f t="shared" ca="1" si="12"/>
        <v>28.969381866855318</v>
      </c>
      <c r="N15" s="5"/>
      <c r="O15" s="5"/>
      <c r="P15" s="5"/>
      <c r="Q15" s="8">
        <f ca="1">IFERROR(__xludf.DUMMYFUNCTION("iferror(index('지수RAW'!$V$7:$V$12040,MATCH($D15,'지수RAW'!$R$7:$R$12040,0)-1,1),GOOGLEFINANCE(Q$2))"),2096.86)</f>
        <v>2096.86</v>
      </c>
      <c r="R15" s="5">
        <f ca="1">IFERROR(__xludf.DUMMYFUNCTION("iferror(index('지수RAW'!$F$7:$F$12040,MATCH($D15,'지수RAW'!$B$7:$B$12040,0)-1,1),GOOGLEFINANCE(R$2))"),2760.17)</f>
        <v>2760.17</v>
      </c>
      <c r="S15" s="9">
        <f ca="1">IFERROR(__xludf.DUMMYFUNCTION("iferror(index('지수RAW'!$N$7:$N$12040,MATCH($D15,'지수RAW'!$J$7:$J$12040,0)-1,1),GOOGLEFINANCE(S$2))"),7330.54)</f>
        <v>7330.54</v>
      </c>
      <c r="T15" s="5"/>
      <c r="U15" s="29">
        <f t="array" aca="1" ref="U15" ca="1">IFERROR(INDEX(지수RAW!$AT$7:$AT$12040,MATCH($D15,지수RAW!$AP$7:$AP$12040,0)-1,1),지수RAW!$AU$4)</f>
        <v>1226</v>
      </c>
      <c r="V15" s="29">
        <f ca="1">IFERROR(__xludf.DUMMYFUNCTION("iferror(index('지수RAW'!$AL$7:$AL$12040,MATCH($D15,'지수RAW'!$AH$7:$AH$12040,0)-1,1),GOOGLEFINANCE(V$2))"),4021.237)</f>
        <v>4021.2370000000001</v>
      </c>
      <c r="W15" s="30">
        <f ca="1">IFERROR(__xludf.DUMMYFUNCTION("iferror(index('지수RAW'!$AD$7:$AD$12040,MATCH($D15,'지수RAW'!$Z$7:$Z$12040,0)-1,1),GOOGLEFINANCE(W$2))"),1119.53)</f>
        <v>1119.53</v>
      </c>
      <c r="X15" s="36">
        <f t="shared" ca="1" si="0"/>
        <v>3090093.1200999999</v>
      </c>
      <c r="Y15" s="36">
        <f t="shared" ca="1" si="1"/>
        <v>8206759.4462000001</v>
      </c>
      <c r="Z15" s="36">
        <f t="shared" ca="1" si="2"/>
        <v>1372543.78</v>
      </c>
      <c r="AA15" s="36">
        <f t="shared" ca="1" si="3"/>
        <v>4501895.4586100001</v>
      </c>
      <c r="AB15" s="12"/>
      <c r="AC15" s="38">
        <f t="shared" ca="1" si="13"/>
        <v>105.01468008667348</v>
      </c>
      <c r="AD15" s="38">
        <f t="shared" ca="1" si="14"/>
        <v>108.41460405026672</v>
      </c>
      <c r="AE15" s="38">
        <f t="shared" ca="1" si="15"/>
        <v>111.51250515508522</v>
      </c>
      <c r="AF15" s="38">
        <f t="shared" ca="1" si="16"/>
        <v>98.333458937036355</v>
      </c>
      <c r="AG15" s="38">
        <f t="shared" ca="1" si="17"/>
        <v>30.422103690564914</v>
      </c>
    </row>
    <row r="16" spans="1:33" ht="12.75" customHeight="1" x14ac:dyDescent="0.35">
      <c r="A16" s="5"/>
      <c r="B16" s="22">
        <f t="shared" si="4"/>
        <v>18</v>
      </c>
      <c r="C16" s="22">
        <f t="shared" si="5"/>
        <v>12</v>
      </c>
      <c r="D16" s="22" t="str">
        <f>IF(F16="12월",(E16+1)&amp;VLOOKUP(F16,인덱스!$C:$D,2,0),E16&amp;VLOOKUP(F16,인덱스!$C:$D,2,0))</f>
        <v>20191</v>
      </c>
      <c r="E16" s="5" t="str">
        <f t="shared" si="6"/>
        <v>2018</v>
      </c>
      <c r="F16" s="5" t="str">
        <f t="shared" si="7"/>
        <v>12월</v>
      </c>
      <c r="G16" s="37" t="str">
        <f>B16&amp;"."&amp;VLOOKUP(F16,인덱스!$A:$B,2,0)</f>
        <v>18.12</v>
      </c>
      <c r="H16" s="14">
        <f>IFERROR(VLOOKUP(G16,#REF!,2,0),)</f>
        <v>0</v>
      </c>
      <c r="I16" s="38">
        <f t="shared" ca="1" si="8"/>
        <v>82.717255186444532</v>
      </c>
      <c r="J16" s="38">
        <f t="shared" ca="1" si="9"/>
        <v>93.762740265034935</v>
      </c>
      <c r="K16" s="39">
        <f t="shared" ca="1" si="10"/>
        <v>96.116255926436139</v>
      </c>
      <c r="L16" s="39">
        <f t="shared" ca="1" si="11"/>
        <v>97.861452684640653</v>
      </c>
      <c r="M16" s="39">
        <f t="shared" ca="1" si="12"/>
        <v>26.740938506547444</v>
      </c>
      <c r="N16" s="5"/>
      <c r="O16" s="5"/>
      <c r="P16" s="5"/>
      <c r="Q16" s="8">
        <f ca="1">IFERROR(__xludf.DUMMYFUNCTION("iferror(index('지수RAW'!$V$7:$V$12040,MATCH($D16,'지수RAW'!$R$7:$R$12040,0)-1,1),GOOGLEFINANCE(Q$2))"),2041.04)</f>
        <v>2041.04</v>
      </c>
      <c r="R16" s="5">
        <f ca="1">IFERROR(__xludf.DUMMYFUNCTION("iferror(index('지수RAW'!$F$7:$F$12040,MATCH($D16,'지수RAW'!$B$7:$B$12040,0)-1,1),GOOGLEFINANCE(R$2))"),2506.85)</f>
        <v>2506.85</v>
      </c>
      <c r="S16" s="9">
        <f ca="1">IFERROR(__xludf.DUMMYFUNCTION("iferror(index('지수RAW'!$N$7:$N$12040,MATCH($D16,'지수RAW'!$J$7:$J$12040,0)-1,1),GOOGLEFINANCE(S$2))"),6635.28)</f>
        <v>6635.28</v>
      </c>
      <c r="T16" s="5"/>
      <c r="U16" s="29">
        <f t="array" aca="1" ref="U16" ca="1">IFERROR(INDEX(지수RAW!$AT$7:$AT$12040,MATCH($D16,지수RAW!$AP$7:$AP$12040,0)-1,1),지수RAW!$AU$4)</f>
        <v>1281.3</v>
      </c>
      <c r="V16" s="29">
        <f ca="1">IFERROR(__xludf.DUMMYFUNCTION("iferror(index('지수RAW'!$AL$7:$AL$12040,MATCH($D16,'지수RAW'!$AH$7:$AH$12040,0)-1,1),GOOGLEFINANCE(V$2))"),3711.907)</f>
        <v>3711.9070000000002</v>
      </c>
      <c r="W16" s="30">
        <f ca="1">IFERROR(__xludf.DUMMYFUNCTION("iferror(index('지수RAW'!$AD$7:$AD$12040,MATCH($D16,'지수RAW'!$Z$7:$Z$12040,0)-1,1),GOOGLEFINANCE(W$2))"),1112.5)</f>
        <v>1112.5</v>
      </c>
      <c r="X16" s="36">
        <f t="shared" ca="1" si="0"/>
        <v>2788870.625</v>
      </c>
      <c r="Y16" s="36">
        <f t="shared" ca="1" si="1"/>
        <v>7381749</v>
      </c>
      <c r="Z16" s="36">
        <f t="shared" ca="1" si="2"/>
        <v>1425446.25</v>
      </c>
      <c r="AA16" s="36">
        <f t="shared" ca="1" si="3"/>
        <v>4129496.5375000001</v>
      </c>
      <c r="AB16" s="12"/>
      <c r="AC16" s="38">
        <f t="shared" ca="1" si="13"/>
        <v>104.35524871725121</v>
      </c>
      <c r="AD16" s="38">
        <f t="shared" ca="1" si="14"/>
        <v>97.846340807687454</v>
      </c>
      <c r="AE16" s="38">
        <f t="shared" ca="1" si="15"/>
        <v>100.30235792974219</v>
      </c>
      <c r="AF16" s="38">
        <f t="shared" ca="1" si="16"/>
        <v>102.12356234737186</v>
      </c>
      <c r="AG16" s="38">
        <f t="shared" ca="1" si="17"/>
        <v>27.90557288783479</v>
      </c>
    </row>
    <row r="17" spans="1:33" ht="12.75" customHeight="1" x14ac:dyDescent="0.35">
      <c r="A17" s="5"/>
      <c r="B17" s="22">
        <f t="shared" si="4"/>
        <v>19</v>
      </c>
      <c r="C17" s="22">
        <f t="shared" si="5"/>
        <v>1</v>
      </c>
      <c r="D17" s="22" t="str">
        <f>IF(F17="12월",(E17+1)&amp;VLOOKUP(F17,인덱스!$C:$D,2,0),E17&amp;VLOOKUP(F17,인덱스!$C:$D,2,0))</f>
        <v>20192</v>
      </c>
      <c r="E17" s="5" t="str">
        <f t="shared" si="6"/>
        <v>2019</v>
      </c>
      <c r="F17" s="5" t="str">
        <f t="shared" si="7"/>
        <v>1월</v>
      </c>
      <c r="G17" s="40" t="str">
        <f>B17&amp;"."&amp;VLOOKUP(F17,인덱스!$A:$B,2,0)</f>
        <v>19.01</v>
      </c>
      <c r="H17" s="41">
        <f>IFERROR(VLOOKUP(G17,#REF!,2,0),)</f>
        <v>0</v>
      </c>
      <c r="I17" s="42">
        <f t="shared" ca="1" si="8"/>
        <v>89.355985231956353</v>
      </c>
      <c r="J17" s="42">
        <f t="shared" ca="1" si="9"/>
        <v>101.14040566874003</v>
      </c>
      <c r="K17" s="43">
        <f t="shared" ca="1" si="10"/>
        <v>105.48064067074293</v>
      </c>
      <c r="L17" s="43">
        <f t="shared" ca="1" si="11"/>
        <v>101.21438936836479</v>
      </c>
      <c r="M17" s="43">
        <f t="shared" ca="1" si="12"/>
        <v>24.633279038454749</v>
      </c>
      <c r="N17" s="5"/>
      <c r="O17" s="5"/>
      <c r="P17" s="5"/>
      <c r="Q17" s="8">
        <f ca="1">IFERROR(__xludf.DUMMYFUNCTION("iferror(index('지수RAW'!$V$7:$V$12040,MATCH($D17,'지수RAW'!$R$7:$R$12040,0)-1,1),GOOGLEFINANCE(Q$2))"),2204.85)</f>
        <v>2204.85</v>
      </c>
      <c r="R17" s="5">
        <f ca="1">IFERROR(__xludf.DUMMYFUNCTION("iferror(index('지수RAW'!$F$7:$F$12040,MATCH($D17,'지수RAW'!$B$7:$B$12040,0)-1,1),GOOGLEFINANCE(R$2))"),2704.1)</f>
        <v>2704.1</v>
      </c>
      <c r="S17" s="9">
        <f ca="1">IFERROR(__xludf.DUMMYFUNCTION("iferror(index('지수RAW'!$N$7:$N$12040,MATCH($D17,'지수RAW'!$J$7:$J$12040,0)-1,1),GOOGLEFINANCE(S$2))"),7281.74)</f>
        <v>7281.74</v>
      </c>
      <c r="T17" s="5"/>
      <c r="U17" s="29">
        <f t="array" aca="1" ref="U17" ca="1">IFERROR(INDEX(지수RAW!$AT$7:$AT$12040,MATCH($D17,지수RAW!$AP$7:$AP$12040,0)-1,1),지수RAW!$AU$4)</f>
        <v>1325.2</v>
      </c>
      <c r="V17" s="29">
        <f ca="1">IFERROR(__xludf.DUMMYFUNCTION("iferror(index('지수RAW'!$AL$7:$AL$12040,MATCH($D17,'지수RAW'!$AH$7:$AH$12040,0)-1,1),GOOGLEFINANCE(V$2))"),3419.343)</f>
        <v>3419.3429999999998</v>
      </c>
      <c r="W17" s="30">
        <f ca="1">IFERROR(__xludf.DUMMYFUNCTION("iferror(index('지수RAW'!$AD$7:$AD$12040,MATCH($D17,'지수RAW'!$Z$7:$Z$12040,0)-1,1),GOOGLEFINANCE(W$2))"),1111.55)</f>
        <v>1111.55</v>
      </c>
      <c r="X17" s="36">
        <f t="shared" ca="1" si="0"/>
        <v>3005742.355</v>
      </c>
      <c r="Y17" s="36">
        <f t="shared" ca="1" si="1"/>
        <v>8094018.0969999991</v>
      </c>
      <c r="Z17" s="36">
        <f t="shared" ca="1" si="2"/>
        <v>1473026.06</v>
      </c>
      <c r="AA17" s="36">
        <f t="shared" ca="1" si="3"/>
        <v>3800770.7116499995</v>
      </c>
      <c r="AB17" s="12"/>
      <c r="AC17" s="42">
        <f t="shared" ca="1" si="13"/>
        <v>104.26613637003199</v>
      </c>
      <c r="AD17" s="42">
        <f t="shared" ca="1" si="14"/>
        <v>105.45519329977205</v>
      </c>
      <c r="AE17" s="42">
        <f t="shared" ca="1" si="15"/>
        <v>109.98058864574027</v>
      </c>
      <c r="AF17" s="42">
        <f t="shared" ca="1" si="16"/>
        <v>105.53233324491438</v>
      </c>
      <c r="AG17" s="42">
        <f t="shared" ca="1" si="17"/>
        <v>25.684168314645731</v>
      </c>
    </row>
    <row r="18" spans="1:33" ht="12.75" customHeight="1" x14ac:dyDescent="0.35">
      <c r="A18" s="5"/>
      <c r="B18" s="22">
        <f t="shared" si="4"/>
        <v>19</v>
      </c>
      <c r="C18" s="22">
        <f t="shared" si="5"/>
        <v>2</v>
      </c>
      <c r="D18" s="22" t="str">
        <f>IF(F18="12월",(E18+1)&amp;VLOOKUP(F18,인덱스!$C:$D,2,0),E18&amp;VLOOKUP(F18,인덱스!$C:$D,2,0))</f>
        <v>20193</v>
      </c>
      <c r="E18" s="5" t="str">
        <f t="shared" si="6"/>
        <v>2019</v>
      </c>
      <c r="F18" s="5" t="str">
        <f t="shared" si="7"/>
        <v>2월</v>
      </c>
      <c r="G18" s="37" t="str">
        <f>B18&amp;"."&amp;VLOOKUP(F18,인덱스!$A:$B,2,0)</f>
        <v>19.02</v>
      </c>
      <c r="H18" s="14">
        <f>IFERROR(VLOOKUP(G18,#REF!,2,0),)</f>
        <v>0</v>
      </c>
      <c r="I18" s="38">
        <f t="shared" ca="1" si="8"/>
        <v>88.974626036984944</v>
      </c>
      <c r="J18" s="38">
        <f t="shared" ca="1" si="9"/>
        <v>104.14720172351242</v>
      </c>
      <c r="K18" s="39">
        <f t="shared" ca="1" si="10"/>
        <v>109.1134935155047</v>
      </c>
      <c r="L18" s="39">
        <f t="shared" ca="1" si="11"/>
        <v>100.519361490873</v>
      </c>
      <c r="M18" s="39">
        <f t="shared" ca="1" si="12"/>
        <v>27.389083919806875</v>
      </c>
      <c r="N18" s="5"/>
      <c r="O18" s="5"/>
      <c r="P18" s="5"/>
      <c r="Q18" s="8">
        <f ca="1">IFERROR(__xludf.DUMMYFUNCTION("iferror(index('지수RAW'!$V$7:$V$12040,MATCH($D18,'지수RAW'!$R$7:$R$12040,0)-1,1),GOOGLEFINANCE(Q$2))"),2195.44)</f>
        <v>2195.44</v>
      </c>
      <c r="R18" s="5">
        <f ca="1">IFERROR(__xludf.DUMMYFUNCTION("iferror(index('지수RAW'!$F$7:$F$12040,MATCH($D18,'지수RAW'!$B$7:$B$12040,0)-1,1),GOOGLEFINANCE(R$2))"),2784.49)</f>
        <v>2784.49</v>
      </c>
      <c r="S18" s="9">
        <f ca="1">IFERROR(__xludf.DUMMYFUNCTION("iferror(index('지수RAW'!$N$7:$N$12040,MATCH($D18,'지수RAW'!$J$7:$J$12040,0)-1,1),GOOGLEFINANCE(S$2))"),7532.53)</f>
        <v>7532.53</v>
      </c>
      <c r="T18" s="5"/>
      <c r="U18" s="29">
        <f t="array" aca="1" ref="U18" ca="1">IFERROR(INDEX(지수RAW!$AT$7:$AT$12040,MATCH($D18,지수RAW!$AP$7:$AP$12040,0)-1,1),지수RAW!$AU$4)</f>
        <v>1316.1</v>
      </c>
      <c r="V18" s="29">
        <f ca="1">IFERROR(__xludf.DUMMYFUNCTION("iferror(index('지수RAW'!$AL$7:$AL$12040,MATCH($D18,'지수RAW'!$AH$7:$AH$12040,0)-1,1),GOOGLEFINANCE(V$2))"),3801.876)</f>
        <v>3801.8760000000002</v>
      </c>
      <c r="W18" s="30">
        <f ca="1">IFERROR(__xludf.DUMMYFUNCTION("iferror(index('지수RAW'!$AD$7:$AD$12040,MATCH($D18,'지수RAW'!$Z$7:$Z$12040,0)-1,1),GOOGLEFINANCE(W$2))"),1124.22)</f>
        <v>1124.22</v>
      </c>
      <c r="X18" s="36">
        <f t="shared" ca="1" si="0"/>
        <v>3130379.3477999996</v>
      </c>
      <c r="Y18" s="36">
        <f t="shared" ca="1" si="1"/>
        <v>8468220.8765999991</v>
      </c>
      <c r="Z18" s="36">
        <f t="shared" ca="1" si="2"/>
        <v>1479585.942</v>
      </c>
      <c r="AA18" s="36">
        <f t="shared" ca="1" si="3"/>
        <v>4274145.0367200002</v>
      </c>
      <c r="AB18" s="12"/>
      <c r="AC18" s="38">
        <f t="shared" ca="1" si="13"/>
        <v>105.4546136745242</v>
      </c>
      <c r="AD18" s="38">
        <f t="shared" ca="1" si="14"/>
        <v>109.82802923035742</v>
      </c>
      <c r="AE18" s="38">
        <f t="shared" ca="1" si="15"/>
        <v>115.06521305355253</v>
      </c>
      <c r="AF18" s="38">
        <f t="shared" ca="1" si="16"/>
        <v>106.00230432829856</v>
      </c>
      <c r="AG18" s="38">
        <f t="shared" ca="1" si="17"/>
        <v>28.883052636623564</v>
      </c>
    </row>
    <row r="19" spans="1:33" ht="12.75" customHeight="1" x14ac:dyDescent="0.35">
      <c r="A19" s="5"/>
      <c r="B19" s="22">
        <f t="shared" si="4"/>
        <v>19</v>
      </c>
      <c r="C19" s="22">
        <f t="shared" si="5"/>
        <v>3</v>
      </c>
      <c r="D19" s="22" t="str">
        <f>IF(F19="12월",(E19+1)&amp;VLOOKUP(F19,인덱스!$C:$D,2,0),E19&amp;VLOOKUP(F19,인덱스!$C:$D,2,0))</f>
        <v>20194</v>
      </c>
      <c r="E19" s="5" t="str">
        <f t="shared" si="6"/>
        <v>2019</v>
      </c>
      <c r="F19" s="5" t="str">
        <f t="shared" si="7"/>
        <v>3월</v>
      </c>
      <c r="G19" s="37" t="str">
        <f>B19&amp;"."&amp;VLOOKUP(F19,인덱스!$A:$B,2,0)</f>
        <v>19.03</v>
      </c>
      <c r="H19" s="14">
        <f>IFERROR(VLOOKUP(G19,#REF!,2,0),)</f>
        <v>0</v>
      </c>
      <c r="I19" s="38">
        <f t="shared" ca="1" si="8"/>
        <v>86.754961519600883</v>
      </c>
      <c r="J19" s="38">
        <f t="shared" ca="1" si="9"/>
        <v>106.01396613567427</v>
      </c>
      <c r="K19" s="39">
        <f t="shared" ca="1" si="10"/>
        <v>111.96412197485584</v>
      </c>
      <c r="L19" s="39">
        <f t="shared" ca="1" si="11"/>
        <v>99.175131749789983</v>
      </c>
      <c r="M19" s="39">
        <f t="shared" ca="1" si="12"/>
        <v>29.689899639723109</v>
      </c>
      <c r="N19" s="5"/>
      <c r="O19" s="5"/>
      <c r="P19" s="5"/>
      <c r="Q19" s="8">
        <f ca="1">IFERROR(__xludf.DUMMYFUNCTION("iferror(index('지수RAW'!$V$7:$V$12040,MATCH($D19,'지수RAW'!$R$7:$R$12040,0)-1,1),GOOGLEFINANCE(Q$2))"),2140.67)</f>
        <v>2140.67</v>
      </c>
      <c r="R19" s="5">
        <f ca="1">IFERROR(__xludf.DUMMYFUNCTION("iferror(index('지수RAW'!$F$7:$F$12040,MATCH($D19,'지수RAW'!$B$7:$B$12040,0)-1,1),GOOGLEFINANCE(R$2))"),2834.4)</f>
        <v>2834.4</v>
      </c>
      <c r="S19" s="9">
        <f ca="1">IFERROR(__xludf.DUMMYFUNCTION("iferror(index('지수RAW'!$N$7:$N$12040,MATCH($D19,'지수RAW'!$J$7:$J$12040,0)-1,1),GOOGLEFINANCE(S$2))"),7729.32)</f>
        <v>7729.32</v>
      </c>
      <c r="T19" s="5"/>
      <c r="U19" s="29">
        <f t="array" aca="1" ref="U19" ca="1">IFERROR(INDEX(지수RAW!$AT$7:$AT$12040,MATCH($D19,지수RAW!$AP$7:$AP$12040,0)-1,1),지수RAW!$AU$4)</f>
        <v>1298.5</v>
      </c>
      <c r="V19" s="29">
        <f ca="1">IFERROR(__xludf.DUMMYFUNCTION("iferror(index('지수RAW'!$AL$7:$AL$12040,MATCH($D19,'지수RAW'!$AH$7:$AH$12040,0)-1,1),GOOGLEFINANCE(V$2))"),4121.252)</f>
        <v>4121.2520000000004</v>
      </c>
      <c r="W19" s="30">
        <f ca="1">IFERROR(__xludf.DUMMYFUNCTION("iferror(index('지수RAW'!$AD$7:$AD$12040,MATCH($D19,'지수RAW'!$Z$7:$Z$12040,0)-1,1),GOOGLEFINANCE(W$2))"),1136.7)</f>
        <v>1136.7</v>
      </c>
      <c r="X19" s="36">
        <f t="shared" ca="1" si="0"/>
        <v>3221862.4800000004</v>
      </c>
      <c r="Y19" s="36">
        <f t="shared" ca="1" si="1"/>
        <v>8785918.0439999998</v>
      </c>
      <c r="Z19" s="36">
        <f t="shared" ca="1" si="2"/>
        <v>1476004.95</v>
      </c>
      <c r="AA19" s="36">
        <f t="shared" ca="1" si="3"/>
        <v>4684627.1484000003</v>
      </c>
      <c r="AB19" s="12"/>
      <c r="AC19" s="38">
        <f t="shared" ca="1" si="13"/>
        <v>106.62526850957255</v>
      </c>
      <c r="AD19" s="38">
        <f t="shared" ca="1" si="14"/>
        <v>113.03767604981</v>
      </c>
      <c r="AE19" s="38">
        <f t="shared" ca="1" si="15"/>
        <v>119.38204569007539</v>
      </c>
      <c r="AF19" s="38">
        <f t="shared" ca="1" si="16"/>
        <v>105.74575052293589</v>
      </c>
      <c r="AG19" s="38">
        <f t="shared" ca="1" si="17"/>
        <v>31.656935211077368</v>
      </c>
    </row>
    <row r="20" spans="1:33" ht="12.75" customHeight="1" x14ac:dyDescent="0.35">
      <c r="A20" s="5"/>
      <c r="B20" s="22">
        <f t="shared" si="4"/>
        <v>19</v>
      </c>
      <c r="C20" s="22">
        <f t="shared" si="5"/>
        <v>4</v>
      </c>
      <c r="D20" s="22" t="str">
        <f>IF(F20="12월",(E20+1)&amp;VLOOKUP(F20,인덱스!$C:$D,2,0),E20&amp;VLOOKUP(F20,인덱스!$C:$D,2,0))</f>
        <v>20195</v>
      </c>
      <c r="E20" s="5" t="str">
        <f t="shared" si="6"/>
        <v>2019</v>
      </c>
      <c r="F20" s="5" t="str">
        <f t="shared" si="7"/>
        <v>4월</v>
      </c>
      <c r="G20" s="37" t="str">
        <f>B20&amp;"."&amp;VLOOKUP(F20,인덱스!$A:$B,2,0)</f>
        <v>19.04</v>
      </c>
      <c r="H20" s="14">
        <f>IFERROR(VLOOKUP(G20,#REF!,2,0),)</f>
        <v>0</v>
      </c>
      <c r="I20" s="38">
        <f t="shared" ca="1" si="8"/>
        <v>89.304921195222661</v>
      </c>
      <c r="J20" s="38">
        <f t="shared" ca="1" si="9"/>
        <v>110.18173929630726</v>
      </c>
      <c r="K20" s="39">
        <f t="shared" ca="1" si="10"/>
        <v>117.26687902610169</v>
      </c>
      <c r="L20" s="39">
        <f t="shared" ca="1" si="11"/>
        <v>98.197510119911428</v>
      </c>
      <c r="M20" s="39">
        <f t="shared" ca="1" si="12"/>
        <v>38.08478357811655</v>
      </c>
      <c r="N20" s="5"/>
      <c r="O20" s="5"/>
      <c r="P20" s="5"/>
      <c r="Q20" s="8">
        <f ca="1">IFERROR(__xludf.DUMMYFUNCTION("iferror(index('지수RAW'!$V$7:$V$12040,MATCH($D20,'지수RAW'!$R$7:$R$12040,0)-1,1),GOOGLEFINANCE(Q$2))"),2203.59)</f>
        <v>2203.59</v>
      </c>
      <c r="R20" s="5">
        <f ca="1">IFERROR(__xludf.DUMMYFUNCTION("iferror(index('지수RAW'!$F$7:$F$12040,MATCH($D20,'지수RAW'!$B$7:$B$12040,0)-1,1),GOOGLEFINANCE(R$2))"),2945.83)</f>
        <v>2945.83</v>
      </c>
      <c r="S20" s="9">
        <f ca="1">IFERROR(__xludf.DUMMYFUNCTION("iferror(index('지수RAW'!$N$7:$N$12040,MATCH($D20,'지수RAW'!$J$7:$J$12040,0)-1,1),GOOGLEFINANCE(S$2))"),8095.39)</f>
        <v>8095.39</v>
      </c>
      <c r="T20" s="5"/>
      <c r="U20" s="29">
        <f t="array" aca="1" ref="U20" ca="1">IFERROR(INDEX(지수RAW!$AT$7:$AT$12040,MATCH($D20,지수RAW!$AP$7:$AP$12040,0)-1,1),지수RAW!$AU$4)</f>
        <v>1285.7</v>
      </c>
      <c r="V20" s="29">
        <f ca="1">IFERROR(__xludf.DUMMYFUNCTION("iferror(index('지수RAW'!$AL$7:$AL$12040,MATCH($D20,'지수RAW'!$AH$7:$AH$12040,0)-1,1),GOOGLEFINANCE(V$2))"),5286.545)</f>
        <v>5286.5450000000001</v>
      </c>
      <c r="W20" s="30">
        <f ca="1">IFERROR(__xludf.DUMMYFUNCTION("iferror(index('지수RAW'!$AD$7:$AD$12040,MATCH($D20,'지수RAW'!$Z$7:$Z$12040,0)-1,1),GOOGLEFINANCE(W$2))"),1163.26)</f>
        <v>1163.26</v>
      </c>
      <c r="X20" s="36">
        <f t="shared" ca="1" si="0"/>
        <v>3426766.2058000001</v>
      </c>
      <c r="Y20" s="36">
        <f t="shared" ca="1" si="1"/>
        <v>9417043.3714000005</v>
      </c>
      <c r="Z20" s="36">
        <f t="shared" ca="1" si="2"/>
        <v>1495603.382</v>
      </c>
      <c r="AA20" s="36">
        <f t="shared" ca="1" si="3"/>
        <v>6149626.3366999999</v>
      </c>
      <c r="AB20" s="12"/>
      <c r="AC20" s="38">
        <f t="shared" ca="1" si="13"/>
        <v>109.11666213288058</v>
      </c>
      <c r="AD20" s="38">
        <f t="shared" ca="1" si="14"/>
        <v>120.22663620008292</v>
      </c>
      <c r="AE20" s="38">
        <f t="shared" ca="1" si="15"/>
        <v>127.95770418068521</v>
      </c>
      <c r="AF20" s="38">
        <f t="shared" ca="1" si="16"/>
        <v>107.14984534044497</v>
      </c>
      <c r="AG20" s="38">
        <f t="shared" ca="1" si="17"/>
        <v>41.556844620972214</v>
      </c>
    </row>
    <row r="21" spans="1:33" ht="12.75" customHeight="1" x14ac:dyDescent="0.35">
      <c r="A21" s="5"/>
      <c r="B21" s="22">
        <f t="shared" si="4"/>
        <v>19</v>
      </c>
      <c r="C21" s="22">
        <f t="shared" si="5"/>
        <v>5</v>
      </c>
      <c r="D21" s="22" t="str">
        <f>IF(F21="12월",(E21+1)&amp;VLOOKUP(F21,인덱스!$C:$D,2,0),E21&amp;VLOOKUP(F21,인덱스!$C:$D,2,0))</f>
        <v>20196</v>
      </c>
      <c r="E21" s="5" t="str">
        <f t="shared" si="6"/>
        <v>2019</v>
      </c>
      <c r="F21" s="5" t="str">
        <f t="shared" si="7"/>
        <v>5월</v>
      </c>
      <c r="G21" s="37" t="str">
        <f>B21&amp;"."&amp;VLOOKUP(F21,인덱스!$A:$B,2,0)</f>
        <v>19.05</v>
      </c>
      <c r="H21" s="14">
        <f>IFERROR(VLOOKUP(G21,#REF!,2,0),)</f>
        <v>0</v>
      </c>
      <c r="I21" s="38">
        <f t="shared" ca="1" si="8"/>
        <v>82.745624095740993</v>
      </c>
      <c r="J21" s="38">
        <f t="shared" ca="1" si="9"/>
        <v>102.9342349856561</v>
      </c>
      <c r="K21" s="39">
        <f t="shared" ca="1" si="10"/>
        <v>107.96362366895106</v>
      </c>
      <c r="L21" s="39">
        <f t="shared" ca="1" si="11"/>
        <v>100.13747804170168</v>
      </c>
      <c r="M21" s="39">
        <f t="shared" ca="1" si="12"/>
        <v>61.626634699686413</v>
      </c>
      <c r="N21" s="5"/>
      <c r="O21" s="5"/>
      <c r="P21" s="5"/>
      <c r="Q21" s="8">
        <f ca="1">IFERROR(__xludf.DUMMYFUNCTION("iferror(index('지수RAW'!$V$7:$V$12040,MATCH($D21,'지수RAW'!$R$7:$R$12040,0)-1,1),GOOGLEFINANCE(Q$2))"),2041.74)</f>
        <v>2041.74</v>
      </c>
      <c r="R21" s="5">
        <f ca="1">IFERROR(__xludf.DUMMYFUNCTION("iferror(index('지수RAW'!$F$7:$F$12040,MATCH($D21,'지수RAW'!$B$7:$B$12040,0)-1,1),GOOGLEFINANCE(R$2))"),2752.06)</f>
        <v>2752.06</v>
      </c>
      <c r="S21" s="9">
        <f ca="1">IFERROR(__xludf.DUMMYFUNCTION("iferror(index('지수RAW'!$N$7:$N$12040,MATCH($D21,'지수RAW'!$J$7:$J$12040,0)-1,1),GOOGLEFINANCE(S$2))"),7453.15)</f>
        <v>7453.15</v>
      </c>
      <c r="T21" s="5"/>
      <c r="U21" s="29">
        <f t="array" aca="1" ref="U21" ca="1">IFERROR(INDEX(지수RAW!$AT$7:$AT$12040,MATCH($D21,지수RAW!$AP$7:$AP$12040,0)-1,1),지수RAW!$AU$4)</f>
        <v>1311.1</v>
      </c>
      <c r="V21" s="29">
        <f ca="1">IFERROR(__xludf.DUMMYFUNCTION("iferror(index('지수RAW'!$AL$7:$AL$12040,MATCH($D21,'지수RAW'!$AH$7:$AH$12040,0)-1,1),GOOGLEFINANCE(V$2))"),8554.387)</f>
        <v>8554.3870000000006</v>
      </c>
      <c r="W21" s="30">
        <f ca="1">IFERROR(__xludf.DUMMYFUNCTION("iferror(index('지수RAW'!$AD$7:$AD$12040,MATCH($D21,'지수RAW'!$Z$7:$Z$12040,0)-1,1),GOOGLEFINANCE(W$2))"),1187.97)</f>
        <v>1187.97</v>
      </c>
      <c r="X21" s="36">
        <f t="shared" ca="1" si="0"/>
        <v>3269364.7182</v>
      </c>
      <c r="Y21" s="36">
        <f t="shared" ca="1" si="1"/>
        <v>8854118.6054999996</v>
      </c>
      <c r="Z21" s="36">
        <f t="shared" ca="1" si="2"/>
        <v>1557547.4669999999</v>
      </c>
      <c r="AA21" s="36">
        <f t="shared" ca="1" si="3"/>
        <v>10162355.12439</v>
      </c>
      <c r="AB21" s="12"/>
      <c r="AC21" s="38">
        <f t="shared" ca="1" si="13"/>
        <v>111.43452118528802</v>
      </c>
      <c r="AD21" s="38">
        <f t="shared" ca="1" si="14"/>
        <v>114.70427189200512</v>
      </c>
      <c r="AE21" s="38">
        <f t="shared" ca="1" si="15"/>
        <v>120.30874708978193</v>
      </c>
      <c r="AF21" s="38">
        <f t="shared" ca="1" si="16"/>
        <v>111.58771918279321</v>
      </c>
      <c r="AG21" s="38">
        <f t="shared" ca="1" si="17"/>
        <v>68.673345300202101</v>
      </c>
    </row>
    <row r="22" spans="1:33" ht="12.75" customHeight="1" x14ac:dyDescent="0.35">
      <c r="A22" s="5"/>
      <c r="B22" s="22">
        <f t="shared" si="4"/>
        <v>19</v>
      </c>
      <c r="C22" s="22">
        <f t="shared" si="5"/>
        <v>6</v>
      </c>
      <c r="D22" s="22" t="str">
        <f>IF(F22="12월",(E22+1)&amp;VLOOKUP(F22,인덱스!$C:$D,2,0),E22&amp;VLOOKUP(F22,인덱스!$C:$D,2,0))</f>
        <v>20197</v>
      </c>
      <c r="E22" s="5" t="str">
        <f t="shared" si="6"/>
        <v>2019</v>
      </c>
      <c r="F22" s="5" t="str">
        <f t="shared" si="7"/>
        <v>6월</v>
      </c>
      <c r="G22" s="37" t="str">
        <f>B22&amp;"."&amp;VLOOKUP(F22,인덱스!$A:$B,2,0)</f>
        <v>19.06</v>
      </c>
      <c r="H22" s="14">
        <f>IFERROR(VLOOKUP(G22,#REF!,2,0),)</f>
        <v>0</v>
      </c>
      <c r="I22" s="38">
        <f t="shared" ca="1" si="8"/>
        <v>86.347665036129797</v>
      </c>
      <c r="J22" s="38">
        <f t="shared" ca="1" si="9"/>
        <v>110.02951066161484</v>
      </c>
      <c r="K22" s="39">
        <f t="shared" ca="1" si="10"/>
        <v>115.97548450833575</v>
      </c>
      <c r="L22" s="39">
        <f t="shared" ca="1" si="11"/>
        <v>107.97372641869703</v>
      </c>
      <c r="M22" s="39">
        <f t="shared" ca="1" si="12"/>
        <v>77.582218559339069</v>
      </c>
      <c r="N22" s="5"/>
      <c r="O22" s="5"/>
      <c r="P22" s="5"/>
      <c r="Q22" s="8">
        <f ca="1">IFERROR(__xludf.DUMMYFUNCTION("iferror(index('지수RAW'!$V$7:$V$12040,MATCH($D22,'지수RAW'!$R$7:$R$12040,0)-1,1),GOOGLEFINANCE(Q$2))"),2130.62)</f>
        <v>2130.62</v>
      </c>
      <c r="R22" s="5">
        <f ca="1">IFERROR(__xludf.DUMMYFUNCTION("iferror(index('지수RAW'!$F$7:$F$12040,MATCH($D22,'지수RAW'!$B$7:$B$12040,0)-1,1),GOOGLEFINANCE(R$2))"),2941.76)</f>
        <v>2941.76</v>
      </c>
      <c r="S22" s="9">
        <f ca="1">IFERROR(__xludf.DUMMYFUNCTION("iferror(index('지수RAW'!$N$7:$N$12040,MATCH($D22,'지수RAW'!$J$7:$J$12040,0)-1,1),GOOGLEFINANCE(S$2))"),8006.24)</f>
        <v>8006.24</v>
      </c>
      <c r="T22" s="5"/>
      <c r="U22" s="29">
        <f t="array" aca="1" ref="U22" ca="1">IFERROR(INDEX(지수RAW!$AT$7:$AT$12040,MATCH($D22,지수RAW!$AP$7:$AP$12040,0)-1,1),지수RAW!$AU$4)</f>
        <v>1413.7</v>
      </c>
      <c r="V22" s="29">
        <f ca="1">IFERROR(__xludf.DUMMYFUNCTION("iferror(index('지수RAW'!$AL$7:$AL$12040,MATCH($D22,'지수RAW'!$AH$7:$AH$12040,0)-1,1),GOOGLEFINANCE(V$2))"),10769.18)</f>
        <v>10769.18</v>
      </c>
      <c r="W22" s="30">
        <f ca="1">IFERROR(__xludf.DUMMYFUNCTION("iferror(index('지수RAW'!$AD$7:$AD$12040,MATCH($D22,'지수RAW'!$Z$7:$Z$12040,0)-1,1),GOOGLEFINANCE(W$2))"),1155.6)</f>
        <v>1155.5999999999999</v>
      </c>
      <c r="X22" s="36">
        <f t="shared" ca="1" si="0"/>
        <v>3399497.8560000001</v>
      </c>
      <c r="Y22" s="36">
        <f t="shared" ca="1" si="1"/>
        <v>9252010.9439999983</v>
      </c>
      <c r="Z22" s="36">
        <f t="shared" ca="1" si="2"/>
        <v>1633671.72</v>
      </c>
      <c r="AA22" s="36">
        <f t="shared" ca="1" si="3"/>
        <v>12444864.408</v>
      </c>
      <c r="AB22" s="12"/>
      <c r="AC22" s="38">
        <f t="shared" ca="1" si="13"/>
        <v>108.39813520688134</v>
      </c>
      <c r="AD22" s="38">
        <f t="shared" ca="1" si="14"/>
        <v>119.2699377344472</v>
      </c>
      <c r="AE22" s="38">
        <f t="shared" ca="1" si="15"/>
        <v>125.71526250418155</v>
      </c>
      <c r="AF22" s="38">
        <f t="shared" ca="1" si="16"/>
        <v>117.04150595124737</v>
      </c>
      <c r="AG22" s="38">
        <f t="shared" ca="1" si="17"/>
        <v>84.097678170450536</v>
      </c>
    </row>
    <row r="23" spans="1:33" ht="12.75" customHeight="1" x14ac:dyDescent="0.35">
      <c r="A23" s="5"/>
      <c r="B23" s="22">
        <f t="shared" si="4"/>
        <v>19</v>
      </c>
      <c r="C23" s="22">
        <f t="shared" si="5"/>
        <v>7</v>
      </c>
      <c r="D23" s="22" t="str">
        <f>IF(F23="12월",(E23+1)&amp;VLOOKUP(F23,인덱스!$C:$D,2,0),E23&amp;VLOOKUP(F23,인덱스!$C:$D,2,0))</f>
        <v>20198</v>
      </c>
      <c r="E23" s="5" t="str">
        <f t="shared" si="6"/>
        <v>2019</v>
      </c>
      <c r="F23" s="5" t="str">
        <f t="shared" si="7"/>
        <v>7월</v>
      </c>
      <c r="G23" s="37" t="str">
        <f>B23&amp;"."&amp;VLOOKUP(F23,인덱스!$A:$B,2,0)</f>
        <v>19.07</v>
      </c>
      <c r="H23" s="14">
        <f>IFERROR(VLOOKUP(G23,#REF!,2,0),)</f>
        <v>0</v>
      </c>
      <c r="I23" s="38">
        <f t="shared" ca="1" si="8"/>
        <v>82.048964737445715</v>
      </c>
      <c r="J23" s="38">
        <f t="shared" ca="1" si="9"/>
        <v>111.47399957361023</v>
      </c>
      <c r="K23" s="39">
        <f t="shared" ca="1" si="10"/>
        <v>118.42616453655378</v>
      </c>
      <c r="L23" s="39">
        <f t="shared" ca="1" si="11"/>
        <v>109.81440464370274</v>
      </c>
      <c r="M23" s="39">
        <f t="shared" ca="1" si="12"/>
        <v>72.651518371528255</v>
      </c>
      <c r="N23" s="5"/>
      <c r="O23" s="5"/>
      <c r="P23" s="5"/>
      <c r="Q23" s="8">
        <f ca="1">IFERROR(__xludf.DUMMYFUNCTION("iferror(index('지수RAW'!$V$7:$V$12040,MATCH($D23,'지수RAW'!$R$7:$R$12040,0)-1,1),GOOGLEFINANCE(Q$2))"),2024.55)</f>
        <v>2024.55</v>
      </c>
      <c r="R23" s="5">
        <f ca="1">IFERROR(__xludf.DUMMYFUNCTION("iferror(index('지수RAW'!$F$7:$F$12040,MATCH($D23,'지수RAW'!$B$7:$B$12040,0)-1,1),GOOGLEFINANCE(R$2))"),2980.38)</f>
        <v>2980.38</v>
      </c>
      <c r="S23" s="9">
        <f ca="1">IFERROR(__xludf.DUMMYFUNCTION("iferror(index('지수RAW'!$N$7:$N$12040,MATCH($D23,'지수RAW'!$J$7:$J$12040,0)-1,1),GOOGLEFINANCE(S$2))"),8175.42)</f>
        <v>8175.42</v>
      </c>
      <c r="T23" s="5"/>
      <c r="U23" s="29">
        <f t="array" aca="1" ref="U23" ca="1">IFERROR(INDEX(지수RAW!$AT$7:$AT$12040,MATCH($D23,지수RAW!$AP$7:$AP$12040,0)-1,1),지수RAW!$AU$4)</f>
        <v>1437.8</v>
      </c>
      <c r="V23" s="29">
        <f ca="1">IFERROR(__xludf.DUMMYFUNCTION("iferror(index('지수RAW'!$AL$7:$AL$12040,MATCH($D23,'지수RAW'!$AH$7:$AH$12040,0)-1,1),GOOGLEFINANCE(V$2))"),10084.75)</f>
        <v>10084.75</v>
      </c>
      <c r="W23" s="30">
        <f ca="1">IFERROR(__xludf.DUMMYFUNCTION("iferror(index('지수RAW'!$AD$7:$AD$12040,MATCH($D23,'지수RAW'!$Z$7:$Z$12040,0)-1,1),GOOGLEFINANCE(W$2))"),1186.31)</f>
        <v>1186.31</v>
      </c>
      <c r="X23" s="36">
        <f t="shared" ca="1" si="0"/>
        <v>3535654.5978000001</v>
      </c>
      <c r="Y23" s="36">
        <f t="shared" ca="1" si="1"/>
        <v>9698582.5001999997</v>
      </c>
      <c r="Z23" s="36">
        <f t="shared" ca="1" si="2"/>
        <v>1705676.5179999999</v>
      </c>
      <c r="AA23" s="36">
        <f t="shared" ca="1" si="3"/>
        <v>11963639.772499999</v>
      </c>
      <c r="AB23" s="12"/>
      <c r="AC23" s="38">
        <f t="shared" ca="1" si="13"/>
        <v>111.27880908383125</v>
      </c>
      <c r="AD23" s="38">
        <f t="shared" ca="1" si="14"/>
        <v>124.04693916362862</v>
      </c>
      <c r="AE23" s="38">
        <f t="shared" ca="1" si="15"/>
        <v>131.78322553993561</v>
      </c>
      <c r="AF23" s="38">
        <f t="shared" ca="1" si="16"/>
        <v>122.20016169001194</v>
      </c>
      <c r="AG23" s="38">
        <f t="shared" ca="1" si="17"/>
        <v>80.845744425157505</v>
      </c>
    </row>
    <row r="24" spans="1:33" ht="12.75" customHeight="1" x14ac:dyDescent="0.35">
      <c r="A24" s="5"/>
      <c r="B24" s="22">
        <f t="shared" si="4"/>
        <v>19</v>
      </c>
      <c r="C24" s="22">
        <f t="shared" si="5"/>
        <v>8</v>
      </c>
      <c r="D24" s="22" t="str">
        <f>IF(F24="12월",(E24+1)&amp;VLOOKUP(F24,인덱스!$C:$D,2,0),E24&amp;VLOOKUP(F24,인덱스!$C:$D,2,0))</f>
        <v>20199</v>
      </c>
      <c r="E24" s="5" t="str">
        <f t="shared" si="6"/>
        <v>2019</v>
      </c>
      <c r="F24" s="5" t="str">
        <f t="shared" si="7"/>
        <v>8월</v>
      </c>
      <c r="G24" s="37" t="str">
        <f>B24&amp;"."&amp;VLOOKUP(F24,인덱스!$A:$B,2,0)</f>
        <v>19.08</v>
      </c>
      <c r="H24" s="14">
        <f>IFERROR(VLOOKUP(G24,#REF!,2,0),)</f>
        <v>0</v>
      </c>
      <c r="I24" s="38">
        <f t="shared" ca="1" si="8"/>
        <v>79.748651463633053</v>
      </c>
      <c r="J24" s="38">
        <f t="shared" ca="1" si="9"/>
        <v>109.45725068353276</v>
      </c>
      <c r="K24" s="39">
        <f t="shared" ca="1" si="10"/>
        <v>115.34738729812454</v>
      </c>
      <c r="L24" s="39">
        <f t="shared" ca="1" si="11"/>
        <v>117.38333460627817</v>
      </c>
      <c r="M24" s="39">
        <f t="shared" ca="1" si="12"/>
        <v>69.29665679465225</v>
      </c>
      <c r="N24" s="5"/>
      <c r="O24" s="5"/>
      <c r="P24" s="5"/>
      <c r="Q24" s="8">
        <f ca="1">IFERROR(__xludf.DUMMYFUNCTION("iferror(index('지수RAW'!$V$7:$V$12040,MATCH($D24,'지수RAW'!$R$7:$R$12040,0)-1,1),GOOGLEFINANCE(Q$2))"),1967.79)</f>
        <v>1967.79</v>
      </c>
      <c r="R24" s="5">
        <f ca="1">IFERROR(__xludf.DUMMYFUNCTION("iferror(index('지수RAW'!$F$7:$F$12040,MATCH($D24,'지수RAW'!$B$7:$B$12040,0)-1,1),GOOGLEFINANCE(R$2))"),2926.46)</f>
        <v>2926.46</v>
      </c>
      <c r="S24" s="9">
        <f ca="1">IFERROR(__xludf.DUMMYFUNCTION("iferror(index('지수RAW'!$N$7:$N$12040,MATCH($D24,'지수RAW'!$J$7:$J$12040,0)-1,1),GOOGLEFINANCE(S$2))"),7962.88)</f>
        <v>7962.88</v>
      </c>
      <c r="T24" s="5"/>
      <c r="U24" s="29">
        <f t="array" aca="1" ref="U24" ca="1">IFERROR(INDEX(지수RAW!$AT$7:$AT$12040,MATCH($D24,지수RAW!$AP$7:$AP$12040,0)-1,1),지수RAW!$AU$4)</f>
        <v>1536.9</v>
      </c>
      <c r="V24" s="29">
        <f ca="1">IFERROR(__xludf.DUMMYFUNCTION("iferror(index('지수RAW'!$AL$7:$AL$12040,MATCH($D24,'지수RAW'!$AH$7:$AH$12040,0)-1,1),GOOGLEFINANCE(V$2))"),9619.062)</f>
        <v>9619.0619999999999</v>
      </c>
      <c r="W24" s="30">
        <f ca="1">IFERROR(__xludf.DUMMYFUNCTION("iferror(index('지수RAW'!$AD$7:$AD$12040,MATCH($D24,'지수RAW'!$Z$7:$Z$12040,0)-1,1),GOOGLEFINANCE(W$2))"),1209.51)</f>
        <v>1209.51</v>
      </c>
      <c r="X24" s="36">
        <f t="shared" ca="1" si="0"/>
        <v>3539582.6346</v>
      </c>
      <c r="Y24" s="36">
        <f t="shared" ca="1" si="1"/>
        <v>9631182.9888000004</v>
      </c>
      <c r="Z24" s="36">
        <f t="shared" ca="1" si="2"/>
        <v>1858895.919</v>
      </c>
      <c r="AA24" s="36">
        <f t="shared" ca="1" si="3"/>
        <v>11634351.67962</v>
      </c>
      <c r="AB24" s="12"/>
      <c r="AC24" s="38">
        <f t="shared" ca="1" si="13"/>
        <v>113.4550264053955</v>
      </c>
      <c r="AD24" s="38">
        <f t="shared" ca="1" si="14"/>
        <v>124.18475266562209</v>
      </c>
      <c r="AE24" s="38">
        <f t="shared" ca="1" si="15"/>
        <v>130.86740871702108</v>
      </c>
      <c r="AF24" s="38">
        <f t="shared" ca="1" si="16"/>
        <v>133.17729327308672</v>
      </c>
      <c r="AG24" s="38">
        <f t="shared" ca="1" si="17"/>
        <v>78.62054026442901</v>
      </c>
    </row>
    <row r="25" spans="1:33" ht="12.75" customHeight="1" x14ac:dyDescent="0.35">
      <c r="A25" s="5"/>
      <c r="B25" s="22">
        <f t="shared" si="4"/>
        <v>19</v>
      </c>
      <c r="C25" s="22">
        <f t="shared" si="5"/>
        <v>9</v>
      </c>
      <c r="D25" s="22" t="str">
        <f>IF(F25="12월",(E25+1)&amp;VLOOKUP(F25,인덱스!$C:$D,2,0),E25&amp;VLOOKUP(F25,인덱스!$C:$D,2,0))</f>
        <v>201910</v>
      </c>
      <c r="E25" s="5" t="str">
        <f t="shared" si="6"/>
        <v>2019</v>
      </c>
      <c r="F25" s="5" t="str">
        <f t="shared" si="7"/>
        <v>9월</v>
      </c>
      <c r="G25" s="37" t="str">
        <f>B25&amp;"."&amp;VLOOKUP(F25,인덱스!$A:$B,2,0)</f>
        <v>19.09</v>
      </c>
      <c r="H25" s="14">
        <f>IFERROR(VLOOKUP(G25,#REF!,2,0),)</f>
        <v>0</v>
      </c>
      <c r="I25" s="38">
        <f t="shared" ca="1" si="8"/>
        <v>83.609254748752761</v>
      </c>
      <c r="J25" s="38">
        <f t="shared" ca="1" si="9"/>
        <v>111.33785406248479</v>
      </c>
      <c r="K25" s="39">
        <f t="shared" ca="1" si="10"/>
        <v>115.87538875827671</v>
      </c>
      <c r="L25" s="39">
        <f t="shared" ca="1" si="11"/>
        <v>112.49522645688536</v>
      </c>
      <c r="M25" s="39">
        <f t="shared" ca="1" si="12"/>
        <v>59.766039742122139</v>
      </c>
      <c r="N25" s="5"/>
      <c r="O25" s="5"/>
      <c r="P25" s="5"/>
      <c r="Q25" s="8">
        <f ca="1">IFERROR(__xludf.DUMMYFUNCTION("iferror(index('지수RAW'!$V$7:$V$12040,MATCH($D25,'지수RAW'!$R$7:$R$12040,0)-1,1),GOOGLEFINANCE(Q$2))"),2063.05)</f>
        <v>2063.0500000000002</v>
      </c>
      <c r="R25" s="5">
        <f ca="1">IFERROR(__xludf.DUMMYFUNCTION("iferror(index('지수RAW'!$F$7:$F$12040,MATCH($D25,'지수RAW'!$B$7:$B$12040,0)-1,1),GOOGLEFINANCE(R$2))"),2976.74)</f>
        <v>2976.74</v>
      </c>
      <c r="S25" s="9">
        <f ca="1">IFERROR(__xludf.DUMMYFUNCTION("iferror(index('지수RAW'!$N$7:$N$12040,MATCH($D25,'지수RAW'!$J$7:$J$12040,0)-1,1),GOOGLEFINANCE(S$2))"),7999.33)</f>
        <v>7999.33</v>
      </c>
      <c r="T25" s="5"/>
      <c r="U25" s="29">
        <f t="array" aca="1" ref="U25" ca="1">IFERROR(INDEX(지수RAW!$AT$7:$AT$12040,MATCH($D25,지수RAW!$AP$7:$AP$12040,0)-1,1),지수RAW!$AU$4)</f>
        <v>1472.9</v>
      </c>
      <c r="V25" s="29">
        <f ca="1">IFERROR(__xludf.DUMMYFUNCTION("iferror(index('지수RAW'!$AL$7:$AL$12040,MATCH($D25,'지수RAW'!$AH$7:$AH$12040,0)-1,1),GOOGLEFINANCE(V$2))"),8296.118)</f>
        <v>8296.1180000000004</v>
      </c>
      <c r="W25" s="30">
        <f ca="1">IFERROR(__xludf.DUMMYFUNCTION("iferror(index('지수RAW'!$AD$7:$AD$12040,MATCH($D25,'지수RAW'!$Z$7:$Z$12040,0)-1,1),GOOGLEFINANCE(W$2))"),1198)</f>
        <v>1198</v>
      </c>
      <c r="X25" s="36">
        <f t="shared" ca="1" si="0"/>
        <v>3566134.5199999996</v>
      </c>
      <c r="Y25" s="36">
        <f t="shared" ca="1" si="1"/>
        <v>9583197.3399999999</v>
      </c>
      <c r="Z25" s="36">
        <f t="shared" ca="1" si="2"/>
        <v>1764534.2000000002</v>
      </c>
      <c r="AA25" s="36">
        <f t="shared" ca="1" si="3"/>
        <v>9938749.3640000001</v>
      </c>
      <c r="AB25" s="12"/>
      <c r="AC25" s="38">
        <f t="shared" ca="1" si="13"/>
        <v>112.37535996698152</v>
      </c>
      <c r="AD25" s="38">
        <f t="shared" ca="1" si="14"/>
        <v>125.11631428222989</v>
      </c>
      <c r="AE25" s="38">
        <f t="shared" ca="1" si="15"/>
        <v>130.21538523025276</v>
      </c>
      <c r="AF25" s="38">
        <f t="shared" ca="1" si="16"/>
        <v>126.41691567659602</v>
      </c>
      <c r="AG25" s="38">
        <f t="shared" ca="1" si="17"/>
        <v>67.162302298218989</v>
      </c>
    </row>
    <row r="26" spans="1:33" ht="12.75" customHeight="1" x14ac:dyDescent="0.35">
      <c r="A26" s="5"/>
      <c r="B26" s="22">
        <f t="shared" si="4"/>
        <v>19</v>
      </c>
      <c r="C26" s="22">
        <f t="shared" si="5"/>
        <v>10</v>
      </c>
      <c r="D26" s="22" t="str">
        <f>IF(F26="12월",(E26+1)&amp;VLOOKUP(F26,인덱스!$C:$D,2,0),E26&amp;VLOOKUP(F26,인덱스!$C:$D,2,0))</f>
        <v>201911</v>
      </c>
      <c r="E26" s="5" t="str">
        <f t="shared" si="6"/>
        <v>2019</v>
      </c>
      <c r="F26" s="5" t="str">
        <f t="shared" si="7"/>
        <v>10월</v>
      </c>
      <c r="G26" s="37" t="str">
        <f>B26&amp;"."&amp;VLOOKUP(F26,인덱스!$A:$B,2,0)</f>
        <v>19.10</v>
      </c>
      <c r="H26" s="14">
        <f>IFERROR(VLOOKUP(G26,#REF!,2,0),)</f>
        <v>0</v>
      </c>
      <c r="I26" s="38">
        <f t="shared" ca="1" si="8"/>
        <v>84.437221630077502</v>
      </c>
      <c r="J26" s="38">
        <f t="shared" ca="1" si="9"/>
        <v>113.95715904713101</v>
      </c>
      <c r="K26" s="39">
        <f t="shared" ca="1" si="10"/>
        <v>120.12011490007083</v>
      </c>
      <c r="L26" s="39">
        <f t="shared" ca="1" si="11"/>
        <v>115.69540976094096</v>
      </c>
      <c r="M26" s="39">
        <f t="shared" ca="1" si="12"/>
        <v>65.98491894310132</v>
      </c>
      <c r="N26" s="5"/>
      <c r="O26" s="5"/>
      <c r="P26" s="5"/>
      <c r="Q26" s="8">
        <f ca="1">IFERROR(__xludf.DUMMYFUNCTION("iferror(index('지수RAW'!$V$7:$V$12040,MATCH($D26,'지수RAW'!$R$7:$R$12040,0)-1,1),GOOGLEFINANCE(Q$2))"),2083.48)</f>
        <v>2083.48</v>
      </c>
      <c r="R26" s="5">
        <f ca="1">IFERROR(__xludf.DUMMYFUNCTION("iferror(index('지수RAW'!$F$7:$F$12040,MATCH($D26,'지수RAW'!$B$7:$B$12040,0)-1,1),GOOGLEFINANCE(R$2))"),3046.77)</f>
        <v>3046.77</v>
      </c>
      <c r="S26" s="9">
        <f ca="1">IFERROR(__xludf.DUMMYFUNCTION("iferror(index('지수RAW'!$N$7:$N$12040,MATCH($D26,'지수RAW'!$J$7:$J$12040,0)-1,1),GOOGLEFINANCE(S$2))"),8292.36)</f>
        <v>8292.36</v>
      </c>
      <c r="T26" s="5"/>
      <c r="U26" s="29">
        <f t="array" aca="1" ref="U26" ca="1">IFERROR(INDEX(지수RAW!$AT$7:$AT$12040,MATCH($D26,지수RAW!$AP$7:$AP$12040,0)-1,1),지수RAW!$AU$4)</f>
        <v>1514.8</v>
      </c>
      <c r="V26" s="29">
        <f ca="1">IFERROR(__xludf.DUMMYFUNCTION("iferror(index('지수RAW'!$AL$7:$AL$12040,MATCH($D26,'지수RAW'!$AH$7:$AH$12040,0)-1,1),GOOGLEFINANCE(V$2))"),9159.36)</f>
        <v>9159.36</v>
      </c>
      <c r="W26" s="30">
        <f ca="1">IFERROR(__xludf.DUMMYFUNCTION("iferror(index('지수RAW'!$AD$7:$AD$12040,MATCH($D26,'지수RAW'!$Z$7:$Z$12040,0)-1,1),GOOGLEFINANCE(W$2))"),1168.55)</f>
        <v>1168.55</v>
      </c>
      <c r="X26" s="36">
        <f t="shared" ca="1" si="0"/>
        <v>3560303.0834999997</v>
      </c>
      <c r="Y26" s="36">
        <f t="shared" ca="1" si="1"/>
        <v>9690037.2780000009</v>
      </c>
      <c r="Z26" s="36">
        <f t="shared" ca="1" si="2"/>
        <v>1770119.5399999998</v>
      </c>
      <c r="AA26" s="36">
        <f t="shared" ca="1" si="3"/>
        <v>10703170.128</v>
      </c>
      <c r="AB26" s="12"/>
      <c r="AC26" s="38">
        <f t="shared" ca="1" si="13"/>
        <v>109.61287720318552</v>
      </c>
      <c r="AD26" s="38">
        <f t="shared" ca="1" si="14"/>
        <v>124.9117208105706</v>
      </c>
      <c r="AE26" s="38">
        <f t="shared" ca="1" si="15"/>
        <v>131.66711404174006</v>
      </c>
      <c r="AF26" s="38">
        <f t="shared" ca="1" si="16"/>
        <v>126.81706743098256</v>
      </c>
      <c r="AG26" s="38">
        <f t="shared" ca="1" si="17"/>
        <v>72.32796817372315</v>
      </c>
    </row>
    <row r="27" spans="1:33" ht="12.75" customHeight="1" x14ac:dyDescent="0.35">
      <c r="A27" s="5"/>
      <c r="B27" s="22">
        <f t="shared" si="4"/>
        <v>19</v>
      </c>
      <c r="C27" s="22">
        <f t="shared" si="5"/>
        <v>11</v>
      </c>
      <c r="D27" s="22" t="str">
        <f>IF(F27="12월",(E27+1)&amp;VLOOKUP(F27,인덱스!$C:$D,2,0),E27&amp;VLOOKUP(F27,인덱스!$C:$D,2,0))</f>
        <v>201912</v>
      </c>
      <c r="E27" s="5" t="str">
        <f t="shared" si="6"/>
        <v>2019</v>
      </c>
      <c r="F27" s="5" t="str">
        <f t="shared" si="7"/>
        <v>11월</v>
      </c>
      <c r="G27" s="37" t="str">
        <f>B27&amp;"."&amp;VLOOKUP(F27,인덱스!$A:$B,2,0)</f>
        <v>19.11</v>
      </c>
      <c r="H27" s="14">
        <f>IFERROR(VLOOKUP(G27,#REF!,2,0),)</f>
        <v>0</v>
      </c>
      <c r="I27" s="38">
        <f t="shared" ca="1" si="8"/>
        <v>84.618782649575039</v>
      </c>
      <c r="J27" s="38">
        <f t="shared" ca="1" si="9"/>
        <v>117.4808592128246</v>
      </c>
      <c r="K27" s="39">
        <f t="shared" ca="1" si="10"/>
        <v>125.52485083415537</v>
      </c>
      <c r="L27" s="39">
        <f t="shared" ca="1" si="11"/>
        <v>112.47995111891851</v>
      </c>
      <c r="M27" s="39">
        <f t="shared" ca="1" si="12"/>
        <v>54.563183173534448</v>
      </c>
      <c r="N27" s="5"/>
      <c r="O27" s="5"/>
      <c r="P27" s="5"/>
      <c r="Q27" s="8">
        <f ca="1">IFERROR(__xludf.DUMMYFUNCTION("iferror(index('지수RAW'!$V$7:$V$12040,MATCH($D27,'지수RAW'!$R$7:$R$12040,0)-1,1),GOOGLEFINANCE(Q$2))"),2087.96)</f>
        <v>2087.96</v>
      </c>
      <c r="R27" s="5">
        <f ca="1">IFERROR(__xludf.DUMMYFUNCTION("iferror(index('지수RAW'!$F$7:$F$12040,MATCH($D27,'지수RAW'!$B$7:$B$12040,0)-1,1),GOOGLEFINANCE(R$2))"),3140.98)</f>
        <v>3140.98</v>
      </c>
      <c r="S27" s="9">
        <f ca="1">IFERROR(__xludf.DUMMYFUNCTION("iferror(index('지수RAW'!$N$7:$N$12040,MATCH($D27,'지수RAW'!$J$7:$J$12040,0)-1,1),GOOGLEFINANCE(S$2))"),8665.47)</f>
        <v>8665.4699999999993</v>
      </c>
      <c r="T27" s="5"/>
      <c r="U27" s="29">
        <f t="array" aca="1" ref="U27" ca="1">IFERROR(INDEX(지수RAW!$AT$7:$AT$12040,MATCH($D27,지수RAW!$AP$7:$AP$12040,0)-1,1),지수RAW!$AU$4)</f>
        <v>1472.7</v>
      </c>
      <c r="V27" s="29">
        <f ca="1">IFERROR(__xludf.DUMMYFUNCTION("iferror(index('지수RAW'!$AL$7:$AL$12040,MATCH($D27,'지수RAW'!$AH$7:$AH$12040,0)-1,1),GOOGLEFINANCE(V$2))"),7573.91)</f>
        <v>7573.91</v>
      </c>
      <c r="W27" s="30">
        <f ca="1">IFERROR(__xludf.DUMMYFUNCTION("iferror(index('지수RAW'!$AD$7:$AD$12040,MATCH($D27,'지수RAW'!$Z$7:$Z$12040,0)-1,1),GOOGLEFINANCE(W$2))"),1181.47)</f>
        <v>1181.47</v>
      </c>
      <c r="X27" s="36">
        <f t="shared" ca="1" si="0"/>
        <v>3710973.6406</v>
      </c>
      <c r="Y27" s="36">
        <f t="shared" ca="1" si="1"/>
        <v>10237992.8409</v>
      </c>
      <c r="Z27" s="36">
        <f t="shared" ca="1" si="2"/>
        <v>1739950.8690000002</v>
      </c>
      <c r="AA27" s="36">
        <f t="shared" ca="1" si="3"/>
        <v>8948347.4476999994</v>
      </c>
      <c r="AB27" s="12"/>
      <c r="AC27" s="38">
        <f t="shared" ca="1" si="13"/>
        <v>110.82480512536698</v>
      </c>
      <c r="AD27" s="38">
        <f t="shared" ca="1" si="14"/>
        <v>130.19793328221968</v>
      </c>
      <c r="AE27" s="38">
        <f t="shared" ca="1" si="15"/>
        <v>139.11267132086039</v>
      </c>
      <c r="AF27" s="38">
        <f t="shared" ca="1" si="16"/>
        <v>124.65568663264953</v>
      </c>
      <c r="AG27" s="38">
        <f t="shared" ca="1" si="17"/>
        <v>60.46954142226658</v>
      </c>
    </row>
    <row r="28" spans="1:33" ht="12.75" customHeight="1" x14ac:dyDescent="0.35">
      <c r="A28" s="5"/>
      <c r="B28" s="22">
        <f t="shared" si="4"/>
        <v>19</v>
      </c>
      <c r="C28" s="22">
        <f t="shared" si="5"/>
        <v>12</v>
      </c>
      <c r="D28" s="22" t="str">
        <f>IF(F28="12월",(E28+1)&amp;VLOOKUP(F28,인덱스!$C:$D,2,0),E28&amp;VLOOKUP(F28,인덱스!$C:$D,2,0))</f>
        <v>20201</v>
      </c>
      <c r="E28" s="5" t="str">
        <f t="shared" si="6"/>
        <v>2019</v>
      </c>
      <c r="F28" s="5" t="str">
        <f t="shared" si="7"/>
        <v>12월</v>
      </c>
      <c r="G28" s="37" t="str">
        <f>B28&amp;"."&amp;VLOOKUP(F28,인덱스!$A:$B,2,0)</f>
        <v>19.12</v>
      </c>
      <c r="H28" s="14">
        <f>IFERROR(VLOOKUP(G28,#REF!,2,0),)</f>
        <v>0</v>
      </c>
      <c r="I28" s="38">
        <f t="shared" ca="1" si="8"/>
        <v>89.065001276600881</v>
      </c>
      <c r="J28" s="38">
        <f t="shared" ca="1" si="9"/>
        <v>120.48466305856127</v>
      </c>
      <c r="K28" s="39">
        <f t="shared" ca="1" si="10"/>
        <v>129.97382445436227</v>
      </c>
      <c r="L28" s="39">
        <f t="shared" ca="1" si="11"/>
        <v>115.98564118231114</v>
      </c>
      <c r="M28" s="39">
        <f t="shared" ca="1" si="12"/>
        <v>51.686046888586468</v>
      </c>
      <c r="N28" s="5"/>
      <c r="O28" s="5"/>
      <c r="P28" s="5"/>
      <c r="Q28" s="8">
        <f ca="1">IFERROR(__xludf.DUMMYFUNCTION("iferror(index('지수RAW'!$V$7:$V$12040,MATCH($D28,'지수RAW'!$R$7:$R$12040,0)-1,1),GOOGLEFINANCE(Q$2))"),2197.67)</f>
        <v>2197.67</v>
      </c>
      <c r="R28" s="5">
        <f ca="1">IFERROR(__xludf.DUMMYFUNCTION("iferror(index('지수RAW'!$F$7:$F$12040,MATCH($D28,'지수RAW'!$B$7:$B$12040,0)-1,1),GOOGLEFINANCE(R$2))"),3221.29)</f>
        <v>3221.29</v>
      </c>
      <c r="S28" s="9">
        <f ca="1">IFERROR(__xludf.DUMMYFUNCTION("iferror(index('지수RAW'!$N$7:$N$12040,MATCH($D28,'지수RAW'!$J$7:$J$12040,0)-1,1),GOOGLEFINANCE(S$2))"),8972.6)</f>
        <v>8972.6</v>
      </c>
      <c r="T28" s="5"/>
      <c r="U28" s="29">
        <f t="array" aca="1" ref="U28" ca="1">IFERROR(INDEX(지수RAW!$AT$7:$AT$12040,MATCH($D28,지수RAW!$AP$7:$AP$12040,0)-1,1),지수RAW!$AU$4)</f>
        <v>1518.6</v>
      </c>
      <c r="V28" s="29">
        <f ca="1">IFERROR(__xludf.DUMMYFUNCTION("iferror(index('지수RAW'!$AL$7:$AL$12040,MATCH($D28,'지수RAW'!$AH$7:$AH$12040,0)-1,1),GOOGLEFINANCE(V$2))"),7174.535)</f>
        <v>7174.5349999999999</v>
      </c>
      <c r="W28" s="30">
        <f ca="1">IFERROR(__xludf.DUMMYFUNCTION("iferror(index('지수RAW'!$AD$7:$AD$12040,MATCH($D28,'지수RAW'!$Z$7:$Z$12040,0)-1,1),GOOGLEFINANCE(W$2))"),1153.75)</f>
        <v>1153.75</v>
      </c>
      <c r="X28" s="36">
        <f t="shared" ca="1" si="0"/>
        <v>3716563.3374999999</v>
      </c>
      <c r="Y28" s="36">
        <f t="shared" ca="1" si="1"/>
        <v>10352137.25</v>
      </c>
      <c r="Z28" s="36">
        <f t="shared" ca="1" si="2"/>
        <v>1752084.75</v>
      </c>
      <c r="AA28" s="36">
        <f t="shared" ca="1" si="3"/>
        <v>8277619.7562499996</v>
      </c>
      <c r="AB28" s="12"/>
      <c r="AC28" s="38">
        <f t="shared" ca="1" si="13"/>
        <v>108.22460063598072</v>
      </c>
      <c r="AD28" s="38">
        <f t="shared" ca="1" si="14"/>
        <v>130.39404542273502</v>
      </c>
      <c r="AE28" s="38">
        <f t="shared" ca="1" si="15"/>
        <v>140.66365244704431</v>
      </c>
      <c r="AF28" s="38">
        <f t="shared" ca="1" si="16"/>
        <v>125.52499696463789</v>
      </c>
      <c r="AG28" s="38">
        <f t="shared" ca="1" si="17"/>
        <v>55.937017829698462</v>
      </c>
    </row>
    <row r="29" spans="1:33" ht="12.75" customHeight="1" x14ac:dyDescent="0.35">
      <c r="A29" s="5"/>
      <c r="B29" s="22">
        <f t="shared" si="4"/>
        <v>20</v>
      </c>
      <c r="C29" s="22">
        <f t="shared" si="5"/>
        <v>1</v>
      </c>
      <c r="D29" s="22" t="str">
        <f>IF(F29="12월",(E29+1)&amp;VLOOKUP(F29,인덱스!$C:$D,2,0),E29&amp;VLOOKUP(F29,인덱스!$C:$D,2,0))</f>
        <v>20202</v>
      </c>
      <c r="E29" s="5" t="str">
        <f t="shared" si="6"/>
        <v>2020</v>
      </c>
      <c r="F29" s="5" t="str">
        <f t="shared" si="7"/>
        <v>1월</v>
      </c>
      <c r="G29" s="40" t="str">
        <f>B29&amp;"."&amp;VLOOKUP(F29,인덱스!$A:$B,2,0)</f>
        <v>20.01</v>
      </c>
      <c r="H29" s="41">
        <f>IFERROR(VLOOKUP(G29,#REF!,2,0),)</f>
        <v>0</v>
      </c>
      <c r="I29" s="42">
        <f t="shared" ca="1" si="8"/>
        <v>85.877146411940856</v>
      </c>
      <c r="J29" s="42">
        <f t="shared" ca="1" si="9"/>
        <v>120.64287611132512</v>
      </c>
      <c r="K29" s="43">
        <f t="shared" ca="1" si="10"/>
        <v>132.55719291536477</v>
      </c>
      <c r="L29" s="43">
        <f t="shared" ca="1" si="11"/>
        <v>121.27854578782555</v>
      </c>
      <c r="M29" s="43">
        <f t="shared" ca="1" si="12"/>
        <v>67.274250611807943</v>
      </c>
      <c r="N29" s="5"/>
      <c r="O29" s="5"/>
      <c r="P29" s="5"/>
      <c r="Q29" s="8">
        <f ca="1">IFERROR(__xludf.DUMMYFUNCTION("iferror(index('지수RAW'!$V$7:$V$12040,MATCH($D29,'지수RAW'!$R$7:$R$12040,0)-1,1),GOOGLEFINANCE(Q$2))"),2119.01)</f>
        <v>2119.0100000000002</v>
      </c>
      <c r="R29" s="5">
        <f ca="1">IFERROR(__xludf.DUMMYFUNCTION("iferror(index('지수RAW'!$F$7:$F$12040,MATCH($D29,'지수RAW'!$B$7:$B$12040,0)-1,1),GOOGLEFINANCE(R$2))"),3225.52)</f>
        <v>3225.52</v>
      </c>
      <c r="S29" s="9">
        <f ca="1">IFERROR(__xludf.DUMMYFUNCTION("iferror(index('지수RAW'!$N$7:$N$12040,MATCH($D29,'지수RAW'!$J$7:$J$12040,0)-1,1),GOOGLEFINANCE(S$2))"),9150.94)</f>
        <v>9150.94</v>
      </c>
      <c r="T29" s="5"/>
      <c r="U29" s="29">
        <f t="array" aca="1" ref="U29" ca="1">IFERROR(INDEX(지수RAW!$AT$7:$AT$12040,MATCH($D29,지수RAW!$AP$7:$AP$12040,0)-1,1),지수RAW!$AU$4)</f>
        <v>1587.9</v>
      </c>
      <c r="V29" s="29">
        <f ca="1">IFERROR(__xludf.DUMMYFUNCTION("iferror(index('지수RAW'!$AL$7:$AL$12040,MATCH($D29,'지수RAW'!$AH$7:$AH$12040,0)-1,1),GOOGLEFINANCE(V$2))"),9338.332)</f>
        <v>9338.3320000000003</v>
      </c>
      <c r="W29" s="30">
        <f ca="1">IFERROR(__xludf.DUMMYFUNCTION("iferror(index('지수RAW'!$AD$7:$AD$12040,MATCH($D29,'지수RAW'!$Z$7:$Z$12040,0)-1,1),GOOGLEFINANCE(W$2))"),1194.87)</f>
        <v>1194.8699999999999</v>
      </c>
      <c r="X29" s="36">
        <f t="shared" ca="1" si="0"/>
        <v>3854077.0823999997</v>
      </c>
      <c r="Y29" s="36">
        <f t="shared" ca="1" si="1"/>
        <v>10934183.6778</v>
      </c>
      <c r="Z29" s="36">
        <f t="shared" ca="1" si="2"/>
        <v>1897334.0729999999</v>
      </c>
      <c r="AA29" s="36">
        <f t="shared" ca="1" si="3"/>
        <v>11158092.75684</v>
      </c>
      <c r="AB29" s="12"/>
      <c r="AC29" s="42">
        <f t="shared" ca="1" si="13"/>
        <v>112.08175823351182</v>
      </c>
      <c r="AD29" s="42">
        <f t="shared" ca="1" si="14"/>
        <v>135.21865672905074</v>
      </c>
      <c r="AE29" s="42">
        <f t="shared" ca="1" si="15"/>
        <v>148.57243248452912</v>
      </c>
      <c r="AF29" s="42">
        <f t="shared" ca="1" si="16"/>
        <v>135.93112647902964</v>
      </c>
      <c r="AG29" s="42">
        <f t="shared" ca="1" si="17"/>
        <v>75.402162924133449</v>
      </c>
    </row>
    <row r="30" spans="1:33" ht="12.75" customHeight="1" x14ac:dyDescent="0.35">
      <c r="A30" s="5"/>
      <c r="B30" s="22">
        <f t="shared" si="4"/>
        <v>20</v>
      </c>
      <c r="C30" s="22">
        <f t="shared" si="5"/>
        <v>2</v>
      </c>
      <c r="D30" s="22" t="str">
        <f>IF(F30="12월",(E30+1)&amp;VLOOKUP(F30,인덱스!$C:$D,2,0),E30&amp;VLOOKUP(F30,인덱스!$C:$D,2,0))</f>
        <v>20203</v>
      </c>
      <c r="E30" s="5" t="str">
        <f t="shared" si="6"/>
        <v>2020</v>
      </c>
      <c r="F30" s="5" t="str">
        <f t="shared" si="7"/>
        <v>2월</v>
      </c>
      <c r="G30" s="37" t="str">
        <f>B30&amp;"."&amp;VLOOKUP(F30,인덱스!$A:$B,2,0)</f>
        <v>20.02</v>
      </c>
      <c r="H30" s="14">
        <f>IFERROR(VLOOKUP(G30,#REF!,2,0),)</f>
        <v>0</v>
      </c>
      <c r="I30" s="38">
        <f t="shared" ca="1" si="8"/>
        <v>80.527580658888141</v>
      </c>
      <c r="J30" s="38">
        <f t="shared" ca="1" si="9"/>
        <v>110.49554721892869</v>
      </c>
      <c r="K30" s="39">
        <f t="shared" ca="1" si="10"/>
        <v>124.10380986732605</v>
      </c>
      <c r="L30" s="39">
        <f t="shared" ca="1" si="11"/>
        <v>119.65935996333918</v>
      </c>
      <c r="M30" s="39">
        <f t="shared" ca="1" si="12"/>
        <v>61.460983690644532</v>
      </c>
      <c r="N30" s="5"/>
      <c r="O30" s="5"/>
      <c r="P30" s="5"/>
      <c r="Q30" s="8">
        <f ca="1">IFERROR(__xludf.DUMMYFUNCTION("iferror(index('지수RAW'!$V$7:$V$12040,MATCH($D30,'지수RAW'!$R$7:$R$12040,0)-1,1),GOOGLEFINANCE(Q$2))"),1987.01)</f>
        <v>1987.01</v>
      </c>
      <c r="R30" s="5">
        <f ca="1">IFERROR(__xludf.DUMMYFUNCTION("iferror(index('지수RAW'!$F$7:$F$12040,MATCH($D30,'지수RAW'!$B$7:$B$12040,0)-1,1),GOOGLEFINANCE(R$2))"),2954.22)</f>
        <v>2954.22</v>
      </c>
      <c r="S30" s="9">
        <f ca="1">IFERROR(__xludf.DUMMYFUNCTION("iferror(index('지수RAW'!$N$7:$N$12040,MATCH($D30,'지수RAW'!$J$7:$J$12040,0)-1,1),GOOGLEFINANCE(S$2))"),8567.37)</f>
        <v>8567.3700000000008</v>
      </c>
      <c r="T30" s="5"/>
      <c r="U30" s="29">
        <f t="array" aca="1" ref="U30" ca="1">IFERROR(INDEX(지수RAW!$AT$7:$AT$12040,MATCH($D30,지수RAW!$AP$7:$AP$12040,0)-1,1),지수RAW!$AU$4)</f>
        <v>1566.7</v>
      </c>
      <c r="V30" s="29">
        <f ca="1">IFERROR(__xludf.DUMMYFUNCTION("iferror(index('지수RAW'!$AL$7:$AL$12040,MATCH($D30,'지수RAW'!$AH$7:$AH$12040,0)-1,1),GOOGLEFINANCE(V$2))"),8531.393)</f>
        <v>8531.393</v>
      </c>
      <c r="W30" s="30">
        <f ca="1">IFERROR(__xludf.DUMMYFUNCTION("iferror(index('지수RAW'!$AD$7:$AD$12040,MATCH($D30,'지수RAW'!$Z$7:$Z$12040,0)-1,1),GOOGLEFINANCE(W$2))"),1200.1)</f>
        <v>1200.0999999999999</v>
      </c>
      <c r="X30" s="36">
        <f t="shared" ca="1" si="0"/>
        <v>3545359.4219999993</v>
      </c>
      <c r="Y30" s="36">
        <f t="shared" ca="1" si="1"/>
        <v>10281700.737</v>
      </c>
      <c r="Z30" s="36">
        <f t="shared" ca="1" si="2"/>
        <v>1880196.67</v>
      </c>
      <c r="AA30" s="36">
        <f t="shared" ca="1" si="3"/>
        <v>10238524.7393</v>
      </c>
      <c r="AB30" s="12"/>
      <c r="AC30" s="38">
        <f t="shared" ca="1" si="13"/>
        <v>112.57234515557136</v>
      </c>
      <c r="AD30" s="38">
        <f t="shared" ca="1" si="14"/>
        <v>124.38742879682982</v>
      </c>
      <c r="AE30" s="38">
        <f t="shared" ca="1" si="15"/>
        <v>139.70656919506041</v>
      </c>
      <c r="AF30" s="38">
        <f t="shared" ca="1" si="16"/>
        <v>134.7033477088778</v>
      </c>
      <c r="AG30" s="38">
        <f t="shared" ca="1" si="17"/>
        <v>69.188070696241795</v>
      </c>
    </row>
    <row r="31" spans="1:33" ht="12.75" customHeight="1" x14ac:dyDescent="0.35">
      <c r="A31" s="5"/>
      <c r="B31" s="22">
        <f t="shared" si="4"/>
        <v>20</v>
      </c>
      <c r="C31" s="22">
        <f t="shared" si="5"/>
        <v>3</v>
      </c>
      <c r="D31" s="22" t="str">
        <f>IF(F31="12월",(E31+1)&amp;VLOOKUP(F31,인덱스!$C:$D,2,0),E31&amp;VLOOKUP(F31,인덱스!$C:$D,2,0))</f>
        <v>20204</v>
      </c>
      <c r="E31" s="5" t="str">
        <f t="shared" si="6"/>
        <v>2020</v>
      </c>
      <c r="F31" s="5" t="str">
        <f t="shared" si="7"/>
        <v>3월</v>
      </c>
      <c r="G31" s="37" t="str">
        <f>B31&amp;"."&amp;VLOOKUP(F31,인덱스!$A:$B,2,0)</f>
        <v>20.03</v>
      </c>
      <c r="H31" s="14">
        <f>IFERROR(VLOOKUP(G31,#REF!,2,0),)</f>
        <v>0</v>
      </c>
      <c r="I31" s="38">
        <f t="shared" ca="1" si="8"/>
        <v>71.110318582851363</v>
      </c>
      <c r="J31" s="38">
        <f t="shared" ca="1" si="9"/>
        <v>96.670419395498968</v>
      </c>
      <c r="K31" s="39">
        <f t="shared" ca="1" si="10"/>
        <v>111.54085166852806</v>
      </c>
      <c r="L31" s="39">
        <f t="shared" ca="1" si="11"/>
        <v>121.94302298938364</v>
      </c>
      <c r="M31" s="39">
        <f t="shared" ca="1" si="12"/>
        <v>46.266361405058277</v>
      </c>
      <c r="N31" s="5"/>
      <c r="O31" s="5"/>
      <c r="P31" s="5"/>
      <c r="Q31" s="8">
        <f ca="1">IFERROR(__xludf.DUMMYFUNCTION("iferror(index('지수RAW'!$V$7:$V$12040,MATCH($D31,'지수RAW'!$R$7:$R$12040,0)-1,1),GOOGLEFINANCE(Q$2))"),1754.64)</f>
        <v>1754.64</v>
      </c>
      <c r="R31" s="5">
        <f ca="1">IFERROR(__xludf.DUMMYFUNCTION("iferror(index('지수RAW'!$F$7:$F$12040,MATCH($D31,'지수RAW'!$B$7:$B$12040,0)-1,1),GOOGLEFINANCE(R$2))"),2584.59)</f>
        <v>2584.59</v>
      </c>
      <c r="S31" s="9">
        <f ca="1">IFERROR(__xludf.DUMMYFUNCTION("iferror(index('지수RAW'!$N$7:$N$12040,MATCH($D31,'지수RAW'!$J$7:$J$12040,0)-1,1),GOOGLEFINANCE(S$2))"),7700.1)</f>
        <v>7700.1</v>
      </c>
      <c r="T31" s="5"/>
      <c r="U31" s="29">
        <f t="array" aca="1" ref="U31" ca="1">IFERROR(INDEX(지수RAW!$AT$7:$AT$12040,MATCH($D31,지수RAW!$AP$7:$AP$12040,0)-1,1),지수RAW!$AU$4)</f>
        <v>1596.6</v>
      </c>
      <c r="V31" s="29">
        <f ca="1">IFERROR(__xludf.DUMMYFUNCTION("iferror(index('지수RAW'!$AL$7:$AL$12040,MATCH($D31,'지수RAW'!$AH$7:$AH$12040,0)-1,1),GOOGLEFINANCE(V$2))"),6422.229)</f>
        <v>6422.2290000000003</v>
      </c>
      <c r="W31" s="30">
        <f ca="1">IFERROR(__xludf.DUMMYFUNCTION("iferror(index('지수RAW'!$AD$7:$AD$12040,MATCH($D31,'지수RAW'!$Z$7:$Z$12040,0)-1,1),GOOGLEFINANCE(W$2))"),1216.66)</f>
        <v>1216.6600000000001</v>
      </c>
      <c r="X31" s="36">
        <f t="shared" ca="1" si="0"/>
        <v>3144567.2694000006</v>
      </c>
      <c r="Y31" s="36">
        <f t="shared" ca="1" si="1"/>
        <v>9368403.6660000011</v>
      </c>
      <c r="Z31" s="36">
        <f t="shared" ca="1" si="2"/>
        <v>1942519.3559999999</v>
      </c>
      <c r="AA31" s="36">
        <f t="shared" ca="1" si="3"/>
        <v>7813669.1351400008</v>
      </c>
      <c r="AB31" s="12"/>
      <c r="AC31" s="38">
        <f t="shared" ca="1" si="13"/>
        <v>114.12571407130861</v>
      </c>
      <c r="AD31" s="38">
        <f t="shared" ca="1" si="14"/>
        <v>110.32580643084211</v>
      </c>
      <c r="AE31" s="38">
        <f t="shared" ca="1" si="15"/>
        <v>127.29679344792692</v>
      </c>
      <c r="AF31" s="38">
        <f t="shared" ca="1" si="16"/>
        <v>139.16834574677412</v>
      </c>
      <c r="AG31" s="38">
        <f t="shared" ca="1" si="17"/>
        <v>52.801815328335103</v>
      </c>
    </row>
    <row r="32" spans="1:33" ht="12.75" customHeight="1" x14ac:dyDescent="0.35">
      <c r="A32" s="5"/>
      <c r="B32" s="22">
        <f t="shared" si="4"/>
        <v>20</v>
      </c>
      <c r="C32" s="22">
        <f t="shared" si="5"/>
        <v>4</v>
      </c>
      <c r="D32" s="22" t="str">
        <f>IF(F32="12월",(E32+1)&amp;VLOOKUP(F32,인덱스!$C:$D,2,0),E32&amp;VLOOKUP(F32,인덱스!$C:$D,2,0))</f>
        <v>20205</v>
      </c>
      <c r="E32" s="5" t="str">
        <f t="shared" si="6"/>
        <v>2020</v>
      </c>
      <c r="F32" s="5" t="str">
        <f t="shared" si="7"/>
        <v>4월</v>
      </c>
      <c r="G32" s="37" t="str">
        <f>B32&amp;"."&amp;VLOOKUP(F32,인덱스!$A:$B,2,0)</f>
        <v>20.04</v>
      </c>
      <c r="H32" s="14">
        <f>IFERROR(VLOOKUP(G32,#REF!,2,0),)</f>
        <v>0</v>
      </c>
      <c r="I32" s="38">
        <f t="shared" ca="1" si="8"/>
        <v>78.928789984964439</v>
      </c>
      <c r="J32" s="38">
        <f t="shared" ca="1" si="9"/>
        <v>108.93249202389278</v>
      </c>
      <c r="K32" s="39">
        <f t="shared" ca="1" si="10"/>
        <v>128.77079232087422</v>
      </c>
      <c r="L32" s="39">
        <f t="shared" ca="1" si="11"/>
        <v>129.39738791720768</v>
      </c>
      <c r="M32" s="39">
        <f t="shared" ca="1" si="12"/>
        <v>62.18291346654668</v>
      </c>
      <c r="N32" s="5"/>
      <c r="O32" s="5"/>
      <c r="P32" s="5"/>
      <c r="Q32" s="8">
        <f ca="1">IFERROR(__xludf.DUMMYFUNCTION("iferror(index('지수RAW'!$V$7:$V$12040,MATCH($D32,'지수RAW'!$R$7:$R$12040,0)-1,1),GOOGLEFINANCE(Q$2))"),1947.56)</f>
        <v>1947.56</v>
      </c>
      <c r="R32" s="5">
        <f ca="1">IFERROR(__xludf.DUMMYFUNCTION("iferror(index('지수RAW'!$F$7:$F$12040,MATCH($D32,'지수RAW'!$B$7:$B$12040,0)-1,1),GOOGLEFINANCE(R$2))"),2912.43)</f>
        <v>2912.43</v>
      </c>
      <c r="S32" s="9">
        <f ca="1">IFERROR(__xludf.DUMMYFUNCTION("iferror(index('지수RAW'!$N$7:$N$12040,MATCH($D32,'지수RAW'!$J$7:$J$12040,0)-1,1),GOOGLEFINANCE(S$2))"),8889.55)</f>
        <v>8889.5499999999993</v>
      </c>
      <c r="T32" s="5"/>
      <c r="U32" s="29">
        <f t="array" aca="1" ref="U32" ca="1">IFERROR(INDEX(지수RAW!$AT$7:$AT$12040,MATCH($D32,지수RAW!$AP$7:$AP$12040,0)-1,1),지수RAW!$AU$4)</f>
        <v>1694.2</v>
      </c>
      <c r="V32" s="29">
        <f ca="1">IFERROR(__xludf.DUMMYFUNCTION("iferror(index('지수RAW'!$AL$7:$AL$12040,MATCH($D32,'지수RAW'!$AH$7:$AH$12040,0)-1,1),GOOGLEFINANCE(V$2))"),8631.604)</f>
        <v>8631.6039999999994</v>
      </c>
      <c r="W32" s="30">
        <f ca="1">IFERROR(__xludf.DUMMYFUNCTION("iferror(index('지수RAW'!$AD$7:$AD$12040,MATCH($D32,'지수RAW'!$Z$7:$Z$12040,0)-1,1),GOOGLEFINANCE(W$2))"),1212.96)</f>
        <v>1212.96</v>
      </c>
      <c r="X32" s="36">
        <f t="shared" ca="1" si="0"/>
        <v>3532661.0927999998</v>
      </c>
      <c r="Y32" s="36">
        <f t="shared" ca="1" si="1"/>
        <v>10782668.568</v>
      </c>
      <c r="Z32" s="36">
        <f t="shared" ca="1" si="2"/>
        <v>2054996.8320000002</v>
      </c>
      <c r="AA32" s="36">
        <f t="shared" ca="1" si="3"/>
        <v>10469790.387839999</v>
      </c>
      <c r="AB32" s="12"/>
      <c r="AC32" s="38">
        <f t="shared" ca="1" si="13"/>
        <v>113.77864492950741</v>
      </c>
      <c r="AD32" s="38">
        <f t="shared" ca="1" si="14"/>
        <v>123.94191331272904</v>
      </c>
      <c r="AE32" s="38">
        <f t="shared" ca="1" si="15"/>
        <v>146.513662567681</v>
      </c>
      <c r="AF32" s="38">
        <f t="shared" ca="1" si="16"/>
        <v>147.22659454637707</v>
      </c>
      <c r="AG32" s="38">
        <f t="shared" ca="1" si="17"/>
        <v>70.750876319925013</v>
      </c>
    </row>
    <row r="33" spans="1:33" ht="12.75" customHeight="1" x14ac:dyDescent="0.35">
      <c r="A33" s="5"/>
      <c r="B33" s="22">
        <f t="shared" si="4"/>
        <v>20</v>
      </c>
      <c r="C33" s="22">
        <f t="shared" si="5"/>
        <v>5</v>
      </c>
      <c r="D33" s="22" t="str">
        <f>IF(F33="12월",(E33+1)&amp;VLOOKUP(F33,인덱스!$C:$D,2,0),E33&amp;VLOOKUP(F33,인덱스!$C:$D,2,0))</f>
        <v>20206</v>
      </c>
      <c r="E33" s="5" t="str">
        <f t="shared" si="6"/>
        <v>2020</v>
      </c>
      <c r="F33" s="5" t="str">
        <f t="shared" si="7"/>
        <v>5월</v>
      </c>
      <c r="G33" s="37" t="str">
        <f>B33&amp;"."&amp;VLOOKUP(F33,인덱스!$A:$B,2,0)</f>
        <v>20.05</v>
      </c>
      <c r="H33" s="14">
        <f>IFERROR(VLOOKUP(G33,#REF!,2,0),)</f>
        <v>0</v>
      </c>
      <c r="I33" s="38">
        <f t="shared" ca="1" si="8"/>
        <v>82.253626154513242</v>
      </c>
      <c r="J33" s="38">
        <f t="shared" ca="1" si="9"/>
        <v>113.86514861928254</v>
      </c>
      <c r="K33" s="39">
        <f t="shared" ca="1" si="10"/>
        <v>137.46680978475794</v>
      </c>
      <c r="L33" s="39">
        <f t="shared" ca="1" si="11"/>
        <v>133.78904758267777</v>
      </c>
      <c r="M33" s="39">
        <f t="shared" ca="1" si="12"/>
        <v>68.057206294363709</v>
      </c>
      <c r="N33" s="5"/>
      <c r="O33" s="5"/>
      <c r="P33" s="5"/>
      <c r="Q33" s="8">
        <f ca="1">IFERROR(__xludf.DUMMYFUNCTION("iferror(index('지수RAW'!$V$7:$V$12040,MATCH($D33,'지수RAW'!$R$7:$R$12040,0)-1,1),GOOGLEFINANCE(Q$2))"),2029.6)</f>
        <v>2029.6</v>
      </c>
      <c r="R33" s="5">
        <f ca="1">IFERROR(__xludf.DUMMYFUNCTION("iferror(index('지수RAW'!$F$7:$F$12040,MATCH($D33,'지수RAW'!$B$7:$B$12040,0)-1,1),GOOGLEFINANCE(R$2))"),3044.31)</f>
        <v>3044.31</v>
      </c>
      <c r="S33" s="9">
        <f ca="1">IFERROR(__xludf.DUMMYFUNCTION("iferror(index('지수RAW'!$N$7:$N$12040,MATCH($D33,'지수RAW'!$J$7:$J$12040,0)-1,1),GOOGLEFINANCE(S$2))"),9489.87)</f>
        <v>9489.8700000000008</v>
      </c>
      <c r="T33" s="5"/>
      <c r="U33" s="29">
        <f t="array" aca="1" ref="U33" ca="1">IFERROR(INDEX(지수RAW!$AT$7:$AT$12040,MATCH($D33,지수RAW!$AP$7:$AP$12040,0)-1,1),지수RAW!$AU$4)</f>
        <v>1751.7</v>
      </c>
      <c r="V33" s="29">
        <f ca="1">IFERROR(__xludf.DUMMYFUNCTION("iferror(index('지수RAW'!$AL$7:$AL$12040,MATCH($D33,'지수RAW'!$AH$7:$AH$12040,0)-1,1),GOOGLEFINANCE(V$2))"),9447.014)</f>
        <v>9447.0139999999992</v>
      </c>
      <c r="W33" s="30">
        <f ca="1">IFERROR(__xludf.DUMMYFUNCTION("iferror(index('지수RAW'!$AD$7:$AD$12040,MATCH($D33,'지수RAW'!$Z$7:$Z$12040,0)-1,1),GOOGLEFINANCE(W$2))"),1230.47)</f>
        <v>1230.47</v>
      </c>
      <c r="X33" s="36">
        <f t="shared" ca="1" si="0"/>
        <v>3745932.1257000002</v>
      </c>
      <c r="Y33" s="36">
        <f t="shared" ca="1" si="1"/>
        <v>11677000.338900002</v>
      </c>
      <c r="Z33" s="36">
        <f t="shared" ca="1" si="2"/>
        <v>2155414.2990000001</v>
      </c>
      <c r="AA33" s="36">
        <f t="shared" ca="1" si="3"/>
        <v>11624267.316579999</v>
      </c>
      <c r="AB33" s="12"/>
      <c r="AC33" s="38">
        <f t="shared" ca="1" si="13"/>
        <v>115.42112619246387</v>
      </c>
      <c r="AD33" s="38">
        <f t="shared" ca="1" si="14"/>
        <v>131.42443687709874</v>
      </c>
      <c r="AE33" s="38">
        <f t="shared" ca="1" si="15"/>
        <v>158.66573999441988</v>
      </c>
      <c r="AF33" s="38">
        <f t="shared" ca="1" si="16"/>
        <v>154.42082544209808</v>
      </c>
      <c r="AG33" s="38">
        <f t="shared" ca="1" si="17"/>
        <v>78.552393960083037</v>
      </c>
    </row>
    <row r="34" spans="1:33" ht="12.75" customHeight="1" x14ac:dyDescent="0.35">
      <c r="A34" s="5"/>
      <c r="B34" s="22">
        <f t="shared" si="4"/>
        <v>20</v>
      </c>
      <c r="C34" s="22">
        <f t="shared" si="5"/>
        <v>6</v>
      </c>
      <c r="D34" s="22" t="str">
        <f>IF(F34="12월",(E34+1)&amp;VLOOKUP(F34,인덱스!$C:$D,2,0),E34&amp;VLOOKUP(F34,인덱스!$C:$D,2,0))</f>
        <v>20207</v>
      </c>
      <c r="E34" s="5" t="str">
        <f t="shared" si="6"/>
        <v>2020</v>
      </c>
      <c r="F34" s="5" t="str">
        <f t="shared" si="7"/>
        <v>6월</v>
      </c>
      <c r="G34" s="37" t="str">
        <f>B34&amp;"."&amp;VLOOKUP(F34,인덱스!$A:$B,2,0)</f>
        <v>20.06</v>
      </c>
      <c r="H34" s="14">
        <f>IFERROR(VLOOKUP(G34,#REF!,2,0),)</f>
        <v>0</v>
      </c>
      <c r="I34" s="38">
        <f t="shared" ca="1" si="8"/>
        <v>85.444317910102924</v>
      </c>
      <c r="J34" s="38">
        <f t="shared" ca="1" si="9"/>
        <v>115.95894689202987</v>
      </c>
      <c r="K34" s="39">
        <f t="shared" ca="1" si="10"/>
        <v>145.70768854142676</v>
      </c>
      <c r="L34" s="39">
        <f t="shared" ca="1" si="11"/>
        <v>137.51623004658975</v>
      </c>
      <c r="M34" s="39">
        <f t="shared" ca="1" si="12"/>
        <v>65.819973935576627</v>
      </c>
      <c r="N34" s="5"/>
      <c r="O34" s="5"/>
      <c r="P34" s="5"/>
      <c r="Q34" s="8">
        <f ca="1">IFERROR(__xludf.DUMMYFUNCTION("iferror(index('지수RAW'!$V$7:$V$12040,MATCH($D34,'지수RAW'!$R$7:$R$12040,0)-1,1),GOOGLEFINANCE(Q$2))"),2108.33)</f>
        <v>2108.33</v>
      </c>
      <c r="R34" s="5">
        <f ca="1">IFERROR(__xludf.DUMMYFUNCTION("iferror(index('지수RAW'!$F$7:$F$12040,MATCH($D34,'지수RAW'!$B$7:$B$12040,0)-1,1),GOOGLEFINANCE(R$2))"),3100.29)</f>
        <v>3100.29</v>
      </c>
      <c r="S34" s="9">
        <f ca="1">IFERROR(__xludf.DUMMYFUNCTION("iferror(index('지수RAW'!$N$7:$N$12040,MATCH($D34,'지수RAW'!$J$7:$J$12040,0)-1,1),GOOGLEFINANCE(S$2))"),10058.77)</f>
        <v>10058.77</v>
      </c>
      <c r="T34" s="5"/>
      <c r="U34" s="29">
        <f t="array" aca="1" ref="U34" ca="1">IFERROR(INDEX(지수RAW!$AT$7:$AT$12040,MATCH($D34,지수RAW!$AP$7:$AP$12040,0)-1,1),지수RAW!$AU$4)</f>
        <v>1800.5</v>
      </c>
      <c r="V34" s="29">
        <f ca="1">IFERROR(__xludf.DUMMYFUNCTION("iferror(index('지수RAW'!$AL$7:$AL$12040,MATCH($D34,'지수RAW'!$AH$7:$AH$12040,0)-1,1),GOOGLEFINANCE(V$2))"),9136.464)</f>
        <v>9136.4639999999999</v>
      </c>
      <c r="W34" s="30">
        <f ca="1">IFERROR(__xludf.DUMMYFUNCTION("iferror(index('지수RAW'!$AD$7:$AD$12040,MATCH($D34,'지수RAW'!$Z$7:$Z$12040,0)-1,1),GOOGLEFINANCE(W$2))"),1198.39)</f>
        <v>1198.3900000000001</v>
      </c>
      <c r="X34" s="36">
        <f t="shared" ca="1" si="0"/>
        <v>3715356.5331000001</v>
      </c>
      <c r="Y34" s="36">
        <f t="shared" ca="1" si="1"/>
        <v>12054329.380300002</v>
      </c>
      <c r="Z34" s="36">
        <f t="shared" ca="1" si="2"/>
        <v>2157701.1950000003</v>
      </c>
      <c r="AA34" s="36">
        <f t="shared" ca="1" si="3"/>
        <v>10949047.09296</v>
      </c>
      <c r="AB34" s="12"/>
      <c r="AC34" s="38">
        <f t="shared" ca="1" si="13"/>
        <v>112.41194293057677</v>
      </c>
      <c r="AD34" s="38">
        <f t="shared" ca="1" si="14"/>
        <v>130.35170520316652</v>
      </c>
      <c r="AE34" s="38">
        <f t="shared" ca="1" si="15"/>
        <v>163.79284368865132</v>
      </c>
      <c r="AF34" s="38">
        <f t="shared" ca="1" si="16"/>
        <v>154.58466604025321</v>
      </c>
      <c r="AG34" s="38">
        <f t="shared" ca="1" si="17"/>
        <v>73.98951153738092</v>
      </c>
    </row>
    <row r="35" spans="1:33" ht="12.75" customHeight="1" x14ac:dyDescent="0.35">
      <c r="A35" s="5"/>
      <c r="B35" s="22">
        <f t="shared" si="4"/>
        <v>20</v>
      </c>
      <c r="C35" s="22">
        <f t="shared" si="5"/>
        <v>7</v>
      </c>
      <c r="D35" s="22" t="str">
        <f>IF(F35="12월",(E35+1)&amp;VLOOKUP(F35,인덱스!$C:$D,2,0),E35&amp;VLOOKUP(F35,인덱스!$C:$D,2,0))</f>
        <v>20208</v>
      </c>
      <c r="E35" s="5" t="str">
        <f t="shared" si="6"/>
        <v>2020</v>
      </c>
      <c r="F35" s="5" t="str">
        <f t="shared" si="7"/>
        <v>7월</v>
      </c>
      <c r="G35" s="37" t="str">
        <f>B35&amp;"."&amp;VLOOKUP(F35,인덱스!$A:$B,2,0)</f>
        <v>20.07</v>
      </c>
      <c r="H35" s="14">
        <f>IFERROR(VLOOKUP(G35,#REF!,2,0),)</f>
        <v>0</v>
      </c>
      <c r="I35" s="38">
        <f t="shared" ca="1" si="8"/>
        <v>91.160247863213172</v>
      </c>
      <c r="J35" s="38">
        <f t="shared" ca="1" si="9"/>
        <v>122.34843526168738</v>
      </c>
      <c r="K35" s="39">
        <f t="shared" ca="1" si="10"/>
        <v>155.65222303824643</v>
      </c>
      <c r="L35" s="39">
        <f t="shared" ca="1" si="11"/>
        <v>151.67646834186203</v>
      </c>
      <c r="M35" s="39">
        <f t="shared" ca="1" si="12"/>
        <v>81.769672047887056</v>
      </c>
      <c r="N35" s="5"/>
      <c r="O35" s="5"/>
      <c r="P35" s="5"/>
      <c r="Q35" s="8">
        <f ca="1">IFERROR(__xludf.DUMMYFUNCTION("iferror(index('지수RAW'!$V$7:$V$12040,MATCH($D35,'지수RAW'!$R$7:$R$12040,0)-1,1),GOOGLEFINANCE(Q$2))"),2249.37)</f>
        <v>2249.37</v>
      </c>
      <c r="R35" s="5">
        <f ca="1">IFERROR(__xludf.DUMMYFUNCTION("iferror(index('지수RAW'!$F$7:$F$12040,MATCH($D35,'지수RAW'!$B$7:$B$12040,0)-1,1),GOOGLEFINANCE(R$2))"),3271.12)</f>
        <v>3271.12</v>
      </c>
      <c r="S35" s="9">
        <f ca="1">IFERROR(__xludf.DUMMYFUNCTION("iferror(index('지수RAW'!$N$7:$N$12040,MATCH($D35,'지수RAW'!$J$7:$J$12040,0)-1,1),GOOGLEFINANCE(S$2))"),10745.28)</f>
        <v>10745.28</v>
      </c>
      <c r="T35" s="5"/>
      <c r="U35" s="29">
        <f t="array" aca="1" ref="U35" ca="1">IFERROR(INDEX(지수RAW!$AT$7:$AT$12040,MATCH($D35,지수RAW!$AP$7:$AP$12040,0)-1,1),지수RAW!$AU$4)</f>
        <v>1985.9</v>
      </c>
      <c r="V35" s="29">
        <f ca="1">IFERROR(__xludf.DUMMYFUNCTION("iferror(index('지수RAW'!$AL$7:$AL$12040,MATCH($D35,'지수RAW'!$AH$7:$AH$12040,0)-1,1),GOOGLEFINANCE(V$2))"),11350.44)</f>
        <v>11350.44</v>
      </c>
      <c r="W35" s="30">
        <f ca="1">IFERROR(__xludf.DUMMYFUNCTION("iferror(index('지수RAW'!$AD$7:$AD$12040,MATCH($D35,'지수RAW'!$Z$7:$Z$12040,0)-1,1),GOOGLEFINANCE(W$2))"),1192.47)</f>
        <v>1192.47</v>
      </c>
      <c r="X35" s="36">
        <f t="shared" ca="1" si="0"/>
        <v>3900712.4663999998</v>
      </c>
      <c r="Y35" s="36">
        <f t="shared" ca="1" si="1"/>
        <v>12813424.041600002</v>
      </c>
      <c r="Z35" s="36">
        <f t="shared" ca="1" si="2"/>
        <v>2368126.173</v>
      </c>
      <c r="AA35" s="36">
        <f t="shared" ca="1" si="3"/>
        <v>13535059.186800001</v>
      </c>
      <c r="AB35" s="12"/>
      <c r="AC35" s="38">
        <f t="shared" ca="1" si="13"/>
        <v>111.85663230369485</v>
      </c>
      <c r="AD35" s="38">
        <f t="shared" ca="1" si="14"/>
        <v>136.85483935998988</v>
      </c>
      <c r="AE35" s="38">
        <f t="shared" ca="1" si="15"/>
        <v>174.10733479641846</v>
      </c>
      <c r="AF35" s="38">
        <f t="shared" ca="1" si="16"/>
        <v>169.66018948438682</v>
      </c>
      <c r="AG35" s="38">
        <f t="shared" ca="1" si="17"/>
        <v>91.464801398542207</v>
      </c>
    </row>
    <row r="36" spans="1:33" ht="12.75" customHeight="1" x14ac:dyDescent="0.35">
      <c r="A36" s="5"/>
      <c r="B36" s="22">
        <f t="shared" si="4"/>
        <v>20</v>
      </c>
      <c r="C36" s="22">
        <f t="shared" si="5"/>
        <v>8</v>
      </c>
      <c r="D36" s="22" t="str">
        <f>IF(F36="12월",(E36+1)&amp;VLOOKUP(F36,인덱스!$C:$D,2,0),E36&amp;VLOOKUP(F36,인덱스!$C:$D,2,0))</f>
        <v>20209</v>
      </c>
      <c r="E36" s="5" t="str">
        <f t="shared" si="6"/>
        <v>2020</v>
      </c>
      <c r="F36" s="5" t="str">
        <f t="shared" si="7"/>
        <v>8월</v>
      </c>
      <c r="G36" s="37" t="str">
        <f>B36&amp;"."&amp;VLOOKUP(F36,인덱스!$A:$B,2,0)</f>
        <v>20.08</v>
      </c>
      <c r="H36" s="14">
        <f>IFERROR(VLOOKUP(G36,#REF!,2,0),)</f>
        <v>0</v>
      </c>
      <c r="I36" s="38">
        <f t="shared" ca="1" si="8"/>
        <v>94.272722483171108</v>
      </c>
      <c r="J36" s="38">
        <f t="shared" ca="1" si="9"/>
        <v>130.92074012290499</v>
      </c>
      <c r="K36" s="39">
        <f t="shared" ca="1" si="10"/>
        <v>170.57503632273418</v>
      </c>
      <c r="L36" s="39">
        <f t="shared" ca="1" si="11"/>
        <v>151.11891850607191</v>
      </c>
      <c r="M36" s="39">
        <f t="shared" ca="1" si="12"/>
        <v>83.97715148559287</v>
      </c>
      <c r="N36" s="5"/>
      <c r="O36" s="5"/>
      <c r="P36" s="5"/>
      <c r="Q36" s="8">
        <f ca="1">IFERROR(__xludf.DUMMYFUNCTION("iferror(index('지수RAW'!$V$7:$V$12040,MATCH($D36,'지수RAW'!$R$7:$R$12040,0)-1,1),GOOGLEFINANCE(Q$2))"),2326.17)</f>
        <v>2326.17</v>
      </c>
      <c r="R36" s="44">
        <f ca="1">IFERROR(__xludf.DUMMYFUNCTION("iferror(index('지수RAW'!$F$7:$F$12040,MATCH($D36,'지수RAW'!$B$7:$B$12040,0)-1,1),GOOGLEFINANCE(R$2))"),3500.31)</f>
        <v>3500.31</v>
      </c>
      <c r="S36" s="9">
        <f ca="1">IFERROR(__xludf.DUMMYFUNCTION("iferror(index('지수RAW'!$N$7:$N$12040,MATCH($D36,'지수RAW'!$J$7:$J$12040,0)-1,1),GOOGLEFINANCE(S$2))"),11775.46)</f>
        <v>11775.46</v>
      </c>
      <c r="T36" s="5"/>
      <c r="U36" s="29">
        <f t="array" aca="1" ref="U36" ca="1">IFERROR(INDEX(지수RAW!$AT$7:$AT$12040,MATCH($D36,지수RAW!$AP$7:$AP$12040,0)-1,1),지수RAW!$AU$4)</f>
        <v>1978.6</v>
      </c>
      <c r="V36" s="29">
        <f ca="1">IFERROR(__xludf.DUMMYFUNCTION("iferror(index('지수RAW'!$AL$7:$AL$12040,MATCH($D36,'지수RAW'!$AH$7:$AH$12040,0)-1,1),GOOGLEFINANCE(V$2))"),11656.86)</f>
        <v>11656.86</v>
      </c>
      <c r="W36" s="30">
        <f ca="1">IFERROR(__xludf.DUMMYFUNCTION("iferror(index('지수RAW'!$AD$7:$AD$12040,MATCH($D36,'지수RAW'!$Z$7:$Z$12040,0)-1,1),GOOGLEFINANCE(W$2))"),1187.04)</f>
        <v>1187.04</v>
      </c>
      <c r="X36" s="36">
        <f t="shared" ref="X36:X67" ca="1" si="18">$W36*R36</f>
        <v>4155007.9823999996</v>
      </c>
      <c r="Y36" s="36">
        <f t="shared" ref="Y36:Y67" ca="1" si="19">$W36*S36</f>
        <v>13977942.038399998</v>
      </c>
      <c r="Z36" s="36">
        <f t="shared" ref="Z36:Z67" ca="1" si="20">$W36*U36</f>
        <v>2348677.344</v>
      </c>
      <c r="AA36" s="36">
        <f t="shared" ref="AA36:AA67" ca="1" si="21">$W36*V36</f>
        <v>13837159.0944</v>
      </c>
      <c r="AB36" s="12"/>
      <c r="AC36" s="38">
        <f t="shared" ca="1" si="13"/>
        <v>111.34728488748391</v>
      </c>
      <c r="AD36" s="38">
        <f t="shared" ca="1" si="14"/>
        <v>145.77668948145356</v>
      </c>
      <c r="AE36" s="38">
        <f t="shared" ca="1" si="15"/>
        <v>189.9306716412041</v>
      </c>
      <c r="AF36" s="38">
        <f t="shared" ca="1" si="16"/>
        <v>168.26681270784061</v>
      </c>
      <c r="AG36" s="38">
        <f t="shared" ca="1" si="17"/>
        <v>93.506278105057035</v>
      </c>
    </row>
    <row r="37" spans="1:33" ht="12.75" customHeight="1" x14ac:dyDescent="0.35">
      <c r="A37" s="5"/>
      <c r="B37" s="22">
        <f t="shared" ref="B37:B68" si="22">IF(C36=12,B36+1,B36)</f>
        <v>20</v>
      </c>
      <c r="C37" s="22">
        <f t="shared" ref="C37:C68" si="23">IF(C36=12,1,C36+1)</f>
        <v>9</v>
      </c>
      <c r="D37" s="22" t="str">
        <f>IF(F37="12월",(E37+1)&amp;VLOOKUP(F37,인덱스!$C:$D,2,0),E37&amp;VLOOKUP(F37,인덱스!$C:$D,2,0))</f>
        <v>202010</v>
      </c>
      <c r="E37" s="5" t="str">
        <f t="shared" ref="E37:E68" si="24">"20"&amp;B37</f>
        <v>2020</v>
      </c>
      <c r="F37" s="5" t="str">
        <f t="shared" ref="F37:F68" si="25">C37&amp;"월"</f>
        <v>9월</v>
      </c>
      <c r="G37" s="37" t="str">
        <f>B37&amp;"."&amp;VLOOKUP(F37,인덱스!$A:$B,2,0)</f>
        <v>20.09</v>
      </c>
      <c r="H37" s="14">
        <f>IFERROR(VLOOKUP(G37,#REF!,2,0),)</f>
        <v>0</v>
      </c>
      <c r="I37" s="38">
        <f t="shared" ref="I37:I68" ca="1" si="26">IF(Q37="","",I36*(Q37/Q36))</f>
        <v>94.342428946013897</v>
      </c>
      <c r="J37" s="38">
        <f t="shared" ref="J37:J68" ca="1" si="27">IF(R37="","",J36*(R37/R36))</f>
        <v>125.78498733921552</v>
      </c>
      <c r="K37" s="39">
        <f t="shared" ref="K37:K68" ca="1" si="28">IF(S37="","",K36*(S37/S36))</f>
        <v>161.76849345031934</v>
      </c>
      <c r="L37" s="39">
        <f t="shared" ref="L37:L68" ca="1" si="29">IF(U37="","",L36*(U37/U36))</f>
        <v>144.77201558084468</v>
      </c>
      <c r="M37" s="39">
        <f t="shared" ref="M37:M68" ca="1" si="30">IF(V37="","",M36*(V37/V36))</f>
        <v>77.658581988748622</v>
      </c>
      <c r="N37" s="5"/>
      <c r="O37" s="5"/>
      <c r="P37" s="5"/>
      <c r="Q37" s="8">
        <f ca="1">IFERROR(__xludf.DUMMYFUNCTION("iferror(index('지수RAW'!$V$7:$V$12040,MATCH($D37,'지수RAW'!$R$7:$R$12040,0)-1,1),GOOGLEFINANCE(Q$2))"),2327.89)</f>
        <v>2327.89</v>
      </c>
      <c r="R37" s="5">
        <f ca="1">IFERROR(__xludf.DUMMYFUNCTION("iferror(index('지수RAW'!$F$7:$F$12040,MATCH($D37,'지수RAW'!$B$7:$B$12040,0)-1,1),GOOGLEFINANCE(R$2))"),3363)</f>
        <v>3363</v>
      </c>
      <c r="S37" s="9">
        <f ca="1">IFERROR(__xludf.DUMMYFUNCTION("iferror(index('지수RAW'!$N$7:$N$12040,MATCH($D37,'지수RAW'!$J$7:$J$12040,0)-1,1),GOOGLEFINANCE(S$2))"),11167.51)</f>
        <v>11167.51</v>
      </c>
      <c r="T37" s="5"/>
      <c r="U37" s="29">
        <f t="array" aca="1" ref="U37" ca="1">IFERROR(INDEX(지수RAW!$AT$7:$AT$12040,MATCH($D37,지수RAW!$AP$7:$AP$12040,0)-1,1),지수RAW!$AU$4)</f>
        <v>1895.5</v>
      </c>
      <c r="V37" s="29">
        <f ca="1">IFERROR(__xludf.DUMMYFUNCTION("iferror(index('지수RAW'!$AL$7:$AL$12040,MATCH($D37,'지수RAW'!$AH$7:$AH$12040,0)-1,1),GOOGLEFINANCE(V$2))"),10779.78)</f>
        <v>10779.78</v>
      </c>
      <c r="W37" s="30">
        <f ca="1">IFERROR(__xludf.DUMMYFUNCTION("iferror(index('지수RAW'!$AD$7:$AD$12040,MATCH($D37,'지수RAW'!$Z$7:$Z$12040,0)-1,1),GOOGLEFINANCE(W$2))"),1163.78)</f>
        <v>1163.78</v>
      </c>
      <c r="X37" s="36">
        <f t="shared" ca="1" si="18"/>
        <v>3913792.14</v>
      </c>
      <c r="Y37" s="36">
        <f t="shared" ca="1" si="19"/>
        <v>12996524.787799999</v>
      </c>
      <c r="Z37" s="36">
        <f t="shared" ca="1" si="20"/>
        <v>2205944.9899999998</v>
      </c>
      <c r="AA37" s="36">
        <f t="shared" ca="1" si="21"/>
        <v>12545292.3684</v>
      </c>
      <c r="AB37" s="12"/>
      <c r="AC37" s="38">
        <f t="shared" ref="AC37:AC68" ca="1" si="31">IF(Q37="","",AC36*(W37/W36))</f>
        <v>109.16543941767424</v>
      </c>
      <c r="AD37" s="38">
        <f t="shared" ref="AD37:AD68" ca="1" si="32">IF(R37="","",AD36*(X37/X36))</f>
        <v>137.31373415032061</v>
      </c>
      <c r="AE37" s="38">
        <f t="shared" ref="AE37:AE68" ca="1" si="33">IF(S37="","",AE36*(Y37/Y36))</f>
        <v>176.59528671439276</v>
      </c>
      <c r="AF37" s="38">
        <f t="shared" ref="AF37:AF68" ca="1" si="34">IF(U37="","",AF36*(Z37/Z36))</f>
        <v>158.04100696265297</v>
      </c>
      <c r="AG37" s="38">
        <f t="shared" ref="AG37:AG68" ca="1" si="35">IF(V37="","",AG36*(AA37/AA36))</f>
        <v>84.776332273552271</v>
      </c>
    </row>
    <row r="38" spans="1:33" ht="12.75" customHeight="1" x14ac:dyDescent="0.35">
      <c r="A38" s="5"/>
      <c r="B38" s="22">
        <f t="shared" si="22"/>
        <v>20</v>
      </c>
      <c r="C38" s="22">
        <f t="shared" si="23"/>
        <v>10</v>
      </c>
      <c r="D38" s="22" t="str">
        <f>IF(F38="12월",(E38+1)&amp;VLOOKUP(F38,인덱스!$C:$D,2,0),E38&amp;VLOOKUP(F38,인덱스!$C:$D,2,0))</f>
        <v>202011</v>
      </c>
      <c r="E38" s="5" t="str">
        <f t="shared" si="24"/>
        <v>2020</v>
      </c>
      <c r="F38" s="5" t="str">
        <f t="shared" si="25"/>
        <v>10월</v>
      </c>
      <c r="G38" s="37" t="str">
        <f>B38&amp;"."&amp;VLOOKUP(F38,인덱스!$A:$B,2,0)</f>
        <v>20.10</v>
      </c>
      <c r="H38" s="14">
        <f>IFERROR(VLOOKUP(G38,#REF!,2,0),)</f>
        <v>0</v>
      </c>
      <c r="I38" s="38">
        <f t="shared" ca="1" si="26"/>
        <v>91.880818159344045</v>
      </c>
      <c r="J38" s="38">
        <f t="shared" ca="1" si="27"/>
        <v>122.3050482306694</v>
      </c>
      <c r="K38" s="39">
        <f t="shared" ca="1" si="28"/>
        <v>158.06132928894357</v>
      </c>
      <c r="L38" s="39">
        <f t="shared" ca="1" si="29"/>
        <v>143.58053921943019</v>
      </c>
      <c r="M38" s="39">
        <f t="shared" ca="1" si="30"/>
        <v>99.407895258191218</v>
      </c>
      <c r="N38" s="45"/>
      <c r="O38" s="45"/>
      <c r="P38" s="45"/>
      <c r="Q38" s="8">
        <f ca="1">IFERROR(__xludf.DUMMYFUNCTION("iferror(index('지수RAW'!$V$7:$V$12040,MATCH($D38,'지수RAW'!$R$7:$R$12040,0)-1,1),GOOGLEFINANCE(Q$2))"),2267.15)</f>
        <v>2267.15</v>
      </c>
      <c r="R38" s="5">
        <f ca="1">IFERROR(__xludf.DUMMYFUNCTION("iferror(index('지수RAW'!$F$7:$F$12040,MATCH($D38,'지수RAW'!$B$7:$B$12040,0)-1,1),GOOGLEFINANCE(R$2))"),3269.96)</f>
        <v>3269.96</v>
      </c>
      <c r="S38" s="9">
        <f ca="1">IFERROR(__xludf.DUMMYFUNCTION("iferror(index('지수RAW'!$N$7:$N$12040,MATCH($D38,'지수RAW'!$J$7:$J$12040,0)-1,1),GOOGLEFINANCE(S$2))"),10911.59)</f>
        <v>10911.59</v>
      </c>
      <c r="T38" s="5"/>
      <c r="U38" s="29">
        <f t="array" aca="1" ref="U38" ca="1">IFERROR(INDEX(지수RAW!$AT$7:$AT$12040,MATCH($D38,지수RAW!$AP$7:$AP$12040,0)-1,1),지수RAW!$AU$4)</f>
        <v>1879.9</v>
      </c>
      <c r="V38" s="29">
        <f ca="1">IFERROR(__xludf.DUMMYFUNCTION("iferror(index('지수RAW'!$AL$7:$AL$12040,MATCH($D38,'지수RAW'!$AH$7:$AH$12040,0)-1,1),GOOGLEFINANCE(V$2))"),13798.8)</f>
        <v>13798.8</v>
      </c>
      <c r="W38" s="30">
        <f ca="1">IFERROR(__xludf.DUMMYFUNCTION("iferror(index('지수RAW'!$AD$7:$AD$12040,MATCH($D38,'지수RAW'!$Z$7:$Z$12040,0)-1,1),GOOGLEFINANCE(W$2))"),1135.61)</f>
        <v>1135.6099999999999</v>
      </c>
      <c r="X38" s="36">
        <f t="shared" ca="1" si="18"/>
        <v>3713399.2755999998</v>
      </c>
      <c r="Y38" s="36">
        <f t="shared" ca="1" si="19"/>
        <v>12391310.719899999</v>
      </c>
      <c r="Z38" s="36">
        <f t="shared" ca="1" si="20"/>
        <v>2134833.2390000001</v>
      </c>
      <c r="AA38" s="36">
        <f t="shared" ca="1" si="21"/>
        <v>15670055.267999997</v>
      </c>
      <c r="AB38" s="12"/>
      <c r="AC38" s="38">
        <f t="shared" ca="1" si="31"/>
        <v>106.52302381644729</v>
      </c>
      <c r="AD38" s="38">
        <f t="shared" ca="1" si="32"/>
        <v>130.28303565547338</v>
      </c>
      <c r="AE38" s="38">
        <f t="shared" ca="1" si="33"/>
        <v>168.37170744305462</v>
      </c>
      <c r="AF38" s="38">
        <f t="shared" ca="1" si="34"/>
        <v>152.94633198849715</v>
      </c>
      <c r="AG38" s="38">
        <f t="shared" ca="1" si="35"/>
        <v>105.89229594131201</v>
      </c>
    </row>
    <row r="39" spans="1:33" ht="12.75" customHeight="1" x14ac:dyDescent="0.35">
      <c r="A39" s="5"/>
      <c r="B39" s="22">
        <f t="shared" si="22"/>
        <v>20</v>
      </c>
      <c r="C39" s="22">
        <f t="shared" si="23"/>
        <v>11</v>
      </c>
      <c r="D39" s="22" t="str">
        <f>IF(F39="12월",(E39+1)&amp;VLOOKUP(F39,인덱스!$C:$D,2,0),E39&amp;VLOOKUP(F39,인덱스!$C:$D,2,0))</f>
        <v>202012</v>
      </c>
      <c r="E39" s="5" t="str">
        <f t="shared" si="24"/>
        <v>2020</v>
      </c>
      <c r="F39" s="5" t="str">
        <f t="shared" si="25"/>
        <v>11월</v>
      </c>
      <c r="G39" s="37" t="str">
        <f>B39&amp;"."&amp;VLOOKUP(F39,인덱스!$A:$B,2,0)</f>
        <v>20.11</v>
      </c>
      <c r="H39" s="14">
        <f>IFERROR(VLOOKUP(G39,#REF!,2,0),)</f>
        <v>0</v>
      </c>
      <c r="I39" s="38">
        <f t="shared" ca="1" si="26"/>
        <v>105.0192705948149</v>
      </c>
      <c r="J39" s="38">
        <f t="shared" ca="1" si="27"/>
        <v>135.45842512557928</v>
      </c>
      <c r="K39" s="39">
        <f t="shared" ca="1" si="28"/>
        <v>176.70651665341231</v>
      </c>
      <c r="L39" s="39">
        <f t="shared" ca="1" si="29"/>
        <v>136.01924692583819</v>
      </c>
      <c r="M39" s="39">
        <f t="shared" ca="1" si="30"/>
        <v>141.95061015100507</v>
      </c>
      <c r="N39" s="5"/>
      <c r="O39" s="5"/>
      <c r="P39" s="5"/>
      <c r="Q39" s="8">
        <f ca="1">IFERROR(__xludf.DUMMYFUNCTION("iferror(index('지수RAW'!$V$7:$V$12040,MATCH($D39,'지수RAW'!$R$7:$R$12040,0)-1,1),GOOGLEFINANCE(Q$2))"),2591.34)</f>
        <v>2591.34</v>
      </c>
      <c r="R39" s="5">
        <f ca="1">IFERROR(__xludf.DUMMYFUNCTION("iferror(index('지수RAW'!$F$7:$F$12040,MATCH($D39,'지수RAW'!$B$7:$B$12040,0)-1,1),GOOGLEFINANCE(R$2))"),3621.63)</f>
        <v>3621.63</v>
      </c>
      <c r="S39" s="9">
        <f ca="1">IFERROR(__xludf.DUMMYFUNCTION("iferror(index('지수RAW'!$N$7:$N$12040,MATCH($D39,'지수RAW'!$J$7:$J$12040,0)-1,1),GOOGLEFINANCE(S$2))"),12198.74)</f>
        <v>12198.74</v>
      </c>
      <c r="T39" s="5"/>
      <c r="U39" s="29">
        <f t="array" aca="1" ref="U39" ca="1">IFERROR(INDEX(지수RAW!$AT$7:$AT$12040,MATCH($D39,지수RAW!$AP$7:$AP$12040,0)-1,1),지수RAW!$AU$4)</f>
        <v>1780.9</v>
      </c>
      <c r="V39" s="29">
        <f ca="1">IFERROR(__xludf.DUMMYFUNCTION("iferror(index('지수RAW'!$AL$7:$AL$12040,MATCH($D39,'지수RAW'!$AH$7:$AH$12040,0)-1,1),GOOGLEFINANCE(V$2))"),19704.15)</f>
        <v>19704.150000000001</v>
      </c>
      <c r="W39" s="30">
        <f ca="1">IFERROR(__xludf.DUMMYFUNCTION("iferror(index('지수RAW'!$AD$7:$AD$12040,MATCH($D39,'지수RAW'!$Z$7:$Z$12040,0)-1,1),GOOGLEFINANCE(W$2))"),1108.51)</f>
        <v>1108.51</v>
      </c>
      <c r="X39" s="36">
        <f t="shared" ca="1" si="18"/>
        <v>4014613.0713</v>
      </c>
      <c r="Y39" s="36">
        <f t="shared" ca="1" si="19"/>
        <v>13522425.2774</v>
      </c>
      <c r="Z39" s="36">
        <f t="shared" ca="1" si="20"/>
        <v>1974145.459</v>
      </c>
      <c r="AA39" s="36">
        <f t="shared" ca="1" si="21"/>
        <v>21842247.316500001</v>
      </c>
      <c r="AB39" s="12"/>
      <c r="AC39" s="38">
        <f t="shared" ca="1" si="31"/>
        <v>103.98097685893043</v>
      </c>
      <c r="AD39" s="38">
        <f t="shared" ca="1" si="32"/>
        <v>140.85099368330029</v>
      </c>
      <c r="AE39" s="38">
        <f t="shared" ca="1" si="33"/>
        <v>183.74116218960683</v>
      </c>
      <c r="AF39" s="38">
        <f t="shared" ca="1" si="34"/>
        <v>141.43414166964735</v>
      </c>
      <c r="AG39" s="38">
        <f t="shared" ca="1" si="35"/>
        <v>147.60163109222714</v>
      </c>
    </row>
    <row r="40" spans="1:33" ht="12.75" customHeight="1" x14ac:dyDescent="0.35">
      <c r="A40" s="5"/>
      <c r="B40" s="22">
        <f t="shared" si="22"/>
        <v>20</v>
      </c>
      <c r="C40" s="22">
        <f t="shared" si="23"/>
        <v>12</v>
      </c>
      <c r="D40" s="22" t="str">
        <f>IF(F40="12월",(E40+1)&amp;VLOOKUP(F40,인덱스!$C:$D,2,0),E40&amp;VLOOKUP(F40,인덱스!$C:$D,2,0))</f>
        <v>20211</v>
      </c>
      <c r="E40" s="5" t="str">
        <f t="shared" si="24"/>
        <v>2020</v>
      </c>
      <c r="F40" s="5" t="str">
        <f t="shared" si="25"/>
        <v>12월</v>
      </c>
      <c r="G40" s="37" t="str">
        <f>B40&amp;"."&amp;VLOOKUP(F40,인덱스!$A:$B,2,0)</f>
        <v>20.12</v>
      </c>
      <c r="H40" s="14">
        <f>IFERROR(VLOOKUP(G40,#REF!,2,0),)</f>
        <v>0</v>
      </c>
      <c r="I40" s="38">
        <f t="shared" ca="1" si="26"/>
        <v>116.4531568516994</v>
      </c>
      <c r="J40" s="38">
        <f t="shared" ca="1" si="27"/>
        <v>140.48683241011219</v>
      </c>
      <c r="K40" s="39">
        <f t="shared" ca="1" si="28"/>
        <v>186.69494262963559</v>
      </c>
      <c r="L40" s="39">
        <f t="shared" ca="1" si="29"/>
        <v>144.74146490491094</v>
      </c>
      <c r="M40" s="39">
        <f t="shared" ca="1" si="30"/>
        <v>208.51236115003323</v>
      </c>
      <c r="N40" s="5"/>
      <c r="O40" s="5"/>
      <c r="P40" s="5"/>
      <c r="Q40" s="8">
        <f ca="1">IFERROR(__xludf.DUMMYFUNCTION("iferror(index('지수RAW'!$V$7:$V$12040,MATCH($D40,'지수RAW'!$R$7:$R$12040,0)-1,1),GOOGLEFINANCE(Q$2))"),2873.47)</f>
        <v>2873.47</v>
      </c>
      <c r="R40" s="5">
        <f ca="1">IFERROR(__xludf.DUMMYFUNCTION("iferror(index('지수RAW'!$F$7:$F$12040,MATCH($D40,'지수RAW'!$B$7:$B$12040,0)-1,1),GOOGLEFINANCE(R$2))"),3756.07)</f>
        <v>3756.07</v>
      </c>
      <c r="S40" s="9">
        <f ca="1">IFERROR(__xludf.DUMMYFUNCTION("iferror(index('지수RAW'!$N$7:$N$12040,MATCH($D40,'지수RAW'!$J$7:$J$12040,0)-1,1),GOOGLEFINANCE(S$2))"),12888.28)</f>
        <v>12888.28</v>
      </c>
      <c r="T40" s="5"/>
      <c r="U40" s="29">
        <f t="array" aca="1" ref="U40" ca="1">IFERROR(INDEX(지수RAW!$AT$7:$AT$12040,MATCH($D40,지수RAW!$AP$7:$AP$12040,0)-1,1),지수RAW!$AU$4)</f>
        <v>1895.1</v>
      </c>
      <c r="V40" s="29">
        <f ca="1">IFERROR(__xludf.DUMMYFUNCTION("iferror(index('지수RAW'!$AL$7:$AL$12040,MATCH($D40,'지수RAW'!$AH$7:$AH$12040,0)-1,1),GOOGLEFINANCE(V$2))"),28943.58)</f>
        <v>28943.58</v>
      </c>
      <c r="W40" s="30">
        <f ca="1">IFERROR(__xludf.DUMMYFUNCTION("iferror(index('지수RAW'!$AD$7:$AD$12040,MATCH($D40,'지수RAW'!$Z$7:$Z$12040,0)-1,1),GOOGLEFINANCE(W$2))"),1084.65)</f>
        <v>1084.6500000000001</v>
      </c>
      <c r="X40" s="36">
        <f t="shared" ca="1" si="18"/>
        <v>4074021.3255000007</v>
      </c>
      <c r="Y40" s="36">
        <f t="shared" ca="1" si="19"/>
        <v>13979272.902000003</v>
      </c>
      <c r="Z40" s="36">
        <f t="shared" ca="1" si="20"/>
        <v>2055520.2150000001</v>
      </c>
      <c r="AA40" s="36">
        <f t="shared" ca="1" si="21"/>
        <v>31393654.047000006</v>
      </c>
      <c r="AB40" s="12"/>
      <c r="AC40" s="38">
        <f t="shared" ca="1" si="31"/>
        <v>101.74284990666652</v>
      </c>
      <c r="AD40" s="38">
        <f t="shared" ca="1" si="32"/>
        <v>142.93530703765069</v>
      </c>
      <c r="AE40" s="38">
        <f t="shared" ca="1" si="33"/>
        <v>189.94875526300743</v>
      </c>
      <c r="AF40" s="38">
        <f t="shared" ca="1" si="34"/>
        <v>147.26409139091405</v>
      </c>
      <c r="AG40" s="38">
        <f t="shared" ca="1" si="35"/>
        <v>212.14641864172475</v>
      </c>
    </row>
    <row r="41" spans="1:33" ht="12.75" customHeight="1" x14ac:dyDescent="0.35">
      <c r="A41" s="5"/>
      <c r="B41" s="22">
        <f t="shared" si="22"/>
        <v>21</v>
      </c>
      <c r="C41" s="22">
        <f t="shared" si="23"/>
        <v>1</v>
      </c>
      <c r="D41" s="22" t="str">
        <f>IF(F41="12월",(E41+1)&amp;VLOOKUP(F41,인덱스!$C:$D,2,0),E41&amp;VLOOKUP(F41,인덱스!$C:$D,2,0))</f>
        <v>20212</v>
      </c>
      <c r="E41" s="5" t="str">
        <f t="shared" si="24"/>
        <v>2021</v>
      </c>
      <c r="F41" s="5" t="str">
        <f t="shared" si="25"/>
        <v>1월</v>
      </c>
      <c r="G41" s="40" t="str">
        <f>B41&amp;"."&amp;VLOOKUP(F41,인덱스!$A:$B,2,0)</f>
        <v>21.01</v>
      </c>
      <c r="H41" s="41">
        <f>IFERROR(VLOOKUP(G41,#REF!,2,0),)</f>
        <v>0</v>
      </c>
      <c r="I41" s="42">
        <f t="shared" ca="1" si="26"/>
        <v>120.61690219615875</v>
      </c>
      <c r="J41" s="42">
        <f t="shared" ca="1" si="27"/>
        <v>138.92228111055837</v>
      </c>
      <c r="K41" s="43">
        <f t="shared" ca="1" si="28"/>
        <v>189.33741248864689</v>
      </c>
      <c r="L41" s="43">
        <f t="shared" ca="1" si="29"/>
        <v>141.319789200336</v>
      </c>
      <c r="M41" s="43">
        <f t="shared" ca="1" si="30"/>
        <v>238.5991921325496</v>
      </c>
      <c r="N41" s="5"/>
      <c r="O41" s="5"/>
      <c r="P41" s="5"/>
      <c r="Q41" s="8">
        <f ca="1">IFERROR(__xludf.DUMMYFUNCTION("iferror(index('지수RAW'!$V$7:$V$12040,MATCH($D41,'지수RAW'!$R$7:$R$12040,0)-1,1),GOOGLEFINANCE(Q$2))"),2976.21)</f>
        <v>2976.21</v>
      </c>
      <c r="R41" s="5">
        <f ca="1">IFERROR(__xludf.DUMMYFUNCTION("iferror(index('지수RAW'!$F$7:$F$12040,MATCH($D41,'지수RAW'!$B$7:$B$12040,0)-1,1),GOOGLEFINANCE(R$2))"),3714.24)</f>
        <v>3714.24</v>
      </c>
      <c r="S41" s="9">
        <f ca="1">IFERROR(__xludf.DUMMYFUNCTION("iferror(index('지수RAW'!$N$7:$N$12040,MATCH($D41,'지수RAW'!$J$7:$J$12040,0)-1,1),GOOGLEFINANCE(S$2))"),13070.7)</f>
        <v>13070.7</v>
      </c>
      <c r="T41" s="5"/>
      <c r="U41" s="29">
        <f t="array" aca="1" ref="U41" ca="1">IFERROR(INDEX(지수RAW!$AT$7:$AT$12040,MATCH($D41,지수RAW!$AP$7:$AP$12040,0)-1,1),지수RAW!$AU$4)</f>
        <v>1850.3</v>
      </c>
      <c r="V41" s="29">
        <f ca="1">IFERROR(__xludf.DUMMYFUNCTION("iferror(index('지수RAW'!$AL$7:$AL$12040,MATCH($D41,'지수RAW'!$AH$7:$AH$12040,0)-1,1),GOOGLEFINANCE(V$2))"),33119.93)</f>
        <v>33119.93</v>
      </c>
      <c r="W41" s="30">
        <f ca="1">IFERROR(__xludf.DUMMYFUNCTION("iferror(index('지수RAW'!$AD$7:$AD$12040,MATCH($D41,'지수RAW'!$Z$7:$Z$12040,0)-1,1),GOOGLEFINANCE(W$2))"),1117.43)</f>
        <v>1117.43</v>
      </c>
      <c r="X41" s="36">
        <f t="shared" ca="1" si="18"/>
        <v>4150403.2031999999</v>
      </c>
      <c r="Y41" s="36">
        <f t="shared" ca="1" si="19"/>
        <v>14605592.301000001</v>
      </c>
      <c r="Z41" s="36">
        <f t="shared" ca="1" si="20"/>
        <v>2067580.7290000001</v>
      </c>
      <c r="AA41" s="36">
        <f t="shared" ca="1" si="21"/>
        <v>37009203.379900001</v>
      </c>
      <c r="AB41" s="12"/>
      <c r="AC41" s="42">
        <f t="shared" ca="1" si="31"/>
        <v>104.8176948980836</v>
      </c>
      <c r="AD41" s="42">
        <f t="shared" ca="1" si="32"/>
        <v>145.6151327599232</v>
      </c>
      <c r="AE41" s="42">
        <f t="shared" ca="1" si="33"/>
        <v>198.459111350276</v>
      </c>
      <c r="AF41" s="42">
        <f t="shared" ca="1" si="34"/>
        <v>148.12814547462315</v>
      </c>
      <c r="AG41" s="42">
        <f t="shared" ca="1" si="35"/>
        <v>250.0941732387881</v>
      </c>
    </row>
    <row r="42" spans="1:33" ht="12.75" customHeight="1" x14ac:dyDescent="0.35">
      <c r="A42" s="5"/>
      <c r="B42" s="22">
        <f t="shared" si="22"/>
        <v>21</v>
      </c>
      <c r="C42" s="22">
        <f t="shared" si="23"/>
        <v>2</v>
      </c>
      <c r="D42" s="22" t="str">
        <f>IF(F42="12월",(E42+1)&amp;VLOOKUP(F42,인덱스!$C:$D,2,0),E42&amp;VLOOKUP(F42,인덱스!$C:$D,2,0))</f>
        <v>20213</v>
      </c>
      <c r="E42" s="5" t="str">
        <f t="shared" si="24"/>
        <v>2021</v>
      </c>
      <c r="F42" s="5" t="str">
        <f t="shared" si="25"/>
        <v>2월</v>
      </c>
      <c r="G42" s="37" t="str">
        <f>B42&amp;"."&amp;VLOOKUP(F42,인덱스!$A:$B,2,0)</f>
        <v>21.02</v>
      </c>
      <c r="H42" s="14">
        <f>IFERROR(VLOOKUP(G42,#REF!,2,0),)</f>
        <v>0</v>
      </c>
      <c r="I42" s="38">
        <f t="shared" ca="1" si="26"/>
        <v>122.10586466409173</v>
      </c>
      <c r="J42" s="38">
        <f t="shared" ca="1" si="27"/>
        <v>142.54696833120764</v>
      </c>
      <c r="K42" s="39">
        <f t="shared" ca="1" si="28"/>
        <v>191.0995902013359</v>
      </c>
      <c r="L42" s="39">
        <f t="shared" ca="1" si="29"/>
        <v>132.0400213854731</v>
      </c>
      <c r="M42" s="39">
        <f t="shared" ca="1" si="30"/>
        <v>325.64716205400339</v>
      </c>
      <c r="N42" s="5"/>
      <c r="O42" s="5"/>
      <c r="P42" s="5"/>
      <c r="Q42" s="8">
        <f ca="1">IFERROR(__xludf.DUMMYFUNCTION("iferror(index('지수RAW'!$V$7:$V$12040,MATCH($D42,'지수RAW'!$R$7:$R$12040,0)-1,1),GOOGLEFINANCE(Q$2))"),3012.95)</f>
        <v>3012.95</v>
      </c>
      <c r="R42" s="5">
        <f ca="1">IFERROR(__xludf.DUMMYFUNCTION("iferror(index('지수RAW'!$F$7:$F$12040,MATCH($D42,'지수RAW'!$B$7:$B$12040,0)-1,1),GOOGLEFINANCE(R$2))"),3811.15)</f>
        <v>3811.15</v>
      </c>
      <c r="S42" s="9">
        <f ca="1">IFERROR(__xludf.DUMMYFUNCTION("iferror(index('지수RAW'!$N$7:$N$12040,MATCH($D42,'지수RAW'!$J$7:$J$12040,0)-1,1),GOOGLEFINANCE(S$2))"),13192.35)</f>
        <v>13192.35</v>
      </c>
      <c r="T42" s="5"/>
      <c r="U42" s="29">
        <f t="array" aca="1" ref="U42" ca="1">IFERROR(INDEX(지수RAW!$AT$7:$AT$12040,MATCH($D42,지수RAW!$AP$7:$AP$12040,0)-1,1),지수RAW!$AU$4)</f>
        <v>1728.8</v>
      </c>
      <c r="V42" s="29">
        <f ca="1">IFERROR(__xludf.DUMMYFUNCTION("iferror(index('지수RAW'!$AL$7:$AL$12040,MATCH($D42,'지수RAW'!$AH$7:$AH$12040,0)-1,1),GOOGLEFINANCE(V$2))"),45203.05)</f>
        <v>45203.05</v>
      </c>
      <c r="W42" s="30">
        <f ca="1">IFERROR(__xludf.DUMMYFUNCTION("iferror(index('지수RAW'!$AD$7:$AD$12040,MATCH($D42,'지수RAW'!$Z$7:$Z$12040,0)-1,1),GOOGLEFINANCE(W$2))"),1123.37)</f>
        <v>1123.3699999999999</v>
      </c>
      <c r="X42" s="36">
        <f t="shared" ca="1" si="18"/>
        <v>4281331.5754999993</v>
      </c>
      <c r="Y42" s="36">
        <f t="shared" ca="1" si="19"/>
        <v>14819890.2195</v>
      </c>
      <c r="Z42" s="36">
        <f t="shared" ca="1" si="20"/>
        <v>1942082.0559999999</v>
      </c>
      <c r="AA42" s="36">
        <f t="shared" ca="1" si="21"/>
        <v>50779750.278499998</v>
      </c>
      <c r="AB42" s="12"/>
      <c r="AC42" s="38">
        <f t="shared" ca="1" si="31"/>
        <v>105.37488157438062</v>
      </c>
      <c r="AD42" s="38">
        <f t="shared" ca="1" si="32"/>
        <v>150.20869906688</v>
      </c>
      <c r="AE42" s="38">
        <f t="shared" ca="1" si="33"/>
        <v>201.37096686378447</v>
      </c>
      <c r="AF42" s="38">
        <f t="shared" ca="1" si="34"/>
        <v>139.13701616572922</v>
      </c>
      <c r="AG42" s="38">
        <f t="shared" ca="1" si="35"/>
        <v>343.15031136473738</v>
      </c>
    </row>
    <row r="43" spans="1:33" ht="12.75" customHeight="1" x14ac:dyDescent="0.35">
      <c r="A43" s="5"/>
      <c r="B43" s="22">
        <f t="shared" si="22"/>
        <v>21</v>
      </c>
      <c r="C43" s="22">
        <f t="shared" si="23"/>
        <v>3</v>
      </c>
      <c r="D43" s="22" t="str">
        <f>IF(F43="12월",(E43+1)&amp;VLOOKUP(F43,인덱스!$C:$D,2,0),E43&amp;VLOOKUP(F43,인덱스!$C:$D,2,0))</f>
        <v>20214</v>
      </c>
      <c r="E43" s="5" t="str">
        <f t="shared" si="24"/>
        <v>2021</v>
      </c>
      <c r="F43" s="5" t="str">
        <f t="shared" si="25"/>
        <v>3월</v>
      </c>
      <c r="G43" s="37" t="str">
        <f>B43&amp;"."&amp;VLOOKUP(F43,인덱스!$A:$B,2,0)</f>
        <v>21.03</v>
      </c>
      <c r="H43" s="14">
        <f>IFERROR(VLOOKUP(G43,#REF!,2,0),)</f>
        <v>0</v>
      </c>
      <c r="I43" s="38">
        <f t="shared" ca="1" si="26"/>
        <v>124.07020899780738</v>
      </c>
      <c r="J43" s="38">
        <f t="shared" ca="1" si="27"/>
        <v>148.59646694918109</v>
      </c>
      <c r="K43" s="39">
        <f t="shared" ca="1" si="28"/>
        <v>191.88934711786533</v>
      </c>
      <c r="L43" s="39">
        <f t="shared" ca="1" si="29"/>
        <v>131.03184907966084</v>
      </c>
      <c r="M43" s="39">
        <f t="shared" ca="1" si="30"/>
        <v>423.56445757831392</v>
      </c>
      <c r="N43" s="5"/>
      <c r="O43" s="5"/>
      <c r="P43" s="5"/>
      <c r="Q43" s="8">
        <f ca="1">IFERROR(__xludf.DUMMYFUNCTION("iferror(index('지수RAW'!$V$7:$V$12040,MATCH($D43,'지수RAW'!$R$7:$R$12040,0)-1,1),GOOGLEFINANCE(Q$2))"),3061.42)</f>
        <v>3061.42</v>
      </c>
      <c r="R43" s="5">
        <f ca="1">IFERROR(__xludf.DUMMYFUNCTION("iferror(index('지수RAW'!$F$7:$F$12040,MATCH($D43,'지수RAW'!$B$7:$B$12040,0)-1,1),GOOGLEFINANCE(R$2))"),3972.89)</f>
        <v>3972.89</v>
      </c>
      <c r="S43" s="9">
        <f ca="1">IFERROR(__xludf.DUMMYFUNCTION("iferror(index('지수RAW'!$N$7:$N$12040,MATCH($D43,'지수RAW'!$J$7:$J$12040,0)-1,1),GOOGLEFINANCE(S$2))"),13246.87)</f>
        <v>13246.87</v>
      </c>
      <c r="T43" s="5"/>
      <c r="U43" s="29">
        <f t="array" aca="1" ref="U43" ca="1">IFERROR(INDEX(지수RAW!$AT$7:$AT$12040,MATCH($D43,지수RAW!$AP$7:$AP$12040,0)-1,1),지수RAW!$AU$4)</f>
        <v>1715.6</v>
      </c>
      <c r="V43" s="29">
        <f ca="1">IFERROR(__xludf.DUMMYFUNCTION("iferror(index('지수RAW'!$AL$7:$AL$12040,MATCH($D43,'지수RAW'!$AH$7:$AH$12040,0)-1,1),GOOGLEFINANCE(V$2))"),58794.94)</f>
        <v>58794.94</v>
      </c>
      <c r="W43" s="30">
        <f ca="1">IFERROR(__xludf.DUMMYFUNCTION("iferror(index('지수RAW'!$AD$7:$AD$12040,MATCH($D43,'지수RAW'!$Z$7:$Z$12040,0)-1,1),GOOGLEFINANCE(W$2))"),1127.2)</f>
        <v>1127.2</v>
      </c>
      <c r="X43" s="36">
        <f t="shared" ca="1" si="18"/>
        <v>4478241.608</v>
      </c>
      <c r="Y43" s="36">
        <f t="shared" ca="1" si="19"/>
        <v>14931871.864000002</v>
      </c>
      <c r="Z43" s="36">
        <f t="shared" ca="1" si="20"/>
        <v>1933824.32</v>
      </c>
      <c r="AA43" s="36">
        <f t="shared" ca="1" si="21"/>
        <v>66273656.368000008</v>
      </c>
      <c r="AB43" s="12"/>
      <c r="AC43" s="38">
        <f t="shared" ca="1" si="31"/>
        <v>105.73414503738024</v>
      </c>
      <c r="AD43" s="38">
        <f t="shared" ca="1" si="32"/>
        <v>157.11720388447006</v>
      </c>
      <c r="AE43" s="38">
        <f t="shared" ca="1" si="33"/>
        <v>202.89256059288584</v>
      </c>
      <c r="AF43" s="38">
        <f t="shared" ca="1" si="34"/>
        <v>138.54540535104988</v>
      </c>
      <c r="AG43" s="38">
        <f t="shared" ca="1" si="35"/>
        <v>447.85225790264741</v>
      </c>
    </row>
    <row r="44" spans="1:33" ht="12.75" customHeight="1" x14ac:dyDescent="0.35">
      <c r="A44" s="5"/>
      <c r="B44" s="22">
        <f t="shared" si="22"/>
        <v>21</v>
      </c>
      <c r="C44" s="22">
        <f t="shared" si="23"/>
        <v>4</v>
      </c>
      <c r="D44" s="22" t="str">
        <f>IF(F44="12월",(E44+1)&amp;VLOOKUP(F44,인덱스!$C:$D,2,0),E44&amp;VLOOKUP(F44,인덱스!$C:$D,2,0))</f>
        <v>20215</v>
      </c>
      <c r="E44" s="5" t="str">
        <f t="shared" si="24"/>
        <v>2021</v>
      </c>
      <c r="F44" s="5" t="str">
        <f t="shared" si="25"/>
        <v>4월</v>
      </c>
      <c r="G44" s="37" t="str">
        <f>B44&amp;"."&amp;VLOOKUP(F44,인덱스!$A:$B,2,0)</f>
        <v>21.04</v>
      </c>
      <c r="H44" s="14">
        <f>IFERROR(VLOOKUP(G44,#REF!,2,0),)</f>
        <v>0</v>
      </c>
      <c r="I44" s="38">
        <f t="shared" ca="1" si="26"/>
        <v>127.57336402579128</v>
      </c>
      <c r="J44" s="38">
        <f t="shared" ca="1" si="27"/>
        <v>156.38668317368655</v>
      </c>
      <c r="K44" s="39">
        <f t="shared" ca="1" si="28"/>
        <v>202.25831077195411</v>
      </c>
      <c r="L44" s="39">
        <f t="shared" ca="1" si="29"/>
        <v>135.01107462002594</v>
      </c>
      <c r="M44" s="39">
        <f t="shared" ca="1" si="30"/>
        <v>416.15223409857651</v>
      </c>
      <c r="N44" s="5"/>
      <c r="O44" s="5"/>
      <c r="P44" s="5"/>
      <c r="Q44" s="8">
        <f ca="1">IFERROR(__xludf.DUMMYFUNCTION("iferror(index('지수RAW'!$V$7:$V$12040,MATCH($D44,'지수RAW'!$R$7:$R$12040,0)-1,1),GOOGLEFINANCE(Q$2))"),3147.86)</f>
        <v>3147.86</v>
      </c>
      <c r="R44" s="5">
        <f ca="1">IFERROR(__xludf.DUMMYFUNCTION("iferror(index('지수RAW'!$F$7:$F$12040,MATCH($D44,'지수RAW'!$B$7:$B$12040,0)-1,1),GOOGLEFINANCE(R$2))"),4181.17)</f>
        <v>4181.17</v>
      </c>
      <c r="S44" s="9">
        <f ca="1">IFERROR(__xludf.DUMMYFUNCTION("iferror(index('지수RAW'!$N$7:$N$12040,MATCH($D44,'지수RAW'!$J$7:$J$12040,0)-1,1),GOOGLEFINANCE(S$2))"),13962.68)</f>
        <v>13962.68</v>
      </c>
      <c r="T44" s="5"/>
      <c r="U44" s="29">
        <f t="array" aca="1" ref="U44" ca="1">IFERROR(INDEX(지수RAW!$AT$7:$AT$12040,MATCH($D44,지수RAW!$AP$7:$AP$12040,0)-1,1),지수RAW!$AU$4)</f>
        <v>1767.7</v>
      </c>
      <c r="V44" s="29">
        <f ca="1">IFERROR(__xludf.DUMMYFUNCTION("iferror(index('지수RAW'!$AL$7:$AL$12040,MATCH($D44,'지수RAW'!$AH$7:$AH$12040,0)-1,1),GOOGLEFINANCE(V$2))"),57766.05)</f>
        <v>57766.05</v>
      </c>
      <c r="W44" s="30">
        <f ca="1">IFERROR(__xludf.DUMMYFUNCTION("iferror(index('지수RAW'!$AD$7:$AD$12040,MATCH($D44,'지수RAW'!$Z$7:$Z$12040,0)-1,1),GOOGLEFINANCE(W$2))"),1116.46)</f>
        <v>1116.46</v>
      </c>
      <c r="X44" s="36">
        <f t="shared" ca="1" si="18"/>
        <v>4668109.0581999999</v>
      </c>
      <c r="Y44" s="36">
        <f t="shared" ca="1" si="19"/>
        <v>15588773.712800002</v>
      </c>
      <c r="Z44" s="36">
        <f t="shared" ca="1" si="20"/>
        <v>1973566.3420000002</v>
      </c>
      <c r="AA44" s="36">
        <f t="shared" ca="1" si="21"/>
        <v>64493484.183000006</v>
      </c>
      <c r="AB44" s="12"/>
      <c r="AC44" s="38">
        <f t="shared" ca="1" si="31"/>
        <v>104.72670650144921</v>
      </c>
      <c r="AD44" s="38">
        <f t="shared" ca="1" si="32"/>
        <v>163.77862269465808</v>
      </c>
      <c r="AE44" s="38">
        <f t="shared" ca="1" si="33"/>
        <v>211.81846749693352</v>
      </c>
      <c r="AF44" s="38">
        <f t="shared" ca="1" si="34"/>
        <v>141.39265186176721</v>
      </c>
      <c r="AG44" s="38">
        <f t="shared" ca="1" si="35"/>
        <v>435.82252880364013</v>
      </c>
    </row>
    <row r="45" spans="1:33" ht="12.75" customHeight="1" x14ac:dyDescent="0.35">
      <c r="A45" s="5"/>
      <c r="B45" s="22">
        <f t="shared" si="22"/>
        <v>21</v>
      </c>
      <c r="C45" s="22">
        <f t="shared" si="23"/>
        <v>5</v>
      </c>
      <c r="D45" s="22" t="str">
        <f>IF(F45="12월",(E45+1)&amp;VLOOKUP(F45,인덱스!$C:$D,2,0),E45&amp;VLOOKUP(F45,인덱스!$C:$D,2,0))</f>
        <v>20216</v>
      </c>
      <c r="E45" s="5" t="str">
        <f t="shared" si="24"/>
        <v>2021</v>
      </c>
      <c r="F45" s="5" t="str">
        <f t="shared" si="25"/>
        <v>5월</v>
      </c>
      <c r="G45" s="37" t="str">
        <f>B45&amp;"."&amp;VLOOKUP(F45,인덱스!$A:$B,2,0)</f>
        <v>21.05</v>
      </c>
      <c r="H45" s="14">
        <f>IFERROR(VLOOKUP(G45,#REF!,2,0),)</f>
        <v>0</v>
      </c>
      <c r="I45" s="38">
        <f t="shared" ca="1" si="26"/>
        <v>129.84530839030742</v>
      </c>
      <c r="J45" s="38">
        <f t="shared" ca="1" si="27"/>
        <v>157.24469911468017</v>
      </c>
      <c r="K45" s="39">
        <f t="shared" ca="1" si="28"/>
        <v>199.15925364205128</v>
      </c>
      <c r="L45" s="39">
        <f t="shared" ca="1" si="29"/>
        <v>145.52050714122046</v>
      </c>
      <c r="M45" s="39">
        <f t="shared" ca="1" si="30"/>
        <v>268.7802527053185</v>
      </c>
      <c r="N45" s="5"/>
      <c r="O45" s="5"/>
      <c r="P45" s="5"/>
      <c r="Q45" s="8">
        <f ca="1">IFERROR(__xludf.DUMMYFUNCTION("iferror(index('지수RAW'!$V$7:$V$12040,MATCH($D45,'지수RAW'!$R$7:$R$12040,0)-1,1),GOOGLEFINANCE(Q$2))"),3203.92)</f>
        <v>3203.92</v>
      </c>
      <c r="R45" s="5">
        <f ca="1">IFERROR(__xludf.DUMMYFUNCTION("iferror(index('지수RAW'!$F$7:$F$12040,MATCH($D45,'지수RAW'!$B$7:$B$12040,0)-1,1),GOOGLEFINANCE(R$2))"),4204.11)</f>
        <v>4204.1099999999997</v>
      </c>
      <c r="S45" s="9">
        <f ca="1">IFERROR(__xludf.DUMMYFUNCTION("iferror(index('지수RAW'!$N$7:$N$12040,MATCH($D45,'지수RAW'!$J$7:$J$12040,0)-1,1),GOOGLEFINANCE(S$2))"),13748.74)</f>
        <v>13748.74</v>
      </c>
      <c r="T45" s="5"/>
      <c r="U45" s="29">
        <f t="array" aca="1" ref="U45" ca="1">IFERROR(INDEX(지수RAW!$AT$7:$AT$12040,MATCH($D45,지수RAW!$AP$7:$AP$12040,0)-1,1),지수RAW!$AU$4)</f>
        <v>1905.3</v>
      </c>
      <c r="V45" s="29">
        <f ca="1">IFERROR(__xludf.DUMMYFUNCTION("iferror(index('지수RAW'!$AL$7:$AL$12040,MATCH($D45,'지수RAW'!$AH$7:$AH$12040,0)-1,1),GOOGLEFINANCE(V$2))"),37309.36)</f>
        <v>37309.360000000001</v>
      </c>
      <c r="W45" s="30">
        <f ca="1">IFERROR(__xludf.DUMMYFUNCTION("iferror(index('지수RAW'!$AD$7:$AD$12040,MATCH($D45,'지수RAW'!$Z$7:$Z$12040,0)-1,1),GOOGLEFINANCE(W$2))"),1106.98)</f>
        <v>1106.98</v>
      </c>
      <c r="X45" s="36">
        <f t="shared" ca="1" si="18"/>
        <v>4653865.6877999995</v>
      </c>
      <c r="Y45" s="36">
        <f t="shared" ca="1" si="19"/>
        <v>15219580.2052</v>
      </c>
      <c r="Z45" s="36">
        <f t="shared" ca="1" si="20"/>
        <v>2109128.9939999999</v>
      </c>
      <c r="AA45" s="36">
        <f t="shared" ca="1" si="21"/>
        <v>41300715.332800001</v>
      </c>
      <c r="AB45" s="12"/>
      <c r="AC45" s="38">
        <f t="shared" ca="1" si="31"/>
        <v>103.8374590786721</v>
      </c>
      <c r="AD45" s="38">
        <f t="shared" ca="1" si="32"/>
        <v>163.27890009658719</v>
      </c>
      <c r="AE45" s="38">
        <f t="shared" ca="1" si="33"/>
        <v>206.80190850195382</v>
      </c>
      <c r="AF45" s="38">
        <f t="shared" ca="1" si="34"/>
        <v>151.10479705384094</v>
      </c>
      <c r="AG45" s="38">
        <f t="shared" ca="1" si="35"/>
        <v>279.09458491443661</v>
      </c>
    </row>
    <row r="46" spans="1:33" ht="12.75" customHeight="1" x14ac:dyDescent="0.35">
      <c r="A46" s="5"/>
      <c r="B46" s="22">
        <f t="shared" si="22"/>
        <v>21</v>
      </c>
      <c r="C46" s="22">
        <f t="shared" si="23"/>
        <v>6</v>
      </c>
      <c r="D46" s="22" t="str">
        <f>IF(F46="12월",(E46+1)&amp;VLOOKUP(F46,인덱스!$C:$D,2,0),E46&amp;VLOOKUP(F46,인덱스!$C:$D,2,0))</f>
        <v>20217</v>
      </c>
      <c r="E46" s="5" t="str">
        <f t="shared" si="24"/>
        <v>2021</v>
      </c>
      <c r="F46" s="5" t="str">
        <f t="shared" si="25"/>
        <v>6월</v>
      </c>
      <c r="G46" s="37" t="str">
        <f>B46&amp;"."&amp;VLOOKUP(F46,인덱스!$A:$B,2,0)</f>
        <v>21.06</v>
      </c>
      <c r="H46" s="14">
        <f>IFERROR(VLOOKUP(G46,#REF!,2,0),)</f>
        <v>0</v>
      </c>
      <c r="I46" s="38">
        <f t="shared" ca="1" si="26"/>
        <v>133.60459414222535</v>
      </c>
      <c r="J46" s="38">
        <f t="shared" ca="1" si="27"/>
        <v>160.73772913775758</v>
      </c>
      <c r="K46" s="39">
        <f t="shared" ca="1" si="28"/>
        <v>210.09895138475451</v>
      </c>
      <c r="L46" s="39">
        <f t="shared" ca="1" si="29"/>
        <v>135.30894371037957</v>
      </c>
      <c r="M46" s="39">
        <f t="shared" ca="1" si="30"/>
        <v>252.37184091336417</v>
      </c>
      <c r="N46" s="5"/>
      <c r="O46" s="5"/>
      <c r="P46" s="5"/>
      <c r="Q46" s="8">
        <f ca="1">IFERROR(__xludf.DUMMYFUNCTION("iferror(index('지수RAW'!$V$7:$V$12040,MATCH($D46,'지수RAW'!$R$7:$R$12040,0)-1,1),GOOGLEFINANCE(Q$2))"),3296.68)</f>
        <v>3296.68</v>
      </c>
      <c r="R46" s="5">
        <f ca="1">IFERROR(__xludf.DUMMYFUNCTION("iferror(index('지수RAW'!$F$7:$F$12040,MATCH($D46,'지수RAW'!$B$7:$B$12040,0)-1,1),GOOGLEFINANCE(R$2))"),4297.5)</f>
        <v>4297.5</v>
      </c>
      <c r="S46" s="9">
        <f ca="1">IFERROR(__xludf.DUMMYFUNCTION("iferror(index('지수RAW'!$N$7:$N$12040,MATCH($D46,'지수RAW'!$J$7:$J$12040,0)-1,1),GOOGLEFINANCE(S$2))"),14503.95)</f>
        <v>14503.95</v>
      </c>
      <c r="T46" s="5"/>
      <c r="U46" s="29">
        <f t="array" aca="1" ref="U46" ca="1">IFERROR(INDEX(지수RAW!$AT$7:$AT$12040,MATCH($D46,지수RAW!$AP$7:$AP$12040,0)-1,1),지수RAW!$AU$4)</f>
        <v>1771.6</v>
      </c>
      <c r="V46" s="29">
        <f ca="1">IFERROR(__xludf.DUMMYFUNCTION("iferror(index('지수RAW'!$AL$7:$AL$12040,MATCH($D46,'지수RAW'!$AH$7:$AH$12040,0)-1,1),GOOGLEFINANCE(V$2))"),35031.71)</f>
        <v>35031.71</v>
      </c>
      <c r="W46" s="30">
        <f ca="1">IFERROR(__xludf.DUMMYFUNCTION("iferror(index('지수RAW'!$AD$7:$AD$12040,MATCH($D46,'지수RAW'!$Z$7:$Z$12040,0)-1,1),GOOGLEFINANCE(W$2))"),1129.6)</f>
        <v>1129.5999999999999</v>
      </c>
      <c r="X46" s="36">
        <f t="shared" ca="1" si="18"/>
        <v>4854456</v>
      </c>
      <c r="Y46" s="36">
        <f t="shared" ca="1" si="19"/>
        <v>16383661.92</v>
      </c>
      <c r="Z46" s="36">
        <f t="shared" ca="1" si="20"/>
        <v>2001199.3599999996</v>
      </c>
      <c r="AA46" s="36">
        <f t="shared" ca="1" si="21"/>
        <v>39571819.615999997</v>
      </c>
      <c r="AB46" s="12"/>
      <c r="AC46" s="38">
        <f t="shared" ca="1" si="31"/>
        <v>105.95927096719724</v>
      </c>
      <c r="AD46" s="38">
        <f t="shared" ca="1" si="32"/>
        <v>170.31652596359623</v>
      </c>
      <c r="AE46" s="38">
        <f t="shared" ca="1" si="33"/>
        <v>222.61931719701209</v>
      </c>
      <c r="AF46" s="38">
        <f t="shared" ca="1" si="34"/>
        <v>143.37237030893348</v>
      </c>
      <c r="AG46" s="38">
        <f t="shared" ca="1" si="35"/>
        <v>267.41136275829552</v>
      </c>
    </row>
    <row r="47" spans="1:33" ht="12.75" customHeight="1" x14ac:dyDescent="0.35">
      <c r="A47" s="5"/>
      <c r="B47" s="22">
        <f t="shared" si="22"/>
        <v>21</v>
      </c>
      <c r="C47" s="22">
        <f t="shared" si="23"/>
        <v>7</v>
      </c>
      <c r="D47" s="22" t="str">
        <f>IF(F47="12월",(E47+1)&amp;VLOOKUP(F47,인덱스!$C:$D,2,0),E47&amp;VLOOKUP(F47,인덱스!$C:$D,2,0))</f>
        <v>20218</v>
      </c>
      <c r="E47" s="5" t="str">
        <f t="shared" si="24"/>
        <v>2021</v>
      </c>
      <c r="F47" s="5" t="str">
        <f t="shared" si="25"/>
        <v>7월</v>
      </c>
      <c r="G47" s="37" t="str">
        <f>B47&amp;"."&amp;VLOOKUP(F47,인덱스!$A:$B,2,0)</f>
        <v>21.07</v>
      </c>
      <c r="H47" s="14">
        <f>IFERROR(VLOOKUP(G47,#REF!,2,0),)</f>
        <v>0</v>
      </c>
      <c r="I47" s="38">
        <f t="shared" ca="1" si="26"/>
        <v>129.78046516905829</v>
      </c>
      <c r="J47" s="38">
        <f t="shared" ca="1" si="27"/>
        <v>164.39420857941138</v>
      </c>
      <c r="K47" s="39">
        <f t="shared" ca="1" si="28"/>
        <v>212.54311287642744</v>
      </c>
      <c r="L47" s="39">
        <f t="shared" ca="1" si="29"/>
        <v>138.79172076682195</v>
      </c>
      <c r="M47" s="39">
        <f t="shared" ca="1" si="30"/>
        <v>299.25026961333441</v>
      </c>
      <c r="N47" s="5"/>
      <c r="O47" s="5"/>
      <c r="P47" s="5"/>
      <c r="Q47" s="8">
        <f ca="1">IFERROR(__xludf.DUMMYFUNCTION("iferror(index('지수RAW'!$V$7:$V$12040,MATCH($D47,'지수RAW'!$R$7:$R$12040,0)-1,1),GOOGLEFINANCE(Q$2))"),3202.32)</f>
        <v>3202.32</v>
      </c>
      <c r="R47" s="5">
        <f ca="1">IFERROR(__xludf.DUMMYFUNCTION("iferror(index('지수RAW'!$F$7:$F$12040,MATCH($D47,'지수RAW'!$B$7:$B$12040,0)-1,1),GOOGLEFINANCE(R$2))"),4395.26)</f>
        <v>4395.26</v>
      </c>
      <c r="S47" s="9">
        <f ca="1">IFERROR(__xludf.DUMMYFUNCTION("iferror(index('지수RAW'!$N$7:$N$12040,MATCH($D47,'지수RAW'!$J$7:$J$12040,0)-1,1),GOOGLEFINANCE(S$2))"),14672.68)</f>
        <v>14672.68</v>
      </c>
      <c r="T47" s="5"/>
      <c r="U47" s="29">
        <f t="array" aca="1" ref="U47" ca="1">IFERROR(INDEX(지수RAW!$AT$7:$AT$12040,MATCH($D47,지수RAW!$AP$7:$AP$12040,0)-1,1),지수RAW!$AU$4)</f>
        <v>1817.2</v>
      </c>
      <c r="V47" s="29">
        <f ca="1">IFERROR(__xludf.DUMMYFUNCTION("iferror(index('지수RAW'!$AL$7:$AL$12040,MATCH($D47,'지수RAW'!$AH$7:$AH$12040,0)-1,1),GOOGLEFINANCE(V$2))"),41538.9)</f>
        <v>41538.9</v>
      </c>
      <c r="W47" s="30">
        <f ca="1">IFERROR(__xludf.DUMMYFUNCTION("iferror(index('지수RAW'!$AD$7:$AD$12040,MATCH($D47,'지수RAW'!$Z$7:$Z$12040,0)-1,1),GOOGLEFINANCE(W$2))"),1150.63)</f>
        <v>1150.6300000000001</v>
      </c>
      <c r="X47" s="36">
        <f t="shared" ca="1" si="18"/>
        <v>5057318.0138000008</v>
      </c>
      <c r="Y47" s="36">
        <f t="shared" ca="1" si="19"/>
        <v>16882825.788400002</v>
      </c>
      <c r="Z47" s="36">
        <f t="shared" ca="1" si="20"/>
        <v>2090924.8360000004</v>
      </c>
      <c r="AA47" s="36">
        <f t="shared" ca="1" si="21"/>
        <v>47795904.507000007</v>
      </c>
      <c r="AB47" s="12"/>
      <c r="AC47" s="38">
        <f t="shared" ca="1" si="31"/>
        <v>107.93193692721866</v>
      </c>
      <c r="AD47" s="38">
        <f t="shared" ca="1" si="32"/>
        <v>177.43385351593068</v>
      </c>
      <c r="AE47" s="38">
        <f t="shared" ca="1" si="33"/>
        <v>229.40189853293288</v>
      </c>
      <c r="AF47" s="38">
        <f t="shared" ca="1" si="34"/>
        <v>149.8005925182477</v>
      </c>
      <c r="AG47" s="38">
        <f t="shared" ca="1" si="35"/>
        <v>322.98661225359587</v>
      </c>
    </row>
    <row r="48" spans="1:33" ht="12.75" customHeight="1" x14ac:dyDescent="0.35">
      <c r="A48" s="5"/>
      <c r="B48" s="22">
        <f t="shared" si="22"/>
        <v>21</v>
      </c>
      <c r="C48" s="22">
        <f t="shared" si="23"/>
        <v>8</v>
      </c>
      <c r="D48" s="22" t="str">
        <f>IF(F48="12월",(E48+1)&amp;VLOOKUP(F48,인덱스!$C:$D,2,0),E48&amp;VLOOKUP(F48,인덱스!$C:$D,2,0))</f>
        <v>20219</v>
      </c>
      <c r="E48" s="5" t="str">
        <f t="shared" si="24"/>
        <v>2021</v>
      </c>
      <c r="F48" s="5" t="str">
        <f t="shared" si="25"/>
        <v>8월</v>
      </c>
      <c r="G48" s="37" t="str">
        <f>B48&amp;"."&amp;VLOOKUP(F48,인덱스!$A:$B,2,0)</f>
        <v>21.08</v>
      </c>
      <c r="H48" s="14">
        <f>IFERROR(VLOOKUP(G48,#REF!,2,0),)</f>
        <v>0</v>
      </c>
      <c r="I48" s="38">
        <f t="shared" ca="1" si="26"/>
        <v>129.65685777855214</v>
      </c>
      <c r="J48" s="38">
        <f t="shared" ca="1" si="27"/>
        <v>169.16004952105959</v>
      </c>
      <c r="K48" s="39">
        <f t="shared" ca="1" si="28"/>
        <v>221.03980797839907</v>
      </c>
      <c r="L48" s="39">
        <f t="shared" ca="1" si="29"/>
        <v>138.86045978767277</v>
      </c>
      <c r="M48" s="39">
        <f t="shared" ca="1" si="30"/>
        <v>339.57109687421422</v>
      </c>
      <c r="N48" s="5"/>
      <c r="O48" s="5"/>
      <c r="P48" s="5"/>
      <c r="Q48" s="8">
        <f ca="1">IFERROR(__xludf.DUMMYFUNCTION("iferror(index('지수RAW'!$V$7:$V$12040,MATCH($D48,'지수RAW'!$R$7:$R$12040,0)-1,1),GOOGLEFINANCE(Q$2))"),3199.27)</f>
        <v>3199.27</v>
      </c>
      <c r="R48" s="5">
        <f ca="1">IFERROR(__xludf.DUMMYFUNCTION("iferror(index('지수RAW'!$F$7:$F$12040,MATCH($D48,'지수RAW'!$B$7:$B$12040,0)-1,1),GOOGLEFINANCE(R$2))"),4522.68)</f>
        <v>4522.68</v>
      </c>
      <c r="S48" s="9">
        <f ca="1">IFERROR(__xludf.DUMMYFUNCTION("iferror(index('지수RAW'!$N$7:$N$12040,MATCH($D48,'지수RAW'!$J$7:$J$12040,0)-1,1),GOOGLEFINANCE(S$2))"),15259.24)</f>
        <v>15259.24</v>
      </c>
      <c r="T48" s="5"/>
      <c r="U48" s="29">
        <f t="array" aca="1" ref="U48" ca="1">IFERROR(INDEX(지수RAW!$AT$7:$AT$12040,MATCH($D48,지수RAW!$AP$7:$AP$12040,0)-1,1),지수RAW!$AU$4)</f>
        <v>1818.1</v>
      </c>
      <c r="V48" s="29">
        <f ca="1">IFERROR(__xludf.DUMMYFUNCTION("iferror(index('지수RAW'!$AL$7:$AL$12040,MATCH($D48,'지수RAW'!$AH$7:$AH$12040,0)-1,1),GOOGLEFINANCE(V$2))"),47135.83)</f>
        <v>47135.83</v>
      </c>
      <c r="W48" s="30">
        <f ca="1">IFERROR(__xludf.DUMMYFUNCTION("iferror(index('지수RAW'!$AD$7:$AD$12040,MATCH($D48,'지수RAW'!$Z$7:$Z$12040,0)-1,1),GOOGLEFINANCE(W$2))"),1158.41)</f>
        <v>1158.4100000000001</v>
      </c>
      <c r="X48" s="36">
        <f t="shared" ca="1" si="18"/>
        <v>5239117.7388000004</v>
      </c>
      <c r="Y48" s="36">
        <f t="shared" ca="1" si="19"/>
        <v>17676456.2084</v>
      </c>
      <c r="Z48" s="36">
        <f t="shared" ca="1" si="20"/>
        <v>2106105.2209999999</v>
      </c>
      <c r="AA48" s="36">
        <f t="shared" ca="1" si="21"/>
        <v>54602616.830300003</v>
      </c>
      <c r="AB48" s="12"/>
      <c r="AC48" s="38">
        <f t="shared" ca="1" si="31"/>
        <v>108.66172014970874</v>
      </c>
      <c r="AD48" s="38">
        <f t="shared" ca="1" si="32"/>
        <v>183.81221961568258</v>
      </c>
      <c r="AE48" s="38">
        <f t="shared" ca="1" si="33"/>
        <v>240.18565756494164</v>
      </c>
      <c r="AF48" s="38">
        <f t="shared" ca="1" si="34"/>
        <v>150.88816421307982</v>
      </c>
      <c r="AG48" s="38">
        <f t="shared" ca="1" si="35"/>
        <v>368.98379499475493</v>
      </c>
    </row>
    <row r="49" spans="1:33" ht="12.75" customHeight="1" x14ac:dyDescent="0.35">
      <c r="A49" s="5"/>
      <c r="B49" s="22">
        <f t="shared" si="22"/>
        <v>21</v>
      </c>
      <c r="C49" s="22">
        <f t="shared" si="23"/>
        <v>9</v>
      </c>
      <c r="D49" s="22" t="str">
        <f>IF(F49="12월",(E49+1)&amp;VLOOKUP(F49,인덱스!$C:$D,2,0),E49&amp;VLOOKUP(F49,인덱스!$C:$D,2,0))</f>
        <v>202110</v>
      </c>
      <c r="E49" s="5" t="str">
        <f t="shared" si="24"/>
        <v>2021</v>
      </c>
      <c r="F49" s="5" t="str">
        <f t="shared" si="25"/>
        <v>9월</v>
      </c>
      <c r="G49" s="37" t="str">
        <f>B49&amp;"."&amp;VLOOKUP(F49,인덱스!$A:$B,2,0)</f>
        <v>21.09</v>
      </c>
      <c r="H49" s="14">
        <f>IFERROR(VLOOKUP(G49,#REF!,2,0),)</f>
        <v>0</v>
      </c>
      <c r="I49" s="38">
        <f t="shared" ca="1" si="26"/>
        <v>124.37010889608455</v>
      </c>
      <c r="J49" s="38">
        <f t="shared" ca="1" si="27"/>
        <v>161.11325137174086</v>
      </c>
      <c r="K49" s="39">
        <f t="shared" ca="1" si="28"/>
        <v>209.29688167697324</v>
      </c>
      <c r="L49" s="39">
        <f t="shared" ca="1" si="29"/>
        <v>134.19384403879934</v>
      </c>
      <c r="M49" s="39">
        <f t="shared" ca="1" si="30"/>
        <v>315.45329259656546</v>
      </c>
      <c r="N49" s="5"/>
      <c r="O49" s="5"/>
      <c r="P49" s="5"/>
      <c r="Q49" s="8">
        <f ca="1">IFERROR(__xludf.DUMMYFUNCTION("iferror(index('지수RAW'!$V$7:$V$12040,MATCH($D49,'지수RAW'!$R$7:$R$12040,0)-1,1),GOOGLEFINANCE(Q$2))"),3068.82)</f>
        <v>3068.82</v>
      </c>
      <c r="R49" s="5">
        <f ca="1">IFERROR(__xludf.DUMMYFUNCTION("iferror(index('지수RAW'!$F$7:$F$12040,MATCH($D49,'지수RAW'!$B$7:$B$12040,0)-1,1),GOOGLEFINANCE(R$2))"),4307.54)</f>
        <v>4307.54</v>
      </c>
      <c r="S49" s="9">
        <f ca="1">IFERROR(__xludf.DUMMYFUNCTION("iferror(index('지수RAW'!$N$7:$N$12040,MATCH($D49,'지수RAW'!$J$7:$J$12040,0)-1,1),GOOGLEFINANCE(S$2))"),14448.58)</f>
        <v>14448.58</v>
      </c>
      <c r="T49" s="5"/>
      <c r="U49" s="29">
        <f t="array" aca="1" ref="U49" ca="1">IFERROR(INDEX(지수RAW!$AT$7:$AT$12040,MATCH($D49,지수RAW!$AP$7:$AP$12040,0)-1,1),지수RAW!$AU$4)</f>
        <v>1757</v>
      </c>
      <c r="V49" s="29">
        <f ca="1">IFERROR(__xludf.DUMMYFUNCTION("iferror(index('지수RAW'!$AL$7:$AL$12040,MATCH($D49,'지수RAW'!$AH$7:$AH$12040,0)-1,1),GOOGLEFINANCE(V$2))"),43788.04)</f>
        <v>43788.04</v>
      </c>
      <c r="W49" s="30">
        <f ca="1">IFERROR(__xludf.DUMMYFUNCTION("iferror(index('지수RAW'!$AD$7:$AD$12040,MATCH($D49,'지수RAW'!$Z$7:$Z$12040,0)-1,1),GOOGLEFINANCE(W$2))"),1183.72)</f>
        <v>1183.72</v>
      </c>
      <c r="X49" s="36">
        <f t="shared" ca="1" si="18"/>
        <v>5098921.2488000002</v>
      </c>
      <c r="Y49" s="36">
        <f t="shared" ca="1" si="19"/>
        <v>17103073.117600001</v>
      </c>
      <c r="Z49" s="36">
        <f t="shared" ca="1" si="20"/>
        <v>2079796.04</v>
      </c>
      <c r="AA49" s="36">
        <f t="shared" ca="1" si="21"/>
        <v>51832778.708800003</v>
      </c>
      <c r="AB49" s="12"/>
      <c r="AC49" s="38">
        <f t="shared" ca="1" si="31"/>
        <v>111.03586068457042</v>
      </c>
      <c r="AD49" s="38">
        <f t="shared" ca="1" si="32"/>
        <v>178.89348533750803</v>
      </c>
      <c r="AE49" s="38">
        <f t="shared" ca="1" si="33"/>
        <v>232.39459395599431</v>
      </c>
      <c r="AF49" s="38">
        <f t="shared" ca="1" si="34"/>
        <v>149.00328971419094</v>
      </c>
      <c r="AG49" s="38">
        <f t="shared" ca="1" si="35"/>
        <v>350.26627849241265</v>
      </c>
    </row>
    <row r="50" spans="1:33" ht="12.75" customHeight="1" x14ac:dyDescent="0.35">
      <c r="A50" s="5"/>
      <c r="B50" s="22">
        <f t="shared" si="22"/>
        <v>21</v>
      </c>
      <c r="C50" s="22">
        <f t="shared" si="23"/>
        <v>10</v>
      </c>
      <c r="D50" s="22" t="str">
        <f>IF(F50="12월",(E50+1)&amp;VLOOKUP(F50,인덱스!$C:$D,2,0),E50&amp;VLOOKUP(F50,인덱스!$C:$D,2,0))</f>
        <v>202111</v>
      </c>
      <c r="E50" s="5" t="str">
        <f t="shared" si="24"/>
        <v>2021</v>
      </c>
      <c r="F50" s="5" t="str">
        <f t="shared" si="25"/>
        <v>10월</v>
      </c>
      <c r="G50" s="37" t="str">
        <f>B50&amp;"."&amp;VLOOKUP(F50,인덱스!$A:$B,2,0)</f>
        <v>21.10</v>
      </c>
      <c r="H50" s="14">
        <f>IFERROR(VLOOKUP(G50,#REF!,2,0),)</f>
        <v>0</v>
      </c>
      <c r="I50" s="38">
        <f t="shared" ca="1" si="26"/>
        <v>120.39278781271641</v>
      </c>
      <c r="J50" s="38">
        <f t="shared" ca="1" si="27"/>
        <v>172.25324561173846</v>
      </c>
      <c r="K50" s="39">
        <f t="shared" ca="1" si="28"/>
        <v>224.50404801119453</v>
      </c>
      <c r="L50" s="39">
        <f t="shared" ca="1" si="29"/>
        <v>136.33239135415869</v>
      </c>
      <c r="M50" s="39">
        <f t="shared" ca="1" si="30"/>
        <v>441.90407168364789</v>
      </c>
      <c r="N50" s="5"/>
      <c r="O50" s="5"/>
      <c r="P50" s="5"/>
      <c r="Q50" s="8">
        <f ca="1">IFERROR(__xludf.DUMMYFUNCTION("iferror(index('지수RAW'!$V$7:$V$12040,MATCH($D50,'지수RAW'!$R$7:$R$12040,0)-1,1),GOOGLEFINANCE(Q$2))"),2970.68)</f>
        <v>2970.68</v>
      </c>
      <c r="R50" s="5">
        <f ca="1">IFERROR(__xludf.DUMMYFUNCTION("iferror(index('지수RAW'!$F$7:$F$12040,MATCH($D50,'지수RAW'!$B$7:$B$12040,0)-1,1),GOOGLEFINANCE(R$2))"),4605.38)</f>
        <v>4605.38</v>
      </c>
      <c r="S50" s="9">
        <f ca="1">IFERROR(__xludf.DUMMYFUNCTION("iferror(index('지수RAW'!$N$7:$N$12040,MATCH($D50,'지수RAW'!$J$7:$J$12040,0)-1,1),GOOGLEFINANCE(S$2))"),15498.39)</f>
        <v>15498.39</v>
      </c>
      <c r="T50" s="5"/>
      <c r="U50" s="29">
        <f t="array" aca="1" ref="U50" ca="1">IFERROR(INDEX(지수RAW!$AT$7:$AT$12040,MATCH($D50,지수RAW!$AP$7:$AP$12040,0)-1,1),지수RAW!$AU$4)</f>
        <v>1785</v>
      </c>
      <c r="V50" s="29">
        <f ca="1">IFERROR(__xludf.DUMMYFUNCTION("iferror(index('지수RAW'!$AL$7:$AL$12040,MATCH($D50,'지수RAW'!$AH$7:$AH$12040,0)-1,1),GOOGLEFINANCE(V$2))"),61340.66)</f>
        <v>61340.66</v>
      </c>
      <c r="W50" s="30">
        <f ca="1">IFERROR(__xludf.DUMMYFUNCTION("iferror(index('지수RAW'!$AD$7:$AD$12040,MATCH($D50,'지수RAW'!$Z$7:$Z$12040,0)-1,1),GOOGLEFINANCE(W$2))"),1174.38)</f>
        <v>1174.3800000000001</v>
      </c>
      <c r="X50" s="36">
        <f t="shared" ca="1" si="18"/>
        <v>5408466.1644000011</v>
      </c>
      <c r="Y50" s="36">
        <f t="shared" ca="1" si="19"/>
        <v>18200999.248199999</v>
      </c>
      <c r="Z50" s="36">
        <f t="shared" ca="1" si="20"/>
        <v>2096268.3000000003</v>
      </c>
      <c r="AA50" s="36">
        <f t="shared" ca="1" si="21"/>
        <v>72037244.290800005</v>
      </c>
      <c r="AB50" s="12"/>
      <c r="AC50" s="38">
        <f t="shared" ca="1" si="31"/>
        <v>110.15974560769931</v>
      </c>
      <c r="AD50" s="38">
        <f t="shared" ca="1" si="32"/>
        <v>189.75373716689671</v>
      </c>
      <c r="AE50" s="38">
        <f t="shared" ca="1" si="33"/>
        <v>247.31308816811909</v>
      </c>
      <c r="AF50" s="38">
        <f t="shared" ca="1" si="34"/>
        <v>150.18341549663427</v>
      </c>
      <c r="AG50" s="38">
        <f t="shared" ca="1" si="35"/>
        <v>486.80040119677147</v>
      </c>
    </row>
    <row r="51" spans="1:33" ht="12.75" customHeight="1" x14ac:dyDescent="0.35">
      <c r="A51" s="5"/>
      <c r="B51" s="22">
        <f t="shared" si="22"/>
        <v>21</v>
      </c>
      <c r="C51" s="22">
        <f t="shared" si="23"/>
        <v>11</v>
      </c>
      <c r="D51" s="22" t="str">
        <f>IF(F51="12월",(E51+1)&amp;VLOOKUP(F51,인덱스!$C:$D,2,0),E51&amp;VLOOKUP(F51,인덱스!$C:$D,2,0))</f>
        <v>202112</v>
      </c>
      <c r="E51" s="5" t="str">
        <f t="shared" si="24"/>
        <v>2021</v>
      </c>
      <c r="F51" s="5" t="str">
        <f t="shared" si="25"/>
        <v>11월</v>
      </c>
      <c r="G51" s="37" t="str">
        <f>B51&amp;"."&amp;VLOOKUP(F51,인덱스!$A:$B,2,0)</f>
        <v>21.11</v>
      </c>
      <c r="H51" s="14">
        <f>IFERROR(VLOOKUP(G51,#REF!,2,0),)</f>
        <v>0</v>
      </c>
      <c r="I51" s="38">
        <f t="shared" ca="1" si="26"/>
        <v>115.05659597404636</v>
      </c>
      <c r="J51" s="38">
        <f t="shared" ca="1" si="27"/>
        <v>170.81773332685023</v>
      </c>
      <c r="K51" s="39">
        <f t="shared" ca="1" si="28"/>
        <v>225.07333353613228</v>
      </c>
      <c r="L51" s="39">
        <f t="shared" ca="1" si="29"/>
        <v>135.68318949056746</v>
      </c>
      <c r="M51" s="39">
        <f t="shared" ca="1" si="30"/>
        <v>410.34054487468109</v>
      </c>
      <c r="N51" s="5"/>
      <c r="O51" s="5"/>
      <c r="P51" s="5"/>
      <c r="Q51" s="8">
        <f ca="1">IFERROR(__xludf.DUMMYFUNCTION("iferror(index('지수RAW'!$V$7:$V$12040,MATCH($D51,'지수RAW'!$R$7:$R$12040,0)-1,1),GOOGLEFINANCE(Q$2))"),2839.01)</f>
        <v>2839.01</v>
      </c>
      <c r="R51" s="5">
        <f ca="1">IFERROR(__xludf.DUMMYFUNCTION("iferror(index('지수RAW'!$F$7:$F$12040,MATCH($D51,'지수RAW'!$B$7:$B$12040,0)-1,1),GOOGLEFINANCE(R$2))"),4567)</f>
        <v>4567</v>
      </c>
      <c r="S51" s="9">
        <f ca="1">IFERROR(__xludf.DUMMYFUNCTION("iferror(index('지수RAW'!$N$7:$N$12040,MATCH($D51,'지수RAW'!$J$7:$J$12040,0)-1,1),GOOGLEFINANCE(S$2))"),15537.69)</f>
        <v>15537.69</v>
      </c>
      <c r="T51" s="5"/>
      <c r="U51" s="29">
        <f t="array" aca="1" ref="U51" ca="1">IFERROR(INDEX(지수RAW!$AT$7:$AT$12040,MATCH($D51,지수RAW!$AP$7:$AP$12040,0)-1,1),지수RAW!$AU$4)</f>
        <v>1776.5</v>
      </c>
      <c r="V51" s="29">
        <f ca="1">IFERROR(__xludf.DUMMYFUNCTION("iferror(index('지수RAW'!$AL$7:$AL$12040,MATCH($D51,'지수RAW'!$AH$7:$AH$12040,0)-1,1),GOOGLEFINANCE(V$2))"),56959.33)</f>
        <v>56959.33</v>
      </c>
      <c r="W51" s="30">
        <f ca="1">IFERROR(__xludf.DUMMYFUNCTION("iferror(index('지수RAW'!$AD$7:$AD$12040,MATCH($D51,'지수RAW'!$Z$7:$Z$12040,0)-1,1),GOOGLEFINANCE(W$2))"),1182.86)</f>
        <v>1182.8599999999999</v>
      </c>
      <c r="X51" s="36">
        <f t="shared" ca="1" si="18"/>
        <v>5402121.6199999992</v>
      </c>
      <c r="Y51" s="36">
        <f t="shared" ca="1" si="19"/>
        <v>18378911.9934</v>
      </c>
      <c r="Z51" s="36">
        <f t="shared" ca="1" si="20"/>
        <v>2101350.79</v>
      </c>
      <c r="AA51" s="36">
        <f t="shared" ca="1" si="21"/>
        <v>67374913.083800003</v>
      </c>
      <c r="AB51" s="12"/>
      <c r="AC51" s="38">
        <f t="shared" ca="1" si="31"/>
        <v>110.95519055971933</v>
      </c>
      <c r="AD51" s="38">
        <f t="shared" ca="1" si="32"/>
        <v>189.53114152259997</v>
      </c>
      <c r="AE51" s="38">
        <f t="shared" ca="1" si="33"/>
        <v>249.73054612412835</v>
      </c>
      <c r="AF51" s="38">
        <f t="shared" ca="1" si="34"/>
        <v>150.54754145676421</v>
      </c>
      <c r="AG51" s="38">
        <f t="shared" ca="1" si="35"/>
        <v>455.29413350949284</v>
      </c>
    </row>
    <row r="52" spans="1:33" ht="12.75" customHeight="1" x14ac:dyDescent="0.35">
      <c r="A52" s="5"/>
      <c r="B52" s="22">
        <f t="shared" si="22"/>
        <v>21</v>
      </c>
      <c r="C52" s="22">
        <f t="shared" si="23"/>
        <v>12</v>
      </c>
      <c r="D52" s="22" t="str">
        <f>IF(F52="12월",(E52+1)&amp;VLOOKUP(F52,인덱스!$C:$D,2,0),E52&amp;VLOOKUP(F52,인덱스!$C:$D,2,0))</f>
        <v>20221</v>
      </c>
      <c r="E52" s="5" t="str">
        <f t="shared" si="24"/>
        <v>2021</v>
      </c>
      <c r="F52" s="5" t="str">
        <f t="shared" si="25"/>
        <v>12월</v>
      </c>
      <c r="G52" s="37" t="str">
        <f>B52&amp;"."&amp;VLOOKUP(F52,인덱스!$A:$B,2,0)</f>
        <v>21.12</v>
      </c>
      <c r="H52" s="14">
        <f>IFERROR(VLOOKUP(G52,#REF!,2,0),)</f>
        <v>0</v>
      </c>
      <c r="I52" s="38">
        <f t="shared" ca="1" si="26"/>
        <v>120.67526109528291</v>
      </c>
      <c r="J52" s="38">
        <f t="shared" ca="1" si="27"/>
        <v>178.26758577354218</v>
      </c>
      <c r="K52" s="39">
        <f t="shared" ca="1" si="28"/>
        <v>226.62735264848141</v>
      </c>
      <c r="L52" s="39">
        <f t="shared" ca="1" si="29"/>
        <v>139.66241503093252</v>
      </c>
      <c r="M52" s="39">
        <f t="shared" ca="1" si="30"/>
        <v>332.8530601923926</v>
      </c>
      <c r="N52" s="5"/>
      <c r="O52" s="5"/>
      <c r="P52" s="5"/>
      <c r="Q52" s="8">
        <f ca="1">IFERROR(__xludf.DUMMYFUNCTION("iferror(index('지수RAW'!$V$7:$V$12040,MATCH($D52,'지수RAW'!$R$7:$R$12040,0)-1,1),GOOGLEFINANCE(Q$2))"),2977.65)</f>
        <v>2977.65</v>
      </c>
      <c r="R52" s="5">
        <f ca="1">IFERROR(__xludf.DUMMYFUNCTION("iferror(index('지수RAW'!$F$7:$F$12040,MATCH($D52,'지수RAW'!$B$7:$B$12040,0)-1,1),GOOGLEFINANCE(R$2))"),4766.18)</f>
        <v>4766.18</v>
      </c>
      <c r="S52" s="9">
        <f ca="1">IFERROR(__xludf.DUMMYFUNCTION("iferror(index('지수RAW'!$N$7:$N$12040,MATCH($D52,'지수RAW'!$J$7:$J$12040,0)-1,1),GOOGLEFINANCE(S$2))"),15644.97)</f>
        <v>15644.97</v>
      </c>
      <c r="T52" s="5"/>
      <c r="U52" s="29">
        <f t="array" aca="1" ref="U52" ca="1">IFERROR(INDEX(지수RAW!$AT$7:$AT$12040,MATCH($D52,지수RAW!$AP$7:$AP$12040,0)-1,1),지수RAW!$AU$4)</f>
        <v>1828.6</v>
      </c>
      <c r="V52" s="29">
        <f ca="1">IFERROR(__xludf.DUMMYFUNCTION("iferror(index('지수RAW'!$AL$7:$AL$12040,MATCH($D52,'지수RAW'!$AH$7:$AH$12040,0)-1,1),GOOGLEFINANCE(V$2))"),46203.3)</f>
        <v>46203.3</v>
      </c>
      <c r="W52" s="30">
        <f ca="1">IFERROR(__xludf.DUMMYFUNCTION("iferror(index('지수RAW'!$AD$7:$AD$12040,MATCH($D52,'지수RAW'!$Z$7:$Z$12040,0)-1,1),GOOGLEFINANCE(W$2))"),1187.78)</f>
        <v>1187.78</v>
      </c>
      <c r="X52" s="36">
        <f t="shared" ca="1" si="18"/>
        <v>5661173.2804000005</v>
      </c>
      <c r="Y52" s="36">
        <f t="shared" ca="1" si="19"/>
        <v>18582782.466599997</v>
      </c>
      <c r="Z52" s="36">
        <f t="shared" ca="1" si="20"/>
        <v>2171974.5079999999</v>
      </c>
      <c r="AA52" s="36">
        <f t="shared" ca="1" si="21"/>
        <v>54879355.674000002</v>
      </c>
      <c r="AB52" s="12"/>
      <c r="AC52" s="38">
        <f t="shared" ca="1" si="31"/>
        <v>111.41669871584416</v>
      </c>
      <c r="AD52" s="38">
        <f t="shared" ca="1" si="32"/>
        <v>198.61985894931669</v>
      </c>
      <c r="AE52" s="38">
        <f t="shared" ca="1" si="33"/>
        <v>252.50071470805227</v>
      </c>
      <c r="AF52" s="38">
        <f t="shared" ca="1" si="34"/>
        <v>155.60725217428597</v>
      </c>
      <c r="AG52" s="38">
        <f t="shared" ca="1" si="35"/>
        <v>370.85389124102534</v>
      </c>
    </row>
    <row r="53" spans="1:33" ht="12.75" customHeight="1" x14ac:dyDescent="0.35">
      <c r="A53" s="5"/>
      <c r="B53" s="22">
        <f t="shared" si="22"/>
        <v>22</v>
      </c>
      <c r="C53" s="22">
        <f t="shared" si="23"/>
        <v>1</v>
      </c>
      <c r="D53" s="22" t="str">
        <f>IF(F53="12월",(E53+1)&amp;VLOOKUP(F53,인덱스!$C:$D,2,0),E53&amp;VLOOKUP(F53,인덱스!$C:$D,2,0))</f>
        <v>20222</v>
      </c>
      <c r="E53" s="5" t="str">
        <f t="shared" si="24"/>
        <v>2022</v>
      </c>
      <c r="F53" s="5" t="str">
        <f t="shared" si="25"/>
        <v>1월</v>
      </c>
      <c r="G53" s="40" t="str">
        <f>B53&amp;"."&amp;VLOOKUP(F53,인덱스!$A:$B,2,0)</f>
        <v>22.01</v>
      </c>
      <c r="H53" s="41">
        <f>IFERROR(VLOOKUP(G53,#REF!,2,0),)</f>
        <v>0</v>
      </c>
      <c r="I53" s="42">
        <f t="shared" ca="1" si="26"/>
        <v>107.9372155510254</v>
      </c>
      <c r="J53" s="42">
        <f t="shared" ca="1" si="27"/>
        <v>168.89336889075074</v>
      </c>
      <c r="K53" s="43">
        <f t="shared" ca="1" si="28"/>
        <v>206.27372928372873</v>
      </c>
      <c r="L53" s="43">
        <f t="shared" ca="1" si="29"/>
        <v>137.20308561826928</v>
      </c>
      <c r="M53" s="43">
        <f t="shared" ca="1" si="30"/>
        <v>277.31732390845315</v>
      </c>
      <c r="N53" s="5"/>
      <c r="O53" s="5"/>
      <c r="P53" s="5"/>
      <c r="Q53" s="8">
        <f ca="1">IFERROR(__xludf.DUMMYFUNCTION("iferror(index('지수RAW'!$V$7:$V$12040,MATCH($D53,'지수RAW'!$R$7:$R$12040,0)-1,1),GOOGLEFINANCE(Q$2))"),2663.34)</f>
        <v>2663.34</v>
      </c>
      <c r="R53" s="5">
        <f ca="1">IFERROR(__xludf.DUMMYFUNCTION("iferror(index('지수RAW'!$F$7:$F$12040,MATCH($D53,'지수RAW'!$B$7:$B$12040,0)-1,1),GOOGLEFINANCE(R$2))"),4515.55)</f>
        <v>4515.55</v>
      </c>
      <c r="S53" s="9">
        <f ca="1">IFERROR(__xludf.DUMMYFUNCTION("iferror(index('지수RAW'!$N$7:$N$12040,MATCH($D53,'지수RAW'!$J$7:$J$12040,0)-1,1),GOOGLEFINANCE(S$2))"),14239.88)</f>
        <v>14239.88</v>
      </c>
      <c r="T53" s="5"/>
      <c r="U53" s="29">
        <f t="array" aca="1" ref="U53" ca="1">IFERROR(INDEX(지수RAW!$AT$7:$AT$12040,MATCH($D53,지수RAW!$AP$7:$AP$12040,0)-1,1),지수RAW!$AU$4)</f>
        <v>1796.4</v>
      </c>
      <c r="V53" s="29">
        <f ca="1">IFERROR(__xludf.DUMMYFUNCTION("iferror(index('지수RAW'!$AL$7:$AL$12040,MATCH($D53,'지수RAW'!$AH$7:$AH$12040,0)-1,1),GOOGLEFINANCE(V$2))"),38494.39)</f>
        <v>38494.39</v>
      </c>
      <c r="W53" s="30">
        <f ca="1">IFERROR(__xludf.DUMMYFUNCTION("iferror(index('지수RAW'!$AD$7:$AD$12040,MATCH($D53,'지수RAW'!$Z$7:$Z$12040,0)-1,1),GOOGLEFINANCE(W$2))"),1205.12)</f>
        <v>1205.1199999999999</v>
      </c>
      <c r="X53" s="36">
        <f t="shared" ca="1" si="18"/>
        <v>5441779.6159999995</v>
      </c>
      <c r="Y53" s="36">
        <f t="shared" ca="1" si="19"/>
        <v>17160764.185599998</v>
      </c>
      <c r="Z53" s="36">
        <f t="shared" ca="1" si="20"/>
        <v>2164877.568</v>
      </c>
      <c r="AA53" s="36">
        <f t="shared" ca="1" si="21"/>
        <v>46390359.276799992</v>
      </c>
      <c r="AB53" s="12"/>
      <c r="AC53" s="42">
        <f t="shared" ca="1" si="31"/>
        <v>113.04323355877192</v>
      </c>
      <c r="AD53" s="42">
        <f t="shared" ca="1" si="32"/>
        <v>190.92252546044969</v>
      </c>
      <c r="AE53" s="42">
        <f t="shared" ca="1" si="33"/>
        <v>233.17849356459445</v>
      </c>
      <c r="AF53" s="42">
        <f t="shared" ca="1" si="34"/>
        <v>155.098804525302</v>
      </c>
      <c r="AG53" s="42">
        <f t="shared" ca="1" si="35"/>
        <v>313.48847016476861</v>
      </c>
    </row>
    <row r="54" spans="1:33" ht="12.75" customHeight="1" x14ac:dyDescent="0.35">
      <c r="A54" s="5"/>
      <c r="B54" s="22">
        <f t="shared" si="22"/>
        <v>22</v>
      </c>
      <c r="C54" s="22">
        <f t="shared" si="23"/>
        <v>2</v>
      </c>
      <c r="D54" s="22" t="str">
        <f>IF(F54="12월",(E54+1)&amp;VLOOKUP(F54,인덱스!$C:$D,2,0),E54&amp;VLOOKUP(F54,인덱스!$C:$D,2,0))</f>
        <v>20223</v>
      </c>
      <c r="E54" s="5" t="str">
        <f t="shared" si="24"/>
        <v>2022</v>
      </c>
      <c r="F54" s="5" t="str">
        <f t="shared" si="25"/>
        <v>2월</v>
      </c>
      <c r="G54" s="37" t="str">
        <f>B54&amp;"."&amp;VLOOKUP(F54,인덱스!$A:$B,2,0)</f>
        <v>22.02</v>
      </c>
      <c r="H54" s="14">
        <f>IFERROR(VLOOKUP(G54,#REF!,2,0),)</f>
        <v>0</v>
      </c>
      <c r="I54" s="38">
        <f t="shared" ca="1" si="26"/>
        <v>109.38970370700576</v>
      </c>
      <c r="J54" s="38">
        <f t="shared" ca="1" si="27"/>
        <v>163.59678487139112</v>
      </c>
      <c r="K54" s="39">
        <f t="shared" ca="1" si="28"/>
        <v>199.1977854358511</v>
      </c>
      <c r="L54" s="39">
        <f t="shared" ca="1" si="29"/>
        <v>145.16917436798289</v>
      </c>
      <c r="M54" s="39">
        <f t="shared" ca="1" si="30"/>
        <v>311.17232992747626</v>
      </c>
      <c r="N54" s="5"/>
      <c r="O54" s="5"/>
      <c r="P54" s="5"/>
      <c r="Q54" s="8">
        <f ca="1">IFERROR(__xludf.DUMMYFUNCTION("iferror(index('지수RAW'!$V$7:$V$12040,MATCH($D54,'지수RAW'!$R$7:$R$12040,0)-1,1),GOOGLEFINANCE(Q$2))"),2699.18)</f>
        <v>2699.18</v>
      </c>
      <c r="R54" s="5">
        <f ca="1">IFERROR(__xludf.DUMMYFUNCTION("iferror(index('지수RAW'!$F$7:$F$12040,MATCH($D54,'지수RAW'!$B$7:$B$12040,0)-1,1),GOOGLEFINANCE(R$2))"),4373.94)</f>
        <v>4373.9399999999996</v>
      </c>
      <c r="S54" s="9">
        <f ca="1">IFERROR(__xludf.DUMMYFUNCTION("iferror(index('지수RAW'!$N$7:$N$12040,MATCH($D54,'지수RAW'!$J$7:$J$12040,0)-1,1),GOOGLEFINANCE(S$2))"),13751.4)</f>
        <v>13751.4</v>
      </c>
      <c r="T54" s="5"/>
      <c r="U54" s="29">
        <f t="array" aca="1" ref="U54" ca="1">IFERROR(INDEX(지수RAW!$AT$7:$AT$12040,MATCH($D54,지수RAW!$AP$7:$AP$12040,0)-1,1),지수RAW!$AU$4)</f>
        <v>1900.7</v>
      </c>
      <c r="V54" s="29">
        <f ca="1">IFERROR(__xludf.DUMMYFUNCTION("iferror(index('지수RAW'!$AL$7:$AL$12040,MATCH($D54,'지수RAW'!$AH$7:$AH$12040,0)-1,1),GOOGLEFINANCE(V$2))"),43193.8)</f>
        <v>43193.8</v>
      </c>
      <c r="W54" s="30">
        <f ca="1">IFERROR(__xludf.DUMMYFUNCTION("iferror(index('지수RAW'!$AD$7:$AD$12040,MATCH($D54,'지수RAW'!$Z$7:$Z$12040,0)-1,1),GOOGLEFINANCE(W$2))"),1200.93)</f>
        <v>1200.93</v>
      </c>
      <c r="X54" s="36">
        <f t="shared" ca="1" si="18"/>
        <v>5252795.7642000001</v>
      </c>
      <c r="Y54" s="36">
        <f t="shared" ca="1" si="19"/>
        <v>16514468.802000001</v>
      </c>
      <c r="Z54" s="36">
        <f t="shared" ca="1" si="20"/>
        <v>2282607.6510000001</v>
      </c>
      <c r="AA54" s="36">
        <f t="shared" ca="1" si="21"/>
        <v>51872730.234000005</v>
      </c>
      <c r="AB54" s="12"/>
      <c r="AC54" s="38">
        <f t="shared" ca="1" si="31"/>
        <v>112.65020120629977</v>
      </c>
      <c r="AD54" s="38">
        <f t="shared" ca="1" si="32"/>
        <v>184.29210732465961</v>
      </c>
      <c r="AE54" s="38">
        <f t="shared" ca="1" si="33"/>
        <v>224.39670609197964</v>
      </c>
      <c r="AF54" s="38">
        <f t="shared" ca="1" si="34"/>
        <v>163.53336701505688</v>
      </c>
      <c r="AG54" s="38">
        <f t="shared" ca="1" si="35"/>
        <v>350.5362557616329</v>
      </c>
    </row>
    <row r="55" spans="1:33" ht="12.75" customHeight="1" x14ac:dyDescent="0.35">
      <c r="A55" s="5"/>
      <c r="B55" s="22">
        <f t="shared" si="22"/>
        <v>22</v>
      </c>
      <c r="C55" s="22">
        <f t="shared" si="23"/>
        <v>3</v>
      </c>
      <c r="D55" s="22" t="str">
        <f>IF(F55="12월",(E55+1)&amp;VLOOKUP(F55,인덱스!$C:$D,2,0),E55&amp;VLOOKUP(F55,인덱스!$C:$D,2,0))</f>
        <v>20224</v>
      </c>
      <c r="E55" s="5" t="str">
        <f t="shared" si="24"/>
        <v>2022</v>
      </c>
      <c r="F55" s="5" t="str">
        <f t="shared" si="25"/>
        <v>3월</v>
      </c>
      <c r="G55" s="37" t="str">
        <f>B55&amp;"."&amp;VLOOKUP(F55,인덱스!$A:$B,2,0)</f>
        <v>22.03</v>
      </c>
      <c r="H55" s="14">
        <f>IFERROR(VLOOKUP(G55,#REF!,2,0),)</f>
        <v>0</v>
      </c>
      <c r="I55" s="38">
        <f t="shared" ca="1" si="26"/>
        <v>111.75931817352844</v>
      </c>
      <c r="J55" s="38">
        <f t="shared" ca="1" si="27"/>
        <v>169.44917171913633</v>
      </c>
      <c r="K55" s="39">
        <f t="shared" ca="1" si="28"/>
        <v>205.99328735592226</v>
      </c>
      <c r="L55" s="39">
        <f t="shared" ca="1" si="29"/>
        <v>149.24005193614909</v>
      </c>
      <c r="M55" s="39">
        <f t="shared" ca="1" si="30"/>
        <v>327.94130677999181</v>
      </c>
      <c r="N55" s="5"/>
      <c r="O55" s="5"/>
      <c r="P55" s="5"/>
      <c r="Q55" s="8">
        <f ca="1">IFERROR(__xludf.DUMMYFUNCTION("iferror(index('지수RAW'!$V$7:$V$12040,MATCH($D55,'지수RAW'!$R$7:$R$12040,0)-1,1),GOOGLEFINANCE(Q$2))"),2757.65)</f>
        <v>2757.65</v>
      </c>
      <c r="R55" s="5">
        <f ca="1">IFERROR(__xludf.DUMMYFUNCTION("iferror(index('지수RAW'!$F$7:$F$12040,MATCH($D55,'지수RAW'!$B$7:$B$12040,0)-1,1),GOOGLEFINANCE(R$2))"),4530.41)</f>
        <v>4530.41</v>
      </c>
      <c r="S55" s="9">
        <f ca="1">IFERROR(__xludf.DUMMYFUNCTION("iferror(index('지수RAW'!$N$7:$N$12040,MATCH($D55,'지수RAW'!$J$7:$J$12040,0)-1,1),GOOGLEFINANCE(S$2))"),14220.52)</f>
        <v>14220.52</v>
      </c>
      <c r="T55" s="5"/>
      <c r="U55" s="29">
        <f t="array" aca="1" ref="U55" ca="1">IFERROR(INDEX(지수RAW!$AT$7:$AT$12040,MATCH($D55,지수RAW!$AP$7:$AP$12040,0)-1,1),지수RAW!$AU$4)</f>
        <v>1954</v>
      </c>
      <c r="V55" s="29">
        <f ca="1">IFERROR(__xludf.DUMMYFUNCTION("iferror(index('지수RAW'!$AL$7:$AL$12040,MATCH($D55,'지수RAW'!$AH$7:$AH$12040,0)-1,1),GOOGLEFINANCE(V$2))"),45521.5)</f>
        <v>45521.5</v>
      </c>
      <c r="W55" s="30">
        <f ca="1">IFERROR(__xludf.DUMMYFUNCTION("iferror(index('지수RAW'!$AD$7:$AD$12040,MATCH($D55,'지수RAW'!$Z$7:$Z$12040,0)-1,1),GOOGLEFINANCE(W$2))"),1214.5)</f>
        <v>1214.5</v>
      </c>
      <c r="X55" s="36">
        <f t="shared" ca="1" si="18"/>
        <v>5502182.9449999994</v>
      </c>
      <c r="Y55" s="36">
        <f t="shared" ca="1" si="19"/>
        <v>17270821.539999999</v>
      </c>
      <c r="Z55" s="36">
        <f t="shared" ca="1" si="20"/>
        <v>2373133</v>
      </c>
      <c r="AA55" s="36">
        <f t="shared" ca="1" si="21"/>
        <v>55285861.75</v>
      </c>
      <c r="AB55" s="12"/>
      <c r="AC55" s="38">
        <f t="shared" ca="1" si="31"/>
        <v>113.92310073447335</v>
      </c>
      <c r="AD55" s="38">
        <f t="shared" ca="1" si="32"/>
        <v>193.04175059132251</v>
      </c>
      <c r="AE55" s="38">
        <f t="shared" ca="1" si="33"/>
        <v>234.67394026074049</v>
      </c>
      <c r="AF55" s="38">
        <f t="shared" ca="1" si="34"/>
        <v>170.01889470339947</v>
      </c>
      <c r="AG55" s="38">
        <f t="shared" ca="1" si="35"/>
        <v>373.60090527291823</v>
      </c>
    </row>
    <row r="56" spans="1:33" ht="12.75" customHeight="1" x14ac:dyDescent="0.35">
      <c r="A56" s="5"/>
      <c r="B56" s="22">
        <f t="shared" si="22"/>
        <v>22</v>
      </c>
      <c r="C56" s="22">
        <f t="shared" si="23"/>
        <v>4</v>
      </c>
      <c r="D56" s="22" t="str">
        <f>IF(F56="12월",(E56+1)&amp;VLOOKUP(F56,인덱스!$C:$D,2,0),E56&amp;VLOOKUP(F56,인덱스!$C:$D,2,0))</f>
        <v>20225</v>
      </c>
      <c r="E56" s="5" t="str">
        <f t="shared" si="24"/>
        <v>2022</v>
      </c>
      <c r="F56" s="5" t="str">
        <f t="shared" si="25"/>
        <v>4월</v>
      </c>
      <c r="G56" s="37" t="str">
        <f>B56&amp;"."&amp;VLOOKUP(F56,인덱스!$A:$B,2,0)</f>
        <v>22.04</v>
      </c>
      <c r="H56" s="14">
        <f>IFERROR(VLOOKUP(G56,#REF!,2,0),)</f>
        <v>0</v>
      </c>
      <c r="I56" s="38">
        <f t="shared" ca="1" si="26"/>
        <v>109.22232714215649</v>
      </c>
      <c r="J56" s="38">
        <f t="shared" ca="1" si="27"/>
        <v>154.54497851219892</v>
      </c>
      <c r="K56" s="39">
        <f t="shared" ca="1" si="28"/>
        <v>178.67511469002912</v>
      </c>
      <c r="L56" s="39">
        <f t="shared" ca="1" si="29"/>
        <v>146.00931795615978</v>
      </c>
      <c r="M56" s="39">
        <f t="shared" ca="1" si="30"/>
        <v>271.22633183944367</v>
      </c>
      <c r="N56" s="5"/>
      <c r="O56" s="5"/>
      <c r="P56" s="5"/>
      <c r="Q56" s="8">
        <f ca="1">IFERROR(__xludf.DUMMYFUNCTION("iferror(index('지수RAW'!$V$7:$V$12040,MATCH($D56,'지수RAW'!$R$7:$R$12040,0)-1,1),GOOGLEFINANCE(Q$2))"),2695.05)</f>
        <v>2695.05</v>
      </c>
      <c r="R56" s="5">
        <f ca="1">IFERROR(__xludf.DUMMYFUNCTION("iferror(index('지수RAW'!$F$7:$F$12040,MATCH($D56,'지수RAW'!$B$7:$B$12040,0)-1,1),GOOGLEFINANCE(R$2))"),4131.93)</f>
        <v>4131.93</v>
      </c>
      <c r="S56" s="9">
        <f ca="1">IFERROR(__xludf.DUMMYFUNCTION("iferror(index('지수RAW'!$N$7:$N$12040,MATCH($D56,'지수RAW'!$J$7:$J$12040,0)-1,1),GOOGLEFINANCE(S$2))"),12334.64)</f>
        <v>12334.64</v>
      </c>
      <c r="T56" s="5"/>
      <c r="U56" s="29">
        <f t="array" aca="1" ref="U56" ca="1">IFERROR(INDEX(지수RAW!$AT$7:$AT$12040,MATCH($D56,지수RAW!$AP$7:$AP$12040,0)-1,1),지수RAW!$AU$4)</f>
        <v>1911.7</v>
      </c>
      <c r="V56" s="29">
        <f ca="1">IFERROR(__xludf.DUMMYFUNCTION("iferror(index('지수RAW'!$AL$7:$AL$12040,MATCH($D56,'지수RAW'!$AH$7:$AH$12040,0)-1,1),GOOGLEFINANCE(V$2))"),37648.9)</f>
        <v>37648.9</v>
      </c>
      <c r="W56" s="30">
        <f ca="1">IFERROR(__xludf.DUMMYFUNCTION("iferror(index('지수RAW'!$AD$7:$AD$12040,MATCH($D56,'지수RAW'!$Z$7:$Z$12040,0)-1,1),GOOGLEFINANCE(W$2))"),1263.38)</f>
        <v>1263.3800000000001</v>
      </c>
      <c r="X56" s="36">
        <f t="shared" ca="1" si="18"/>
        <v>5220197.7234000005</v>
      </c>
      <c r="Y56" s="36">
        <f t="shared" ca="1" si="19"/>
        <v>15583337.483200001</v>
      </c>
      <c r="Z56" s="36">
        <f t="shared" ca="1" si="20"/>
        <v>2415203.5460000001</v>
      </c>
      <c r="AA56" s="36">
        <f t="shared" ca="1" si="21"/>
        <v>47564867.282000005</v>
      </c>
      <c r="AB56" s="12"/>
      <c r="AC56" s="38">
        <f t="shared" ca="1" si="31"/>
        <v>118.50816550507943</v>
      </c>
      <c r="AD56" s="38">
        <f t="shared" ca="1" si="32"/>
        <v>183.14841891502618</v>
      </c>
      <c r="AE56" s="38">
        <f t="shared" ca="1" si="33"/>
        <v>211.7446006332502</v>
      </c>
      <c r="AF56" s="38">
        <f t="shared" ca="1" si="34"/>
        <v>173.03296417632347</v>
      </c>
      <c r="AG56" s="38">
        <f t="shared" ca="1" si="35"/>
        <v>321.4253502296437</v>
      </c>
    </row>
    <row r="57" spans="1:33" ht="12.75" customHeight="1" x14ac:dyDescent="0.35">
      <c r="A57" s="5"/>
      <c r="B57" s="22">
        <f t="shared" si="22"/>
        <v>22</v>
      </c>
      <c r="C57" s="22">
        <f t="shared" si="23"/>
        <v>5</v>
      </c>
      <c r="D57" s="22" t="str">
        <f>IF(F57="12월",(E57+1)&amp;VLOOKUP(F57,인덱스!$C:$D,2,0),E57&amp;VLOOKUP(F57,인덱스!$C:$D,2,0))</f>
        <v>20226</v>
      </c>
      <c r="E57" s="5" t="str">
        <f t="shared" si="24"/>
        <v>2022</v>
      </c>
      <c r="F57" s="5" t="str">
        <f t="shared" si="25"/>
        <v>5월</v>
      </c>
      <c r="G57" s="37" t="str">
        <f>B57&amp;"."&amp;VLOOKUP(F57,인덱스!$A:$B,2,0)</f>
        <v>22.05</v>
      </c>
      <c r="H57" s="14">
        <f>IFERROR(VLOOKUP(G57,#REF!,2,0),)</f>
        <v>0</v>
      </c>
      <c r="I57" s="38">
        <f t="shared" ca="1" si="26"/>
        <v>108.85150497063805</v>
      </c>
      <c r="J57" s="38">
        <f t="shared" ca="1" si="27"/>
        <v>154.55320708704713</v>
      </c>
      <c r="K57" s="39">
        <f t="shared" ca="1" si="28"/>
        <v>175.00662717882085</v>
      </c>
      <c r="L57" s="39">
        <f t="shared" ca="1" si="29"/>
        <v>141.17467348965096</v>
      </c>
      <c r="M57" s="39">
        <f t="shared" ca="1" si="30"/>
        <v>228.89469699207328</v>
      </c>
      <c r="N57" s="5"/>
      <c r="O57" s="5"/>
      <c r="P57" s="5"/>
      <c r="Q57" s="8">
        <f ca="1">IFERROR(__xludf.DUMMYFUNCTION("iferror(index('지수RAW'!$V$7:$V$12040,MATCH($D57,'지수RAW'!$R$7:$R$12040,0)-1,1),GOOGLEFINANCE(Q$2))"),2685.9)</f>
        <v>2685.9</v>
      </c>
      <c r="R57" s="5">
        <f ca="1">IFERROR(__xludf.DUMMYFUNCTION("iferror(index('지수RAW'!$F$7:$F$12040,MATCH($D57,'지수RAW'!$B$7:$B$12040,0)-1,1),GOOGLEFINANCE(R$2))"),4132.15)</f>
        <v>4132.1499999999996</v>
      </c>
      <c r="S57" s="9">
        <f ca="1">IFERROR(__xludf.DUMMYFUNCTION("iferror(index('지수RAW'!$N$7:$N$12040,MATCH($D57,'지수RAW'!$J$7:$J$12040,0)-1,1),GOOGLEFINANCE(S$2))"),12081.39)</f>
        <v>12081.39</v>
      </c>
      <c r="T57" s="5"/>
      <c r="U57" s="29">
        <f t="array" aca="1" ref="U57" ca="1">IFERROR(INDEX(지수RAW!$AT$7:$AT$12040,MATCH($D57,지수RAW!$AP$7:$AP$12040,0)-1,1),지수RAW!$AU$4)</f>
        <v>1848.4</v>
      </c>
      <c r="V57" s="29">
        <f ca="1">IFERROR(__xludf.DUMMYFUNCTION("iferror(index('지수RAW'!$AL$7:$AL$12040,MATCH($D57,'지수RAW'!$AH$7:$AH$12040,0)-1,1),GOOGLEFINANCE(V$2))"),31772.85)</f>
        <v>31772.85</v>
      </c>
      <c r="W57" s="30">
        <f ca="1">IFERROR(__xludf.DUMMYFUNCTION("iferror(index('지수RAW'!$AD$7:$AD$12040,MATCH($D57,'지수RAW'!$Z$7:$Z$12040,0)-1,1),GOOGLEFINANCE(W$2))"),1241.74)</f>
        <v>1241.74</v>
      </c>
      <c r="X57" s="36">
        <f t="shared" ca="1" si="18"/>
        <v>5131055.9409999996</v>
      </c>
      <c r="Y57" s="36">
        <f t="shared" ca="1" si="19"/>
        <v>15001945.218599999</v>
      </c>
      <c r="Z57" s="36">
        <f t="shared" ca="1" si="20"/>
        <v>2295232.216</v>
      </c>
      <c r="AA57" s="36">
        <f t="shared" ca="1" si="21"/>
        <v>39453618.758999996</v>
      </c>
      <c r="AB57" s="12"/>
      <c r="AC57" s="38">
        <f t="shared" ca="1" si="31"/>
        <v>116.47828003789621</v>
      </c>
      <c r="AD57" s="38">
        <f t="shared" ca="1" si="32"/>
        <v>180.02091735840048</v>
      </c>
      <c r="AE57" s="38">
        <f t="shared" ca="1" si="33"/>
        <v>203.84470929022393</v>
      </c>
      <c r="AF57" s="38">
        <f t="shared" ca="1" si="34"/>
        <v>164.43783152986126</v>
      </c>
      <c r="AG57" s="38">
        <f t="shared" ca="1" si="35"/>
        <v>266.61260615432099</v>
      </c>
    </row>
    <row r="58" spans="1:33" ht="12.75" customHeight="1" x14ac:dyDescent="0.35">
      <c r="A58" s="5"/>
      <c r="B58" s="22">
        <f t="shared" si="22"/>
        <v>22</v>
      </c>
      <c r="C58" s="22">
        <f t="shared" si="23"/>
        <v>6</v>
      </c>
      <c r="D58" s="22" t="str">
        <f>IF(F58="12월",(E58+1)&amp;VLOOKUP(F58,인덱스!$C:$D,2,0),E58&amp;VLOOKUP(F58,인덱스!$C:$D,2,0))</f>
        <v>20227</v>
      </c>
      <c r="E58" s="5" t="str">
        <f t="shared" si="24"/>
        <v>2022</v>
      </c>
      <c r="F58" s="5" t="str">
        <f t="shared" si="25"/>
        <v>6월</v>
      </c>
      <c r="G58" s="37" t="str">
        <f>B58&amp;"."&amp;VLOOKUP(F58,인덱스!$A:$B,2,0)</f>
        <v>22.06</v>
      </c>
      <c r="H58" s="14">
        <f>IFERROR(VLOOKUP(G58,#REF!,2,0),)</f>
        <v>0</v>
      </c>
      <c r="I58" s="38">
        <f t="shared" ca="1" si="26"/>
        <v>94.534932259097175</v>
      </c>
      <c r="J58" s="38">
        <f t="shared" ca="1" si="27"/>
        <v>141.5831029955753</v>
      </c>
      <c r="K58" s="39">
        <f t="shared" ca="1" si="28"/>
        <v>159.75832163618168</v>
      </c>
      <c r="L58" s="39">
        <f t="shared" ca="1" si="29"/>
        <v>138.03559153746275</v>
      </c>
      <c r="M58" s="39">
        <f t="shared" ca="1" si="30"/>
        <v>143.45619440688307</v>
      </c>
      <c r="N58" s="5"/>
      <c r="O58" s="5"/>
      <c r="P58" s="5"/>
      <c r="Q58" s="8">
        <f ca="1">IFERROR(__xludf.DUMMYFUNCTION("iferror(index('지수RAW'!$V$7:$V$12040,MATCH($D58,'지수RAW'!$R$7:$R$12040,0)-1,1),GOOGLEFINANCE(Q$2))"),2332.64)</f>
        <v>2332.64</v>
      </c>
      <c r="R58" s="5">
        <f ca="1">IFERROR(__xludf.DUMMYFUNCTION("iferror(index('지수RAW'!$F$7:$F$12040,MATCH($D58,'지수RAW'!$B$7:$B$12040,0)-1,1),GOOGLEFINANCE(R$2))"),3785.38)</f>
        <v>3785.38</v>
      </c>
      <c r="S58" s="9">
        <f ca="1">IFERROR(__xludf.DUMMYFUNCTION("iferror(index('지수RAW'!$N$7:$N$12040,MATCH($D58,'지수RAW'!$J$7:$J$12040,0)-1,1),GOOGLEFINANCE(S$2))"),11028.74)</f>
        <v>11028.74</v>
      </c>
      <c r="T58" s="5"/>
      <c r="U58" s="29">
        <f t="array" aca="1" ref="U58" ca="1">IFERROR(INDEX(지수RAW!$AT$7:$AT$12040,MATCH($D58,지수RAW!$AP$7:$AP$12040,0)-1,1),지수RAW!$AU$4)</f>
        <v>1807.3</v>
      </c>
      <c r="V58" s="29">
        <f ca="1">IFERROR(__xludf.DUMMYFUNCTION("iferror(index('지수RAW'!$AL$7:$AL$12040,MATCH($D58,'지수RAW'!$AH$7:$AH$12040,0)-1,1),GOOGLEFINANCE(V$2))"),19913.14)</f>
        <v>19913.14</v>
      </c>
      <c r="W58" s="30">
        <f ca="1">IFERROR(__xludf.DUMMYFUNCTION("iferror(index('지수RAW'!$AD$7:$AD$12040,MATCH($D58,'지수RAW'!$Z$7:$Z$12040,0)-1,1),GOOGLEFINANCE(W$2))"),1287.71)</f>
        <v>1287.71</v>
      </c>
      <c r="X58" s="36">
        <f t="shared" ca="1" si="18"/>
        <v>4874471.6798</v>
      </c>
      <c r="Y58" s="36">
        <f t="shared" ca="1" si="19"/>
        <v>14201818.785399999</v>
      </c>
      <c r="Z58" s="36">
        <f t="shared" ca="1" si="20"/>
        <v>2327278.2829999998</v>
      </c>
      <c r="AA58" s="36">
        <f t="shared" ca="1" si="21"/>
        <v>25642349.509399999</v>
      </c>
      <c r="AB58" s="12"/>
      <c r="AC58" s="38">
        <f t="shared" ca="1" si="31"/>
        <v>120.79037961859916</v>
      </c>
      <c r="AD58" s="38">
        <f t="shared" ca="1" si="32"/>
        <v>171.01876758414775</v>
      </c>
      <c r="AE58" s="38">
        <f t="shared" ca="1" si="33"/>
        <v>192.97268317664648</v>
      </c>
      <c r="AF58" s="38">
        <f t="shared" ca="1" si="34"/>
        <v>166.73371502688019</v>
      </c>
      <c r="AG58" s="38">
        <f t="shared" ca="1" si="35"/>
        <v>173.28128181046961</v>
      </c>
    </row>
    <row r="59" spans="1:33" ht="12.75" customHeight="1" x14ac:dyDescent="0.35">
      <c r="A59" s="5"/>
      <c r="B59" s="22">
        <f t="shared" si="22"/>
        <v>22</v>
      </c>
      <c r="C59" s="22">
        <f t="shared" si="23"/>
        <v>7</v>
      </c>
      <c r="D59" s="22" t="str">
        <f>IF(F59="12월",(E59+1)&amp;VLOOKUP(F59,인덱스!$C:$D,2,0),E59&amp;VLOOKUP(F59,인덱스!$C:$D,2,0))</f>
        <v>20228</v>
      </c>
      <c r="E59" s="5" t="str">
        <f t="shared" si="24"/>
        <v>2022</v>
      </c>
      <c r="F59" s="5" t="str">
        <f t="shared" si="25"/>
        <v>7월</v>
      </c>
      <c r="G59" s="37" t="str">
        <f>B59&amp;"."&amp;VLOOKUP(F59,인덱스!$A:$B,2,0)</f>
        <v>22.07</v>
      </c>
      <c r="H59" s="14">
        <f>IFERROR(VLOOKUP(G59,#REF!,2,0),)</f>
        <v>0</v>
      </c>
      <c r="I59" s="38">
        <f t="shared" ca="1" si="26"/>
        <v>99.351973057641445</v>
      </c>
      <c r="J59" s="38">
        <f t="shared" ca="1" si="27"/>
        <v>154.48363822696655</v>
      </c>
      <c r="K59" s="39">
        <f t="shared" ca="1" si="28"/>
        <v>179.48703463081188</v>
      </c>
      <c r="L59" s="39">
        <f t="shared" ca="1" si="29"/>
        <v>136.08798594668906</v>
      </c>
      <c r="M59" s="39">
        <f t="shared" ca="1" si="30"/>
        <v>167.91785023978838</v>
      </c>
      <c r="N59" s="5"/>
      <c r="O59" s="5"/>
      <c r="P59" s="5"/>
      <c r="Q59" s="8">
        <f ca="1">IFERROR(__xludf.DUMMYFUNCTION("iferror(index('지수RAW'!$V$7:$V$12040,MATCH($D59,'지수RAW'!$R$7:$R$12040,0)-1,1),GOOGLEFINANCE(Q$2))"),2451.5)</f>
        <v>2451.5</v>
      </c>
      <c r="R59" s="5">
        <f ca="1">IFERROR(__xludf.DUMMYFUNCTION("iferror(index('지수RAW'!$F$7:$F$12040,MATCH($D59,'지수RAW'!$B$7:$B$12040,0)-1,1),GOOGLEFINANCE(R$2))"),4130.29)</f>
        <v>4130.29</v>
      </c>
      <c r="S59" s="9">
        <f ca="1">IFERROR(__xludf.DUMMYFUNCTION("iferror(index('지수RAW'!$N$7:$N$12040,MATCH($D59,'지수RAW'!$J$7:$J$12040,0)-1,1),GOOGLEFINANCE(S$2))"),12390.69)</f>
        <v>12390.69</v>
      </c>
      <c r="T59" s="5"/>
      <c r="U59" s="29">
        <f t="array" aca="1" ref="U59" ca="1">IFERROR(INDEX(지수RAW!$AT$7:$AT$12040,MATCH($D59,지수RAW!$AP$7:$AP$12040,0)-1,1),지수RAW!$AU$4)</f>
        <v>1781.8</v>
      </c>
      <c r="V59" s="29">
        <f ca="1">IFERROR(__xludf.DUMMYFUNCTION("iferror(index('지수RAW'!$AL$7:$AL$12040,MATCH($D59,'지수RAW'!$AH$7:$AH$12040,0)-1,1),GOOGLEFINANCE(V$2))"),23308.66)</f>
        <v>23308.66</v>
      </c>
      <c r="W59" s="30">
        <f ca="1">IFERROR(__xludf.DUMMYFUNCTION("iferror(index('지수RAW'!$AD$7:$AD$12040,MATCH($D59,'지수RAW'!$Z$7:$Z$12040,0)-1,1),GOOGLEFINANCE(W$2))"),1302.28)</f>
        <v>1302.28</v>
      </c>
      <c r="X59" s="36">
        <f t="shared" ca="1" si="18"/>
        <v>5378794.0611999994</v>
      </c>
      <c r="Y59" s="36">
        <f t="shared" ca="1" si="19"/>
        <v>16136147.7732</v>
      </c>
      <c r="Z59" s="36">
        <f t="shared" ca="1" si="20"/>
        <v>2320402.5039999997</v>
      </c>
      <c r="AA59" s="36">
        <f t="shared" ca="1" si="21"/>
        <v>30354401.744799998</v>
      </c>
      <c r="AB59" s="12"/>
      <c r="AC59" s="38">
        <f t="shared" ca="1" si="31"/>
        <v>122.15708161752981</v>
      </c>
      <c r="AD59" s="38">
        <f t="shared" ca="1" si="32"/>
        <v>188.71270403464516</v>
      </c>
      <c r="AE59" s="38">
        <f t="shared" ca="1" si="33"/>
        <v>219.25612338684482</v>
      </c>
      <c r="AF59" s="38">
        <f t="shared" ca="1" si="34"/>
        <v>166.24111206454944</v>
      </c>
      <c r="AG59" s="38">
        <f t="shared" ca="1" si="35"/>
        <v>205.12354536781967</v>
      </c>
    </row>
    <row r="60" spans="1:33" ht="12.75" customHeight="1" x14ac:dyDescent="0.35">
      <c r="A60" s="5"/>
      <c r="B60" s="22">
        <f t="shared" si="22"/>
        <v>22</v>
      </c>
      <c r="C60" s="22">
        <f t="shared" si="23"/>
        <v>8</v>
      </c>
      <c r="D60" s="22" t="str">
        <f>IF(F60="12월",(E60+1)&amp;VLOOKUP(F60,인덱스!$C:$D,2,0),E60&amp;VLOOKUP(F60,인덱스!$C:$D,2,0))</f>
        <v>20229</v>
      </c>
      <c r="E60" s="5" t="str">
        <f t="shared" si="24"/>
        <v>2022</v>
      </c>
      <c r="F60" s="5" t="str">
        <f t="shared" si="25"/>
        <v>8월</v>
      </c>
      <c r="G60" s="37" t="str">
        <f>B60&amp;"."&amp;VLOOKUP(F60,인덱스!$A:$B,2,0)</f>
        <v>22.08</v>
      </c>
      <c r="H60" s="14">
        <f>IFERROR(VLOOKUP(G60,#REF!,2,0),)</f>
        <v>0</v>
      </c>
      <c r="I60" s="38">
        <f t="shared" ca="1" si="26"/>
        <v>100.1848031805599</v>
      </c>
      <c r="J60" s="38">
        <f t="shared" ca="1" si="27"/>
        <v>147.92733420356748</v>
      </c>
      <c r="K60" s="39">
        <f t="shared" ca="1" si="28"/>
        <v>171.16518116461629</v>
      </c>
      <c r="L60" s="39">
        <f t="shared" ca="1" si="29"/>
        <v>131.84144199190408</v>
      </c>
      <c r="M60" s="39">
        <f t="shared" ca="1" si="30"/>
        <v>144.43768059770954</v>
      </c>
      <c r="N60" s="5"/>
      <c r="O60" s="5"/>
      <c r="P60" s="5"/>
      <c r="Q60" s="8">
        <f ca="1">IFERROR(__xludf.DUMMYFUNCTION("iferror(index('지수RAW'!$V$7:$V$12040,MATCH($D60,'지수RAW'!$R$7:$R$12040,0)-1,1),GOOGLEFINANCE(Q$2))"),2472.05)</f>
        <v>2472.0500000000002</v>
      </c>
      <c r="R60" s="5">
        <f ca="1">IFERROR(__xludf.DUMMYFUNCTION("iferror(index('지수RAW'!$F$7:$F$12040,MATCH($D60,'지수RAW'!$B$7:$B$12040,0)-1,1),GOOGLEFINANCE(R$2))"),3955)</f>
        <v>3955</v>
      </c>
      <c r="S60" s="9">
        <f ca="1">IFERROR(__xludf.DUMMYFUNCTION("iferror(index('지수RAW'!$N$7:$N$12040,MATCH($D60,'지수RAW'!$J$7:$J$12040,0)-1,1),GOOGLEFINANCE(S$2))"),11816.2)</f>
        <v>11816.2</v>
      </c>
      <c r="T60" s="5"/>
      <c r="U60" s="29">
        <f t="array" aca="1" ref="U60" ca="1">IFERROR(INDEX(지수RAW!$AT$7:$AT$12040,MATCH($D60,지수RAW!$AP$7:$AP$12040,0)-1,1),지수RAW!$AU$4)</f>
        <v>1726.2</v>
      </c>
      <c r="V60" s="29">
        <f ca="1">IFERROR(__xludf.DUMMYFUNCTION("iferror(index('지수RAW'!$AL$7:$AL$12040,MATCH($D60,'지수RAW'!$AH$7:$AH$12040,0)-1,1),GOOGLEFINANCE(V$2))"),20049.38)</f>
        <v>20049.38</v>
      </c>
      <c r="W60" s="30">
        <f ca="1">IFERROR(__xludf.DUMMYFUNCTION("iferror(index('지수RAW'!$AD$7:$AD$12040,MATCH($D60,'지수RAW'!$Z$7:$Z$12040,0)-1,1),GOOGLEFINANCE(W$2))"),1342.26)</f>
        <v>1342.26</v>
      </c>
      <c r="X60" s="36">
        <f t="shared" ca="1" si="18"/>
        <v>5308638.3</v>
      </c>
      <c r="Y60" s="36">
        <f t="shared" ca="1" si="19"/>
        <v>15860412.612000002</v>
      </c>
      <c r="Z60" s="36">
        <f t="shared" ca="1" si="20"/>
        <v>2317009.2119999998</v>
      </c>
      <c r="AA60" s="36">
        <f t="shared" ca="1" si="21"/>
        <v>26911480.798800003</v>
      </c>
      <c r="AB60" s="12"/>
      <c r="AC60" s="38">
        <f t="shared" ca="1" si="31"/>
        <v>125.90730439839786</v>
      </c>
      <c r="AD60" s="38">
        <f t="shared" ca="1" si="32"/>
        <v>186.25131896412117</v>
      </c>
      <c r="AE60" s="38">
        <f t="shared" ca="1" si="33"/>
        <v>215.50946567300255</v>
      </c>
      <c r="AF60" s="38">
        <f t="shared" ca="1" si="34"/>
        <v>165.99800569198379</v>
      </c>
      <c r="AG60" s="38">
        <f t="shared" ca="1" si="35"/>
        <v>181.85759017614373</v>
      </c>
    </row>
    <row r="61" spans="1:33" ht="12.75" customHeight="1" x14ac:dyDescent="0.35">
      <c r="A61" s="5"/>
      <c r="B61" s="22">
        <f t="shared" si="22"/>
        <v>22</v>
      </c>
      <c r="C61" s="22">
        <f t="shared" si="23"/>
        <v>9</v>
      </c>
      <c r="D61" s="22" t="str">
        <f>IF(F61="12월",(E61+1)&amp;VLOOKUP(F61,인덱스!$C:$D,2,0),E61&amp;VLOOKUP(F61,인덱스!$C:$D,2,0))</f>
        <v>202210</v>
      </c>
      <c r="E61" s="5" t="str">
        <f t="shared" si="24"/>
        <v>2022</v>
      </c>
      <c r="F61" s="5" t="str">
        <f t="shared" si="25"/>
        <v>9월</v>
      </c>
      <c r="G61" s="37" t="str">
        <f>B61&amp;"."&amp;VLOOKUP(F61,인덱스!$A:$B,2,0)</f>
        <v>22.09</v>
      </c>
      <c r="H61" s="14">
        <f>IFERROR(VLOOKUP(G61,#REF!,2,0),)</f>
        <v>0</v>
      </c>
      <c r="I61" s="38">
        <f t="shared" ca="1" si="26"/>
        <v>87.355571856420781</v>
      </c>
      <c r="J61" s="38">
        <f t="shared" ca="1" si="27"/>
        <v>134.11155703337437</v>
      </c>
      <c r="K61" s="39">
        <f t="shared" ca="1" si="28"/>
        <v>153.19458990438036</v>
      </c>
      <c r="L61" s="39">
        <f t="shared" ca="1" si="29"/>
        <v>127.70182540288704</v>
      </c>
      <c r="M61" s="39">
        <f t="shared" ca="1" si="30"/>
        <v>139.93656072081316</v>
      </c>
      <c r="N61" s="5"/>
      <c r="O61" s="5"/>
      <c r="P61" s="5"/>
      <c r="Q61" s="8">
        <f ca="1">IFERROR(__xludf.DUMMYFUNCTION("iferror(index('지수RAW'!$V$7:$V$12040,MATCH($D61,'지수RAW'!$R$7:$R$12040,0)-1,1),GOOGLEFINANCE(Q$2))"),2155.49)</f>
        <v>2155.4899999999998</v>
      </c>
      <c r="R61" s="5">
        <f ca="1">IFERROR(__xludf.DUMMYFUNCTION("iferror(index('지수RAW'!$F$7:$F$12040,MATCH($D61,'지수RAW'!$B$7:$B$12040,0)-1,1),GOOGLEFINANCE(R$2))"),3585.62)</f>
        <v>3585.62</v>
      </c>
      <c r="S61" s="9">
        <f ca="1">IFERROR(__xludf.DUMMYFUNCTION("iferror(index('지수RAW'!$N$7:$N$12040,MATCH($D61,'지수RAW'!$J$7:$J$12040,0)-1,1),GOOGLEFINANCE(S$2))"),10575.62)</f>
        <v>10575.62</v>
      </c>
      <c r="T61" s="5"/>
      <c r="U61" s="29">
        <f t="array" aca="1" ref="U61" ca="1">IFERROR(INDEX(지수RAW!$AT$7:$AT$12040,MATCH($D61,지수RAW!$AP$7:$AP$12040,0)-1,1),지수RAW!$AU$4)</f>
        <v>1672</v>
      </c>
      <c r="V61" s="29">
        <f ca="1">IFERROR(__xludf.DUMMYFUNCTION("iferror(index('지수RAW'!$AL$7:$AL$12040,MATCH($D61,'지수RAW'!$AH$7:$AH$12040,0)-1,1),GOOGLEFINANCE(V$2))"),19424.58)</f>
        <v>19424.580000000002</v>
      </c>
      <c r="W61" s="30">
        <f ca="1">IFERROR(__xludf.DUMMYFUNCTION("iferror(index('지수RAW'!$AD$7:$AD$12040,MATCH($D61,'지수RAW'!$Z$7:$Z$12040,0)-1,1),GOOGLEFINANCE(W$2))"),1439.13)</f>
        <v>1439.13</v>
      </c>
      <c r="X61" s="36">
        <f t="shared" ca="1" si="18"/>
        <v>5160173.3106000004</v>
      </c>
      <c r="Y61" s="36">
        <f t="shared" ca="1" si="19"/>
        <v>15219692.010600002</v>
      </c>
      <c r="Z61" s="36">
        <f t="shared" ca="1" si="20"/>
        <v>2406225.3600000003</v>
      </c>
      <c r="AA61" s="36">
        <f t="shared" ca="1" si="21"/>
        <v>27954495.815400004</v>
      </c>
      <c r="AB61" s="12"/>
      <c r="AC61" s="38">
        <f t="shared" ca="1" si="31"/>
        <v>134.9939497406362</v>
      </c>
      <c r="AD61" s="38">
        <f t="shared" ca="1" si="32"/>
        <v>181.04248789801818</v>
      </c>
      <c r="AE61" s="38">
        <f t="shared" ca="1" si="33"/>
        <v>206.80342770089291</v>
      </c>
      <c r="AF61" s="38">
        <f t="shared" ca="1" si="34"/>
        <v>172.38973800224832</v>
      </c>
      <c r="AG61" s="38">
        <f t="shared" ca="1" si="35"/>
        <v>188.90589044822926</v>
      </c>
    </row>
    <row r="62" spans="1:33" ht="12.75" customHeight="1" x14ac:dyDescent="0.35">
      <c r="A62" s="5"/>
      <c r="B62" s="22">
        <f t="shared" si="22"/>
        <v>22</v>
      </c>
      <c r="C62" s="22">
        <f t="shared" si="23"/>
        <v>10</v>
      </c>
      <c r="D62" s="22" t="str">
        <f>IF(F62="12월",(E62+1)&amp;VLOOKUP(F62,인덱스!$C:$D,2,0),E62&amp;VLOOKUP(F62,인덱스!$C:$D,2,0))</f>
        <v>202211</v>
      </c>
      <c r="E62" s="5" t="str">
        <f t="shared" si="24"/>
        <v>2022</v>
      </c>
      <c r="F62" s="5" t="str">
        <f t="shared" si="25"/>
        <v>10월</v>
      </c>
      <c r="G62" s="37" t="str">
        <f>B62&amp;"."&amp;VLOOKUP(F62,인덱스!$A:$B,2,0)</f>
        <v>22.10</v>
      </c>
      <c r="H62" s="14">
        <f>IFERROR(VLOOKUP(G62,#REF!,2,0),)</f>
        <v>0</v>
      </c>
      <c r="I62" s="38">
        <f t="shared" ca="1" si="26"/>
        <v>92.953162930751375</v>
      </c>
      <c r="J62" s="38">
        <f t="shared" ca="1" si="27"/>
        <v>144.82216927674568</v>
      </c>
      <c r="K62" s="39">
        <f t="shared" ca="1" si="28"/>
        <v>159.17034963981467</v>
      </c>
      <c r="L62" s="39">
        <f t="shared" ca="1" si="29"/>
        <v>125.31123501107463</v>
      </c>
      <c r="M62" s="39">
        <f t="shared" ca="1" si="30"/>
        <v>147.62751071789549</v>
      </c>
      <c r="N62" s="5"/>
      <c r="O62" s="5"/>
      <c r="P62" s="5"/>
      <c r="Q62" s="8">
        <f ca="1">IFERROR(__xludf.DUMMYFUNCTION("iferror(index('지수RAW'!$V$7:$V$12040,MATCH($D62,'지수RAW'!$R$7:$R$12040,0)-1,1),GOOGLEFINANCE(Q$2))"),2293.61)</f>
        <v>2293.61</v>
      </c>
      <c r="R62" s="5">
        <f ca="1">IFERROR(__xludf.DUMMYFUNCTION("iferror(index('지수RAW'!$F$7:$F$12040,MATCH($D62,'지수RAW'!$B$7:$B$12040,0)-1,1),GOOGLEFINANCE(R$2))"),3871.98)</f>
        <v>3871.98</v>
      </c>
      <c r="S62" s="9">
        <f ca="1">IFERROR(__xludf.DUMMYFUNCTION("iferror(index('지수RAW'!$N$7:$N$12040,MATCH($D62,'지수RAW'!$J$7:$J$12040,0)-1,1),GOOGLEFINANCE(S$2))"),10988.15)</f>
        <v>10988.15</v>
      </c>
      <c r="T62" s="5"/>
      <c r="U62" s="29">
        <f t="array" aca="1" ref="U62" ca="1">IFERROR(INDEX(지수RAW!$AT$7:$AT$12040,MATCH($D62,지수RAW!$AP$7:$AP$12040,0)-1,1),지수RAW!$AU$4)</f>
        <v>1640.7</v>
      </c>
      <c r="V62" s="29">
        <f ca="1">IFERROR(__xludf.DUMMYFUNCTION("iferror(index('지수RAW'!$AL$7:$AL$12040,MATCH($D62,'지수RAW'!$AH$7:$AH$12040,0)-1,1),GOOGLEFINANCE(V$2))"),20492.16)</f>
        <v>20492.16</v>
      </c>
      <c r="W62" s="30">
        <f ca="1">IFERROR(__xludf.DUMMYFUNCTION("iferror(index('지수RAW'!$AD$7:$AD$12040,MATCH($D62,'지수RAW'!$Z$7:$Z$12040,0)-1,1),GOOGLEFINANCE(W$2))"),1424.67)</f>
        <v>1424.67</v>
      </c>
      <c r="X62" s="36">
        <f t="shared" ca="1" si="18"/>
        <v>5516293.7466000002</v>
      </c>
      <c r="Y62" s="36">
        <f t="shared" ca="1" si="19"/>
        <v>15654487.660500001</v>
      </c>
      <c r="Z62" s="36">
        <f t="shared" ca="1" si="20"/>
        <v>2337456.0690000001</v>
      </c>
      <c r="AA62" s="36">
        <f t="shared" ca="1" si="21"/>
        <v>29194565.587200001</v>
      </c>
      <c r="AB62" s="12"/>
      <c r="AC62" s="38">
        <f t="shared" ca="1" si="31"/>
        <v>133.63756601348882</v>
      </c>
      <c r="AD62" s="38">
        <f t="shared" ca="1" si="32"/>
        <v>193.53682206937768</v>
      </c>
      <c r="AE62" s="38">
        <f t="shared" ca="1" si="33"/>
        <v>212.71138107380827</v>
      </c>
      <c r="AF62" s="38">
        <f t="shared" ca="1" si="34"/>
        <v>167.46288441024296</v>
      </c>
      <c r="AG62" s="38">
        <f t="shared" ca="1" si="35"/>
        <v>197.28581208969777</v>
      </c>
    </row>
    <row r="63" spans="1:33" ht="12.75" customHeight="1" x14ac:dyDescent="0.35">
      <c r="A63" s="5"/>
      <c r="B63" s="22">
        <f t="shared" si="22"/>
        <v>22</v>
      </c>
      <c r="C63" s="22">
        <f t="shared" si="23"/>
        <v>11</v>
      </c>
      <c r="D63" s="22" t="str">
        <f>IF(F63="12월",(E63+1)&amp;VLOOKUP(F63,인덱스!$C:$D,2,0),E63&amp;VLOOKUP(F63,인덱스!$C:$D,2,0))</f>
        <v>202212</v>
      </c>
      <c r="E63" s="5" t="str">
        <f t="shared" si="24"/>
        <v>2022</v>
      </c>
      <c r="F63" s="5" t="str">
        <f t="shared" si="25"/>
        <v>11월</v>
      </c>
      <c r="G63" s="37" t="str">
        <f>B63&amp;"."&amp;VLOOKUP(F63,인덱스!$A:$B,2,0)</f>
        <v>22.11</v>
      </c>
      <c r="H63" s="14">
        <f>IFERROR(VLOOKUP(G63,#REF!,2,0),)</f>
        <v>0</v>
      </c>
      <c r="I63" s="38">
        <f t="shared" ca="1" si="26"/>
        <v>100.20425614693463</v>
      </c>
      <c r="J63" s="38">
        <f t="shared" ca="1" si="27"/>
        <v>152.60677510930915</v>
      </c>
      <c r="K63" s="39">
        <f t="shared" ca="1" si="28"/>
        <v>166.12128244239429</v>
      </c>
      <c r="L63" s="39">
        <f t="shared" ca="1" si="29"/>
        <v>134.41533643931874</v>
      </c>
      <c r="M63" s="39">
        <f t="shared" ca="1" si="30"/>
        <v>123.64370264656918</v>
      </c>
      <c r="N63" s="5"/>
      <c r="O63" s="5"/>
      <c r="P63" s="5"/>
      <c r="Q63" s="8">
        <f ca="1">IFERROR(__xludf.DUMMYFUNCTION("iferror(index('지수RAW'!$V$7:$V$12040,MATCH($D63,'지수RAW'!$R$7:$R$12040,0)-1,1),GOOGLEFINANCE(Q$2))"),2472.53)</f>
        <v>2472.5300000000002</v>
      </c>
      <c r="R63" s="5">
        <f ca="1">IFERROR(__xludf.DUMMYFUNCTION("iferror(index('지수RAW'!$F$7:$F$12040,MATCH($D63,'지수RAW'!$B$7:$B$12040,0)-1,1),GOOGLEFINANCE(R$2))"),4080.11)</f>
        <v>4080.11</v>
      </c>
      <c r="S63" s="9">
        <f ca="1">IFERROR(__xludf.DUMMYFUNCTION("iferror(index('지수RAW'!$N$7:$N$12040,MATCH($D63,'지수RAW'!$J$7:$J$12040,0)-1,1),GOOGLEFINANCE(S$2))"),11468)</f>
        <v>11468</v>
      </c>
      <c r="T63" s="5"/>
      <c r="U63" s="29">
        <f t="array" aca="1" ref="U63" ca="1">IFERROR(INDEX(지수RAW!$AT$7:$AT$12040,MATCH($D63,지수RAW!$AP$7:$AP$12040,0)-1,1),지수RAW!$AU$4)</f>
        <v>1759.9</v>
      </c>
      <c r="V63" s="29">
        <f ca="1">IFERROR(__xludf.DUMMYFUNCTION("iferror(index('지수RAW'!$AL$7:$AL$12040,MATCH($D63,'지수RAW'!$AH$7:$AH$12040,0)-1,1),GOOGLEFINANCE(V$2))"),17162.97)</f>
        <v>17162.97</v>
      </c>
      <c r="W63" s="30">
        <f ca="1">IFERROR(__xludf.DUMMYFUNCTION("iferror(index('지수RAW'!$AD$7:$AD$12040,MATCH($D63,'지수RAW'!$Z$7:$Z$12040,0)-1,1),GOOGLEFINANCE(W$2))"),1279.8)</f>
        <v>1279.8</v>
      </c>
      <c r="X63" s="36">
        <f t="shared" ca="1" si="18"/>
        <v>5221724.7779999999</v>
      </c>
      <c r="Y63" s="36">
        <f t="shared" ca="1" si="19"/>
        <v>14676746.4</v>
      </c>
      <c r="Z63" s="36">
        <f t="shared" ca="1" si="20"/>
        <v>2252320.02</v>
      </c>
      <c r="AA63" s="36">
        <f t="shared" ca="1" si="21"/>
        <v>21965169.006000001</v>
      </c>
      <c r="AB63" s="12"/>
      <c r="AC63" s="38">
        <f t="shared" ca="1" si="31"/>
        <v>120.04840207491067</v>
      </c>
      <c r="AD63" s="38">
        <f t="shared" ca="1" si="32"/>
        <v>183.20199497677828</v>
      </c>
      <c r="AE63" s="38">
        <f t="shared" ca="1" si="33"/>
        <v>199.42594507844345</v>
      </c>
      <c r="AF63" s="38">
        <f t="shared" ca="1" si="34"/>
        <v>161.36346353901726</v>
      </c>
      <c r="AG63" s="38">
        <f t="shared" ca="1" si="35"/>
        <v>148.43228929346026</v>
      </c>
    </row>
    <row r="64" spans="1:33" ht="12.75" customHeight="1" x14ac:dyDescent="0.35">
      <c r="A64" s="5"/>
      <c r="B64" s="22">
        <f t="shared" si="22"/>
        <v>22</v>
      </c>
      <c r="C64" s="22">
        <f t="shared" si="23"/>
        <v>12</v>
      </c>
      <c r="D64" s="22" t="str">
        <f>IF(F64="12월",(E64+1)&amp;VLOOKUP(F64,인덱스!$C:$D,2,0),E64&amp;VLOOKUP(F64,인덱스!$C:$D,2,0))</f>
        <v>20231</v>
      </c>
      <c r="E64" s="5" t="str">
        <f t="shared" si="24"/>
        <v>2022</v>
      </c>
      <c r="F64" s="5" t="str">
        <f t="shared" si="25"/>
        <v>12월</v>
      </c>
      <c r="G64" s="37" t="str">
        <f>B64&amp;"."&amp;VLOOKUP(F64,인덱스!$A:$B,2,0)</f>
        <v>22.12</v>
      </c>
      <c r="H64" s="14">
        <f>IFERROR(VLOOKUP(G64,#REF!,2,0),)</f>
        <v>0</v>
      </c>
      <c r="I64" s="38">
        <f t="shared" ca="1" si="26"/>
        <v>90.634612500962405</v>
      </c>
      <c r="J64" s="38">
        <f t="shared" ca="1" si="27"/>
        <v>143.60733240824206</v>
      </c>
      <c r="K64" s="39">
        <f t="shared" ca="1" si="28"/>
        <v>151.61362750764485</v>
      </c>
      <c r="L64" s="39">
        <f t="shared" ca="1" si="29"/>
        <v>139.47911097533034</v>
      </c>
      <c r="M64" s="39">
        <f t="shared" ca="1" si="30"/>
        <v>119.07796201855922</v>
      </c>
      <c r="N64" s="5"/>
      <c r="O64" s="5"/>
      <c r="P64" s="5"/>
      <c r="Q64" s="8">
        <f ca="1">IFERROR(__xludf.DUMMYFUNCTION("iferror(index('지수RAW'!$V$7:$V$12040,MATCH($D64,'지수RAW'!$R$7:$R$12040,0)-1,1),GOOGLEFINANCE(Q$2))"),2236.4)</f>
        <v>2236.4</v>
      </c>
      <c r="R64" s="5">
        <f ca="1">IFERROR(__xludf.DUMMYFUNCTION("iferror(index('지수RAW'!$F$7:$F$12040,MATCH($D64,'지수RAW'!$B$7:$B$12040,0)-1,1),GOOGLEFINANCE(R$2))"),3839.5)</f>
        <v>3839.5</v>
      </c>
      <c r="S64" s="9">
        <f ca="1">IFERROR(__xludf.DUMMYFUNCTION("iferror(index('지수RAW'!$N$7:$N$12040,MATCH($D64,'지수RAW'!$J$7:$J$12040,0)-1,1),GOOGLEFINANCE(S$2))"),10466.48)</f>
        <v>10466.48</v>
      </c>
      <c r="T64" s="5"/>
      <c r="U64" s="29">
        <f t="array" aca="1" ref="U64" ca="1">IFERROR(INDEX(지수RAW!$AT$7:$AT$12040,MATCH($D64,지수RAW!$AP$7:$AP$12040,0)-1,1),지수RAW!$AU$4)</f>
        <v>1826.2</v>
      </c>
      <c r="V64" s="29">
        <f ca="1">IFERROR(__xludf.DUMMYFUNCTION("iferror(index('지수RAW'!$AL$7:$AL$12040,MATCH($D64,'지수RAW'!$AH$7:$AH$12040,0)-1,1),GOOGLEFINANCE(V$2))"),16529.2)</f>
        <v>16529.2</v>
      </c>
      <c r="W64" s="30">
        <f ca="1">IFERROR(__xludf.DUMMYFUNCTION("iferror(index('지수RAW'!$AD$7:$AD$12040,MATCH($D64,'지수RAW'!$Z$7:$Z$12040,0)-1,1),GOOGLEFINANCE(W$2))"),1260.91)</f>
        <v>1260.9100000000001</v>
      </c>
      <c r="X64" s="36">
        <f t="shared" ca="1" si="18"/>
        <v>4841263.9450000003</v>
      </c>
      <c r="Y64" s="36">
        <f t="shared" ca="1" si="19"/>
        <v>13197289.296800001</v>
      </c>
      <c r="Z64" s="36">
        <f t="shared" ca="1" si="20"/>
        <v>2302673.8420000002</v>
      </c>
      <c r="AA64" s="36">
        <f t="shared" ca="1" si="21"/>
        <v>20841833.572000001</v>
      </c>
      <c r="AB64" s="12"/>
      <c r="AC64" s="38">
        <f t="shared" ca="1" si="31"/>
        <v>118.27647340230943</v>
      </c>
      <c r="AD64" s="38">
        <f t="shared" ca="1" si="32"/>
        <v>169.85368831960065</v>
      </c>
      <c r="AE64" s="38">
        <f t="shared" ca="1" si="33"/>
        <v>179.32325181335602</v>
      </c>
      <c r="AF64" s="38">
        <f t="shared" ca="1" si="34"/>
        <v>164.97097359451425</v>
      </c>
      <c r="AG64" s="38">
        <f t="shared" ca="1" si="35"/>
        <v>140.84121407489326</v>
      </c>
    </row>
    <row r="65" spans="1:33" ht="12.75" customHeight="1" x14ac:dyDescent="0.35">
      <c r="A65" s="5"/>
      <c r="B65" s="22">
        <f t="shared" si="22"/>
        <v>23</v>
      </c>
      <c r="C65" s="22">
        <f t="shared" si="23"/>
        <v>1</v>
      </c>
      <c r="D65" s="22" t="str">
        <f>IF(F65="12월",(E65+1)&amp;VLOOKUP(F65,인덱스!$C:$D,2,0),E65&amp;VLOOKUP(F65,인덱스!$C:$D,2,0))</f>
        <v>20232</v>
      </c>
      <c r="E65" s="5" t="str">
        <f t="shared" si="24"/>
        <v>2023</v>
      </c>
      <c r="F65" s="5" t="str">
        <f t="shared" si="25"/>
        <v>1월</v>
      </c>
      <c r="G65" s="40" t="str">
        <f>B65&amp;"."&amp;VLOOKUP(F65,인덱스!$A:$B,2,0)</f>
        <v>23.01</v>
      </c>
      <c r="H65" s="41">
        <f>IFERROR(VLOOKUP(G65,#REF!,2,0),)</f>
        <v>0</v>
      </c>
      <c r="I65" s="42">
        <f t="shared" ca="1" si="26"/>
        <v>98.281249366765294</v>
      </c>
      <c r="J65" s="42">
        <f t="shared" ca="1" si="27"/>
        <v>152.47549193786679</v>
      </c>
      <c r="K65" s="43">
        <f t="shared" ca="1" si="28"/>
        <v>167.80958340757229</v>
      </c>
      <c r="L65" s="43">
        <f t="shared" ca="1" si="29"/>
        <v>148.57557473459099</v>
      </c>
      <c r="M65" s="43">
        <f t="shared" ca="1" si="30"/>
        <v>166.62406643906525</v>
      </c>
      <c r="N65" s="5"/>
      <c r="O65" s="5"/>
      <c r="P65" s="5"/>
      <c r="Q65" s="8">
        <f ca="1">IFERROR(__xludf.DUMMYFUNCTION("iferror(index('지수RAW'!$V$7:$V$12040,MATCH($D65,'지수RAW'!$R$7:$R$12040,0)-1,1),GOOGLEFINANCE(Q$2))"),2425.08)</f>
        <v>2425.08</v>
      </c>
      <c r="R65" s="5">
        <f ca="1">IFERROR(__xludf.DUMMYFUNCTION("iferror(index('지수RAW'!$F$7:$F$12040,MATCH($D65,'지수RAW'!$B$7:$B$12040,0)-1,1),GOOGLEFINANCE(R$2))"),4076.6)</f>
        <v>4076.6</v>
      </c>
      <c r="S65" s="9">
        <f ca="1">IFERROR(__xludf.DUMMYFUNCTION("iferror(index('지수RAW'!$N$7:$N$12040,MATCH($D65,'지수RAW'!$J$7:$J$12040,0)-1,1),GOOGLEFINANCE(S$2))"),11584.55)</f>
        <v>11584.55</v>
      </c>
      <c r="T65" s="5"/>
      <c r="U65" s="29">
        <f t="array" aca="1" ref="U65" ca="1">IFERROR(INDEX(지수RAW!$AT$7:$AT$12040,MATCH($D65,지수RAW!$AP$7:$AP$12040,0)-1,1),지수RAW!$AU$4)</f>
        <v>1945.3</v>
      </c>
      <c r="V65" s="29">
        <f ca="1">IFERROR(__xludf.DUMMYFUNCTION("iferror(index('지수RAW'!$AL$7:$AL$12040,MATCH($D65,'지수RAW'!$AH$7:$AH$12040,0)-1,1),GOOGLEFINANCE(V$2))"),23129.07)</f>
        <v>23129.07</v>
      </c>
      <c r="W65" s="30">
        <f ca="1">IFERROR(__xludf.DUMMYFUNCTION("iferror(index('지수RAW'!$AD$7:$AD$12040,MATCH($D65,'지수RAW'!$Z$7:$Z$12040,0)-1,1),GOOGLEFINANCE(W$2))"),1232.15)</f>
        <v>1232.1500000000001</v>
      </c>
      <c r="X65" s="36">
        <f t="shared" ca="1" si="18"/>
        <v>5022982.6900000004</v>
      </c>
      <c r="Y65" s="36">
        <f t="shared" ca="1" si="19"/>
        <v>14273903.282500001</v>
      </c>
      <c r="Z65" s="36">
        <f t="shared" ca="1" si="20"/>
        <v>2396901.395</v>
      </c>
      <c r="AA65" s="36">
        <f t="shared" ca="1" si="21"/>
        <v>28498483.600500003</v>
      </c>
      <c r="AB65" s="12"/>
      <c r="AC65" s="42">
        <f t="shared" ca="1" si="31"/>
        <v>115.57871434333582</v>
      </c>
      <c r="AD65" s="42">
        <f t="shared" ca="1" si="32"/>
        <v>176.22921327046325</v>
      </c>
      <c r="AE65" s="42">
        <f t="shared" ca="1" si="33"/>
        <v>193.95215904737981</v>
      </c>
      <c r="AF65" s="42">
        <f t="shared" ca="1" si="34"/>
        <v>171.72173910646237</v>
      </c>
      <c r="AG65" s="42">
        <f t="shared" ca="1" si="35"/>
        <v>192.58195377685726</v>
      </c>
    </row>
    <row r="66" spans="1:33" ht="12.75" customHeight="1" x14ac:dyDescent="0.35">
      <c r="A66" s="5"/>
      <c r="B66" s="22">
        <f t="shared" si="22"/>
        <v>23</v>
      </c>
      <c r="C66" s="22">
        <f t="shared" si="23"/>
        <v>2</v>
      </c>
      <c r="D66" s="22" t="str">
        <f>IF(F66="12월",(E66+1)&amp;VLOOKUP(F66,인덱스!$C:$D,2,0),E66&amp;VLOOKUP(F66,인덱스!$C:$D,2,0))</f>
        <v>20233</v>
      </c>
      <c r="E66" s="5" t="str">
        <f t="shared" si="24"/>
        <v>2023</v>
      </c>
      <c r="F66" s="5" t="str">
        <f t="shared" si="25"/>
        <v>2월</v>
      </c>
      <c r="G66" s="37" t="str">
        <f>B66&amp;"."&amp;VLOOKUP(F66,인덱스!$A:$B,2,0)</f>
        <v>23.02</v>
      </c>
      <c r="H66" s="14">
        <f>IFERROR(VLOOKUP(G66,#REF!,2,0),)</f>
        <v>0</v>
      </c>
      <c r="I66" s="38">
        <f t="shared" ca="1" si="26"/>
        <v>97.78560399434231</v>
      </c>
      <c r="J66" s="38">
        <f t="shared" ca="1" si="27"/>
        <v>148.49398378970758</v>
      </c>
      <c r="K66" s="39">
        <f t="shared" ca="1" si="28"/>
        <v>165.94079140827921</v>
      </c>
      <c r="L66" s="39">
        <f t="shared" ca="1" si="29"/>
        <v>140.28106621859007</v>
      </c>
      <c r="M66" s="39">
        <f t="shared" ca="1" si="30"/>
        <v>166.64409382904245</v>
      </c>
      <c r="N66" s="5"/>
      <c r="O66" s="5"/>
      <c r="P66" s="5"/>
      <c r="Q66" s="8">
        <f ca="1">IFERROR(__xludf.DUMMYFUNCTION("iferror(index('지수RAW'!$V$7:$V$12040,MATCH($D66,'지수RAW'!$R$7:$R$12040,0)-1,1),GOOGLEFINANCE(Q$2))"),2412.85)</f>
        <v>2412.85</v>
      </c>
      <c r="R66" s="5">
        <f ca="1">IFERROR(__xludf.DUMMYFUNCTION("iferror(index('지수RAW'!$F$7:$F$12040,MATCH($D66,'지수RAW'!$B$7:$B$12040,0)-1,1),GOOGLEFINANCE(R$2))"),3970.15)</f>
        <v>3970.15</v>
      </c>
      <c r="S66" s="9">
        <f ca="1">IFERROR(__xludf.DUMMYFUNCTION("iferror(index('지수RAW'!$N$7:$N$12040,MATCH($D66,'지수RAW'!$J$7:$J$12040,0)-1,1),GOOGLEFINANCE(S$2))"),11455.54)</f>
        <v>11455.54</v>
      </c>
      <c r="T66" s="5"/>
      <c r="U66" s="29">
        <f t="array" aca="1" ref="U66" ca="1">IFERROR(INDEX(지수RAW!$AT$7:$AT$12040,MATCH($D66,지수RAW!$AP$7:$AP$12040,0)-1,1),지수RAW!$AU$4)</f>
        <v>1836.7</v>
      </c>
      <c r="V66" s="29">
        <f ca="1">IFERROR(__xludf.DUMMYFUNCTION("iferror(index('지수RAW'!$AL$7:$AL$12040,MATCH($D66,'지수RAW'!$AH$7:$AH$12040,0)-1,1),GOOGLEFINANCE(V$2))"),23131.85)</f>
        <v>23131.85</v>
      </c>
      <c r="W66" s="30">
        <f ca="1">IFERROR(__xludf.DUMMYFUNCTION("iferror(index('지수RAW'!$AD$7:$AD$12040,MATCH($D66,'지수RAW'!$Z$7:$Z$12040,0)-1,1),GOOGLEFINANCE(W$2))"),1321.6)</f>
        <v>1321.6</v>
      </c>
      <c r="X66" s="36">
        <f t="shared" ca="1" si="18"/>
        <v>5246950.24</v>
      </c>
      <c r="Y66" s="36">
        <f t="shared" ca="1" si="19"/>
        <v>15139641.664000001</v>
      </c>
      <c r="Z66" s="36">
        <f t="shared" ca="1" si="20"/>
        <v>2427382.7199999997</v>
      </c>
      <c r="AA66" s="36">
        <f t="shared" ca="1" si="21"/>
        <v>30571052.959999997</v>
      </c>
      <c r="AB66" s="12"/>
      <c r="AC66" s="38">
        <f t="shared" ca="1" si="31"/>
        <v>123.96934535255657</v>
      </c>
      <c r="AD66" s="38">
        <f t="shared" ca="1" si="32"/>
        <v>184.08701959203214</v>
      </c>
      <c r="AE66" s="38">
        <f t="shared" ca="1" si="33"/>
        <v>205.71571278169517</v>
      </c>
      <c r="AF66" s="38">
        <f t="shared" ca="1" si="34"/>
        <v>173.90551944477255</v>
      </c>
      <c r="AG66" s="38">
        <f t="shared" ca="1" si="35"/>
        <v>206.58759218856406</v>
      </c>
    </row>
    <row r="67" spans="1:33" ht="12.75" customHeight="1" x14ac:dyDescent="0.35">
      <c r="A67" s="5"/>
      <c r="B67" s="22">
        <f t="shared" si="22"/>
        <v>23</v>
      </c>
      <c r="C67" s="22">
        <f t="shared" si="23"/>
        <v>3</v>
      </c>
      <c r="D67" s="22" t="str">
        <f>IF(F67="12월",(E67+1)&amp;VLOOKUP(F67,인덱스!$C:$D,2,0),E67&amp;VLOOKUP(F67,인덱스!$C:$D,2,0))</f>
        <v>20234</v>
      </c>
      <c r="E67" s="5" t="str">
        <f t="shared" si="24"/>
        <v>2023</v>
      </c>
      <c r="F67" s="5" t="str">
        <f t="shared" si="25"/>
        <v>3월</v>
      </c>
      <c r="G67" s="37" t="str">
        <f>B67&amp;"."&amp;VLOOKUP(F67,인덱스!$A:$B,2,0)</f>
        <v>23.03</v>
      </c>
      <c r="H67" s="14">
        <f>IFERROR(VLOOKUP(G67,#REF!,2,0),)</f>
        <v>0</v>
      </c>
      <c r="I67" s="38">
        <f t="shared" ca="1" si="26"/>
        <v>100.37973811444006</v>
      </c>
      <c r="J67" s="38">
        <f t="shared" ca="1" si="27"/>
        <v>153.69893140734817</v>
      </c>
      <c r="K67" s="39">
        <f t="shared" ca="1" si="28"/>
        <v>177.04214885730062</v>
      </c>
      <c r="L67" s="39">
        <f t="shared" ca="1" si="29"/>
        <v>151.69938134881232</v>
      </c>
      <c r="M67" s="39">
        <f t="shared" ca="1" si="30"/>
        <v>205.13133429243879</v>
      </c>
      <c r="N67" s="5"/>
      <c r="O67" s="5"/>
      <c r="P67" s="5"/>
      <c r="Q67" s="8">
        <f ca="1">IFERROR(__xludf.DUMMYFUNCTION("iferror(index('지수RAW'!$V$7:$V$12040,MATCH($D67,'지수RAW'!$R$7:$R$12040,0)-1,1),GOOGLEFINANCE(Q$2))"),2476.86)</f>
        <v>2476.86</v>
      </c>
      <c r="R67" s="5">
        <f ca="1">IFERROR(__xludf.DUMMYFUNCTION("iferror(index('지수RAW'!$F$7:$F$12040,MATCH($D67,'지수RAW'!$B$7:$B$12040,0)-1,1),GOOGLEFINANCE(R$2))"),4109.31)</f>
        <v>4109.3100000000004</v>
      </c>
      <c r="S67" s="9">
        <f ca="1">IFERROR(__xludf.DUMMYFUNCTION("iferror(index('지수RAW'!$N$7:$N$12040,MATCH($D67,'지수RAW'!$J$7:$J$12040,0)-1,1),GOOGLEFINANCE(S$2))"),12221.91)</f>
        <v>12221.91</v>
      </c>
      <c r="T67" s="5"/>
      <c r="U67" s="29">
        <f t="array" aca="1" ref="U67" ca="1">IFERROR(INDEX(지수RAW!$AT$7:$AT$12040,MATCH($D67,지수RAW!$AP$7:$AP$12040,0)-1,1),지수RAW!$AU$4)</f>
        <v>1986.2</v>
      </c>
      <c r="V67" s="29">
        <f ca="1">IFERROR(__xludf.DUMMYFUNCTION("iferror(index('지수RAW'!$AL$7:$AL$12040,MATCH($D67,'지수RAW'!$AH$7:$AH$12040,0)-1,1),GOOGLEFINANCE(V$2))"),28474.26)</f>
        <v>28474.26</v>
      </c>
      <c r="W67" s="30">
        <f ca="1">IFERROR(__xludf.DUMMYFUNCTION("iferror(index('지수RAW'!$AD$7:$AD$12040,MATCH($D67,'지수RAW'!$Z$7:$Z$12040,0)-1,1),GOOGLEFINANCE(W$2))"),1306.15)</f>
        <v>1306.1500000000001</v>
      </c>
      <c r="X67" s="36">
        <f t="shared" ca="1" si="18"/>
        <v>5367375.2565000011</v>
      </c>
      <c r="Y67" s="36">
        <f t="shared" ca="1" si="19"/>
        <v>15963647.7465</v>
      </c>
      <c r="Z67" s="36">
        <f t="shared" ca="1" si="20"/>
        <v>2594275.1300000004</v>
      </c>
      <c r="AA67" s="36">
        <f t="shared" ca="1" si="21"/>
        <v>37191654.699000001</v>
      </c>
      <c r="AB67" s="12"/>
      <c r="AC67" s="38">
        <f t="shared" ca="1" si="31"/>
        <v>122.52009717935971</v>
      </c>
      <c r="AD67" s="38">
        <f t="shared" ca="1" si="32"/>
        <v>188.31208012392054</v>
      </c>
      <c r="AE67" s="38">
        <f t="shared" ca="1" si="33"/>
        <v>216.91221282839138</v>
      </c>
      <c r="AF67" s="38">
        <f t="shared" ca="1" si="34"/>
        <v>185.86222944905242</v>
      </c>
      <c r="AG67" s="38">
        <f t="shared" ca="1" si="35"/>
        <v>251.32711012041324</v>
      </c>
    </row>
    <row r="68" spans="1:33" ht="12.75" customHeight="1" x14ac:dyDescent="0.35">
      <c r="A68" s="5"/>
      <c r="B68" s="22">
        <f t="shared" si="22"/>
        <v>23</v>
      </c>
      <c r="C68" s="22">
        <f t="shared" si="23"/>
        <v>4</v>
      </c>
      <c r="D68" s="22" t="str">
        <f>IF(F68="12월",(E68+1)&amp;VLOOKUP(F68,인덱스!$C:$D,2,0),E68&amp;VLOOKUP(F68,인덱스!$C:$D,2,0))</f>
        <v>20235</v>
      </c>
      <c r="E68" s="5" t="str">
        <f t="shared" si="24"/>
        <v>2023</v>
      </c>
      <c r="F68" s="5" t="str">
        <f t="shared" si="25"/>
        <v>4월</v>
      </c>
      <c r="G68" s="37" t="str">
        <f>B68&amp;"."&amp;VLOOKUP(F68,인덱스!$A:$B,2,0)</f>
        <v>23.04</v>
      </c>
      <c r="H68" s="14">
        <f>IFERROR(VLOOKUP(G68,#REF!,2,0),)</f>
        <v>0</v>
      </c>
      <c r="I68" s="38">
        <f t="shared" ca="1" si="26"/>
        <v>101.37953953207497</v>
      </c>
      <c r="J68" s="38">
        <f t="shared" ca="1" si="27"/>
        <v>155.94944662834149</v>
      </c>
      <c r="K68" s="39">
        <f t="shared" ca="1" si="28"/>
        <v>177.10979678100188</v>
      </c>
      <c r="L68" s="39">
        <f t="shared" ca="1" si="29"/>
        <v>152.68464064767431</v>
      </c>
      <c r="M68" s="39">
        <f t="shared" ca="1" si="30"/>
        <v>210.74246145267736</v>
      </c>
      <c r="N68" s="5"/>
      <c r="O68" s="5"/>
      <c r="P68" s="5"/>
      <c r="Q68" s="8">
        <f ca="1">IFERROR(__xludf.DUMMYFUNCTION("iferror(index('지수RAW'!$V$7:$V$12040,MATCH($D68,'지수RAW'!$R$7:$R$12040,0)-1,1),GOOGLEFINANCE(Q$2))"),2501.53)</f>
        <v>2501.5300000000002</v>
      </c>
      <c r="R68" s="5">
        <f ca="1">IFERROR(__xludf.DUMMYFUNCTION("iferror(index('지수RAW'!$F$7:$F$12040,MATCH($D68,'지수RAW'!$B$7:$B$12040,0)-1,1),GOOGLEFINANCE(R$2))"),4169.48)</f>
        <v>4169.4799999999996</v>
      </c>
      <c r="S68" s="9">
        <f ca="1">IFERROR(__xludf.DUMMYFUNCTION("iferror(index('지수RAW'!$N$7:$N$12040,MATCH($D68,'지수RAW'!$J$7:$J$12040,0)-1,1),GOOGLEFINANCE(S$2))"),12226.58)</f>
        <v>12226.58</v>
      </c>
      <c r="T68" s="5"/>
      <c r="U68" s="29">
        <f t="array" aca="1" ref="U68" ca="1">IFERROR(INDEX(지수RAW!$AT$7:$AT$12040,MATCH($D68,지수RAW!$AP$7:$AP$12040,0)-1,1),지수RAW!$AU$4)</f>
        <v>1999.1</v>
      </c>
      <c r="V68" s="29">
        <f ca="1">IFERROR(__xludf.DUMMYFUNCTION("iferror(index('지수RAW'!$AL$7:$AL$12040,MATCH($D68,'지수RAW'!$AH$7:$AH$12040,0)-1,1),GOOGLEFINANCE(V$2))"),29253.14)</f>
        <v>29253.14</v>
      </c>
      <c r="W68" s="30">
        <f ca="1">IFERROR(__xludf.DUMMYFUNCTION("iferror(index('지수RAW'!$AD$7:$AD$12040,MATCH($D68,'지수RAW'!$Z$7:$Z$12040,0)-1,1),GOOGLEFINANCE(W$2))"),1337.17)</f>
        <v>1337.17</v>
      </c>
      <c r="X68" s="36">
        <f t="shared" ref="X68:X99" ca="1" si="36">$W68*R68</f>
        <v>5575303.5715999994</v>
      </c>
      <c r="Y68" s="36">
        <f t="shared" ref="Y68:Y99" ca="1" si="37">$W68*S68</f>
        <v>16349015.978600001</v>
      </c>
      <c r="Z68" s="36">
        <f t="shared" ref="Z68:Z99" ca="1" si="38">$W68*U68</f>
        <v>2673136.5470000003</v>
      </c>
      <c r="AA68" s="36">
        <f t="shared" ref="AA68:AA99" ca="1" si="39">$W68*V68</f>
        <v>39116421.213799998</v>
      </c>
      <c r="AB68" s="12"/>
      <c r="AC68" s="38">
        <f t="shared" ca="1" si="31"/>
        <v>125.42984982224431</v>
      </c>
      <c r="AD68" s="38">
        <f t="shared" ca="1" si="32"/>
        <v>195.60715670454991</v>
      </c>
      <c r="AE68" s="38">
        <f t="shared" ca="1" si="33"/>
        <v>222.14855212289274</v>
      </c>
      <c r="AF68" s="38">
        <f t="shared" ca="1" si="34"/>
        <v>191.51211546601141</v>
      </c>
      <c r="AG68" s="38">
        <f t="shared" ca="1" si="35"/>
        <v>264.33395291179431</v>
      </c>
    </row>
    <row r="69" spans="1:33" ht="12.75" customHeight="1" x14ac:dyDescent="0.35">
      <c r="A69" s="5"/>
      <c r="B69" s="22">
        <f t="shared" ref="B69:B100" si="40">IF(C68=12,B68+1,B68)</f>
        <v>23</v>
      </c>
      <c r="C69" s="22">
        <f t="shared" ref="C69:C100" si="41">IF(C68=12,1,C68+1)</f>
        <v>5</v>
      </c>
      <c r="D69" s="22" t="str">
        <f>IF(F69="12월",(E69+1)&amp;VLOOKUP(F69,인덱스!$C:$D,2,0),E69&amp;VLOOKUP(F69,인덱스!$C:$D,2,0))</f>
        <v>20236</v>
      </c>
      <c r="E69" s="5" t="str">
        <f t="shared" ref="E69:E100" si="42">"20"&amp;B69</f>
        <v>2023</v>
      </c>
      <c r="F69" s="5" t="str">
        <f t="shared" ref="F69:F100" si="43">C69&amp;"월"</f>
        <v>5월</v>
      </c>
      <c r="G69" s="37" t="str">
        <f>B69&amp;"."&amp;VLOOKUP(F69,인덱스!$A:$B,2,0)</f>
        <v>23.05</v>
      </c>
      <c r="H69" s="14">
        <f>IFERROR(VLOOKUP(G69,#REF!,2,0),)</f>
        <v>0</v>
      </c>
      <c r="I69" s="38">
        <f t="shared" ref="I69:I100" ca="1" si="44">IF(Q69="","",I68*(Q69/Q68))</f>
        <v>104.44297646596323</v>
      </c>
      <c r="J69" s="38">
        <f t="shared" ref="J69:J100" ca="1" si="45">IF(R69="","",J68*(R69/R68))</f>
        <v>156.3365636723382</v>
      </c>
      <c r="K69" s="39">
        <f t="shared" ref="K69:K100" ca="1" si="46">IF(S69="","",K68*(S69/S68))</f>
        <v>187.37591241404593</v>
      </c>
      <c r="L69" s="39">
        <f t="shared" ref="L69:L100" ca="1" si="47">IF(U69="","",L68*(U69/U68))</f>
        <v>151.38623692049185</v>
      </c>
      <c r="M69" s="39">
        <f t="shared" ref="M69:M100" ca="1" si="48">IF(V69="","",M68*(V69/V68))</f>
        <v>196.08262811225998</v>
      </c>
      <c r="N69" s="5"/>
      <c r="O69" s="5"/>
      <c r="P69" s="5"/>
      <c r="Q69" s="8">
        <f ca="1">IFERROR(__xludf.DUMMYFUNCTION("iferror(index('지수RAW'!$V$7:$V$12040,MATCH($D69,'지수RAW'!$R$7:$R$12040,0)-1,1),GOOGLEFINANCE(Q$2))"),2577.12)</f>
        <v>2577.12</v>
      </c>
      <c r="R69" s="5">
        <f ca="1">IFERROR(__xludf.DUMMYFUNCTION("iferror(index('지수RAW'!$F$7:$F$12040,MATCH($D69,'지수RAW'!$B$7:$B$12040,0)-1,1),GOOGLEFINANCE(R$2))"),4179.83)</f>
        <v>4179.83</v>
      </c>
      <c r="S69" s="9">
        <f ca="1">IFERROR(__xludf.DUMMYFUNCTION("iferror(index('지수RAW'!$N$7:$N$12040,MATCH($D69,'지수RAW'!$J$7:$J$12040,0)-1,1),GOOGLEFINANCE(S$2))"),12935.29)</f>
        <v>12935.29</v>
      </c>
      <c r="T69" s="5"/>
      <c r="U69" s="29">
        <f t="array" aca="1" ref="U69" ca="1">IFERROR(INDEX(지수RAW!$AT$7:$AT$12040,MATCH($D69,지수RAW!$AP$7:$AP$12040,0)-1,1),지수RAW!$AU$4)</f>
        <v>1982.1</v>
      </c>
      <c r="V69" s="29">
        <f ca="1">IFERROR(__xludf.DUMMYFUNCTION("iferror(index('지수RAW'!$AL$7:$AL$12040,MATCH($D69,'지수RAW'!$AH$7:$AH$12040,0)-1,1),GOOGLEFINANCE(V$2))"),27218.21)</f>
        <v>27218.21</v>
      </c>
      <c r="W69" s="30">
        <f ca="1">IFERROR(__xludf.DUMMYFUNCTION("iferror(index('지수RAW'!$AD$7:$AD$12040,MATCH($D69,'지수RAW'!$Z$7:$Z$12040,0)-1,1),GOOGLEFINANCE(W$2))"),1321.74)</f>
        <v>1321.74</v>
      </c>
      <c r="X69" s="36">
        <f t="shared" ca="1" si="36"/>
        <v>5524648.5042000003</v>
      </c>
      <c r="Y69" s="36">
        <f t="shared" ca="1" si="37"/>
        <v>17097090.204600003</v>
      </c>
      <c r="Z69" s="36">
        <f t="shared" ca="1" si="38"/>
        <v>2619820.8539999998</v>
      </c>
      <c r="AA69" s="36">
        <f t="shared" ca="1" si="39"/>
        <v>35975396.885399997</v>
      </c>
      <c r="AB69" s="12"/>
      <c r="AC69" s="38">
        <f t="shared" ref="AC69:AC100" ca="1" si="49">IF(Q69="","",AC68*(W69/W68))</f>
        <v>123.98247769846257</v>
      </c>
      <c r="AD69" s="38">
        <f t="shared" ref="AD69:AD100" ca="1" si="50">IF(R69="","",AD68*(X69/X68))</f>
        <v>193.82994518959958</v>
      </c>
      <c r="AE69" s="38">
        <f t="shared" ref="AE69:AE100" ca="1" si="51">IF(S69="","",AE68*(Y69/Y68))</f>
        <v>232.31329882103529</v>
      </c>
      <c r="AF69" s="38">
        <f t="shared" ref="AF69:AF100" ca="1" si="52">IF(U69="","",AF68*(Z69/Z68))</f>
        <v>187.69240742849061</v>
      </c>
      <c r="AG69" s="38">
        <f t="shared" ref="AG69:AG100" ca="1" si="53">IF(V69="","",AG68*(AA69/AA68))</f>
        <v>243.10810066984203</v>
      </c>
    </row>
    <row r="70" spans="1:33" ht="12.75" customHeight="1" x14ac:dyDescent="0.35">
      <c r="A70" s="5"/>
      <c r="B70" s="22">
        <f t="shared" si="40"/>
        <v>23</v>
      </c>
      <c r="C70" s="22">
        <f t="shared" si="41"/>
        <v>6</v>
      </c>
      <c r="D70" s="22" t="str">
        <f>IF(F70="12월",(E70+1)&amp;VLOOKUP(F70,인덱스!$C:$D,2,0),E70&amp;VLOOKUP(F70,인덱스!$C:$D,2,0))</f>
        <v>20237</v>
      </c>
      <c r="E70" s="5" t="str">
        <f t="shared" si="42"/>
        <v>2023</v>
      </c>
      <c r="F70" s="5" t="str">
        <f t="shared" si="43"/>
        <v>6월</v>
      </c>
      <c r="G70" s="37" t="str">
        <f>B70&amp;"."&amp;VLOOKUP(F70,인덱스!$A:$B,2,0)</f>
        <v>23.06</v>
      </c>
      <c r="H70" s="14">
        <f>IFERROR(VLOOKUP(G70,#REF!,2,0),)</f>
        <v>0</v>
      </c>
      <c r="I70" s="38">
        <f t="shared" ca="1" si="44"/>
        <v>103.92260961543903</v>
      </c>
      <c r="J70" s="38">
        <f t="shared" ca="1" si="45"/>
        <v>166.45584060502472</v>
      </c>
      <c r="K70" s="39">
        <f t="shared" ca="1" si="46"/>
        <v>199.72680089057701</v>
      </c>
      <c r="L70" s="39">
        <f t="shared" ca="1" si="47"/>
        <v>147.36118536622624</v>
      </c>
      <c r="M70" s="39">
        <f t="shared" ca="1" si="48"/>
        <v>219.52915462081592</v>
      </c>
      <c r="N70" s="5"/>
      <c r="O70" s="5"/>
      <c r="P70" s="5"/>
      <c r="Q70" s="8">
        <f ca="1">IFERROR(__xludf.DUMMYFUNCTION("iferror(index('지수RAW'!$V$7:$V$12040,MATCH($D70,'지수RAW'!$R$7:$R$12040,0)-1,1),GOOGLEFINANCE(Q$2))"),2564.28)</f>
        <v>2564.2800000000002</v>
      </c>
      <c r="R70" s="5">
        <f ca="1">IFERROR(__xludf.DUMMYFUNCTION("iferror(index('지수RAW'!$F$7:$F$12040,MATCH($D70,'지수RAW'!$B$7:$B$12040,0)-1,1),GOOGLEFINANCE(R$2))"),4450.38)</f>
        <v>4450.38</v>
      </c>
      <c r="S70" s="9">
        <f ca="1">IFERROR(__xludf.DUMMYFUNCTION("iferror(index('지수RAW'!$N$7:$N$12040,MATCH($D70,'지수RAW'!$J$7:$J$12040,0)-1,1),GOOGLEFINANCE(S$2))"),13787.92)</f>
        <v>13787.92</v>
      </c>
      <c r="T70" s="5"/>
      <c r="U70" s="29">
        <f t="array" aca="1" ref="U70" ca="1">IFERROR(INDEX(지수RAW!$AT$7:$AT$12040,MATCH($D70,지수RAW!$AP$7:$AP$12040,0)-1,1),지수RAW!$AU$4)</f>
        <v>1929.4</v>
      </c>
      <c r="V70" s="29">
        <f ca="1">IFERROR(__xludf.DUMMYFUNCTION("iferror(index('지수RAW'!$AL$7:$AL$12040,MATCH($D70,'지수RAW'!$AH$7:$AH$12040,0)-1,1),GOOGLEFINANCE(V$2))"),30472.82)</f>
        <v>30472.82</v>
      </c>
      <c r="W70" s="30">
        <f ca="1">IFERROR(__xludf.DUMMYFUNCTION("iferror(index('지수RAW'!$AD$7:$AD$12040,MATCH($D70,'지수RAW'!$Z$7:$Z$12040,0)-1,1),GOOGLEFINANCE(W$2))"),1315.3)</f>
        <v>1315.3</v>
      </c>
      <c r="X70" s="36">
        <f t="shared" ca="1" si="36"/>
        <v>5853584.8140000002</v>
      </c>
      <c r="Y70" s="36">
        <f t="shared" ca="1" si="37"/>
        <v>18135251.175999999</v>
      </c>
      <c r="Z70" s="36">
        <f t="shared" ca="1" si="38"/>
        <v>2537739.8199999998</v>
      </c>
      <c r="AA70" s="36">
        <f t="shared" ca="1" si="39"/>
        <v>40080900.145999998</v>
      </c>
      <c r="AB70" s="12"/>
      <c r="AC70" s="38">
        <f t="shared" ca="1" si="49"/>
        <v>123.37838978678698</v>
      </c>
      <c r="AD70" s="38">
        <f t="shared" ca="1" si="50"/>
        <v>205.3705358445404</v>
      </c>
      <c r="AE70" s="38">
        <f t="shared" ca="1" si="51"/>
        <v>246.41971091145604</v>
      </c>
      <c r="AF70" s="38">
        <f t="shared" ca="1" si="52"/>
        <v>181.81185767557236</v>
      </c>
      <c r="AG70" s="38">
        <f t="shared" ca="1" si="53"/>
        <v>270.85153608370854</v>
      </c>
    </row>
    <row r="71" spans="1:33" ht="12.75" customHeight="1" x14ac:dyDescent="0.35">
      <c r="A71" s="5"/>
      <c r="B71" s="22">
        <f t="shared" si="40"/>
        <v>23</v>
      </c>
      <c r="C71" s="22">
        <f t="shared" si="41"/>
        <v>7</v>
      </c>
      <c r="D71" s="22" t="str">
        <f>IF(F71="12월",(E71+1)&amp;VLOOKUP(F71,인덱스!$C:$D,2,0),E71&amp;VLOOKUP(F71,인덱스!$C:$D,2,0))</f>
        <v>20238</v>
      </c>
      <c r="E71" s="5" t="str">
        <f t="shared" si="42"/>
        <v>2023</v>
      </c>
      <c r="F71" s="5" t="str">
        <f t="shared" si="43"/>
        <v>7월</v>
      </c>
      <c r="G71" s="37" t="str">
        <f>B71&amp;"."&amp;VLOOKUP(F71,인덱스!$A:$B,2,0)</f>
        <v>23.07</v>
      </c>
      <c r="H71" s="14">
        <f>IFERROR(VLOOKUP(G71,#REF!,2,0),)</f>
        <v>0</v>
      </c>
      <c r="I71" s="38">
        <f t="shared" ca="1" si="44"/>
        <v>106.69060462251099</v>
      </c>
      <c r="J71" s="38">
        <f t="shared" ca="1" si="45"/>
        <v>171.63909470715632</v>
      </c>
      <c r="K71" s="39">
        <f t="shared" ca="1" si="46"/>
        <v>207.81123477016371</v>
      </c>
      <c r="L71" s="39">
        <f t="shared" ca="1" si="47"/>
        <v>153.45604521500039</v>
      </c>
      <c r="M71" s="39">
        <f t="shared" ca="1" si="48"/>
        <v>210.67726437379463</v>
      </c>
      <c r="N71" s="5"/>
      <c r="O71" s="5"/>
      <c r="P71" s="5"/>
      <c r="Q71" s="8">
        <f ca="1">IFERROR(__xludf.DUMMYFUNCTION("iferror(index('지수RAW'!$V$7:$V$12040,MATCH($D71,'지수RAW'!$R$7:$R$12040,0)-1,1),GOOGLEFINANCE(Q$2))"),2632.58)</f>
        <v>2632.58</v>
      </c>
      <c r="R71" s="5">
        <f ca="1">IFERROR(__xludf.DUMMYFUNCTION("iferror(index('지수RAW'!$F$7:$F$12040,MATCH($D71,'지수RAW'!$B$7:$B$12040,0)-1,1),GOOGLEFINANCE(R$2))"),4588.96)</f>
        <v>4588.96</v>
      </c>
      <c r="S71" s="9">
        <f ca="1">IFERROR(__xludf.DUMMYFUNCTION("iferror(index('지수RAW'!$N$7:$N$12040,MATCH($D71,'지수RAW'!$J$7:$J$12040,0)-1,1),GOOGLEFINANCE(S$2))"),14346.02)</f>
        <v>14346.02</v>
      </c>
      <c r="T71" s="5"/>
      <c r="U71" s="29">
        <f t="array" aca="1" ref="U71" ca="1">IFERROR(INDEX(지수RAW!$AT$7:$AT$12040,MATCH($D71,지수RAW!$AP$7:$AP$12040,0)-1,1),지수RAW!$AU$4)</f>
        <v>2009.2</v>
      </c>
      <c r="V71" s="29">
        <f ca="1">IFERROR(__xludf.DUMMYFUNCTION("iferror(index('지수RAW'!$AL$7:$AL$12040,MATCH($D71,'지수RAW'!$AH$7:$AH$12040,0)-1,1),GOOGLEFINANCE(V$2))"),29244.09)</f>
        <v>29244.09</v>
      </c>
      <c r="W71" s="30">
        <f ca="1">IFERROR(__xludf.DUMMYFUNCTION("iferror(index('지수RAW'!$AD$7:$AD$12040,MATCH($D71,'지수RAW'!$Z$7:$Z$12040,0)-1,1),GOOGLEFINANCE(W$2))"),1277.93)</f>
        <v>1277.93</v>
      </c>
      <c r="X71" s="36">
        <f t="shared" ca="1" si="36"/>
        <v>5864369.6528000003</v>
      </c>
      <c r="Y71" s="36">
        <f t="shared" ca="1" si="37"/>
        <v>18333209.338600002</v>
      </c>
      <c r="Z71" s="36">
        <f t="shared" ca="1" si="38"/>
        <v>2567616.9560000002</v>
      </c>
      <c r="AA71" s="36">
        <f t="shared" ca="1" si="39"/>
        <v>37371899.933700003</v>
      </c>
      <c r="AB71" s="12"/>
      <c r="AC71" s="38">
        <f t="shared" ca="1" si="49"/>
        <v>119.87299145459492</v>
      </c>
      <c r="AD71" s="38">
        <f t="shared" ca="1" si="50"/>
        <v>205.74891733105372</v>
      </c>
      <c r="AE71" s="38">
        <f t="shared" ca="1" si="51"/>
        <v>249.10954369772656</v>
      </c>
      <c r="AF71" s="38">
        <f t="shared" ca="1" si="52"/>
        <v>183.95235196713679</v>
      </c>
      <c r="AG71" s="38">
        <f t="shared" ca="1" si="53"/>
        <v>252.54513911957318</v>
      </c>
    </row>
    <row r="72" spans="1:33" ht="12.75" customHeight="1" x14ac:dyDescent="0.35">
      <c r="A72" s="5"/>
      <c r="B72" s="22">
        <f t="shared" si="40"/>
        <v>23</v>
      </c>
      <c r="C72" s="22">
        <f t="shared" si="41"/>
        <v>8</v>
      </c>
      <c r="D72" s="22" t="str">
        <f>IF(F72="12월",(E72+1)&amp;VLOOKUP(F72,인덱스!$C:$D,2,0),E72&amp;VLOOKUP(F72,인덱스!$C:$D,2,0))</f>
        <v>20239</v>
      </c>
      <c r="E72" s="5" t="str">
        <f t="shared" si="42"/>
        <v>2023</v>
      </c>
      <c r="F72" s="5" t="str">
        <f t="shared" si="43"/>
        <v>8월</v>
      </c>
      <c r="G72" s="37" t="str">
        <f>B72&amp;"."&amp;VLOOKUP(F72,인덱스!$A:$B,2,0)</f>
        <v>23.08</v>
      </c>
      <c r="H72" s="14">
        <f>IFERROR(VLOOKUP(G72,#REF!,2,0),)</f>
        <v>0</v>
      </c>
      <c r="I72" s="38">
        <f t="shared" ca="1" si="44"/>
        <v>103.59798823906061</v>
      </c>
      <c r="J72" s="38">
        <f t="shared" ca="1" si="45"/>
        <v>168.59826227460258</v>
      </c>
      <c r="K72" s="39">
        <f t="shared" ca="1" si="46"/>
        <v>203.30547745383072</v>
      </c>
      <c r="L72" s="39">
        <f t="shared" ca="1" si="47"/>
        <v>150.14893454517681</v>
      </c>
      <c r="M72" s="39">
        <f t="shared" ca="1" si="48"/>
        <v>186.84603907934516</v>
      </c>
      <c r="N72" s="5"/>
      <c r="O72" s="5"/>
      <c r="P72" s="5"/>
      <c r="Q72" s="8">
        <f ca="1">IFERROR(__xludf.DUMMYFUNCTION("iferror(index('지수RAW'!$V$7:$V$12040,MATCH($D72,'지수RAW'!$R$7:$R$12040,0)-1,1),GOOGLEFINANCE(Q$2))"),2556.27)</f>
        <v>2556.27</v>
      </c>
      <c r="R72" s="5">
        <f ca="1">IFERROR(__xludf.DUMMYFUNCTION("iferror(index('지수RAW'!$F$7:$F$12040,MATCH($D72,'지수RAW'!$B$7:$B$12040,0)-1,1),GOOGLEFINANCE(R$2))"),4507.66)</f>
        <v>4507.66</v>
      </c>
      <c r="S72" s="9">
        <f ca="1">IFERROR(__xludf.DUMMYFUNCTION("iferror(index('지수RAW'!$N$7:$N$12040,MATCH($D72,'지수RAW'!$J$7:$J$12040,0)-1,1),GOOGLEFINANCE(S$2))"),14034.97)</f>
        <v>14034.97</v>
      </c>
      <c r="T72" s="5"/>
      <c r="U72" s="29">
        <f t="array" aca="1" ref="U72" ca="1">IFERROR(INDEX(지수RAW!$AT$7:$AT$12040,MATCH($D72,지수RAW!$AP$7:$AP$12040,0)-1,1),지수RAW!$AU$4)</f>
        <v>1965.9</v>
      </c>
      <c r="V72" s="29">
        <f ca="1">IFERROR(__xludf.DUMMYFUNCTION("iferror(index('지수RAW'!$AL$7:$AL$12040,MATCH($D72,'지수RAW'!$AH$7:$AH$12040,0)-1,1),GOOGLEFINANCE(V$2))"),25936.08)</f>
        <v>25936.080000000002</v>
      </c>
      <c r="W72" s="30">
        <f ca="1">IFERROR(__xludf.DUMMYFUNCTION("iferror(index('지수RAW'!$AD$7:$AD$12040,MATCH($D72,'지수RAW'!$Z$7:$Z$12040,0)-1,1),GOOGLEFINANCE(W$2))"),1324.64)</f>
        <v>1324.64</v>
      </c>
      <c r="X72" s="36">
        <f t="shared" ca="1" si="36"/>
        <v>5971026.7423999999</v>
      </c>
      <c r="Y72" s="36">
        <f t="shared" ca="1" si="37"/>
        <v>18591282.660799999</v>
      </c>
      <c r="Z72" s="36">
        <f t="shared" ca="1" si="38"/>
        <v>2604109.7760000005</v>
      </c>
      <c r="AA72" s="36">
        <f t="shared" ca="1" si="39"/>
        <v>34355969.011200003</v>
      </c>
      <c r="AB72" s="12"/>
      <c r="AC72" s="38">
        <f t="shared" ca="1" si="49"/>
        <v>124.25450486365811</v>
      </c>
      <c r="AD72" s="38">
        <f t="shared" ca="1" si="50"/>
        <v>209.49093599803925</v>
      </c>
      <c r="AE72" s="38">
        <f t="shared" ca="1" si="51"/>
        <v>252.61621437095343</v>
      </c>
      <c r="AF72" s="38">
        <f t="shared" ca="1" si="52"/>
        <v>186.56681517716765</v>
      </c>
      <c r="AG72" s="38">
        <f t="shared" ca="1" si="53"/>
        <v>232.16462071539749</v>
      </c>
    </row>
    <row r="73" spans="1:33" ht="12.75" customHeight="1" x14ac:dyDescent="0.35">
      <c r="A73" s="5"/>
      <c r="B73" s="22">
        <f t="shared" si="40"/>
        <v>23</v>
      </c>
      <c r="C73" s="22">
        <f t="shared" si="41"/>
        <v>9</v>
      </c>
      <c r="D73" s="22" t="str">
        <f>IF(F73="12월",(E73+1)&amp;VLOOKUP(F73,인덱스!$C:$D,2,0),E73&amp;VLOOKUP(F73,인덱스!$C:$D,2,0))</f>
        <v>202310</v>
      </c>
      <c r="E73" s="5" t="str">
        <f t="shared" si="42"/>
        <v>2023</v>
      </c>
      <c r="F73" s="5" t="str">
        <f t="shared" si="43"/>
        <v>9월</v>
      </c>
      <c r="G73" s="37" t="str">
        <f>B73&amp;"."&amp;VLOOKUP(F73,인덱스!$A:$B,2,0)</f>
        <v>23.09</v>
      </c>
      <c r="H73" s="14">
        <f>IFERROR(VLOOKUP(G73,#REF!,2,0),)</f>
        <v>0</v>
      </c>
      <c r="I73" s="38">
        <f t="shared" ca="1" si="44"/>
        <v>99.901924627860581</v>
      </c>
      <c r="J73" s="38">
        <f t="shared" ca="1" si="45"/>
        <v>160.38427444541284</v>
      </c>
      <c r="K73" s="39">
        <f t="shared" ca="1" si="46"/>
        <v>191.49026782493826</v>
      </c>
      <c r="L73" s="39">
        <f t="shared" ca="1" si="47"/>
        <v>142.52654089971739</v>
      </c>
      <c r="M73" s="39">
        <f t="shared" ca="1" si="48"/>
        <v>194.28700690656783</v>
      </c>
      <c r="N73" s="5"/>
      <c r="O73" s="5"/>
      <c r="P73" s="5"/>
      <c r="Q73" s="8">
        <f ca="1">IFERROR(__xludf.DUMMYFUNCTION("iferror(index('지수RAW'!$V$7:$V$12040,MATCH($D73,'지수RAW'!$R$7:$R$12040,0)-1,1),GOOGLEFINANCE(Q$2))"),2465.07)</f>
        <v>2465.0700000000002</v>
      </c>
      <c r="R73" s="5">
        <f ca="1">IFERROR(__xludf.DUMMYFUNCTION("iferror(index('지수RAW'!$F$7:$F$12040,MATCH($D73,'지수RAW'!$B$7:$B$12040,0)-1,1),GOOGLEFINANCE(R$2))"),4288.05)</f>
        <v>4288.05</v>
      </c>
      <c r="S73" s="9">
        <f ca="1">IFERROR(__xludf.DUMMYFUNCTION("iferror(index('지수RAW'!$N$7:$N$12040,MATCH($D73,'지수RAW'!$J$7:$J$12040,0)-1,1),GOOGLEFINANCE(S$2))"),13219.32)</f>
        <v>13219.32</v>
      </c>
      <c r="T73" s="5"/>
      <c r="U73" s="29">
        <f t="array" aca="1" ref="U73" ca="1">IFERROR(INDEX(지수RAW!$AT$7:$AT$12040,MATCH($D73,지수RAW!$AP$7:$AP$12040,0)-1,1),지수RAW!$AU$4)</f>
        <v>1866.1</v>
      </c>
      <c r="V73" s="29">
        <f ca="1">IFERROR(__xludf.DUMMYFUNCTION("iferror(index('지수RAW'!$AL$7:$AL$12040,MATCH($D73,'지수RAW'!$AH$7:$AH$12040,0)-1,1),GOOGLEFINANCE(V$2))"),26968.96)</f>
        <v>26968.959999999999</v>
      </c>
      <c r="W73" s="30">
        <f ca="1">IFERROR(__xludf.DUMMYFUNCTION("iferror(index('지수RAW'!$AD$7:$AD$12040,MATCH($D73,'지수RAW'!$Z$7:$Z$12040,0)-1,1),GOOGLEFINANCE(W$2))"),1351.93)</f>
        <v>1351.93</v>
      </c>
      <c r="X73" s="36">
        <f t="shared" ca="1" si="36"/>
        <v>5797143.4365000008</v>
      </c>
      <c r="Y73" s="36">
        <f t="shared" ca="1" si="37"/>
        <v>17871595.287599999</v>
      </c>
      <c r="Z73" s="36">
        <f t="shared" ca="1" si="38"/>
        <v>2522836.5729999999</v>
      </c>
      <c r="AA73" s="36">
        <f t="shared" ca="1" si="39"/>
        <v>36460146.092799999</v>
      </c>
      <c r="AB73" s="12"/>
      <c r="AC73" s="38">
        <f t="shared" ca="1" si="49"/>
        <v>126.8143742906188</v>
      </c>
      <c r="AD73" s="38">
        <f t="shared" ca="1" si="50"/>
        <v>203.39031409849929</v>
      </c>
      <c r="AE73" s="38">
        <f t="shared" ca="1" si="51"/>
        <v>242.83718496962561</v>
      </c>
      <c r="AF73" s="38">
        <f t="shared" ca="1" si="52"/>
        <v>180.74414104003958</v>
      </c>
      <c r="AG73" s="38">
        <f t="shared" ca="1" si="53"/>
        <v>246.38385213653541</v>
      </c>
    </row>
    <row r="74" spans="1:33" ht="12.75" customHeight="1" x14ac:dyDescent="0.35">
      <c r="A74" s="5"/>
      <c r="B74" s="22">
        <f t="shared" si="40"/>
        <v>23</v>
      </c>
      <c r="C74" s="22">
        <f t="shared" si="41"/>
        <v>10</v>
      </c>
      <c r="D74" s="22" t="str">
        <f>IF(F74="12월",(E74+1)&amp;VLOOKUP(F74,인덱스!$C:$D,2,0),E74&amp;VLOOKUP(F74,인덱스!$C:$D,2,0))</f>
        <v>202311</v>
      </c>
      <c r="E74" s="5" t="str">
        <f t="shared" si="42"/>
        <v>2023</v>
      </c>
      <c r="F74" s="5" t="str">
        <f t="shared" si="43"/>
        <v>10월</v>
      </c>
      <c r="G74" s="37" t="str">
        <f>B74&amp;"."&amp;VLOOKUP(F74,인덱스!$A:$B,2,0)</f>
        <v>23.10</v>
      </c>
      <c r="H74" s="14">
        <f>IFERROR(VLOOKUP(G74,#REF!,2,0),)</f>
        <v>0</v>
      </c>
      <c r="I74" s="38">
        <f t="shared" ca="1" si="44"/>
        <v>92.320130983306797</v>
      </c>
      <c r="J74" s="38">
        <f t="shared" ca="1" si="45"/>
        <v>156.8590781752014</v>
      </c>
      <c r="K74" s="39">
        <f t="shared" ca="1" si="46"/>
        <v>186.15839464379104</v>
      </c>
      <c r="L74" s="39">
        <f t="shared" ca="1" si="47"/>
        <v>152.31803253646987</v>
      </c>
      <c r="M74" s="39">
        <f t="shared" ca="1" si="48"/>
        <v>249.70481212074921</v>
      </c>
      <c r="N74" s="5"/>
      <c r="O74" s="5"/>
      <c r="P74" s="5"/>
      <c r="Q74" s="8">
        <f ca="1">IFERROR(__xludf.DUMMYFUNCTION("iferror(index('지수RAW'!$V$7:$V$12040,MATCH($D74,'지수RAW'!$R$7:$R$12040,0)-1,1),GOOGLEFINANCE(Q$2))"),2277.99)</f>
        <v>2277.9899999999998</v>
      </c>
      <c r="R74" s="5">
        <f ca="1">IFERROR(__xludf.DUMMYFUNCTION("iferror(index('지수RAW'!$F$7:$F$12040,MATCH($D74,'지수RAW'!$B$7:$B$12040,0)-1,1),GOOGLEFINANCE(R$2))"),4193.8)</f>
        <v>4193.8</v>
      </c>
      <c r="S74" s="9">
        <f ca="1">IFERROR(__xludf.DUMMYFUNCTION("iferror(index('지수RAW'!$N$7:$N$12040,MATCH($D74,'지수RAW'!$J$7:$J$12040,0)-1,1),GOOGLEFINANCE(S$2))"),12851.24)</f>
        <v>12851.24</v>
      </c>
      <c r="T74" s="5"/>
      <c r="U74" s="29">
        <f t="array" aca="1" ref="U74" ca="1">IFERROR(INDEX(지수RAW!$AT$7:$AT$12040,MATCH($D74,지수RAW!$AP$7:$AP$12040,0)-1,1),지수RAW!$AU$4)</f>
        <v>1994.3</v>
      </c>
      <c r="V74" s="29">
        <f ca="1">IFERROR(__xludf.DUMMYFUNCTION("iferror(index('지수RAW'!$AL$7:$AL$12040,MATCH($D74,'지수RAW'!$AH$7:$AH$12040,0)-1,1),GOOGLEFINANCE(V$2))"),34661.5)</f>
        <v>34661.5</v>
      </c>
      <c r="W74" s="30">
        <f ca="1">IFERROR(__xludf.DUMMYFUNCTION("iferror(index('지수RAW'!$AD$7:$AD$12040,MATCH($D74,'지수RAW'!$Z$7:$Z$12040,0)-1,1),GOOGLEFINANCE(W$2))"),1350.16)</f>
        <v>1350.16</v>
      </c>
      <c r="X74" s="36">
        <f t="shared" ca="1" si="36"/>
        <v>5662301.0080000004</v>
      </c>
      <c r="Y74" s="36">
        <f t="shared" ca="1" si="37"/>
        <v>17351230.198400002</v>
      </c>
      <c r="Z74" s="36">
        <f t="shared" ca="1" si="38"/>
        <v>2692624.088</v>
      </c>
      <c r="AA74" s="36">
        <f t="shared" ca="1" si="39"/>
        <v>46798570.840000004</v>
      </c>
      <c r="AB74" s="12"/>
      <c r="AC74" s="38">
        <f t="shared" ca="1" si="49"/>
        <v>126.64834391737877</v>
      </c>
      <c r="AD74" s="38">
        <f t="shared" ca="1" si="50"/>
        <v>198.65942479295924</v>
      </c>
      <c r="AE74" s="38">
        <f t="shared" ca="1" si="51"/>
        <v>235.76652387953973</v>
      </c>
      <c r="AF74" s="38">
        <f t="shared" ca="1" si="52"/>
        <v>192.90826569497332</v>
      </c>
      <c r="AG74" s="38">
        <f t="shared" ca="1" si="53"/>
        <v>316.24700923293113</v>
      </c>
    </row>
    <row r="75" spans="1:33" ht="12.75" customHeight="1" x14ac:dyDescent="0.35">
      <c r="A75" s="5"/>
      <c r="B75" s="22">
        <f t="shared" si="40"/>
        <v>23</v>
      </c>
      <c r="C75" s="22">
        <f t="shared" si="41"/>
        <v>11</v>
      </c>
      <c r="D75" s="22" t="str">
        <f>IF(F75="12월",(E75+1)&amp;VLOOKUP(F75,인덱스!$C:$D,2,0),E75&amp;VLOOKUP(F75,인덱스!$C:$D,2,0))</f>
        <v>202312</v>
      </c>
      <c r="E75" s="5" t="str">
        <f t="shared" si="42"/>
        <v>2023</v>
      </c>
      <c r="F75" s="5" t="str">
        <f t="shared" si="43"/>
        <v>11월</v>
      </c>
      <c r="G75" s="37" t="str">
        <f>B75&amp;"."&amp;VLOOKUP(F75,인덱스!$A:$B,2,0)</f>
        <v>23.11</v>
      </c>
      <c r="H75" s="14">
        <f>IFERROR(VLOOKUP(G75,#REF!,2,0),)</f>
        <v>0</v>
      </c>
      <c r="I75" s="38">
        <f t="shared" ca="1" si="44"/>
        <v>102.74773150043148</v>
      </c>
      <c r="J75" s="38">
        <f t="shared" ca="1" si="45"/>
        <v>170.84765541720753</v>
      </c>
      <c r="K75" s="39">
        <f t="shared" ca="1" si="46"/>
        <v>206.07585548549346</v>
      </c>
      <c r="L75" s="39">
        <f t="shared" ca="1" si="47"/>
        <v>157.12212632704498</v>
      </c>
      <c r="M75" s="39">
        <f t="shared" ca="1" si="48"/>
        <v>271.76584667231936</v>
      </c>
      <c r="N75" s="5"/>
      <c r="O75" s="5"/>
      <c r="P75" s="5"/>
      <c r="Q75" s="8">
        <f ca="1">IFERROR(__xludf.DUMMYFUNCTION("iferror(index('지수RAW'!$V$7:$V$12040,MATCH($D75,'지수RAW'!$R$7:$R$12040,0)-1,1),GOOGLEFINANCE(Q$2))"),2535.29)</f>
        <v>2535.29</v>
      </c>
      <c r="R75" s="5">
        <f ca="1">IFERROR(__xludf.DUMMYFUNCTION("iferror(index('지수RAW'!$F$7:$F$12040,MATCH($D75,'지수RAW'!$B$7:$B$12040,0)-1,1),GOOGLEFINANCE(R$2))"),4567.8)</f>
        <v>4567.8</v>
      </c>
      <c r="S75" s="9">
        <f ca="1">IFERROR(__xludf.DUMMYFUNCTION("iferror(index('지수RAW'!$N$7:$N$12040,MATCH($D75,'지수RAW'!$J$7:$J$12040,0)-1,1),GOOGLEFINANCE(S$2))"),14226.22)</f>
        <v>14226.22</v>
      </c>
      <c r="T75" s="5"/>
      <c r="U75" s="29">
        <f t="array" aca="1" ref="U75" ca="1">IFERROR(INDEX(지수RAW!$AT$7:$AT$12040,MATCH($D75,지수RAW!$AP$7:$AP$12040,0)-1,1),지수RAW!$AU$4)</f>
        <v>2057.1999999999998</v>
      </c>
      <c r="V75" s="29">
        <f ca="1">IFERROR(__xludf.DUMMYFUNCTION("iferror(index('지수RAW'!$AL$7:$AL$12040,MATCH($D75,'지수RAW'!$AH$7:$AH$12040,0)-1,1),GOOGLEFINANCE(V$2))"),37723.79)</f>
        <v>37723.79</v>
      </c>
      <c r="W75" s="30">
        <f ca="1">IFERROR(__xludf.DUMMYFUNCTION("iferror(index('지수RAW'!$AD$7:$AD$12040,MATCH($D75,'지수RAW'!$Z$7:$Z$12040,0)-1,1),GOOGLEFINANCE(W$2))"),1296.66)</f>
        <v>1296.6600000000001</v>
      </c>
      <c r="X75" s="36">
        <f t="shared" ca="1" si="36"/>
        <v>5922883.5480000004</v>
      </c>
      <c r="Y75" s="36">
        <f t="shared" ca="1" si="37"/>
        <v>18446570.4252</v>
      </c>
      <c r="Z75" s="36">
        <f t="shared" ca="1" si="38"/>
        <v>2667488.952</v>
      </c>
      <c r="AA75" s="36">
        <f t="shared" ca="1" si="39"/>
        <v>48914929.541400008</v>
      </c>
      <c r="AB75" s="12"/>
      <c r="AC75" s="38">
        <f t="shared" ca="1" si="49"/>
        <v>121.629911731875</v>
      </c>
      <c r="AD75" s="38">
        <f t="shared" ca="1" si="50"/>
        <v>207.80185247992765</v>
      </c>
      <c r="AE75" s="38">
        <f t="shared" ca="1" si="51"/>
        <v>250.64988112771198</v>
      </c>
      <c r="AF75" s="38">
        <f t="shared" ca="1" si="52"/>
        <v>191.10750356283003</v>
      </c>
      <c r="AG75" s="38">
        <f t="shared" ca="1" si="53"/>
        <v>330.54855942492503</v>
      </c>
    </row>
    <row r="76" spans="1:33" ht="12.75" customHeight="1" x14ac:dyDescent="0.35">
      <c r="A76" s="5"/>
      <c r="B76" s="22">
        <f t="shared" si="40"/>
        <v>23</v>
      </c>
      <c r="C76" s="22">
        <f t="shared" si="41"/>
        <v>12</v>
      </c>
      <c r="D76" s="22" t="str">
        <f>IF(F76="12월",(E76+1)&amp;VLOOKUP(F76,인덱스!$C:$D,2,0),E76&amp;VLOOKUP(F76,인덱스!$C:$D,2,0))</f>
        <v>20241</v>
      </c>
      <c r="E76" s="5" t="str">
        <f t="shared" si="42"/>
        <v>2023</v>
      </c>
      <c r="F76" s="5" t="str">
        <f t="shared" si="43"/>
        <v>12월</v>
      </c>
      <c r="G76" s="37" t="str">
        <f>B76&amp;"."&amp;VLOOKUP(F76,인덱스!$A:$B,2,0)</f>
        <v>23.12</v>
      </c>
      <c r="H76" s="14">
        <f>IFERROR(VLOOKUP(G76,#REF!,2,0),)</f>
        <v>0</v>
      </c>
      <c r="I76" s="38">
        <f t="shared" ca="1" si="44"/>
        <v>107.61056782398296</v>
      </c>
      <c r="J76" s="38">
        <f t="shared" ca="1" si="45"/>
        <v>178.40410531079709</v>
      </c>
      <c r="K76" s="39">
        <f t="shared" ca="1" si="46"/>
        <v>217.44896348026128</v>
      </c>
      <c r="L76" s="39">
        <f t="shared" ca="1" si="47"/>
        <v>158.23722599862523</v>
      </c>
      <c r="M76" s="39">
        <f t="shared" ca="1" si="48"/>
        <v>304.67113656878928</v>
      </c>
      <c r="N76" s="5"/>
      <c r="O76" s="5"/>
      <c r="P76" s="5"/>
      <c r="Q76" s="8">
        <f ca="1">IFERROR(__xludf.DUMMYFUNCTION("iferror(index('지수RAW'!$V$7:$V$12040,MATCH($D76,'지수RAW'!$R$7:$R$12040,0)-1,1),GOOGLEFINANCE(Q$2))"),2655.28)</f>
        <v>2655.28</v>
      </c>
      <c r="R76" s="5">
        <f ca="1">IFERROR(__xludf.DUMMYFUNCTION("iferror(index('지수RAW'!$F$7:$F$12040,MATCH($D76,'지수RAW'!$B$7:$B$12040,0)-1,1),GOOGLEFINANCE(R$2))"),4769.83)</f>
        <v>4769.83</v>
      </c>
      <c r="S76" s="9">
        <f ca="1">IFERROR(__xludf.DUMMYFUNCTION("iferror(index('지수RAW'!$N$7:$N$12040,MATCH($D76,'지수RAW'!$J$7:$J$12040,0)-1,1),GOOGLEFINANCE(S$2))"),15011.35)</f>
        <v>15011.35</v>
      </c>
      <c r="T76" s="5"/>
      <c r="U76" s="29">
        <f t="array" aca="1" ref="U76" ca="1">IFERROR(INDEX(지수RAW!$AT$7:$AT$12040,MATCH($D76,지수RAW!$AP$7:$AP$12040,0)-1,1),지수RAW!$AU$4)</f>
        <v>2071.8000000000002</v>
      </c>
      <c r="V76" s="29">
        <f ca="1">IFERROR(__xludf.DUMMYFUNCTION("iferror(index('지수RAW'!$AL$7:$AL$12040,MATCH($D76,'지수RAW'!$AH$7:$AH$12040,0)-1,1),GOOGLEFINANCE(V$2))"),42291.37)</f>
        <v>42291.37</v>
      </c>
      <c r="W76" s="30">
        <f ca="1">IFERROR(__xludf.DUMMYFUNCTION("iferror(index('지수RAW'!$AD$7:$AD$12040,MATCH($D76,'지수RAW'!$Z$7:$Z$12040,0)-1,1),GOOGLEFINANCE(W$2))"),1293.53)</f>
        <v>1293.53</v>
      </c>
      <c r="X76" s="36">
        <f t="shared" ca="1" si="36"/>
        <v>6169918.1998999994</v>
      </c>
      <c r="Y76" s="36">
        <f t="shared" ca="1" si="37"/>
        <v>19417631.565499999</v>
      </c>
      <c r="Z76" s="36">
        <f t="shared" ca="1" si="38"/>
        <v>2679935.4540000004</v>
      </c>
      <c r="AA76" s="36">
        <f t="shared" ca="1" si="39"/>
        <v>54705155.836100005</v>
      </c>
      <c r="AB76" s="12"/>
      <c r="AC76" s="38">
        <f t="shared" ca="1" si="49"/>
        <v>121.33630999840533</v>
      </c>
      <c r="AD76" s="38">
        <f t="shared" ca="1" si="50"/>
        <v>216.46895826979042</v>
      </c>
      <c r="AE76" s="38">
        <f t="shared" ca="1" si="51"/>
        <v>263.84454841672903</v>
      </c>
      <c r="AF76" s="38">
        <f t="shared" ca="1" si="52"/>
        <v>191.99921107056926</v>
      </c>
      <c r="AG76" s="38">
        <f t="shared" ca="1" si="53"/>
        <v>369.67671474277125</v>
      </c>
    </row>
    <row r="77" spans="1:33" ht="12.75" customHeight="1" x14ac:dyDescent="0.35">
      <c r="A77" s="5"/>
      <c r="B77" s="22">
        <f t="shared" si="40"/>
        <v>24</v>
      </c>
      <c r="C77" s="22">
        <f t="shared" si="41"/>
        <v>1</v>
      </c>
      <c r="D77" s="22" t="str">
        <f>IF(F77="12월",(E77+1)&amp;VLOOKUP(F77,인덱스!$C:$D,2,0),E77&amp;VLOOKUP(F77,인덱스!$C:$D,2,0))</f>
        <v>20242</v>
      </c>
      <c r="E77" s="5" t="str">
        <f t="shared" si="42"/>
        <v>2024</v>
      </c>
      <c r="F77" s="5" t="str">
        <f t="shared" si="43"/>
        <v>1월</v>
      </c>
      <c r="G77" s="40" t="str">
        <f>B77&amp;"."&amp;VLOOKUP(F77,인덱스!$A:$B,2,0)</f>
        <v>24.01</v>
      </c>
      <c r="H77" s="41">
        <f>IFERROR(VLOOKUP(G77,#REF!,2,0),)</f>
        <v>0</v>
      </c>
      <c r="I77" s="42">
        <f t="shared" ca="1" si="44"/>
        <v>101.19959959310867</v>
      </c>
      <c r="J77" s="42">
        <f t="shared" ca="1" si="45"/>
        <v>181.23997142440376</v>
      </c>
      <c r="K77" s="43">
        <f t="shared" ca="1" si="46"/>
        <v>219.66034078909072</v>
      </c>
      <c r="L77" s="43">
        <f t="shared" ca="1" si="47"/>
        <v>157.90116856335447</v>
      </c>
      <c r="M77" s="43">
        <f t="shared" ca="1" si="48"/>
        <v>306.76637617345722</v>
      </c>
      <c r="N77" s="5"/>
      <c r="O77" s="5"/>
      <c r="P77" s="5"/>
      <c r="Q77" s="8">
        <f ca="1">IFERROR(__xludf.DUMMYFUNCTION("iferror(index('지수RAW'!$V$7:$V$12040,MATCH($D77,'지수RAW'!$R$7:$R$12040,0)-1,1),GOOGLEFINANCE(Q$2))"),2497.09)</f>
        <v>2497.09</v>
      </c>
      <c r="R77" s="5">
        <f ca="1">IFERROR(__xludf.DUMMYFUNCTION("iferror(index('지수RAW'!$F$7:$F$12040,MATCH($D77,'지수RAW'!$B$7:$B$12040,0)-1,1),GOOGLEFINANCE(R$2))"),4845.65)</f>
        <v>4845.6499999999996</v>
      </c>
      <c r="S77" s="9">
        <f ca="1">IFERROR(__xludf.DUMMYFUNCTION("iferror(index('지수RAW'!$N$7:$N$12040,MATCH($D77,'지수RAW'!$J$7:$J$12040,0)-1,1),GOOGLEFINANCE(S$2))"),15164.01)</f>
        <v>15164.01</v>
      </c>
      <c r="T77" s="5"/>
      <c r="U77" s="29">
        <f t="array" aca="1" ref="U77" ca="1">IFERROR(INDEX(지수RAW!$AT$7:$AT$12040,MATCH($D77,지수RAW!$AP$7:$AP$12040,0)-1,1),지수RAW!$AU$4)</f>
        <v>2067.4</v>
      </c>
      <c r="V77" s="29">
        <f ca="1">IFERROR(__xludf.DUMMYFUNCTION("iferror(index('지수RAW'!$AL$7:$AL$12040,MATCH($D77,'지수RAW'!$AH$7:$AH$12040,0)-1,1),GOOGLEFINANCE(V$2))"),42582.21)</f>
        <v>42582.21</v>
      </c>
      <c r="W77" s="30">
        <f ca="1">IFERROR(__xludf.DUMMYFUNCTION("iferror(index('지수RAW'!$AD$7:$AD$12040,MATCH($D77,'지수RAW'!$Z$7:$Z$12040,0)-1,1),GOOGLEFINANCE(W$2))"),1333.91)</f>
        <v>1333.91</v>
      </c>
      <c r="X77" s="36">
        <f t="shared" ca="1" si="36"/>
        <v>6463660.9914999995</v>
      </c>
      <c r="Y77" s="36">
        <f t="shared" ca="1" si="37"/>
        <v>20227424.579100002</v>
      </c>
      <c r="Z77" s="36">
        <f t="shared" ca="1" si="38"/>
        <v>2757725.5340000005</v>
      </c>
      <c r="AA77" s="36">
        <f t="shared" ca="1" si="39"/>
        <v>56800835.741100006</v>
      </c>
      <c r="AB77" s="12"/>
      <c r="AC77" s="42">
        <f t="shared" ca="1" si="49"/>
        <v>125.12405376757621</v>
      </c>
      <c r="AD77" s="42">
        <f t="shared" ca="1" si="50"/>
        <v>226.77479929341092</v>
      </c>
      <c r="AE77" s="42">
        <f t="shared" ca="1" si="51"/>
        <v>274.84792291498303</v>
      </c>
      <c r="AF77" s="42">
        <f t="shared" ca="1" si="52"/>
        <v>197.57234305284294</v>
      </c>
      <c r="AG77" s="42">
        <f t="shared" ca="1" si="53"/>
        <v>383.83852546412197</v>
      </c>
    </row>
    <row r="78" spans="1:33" ht="12.75" customHeight="1" x14ac:dyDescent="0.35">
      <c r="A78" s="5"/>
      <c r="B78" s="22">
        <f t="shared" si="40"/>
        <v>24</v>
      </c>
      <c r="C78" s="22">
        <f t="shared" si="41"/>
        <v>2</v>
      </c>
      <c r="D78" s="22" t="str">
        <f>IF(F78="12월",(E78+1)&amp;VLOOKUP(F78,인덱스!$C:$D,2,0),E78&amp;VLOOKUP(F78,인덱스!$C:$D,2,0))</f>
        <v>20243</v>
      </c>
      <c r="E78" s="5" t="str">
        <f t="shared" si="42"/>
        <v>2024</v>
      </c>
      <c r="F78" s="5" t="str">
        <f t="shared" si="43"/>
        <v>2월</v>
      </c>
      <c r="G78" s="37" t="str">
        <f>B78&amp;"."&amp;VLOOKUP(F78,인덱스!$A:$B,2,0)</f>
        <v>24.02</v>
      </c>
      <c r="H78" s="14">
        <f>IFERROR(VLOOKUP(G78,#REF!,2,0),)</f>
        <v>0</v>
      </c>
      <c r="I78" s="38">
        <f t="shared" ca="1" si="44"/>
        <v>107.08695881239628</v>
      </c>
      <c r="J78" s="38">
        <f t="shared" ca="1" si="45"/>
        <v>190.61381428106577</v>
      </c>
      <c r="K78" s="39">
        <f t="shared" ca="1" si="46"/>
        <v>233.10170800143132</v>
      </c>
      <c r="L78" s="39">
        <f t="shared" ca="1" si="47"/>
        <v>156.93118460245933</v>
      </c>
      <c r="M78" s="39">
        <f t="shared" ca="1" si="48"/>
        <v>441.27904421802748</v>
      </c>
      <c r="N78" s="5"/>
      <c r="O78" s="5"/>
      <c r="P78" s="5"/>
      <c r="Q78" s="8">
        <f ca="1">IFERROR(__xludf.DUMMYFUNCTION("iferror(index('지수RAW'!$V$7:$V$12040,MATCH($D78,'지수RAW'!$R$7:$R$12040,0)-1,1),GOOGLEFINANCE(Q$2))"),2642.36)</f>
        <v>2642.36</v>
      </c>
      <c r="R78" s="5">
        <f ca="1">IFERROR(__xludf.DUMMYFUNCTION("iferror(index('지수RAW'!$F$7:$F$12040,MATCH($D78,'지수RAW'!$B$7:$B$12040,0)-1,1),GOOGLEFINANCE(R$2))"),5096.27)</f>
        <v>5096.2700000000004</v>
      </c>
      <c r="S78" s="9">
        <f ca="1">IFERROR(__xludf.DUMMYFUNCTION("iferror(index('지수RAW'!$N$7:$N$12040,MATCH($D78,'지수RAW'!$J$7:$J$12040,0)-1,1),GOOGLEFINANCE(S$2))"),16091.92)</f>
        <v>16091.92</v>
      </c>
      <c r="T78" s="5"/>
      <c r="U78" s="29">
        <f t="array" aca="1" ref="U78" ca="1">IFERROR(INDEX(지수RAW!$AT$7:$AT$12040,MATCH($D78,지수RAW!$AP$7:$AP$12040,0)-1,1),지수RAW!$AU$4)</f>
        <v>2054.6999999999998</v>
      </c>
      <c r="V78" s="29">
        <f ca="1">IFERROR(__xludf.DUMMYFUNCTION("iferror(index('지수RAW'!$AL$7:$AL$12040,MATCH($D78,'지수RAW'!$AH$7:$AH$12040,0)-1,1),GOOGLEFINANCE(V$2))"),61253.9)</f>
        <v>61253.9</v>
      </c>
      <c r="W78" s="30">
        <f ca="1">IFERROR(__xludf.DUMMYFUNCTION("iferror(index('지수RAW'!$AD$7:$AD$12040,MATCH($D78,'지수RAW'!$Z$7:$Z$12040,0)-1,1),GOOGLEFINANCE(W$2))"),1335.2)</f>
        <v>1335.2</v>
      </c>
      <c r="X78" s="36">
        <f t="shared" ca="1" si="36"/>
        <v>6804539.7040000008</v>
      </c>
      <c r="Y78" s="36">
        <f t="shared" ca="1" si="37"/>
        <v>21485931.584000003</v>
      </c>
      <c r="Z78" s="36">
        <f t="shared" ca="1" si="38"/>
        <v>2743435.44</v>
      </c>
      <c r="AA78" s="36">
        <f t="shared" ca="1" si="39"/>
        <v>81786207.280000001</v>
      </c>
      <c r="AB78" s="12"/>
      <c r="AC78" s="38">
        <f t="shared" ca="1" si="49"/>
        <v>125.24505895485282</v>
      </c>
      <c r="AD78" s="38">
        <f t="shared" ca="1" si="50"/>
        <v>238.73438407241477</v>
      </c>
      <c r="AE78" s="38">
        <f t="shared" ca="1" si="51"/>
        <v>291.94837161116163</v>
      </c>
      <c r="AF78" s="38">
        <f t="shared" ca="1" si="52"/>
        <v>196.54855467389925</v>
      </c>
      <c r="AG78" s="38">
        <f t="shared" ca="1" si="53"/>
        <v>552.68019908627991</v>
      </c>
    </row>
    <row r="79" spans="1:33" ht="12.75" customHeight="1" x14ac:dyDescent="0.35">
      <c r="A79" s="5"/>
      <c r="B79" s="22">
        <f t="shared" si="40"/>
        <v>24</v>
      </c>
      <c r="C79" s="22">
        <f t="shared" si="41"/>
        <v>3</v>
      </c>
      <c r="D79" s="22" t="str">
        <f>IF(F79="12월",(E79+1)&amp;VLOOKUP(F79,인덱스!$C:$D,2,0),E79&amp;VLOOKUP(F79,인덱스!$C:$D,2,0))</f>
        <v>20244</v>
      </c>
      <c r="E79" s="5" t="str">
        <f t="shared" si="42"/>
        <v>2024</v>
      </c>
      <c r="F79" s="5" t="str">
        <f t="shared" si="43"/>
        <v>3월</v>
      </c>
      <c r="G79" s="37" t="str">
        <f>B79&amp;"."&amp;VLOOKUP(F79,인덱스!$A:$B,2,0)</f>
        <v>24.03</v>
      </c>
      <c r="H79" s="14">
        <f>IFERROR(VLOOKUP(G79,#REF!,2,0),)</f>
        <v>0</v>
      </c>
      <c r="I79" s="38">
        <f t="shared" ca="1" si="44"/>
        <v>111.3127104871751</v>
      </c>
      <c r="J79" s="38">
        <f t="shared" ca="1" si="45"/>
        <v>196.52641933565488</v>
      </c>
      <c r="K79" s="39">
        <f t="shared" ca="1" si="46"/>
        <v>237.26690799737531</v>
      </c>
      <c r="L79" s="39">
        <f t="shared" ca="1" si="47"/>
        <v>170.9615825250134</v>
      </c>
      <c r="M79" s="39">
        <f t="shared" ca="1" si="48"/>
        <v>513.95260712672496</v>
      </c>
      <c r="N79" s="5"/>
      <c r="O79" s="5"/>
      <c r="P79" s="5"/>
      <c r="Q79" s="8">
        <f ca="1">IFERROR(__xludf.DUMMYFUNCTION("iferror(index('지수RAW'!$V$7:$V$12040,MATCH($D79,'지수RAW'!$R$7:$R$12040,0)-1,1),GOOGLEFINANCE(Q$2))"),2746.63)</f>
        <v>2746.63</v>
      </c>
      <c r="R79" s="5">
        <f ca="1">IFERROR(__xludf.DUMMYFUNCTION("iferror(index('지수RAW'!$F$7:$F$12040,MATCH($D79,'지수RAW'!$B$7:$B$12040,0)-1,1),GOOGLEFINANCE(R$2))"),5254.35)</f>
        <v>5254.35</v>
      </c>
      <c r="S79" s="9">
        <f ca="1">IFERROR(__xludf.DUMMYFUNCTION("iferror(index('지수RAW'!$N$7:$N$12040,MATCH($D79,'지수RAW'!$J$7:$J$12040,0)-1,1),GOOGLEFINANCE(S$2))"),16379.46)</f>
        <v>16379.46</v>
      </c>
      <c r="T79" s="5"/>
      <c r="U79" s="29">
        <f t="array" aca="1" ref="U79" ca="1">IFERROR(INDEX(지수RAW!$AT$7:$AT$12040,MATCH($D79,지수RAW!$AP$7:$AP$12040,0)-1,1),지수RAW!$AU$4)</f>
        <v>2238.4</v>
      </c>
      <c r="V79" s="29">
        <f ca="1">IFERROR(__xludf.DUMMYFUNCTION("iferror(index('지수RAW'!$AL$7:$AL$12040,MATCH($D79,'지수RAW'!$AH$7:$AH$12040,0)-1,1),GOOGLEFINANCE(V$2))"),71341.71)</f>
        <v>71341.710000000006</v>
      </c>
      <c r="W79" s="30">
        <f ca="1">IFERROR(__xludf.DUMMYFUNCTION("iferror(index('지수RAW'!$AD$7:$AD$12040,MATCH($D79,'지수RAW'!$Z$7:$Z$12040,0)-1,1),GOOGLEFINANCE(W$2))"),1345.31)</f>
        <v>1345.31</v>
      </c>
      <c r="X79" s="36">
        <f t="shared" ca="1" si="36"/>
        <v>7068729.5985000003</v>
      </c>
      <c r="Y79" s="36">
        <f t="shared" ca="1" si="37"/>
        <v>22035451.332599998</v>
      </c>
      <c r="Z79" s="36">
        <f t="shared" ca="1" si="38"/>
        <v>3011341.9040000001</v>
      </c>
      <c r="AA79" s="36">
        <f t="shared" ca="1" si="39"/>
        <v>95976715.880100012</v>
      </c>
      <c r="AB79" s="12"/>
      <c r="AC79" s="38">
        <f t="shared" ca="1" si="49"/>
        <v>126.19340193420689</v>
      </c>
      <c r="AD79" s="38">
        <f t="shared" ca="1" si="50"/>
        <v>248.00337425914816</v>
      </c>
      <c r="AE79" s="38">
        <f t="shared" ca="1" si="51"/>
        <v>299.41518286599279</v>
      </c>
      <c r="AF79" s="38">
        <f t="shared" ca="1" si="52"/>
        <v>215.74223698887113</v>
      </c>
      <c r="AG79" s="38">
        <f t="shared" ca="1" si="53"/>
        <v>648.57427926276364</v>
      </c>
    </row>
    <row r="80" spans="1:33" ht="12.75" customHeight="1" x14ac:dyDescent="0.35">
      <c r="A80" s="5"/>
      <c r="B80" s="22">
        <f t="shared" si="40"/>
        <v>24</v>
      </c>
      <c r="C80" s="22">
        <f t="shared" si="41"/>
        <v>4</v>
      </c>
      <c r="D80" s="22" t="str">
        <f>IF(F80="12월",(E80+1)&amp;VLOOKUP(F80,인덱스!$C:$D,2,0),E80&amp;VLOOKUP(F80,인덱스!$C:$D,2,0))</f>
        <v>20245</v>
      </c>
      <c r="E80" s="5" t="str">
        <f t="shared" si="42"/>
        <v>2024</v>
      </c>
      <c r="F80" s="5" t="str">
        <f t="shared" si="43"/>
        <v>4월</v>
      </c>
      <c r="G80" s="37" t="str">
        <f>B80&amp;"."&amp;VLOOKUP(F80,인덱스!$A:$B,2,0)</f>
        <v>24.04</v>
      </c>
      <c r="H80" s="14">
        <f>IFERROR(VLOOKUP(G80,#REF!,2,0),)</f>
        <v>0</v>
      </c>
      <c r="I80" s="38">
        <f t="shared" ca="1" si="44"/>
        <v>109.10115137244716</v>
      </c>
      <c r="J80" s="38">
        <f t="shared" ca="1" si="45"/>
        <v>188.34796398876432</v>
      </c>
      <c r="K80" s="39">
        <f t="shared" ca="1" si="46"/>
        <v>226.81349308093573</v>
      </c>
      <c r="L80" s="39">
        <f t="shared" ca="1" si="47"/>
        <v>175.88787901932332</v>
      </c>
      <c r="M80" s="39">
        <f t="shared" ca="1" si="48"/>
        <v>437.66078644246539</v>
      </c>
      <c r="N80" s="5"/>
      <c r="O80" s="5"/>
      <c r="P80" s="5"/>
      <c r="Q80" s="8">
        <f ca="1">IFERROR(__xludf.DUMMYFUNCTION("iferror(index('지수RAW'!$V$7:$V$12040,MATCH($D80,'지수RAW'!$R$7:$R$12040,0)-1,1),GOOGLEFINANCE(Q$2))"),2692.06)</f>
        <v>2692.06</v>
      </c>
      <c r="R80" s="5">
        <f ca="1">IFERROR(__xludf.DUMMYFUNCTION("iferror(index('지수RAW'!$F$7:$F$12040,MATCH($D80,'지수RAW'!$B$7:$B$12040,0)-1,1),GOOGLEFINANCE(R$2))"),5035.69)</f>
        <v>5035.6899999999996</v>
      </c>
      <c r="S80" s="9">
        <f ca="1">IFERROR(__xludf.DUMMYFUNCTION("iferror(index('지수RAW'!$N$7:$N$12040,MATCH($D80,'지수RAW'!$J$7:$J$12040,0)-1,1),GOOGLEFINANCE(S$2))"),15657.82)</f>
        <v>15657.82</v>
      </c>
      <c r="T80" s="5"/>
      <c r="U80" s="29">
        <f t="array" aca="1" ref="U80" ca="1">IFERROR(INDEX(지수RAW!$AT$7:$AT$12040,MATCH($D80,지수RAW!$AP$7:$AP$12040,0)-1,1),지수RAW!$AU$4)</f>
        <v>2302.9</v>
      </c>
      <c r="V80" s="29">
        <f ca="1">IFERROR(__xludf.DUMMYFUNCTION("iferror(index('지수RAW'!$AL$7:$AL$12040,MATCH($D80,'지수RAW'!$AH$7:$AH$12040,0)-1,1),GOOGLEFINANCE(V$2))"),60751.65)</f>
        <v>60751.65</v>
      </c>
      <c r="W80" s="30">
        <f ca="1">IFERROR(__xludf.DUMMYFUNCTION("iferror(index('지수RAW'!$AD$7:$AD$12040,MATCH($D80,'지수RAW'!$Z$7:$Z$12040,0)-1,1),GOOGLEFINANCE(W$2))"),1385.46)</f>
        <v>1385.46</v>
      </c>
      <c r="X80" s="36">
        <f t="shared" ca="1" si="36"/>
        <v>6976747.0674000001</v>
      </c>
      <c r="Y80" s="36">
        <f t="shared" ca="1" si="37"/>
        <v>21693283.297200002</v>
      </c>
      <c r="Z80" s="36">
        <f t="shared" ca="1" si="38"/>
        <v>3190575.8340000003</v>
      </c>
      <c r="AA80" s="36">
        <f t="shared" ca="1" si="39"/>
        <v>84168981.009000003</v>
      </c>
      <c r="AB80" s="12"/>
      <c r="AC80" s="38">
        <f t="shared" ca="1" si="49"/>
        <v>129.95957113510366</v>
      </c>
      <c r="AD80" s="38">
        <f t="shared" ca="1" si="50"/>
        <v>244.77620624149787</v>
      </c>
      <c r="AE80" s="38">
        <f t="shared" ca="1" si="51"/>
        <v>294.76584288453216</v>
      </c>
      <c r="AF80" s="38">
        <f t="shared" ca="1" si="52"/>
        <v>228.58313325214272</v>
      </c>
      <c r="AG80" s="38">
        <f t="shared" ca="1" si="53"/>
        <v>568.78208108715012</v>
      </c>
    </row>
    <row r="81" spans="1:33" ht="12.75" customHeight="1" x14ac:dyDescent="0.35">
      <c r="A81" s="5"/>
      <c r="B81" s="22">
        <f t="shared" si="40"/>
        <v>24</v>
      </c>
      <c r="C81" s="22">
        <f t="shared" si="41"/>
        <v>5</v>
      </c>
      <c r="D81" s="22" t="str">
        <f>IF(F81="12월",(E81+1)&amp;VLOOKUP(F81,인덱스!$C:$D,2,0),E81&amp;VLOOKUP(F81,인덱스!$C:$D,2,0))</f>
        <v>20246</v>
      </c>
      <c r="E81" s="5" t="str">
        <f t="shared" si="42"/>
        <v>2024</v>
      </c>
      <c r="F81" s="5" t="str">
        <f t="shared" si="43"/>
        <v>5월</v>
      </c>
      <c r="G81" s="37" t="str">
        <f>B81&amp;"."&amp;VLOOKUP(F81,인덱스!$A:$B,2,0)</f>
        <v>24.05</v>
      </c>
      <c r="H81" s="14">
        <f>IFERROR(VLOOKUP(G81,#REF!,2,0),)</f>
        <v>0</v>
      </c>
      <c r="I81" s="38">
        <f t="shared" ca="1" si="44"/>
        <v>106.85028105483697</v>
      </c>
      <c r="J81" s="38">
        <f t="shared" ca="1" si="45"/>
        <v>197.39266385149676</v>
      </c>
      <c r="K81" s="39">
        <f t="shared" ca="1" si="46"/>
        <v>242.41742100620144</v>
      </c>
      <c r="L81" s="39">
        <f t="shared" ca="1" si="47"/>
        <v>179.16443901321321</v>
      </c>
      <c r="M81" s="39">
        <f t="shared" ca="1" si="48"/>
        <v>493.99336790819649</v>
      </c>
      <c r="N81" s="5"/>
      <c r="O81" s="5"/>
      <c r="P81" s="5"/>
      <c r="Q81" s="8">
        <f ca="1">IFERROR(__xludf.DUMMYFUNCTION("iferror(index('지수RAW'!$V$7:$V$12040,MATCH($D81,'지수RAW'!$R$7:$R$12040,0)-1,1),GOOGLEFINANCE(Q$2))"),2636.52)</f>
        <v>2636.52</v>
      </c>
      <c r="R81" s="5">
        <f ca="1">IFERROR(__xludf.DUMMYFUNCTION("iferror(index('지수RAW'!$F$7:$F$12040,MATCH($D81,'지수RAW'!$B$7:$B$12040,0)-1,1),GOOGLEFINANCE(R$2))"),5277.51)</f>
        <v>5277.51</v>
      </c>
      <c r="S81" s="9">
        <f ca="1">IFERROR(__xludf.DUMMYFUNCTION("iferror(index('지수RAW'!$N$7:$N$12040,MATCH($D81,'지수RAW'!$J$7:$J$12040,0)-1,1),GOOGLEFINANCE(S$2))"),16735.02)</f>
        <v>16735.02</v>
      </c>
      <c r="T81" s="5"/>
      <c r="U81" s="29">
        <f t="array" aca="1" ref="U81" ca="1">IFERROR(INDEX(지수RAW!$AT$7:$AT$12040,MATCH($D81,지수RAW!$AP$7:$AP$12040,0)-1,1),지수RAW!$AU$4)</f>
        <v>2345.8000000000002</v>
      </c>
      <c r="V81" s="29">
        <f ca="1">IFERROR(__xludf.DUMMYFUNCTION("iferror(index('지수RAW'!$AL$7:$AL$12040,MATCH($D81,'지수RAW'!$AH$7:$AH$12040,0)-1,1),GOOGLEFINANCE(V$2))"),68571.17)</f>
        <v>68571.17</v>
      </c>
      <c r="W81" s="30">
        <f ca="1">IFERROR(__xludf.DUMMYFUNCTION("iferror(index('지수RAW'!$AD$7:$AD$12040,MATCH($D81,'지수RAW'!$Z$7:$Z$12040,0)-1,1),GOOGLEFINANCE(W$2))"),1382.09)</f>
        <v>1382.09</v>
      </c>
      <c r="X81" s="36">
        <f t="shared" ca="1" si="36"/>
        <v>7293993.7959000003</v>
      </c>
      <c r="Y81" s="36">
        <f t="shared" ca="1" si="37"/>
        <v>23129303.7918</v>
      </c>
      <c r="Z81" s="36">
        <f t="shared" ca="1" si="38"/>
        <v>3242106.7220000001</v>
      </c>
      <c r="AA81" s="36">
        <f t="shared" ca="1" si="39"/>
        <v>94771528.345299989</v>
      </c>
      <c r="AB81" s="12"/>
      <c r="AC81" s="38">
        <f t="shared" ca="1" si="49"/>
        <v>129.6434568086523</v>
      </c>
      <c r="AD81" s="38">
        <f t="shared" ca="1" si="50"/>
        <v>255.90667290376371</v>
      </c>
      <c r="AE81" s="38">
        <f t="shared" ca="1" si="51"/>
        <v>314.27832449882362</v>
      </c>
      <c r="AF81" s="38">
        <f t="shared" ca="1" si="52"/>
        <v>232.27497210855938</v>
      </c>
      <c r="AG81" s="38">
        <f t="shared" ca="1" si="53"/>
        <v>640.4300785616698</v>
      </c>
    </row>
    <row r="82" spans="1:33" ht="12.75" customHeight="1" x14ac:dyDescent="0.35">
      <c r="A82" s="5"/>
      <c r="B82" s="22">
        <f t="shared" si="40"/>
        <v>24</v>
      </c>
      <c r="C82" s="22">
        <f t="shared" si="41"/>
        <v>6</v>
      </c>
      <c r="D82" s="22" t="str">
        <f>IF(F82="12월",(E82+1)&amp;VLOOKUP(F82,인덱스!$C:$D,2,0),E82&amp;VLOOKUP(F82,인덱스!$C:$D,2,0))</f>
        <v>20247</v>
      </c>
      <c r="E82" s="5" t="str">
        <f t="shared" si="42"/>
        <v>2024</v>
      </c>
      <c r="F82" s="5" t="str">
        <f t="shared" si="43"/>
        <v>6월</v>
      </c>
      <c r="G82" s="37" t="str">
        <f>B82&amp;"."&amp;VLOOKUP(F82,인덱스!$A:$B,2,0)</f>
        <v>24.06</v>
      </c>
      <c r="H82" s="14">
        <f>IFERROR(VLOOKUP(G82,#REF!,2,0),)</f>
        <v>0</v>
      </c>
      <c r="I82" s="38">
        <f t="shared" ca="1" si="44"/>
        <v>113.38728829701424</v>
      </c>
      <c r="J82" s="38">
        <f t="shared" ca="1" si="45"/>
        <v>204.23621994232525</v>
      </c>
      <c r="K82" s="39">
        <f t="shared" ca="1" si="46"/>
        <v>256.86800253208946</v>
      </c>
      <c r="L82" s="39">
        <f t="shared" ca="1" si="47"/>
        <v>178.69090353624077</v>
      </c>
      <c r="M82" s="39">
        <f t="shared" ca="1" si="48"/>
        <v>438.44207077449062</v>
      </c>
      <c r="N82" s="5"/>
      <c r="O82" s="5"/>
      <c r="P82" s="5"/>
      <c r="Q82" s="8">
        <f ca="1">IFERROR(__xludf.DUMMYFUNCTION("iferror(index('지수RAW'!$V$7:$V$12040,MATCH($D82,'지수RAW'!$R$7:$R$12040,0)-1,1),GOOGLEFINANCE(Q$2))"),2797.82)</f>
        <v>2797.82</v>
      </c>
      <c r="R82" s="5">
        <f ca="1">IFERROR(__xludf.DUMMYFUNCTION("iferror(index('지수RAW'!$F$7:$F$12040,MATCH($D82,'지수RAW'!$B$7:$B$12040,0)-1,1),GOOGLEFINANCE(R$2))"),5460.48)</f>
        <v>5460.48</v>
      </c>
      <c r="S82" s="9">
        <f ca="1">IFERROR(__xludf.DUMMYFUNCTION("iferror(index('지수RAW'!$N$7:$N$12040,MATCH($D82,'지수RAW'!$J$7:$J$12040,0)-1,1),GOOGLEFINANCE(S$2))"),17732.6)</f>
        <v>17732.599999999999</v>
      </c>
      <c r="T82" s="5"/>
      <c r="U82" s="29">
        <f t="array" aca="1" ref="U82" ca="1">IFERROR(INDEX(지수RAW!$AT$7:$AT$12040,MATCH($D82,지수RAW!$AP$7:$AP$12040,0)-1,1),지수RAW!$AU$4)</f>
        <v>2339.6</v>
      </c>
      <c r="V82" s="29">
        <f ca="1">IFERROR(__xludf.DUMMYFUNCTION("iferror(index('지수RAW'!$AL$7:$AL$12040,MATCH($D82,'지수RAW'!$AH$7:$AH$12040,0)-1,1),GOOGLEFINANCE(V$2))"),60860.1)</f>
        <v>60860.1</v>
      </c>
      <c r="W82" s="30">
        <f ca="1">IFERROR(__xludf.DUMMYFUNCTION("iferror(index('지수RAW'!$AD$7:$AD$12040,MATCH($D82,'지수RAW'!$Z$7:$Z$12040,0)-1,1),GOOGLEFINANCE(W$2))"),1380.29)</f>
        <v>1380.29</v>
      </c>
      <c r="X82" s="36">
        <f t="shared" ca="1" si="36"/>
        <v>7537045.939199999</v>
      </c>
      <c r="Y82" s="36">
        <f t="shared" ca="1" si="37"/>
        <v>24476130.453999996</v>
      </c>
      <c r="Z82" s="36">
        <f t="shared" ca="1" si="38"/>
        <v>3229326.4839999997</v>
      </c>
      <c r="AA82" s="36">
        <f t="shared" ca="1" si="39"/>
        <v>84004587.42899999</v>
      </c>
      <c r="AB82" s="12"/>
      <c r="AC82" s="38">
        <f t="shared" ca="1" si="49"/>
        <v>129.47461236128956</v>
      </c>
      <c r="AD82" s="38">
        <f t="shared" ca="1" si="50"/>
        <v>264.43405407167666</v>
      </c>
      <c r="AE82" s="38">
        <f t="shared" ca="1" si="51"/>
        <v>332.57885055861027</v>
      </c>
      <c r="AF82" s="38">
        <f t="shared" ca="1" si="52"/>
        <v>231.3593546784337</v>
      </c>
      <c r="AG82" s="38">
        <f t="shared" ca="1" si="53"/>
        <v>567.67117156408278</v>
      </c>
    </row>
    <row r="83" spans="1:33" ht="12.75" customHeight="1" x14ac:dyDescent="0.35">
      <c r="A83" s="5"/>
      <c r="B83" s="22">
        <f t="shared" si="40"/>
        <v>24</v>
      </c>
      <c r="C83" s="22">
        <f t="shared" si="41"/>
        <v>7</v>
      </c>
      <c r="D83" s="22" t="str">
        <f>IF(F83="12월",(E83+1)&amp;VLOOKUP(F83,인덱스!$C:$D,2,0),E83&amp;VLOOKUP(F83,인덱스!$C:$D,2,0))</f>
        <v>20248</v>
      </c>
      <c r="E83" s="5" t="str">
        <f t="shared" si="42"/>
        <v>2024</v>
      </c>
      <c r="F83" s="5" t="str">
        <f t="shared" si="43"/>
        <v>7월</v>
      </c>
      <c r="G83" s="37" t="str">
        <f>B83&amp;"."&amp;VLOOKUP(F83,인덱스!$A:$B,2,0)</f>
        <v>24.07</v>
      </c>
      <c r="H83" s="14">
        <f>IFERROR(VLOOKUP(G83,#REF!,2,0),)</f>
        <v>0</v>
      </c>
      <c r="I83" s="38">
        <f t="shared" ca="1" si="44"/>
        <v>112.28779042670878</v>
      </c>
      <c r="J83" s="38">
        <f t="shared" ca="1" si="45"/>
        <v>206.54844947468038</v>
      </c>
      <c r="K83" s="39">
        <f t="shared" ca="1" si="46"/>
        <v>254.93851571474326</v>
      </c>
      <c r="L83" s="39">
        <f t="shared" ca="1" si="47"/>
        <v>188.8795539601314</v>
      </c>
      <c r="M83" s="39">
        <f t="shared" ca="1" si="48"/>
        <v>476.26322041871629</v>
      </c>
      <c r="N83" s="5"/>
      <c r="O83" s="5"/>
      <c r="P83" s="5"/>
      <c r="Q83" s="8">
        <f ca="1">IFERROR(__xludf.DUMMYFUNCTION("iferror(index('지수RAW'!$V$7:$V$12040,MATCH($D83,'지수RAW'!$R$7:$R$12040,0)-1,1),GOOGLEFINANCE(Q$2))"),2770.69)</f>
        <v>2770.69</v>
      </c>
      <c r="R83" s="5">
        <f ca="1">IFERROR(__xludf.DUMMYFUNCTION("iferror(index('지수RAW'!$F$7:$F$12040,MATCH($D83,'지수RAW'!$B$7:$B$12040,0)-1,1),GOOGLEFINANCE(R$2))"),5522.3)</f>
        <v>5522.3</v>
      </c>
      <c r="S83" s="9">
        <f ca="1">IFERROR(__xludf.DUMMYFUNCTION("iferror(index('지수RAW'!$N$7:$N$12040,MATCH($D83,'지수RAW'!$J$7:$J$12040,0)-1,1),GOOGLEFINANCE(S$2))"),17599.4)</f>
        <v>17599.400000000001</v>
      </c>
      <c r="T83" s="5"/>
      <c r="U83" s="29">
        <f t="array" aca="1" ref="U83" ca="1">IFERROR(INDEX(지수RAW!$AT$7:$AT$12040,MATCH($D83,지수RAW!$AP$7:$AP$12040,0)-1,1),지수RAW!$AU$4)</f>
        <v>2473</v>
      </c>
      <c r="V83" s="29">
        <f ca="1">IFERROR(__xludf.DUMMYFUNCTION("iferror(index('지수RAW'!$AL$7:$AL$12040,MATCH($D83,'지수RAW'!$AH$7:$AH$12040,0)-1,1),GOOGLEFINANCE(V$2))"),66110.05)</f>
        <v>66110.05</v>
      </c>
      <c r="W83" s="30">
        <f ca="1">IFERROR(__xludf.DUMMYFUNCTION("iferror(index('지수RAW'!$AD$7:$AD$12040,MATCH($D83,'지수RAW'!$Z$7:$Z$12040,0)-1,1),GOOGLEFINANCE(W$2))"),1367.92)</f>
        <v>1367.92</v>
      </c>
      <c r="X83" s="36">
        <f t="shared" ca="1" si="36"/>
        <v>7554064.6160000004</v>
      </c>
      <c r="Y83" s="36">
        <f t="shared" ca="1" si="37"/>
        <v>24074571.248000003</v>
      </c>
      <c r="Z83" s="36">
        <f t="shared" ca="1" si="38"/>
        <v>3382866.16</v>
      </c>
      <c r="AA83" s="36">
        <f t="shared" ca="1" si="39"/>
        <v>90433259.596000016</v>
      </c>
      <c r="AB83" s="12"/>
      <c r="AC83" s="38">
        <f t="shared" ca="1" si="49"/>
        <v>128.31427579802451</v>
      </c>
      <c r="AD83" s="38">
        <f t="shared" ca="1" si="50"/>
        <v>265.03114711548494</v>
      </c>
      <c r="AE83" s="38">
        <f t="shared" ca="1" si="51"/>
        <v>327.12251016960568</v>
      </c>
      <c r="AF83" s="38">
        <f t="shared" ca="1" si="52"/>
        <v>242.35943179448162</v>
      </c>
      <c r="AG83" s="38">
        <f t="shared" ca="1" si="53"/>
        <v>611.11370217262527</v>
      </c>
    </row>
    <row r="84" spans="1:33" ht="12.75" customHeight="1" x14ac:dyDescent="0.35">
      <c r="A84" s="5"/>
      <c r="B84" s="22">
        <f t="shared" si="40"/>
        <v>24</v>
      </c>
      <c r="C84" s="22">
        <f t="shared" si="41"/>
        <v>8</v>
      </c>
      <c r="D84" s="22" t="str">
        <f>IF(F84="12월",(E84+1)&amp;VLOOKUP(F84,인덱스!$C:$D,2,0),E84&amp;VLOOKUP(F84,인덱스!$C:$D,2,0))</f>
        <v>20249</v>
      </c>
      <c r="E84" s="5" t="str">
        <f t="shared" si="42"/>
        <v>2024</v>
      </c>
      <c r="F84" s="5" t="str">
        <f t="shared" si="43"/>
        <v>8월</v>
      </c>
      <c r="G84" s="37" t="str">
        <f>B84&amp;"."&amp;VLOOKUP(F84,인덱스!$A:$B,2,0)</f>
        <v>24.08</v>
      </c>
      <c r="H84" s="14">
        <f>IFERROR(VLOOKUP(G84,#REF!,2,0),)</f>
        <v>0</v>
      </c>
      <c r="I84" s="38">
        <f t="shared" ca="1" si="44"/>
        <v>108.3817968867147</v>
      </c>
      <c r="J84" s="38">
        <f t="shared" ca="1" si="45"/>
        <v>211.26491896723911</v>
      </c>
      <c r="K84" s="39">
        <f t="shared" ca="1" si="46"/>
        <v>256.59306514625445</v>
      </c>
      <c r="L84" s="39">
        <f t="shared" ca="1" si="47"/>
        <v>193.04972122508212</v>
      </c>
      <c r="M84" s="39">
        <f t="shared" ca="1" si="48"/>
        <v>426.80039392002999</v>
      </c>
      <c r="N84" s="5"/>
      <c r="O84" s="5"/>
      <c r="P84" s="5"/>
      <c r="Q84" s="8">
        <f ca="1">IFERROR(__xludf.DUMMYFUNCTION("iferror(index('지수RAW'!$V$7:$V$12040,MATCH($D84,'지수RAW'!$R$7:$R$12040,0)-1,1),GOOGLEFINANCE(Q$2))"),2674.31)</f>
        <v>2674.31</v>
      </c>
      <c r="R84" s="5">
        <f ca="1">IFERROR(__xludf.DUMMYFUNCTION("iferror(index('지수RAW'!$F$7:$F$12040,MATCH($D84,'지수RAW'!$B$7:$B$12040,0)-1,1),GOOGLEFINANCE(R$2))"),5648.4)</f>
        <v>5648.4</v>
      </c>
      <c r="S84" s="9">
        <f ca="1">IFERROR(__xludf.DUMMYFUNCTION("iferror(index('지수RAW'!$N$7:$N$12040,MATCH($D84,'지수RAW'!$J$7:$J$12040,0)-1,1),GOOGLEFINANCE(S$2))"),17713.62)</f>
        <v>17713.62</v>
      </c>
      <c r="T84" s="5"/>
      <c r="U84" s="29">
        <f t="array" aca="1" ref="U84" ca="1">IFERROR(INDEX(지수RAW!$AT$7:$AT$12040,MATCH($D84,지수RAW!$AP$7:$AP$12040,0)-1,1),지수RAW!$AU$4)</f>
        <v>2527.6</v>
      </c>
      <c r="V84" s="29">
        <f ca="1">IFERROR(__xludf.DUMMYFUNCTION("iferror(index('지수RAW'!$AL$7:$AL$12040,MATCH($D84,'지수RAW'!$AH$7:$AH$12040,0)-1,1),GOOGLEFINANCE(V$2))"),59244.12)</f>
        <v>59244.12</v>
      </c>
      <c r="W84" s="30">
        <f ca="1">IFERROR(__xludf.DUMMYFUNCTION("iferror(index('지수RAW'!$AD$7:$AD$12040,MATCH($D84,'지수RAW'!$Z$7:$Z$12040,0)-1,1),GOOGLEFINANCE(W$2))"),1336.57)</f>
        <v>1336.57</v>
      </c>
      <c r="X84" s="36">
        <f t="shared" ca="1" si="36"/>
        <v>7549481.987999999</v>
      </c>
      <c r="Y84" s="36">
        <f t="shared" ca="1" si="37"/>
        <v>23675493.083399996</v>
      </c>
      <c r="Z84" s="36">
        <f t="shared" ca="1" si="38"/>
        <v>3378314.3319999999</v>
      </c>
      <c r="AA84" s="36">
        <f t="shared" ca="1" si="39"/>
        <v>79183913.468400002</v>
      </c>
      <c r="AB84" s="12"/>
      <c r="AC84" s="38">
        <f t="shared" ca="1" si="49"/>
        <v>125.37356833979005</v>
      </c>
      <c r="AD84" s="38">
        <f t="shared" ca="1" si="50"/>
        <v>264.87036755939386</v>
      </c>
      <c r="AE84" s="38">
        <f t="shared" ca="1" si="51"/>
        <v>321.69988188630117</v>
      </c>
      <c r="AF84" s="38">
        <f t="shared" ca="1" si="52"/>
        <v>242.03332416990261</v>
      </c>
      <c r="AG84" s="38">
        <f t="shared" ca="1" si="53"/>
        <v>535.0948835458222</v>
      </c>
    </row>
    <row r="85" spans="1:33" ht="12.75" customHeight="1" x14ac:dyDescent="0.35">
      <c r="A85" s="5"/>
      <c r="B85" s="22">
        <f t="shared" si="40"/>
        <v>24</v>
      </c>
      <c r="C85" s="22">
        <f t="shared" si="41"/>
        <v>9</v>
      </c>
      <c r="D85" s="22" t="str">
        <f>IF(F85="12월",(E85+1)&amp;VLOOKUP(F85,인덱스!$C:$D,2,0),E85&amp;VLOOKUP(F85,인덱스!$C:$D,2,0))</f>
        <v>202410</v>
      </c>
      <c r="E85" s="5" t="str">
        <f t="shared" si="42"/>
        <v>2024</v>
      </c>
      <c r="F85" s="5" t="str">
        <f t="shared" si="43"/>
        <v>9월</v>
      </c>
      <c r="G85" s="37" t="str">
        <f>B85&amp;"."&amp;VLOOKUP(F85,인덱스!$A:$B,2,0)</f>
        <v>24.09</v>
      </c>
      <c r="H85" s="14">
        <f>IFERROR(VLOOKUP(G85,#REF!,2,0),)</f>
        <v>0</v>
      </c>
      <c r="I85" s="38">
        <f t="shared" ca="1" si="44"/>
        <v>105.09748773044659</v>
      </c>
      <c r="J85" s="38">
        <f t="shared" ca="1" si="45"/>
        <v>215.53180905218045</v>
      </c>
      <c r="K85" s="39">
        <f t="shared" ca="1" si="46"/>
        <v>263.48170971073654</v>
      </c>
      <c r="L85" s="39">
        <f t="shared" ca="1" si="47"/>
        <v>203.11616894523794</v>
      </c>
      <c r="M85" s="39">
        <f t="shared" ca="1" si="48"/>
        <v>464.98282903452832</v>
      </c>
      <c r="N85" s="5"/>
      <c r="O85" s="5"/>
      <c r="P85" s="5"/>
      <c r="Q85" s="8">
        <f ca="1">IFERROR(__xludf.DUMMYFUNCTION("iferror(index('지수RAW'!$V$7:$V$12040,MATCH($D85,'지수RAW'!$R$7:$R$12040,0)-1,1),GOOGLEFINANCE(Q$2))"),2593.27)</f>
        <v>2593.27</v>
      </c>
      <c r="R85" s="5">
        <f ca="1">IFERROR(__xludf.DUMMYFUNCTION("iferror(index('지수RAW'!$F$7:$F$12040,MATCH($D85,'지수RAW'!$B$7:$B$12040,0)-1,1),GOOGLEFINANCE(R$2))"),5762.48)</f>
        <v>5762.48</v>
      </c>
      <c r="S85" s="9">
        <f ca="1">IFERROR(__xludf.DUMMYFUNCTION("iferror(index('지수RAW'!$N$7:$N$12040,MATCH($D85,'지수RAW'!$J$7:$J$12040,0)-1,1),GOOGLEFINANCE(S$2))"),18189.17)</f>
        <v>18189.169999999998</v>
      </c>
      <c r="T85" s="5"/>
      <c r="U85" s="29">
        <f t="array" aca="1" ref="U85" ca="1">IFERROR(INDEX(지수RAW!$AT$7:$AT$12040,MATCH($D85,지수RAW!$AP$7:$AP$12040,0)-1,1),지수RAW!$AU$4)</f>
        <v>2659.4</v>
      </c>
      <c r="V85" s="29">
        <f ca="1">IFERROR(__xludf.DUMMYFUNCTION("iferror(index('지수RAW'!$AL$7:$AL$12040,MATCH($D85,'지수RAW'!$AH$7:$AH$12040,0)-1,1),GOOGLEFINANCE(V$2))"),64544.22)</f>
        <v>64544.22</v>
      </c>
      <c r="W85" s="30">
        <f ca="1">IFERROR(__xludf.DUMMYFUNCTION("iferror(index('지수RAW'!$AD$7:$AD$12040,MATCH($D85,'지수RAW'!$Z$7:$Z$12040,0)-1,1),GOOGLEFINANCE(W$2))"),1315.33)</f>
        <v>1315.33</v>
      </c>
      <c r="X85" s="36">
        <f t="shared" ca="1" si="36"/>
        <v>7579562.8183999993</v>
      </c>
      <c r="Y85" s="36">
        <f t="shared" ca="1" si="37"/>
        <v>23924760.976099998</v>
      </c>
      <c r="Z85" s="36">
        <f t="shared" ca="1" si="38"/>
        <v>3497988.602</v>
      </c>
      <c r="AA85" s="36">
        <f t="shared" ca="1" si="39"/>
        <v>84896948.8926</v>
      </c>
      <c r="AB85" s="12"/>
      <c r="AC85" s="38">
        <f t="shared" ca="1" si="49"/>
        <v>123.38120386090968</v>
      </c>
      <c r="AD85" s="38">
        <f t="shared" ca="1" si="50"/>
        <v>265.92574071177762</v>
      </c>
      <c r="AE85" s="38">
        <f t="shared" ca="1" si="51"/>
        <v>325.08690539441398</v>
      </c>
      <c r="AF85" s="38">
        <f t="shared" ca="1" si="52"/>
        <v>250.60717448079384</v>
      </c>
      <c r="AG85" s="38">
        <f t="shared" ca="1" si="53"/>
        <v>573.7014122093168</v>
      </c>
    </row>
    <row r="86" spans="1:33" ht="12.75" customHeight="1" x14ac:dyDescent="0.35">
      <c r="A86" s="5"/>
      <c r="B86" s="22">
        <f t="shared" si="40"/>
        <v>24</v>
      </c>
      <c r="C86" s="22">
        <f t="shared" si="41"/>
        <v>10</v>
      </c>
      <c r="D86" s="22" t="str">
        <f>IF(F86="12월",(E86+1)&amp;VLOOKUP(F86,인덱스!$C:$D,2,0),E86&amp;VLOOKUP(F86,인덱스!$C:$D,2,0))</f>
        <v>202411</v>
      </c>
      <c r="E86" s="5" t="str">
        <f t="shared" si="42"/>
        <v>2024</v>
      </c>
      <c r="F86" s="5" t="str">
        <f t="shared" si="43"/>
        <v>10월</v>
      </c>
      <c r="G86" s="37" t="str">
        <f>B86&amp;"."&amp;VLOOKUP(F86,인덱스!$A:$B,2,0)</f>
        <v>24.10</v>
      </c>
      <c r="H86" s="14">
        <f>IFERROR(VLOOKUP(G86,#REF!,2,0),)</f>
        <v>0</v>
      </c>
      <c r="I86" s="38">
        <f t="shared" ca="1" si="44"/>
        <v>103.59312499746693</v>
      </c>
      <c r="J86" s="38">
        <f t="shared" ca="1" si="45"/>
        <v>213.39873803583924</v>
      </c>
      <c r="K86" s="39">
        <f t="shared" ca="1" si="46"/>
        <v>262.11977014191604</v>
      </c>
      <c r="L86" s="39">
        <f t="shared" ca="1" si="47"/>
        <v>209.98243336133814</v>
      </c>
      <c r="M86" s="39">
        <f t="shared" ca="1" si="48"/>
        <v>521.05303728336366</v>
      </c>
      <c r="N86" s="5"/>
      <c r="O86" s="5"/>
      <c r="P86" s="5"/>
      <c r="Q86" s="8">
        <f ca="1">IFERROR(__xludf.DUMMYFUNCTION("iferror(index('지수RAW'!$V$7:$V$12040,MATCH($D86,'지수RAW'!$R$7:$R$12040,0)-1,1),GOOGLEFINANCE(Q$2))"),2556.15)</f>
        <v>2556.15</v>
      </c>
      <c r="R86" s="5">
        <f ca="1">IFERROR(__xludf.DUMMYFUNCTION("iferror(index('지수RAW'!$F$7:$F$12040,MATCH($D86,'지수RAW'!$B$7:$B$12040,0)-1,1),GOOGLEFINANCE(R$2))"),5705.45)</f>
        <v>5705.45</v>
      </c>
      <c r="S86" s="9">
        <f ca="1">IFERROR(__xludf.DUMMYFUNCTION("iferror(index('지수RAW'!$N$7:$N$12040,MATCH($D86,'지수RAW'!$J$7:$J$12040,0)-1,1),GOOGLEFINANCE(S$2))"),18095.15)</f>
        <v>18095.150000000001</v>
      </c>
      <c r="T86" s="5"/>
      <c r="U86" s="29">
        <f t="array" aca="1" ref="U86" ca="1">IFERROR(INDEX(지수RAW!$AT$7:$AT$12040,MATCH($D86,지수RAW!$AP$7:$AP$12040,0)-1,1),지수RAW!$AU$4)</f>
        <v>2749.3</v>
      </c>
      <c r="V86" s="29">
        <f ca="1">IFERROR(__xludf.DUMMYFUNCTION("iferror(index('지수RAW'!$AL$7:$AL$12040,MATCH($D86,'지수RAW'!$AH$7:$AH$12040,0)-1,1),GOOGLEFINANCE(V$2))"),72327.32)</f>
        <v>72327.320000000007</v>
      </c>
      <c r="W86" s="30">
        <f ca="1">IFERROR(__xludf.DUMMYFUNCTION("iferror(index('지수RAW'!$AD$7:$AD$12040,MATCH($D86,'지수RAW'!$Z$7:$Z$12040,0)-1,1),GOOGLEFINANCE(W$2))"),1372.93)</f>
        <v>1372.93</v>
      </c>
      <c r="X86" s="36">
        <f t="shared" ca="1" si="36"/>
        <v>7833183.4685000004</v>
      </c>
      <c r="Y86" s="36">
        <f t="shared" ca="1" si="37"/>
        <v>24843374.289500002</v>
      </c>
      <c r="Z86" s="36">
        <f t="shared" ca="1" si="38"/>
        <v>3774596.4490000005</v>
      </c>
      <c r="AA86" s="36">
        <f t="shared" ca="1" si="39"/>
        <v>99300347.447600007</v>
      </c>
      <c r="AB86" s="12"/>
      <c r="AC86" s="38">
        <f t="shared" ca="1" si="49"/>
        <v>128.78422617651748</v>
      </c>
      <c r="AD86" s="38">
        <f t="shared" ca="1" si="50"/>
        <v>274.82391344990953</v>
      </c>
      <c r="AE86" s="38">
        <f t="shared" ca="1" si="51"/>
        <v>337.56891763293277</v>
      </c>
      <c r="AF86" s="38">
        <f t="shared" ca="1" si="52"/>
        <v>270.42425191102097</v>
      </c>
      <c r="AG86" s="38">
        <f t="shared" ca="1" si="53"/>
        <v>671.03412203462119</v>
      </c>
    </row>
    <row r="87" spans="1:33" ht="12.75" customHeight="1" x14ac:dyDescent="0.35">
      <c r="A87" s="5"/>
      <c r="B87" s="22">
        <f t="shared" si="40"/>
        <v>24</v>
      </c>
      <c r="C87" s="22">
        <f t="shared" si="41"/>
        <v>11</v>
      </c>
      <c r="D87" s="22" t="str">
        <f>IF(F87="12월",(E87+1)&amp;VLOOKUP(F87,인덱스!$C:$D,2,0),E87&amp;VLOOKUP(F87,인덱스!$C:$D,2,0))</f>
        <v>202412</v>
      </c>
      <c r="E87" s="5" t="str">
        <f t="shared" si="42"/>
        <v>2024</v>
      </c>
      <c r="F87" s="5" t="str">
        <f t="shared" si="43"/>
        <v>11월</v>
      </c>
      <c r="G87" s="37" t="str">
        <f>B87&amp;"."&amp;VLOOKUP(F87,인덱스!$A:$B,2,0)</f>
        <v>24.11</v>
      </c>
      <c r="H87" s="14">
        <f>IFERROR(VLOOKUP(G87,#REF!,2,0),)</f>
        <v>0</v>
      </c>
      <c r="I87" s="38">
        <f t="shared" ca="1" si="44"/>
        <v>99.530697186209338</v>
      </c>
      <c r="J87" s="38">
        <f t="shared" ca="1" si="45"/>
        <v>225.62677428645173</v>
      </c>
      <c r="K87" s="39">
        <f t="shared" ca="1" si="46"/>
        <v>278.38742994383938</v>
      </c>
      <c r="L87" s="39">
        <f t="shared" ca="1" si="47"/>
        <v>204.76590544565798</v>
      </c>
      <c r="M87" s="39">
        <f t="shared" ca="1" si="48"/>
        <v>696.75714772505387</v>
      </c>
      <c r="N87" s="5"/>
      <c r="O87" s="5"/>
      <c r="P87" s="5"/>
      <c r="Q87" s="8">
        <f ca="1">IFERROR(__xludf.DUMMYFUNCTION("iferror(index('지수RAW'!$V$7:$V$12040,MATCH($D87,'지수RAW'!$R$7:$R$12040,0)-1,1),GOOGLEFINANCE(Q$2))"),2455.91)</f>
        <v>2455.91</v>
      </c>
      <c r="R87" s="5">
        <f ca="1">IFERROR(__xludf.DUMMYFUNCTION("iferror(index('지수RAW'!$F$7:$F$12040,MATCH($D87,'지수RAW'!$B$7:$B$12040,0)-1,1),GOOGLEFINANCE(R$2))"),6032.38)</f>
        <v>6032.38</v>
      </c>
      <c r="S87" s="9">
        <f ca="1">IFERROR(__xludf.DUMMYFUNCTION("iferror(index('지수RAW'!$N$7:$N$12040,MATCH($D87,'지수RAW'!$J$7:$J$12040,0)-1,1),GOOGLEFINANCE(S$2))"),19218.17)</f>
        <v>19218.169999999998</v>
      </c>
      <c r="T87" s="5"/>
      <c r="U87" s="29">
        <f t="array" aca="1" ref="U87" ca="1">IFERROR(INDEX(지수RAW!$AT$7:$AT$12040,MATCH($D87,지수RAW!$AP$7:$AP$12040,0)-1,1),지수RAW!$AU$4)</f>
        <v>2681</v>
      </c>
      <c r="V87" s="29">
        <f ca="1">IFERROR(__xludf.DUMMYFUNCTION("iferror(index('지수RAW'!$AL$7:$AL$12040,MATCH($D87,'지수RAW'!$AH$7:$AH$12040,0)-1,1),GOOGLEFINANCE(V$2))"),96716.79)</f>
        <v>96716.79</v>
      </c>
      <c r="W87" s="30">
        <f ca="1">IFERROR(__xludf.DUMMYFUNCTION("iferror(index('지수RAW'!$AD$7:$AD$12040,MATCH($D87,'지수RAW'!$Z$7:$Z$12040,0)-1,1),GOOGLEFINANCE(W$2))"),1399.86)</f>
        <v>1399.86</v>
      </c>
      <c r="X87" s="36">
        <f t="shared" ca="1" si="36"/>
        <v>8444487.4667999987</v>
      </c>
      <c r="Y87" s="36">
        <f t="shared" ca="1" si="37"/>
        <v>26902747.456199996</v>
      </c>
      <c r="Z87" s="36">
        <f t="shared" ca="1" si="38"/>
        <v>3753024.6599999997</v>
      </c>
      <c r="AA87" s="36">
        <f t="shared" ca="1" si="39"/>
        <v>135389965.6494</v>
      </c>
      <c r="AB87" s="12"/>
      <c r="AC87" s="38">
        <f t="shared" ca="1" si="49"/>
        <v>131.31032671400561</v>
      </c>
      <c r="AD87" s="38">
        <f t="shared" ca="1" si="50"/>
        <v>296.27125446981205</v>
      </c>
      <c r="AE87" s="38">
        <f t="shared" ca="1" si="51"/>
        <v>365.55144378997898</v>
      </c>
      <c r="AF87" s="38">
        <f t="shared" ca="1" si="52"/>
        <v>268.87877943958551</v>
      </c>
      <c r="AG87" s="38">
        <f t="shared" ca="1" si="53"/>
        <v>914.91408708095548</v>
      </c>
    </row>
    <row r="88" spans="1:33" ht="12.75" customHeight="1" x14ac:dyDescent="0.35">
      <c r="A88" s="5"/>
      <c r="B88" s="22">
        <f t="shared" si="40"/>
        <v>24</v>
      </c>
      <c r="C88" s="22">
        <f t="shared" si="41"/>
        <v>12</v>
      </c>
      <c r="D88" s="22" t="str">
        <f>IF(F88="12월",(E88+1)&amp;VLOOKUP(F88,인덱스!$C:$D,2,0),E88&amp;VLOOKUP(F88,인덱스!$C:$D,2,0))</f>
        <v>20251</v>
      </c>
      <c r="E88" s="5" t="str">
        <f t="shared" si="42"/>
        <v>2024</v>
      </c>
      <c r="F88" s="5" t="str">
        <f t="shared" si="43"/>
        <v>12월</v>
      </c>
      <c r="G88" s="37" t="str">
        <f>B88&amp;"."&amp;VLOOKUP(F88,인덱스!$A:$B,2,0)</f>
        <v>24.12</v>
      </c>
      <c r="H88" s="14">
        <f>IFERROR(VLOOKUP(G88,#REF!,2,0),)</f>
        <v>0</v>
      </c>
      <c r="I88" s="38">
        <f t="shared" ca="1" si="44"/>
        <v>97.244163096912118</v>
      </c>
      <c r="J88" s="38">
        <f t="shared" ca="1" si="45"/>
        <v>219.98833038476076</v>
      </c>
      <c r="K88" s="39">
        <f t="shared" ca="1" si="46"/>
        <v>279.72908962118635</v>
      </c>
      <c r="L88" s="39">
        <f t="shared" ca="1" si="47"/>
        <v>201.71083785228748</v>
      </c>
      <c r="M88" s="39">
        <f t="shared" ca="1" si="48"/>
        <v>665.53531124220945</v>
      </c>
      <c r="N88" s="5"/>
      <c r="O88" s="5"/>
      <c r="P88" s="5"/>
      <c r="Q88" s="8">
        <f ca="1">IFERROR(__xludf.DUMMYFUNCTION("iferror(index('지수RAW'!$V$7:$V$12040,MATCH($D88,'지수RAW'!$R$7:$R$12040,0)-1,1),GOOGLEFINANCE(Q$2))"),2399.49)</f>
        <v>2399.4899999999998</v>
      </c>
      <c r="R88" s="5">
        <f ca="1">IFERROR(__xludf.DUMMYFUNCTION("iferror(index('지수RAW'!$F$7:$F$12040,MATCH($D88,'지수RAW'!$B$7:$B$12040,0)-1,1),GOOGLEFINANCE(R$2))"),5881.63)</f>
        <v>5881.63</v>
      </c>
      <c r="S88" s="9">
        <f ca="1">IFERROR(__xludf.DUMMYFUNCTION("iferror(index('지수RAW'!$N$7:$N$12040,MATCH($D88,'지수RAW'!$J$7:$J$12040,0)-1,1),GOOGLEFINANCE(S$2))"),19310.79)</f>
        <v>19310.79</v>
      </c>
      <c r="T88" s="5"/>
      <c r="U88" s="29">
        <f t="array" aca="1" ref="U88" ca="1">IFERROR(INDEX(지수RAW!$AT$7:$AT$12040,MATCH($D88,지수RAW!$AP$7:$AP$12040,0)-1,1),지수RAW!$AU$4)</f>
        <v>2641</v>
      </c>
      <c r="V88" s="29">
        <f ca="1">IFERROR(__xludf.DUMMYFUNCTION("iferror(index('지수RAW'!$AL$7:$AL$12040,MATCH($D88,'지수RAW'!$AH$7:$AH$12040,0)-1,1),GOOGLEFINANCE(V$2))"),92382.89)</f>
        <v>92382.89</v>
      </c>
      <c r="W88" s="30">
        <f ca="1">IFERROR(__xludf.DUMMYFUNCTION("iferror(index('지수RAW'!$AD$7:$AD$12040,MATCH($D88,'지수RAW'!$Z$7:$Z$12040,0)-1,1),GOOGLEFINANCE(W$2))"),1476.69)</f>
        <v>1476.69</v>
      </c>
      <c r="X88" s="36">
        <f t="shared" ca="1" si="36"/>
        <v>8685344.2047000006</v>
      </c>
      <c r="Y88" s="36">
        <f t="shared" ca="1" si="37"/>
        <v>28516050.485100001</v>
      </c>
      <c r="Z88" s="36">
        <f t="shared" ca="1" si="38"/>
        <v>3899938.29</v>
      </c>
      <c r="AA88" s="36">
        <f t="shared" ca="1" si="39"/>
        <v>136420889.83410001</v>
      </c>
      <c r="AB88" s="12"/>
      <c r="AC88" s="38">
        <f t="shared" ca="1" si="49"/>
        <v>138.51717054227205</v>
      </c>
      <c r="AD88" s="38">
        <f t="shared" ca="1" si="50"/>
        <v>304.72161077215628</v>
      </c>
      <c r="AE88" s="38">
        <f t="shared" ca="1" si="51"/>
        <v>387.47282012692369</v>
      </c>
      <c r="AF88" s="38">
        <f t="shared" ca="1" si="52"/>
        <v>279.40414527009915</v>
      </c>
      <c r="AG88" s="38">
        <f t="shared" ca="1" si="53"/>
        <v>921.88068209241294</v>
      </c>
    </row>
    <row r="89" spans="1:33" ht="12.75" customHeight="1" x14ac:dyDescent="0.35">
      <c r="A89" s="5"/>
      <c r="B89" s="22">
        <f t="shared" si="40"/>
        <v>25</v>
      </c>
      <c r="C89" s="22">
        <f t="shared" si="41"/>
        <v>1</v>
      </c>
      <c r="D89" s="22" t="str">
        <f>IF(F89="12월",(E89+1)&amp;VLOOKUP(F89,인덱스!$C:$D,2,0),E89&amp;VLOOKUP(F89,인덱스!$C:$D,2,0))</f>
        <v>20252</v>
      </c>
      <c r="E89" s="5" t="str">
        <f t="shared" si="42"/>
        <v>2025</v>
      </c>
      <c r="F89" s="5" t="str">
        <f t="shared" si="43"/>
        <v>1월</v>
      </c>
      <c r="G89" s="37" t="str">
        <f>B89&amp;"."&amp;VLOOKUP(F89,인덱스!$A:$B,2,0)</f>
        <v>25.01</v>
      </c>
      <c r="H89" s="14">
        <f>IFERROR(VLOOKUP(G89,#REF!,2,0),)</f>
        <v>0</v>
      </c>
      <c r="I89" s="38">
        <f t="shared" ca="1" si="44"/>
        <v>102.0214874224413</v>
      </c>
      <c r="J89" s="38">
        <f t="shared" ca="1" si="45"/>
        <v>225.93160558196604</v>
      </c>
      <c r="K89" s="39">
        <f t="shared" ca="1" si="46"/>
        <v>284.31596650341379</v>
      </c>
      <c r="L89" s="39">
        <f t="shared" ca="1" si="47"/>
        <v>216.52791568013444</v>
      </c>
      <c r="M89" s="39">
        <f t="shared" ca="1" si="48"/>
        <v>749.28949592212064</v>
      </c>
      <c r="N89" s="5"/>
      <c r="O89" s="5"/>
      <c r="P89" s="5"/>
      <c r="Q89" s="8">
        <f ca="1">IFERROR(__xludf.DUMMYFUNCTION("iferror(index('지수RAW'!$V$7:$V$12040,MATCH($D89,'지수RAW'!$R$7:$R$12040,0)-1,1),GOOGLEFINANCE(Q$2))"),2517.37)</f>
        <v>2517.37</v>
      </c>
      <c r="R89" s="5">
        <f ca="1">IFERROR(__xludf.DUMMYFUNCTION("iferror(index('지수RAW'!$F$7:$F$12040,MATCH($D89,'지수RAW'!$B$7:$B$12040,0)-1,1),GOOGLEFINANCE(R$2))"),6040.53)</f>
        <v>6040.53</v>
      </c>
      <c r="S89" s="9">
        <f ca="1">IFERROR(__xludf.DUMMYFUNCTION("iferror(index('지수RAW'!$N$7:$N$12040,MATCH($D89,'지수RAW'!$J$7:$J$12040,0)-1,1),GOOGLEFINANCE(S$2))"),19627.44)</f>
        <v>19627.439999999999</v>
      </c>
      <c r="T89" s="5"/>
      <c r="U89" s="29">
        <f t="array" aca="1" ref="U89" ca="1">IFERROR(INDEX(지수RAW!$AT$7:$AT$12040,MATCH($D89,지수RAW!$AP$7:$AP$12040,0)-1,1),지수RAW!$AU$4)</f>
        <v>2835</v>
      </c>
      <c r="V89" s="29">
        <f ca="1">IFERROR(__xludf.DUMMYFUNCTION("iferror(index('지수RAW'!$AL$7:$AL$12040,MATCH($D89,'지수RAW'!$AH$7:$AH$12040,0)-1,1),GOOGLEFINANCE(V$2))"),104008.8)</f>
        <v>104008.8</v>
      </c>
      <c r="W89" s="30">
        <f ca="1">IFERROR(__xludf.DUMMYFUNCTION("iferror(index('지수RAW'!$AD$7:$AD$12040,MATCH($D89,'지수RAW'!$Z$7:$Z$12040,0)-1,1),GOOGLEFINANCE(W$2))"),1456.78)</f>
        <v>1456.78</v>
      </c>
      <c r="X89" s="36">
        <f t="shared" ca="1" si="36"/>
        <v>8799723.2933999989</v>
      </c>
      <c r="Y89" s="36">
        <f t="shared" ca="1" si="37"/>
        <v>28592862.043199997</v>
      </c>
      <c r="Z89" s="36">
        <f t="shared" ca="1" si="38"/>
        <v>4129971.3</v>
      </c>
      <c r="AA89" s="36">
        <f t="shared" ca="1" si="39"/>
        <v>151517939.664</v>
      </c>
      <c r="AB89" s="12"/>
      <c r="AC89" s="38">
        <f t="shared" ca="1" si="49"/>
        <v>136.64956334949858</v>
      </c>
      <c r="AD89" s="38">
        <f t="shared" ca="1" si="50"/>
        <v>308.73455249626824</v>
      </c>
      <c r="AE89" s="38">
        <f t="shared" ca="1" si="51"/>
        <v>388.51652675982155</v>
      </c>
      <c r="AF89" s="38">
        <f t="shared" ca="1" si="52"/>
        <v>295.88445130667446</v>
      </c>
      <c r="AG89" s="38">
        <f t="shared" ca="1" si="53"/>
        <v>1023.9008244012375</v>
      </c>
    </row>
    <row r="90" spans="1:33" ht="12.75" customHeight="1" x14ac:dyDescent="0.35">
      <c r="A90" s="5"/>
      <c r="B90" s="22">
        <f t="shared" si="40"/>
        <v>25</v>
      </c>
      <c r="C90" s="22">
        <f t="shared" si="41"/>
        <v>2</v>
      </c>
      <c r="D90" s="22" t="str">
        <f>IF(F90="12월",(E90+1)&amp;VLOOKUP(F90,인덱스!$C:$D,2,0),E90&amp;VLOOKUP(F90,인덱스!$C:$D,2,0))</f>
        <v>20253</v>
      </c>
      <c r="E90" s="5" t="str">
        <f t="shared" si="42"/>
        <v>2025</v>
      </c>
      <c r="F90" s="5" t="str">
        <f t="shared" si="43"/>
        <v>2월</v>
      </c>
      <c r="G90" s="37" t="str">
        <f>B90&amp;"."&amp;VLOOKUP(F90,인덱스!$A:$B,2,0)</f>
        <v>25.02</v>
      </c>
      <c r="H90" s="14">
        <f>IFERROR(VLOOKUP(G90,#REF!,2,0),)</f>
        <v>0</v>
      </c>
      <c r="I90" s="38">
        <f t="shared" ca="1" si="44"/>
        <v>102.64600869709693</v>
      </c>
      <c r="J90" s="38">
        <f t="shared" ca="1" si="45"/>
        <v>222.71385879017515</v>
      </c>
      <c r="K90" s="39">
        <f t="shared" ca="1" si="46"/>
        <v>273.0148521233773</v>
      </c>
      <c r="L90" s="39">
        <f t="shared" ca="1" si="47"/>
        <v>217.55900099289698</v>
      </c>
      <c r="M90" s="39">
        <f t="shared" ca="1" si="48"/>
        <v>579.04011169232149</v>
      </c>
      <c r="N90" s="5"/>
      <c r="O90" s="5"/>
      <c r="P90" s="5"/>
      <c r="Q90" s="8">
        <f ca="1">IFERROR(__xludf.DUMMYFUNCTION("iferror(index('지수RAW'!$V$7:$V$12040,MATCH($D90,'지수RAW'!$R$7:$R$12040,0)-1,1),GOOGLEFINANCE(Q$2))"),2532.78)</f>
        <v>2532.7800000000002</v>
      </c>
      <c r="R90" s="5">
        <f ca="1">IFERROR(__xludf.DUMMYFUNCTION("iferror(index('지수RAW'!$F$7:$F$12040,MATCH($D90,'지수RAW'!$B$7:$B$12040,0)-1,1),GOOGLEFINANCE(R$2))"),5954.5)</f>
        <v>5954.5</v>
      </c>
      <c r="S90" s="9">
        <f ca="1">IFERROR(__xludf.DUMMYFUNCTION("iferror(index('지수RAW'!$N$7:$N$12040,MATCH($D90,'지수RAW'!$J$7:$J$12040,0)-1,1),GOOGLEFINANCE(S$2))"),18847.28)</f>
        <v>18847.28</v>
      </c>
      <c r="T90" s="5"/>
      <c r="U90" s="29">
        <f t="array" aca="1" ref="U90" ca="1">IFERROR(INDEX(지수RAW!$AT$7:$AT$12040,MATCH($D90,지수RAW!$AP$7:$AP$12040,0)-1,1),지수RAW!$AU$4)</f>
        <v>2848.5</v>
      </c>
      <c r="V90" s="29">
        <f ca="1">IFERROR(__xludf.DUMMYFUNCTION("iferror(index('지수RAW'!$AL$7:$AL$12040,MATCH($D90,'지수RAW'!$AH$7:$AH$12040,0)-1,1),GOOGLEFINANCE(V$2))"),80376.5)</f>
        <v>80376.5</v>
      </c>
      <c r="W90" s="30">
        <f ca="1">IFERROR(__xludf.DUMMYFUNCTION("iferror(index('지수RAW'!$AD$7:$AD$12040,MATCH($D90,'지수RAW'!$Z$7:$Z$12040,0)-1,1),GOOGLEFINANCE(W$2))"),1461.18)</f>
        <v>1461.18</v>
      </c>
      <c r="X90" s="36">
        <f t="shared" ca="1" si="36"/>
        <v>8700596.3100000005</v>
      </c>
      <c r="Y90" s="36">
        <f t="shared" ca="1" si="37"/>
        <v>27539268.590399999</v>
      </c>
      <c r="Z90" s="36">
        <f t="shared" ca="1" si="38"/>
        <v>4162171.23</v>
      </c>
      <c r="AA90" s="36">
        <f t="shared" ca="1" si="39"/>
        <v>117444534.27000001</v>
      </c>
      <c r="AB90" s="12"/>
      <c r="AC90" s="38">
        <f t="shared" ca="1" si="49"/>
        <v>137.06229422082976</v>
      </c>
      <c r="AD90" s="38">
        <f t="shared" ca="1" si="50"/>
        <v>305.25672440555348</v>
      </c>
      <c r="AE90" s="38">
        <f t="shared" ca="1" si="51"/>
        <v>374.20041988390659</v>
      </c>
      <c r="AF90" s="38">
        <f t="shared" ca="1" si="52"/>
        <v>298.19135804478265</v>
      </c>
      <c r="AG90" s="38">
        <f t="shared" ca="1" si="53"/>
        <v>793.64566154435136</v>
      </c>
    </row>
    <row r="91" spans="1:33" ht="12.75" customHeight="1" x14ac:dyDescent="0.35">
      <c r="A91" s="5"/>
      <c r="B91" s="22">
        <f t="shared" si="40"/>
        <v>25</v>
      </c>
      <c r="C91" s="22">
        <f t="shared" si="41"/>
        <v>3</v>
      </c>
      <c r="D91" s="22" t="str">
        <f>IF(F91="12월",(E91+1)&amp;VLOOKUP(F91,인덱스!$C:$D,2,0),E91&amp;VLOOKUP(F91,인덱스!$C:$D,2,0))</f>
        <v>20254</v>
      </c>
      <c r="E91" s="5" t="str">
        <f t="shared" si="42"/>
        <v>2025</v>
      </c>
      <c r="F91" s="5" t="str">
        <f t="shared" si="43"/>
        <v>3월</v>
      </c>
      <c r="G91" s="37" t="str">
        <f>B91&amp;"."&amp;VLOOKUP(F91,인덱스!$A:$B,2,0)</f>
        <v>25.03</v>
      </c>
      <c r="H91" s="14">
        <f>IFERROR(VLOOKUP(G91,#REF!,2,0),)</f>
        <v>0</v>
      </c>
      <c r="I91" s="38">
        <f t="shared" ca="1" si="44"/>
        <v>100.55238319101585</v>
      </c>
      <c r="J91" s="38">
        <f t="shared" ca="1" si="45"/>
        <v>209.89785346404307</v>
      </c>
      <c r="K91" s="39">
        <f t="shared" ca="1" si="46"/>
        <v>250.59123126463979</v>
      </c>
      <c r="L91" s="39">
        <f t="shared" ca="1" si="47"/>
        <v>240.60948598487744</v>
      </c>
      <c r="M91" s="39">
        <f t="shared" ca="1" si="48"/>
        <v>587.5605414311226</v>
      </c>
      <c r="N91" s="5"/>
      <c r="O91" s="5"/>
      <c r="P91" s="5"/>
      <c r="Q91" s="8">
        <f ca="1">IFERROR(__xludf.DUMMYFUNCTION("iferror(index('지수RAW'!$V$7:$V$12040,MATCH($D91,'지수RAW'!$R$7:$R$12040,0)-1,1),GOOGLEFINANCE(Q$2))"),2481.12)</f>
        <v>2481.12</v>
      </c>
      <c r="R91" s="5">
        <f ca="1">IFERROR(__xludf.DUMMYFUNCTION("iferror(index('지수RAW'!$F$7:$F$12040,MATCH($D91,'지수RAW'!$B$7:$B$12040,0)-1,1),GOOGLEFINANCE(R$2))"),5611.85)</f>
        <v>5611.85</v>
      </c>
      <c r="S91" s="9">
        <f ca="1">IFERROR(__xludf.DUMMYFUNCTION("iferror(index('지수RAW'!$N$7:$N$12040,MATCH($D91,'지수RAW'!$J$7:$J$12040,0)-1,1),GOOGLEFINANCE(S$2))"),17299.29)</f>
        <v>17299.29</v>
      </c>
      <c r="T91" s="5"/>
      <c r="U91" s="29">
        <f t="array" aca="1" ref="U91" ca="1">IFERROR(INDEX(지수RAW!$AT$7:$AT$12040,MATCH($D91,지수RAW!$AP$7:$AP$12040,0)-1,1),지수RAW!$AU$4)</f>
        <v>3150.3</v>
      </c>
      <c r="V91" s="29">
        <f ca="1">IFERROR(__xludf.DUMMYFUNCTION("iferror(index('지수RAW'!$AL$7:$AL$12040,MATCH($D91,'지수RAW'!$AH$7:$AH$12040,0)-1,1),GOOGLEFINANCE(V$2))"),81559.22)</f>
        <v>81559.22</v>
      </c>
      <c r="W91" s="30">
        <f ca="1">IFERROR(__xludf.DUMMYFUNCTION("iferror(index('지수RAW'!$AD$7:$AD$12040,MATCH($D91,'지수RAW'!$Z$7:$Z$12040,0)-1,1),GOOGLEFINANCE(W$2))"),1471.96)</f>
        <v>1471.96</v>
      </c>
      <c r="X91" s="36">
        <f t="shared" ca="1" si="36"/>
        <v>8260418.7260000007</v>
      </c>
      <c r="Y91" s="36">
        <f t="shared" ca="1" si="37"/>
        <v>25463862.908400003</v>
      </c>
      <c r="Z91" s="36">
        <f t="shared" ca="1" si="38"/>
        <v>4637115.5880000005</v>
      </c>
      <c r="AA91" s="36">
        <f t="shared" ca="1" si="39"/>
        <v>120051909.4712</v>
      </c>
      <c r="AB91" s="12"/>
      <c r="AC91" s="38">
        <f t="shared" ca="1" si="49"/>
        <v>138.07348485559109</v>
      </c>
      <c r="AD91" s="38">
        <f t="shared" ca="1" si="50"/>
        <v>289.81328091488655</v>
      </c>
      <c r="AE91" s="38">
        <f t="shared" ca="1" si="51"/>
        <v>346.00004574962156</v>
      </c>
      <c r="AF91" s="38">
        <f t="shared" ca="1" si="52"/>
        <v>332.21790219244559</v>
      </c>
      <c r="AG91" s="38">
        <f t="shared" ca="1" si="53"/>
        <v>811.2653151903304</v>
      </c>
    </row>
    <row r="92" spans="1:33" ht="12.75" customHeight="1" x14ac:dyDescent="0.35">
      <c r="A92" s="5"/>
      <c r="B92" s="22">
        <f t="shared" si="40"/>
        <v>25</v>
      </c>
      <c r="C92" s="22">
        <f t="shared" si="41"/>
        <v>4</v>
      </c>
      <c r="D92" s="22" t="str">
        <f>IF(F92="12월",(E92+1)&amp;VLOOKUP(F92,인덱스!$C:$D,2,0),E92&amp;VLOOKUP(F92,인덱스!$C:$D,2,0))</f>
        <v>20255</v>
      </c>
      <c r="E92" s="5" t="str">
        <f t="shared" si="42"/>
        <v>2025</v>
      </c>
      <c r="F92" s="5" t="str">
        <f t="shared" si="43"/>
        <v>4월</v>
      </c>
      <c r="G92" s="37" t="str">
        <f>B92&amp;"."&amp;VLOOKUP(F92,인덱스!$A:$B,2,0)</f>
        <v>25.04</v>
      </c>
      <c r="H92" s="14">
        <f>IFERROR(VLOOKUP(G92,#REF!,2,0),)</f>
        <v>0</v>
      </c>
      <c r="I92" s="38">
        <f t="shared" ca="1" si="44"/>
        <v>103.61176742357605</v>
      </c>
      <c r="J92" s="38">
        <f t="shared" ca="1" si="45"/>
        <v>208.29739565606062</v>
      </c>
      <c r="K92" s="39">
        <f t="shared" ca="1" si="46"/>
        <v>252.72134415120709</v>
      </c>
      <c r="L92" s="39">
        <f t="shared" ca="1" si="47"/>
        <v>253.50187122890091</v>
      </c>
      <c r="M92" s="39">
        <f t="shared" ca="1" si="48"/>
        <v>684.69129363251454</v>
      </c>
      <c r="N92" s="5"/>
      <c r="O92" s="5"/>
      <c r="P92" s="5"/>
      <c r="Q92" s="8">
        <f ca="1">IFERROR(__xludf.DUMMYFUNCTION("iferror(index('지수RAW'!$V$7:$V$12040,MATCH($D92,'지수RAW'!$R$7:$R$12040,0)-1,1),GOOGLEFINANCE(Q$2))"),2556.61)</f>
        <v>2556.61</v>
      </c>
      <c r="R92" s="5">
        <f ca="1">IFERROR(__xludf.DUMMYFUNCTION("iferror(index('지수RAW'!$F$7:$F$12040,MATCH($D92,'지수RAW'!$B$7:$B$12040,0)-1,1),GOOGLEFINANCE(R$2))"),5569.06)</f>
        <v>5569.06</v>
      </c>
      <c r="S92" s="9">
        <f ca="1">IFERROR(__xludf.DUMMYFUNCTION("iferror(index('지수RAW'!$N$7:$N$12040,MATCH($D92,'지수RAW'!$J$7:$J$12040,0)-1,1),GOOGLEFINANCE(S$2))"),17446.34)</f>
        <v>17446.34</v>
      </c>
      <c r="T92" s="5"/>
      <c r="U92" s="29">
        <f t="array" aca="1" ref="U92" ca="1">IFERROR(INDEX(지수RAW!$AT$7:$AT$12040,MATCH($D92,지수RAW!$AP$7:$AP$12040,0)-1,1),지수RAW!$AU$4)</f>
        <v>3319.1</v>
      </c>
      <c r="V92" s="29">
        <f ca="1">IFERROR(__xludf.DUMMYFUNCTION("iferror(index('지수RAW'!$AL$7:$AL$12040,MATCH($D92,'지수RAW'!$AH$7:$AH$12040,0)-1,1),GOOGLEFINANCE(V$2))"),95041.93)</f>
        <v>95041.93</v>
      </c>
      <c r="W92" s="30">
        <f ca="1">IFERROR(__xludf.DUMMYFUNCTION("iferror(index('지수RAW'!$AD$7:$AD$12040,MATCH($D92,'지수RAW'!$Z$7:$Z$12040,0)-1,1),GOOGLEFINANCE(W$2))"),1423.75)</f>
        <v>1423.75</v>
      </c>
      <c r="X92" s="36">
        <f t="shared" ca="1" si="36"/>
        <v>7928949.1750000007</v>
      </c>
      <c r="Y92" s="36">
        <f t="shared" ca="1" si="37"/>
        <v>24839226.574999999</v>
      </c>
      <c r="Z92" s="36">
        <f t="shared" ca="1" si="38"/>
        <v>4725568.625</v>
      </c>
      <c r="AA92" s="36">
        <f t="shared" ca="1" si="39"/>
        <v>135315947.83749998</v>
      </c>
      <c r="AB92" s="12"/>
      <c r="AC92" s="38">
        <f t="shared" ca="1" si="49"/>
        <v>133.55126774039226</v>
      </c>
      <c r="AD92" s="38">
        <f t="shared" ca="1" si="50"/>
        <v>278.18381256888995</v>
      </c>
      <c r="AE92" s="38">
        <f t="shared" ca="1" si="51"/>
        <v>337.51255896449663</v>
      </c>
      <c r="AF92" s="38">
        <f t="shared" ca="1" si="52"/>
        <v>338.55496277181425</v>
      </c>
      <c r="AG92" s="38">
        <f t="shared" ca="1" si="53"/>
        <v>914.41390275431513</v>
      </c>
    </row>
    <row r="93" spans="1:33" ht="12.75" customHeight="1" x14ac:dyDescent="0.35">
      <c r="A93" s="5"/>
      <c r="B93" s="22">
        <f t="shared" si="40"/>
        <v>25</v>
      </c>
      <c r="C93" s="22">
        <f t="shared" si="41"/>
        <v>5</v>
      </c>
      <c r="D93" s="22" t="str">
        <f>IF(F93="12월",(E93+1)&amp;VLOOKUP(F93,인덱스!$C:$D,2,0),E93&amp;VLOOKUP(F93,인덱스!$C:$D,2,0))</f>
        <v>20256</v>
      </c>
      <c r="E93" s="5" t="str">
        <f t="shared" si="42"/>
        <v>2025</v>
      </c>
      <c r="F93" s="5" t="str">
        <f t="shared" si="43"/>
        <v>5월</v>
      </c>
      <c r="G93" s="37" t="str">
        <f>B93&amp;"."&amp;VLOOKUP(F93,인덱스!$A:$B,2,0)</f>
        <v>25.05</v>
      </c>
      <c r="H93" s="14">
        <f>IFERROR(VLOOKUP(G93,#REF!,2,0),)</f>
        <v>0</v>
      </c>
      <c r="I93" s="38">
        <f t="shared" ca="1" si="44"/>
        <v>109.32850791695189</v>
      </c>
      <c r="J93" s="38">
        <f t="shared" ca="1" si="45"/>
        <v>221.11265292993374</v>
      </c>
      <c r="K93" s="39">
        <f t="shared" ca="1" si="46"/>
        <v>276.87512946537885</v>
      </c>
      <c r="L93" s="39">
        <f t="shared" ca="1" si="47"/>
        <v>253.21927747651415</v>
      </c>
      <c r="M93" s="39">
        <f t="shared" ca="1" si="48"/>
        <v>747.31845495169989</v>
      </c>
      <c r="N93" s="5"/>
      <c r="O93" s="5"/>
      <c r="P93" s="5"/>
      <c r="Q93" s="8">
        <f ca="1">IFERROR(__xludf.DUMMYFUNCTION("iferror(index('지수RAW'!$V$7:$V$12040,MATCH($D93,'지수RAW'!$R$7:$R$12040,0)-1,1),GOOGLEFINANCE(Q$2))"),2697.67)</f>
        <v>2697.67</v>
      </c>
      <c r="R93" s="5">
        <f ca="1">IFERROR(__xludf.DUMMYFUNCTION("iferror(index('지수RAW'!$F$7:$F$12040,MATCH($D93,'지수RAW'!$B$7:$B$12040,0)-1,1),GOOGLEFINANCE(R$2))"),5911.69)</f>
        <v>5911.69</v>
      </c>
      <c r="S93" s="9">
        <f ca="1">IFERROR(__xludf.DUMMYFUNCTION("iferror(index('지수RAW'!$N$7:$N$12040,MATCH($D93,'지수RAW'!$J$7:$J$12040,0)-1,1),GOOGLEFINANCE(S$2))"),19113.77)</f>
        <v>19113.77</v>
      </c>
      <c r="T93" s="5"/>
      <c r="U93" s="29">
        <f t="array" aca="1" ref="U93" ca="1">IFERROR(INDEX(지수RAW!$AT$7:$AT$12040,MATCH($D93,지수RAW!$AP$7:$AP$12040,0)-1,1),지수RAW!$AU$4)</f>
        <v>3315.4</v>
      </c>
      <c r="V93" s="29">
        <f ca="1">IFERROR(__xludf.DUMMYFUNCTION("iferror(index('지수RAW'!$AL$7:$AL$12040,MATCH($D93,'지수RAW'!$AH$7:$AH$12040,0)-1,1),GOOGLEFINANCE(V$2))"),103735.2)</f>
        <v>103735.2</v>
      </c>
      <c r="W93" s="30">
        <f ca="1">IFERROR(__xludf.DUMMYFUNCTION("iferror(index('지수RAW'!$AD$7:$AD$12040,MATCH($D93,'지수RAW'!$Z$7:$Z$12040,0)-1,1),GOOGLEFINANCE(W$2))"),1381.98)</f>
        <v>1381.98</v>
      </c>
      <c r="X93" s="36">
        <f t="shared" ca="1" si="36"/>
        <v>8169837.3461999996</v>
      </c>
      <c r="Y93" s="36">
        <f t="shared" ca="1" si="37"/>
        <v>26414847.864600003</v>
      </c>
      <c r="Z93" s="36">
        <f t="shared" ca="1" si="38"/>
        <v>4581816.4920000006</v>
      </c>
      <c r="AA93" s="36">
        <f t="shared" ca="1" si="39"/>
        <v>143359971.69600001</v>
      </c>
      <c r="AB93" s="12"/>
      <c r="AC93" s="38">
        <f t="shared" ca="1" si="49"/>
        <v>129.63313853686904</v>
      </c>
      <c r="AD93" s="38">
        <f t="shared" ca="1" si="50"/>
        <v>286.63527169520768</v>
      </c>
      <c r="AE93" s="38">
        <f t="shared" ca="1" si="51"/>
        <v>358.92192015398996</v>
      </c>
      <c r="AF93" s="38">
        <f t="shared" ca="1" si="52"/>
        <v>328.2560967731888</v>
      </c>
      <c r="AG93" s="38">
        <f t="shared" ca="1" si="53"/>
        <v>968.77236801912704</v>
      </c>
    </row>
    <row r="94" spans="1:33" ht="12.75" customHeight="1" x14ac:dyDescent="0.35">
      <c r="A94" s="5"/>
      <c r="B94" s="22">
        <f t="shared" si="40"/>
        <v>25</v>
      </c>
      <c r="C94" s="22">
        <f t="shared" si="41"/>
        <v>6</v>
      </c>
      <c r="D94" s="22" t="str">
        <f>IF(F94="12월",(E94+1)&amp;VLOOKUP(F94,인덱스!$C:$D,2,0),E94&amp;VLOOKUP(F94,인덱스!$C:$D,2,0))</f>
        <v>20257</v>
      </c>
      <c r="E94" s="5" t="str">
        <f t="shared" si="42"/>
        <v>2025</v>
      </c>
      <c r="F94" s="5" t="str">
        <f t="shared" si="43"/>
        <v>6월</v>
      </c>
      <c r="G94" s="37" t="str">
        <f>B94&amp;"."&amp;VLOOKUP(F94,인덱스!$A:$B,2,0)</f>
        <v>25.06</v>
      </c>
      <c r="H94" s="14">
        <f>IFERROR(VLOOKUP(G94,#REF!,2,0),)</f>
        <v>0</v>
      </c>
      <c r="I94" s="38">
        <f t="shared" ca="1" si="44"/>
        <v>124.48682669433293</v>
      </c>
      <c r="J94" s="38">
        <f t="shared" ca="1" si="45"/>
        <v>232.08134320263622</v>
      </c>
      <c r="K94" s="39">
        <f t="shared" ca="1" si="46"/>
        <v>295.06850981908912</v>
      </c>
      <c r="L94" s="39">
        <f t="shared" ca="1" si="47"/>
        <v>252.63117696479031</v>
      </c>
      <c r="M94" s="39">
        <f t="shared" ca="1" si="48"/>
        <v>781.8426495516527</v>
      </c>
      <c r="N94" s="5"/>
      <c r="O94" s="5"/>
      <c r="P94" s="5"/>
      <c r="Q94" s="8">
        <f ca="1">IFERROR(__xludf.DUMMYFUNCTION("iferror(index('지수RAW'!$V$7:$V$12040,MATCH($D94,'지수RAW'!$R$7:$R$12040,0)-1,1),GOOGLEFINANCE(Q$2))"),3071.7)</f>
        <v>3071.7</v>
      </c>
      <c r="R94" s="5">
        <f ca="1">IFERROR(__xludf.DUMMYFUNCTION("iferror(index('지수RAW'!$F$7:$F$12040,MATCH($D94,'지수RAW'!$B$7:$B$12040,0)-1,1),GOOGLEFINANCE(R$2))"),6204.95)</f>
        <v>6204.95</v>
      </c>
      <c r="S94" s="9">
        <f ca="1">IFERROR(__xludf.DUMMYFUNCTION("iferror(index('지수RAW'!$N$7:$N$12040,MATCH($D94,'지수RAW'!$J$7:$J$12040,0)-1,1),GOOGLEFINANCE(S$2))"),20369.73)</f>
        <v>20369.73</v>
      </c>
      <c r="T94" s="5"/>
      <c r="U94" s="29">
        <f t="array" aca="1" ref="U94" ca="1">IFERROR(INDEX(지수RAW!$AT$7:$AT$12040,MATCH($D94,지수RAW!$AP$7:$AP$12040,0)-1,1),지수RAW!$AU$4)</f>
        <v>3307.7</v>
      </c>
      <c r="V94" s="29">
        <f ca="1">IFERROR(__xludf.DUMMYFUNCTION("iferror(index('지수RAW'!$AL$7:$AL$12040,MATCH($D94,'지수RAW'!$AH$7:$AH$12040,0)-1,1),GOOGLEFINANCE(V$2))"),108527.5)</f>
        <v>108527.5</v>
      </c>
      <c r="W94" s="30">
        <f ca="1">IFERROR(__xludf.DUMMYFUNCTION("iferror(index('지수RAW'!$AD$7:$AD$12040,MATCH($D94,'지수RAW'!$Z$7:$Z$12040,0)-1,1),GOOGLEFINANCE(W$2))"),1348.5)</f>
        <v>1348.5</v>
      </c>
      <c r="X94" s="36">
        <f t="shared" ca="1" si="36"/>
        <v>8367375.0750000002</v>
      </c>
      <c r="Y94" s="36">
        <f t="shared" ca="1" si="37"/>
        <v>27468580.905000001</v>
      </c>
      <c r="Z94" s="36">
        <f t="shared" ca="1" si="38"/>
        <v>4460433.45</v>
      </c>
      <c r="AA94" s="36">
        <f t="shared" ca="1" si="39"/>
        <v>146349333.75</v>
      </c>
      <c r="AB94" s="12"/>
      <c r="AC94" s="38">
        <f t="shared" ca="1" si="49"/>
        <v>126.49263181592201</v>
      </c>
      <c r="AD94" s="38">
        <f t="shared" ca="1" si="50"/>
        <v>293.56579897075721</v>
      </c>
      <c r="AE94" s="38">
        <f t="shared" ca="1" si="51"/>
        <v>373.23992373018797</v>
      </c>
      <c r="AF94" s="38">
        <f t="shared" ca="1" si="52"/>
        <v>319.55982453030299</v>
      </c>
      <c r="AG94" s="38">
        <f t="shared" ca="1" si="53"/>
        <v>988.97334407722224</v>
      </c>
    </row>
    <row r="95" spans="1:33" ht="12.75" customHeight="1" x14ac:dyDescent="0.35">
      <c r="A95" s="5"/>
      <c r="B95" s="22">
        <f t="shared" si="40"/>
        <v>25</v>
      </c>
      <c r="C95" s="22">
        <f t="shared" si="41"/>
        <v>7</v>
      </c>
      <c r="D95" s="22" t="str">
        <f>IF(F95="12월",(E95+1)&amp;VLOOKUP(F95,인덱스!$C:$D,2,0),E95&amp;VLOOKUP(F95,인덱스!$C:$D,2,0))</f>
        <v>20258</v>
      </c>
      <c r="E95" s="5" t="str">
        <f t="shared" si="42"/>
        <v>2025</v>
      </c>
      <c r="F95" s="5" t="str">
        <f t="shared" si="43"/>
        <v>7월</v>
      </c>
      <c r="G95" s="37" t="str">
        <f>B95&amp;"."&amp;VLOOKUP(F95,인덱스!$A:$B,2,0)</f>
        <v>25.07</v>
      </c>
      <c r="H95" s="14">
        <f>IFERROR(VLOOKUP(G95,#REF!,2,0),)</f>
        <v>0</v>
      </c>
      <c r="I95" s="38">
        <f t="shared" ca="1" si="44"/>
        <v>131.52798998172213</v>
      </c>
      <c r="J95" s="38">
        <f t="shared" ca="1" si="45"/>
        <v>237.10975048716912</v>
      </c>
      <c r="K95" s="39">
        <f t="shared" ca="1" si="46"/>
        <v>305.97213832624288</v>
      </c>
      <c r="L95" s="39">
        <f t="shared" ca="1" si="47"/>
        <v>255.75498357901168</v>
      </c>
      <c r="M95" s="39">
        <f t="shared" ca="1" si="48"/>
        <v>853.35700119371847</v>
      </c>
      <c r="N95" s="5"/>
      <c r="O95" s="5"/>
      <c r="P95" s="5"/>
      <c r="Q95" s="8">
        <f ca="1">IFERROR(__xludf.DUMMYFUNCTION("iferror(index('지수RAW'!$V$7:$V$12040,MATCH($D95,'지수RAW'!$R$7:$R$12040,0)-1,1),GOOGLEFINANCE(Q$2))"),3245.44)</f>
        <v>3245.44</v>
      </c>
      <c r="R95" s="5">
        <f ca="1">IFERROR(__xludf.DUMMYFUNCTION("iferror(index('지수RAW'!$F$7:$F$12040,MATCH($D95,'지수RAW'!$B$7:$B$12040,0)-1,1),GOOGLEFINANCE(R$2))"),6339.39)</f>
        <v>6339.39</v>
      </c>
      <c r="S95" s="9">
        <f ca="1">IFERROR(__xludf.DUMMYFUNCTION("iferror(index('지수RAW'!$N$7:$N$12040,MATCH($D95,'지수RAW'!$J$7:$J$12040,0)-1,1),GOOGLEFINANCE(S$2))"),21122.45)</f>
        <v>21122.45</v>
      </c>
      <c r="T95" s="5"/>
      <c r="U95" s="29">
        <f t="array" aca="1" ref="U95" ca="1">IFERROR(INDEX(지수RAW!$AT$7:$AT$12040,MATCH($D95,지수RAW!$AP$7:$AP$12040,0)-1,1),지수RAW!$AU$4)</f>
        <v>3348.6</v>
      </c>
      <c r="V95" s="29">
        <f ca="1">IFERROR(__xludf.DUMMYFUNCTION("iferror(index('지수RAW'!$AL$7:$AL$12040,MATCH($D95,'지수RAW'!$AH$7:$AH$12040,0)-1,1),GOOGLEFINANCE(V$2))"),118454.4)</f>
        <v>118454.39999999999</v>
      </c>
      <c r="W95" s="30">
        <f ca="1">IFERROR(__xludf.DUMMYFUNCTION("iferror(index('지수RAW'!$AD$7:$AD$12040,MATCH($D95,'지수RAW'!$Z$7:$Z$12040,0)-1,1),GOOGLEFINANCE(W$2))"),1391.51)</f>
        <v>1391.51</v>
      </c>
      <c r="X95" s="36">
        <f t="shared" ca="1" si="36"/>
        <v>8821324.5789000001</v>
      </c>
      <c r="Y95" s="36">
        <f t="shared" ca="1" si="37"/>
        <v>29392100.399500001</v>
      </c>
      <c r="Z95" s="36">
        <f t="shared" ca="1" si="38"/>
        <v>4659610.3859999999</v>
      </c>
      <c r="AA95" s="36">
        <f t="shared" ca="1" si="39"/>
        <v>164830482.14399999</v>
      </c>
      <c r="AB95" s="12"/>
      <c r="AC95" s="38">
        <f t="shared" ca="1" si="49"/>
        <v>130.52707608318403</v>
      </c>
      <c r="AD95" s="38">
        <f t="shared" ca="1" si="50"/>
        <v>309.49242441903527</v>
      </c>
      <c r="AE95" s="38">
        <f t="shared" ca="1" si="51"/>
        <v>399.3764857864399</v>
      </c>
      <c r="AF95" s="38">
        <f t="shared" ca="1" si="52"/>
        <v>333.82950200271171</v>
      </c>
      <c r="AG95" s="38">
        <f t="shared" ca="1" si="53"/>
        <v>1113.8619422093034</v>
      </c>
    </row>
    <row r="96" spans="1:33" ht="12.75" customHeight="1" x14ac:dyDescent="0.35">
      <c r="A96" s="5"/>
      <c r="B96" s="22">
        <f t="shared" si="40"/>
        <v>25</v>
      </c>
      <c r="C96" s="22">
        <f t="shared" si="41"/>
        <v>8</v>
      </c>
      <c r="D96" s="22" t="str">
        <f>IF(F96="12월",(E96+1)&amp;VLOOKUP(F96,인덱스!$C:$D,2,0),E96&amp;VLOOKUP(F96,인덱스!$C:$D,2,0))</f>
        <v>20259</v>
      </c>
      <c r="E96" s="5" t="str">
        <f t="shared" si="42"/>
        <v>2025</v>
      </c>
      <c r="F96" s="5" t="str">
        <f t="shared" si="43"/>
        <v>8월</v>
      </c>
      <c r="G96" s="37" t="str">
        <f>B96&amp;"."&amp;VLOOKUP(F96,인덱스!$A:$B,2,0)</f>
        <v>25.08</v>
      </c>
      <c r="H96" s="14">
        <f>IFERROR(VLOOKUP(G96,#REF!,2,0),)</f>
        <v>0</v>
      </c>
      <c r="I96" s="38">
        <f t="shared" ca="1" si="44"/>
        <v>129.11946958244999</v>
      </c>
      <c r="J96" s="38">
        <f t="shared" ca="1" si="45"/>
        <v>241.63060431401746</v>
      </c>
      <c r="K96" s="39">
        <f t="shared" ca="1" si="46"/>
        <v>310.79730393328526</v>
      </c>
      <c r="L96" s="39">
        <f t="shared" ca="1" si="47"/>
        <v>268.54807912625063</v>
      </c>
      <c r="M96" s="39">
        <f t="shared" ca="1" si="48"/>
        <v>787.05913627198026</v>
      </c>
      <c r="N96" s="5"/>
      <c r="O96" s="5"/>
      <c r="P96" s="5"/>
      <c r="Q96" s="8">
        <f ca="1">IFERROR(__xludf.DUMMYFUNCTION("iferror(index('지수RAW'!$V$7:$V$12040,MATCH($D96,'지수RAW'!$R$7:$R$12040,0)-1,1),GOOGLEFINANCE(Q$2))"),3186.01)</f>
        <v>3186.01</v>
      </c>
      <c r="R96" s="5">
        <f ca="1">IFERROR(__xludf.DUMMYFUNCTION("iferror(index('지수RAW'!$F$7:$F$12040,MATCH($D96,'지수RAW'!$B$7:$B$12040,0)-1,1),GOOGLEFINANCE(R$2))"),6460.26)</f>
        <v>6460.26</v>
      </c>
      <c r="S96" s="9">
        <f ca="1">IFERROR(__xludf.DUMMYFUNCTION("iferror(index('지수RAW'!$N$7:$N$12040,MATCH($D96,'지수RAW'!$J$7:$J$12040,0)-1,1),GOOGLEFINANCE(S$2))"),21455.55)</f>
        <v>21455.55</v>
      </c>
      <c r="T96" s="5"/>
      <c r="U96" s="29">
        <f t="array" aca="1" ref="U96" ca="1">IFERROR(INDEX(지수RAW!$AT$7:$AT$12040,MATCH($D96,지수RAW!$AP$7:$AP$12040,0)-1,1),지수RAW!$AU$4)</f>
        <v>3516.1</v>
      </c>
      <c r="V96" s="29">
        <f ca="1">IFERROR(__xludf.DUMMYFUNCTION("iferror(index('지수RAW'!$AL$7:$AL$12040,MATCH($D96,'지수RAW'!$AH$7:$AH$12040,0)-1,1),GOOGLEFINANCE(V$2))"),109251.6)</f>
        <v>109251.6</v>
      </c>
      <c r="W96" s="30">
        <f ca="1">IFERROR(__xludf.DUMMYFUNCTION("iferror(index('지수RAW'!$AD$7:$AD$12040,MATCH($D96,'지수RAW'!$Z$7:$Z$12040,0)-1,1),GOOGLEFINANCE(W$2))"),1388.84)</f>
        <v>1388.84</v>
      </c>
      <c r="X96" s="36">
        <f t="shared" ca="1" si="36"/>
        <v>8972267.498399999</v>
      </c>
      <c r="Y96" s="36">
        <f t="shared" ca="1" si="37"/>
        <v>29798326.061999999</v>
      </c>
      <c r="Z96" s="36">
        <f t="shared" ca="1" si="38"/>
        <v>4883300.324</v>
      </c>
      <c r="AA96" s="36">
        <f t="shared" ca="1" si="39"/>
        <v>151732992.14399999</v>
      </c>
      <c r="AB96" s="12"/>
      <c r="AC96" s="38">
        <f t="shared" ca="1" si="49"/>
        <v>130.27662348626262</v>
      </c>
      <c r="AD96" s="38">
        <f t="shared" ca="1" si="50"/>
        <v>314.78819260975376</v>
      </c>
      <c r="AE96" s="38">
        <f t="shared" ca="1" si="51"/>
        <v>404.89623345062103</v>
      </c>
      <c r="AF96" s="38">
        <f t="shared" ca="1" si="52"/>
        <v>349.8553699228965</v>
      </c>
      <c r="AG96" s="38">
        <f t="shared" ca="1" si="53"/>
        <v>1025.354067575279</v>
      </c>
    </row>
    <row r="97" spans="1:33" ht="12.75" customHeight="1" x14ac:dyDescent="0.35">
      <c r="A97" s="5"/>
      <c r="B97" s="22">
        <f t="shared" si="40"/>
        <v>25</v>
      </c>
      <c r="C97" s="22">
        <f t="shared" si="41"/>
        <v>9</v>
      </c>
      <c r="D97" s="22" t="str">
        <f>IF(F97="12월",(E97+1)&amp;VLOOKUP(F97,인덱스!$C:$D,2,0),E97&amp;VLOOKUP(F97,인덱스!$C:$D,2,0))</f>
        <v>202510</v>
      </c>
      <c r="E97" s="5" t="str">
        <f t="shared" si="42"/>
        <v>2025</v>
      </c>
      <c r="F97" s="5" t="str">
        <f t="shared" si="43"/>
        <v>9월</v>
      </c>
      <c r="G97" s="37" t="str">
        <f>B97&amp;"."&amp;VLOOKUP(F97,인덱스!$A:$B,2,0)</f>
        <v>25.09</v>
      </c>
      <c r="H97" s="14">
        <f>IFERROR(VLOOKUP(G97,#REF!,2,0),)</f>
        <v>0</v>
      </c>
      <c r="I97" s="38">
        <f t="shared" ca="1" si="44"/>
        <v>138.78880968109272</v>
      </c>
      <c r="J97" s="38">
        <f t="shared" ca="1" si="45"/>
        <v>250.16588058841799</v>
      </c>
      <c r="K97" s="39">
        <f t="shared" ca="1" si="46"/>
        <v>328.24467399350209</v>
      </c>
      <c r="L97" s="39">
        <f t="shared" ca="1" si="47"/>
        <v>295.82219506606583</v>
      </c>
      <c r="M97" s="39">
        <f t="shared" ca="1" si="48"/>
        <v>824.38716546874514</v>
      </c>
      <c r="N97" s="5"/>
      <c r="O97" s="5"/>
      <c r="P97" s="5"/>
      <c r="Q97" s="8">
        <f ca="1">IFERROR(__xludf.DUMMYFUNCTION("iferror(index('지수RAW'!$V$7:$V$12040,MATCH($D97,'지수RAW'!$R$7:$R$12040,0)-1,1),GOOGLEFINANCE(Q$2))"),3424.6)</f>
        <v>3424.6</v>
      </c>
      <c r="R97" s="5">
        <f ca="1">IFERROR(__xludf.DUMMYFUNCTION("iferror(index('지수RAW'!$F$7:$F$12040,MATCH($D97,'지수RAW'!$B$7:$B$12040,0)-1,1),GOOGLEFINANCE(R$2))"),6688.46)</f>
        <v>6688.46</v>
      </c>
      <c r="S97" s="9">
        <f ca="1">IFERROR(__xludf.DUMMYFUNCTION("iferror(index('지수RAW'!$N$7:$N$12040,MATCH($D97,'지수RAW'!$J$7:$J$12040,0)-1,1),GOOGLEFINANCE(S$2))"),22660.01)</f>
        <v>22660.01</v>
      </c>
      <c r="T97" s="5"/>
      <c r="U97" s="29">
        <f t="array" aca="1" ref="U97" ca="1">IFERROR(INDEX(지수RAW!$AT$7:$AT$12040,MATCH($D97,지수RAW!$AP$7:$AP$12040,0)-1,1),지수RAW!$AU$4)</f>
        <v>3873.2</v>
      </c>
      <c r="V97" s="29">
        <f ca="1">IFERROR(__xludf.DUMMYFUNCTION("iferror(index('지수RAW'!$AL$7:$AL$12040,MATCH($D97,'지수RAW'!$AH$7:$AH$12040,0)-1,1),GOOGLEFINANCE(V$2))"),114433.1)</f>
        <v>114433.1</v>
      </c>
      <c r="W97" s="30">
        <f ca="1">IFERROR(__xludf.DUMMYFUNCTION("iferror(index('지수RAW'!$AD$7:$AD$12040,MATCH($D97,'지수RAW'!$Z$7:$Z$12040,0)-1,1),GOOGLEFINANCE(W$2))"),1403.15)</f>
        <v>1403.15</v>
      </c>
      <c r="X97" s="36">
        <f t="shared" ca="1" si="36"/>
        <v>9384912.6490000002</v>
      </c>
      <c r="Y97" s="36">
        <f t="shared" ca="1" si="37"/>
        <v>31795393.031500001</v>
      </c>
      <c r="Z97" s="36">
        <f t="shared" ca="1" si="38"/>
        <v>5434680.5800000001</v>
      </c>
      <c r="AA97" s="36">
        <f t="shared" ca="1" si="39"/>
        <v>160566804.26500002</v>
      </c>
      <c r="AB97" s="12"/>
      <c r="AC97" s="38">
        <f t="shared" ca="1" si="49"/>
        <v>131.61893684279644</v>
      </c>
      <c r="AD97" s="38">
        <f t="shared" ca="1" si="50"/>
        <v>329.26567237389571</v>
      </c>
      <c r="AE97" s="38">
        <f t="shared" ca="1" si="51"/>
        <v>432.03215015335024</v>
      </c>
      <c r="AF97" s="38">
        <f t="shared" ca="1" si="52"/>
        <v>389.35802809097959</v>
      </c>
      <c r="AG97" s="38">
        <f t="shared" ca="1" si="53"/>
        <v>1085.0496226584282</v>
      </c>
    </row>
    <row r="98" spans="1:33" ht="12.75" customHeight="1" x14ac:dyDescent="0.35">
      <c r="A98" s="5"/>
      <c r="B98" s="22">
        <f t="shared" si="40"/>
        <v>25</v>
      </c>
      <c r="C98" s="22">
        <f t="shared" si="41"/>
        <v>10</v>
      </c>
      <c r="D98" s="22" t="str">
        <f>IF(F98="12월",(E98+1)&amp;VLOOKUP(F98,인덱스!$C:$D,2,0),E98&amp;VLOOKUP(F98,인덱스!$C:$D,2,0))</f>
        <v>202511</v>
      </c>
      <c r="E98" s="5" t="str">
        <f t="shared" si="42"/>
        <v>2025</v>
      </c>
      <c r="F98" s="5" t="str">
        <f t="shared" si="43"/>
        <v>10월</v>
      </c>
      <c r="G98" s="37" t="str">
        <f>B98&amp;"."&amp;VLOOKUP(F98,인덱스!$A:$B,2,0)</f>
        <v>25.10</v>
      </c>
      <c r="H98" s="14">
        <f>IFERROR(VLOOKUP(G98,#REF!,2,0),)</f>
        <v>0</v>
      </c>
      <c r="I98" s="38">
        <f t="shared" ca="1" si="44"/>
        <v>166.46470705048426</v>
      </c>
      <c r="J98" s="38">
        <f t="shared" ca="1" si="45"/>
        <v>255.841353076926</v>
      </c>
      <c r="K98" s="39">
        <f t="shared" ca="1" si="46"/>
        <v>343.67115286837372</v>
      </c>
      <c r="L98" s="39">
        <f t="shared" ca="1" si="47"/>
        <v>305.23944092263042</v>
      </c>
      <c r="M98" s="39">
        <f t="shared" ca="1" si="48"/>
        <v>786.9986218562218</v>
      </c>
      <c r="N98" s="5"/>
      <c r="O98" s="5"/>
      <c r="P98" s="5"/>
      <c r="Q98" s="8">
        <f ca="1">IFERROR(__xludf.DUMMYFUNCTION("iferror(index('지수RAW'!$V$7:$V$12040,MATCH($D98,'지수RAW'!$R$7:$R$12040,0)-1,1),GOOGLEFINANCE(Q$2))"),4107.5)</f>
        <v>4107.5</v>
      </c>
      <c r="R98" s="5">
        <f ca="1">IFERROR(__xludf.DUMMYFUNCTION("iferror(index('지수RAW'!$F$7:$F$12040,MATCH($D98,'지수RAW'!$B$7:$B$12040,0)-1,1),GOOGLEFINANCE(R$2))"),6840.2)</f>
        <v>6840.2</v>
      </c>
      <c r="S98" s="9">
        <f ca="1">IFERROR(__xludf.DUMMYFUNCTION("iferror(index('지수RAW'!$N$7:$N$12040,MATCH($D98,'지수RAW'!$J$7:$J$12040,0)-1,1),GOOGLEFINANCE(S$2))"),23724.96)</f>
        <v>23724.959999999999</v>
      </c>
      <c r="T98" s="5"/>
      <c r="U98" s="29">
        <f t="array" aca="1" ref="U98" ca="1">IFERROR(INDEX(지수RAW!$AT$7:$AT$12040,MATCH($D98,지수RAW!$AP$7:$AP$12040,0)-1,1),지수RAW!$AU$4)</f>
        <v>3996.5</v>
      </c>
      <c r="V98" s="29">
        <f ca="1">IFERROR(__xludf.DUMMYFUNCTION("iferror(index('지수RAW'!$AL$7:$AL$12040,MATCH($D98,'지수RAW'!$AH$7:$AH$12040,0)-1,1),GOOGLEFINANCE(V$2))"),109243.2)</f>
        <v>109243.2</v>
      </c>
      <c r="W98" s="30">
        <f ca="1">IFERROR(__xludf.DUMMYFUNCTION("iferror(index('지수RAW'!$AD$7:$AD$12040,MATCH($D98,'지수RAW'!$Z$7:$Z$12040,0)-1,1),GOOGLEFINANCE(W$2))"),1427.77)</f>
        <v>1427.77</v>
      </c>
      <c r="X98" s="36">
        <f t="shared" ca="1" si="36"/>
        <v>9766232.3540000003</v>
      </c>
      <c r="Y98" s="36">
        <f t="shared" ca="1" si="37"/>
        <v>33873786.139200002</v>
      </c>
      <c r="Z98" s="36">
        <f t="shared" ca="1" si="38"/>
        <v>5706082.8049999997</v>
      </c>
      <c r="AA98" s="36">
        <f t="shared" ca="1" si="39"/>
        <v>155974163.664</v>
      </c>
      <c r="AB98" s="12"/>
      <c r="AC98" s="38">
        <f t="shared" ca="1" si="49"/>
        <v>133.92835367283573</v>
      </c>
      <c r="AD98" s="38">
        <f t="shared" ca="1" si="50"/>
        <v>342.64411219023424</v>
      </c>
      <c r="AE98" s="38">
        <f t="shared" ca="1" si="51"/>
        <v>460.27311708506716</v>
      </c>
      <c r="AF98" s="38">
        <f t="shared" ca="1" si="52"/>
        <v>408.80215798784724</v>
      </c>
      <c r="AG98" s="38">
        <f t="shared" ca="1" si="53"/>
        <v>1054.0142976799445</v>
      </c>
    </row>
    <row r="99" spans="1:33" ht="12.75" customHeight="1" x14ac:dyDescent="0.35">
      <c r="A99" s="5"/>
      <c r="B99" s="22">
        <f t="shared" si="40"/>
        <v>25</v>
      </c>
      <c r="C99" s="22">
        <f t="shared" si="41"/>
        <v>11</v>
      </c>
      <c r="D99" s="22" t="str">
        <f>IF(F99="12월",(E99+1)&amp;VLOOKUP(F99,인덱스!$C:$D,2,0),E99&amp;VLOOKUP(F99,인덱스!$C:$D,2,0))</f>
        <v>202512</v>
      </c>
      <c r="E99" s="5" t="str">
        <f t="shared" si="42"/>
        <v>2025</v>
      </c>
      <c r="F99" s="5" t="str">
        <f t="shared" si="43"/>
        <v>11월</v>
      </c>
      <c r="G99" s="37" t="str">
        <f>B99&amp;"."&amp;VLOOKUP(F99,인덱스!$A:$B,2,0)</f>
        <v>25.11</v>
      </c>
      <c r="H99" s="14">
        <f>IFERROR(VLOOKUP(G99,#REF!,2,0),)</f>
        <v>0</v>
      </c>
      <c r="I99" s="38">
        <f t="shared" ca="1" si="44"/>
        <v>159.13296507787243</v>
      </c>
      <c r="J99" s="38">
        <f t="shared" ca="1" si="45"/>
        <v>256.17386230602074</v>
      </c>
      <c r="K99" s="39">
        <f t="shared" ca="1" si="46"/>
        <v>338.46689814714256</v>
      </c>
      <c r="L99" s="39">
        <f t="shared" ca="1" si="47"/>
        <v>324.9751775758038</v>
      </c>
      <c r="M99" s="39">
        <f t="shared" ca="1" si="48"/>
        <v>654.84796113245511</v>
      </c>
      <c r="N99" s="5"/>
      <c r="O99" s="5"/>
      <c r="P99" s="5"/>
      <c r="Q99" s="8">
        <f ca="1">IFERROR(__xludf.DUMMYFUNCTION("iferror(index('지수RAW'!$V$7:$V$12040,MATCH($D99,'지수RAW'!$R$7:$R$12040,0)-1,1),GOOGLEFINANCE(Q$2))"),3926.59)</f>
        <v>3926.59</v>
      </c>
      <c r="R99" s="5">
        <f ca="1">IFERROR(__xludf.DUMMYFUNCTION("iferror(index('지수RAW'!$F$7:$F$12040,MATCH($D99,'지수RAW'!$B$7:$B$12040,0)-1,1),GOOGLEFINANCE(R$2))"),6849.09)</f>
        <v>6849.09</v>
      </c>
      <c r="S99" s="9">
        <f ca="1">IFERROR(__xludf.DUMMYFUNCTION("iferror(index('지수RAW'!$N$7:$N$12040,MATCH($D99,'지수RAW'!$J$7:$J$12040,0)-1,1),GOOGLEFINANCE(S$2))"),23365.69)</f>
        <v>23365.69</v>
      </c>
      <c r="T99" s="5"/>
      <c r="U99" s="29">
        <f t="array" aca="1" ref="U99" ca="1">IFERROR(INDEX(지수RAW!$AT$7:$AT$12040,MATCH($D99,지수RAW!$AP$7:$AP$12040,0)-1,1),지수RAW!$AU$4)</f>
        <v>4254.8999999999996</v>
      </c>
      <c r="V99" s="29">
        <f ca="1">IFERROR(__xludf.DUMMYFUNCTION("iferror(index('지수RAW'!$AL$7:$AL$12040,MATCH($D99,'지수RAW'!$AH$7:$AH$12040,0)-1,1),GOOGLEFINANCE(V$2))"),90899.38)</f>
        <v>90899.38</v>
      </c>
      <c r="W99" s="30">
        <f ca="1">IFERROR(__xludf.DUMMYFUNCTION("iferror(index('지수RAW'!$AD$7:$AD$12040,MATCH($D99,'지수RAW'!$Z$7:$Z$12040,0)-1,1),GOOGLEFINANCE(W$2))"),1465.62)</f>
        <v>1465.62</v>
      </c>
      <c r="X99" s="36">
        <f t="shared" ca="1" si="36"/>
        <v>10038163.285799999</v>
      </c>
      <c r="Y99" s="36">
        <f t="shared" ca="1" si="37"/>
        <v>34245222.577799998</v>
      </c>
      <c r="Z99" s="36">
        <f t="shared" ca="1" si="38"/>
        <v>6236066.5379999988</v>
      </c>
      <c r="AA99" s="36">
        <f t="shared" ca="1" si="39"/>
        <v>133223949.31559999</v>
      </c>
      <c r="AB99" s="12"/>
      <c r="AC99" s="38">
        <f t="shared" ca="1" si="49"/>
        <v>137.47877719099117</v>
      </c>
      <c r="AD99" s="38">
        <f t="shared" ca="1" si="50"/>
        <v>352.18469338125118</v>
      </c>
      <c r="AE99" s="38">
        <f t="shared" ca="1" si="51"/>
        <v>465.3201527689688</v>
      </c>
      <c r="AF99" s="38">
        <f t="shared" ca="1" si="52"/>
        <v>446.77190030546768</v>
      </c>
      <c r="AG99" s="38">
        <f t="shared" ca="1" si="53"/>
        <v>900.27696942503712</v>
      </c>
    </row>
    <row r="100" spans="1:33" ht="12.75" customHeight="1" x14ac:dyDescent="0.35">
      <c r="A100" s="5"/>
      <c r="B100" s="22">
        <f t="shared" si="40"/>
        <v>25</v>
      </c>
      <c r="C100" s="22">
        <f t="shared" si="41"/>
        <v>12</v>
      </c>
      <c r="D100" s="22" t="str">
        <f>IF(F100="12월",(E100+1)&amp;VLOOKUP(F100,인덱스!$C:$D,2,0),E100&amp;VLOOKUP(F100,인덱스!$C:$D,2,0))</f>
        <v>20261</v>
      </c>
      <c r="E100" s="5" t="str">
        <f t="shared" si="42"/>
        <v>2025</v>
      </c>
      <c r="F100" s="5" t="str">
        <f t="shared" si="43"/>
        <v>12월</v>
      </c>
      <c r="G100" s="37" t="str">
        <f>B100&amp;"."&amp;VLOOKUP(F100,인덱스!$A:$B,2,0)</f>
        <v>25.12</v>
      </c>
      <c r="H100" s="14">
        <f>IFERROR(VLOOKUP(G100,#REF!,2,0),)</f>
        <v>0</v>
      </c>
      <c r="I100" s="38">
        <f t="shared" ca="1" si="44"/>
        <v>170.78772355713676</v>
      </c>
      <c r="J100" s="38">
        <f t="shared" ca="1" si="45"/>
        <v>256.03958692554266</v>
      </c>
      <c r="K100" s="39">
        <f t="shared" ca="1" si="46"/>
        <v>336.67502487908155</v>
      </c>
      <c r="L100" s="39">
        <f t="shared" ca="1" si="47"/>
        <v>331.55884823951726</v>
      </c>
      <c r="M100" s="39">
        <f t="shared" ca="1" si="48"/>
        <v>635.85407092721755</v>
      </c>
      <c r="N100" s="5"/>
      <c r="O100" s="5"/>
      <c r="P100" s="5"/>
      <c r="Q100" s="8">
        <f ca="1">IFERROR(__xludf.DUMMYFUNCTION("iferror(index('지수RAW'!$V$7:$V$12040,MATCH($D100,'지수RAW'!$R$7:$R$12040,0)-1,1),GOOGLEFINANCE(Q$2))"),4214.17)</f>
        <v>4214.17</v>
      </c>
      <c r="R100" s="5">
        <f ca="1">IFERROR(__xludf.DUMMYFUNCTION("iferror(index('지수RAW'!$F$7:$F$12040,MATCH($D100,'지수RAW'!$B$7:$B$12040,0)-1,1),GOOGLEFINANCE(R$2))"),6845.5)</f>
        <v>6845.5</v>
      </c>
      <c r="S100" s="9">
        <f ca="1">IFERROR(__xludf.DUMMYFUNCTION("iferror(index('지수RAW'!$N$7:$N$12040,MATCH($D100,'지수RAW'!$J$7:$J$12040,0)-1,1),GOOGLEFINANCE(S$2))"),23241.99)</f>
        <v>23241.99</v>
      </c>
      <c r="T100" s="5"/>
      <c r="U100" s="29">
        <f t="array" aca="1" ref="U100" ca="1">IFERROR(INDEX(지수RAW!$AT$7:$AT$12040,MATCH($D100,지수RAW!$AP$7:$AP$12040,0)-1,1),지수RAW!$AU$4)</f>
        <v>4341.1000000000004</v>
      </c>
      <c r="V100" s="29">
        <f ca="1">IFERROR(__xludf.DUMMYFUNCTION("iferror(index('지수RAW'!$AL$7:$AL$12040,MATCH($D100,'지수RAW'!$AH$7:$AH$12040,0)-1,1),GOOGLEFINANCE(V$2))"),88262.84)</f>
        <v>88262.84</v>
      </c>
      <c r="W100" s="30">
        <f ca="1">IFERROR(__xludf.DUMMYFUNCTION("iferror(index('지수RAW'!$AD$7:$AD$12040,MATCH($D100,'지수RAW'!$Z$7:$Z$12040,0)-1,1),GOOGLEFINANCE(W$2))"),1443.64)</f>
        <v>1443.64</v>
      </c>
      <c r="X100" s="36">
        <f t="shared" ref="X100:X131" ca="1" si="54">$W100*R100</f>
        <v>9882437.620000001</v>
      </c>
      <c r="Y100" s="36">
        <f t="shared" ref="Y100:Y131" ca="1" si="55">$W100*S100</f>
        <v>33553066.443600006</v>
      </c>
      <c r="Z100" s="36">
        <f t="shared" ref="Z100:Z131" ca="1" si="56">$W100*U100</f>
        <v>6266985.6040000012</v>
      </c>
      <c r="AA100" s="36">
        <f t="shared" ref="AA100:AA131" ca="1" si="57">$W100*V100</f>
        <v>127419766.33760001</v>
      </c>
      <c r="AB100" s="12"/>
      <c r="AC100" s="38">
        <f t="shared" ca="1" si="49"/>
        <v>135.41699888375058</v>
      </c>
      <c r="AD100" s="38">
        <f t="shared" ca="1" si="50"/>
        <v>346.72112456892211</v>
      </c>
      <c r="AE100" s="38">
        <f t="shared" ca="1" si="51"/>
        <v>455.91521468237249</v>
      </c>
      <c r="AF100" s="38">
        <f t="shared" ca="1" si="52"/>
        <v>448.98704181948392</v>
      </c>
      <c r="AG100" s="38">
        <f t="shared" ca="1" si="53"/>
        <v>861.0545001297935</v>
      </c>
    </row>
    <row r="101" spans="1:33" ht="12.75" customHeight="1" x14ac:dyDescent="0.35">
      <c r="A101" s="5"/>
      <c r="B101" s="22">
        <f t="shared" ref="B101:B132" si="58">IF(C100=12,B100+1,B100)</f>
        <v>26</v>
      </c>
      <c r="C101" s="22">
        <f t="shared" ref="C101:C132" si="59">IF(C100=12,1,C100+1)</f>
        <v>1</v>
      </c>
      <c r="D101" s="22" t="str">
        <f>IF(F101="12월",(E101+1)&amp;VLOOKUP(F101,인덱스!$C:$D,2,0),E101&amp;VLOOKUP(F101,인덱스!$C:$D,2,0))</f>
        <v>20262</v>
      </c>
      <c r="E101" s="5" t="str">
        <f t="shared" ref="E101:E132" si="60">"20"&amp;B101</f>
        <v>2026</v>
      </c>
      <c r="F101" s="5" t="str">
        <f t="shared" ref="F101:F132" si="61">C101&amp;"월"</f>
        <v>1월</v>
      </c>
      <c r="G101" s="37" t="str">
        <f>B101&amp;"."&amp;VLOOKUP(F101,인덱스!$A:$B,2,0)</f>
        <v>26.01</v>
      </c>
      <c r="H101" s="14">
        <f>IFERROR(VLOOKUP(G101,#REF!,2,0),)</f>
        <v>0</v>
      </c>
      <c r="I101" s="38">
        <f t="shared" ref="I101:I132" ca="1" si="62">IF(Q101="","",I100*(Q101/Q100))</f>
        <v>211.72770710316928</v>
      </c>
      <c r="J101" s="38">
        <f t="shared" ref="J101:J132" ca="1" si="63">IF(R101="","",J100*(R101/R100))</f>
        <v>259.53785331443254</v>
      </c>
      <c r="K101" s="39">
        <f t="shared" ref="K101:K132" ca="1" si="64">IF(S101="","",K100*(S101/S100))</f>
        <v>339.85940240954119</v>
      </c>
      <c r="L101" s="39">
        <f t="shared" ref="L101:L132" ca="1" si="65">IF(U101="","",L100*(U101/U100))</f>
        <v>362.41503093255938</v>
      </c>
      <c r="M101" s="39">
        <f t="shared" ref="M101:M132" ca="1" si="66">IF(V101="","",M100*(V101/V100))</f>
        <v>604.38455758558985</v>
      </c>
      <c r="N101" s="5"/>
      <c r="O101" s="5"/>
      <c r="P101" s="5"/>
      <c r="Q101" s="8">
        <f ca="1">IFERROR(__xludf.DUMMYFUNCTION("iferror(index('지수RAW'!$V$7:$V$12040,MATCH($D101,'지수RAW'!$R$7:$R$12040,0)-1,1),GOOGLEFINANCE(Q$2))"),5224.36)</f>
        <v>5224.3599999999997</v>
      </c>
      <c r="R101" s="5">
        <f ca="1">IFERROR(__xludf.DUMMYFUNCTION("iferror(index('지수RAW'!$F$7:$F$12040,MATCH($D101,'지수RAW'!$B$7:$B$12040,0)-1,1),GOOGLEFINANCE(R$2))"),6939.03)</f>
        <v>6939.03</v>
      </c>
      <c r="S101" s="9">
        <f ca="1">IFERROR(__xludf.DUMMYFUNCTION("iferror(index('지수RAW'!$N$7:$N$12040,MATCH($D101,'지수RAW'!$J$7:$J$12040,0)-1,1),GOOGLEFINANCE(S$2))"),23461.82)</f>
        <v>23461.82</v>
      </c>
      <c r="T101" s="5"/>
      <c r="U101" s="29">
        <f t="array" aca="1" ref="U101" ca="1">IFERROR(INDEX(지수RAW!$AT$7:$AT$12040,MATCH($D101,지수RAW!$AP$7:$AP$12040,0)-1,1),지수RAW!$AU$4)</f>
        <v>4745.1000000000004</v>
      </c>
      <c r="V101" s="29">
        <f ca="1">IFERROR(__xludf.DUMMYFUNCTION("iferror(index('지수RAW'!$AL$7:$AL$12040,MATCH($D101,'지수RAW'!$AH$7:$AH$12040,0)-1,1),GOOGLEFINANCE(V$2))"),83894.56)</f>
        <v>83894.56</v>
      </c>
      <c r="W101" s="30">
        <f ca="1">IFERROR(__xludf.DUMMYFUNCTION("iferror(index('지수RAW'!$AD$7:$AD$12040,MATCH($D101,'지수RAW'!$Z$7:$Z$12040,0)-1,1),GOOGLEFINANCE(W$2))"),1449.7)</f>
        <v>1449.7</v>
      </c>
      <c r="X101" s="36">
        <f t="shared" ca="1" si="54"/>
        <v>10059511.790999999</v>
      </c>
      <c r="Y101" s="36">
        <f t="shared" ca="1" si="55"/>
        <v>34012600.454000004</v>
      </c>
      <c r="Z101" s="36">
        <f t="shared" ca="1" si="56"/>
        <v>6878971.4700000007</v>
      </c>
      <c r="AA101" s="36">
        <f t="shared" ca="1" si="57"/>
        <v>121621943.632</v>
      </c>
      <c r="AB101" s="12"/>
      <c r="AC101" s="38">
        <f t="shared" ref="AC101:AC132" ca="1" si="67">IF(Q101="","",AC100*(W101/W100))</f>
        <v>135.98544185653847</v>
      </c>
      <c r="AD101" s="38">
        <f t="shared" ref="AD101:AD132" ca="1" si="68">IF(R101="","",AD100*(X101/X100))</f>
        <v>352.93369661460616</v>
      </c>
      <c r="AE101" s="38">
        <f t="shared" ref="AE101:AE132" ca="1" si="69">IF(S101="","",AE100*(Y101/Y100))</f>
        <v>462.15931005760547</v>
      </c>
      <c r="AF101" s="38">
        <f t="shared" ref="AF101:AF132" ca="1" si="70">IF(U101="","",AF100*(Z101/Z100))</f>
        <v>492.83168116815204</v>
      </c>
      <c r="AG101" s="38">
        <f t="shared" ref="AG101:AG132" ca="1" si="71">IF(V101="","",AG100*(AA101/AA100))</f>
        <v>821.87501114545034</v>
      </c>
    </row>
    <row r="102" spans="1:33" ht="12.75" customHeight="1" x14ac:dyDescent="0.35">
      <c r="A102" s="5"/>
      <c r="B102" s="22">
        <f t="shared" si="58"/>
        <v>26</v>
      </c>
      <c r="C102" s="22">
        <f t="shared" si="59"/>
        <v>2</v>
      </c>
      <c r="D102" s="22" t="str">
        <f>IF(F102="12월",(E102+1)&amp;VLOOKUP(F102,인덱스!$C:$D,2,0),E102&amp;VLOOKUP(F102,인덱스!$C:$D,2,0))</f>
        <v>20263</v>
      </c>
      <c r="E102" s="5" t="str">
        <f t="shared" si="60"/>
        <v>2026</v>
      </c>
      <c r="F102" s="5" t="str">
        <f t="shared" si="61"/>
        <v>2월</v>
      </c>
      <c r="G102" s="37" t="str">
        <f>B102&amp;"."&amp;VLOOKUP(F102,인덱스!$A:$B,2,0)</f>
        <v>26.02</v>
      </c>
      <c r="H102" s="14">
        <f>IFERROR(VLOOKUP(G102,#REF!,2,0),)</f>
        <v>0</v>
      </c>
      <c r="I102" s="38">
        <f t="shared" ca="1" si="62"/>
        <v>253.05593943643098</v>
      </c>
      <c r="J102" s="38">
        <f t="shared" ca="1" si="63"/>
        <v>257.28808614569812</v>
      </c>
      <c r="K102" s="39">
        <f t="shared" ca="1" si="64"/>
        <v>328.36345621499038</v>
      </c>
      <c r="L102" s="39">
        <f t="shared" ca="1" si="65"/>
        <v>400.81723058122657</v>
      </c>
      <c r="M102" s="39">
        <f t="shared" ca="1" si="66"/>
        <v>473.28338972940674</v>
      </c>
      <c r="N102" s="5"/>
      <c r="O102" s="5"/>
      <c r="P102" s="5"/>
      <c r="Q102" s="8">
        <f ca="1">IFERROR(__xludf.DUMMYFUNCTION("iferror(index('지수RAW'!$V$7:$V$12040,MATCH($D102,'지수RAW'!$R$7:$R$12040,0)-1,1),GOOGLEFINANCE(Q$2))"),6244.13)</f>
        <v>6244.13</v>
      </c>
      <c r="R102" s="5">
        <f ca="1">IFERROR(__xludf.DUMMYFUNCTION("iferror(index('지수RAW'!$F$7:$F$12040,MATCH($D102,'지수RAW'!$B$7:$B$12040,0)-1,1),GOOGLEFINANCE(R$2))"),6878.88)</f>
        <v>6878.88</v>
      </c>
      <c r="S102" s="9">
        <f ca="1">IFERROR(__xludf.DUMMYFUNCTION("iferror(index('지수RAW'!$N$7:$N$12040,MATCH($D102,'지수RAW'!$J$7:$J$12040,0)-1,1),GOOGLEFINANCE(S$2))"),22668.21)</f>
        <v>22668.21</v>
      </c>
      <c r="T102" s="5"/>
      <c r="U102" s="29">
        <f t="array" aca="1" ref="U102" ca="1">IFERROR(INDEX(지수RAW!$AT$7:$AT$12040,MATCH($D102,지수RAW!$AP$7:$AP$12040,0)-1,1),지수RAW!$AU$4)</f>
        <v>5247.9</v>
      </c>
      <c r="V102" s="29">
        <f ca="1">IFERROR(__xludf.DUMMYFUNCTION("iferror(index('지수RAW'!$AL$7:$AL$12040,MATCH($D102,'지수RAW'!$AH$7:$AH$12040,0)-1,1),GOOGLEFINANCE(V$2))"),65696.42)</f>
        <v>65696.42</v>
      </c>
      <c r="W102" s="30">
        <f ca="1">IFERROR(__xludf.DUMMYFUNCTION("iferror(index('지수RAW'!$AD$7:$AD$12040,MATCH($D102,'지수RAW'!$Z$7:$Z$12040,0)-1,1),GOOGLEFINANCE(W$2))"),1437.8)</f>
        <v>1437.8</v>
      </c>
      <c r="X102" s="36">
        <f t="shared" ca="1" si="54"/>
        <v>9890453.6639999989</v>
      </c>
      <c r="Y102" s="36">
        <f t="shared" ca="1" si="55"/>
        <v>32592352.338</v>
      </c>
      <c r="Z102" s="36">
        <f t="shared" ca="1" si="56"/>
        <v>7545430.6199999992</v>
      </c>
      <c r="AA102" s="36">
        <f t="shared" ca="1" si="57"/>
        <v>94458312.675999999</v>
      </c>
      <c r="AB102" s="12"/>
      <c r="AC102" s="38">
        <f t="shared" ca="1" si="67"/>
        <v>134.86919245452921</v>
      </c>
      <c r="AD102" s="38">
        <f t="shared" ca="1" si="68"/>
        <v>347.00236406641693</v>
      </c>
      <c r="AE102" s="38">
        <f t="shared" ca="1" si="69"/>
        <v>442.86114171293883</v>
      </c>
      <c r="AF102" s="38">
        <f t="shared" ca="1" si="70"/>
        <v>540.57896210350918</v>
      </c>
      <c r="AG102" s="38">
        <f t="shared" ca="1" si="71"/>
        <v>638.31348574947378</v>
      </c>
    </row>
    <row r="103" spans="1:33" ht="12.75" customHeight="1" x14ac:dyDescent="0.35">
      <c r="A103" s="5"/>
      <c r="B103" s="22">
        <f t="shared" si="58"/>
        <v>26</v>
      </c>
      <c r="C103" s="22">
        <f t="shared" si="59"/>
        <v>3</v>
      </c>
      <c r="D103" s="22" t="str">
        <f>IF(F103="12월",(E103+1)&amp;VLOOKUP(F103,인덱스!$C:$D,2,0),E103&amp;VLOOKUP(F103,인덱스!$C:$D,2,0))</f>
        <v>20264</v>
      </c>
      <c r="E103" s="5" t="str">
        <f t="shared" si="60"/>
        <v>2026</v>
      </c>
      <c r="F103" s="5" t="str">
        <f t="shared" si="61"/>
        <v>3월</v>
      </c>
      <c r="G103" s="37" t="str">
        <f>B103&amp;"."&amp;VLOOKUP(F103,인덱스!$A:$B,2,0)</f>
        <v>26.03</v>
      </c>
      <c r="H103" s="14">
        <f>IFERROR(VLOOKUP(G103,#REF!,2,0),)</f>
        <v>0</v>
      </c>
      <c r="I103" s="38">
        <f t="shared" ca="1" si="62"/>
        <v>204.76111352021658</v>
      </c>
      <c r="J103" s="38">
        <f t="shared" ca="1" si="63"/>
        <v>244.18370667374822</v>
      </c>
      <c r="K103" s="39">
        <f t="shared" ca="1" si="64"/>
        <v>312.75402374775331</v>
      </c>
      <c r="L103" s="39">
        <f t="shared" ca="1" si="65"/>
        <v>357.33598105858096</v>
      </c>
      <c r="M103" s="39">
        <f t="shared" ca="1" si="66"/>
        <v>487.33915952680593</v>
      </c>
      <c r="N103" s="5"/>
      <c r="O103" s="5"/>
      <c r="P103" s="5"/>
      <c r="Q103" s="8">
        <f ca="1">IFERROR(__xludf.DUMMYFUNCTION("iferror(index('지수RAW'!$V$7:$V$12040,MATCH($D103,'지수RAW'!$R$7:$R$12040,0)-1,1),GOOGLEFINANCE(Q$2))"),5052.46)</f>
        <v>5052.46</v>
      </c>
      <c r="R103" s="5">
        <f ca="1">IFERROR(__xludf.DUMMYFUNCTION("iferror(index('지수RAW'!$F$7:$F$12040,MATCH($D103,'지수RAW'!$B$7:$B$12040,0)-1,1),GOOGLEFINANCE(R$2))"),6528.52)</f>
        <v>6528.52</v>
      </c>
      <c r="S103" s="9">
        <f ca="1">IFERROR(__xludf.DUMMYFUNCTION("iferror(index('지수RAW'!$N$7:$N$12040,MATCH($D103,'지수RAW'!$J$7:$J$12040,0)-1,1),GOOGLEFINANCE(S$2))"),21590.63)</f>
        <v>21590.63</v>
      </c>
      <c r="T103" s="5"/>
      <c r="U103" s="29">
        <f t="array" aca="1" ref="U103" ca="1">IFERROR(INDEX(지수RAW!$AT$7:$AT$12040,MATCH($D103,지수RAW!$AP$7:$AP$12040,0)-1,1),지수RAW!$AU$4)</f>
        <v>4678.6000000000004</v>
      </c>
      <c r="V103" s="29">
        <f ca="1">IFERROR(__xludf.DUMMYFUNCTION("iferror(index('지수RAW'!$AL$7:$AL$12040,MATCH($D103,'지수RAW'!$AH$7:$AH$12040,0)-1,1),GOOGLEFINANCE(V$2))"),67647.5)</f>
        <v>67647.5</v>
      </c>
      <c r="W103" s="30">
        <f ca="1">IFERROR(__xludf.DUMMYFUNCTION("iferror(index('지수RAW'!$AD$7:$AD$12040,MATCH($D103,'지수RAW'!$Z$7:$Z$12040,0)-1,1),GOOGLEFINANCE(W$2))"),1503.33)</f>
        <v>1503.33</v>
      </c>
      <c r="X103" s="36">
        <f t="shared" ca="1" si="54"/>
        <v>9814519.9715999998</v>
      </c>
      <c r="Y103" s="36">
        <f t="shared" ca="1" si="55"/>
        <v>32457841.797899999</v>
      </c>
      <c r="Z103" s="36">
        <f t="shared" ca="1" si="56"/>
        <v>7033479.7379999999</v>
      </c>
      <c r="AA103" s="36">
        <f t="shared" ca="1" si="57"/>
        <v>101696516.175</v>
      </c>
      <c r="AB103" s="12"/>
      <c r="AC103" s="38">
        <f t="shared" ca="1" si="67"/>
        <v>141.01606836324063</v>
      </c>
      <c r="AD103" s="38">
        <f t="shared" ca="1" si="68"/>
        <v>344.33826273494822</v>
      </c>
      <c r="AE103" s="38">
        <f t="shared" ca="1" si="69"/>
        <v>441.03342793691729</v>
      </c>
      <c r="AF103" s="38">
        <f t="shared" ca="1" si="70"/>
        <v>503.90115133602569</v>
      </c>
      <c r="AG103" s="38">
        <f t="shared" ca="1" si="71"/>
        <v>687.22652235916371</v>
      </c>
    </row>
    <row r="104" spans="1:33" ht="12.75" customHeight="1" x14ac:dyDescent="0.35">
      <c r="A104" s="5"/>
      <c r="B104" s="22">
        <f t="shared" si="58"/>
        <v>26</v>
      </c>
      <c r="C104" s="22">
        <f t="shared" si="59"/>
        <v>4</v>
      </c>
      <c r="D104" s="22" t="str">
        <f>IF(F104="12월",(E104+1)&amp;VLOOKUP(F104,인덱스!$C:$D,2,0),E104&amp;VLOOKUP(F104,인덱스!$C:$D,2,0))</f>
        <v>20265</v>
      </c>
      <c r="E104" s="5" t="str">
        <f t="shared" si="60"/>
        <v>2026</v>
      </c>
      <c r="F104" s="5" t="str">
        <f t="shared" si="61"/>
        <v>4월</v>
      </c>
      <c r="G104" s="37" t="str">
        <f>B104&amp;"."&amp;VLOOKUP(F104,인덱스!$A:$B,2,0)</f>
        <v>26.04</v>
      </c>
      <c r="H104" s="14">
        <f>IFERROR(VLOOKUP(G104,#REF!,2,0),)</f>
        <v>0</v>
      </c>
      <c r="I104" s="38">
        <f t="shared" ca="1" si="62"/>
        <v>267.43249212762726</v>
      </c>
      <c r="J104" s="38">
        <f t="shared" ca="1" si="63"/>
        <v>269.63581075773953</v>
      </c>
      <c r="K104" s="39">
        <f t="shared" ca="1" si="64"/>
        <v>360.58096094817228</v>
      </c>
      <c r="L104" s="39">
        <f t="shared" ca="1" si="65"/>
        <v>353.5935232567021</v>
      </c>
      <c r="M104" s="39">
        <f t="shared" ca="1" si="66"/>
        <v>546.81251121137598</v>
      </c>
      <c r="N104" s="5"/>
      <c r="O104" s="5"/>
      <c r="P104" s="5"/>
      <c r="Q104" s="8">
        <f ca="1">IFERROR(__xludf.DUMMYFUNCTION("iferror(index('지수RAW'!$V$7:$V$12040,MATCH($D104,'지수RAW'!$R$7:$R$12040,0)-1,1),GOOGLEFINANCE(Q$2))"),6598.87)</f>
        <v>6598.87</v>
      </c>
      <c r="R104" s="5">
        <f ca="1">IFERROR(__xludf.DUMMYFUNCTION("iferror(index('지수RAW'!$F$7:$F$12040,MATCH($D104,'지수RAW'!$B$7:$B$12040,0)-1,1),GOOGLEFINANCE(R$2))"),7209.01)</f>
        <v>7209.01</v>
      </c>
      <c r="S104" s="9">
        <f ca="1">IFERROR(__xludf.DUMMYFUNCTION("iferror(index('지수RAW'!$N$7:$N$12040,MATCH($D104,'지수RAW'!$J$7:$J$12040,0)-1,1),GOOGLEFINANCE(S$2))"),24892.31)</f>
        <v>24892.31</v>
      </c>
      <c r="T104" s="5"/>
      <c r="U104" s="29">
        <f t="array" aca="1" ref="U104" ca="1">IFERROR(INDEX(지수RAW!$AT$7:$AT$12040,MATCH($D104,지수RAW!$AP$7:$AP$12040,0)-1,1),지수RAW!$AU$4)</f>
        <v>4629.6000000000004</v>
      </c>
      <c r="V104" s="29">
        <f ca="1">IFERROR(__xludf.DUMMYFUNCTION("iferror(index('지수RAW'!$AL$7:$AL$12040,MATCH($D104,'지수RAW'!$AH$7:$AH$12040,0)-1,1),GOOGLEFINANCE(V$2))"),75902.99)</f>
        <v>75902.990000000005</v>
      </c>
      <c r="W104" s="30">
        <f ca="1">IFERROR(__xludf.DUMMYFUNCTION("iferror(index('지수RAW'!$AD$7:$AD$12040,MATCH($D104,'지수RAW'!$Z$7:$Z$12040,0)-1,1),GOOGLEFINANCE(W$2))"),1474.01)</f>
        <v>1474.01</v>
      </c>
      <c r="X104" s="36">
        <f t="shared" ca="1" si="54"/>
        <v>10626152.8301</v>
      </c>
      <c r="Y104" s="36">
        <f t="shared" ca="1" si="55"/>
        <v>36691513.8631</v>
      </c>
      <c r="Z104" s="36">
        <f t="shared" ca="1" si="56"/>
        <v>6824076.6960000005</v>
      </c>
      <c r="AA104" s="36">
        <f t="shared" ca="1" si="57"/>
        <v>111881766.2899</v>
      </c>
      <c r="AB104" s="12"/>
      <c r="AC104" s="38">
        <f t="shared" ca="1" si="67"/>
        <v>138.26577992064307</v>
      </c>
      <c r="AD104" s="38">
        <f t="shared" ca="1" si="68"/>
        <v>372.81405668953818</v>
      </c>
      <c r="AE104" s="38">
        <f t="shared" ca="1" si="69"/>
        <v>498.56007790033942</v>
      </c>
      <c r="AF104" s="38">
        <f t="shared" ca="1" si="70"/>
        <v>488.89884267976015</v>
      </c>
      <c r="AG104" s="38">
        <f t="shared" ca="1" si="71"/>
        <v>756.05458333006356</v>
      </c>
    </row>
    <row r="105" spans="1:33" ht="12.75" customHeight="1" x14ac:dyDescent="0.35">
      <c r="A105" s="5"/>
      <c r="B105" s="22">
        <f t="shared" si="58"/>
        <v>26</v>
      </c>
      <c r="C105" s="22">
        <f t="shared" si="59"/>
        <v>5</v>
      </c>
      <c r="D105" s="22" t="str">
        <f>IF(F105="12월",(E105+1)&amp;VLOOKUP(F105,인덱스!$C:$D,2,0),E105&amp;VLOOKUP(F105,인덱스!$C:$D,2,0))</f>
        <v>20266</v>
      </c>
      <c r="E105" s="5" t="str">
        <f t="shared" si="60"/>
        <v>2026</v>
      </c>
      <c r="F105" s="5" t="str">
        <f t="shared" si="61"/>
        <v>5월</v>
      </c>
      <c r="G105" s="37" t="str">
        <f>B105&amp;"."&amp;VLOOKUP(F105,인덱스!$A:$B,2,0)</f>
        <v>26.05</v>
      </c>
      <c r="H105" s="14">
        <f>IFERROR(VLOOKUP(G105,#REF!,2,0),)</f>
        <v>0</v>
      </c>
      <c r="I105" s="38">
        <f t="shared" ca="1" si="62"/>
        <v>343.51304361922382</v>
      </c>
      <c r="J105" s="38">
        <f t="shared" ca="1" si="63"/>
        <v>283.51405029155336</v>
      </c>
      <c r="K105" s="39">
        <f t="shared" ca="1" si="64"/>
        <v>390.71557597064674</v>
      </c>
      <c r="L105" s="39">
        <f t="shared" ca="1" si="65"/>
        <v>350.79813640876807</v>
      </c>
      <c r="M105" s="39">
        <f t="shared" ca="1" si="66"/>
        <v>533.33407775670162</v>
      </c>
      <c r="N105" s="5"/>
      <c r="O105" s="5"/>
      <c r="P105" s="5"/>
      <c r="Q105" s="8">
        <f ca="1">IFERROR(__xludf.DUMMYFUNCTION("iferror(index('지수RAW'!$V$7:$V$12040,MATCH($D105,'지수RAW'!$R$7:$R$12040,0)-1,1),GOOGLEFINANCE(Q$2))"),8476.15)</f>
        <v>8476.15</v>
      </c>
      <c r="R105" s="5">
        <f ca="1">IFERROR(__xludf.DUMMYFUNCTION("iferror(index('지수RAW'!$F$7:$F$12040,MATCH($D105,'지수RAW'!$B$7:$B$12040,0)-1,1),GOOGLEFINANCE(R$2))"),7580.06)</f>
        <v>7580.06</v>
      </c>
      <c r="S105" s="9">
        <f ca="1">IFERROR(__xludf.DUMMYFUNCTION("iferror(index('지수RAW'!$N$7:$N$12040,MATCH($D105,'지수RAW'!$J$7:$J$12040,0)-1,1),GOOGLEFINANCE(S$2))"),26972.62)</f>
        <v>26972.62</v>
      </c>
      <c r="T105" s="5"/>
      <c r="U105" s="29">
        <f t="array" aca="1" ref="U105" ca="1">IFERROR(INDEX(지수RAW!$AT$7:$AT$12040,MATCH($D105,지수RAW!$AP$7:$AP$12040,0)-1,1),지수RAW!$AU$4)</f>
        <v>4593</v>
      </c>
      <c r="V105" s="29">
        <f ca="1">IFERROR(__xludf.DUMMYFUNCTION("iferror(index('지수RAW'!$AL$7:$AL$12040,MATCH($D105,'지수RAW'!$AH$7:$AH$12040,0)-1,1),GOOGLEFINANCE(V$2))"),74032.05)</f>
        <v>74032.05</v>
      </c>
      <c r="W105" s="30">
        <f ca="1">IFERROR(__xludf.DUMMYFUNCTION("iferror(index('지수RAW'!$AD$7:$AD$12040,MATCH($D105,'지수RAW'!$Z$7:$Z$12040,0)-1,1),GOOGLEFINANCE(W$2))"),1506.84)</f>
        <v>1506.84</v>
      </c>
      <c r="X105" s="36">
        <f t="shared" ca="1" si="54"/>
        <v>11421937.610400001</v>
      </c>
      <c r="Y105" s="36">
        <f t="shared" ca="1" si="55"/>
        <v>40643422.720799997</v>
      </c>
      <c r="Z105" s="36">
        <f t="shared" ca="1" si="56"/>
        <v>6920916.1199999992</v>
      </c>
      <c r="AA105" s="36">
        <f t="shared" ca="1" si="57"/>
        <v>111554454.222</v>
      </c>
      <c r="AB105" s="12"/>
      <c r="AC105" s="38">
        <f t="shared" ca="1" si="67"/>
        <v>141.34531503559799</v>
      </c>
      <c r="AD105" s="38">
        <f t="shared" ca="1" si="68"/>
        <v>400.73382755478031</v>
      </c>
      <c r="AE105" s="38">
        <f t="shared" ca="1" si="69"/>
        <v>552.25816174886143</v>
      </c>
      <c r="AF105" s="38">
        <f t="shared" ca="1" si="70"/>
        <v>495.83673104598057</v>
      </c>
      <c r="AG105" s="38">
        <f t="shared" ca="1" si="71"/>
        <v>753.84273239741185</v>
      </c>
    </row>
    <row r="106" spans="1:33" ht="12.75" customHeight="1" x14ac:dyDescent="0.35">
      <c r="A106" s="5"/>
      <c r="B106" s="22">
        <f t="shared" si="58"/>
        <v>26</v>
      </c>
      <c r="C106" s="22">
        <f t="shared" si="59"/>
        <v>6</v>
      </c>
      <c r="D106" s="22" t="str">
        <f>IF(F106="12월",(E106+1)&amp;VLOOKUP(F106,인덱스!$C:$D,2,0),E106&amp;VLOOKUP(F106,인덱스!$C:$D,2,0))</f>
        <v>20267</v>
      </c>
      <c r="E106" s="5" t="str">
        <f t="shared" si="60"/>
        <v>2026</v>
      </c>
      <c r="F106" s="5" t="str">
        <f t="shared" si="61"/>
        <v>6월</v>
      </c>
      <c r="G106" s="37" t="str">
        <f>B106&amp;"."&amp;VLOOKUP(F106,인덱스!$A:$B,2,0)</f>
        <v>26.06</v>
      </c>
      <c r="H106" s="14">
        <f>IFERROR(VLOOKUP(G106,#REF!,2,0),)</f>
        <v>0</v>
      </c>
      <c r="I106" s="38">
        <f t="shared" ca="1" si="62"/>
        <v>343.52641753360649</v>
      </c>
      <c r="J106" s="38">
        <f t="shared" ca="1" si="63"/>
        <v>280.49565942676753</v>
      </c>
      <c r="K106" s="39">
        <f t="shared" ca="1" si="64"/>
        <v>379.72242622827383</v>
      </c>
      <c r="L106" s="39">
        <f t="shared" ca="1" si="65"/>
        <v>308.4472618956695</v>
      </c>
      <c r="M106" s="39">
        <f t="shared" ca="1" si="66"/>
        <v>428.74456360821512</v>
      </c>
      <c r="N106" s="5"/>
      <c r="O106" s="5"/>
      <c r="P106" s="5"/>
      <c r="Q106" s="8">
        <f ca="1">IFERROR(__xludf.DUMMYFUNCTION("iferror(index('지수RAW'!$V$7:$V$12040,MATCH($D106,'지수RAW'!$R$7:$R$12040,0)-1,1),GOOGLEFINANCE(Q$2))"),8476.48)</f>
        <v>8476.48</v>
      </c>
      <c r="R106" s="5">
        <f ca="1">IFERROR(__xludf.DUMMYFUNCTION("iferror(index('지수RAW'!$F$7:$F$12040,MATCH($D106,'지수RAW'!$B$7:$B$12040,0)-1,1),GOOGLEFINANCE(R$2))"),7499.36)</f>
        <v>7499.36</v>
      </c>
      <c r="S106" s="9">
        <f ca="1">IFERROR(__xludf.DUMMYFUNCTION("iferror(index('지수RAW'!$N$7:$N$12040,MATCH($D106,'지수RAW'!$J$7:$J$12040,0)-1,1),GOOGLEFINANCE(S$2))"),26213.72)</f>
        <v>26213.72</v>
      </c>
      <c r="T106" s="5"/>
      <c r="U106" s="29">
        <f t="array" aca="1" ref="U106" ca="1">IFERROR(INDEX(지수RAW!$AT$7:$AT$12040,MATCH($D106,지수RAW!$AP$7:$AP$12040,0)-1,1),지수RAW!$AU$4)</f>
        <v>4038.5</v>
      </c>
      <c r="V106" s="29">
        <f ca="1">IFERROR(__xludf.DUMMYFUNCTION("iferror(index('지수RAW'!$AL$7:$AL$12040,MATCH($D106,'지수RAW'!$AH$7:$AH$12040,0)-1,1),GOOGLEFINANCE(V$2))"),59513.99)</f>
        <v>59513.99</v>
      </c>
      <c r="W106" s="30">
        <f ca="1">IFERROR(__xludf.DUMMYFUNCTION("iferror(index('지수RAW'!$AD$7:$AD$12040,MATCH($D106,'지수RAW'!$Z$7:$Z$12040,0)-1,1),GOOGLEFINANCE(W$2))"),1548.61)</f>
        <v>1548.61</v>
      </c>
      <c r="X106" s="36">
        <f t="shared" ca="1" si="54"/>
        <v>11613583.889599999</v>
      </c>
      <c r="Y106" s="36">
        <f t="shared" ca="1" si="55"/>
        <v>40594828.929200001</v>
      </c>
      <c r="Z106" s="36">
        <f t="shared" ca="1" si="56"/>
        <v>6254061.4849999994</v>
      </c>
      <c r="AA106" s="36">
        <f t="shared" ca="1" si="57"/>
        <v>92163960.053899989</v>
      </c>
      <c r="AB106" s="12"/>
      <c r="AC106" s="38">
        <f t="shared" ca="1" si="67"/>
        <v>145.26344423912121</v>
      </c>
      <c r="AD106" s="38">
        <f t="shared" ca="1" si="68"/>
        <v>407.45765582455829</v>
      </c>
      <c r="AE106" s="38">
        <f t="shared" ca="1" si="69"/>
        <v>551.59787488754637</v>
      </c>
      <c r="AF106" s="38">
        <f t="shared" ca="1" si="70"/>
        <v>448.06111629091248</v>
      </c>
      <c r="AG106" s="38">
        <f t="shared" ca="1" si="71"/>
        <v>622.80912008528367</v>
      </c>
    </row>
    <row r="107" spans="1:33" ht="12.75" customHeight="1" x14ac:dyDescent="0.35">
      <c r="A107" s="5"/>
      <c r="B107" s="22">
        <f t="shared" si="58"/>
        <v>26</v>
      </c>
      <c r="C107" s="22">
        <f t="shared" si="59"/>
        <v>7</v>
      </c>
      <c r="D107" s="22" t="str">
        <f>IF(F107="12월",(E107+1)&amp;VLOOKUP(F107,인덱스!$C:$D,2,0),E107&amp;VLOOKUP(F107,인덱스!$C:$D,2,0))</f>
        <v>20268</v>
      </c>
      <c r="E107" s="5" t="str">
        <f t="shared" si="60"/>
        <v>2026</v>
      </c>
      <c r="F107" s="5" t="str">
        <f t="shared" si="61"/>
        <v>7월</v>
      </c>
      <c r="G107" s="37" t="str">
        <f>B107&amp;"."&amp;VLOOKUP(F107,인덱스!$A:$B,2,0)</f>
        <v>26.07</v>
      </c>
      <c r="H107" s="14">
        <f>IFERROR(VLOOKUP(G107,#REF!,2,0),)</f>
        <v>0</v>
      </c>
      <c r="I107" s="38">
        <f t="shared" ca="1" si="62"/>
        <v>276.4185467823574</v>
      </c>
      <c r="J107" s="38">
        <f t="shared" ca="1" si="63"/>
        <v>278.93709254528522</v>
      </c>
      <c r="K107" s="39">
        <f t="shared" ca="1" si="64"/>
        <v>369.67692684318911</v>
      </c>
      <c r="L107" s="39">
        <f t="shared" ca="1" si="65"/>
        <v>306.94264110593451</v>
      </c>
      <c r="M107" s="39">
        <f t="shared" ca="1" si="66"/>
        <v>463.3963427680589</v>
      </c>
      <c r="N107" s="5"/>
      <c r="O107" s="5"/>
      <c r="P107" s="5"/>
      <c r="Q107" s="8">
        <f ca="1">IFERROR(__xludf.DUMMYFUNCTION("iferror(index('지수RAW'!$V$7:$V$12040,MATCH($D107,'지수RAW'!$R$7:$R$12040,0)-1,1),GOOGLEFINANCE(Q$2))"),6820.6)</f>
        <v>6820.6</v>
      </c>
      <c r="R107" s="5">
        <f ca="1">IFERROR(__xludf.DUMMYFUNCTION("iferror(index('지수RAW'!$F$7:$F$12040,MATCH($D107,'지수RAW'!$B$7:$B$12040,0)-1,1),GOOGLEFINANCE(R$2))"),7457.69)</f>
        <v>7457.69</v>
      </c>
      <c r="S107" s="9">
        <f ca="1">IFERROR(__xludf.DUMMYFUNCTION("iferror(index('지수RAW'!$N$7:$N$12040,MATCH($D107,'지수RAW'!$J$7:$J$12040,0)-1,1),GOOGLEFINANCE(S$2))"),25520.24)</f>
        <v>25520.240000000002</v>
      </c>
      <c r="T107" s="5"/>
      <c r="U107" s="29">
        <f t="array" aca="1" ref="U107" ca="1">IFERROR(INDEX(지수RAW!$AT$7:$AT$12040,MATCH($D107,지수RAW!$AP$7:$AP$12040,0)-1,1),지수RAW!$AU$4)</f>
        <v>4018.8</v>
      </c>
      <c r="V107" s="29">
        <f ca="1">IFERROR(__xludf.DUMMYFUNCTION("iferror(index('지수RAW'!$AL$7:$AL$12040,MATCH($D107,'지수RAW'!$AH$7:$AH$12040,0)-1,1),GOOGLEFINANCE(V$2))"),64324)</f>
        <v>64324</v>
      </c>
      <c r="W107" s="30">
        <f ca="1">IFERROR(__xludf.DUMMYFUNCTION("iferror(index('지수RAW'!$AD$7:$AD$12040,MATCH($D107,'지수RAW'!$Z$7:$Z$12040,0)-1,1),GOOGLEFINANCE(W$2))"),1487.77)</f>
        <v>1487.77</v>
      </c>
      <c r="X107" s="36">
        <f t="shared" ca="1" si="54"/>
        <v>11095327.451299999</v>
      </c>
      <c r="Y107" s="36">
        <f t="shared" ca="1" si="55"/>
        <v>37968247.4648</v>
      </c>
      <c r="Z107" s="36">
        <f t="shared" ca="1" si="56"/>
        <v>5979050.0760000004</v>
      </c>
      <c r="AA107" s="36">
        <f t="shared" ca="1" si="57"/>
        <v>95699317.480000004</v>
      </c>
      <c r="AB107" s="12"/>
      <c r="AC107" s="38">
        <f t="shared" ca="1" si="67"/>
        <v>139.55650191826049</v>
      </c>
      <c r="AD107" s="38">
        <f t="shared" ca="1" si="68"/>
        <v>389.27484890870141</v>
      </c>
      <c r="AE107" s="38">
        <f t="shared" ca="1" si="69"/>
        <v>515.9081875012813</v>
      </c>
      <c r="AF107" s="38">
        <f t="shared" ca="1" si="70"/>
        <v>428.35841282296337</v>
      </c>
      <c r="AG107" s="38">
        <f t="shared" ca="1" si="71"/>
        <v>646.69972598425568</v>
      </c>
    </row>
    <row r="108" spans="1:33" ht="12.75" customHeight="1" x14ac:dyDescent="0.35">
      <c r="A108" s="5"/>
      <c r="B108" s="22">
        <f t="shared" si="58"/>
        <v>26</v>
      </c>
      <c r="C108" s="22">
        <f t="shared" si="59"/>
        <v>8</v>
      </c>
      <c r="D108" s="22" t="str">
        <f>IF(F108="12월",(E108+1)&amp;VLOOKUP(F108,인덱스!$C:$D,2,0),E108&amp;VLOOKUP(F108,인덱스!$C:$D,2,0))</f>
        <v>20269</v>
      </c>
      <c r="E108" s="5" t="str">
        <f t="shared" si="60"/>
        <v>2026</v>
      </c>
      <c r="F108" s="5" t="str">
        <f t="shared" si="61"/>
        <v>8월</v>
      </c>
      <c r="G108" s="37" t="str">
        <f>B108&amp;"."&amp;VLOOKUP(F108,인덱스!$A:$B,2,0)</f>
        <v>26.08</v>
      </c>
      <c r="H108" s="14">
        <f>IFERROR(VLOOKUP(G108,#REF!,2,0),)</f>
        <v>0</v>
      </c>
      <c r="I108" s="38">
        <f t="shared" ca="1" si="62"/>
        <v>276.4185467823574</v>
      </c>
      <c r="J108" s="38">
        <f t="shared" ca="1" si="63"/>
        <v>278.93709254528522</v>
      </c>
      <c r="K108" s="39">
        <f t="shared" ca="1" si="64"/>
        <v>369.67692684318911</v>
      </c>
      <c r="L108" s="39">
        <f t="shared" ca="1" si="65"/>
        <v>306.94264110593451</v>
      </c>
      <c r="M108" s="39">
        <f t="shared" ca="1" si="66"/>
        <v>463.3963427680589</v>
      </c>
      <c r="N108" s="5"/>
      <c r="O108" s="5"/>
      <c r="P108" s="5"/>
      <c r="Q108" s="8">
        <f ca="1">IFERROR(__xludf.DUMMYFUNCTION("iferror(index('지수RAW'!$V$7:$V$12040,MATCH($D108,'지수RAW'!$R$7:$R$12040,0)-1,1),GOOGLEFINANCE(Q$2))"),6820.6)</f>
        <v>6820.6</v>
      </c>
      <c r="R108" s="5">
        <f ca="1">IFERROR(__xludf.DUMMYFUNCTION("iferror(index('지수RAW'!$F$7:$F$12040,MATCH($D108,'지수RAW'!$B$7:$B$12040,0)-1,1),GOOGLEFINANCE(R$2))"),7457.69)</f>
        <v>7457.69</v>
      </c>
      <c r="S108" s="9">
        <f ca="1">IFERROR(__xludf.DUMMYFUNCTION("iferror(index('지수RAW'!$N$7:$N$12040,MATCH($D108,'지수RAW'!$J$7:$J$12040,0)-1,1),GOOGLEFINANCE(S$2))"),25520.24)</f>
        <v>25520.240000000002</v>
      </c>
      <c r="T108" s="5"/>
      <c r="U108" s="29">
        <f t="array" aca="1" ref="U108" ca="1">IFERROR(INDEX(지수RAW!$AT$7:$AT$12040,MATCH($D108,지수RAW!$AP$7:$AP$12040,0)-1,1),지수RAW!$AU$4)</f>
        <v>4018.8</v>
      </c>
      <c r="V108" s="29">
        <f ca="1">IFERROR(__xludf.DUMMYFUNCTION("iferror(index('지수RAW'!$AL$7:$AL$12040,MATCH($D108,'지수RAW'!$AH$7:$AH$12040,0)-1,1),GOOGLEFINANCE(V$2))"),64324)</f>
        <v>64324</v>
      </c>
      <c r="W108" s="30">
        <f ca="1">IFERROR(__xludf.DUMMYFUNCTION("iferror(index('지수RAW'!$AD$7:$AD$12040,MATCH($D108,'지수RAW'!$Z$7:$Z$12040,0)-1,1),GOOGLEFINANCE(W$2))"),1487.77)</f>
        <v>1487.77</v>
      </c>
      <c r="X108" s="36">
        <f t="shared" ca="1" si="54"/>
        <v>11095327.451299999</v>
      </c>
      <c r="Y108" s="36">
        <f t="shared" ca="1" si="55"/>
        <v>37968247.4648</v>
      </c>
      <c r="Z108" s="36">
        <f t="shared" ca="1" si="56"/>
        <v>5979050.0760000004</v>
      </c>
      <c r="AA108" s="36">
        <f t="shared" ca="1" si="57"/>
        <v>95699317.480000004</v>
      </c>
      <c r="AB108" s="12"/>
      <c r="AC108" s="38">
        <f t="shared" ca="1" si="67"/>
        <v>139.55650191826049</v>
      </c>
      <c r="AD108" s="38">
        <f t="shared" ca="1" si="68"/>
        <v>389.27484890870141</v>
      </c>
      <c r="AE108" s="38">
        <f t="shared" ca="1" si="69"/>
        <v>515.9081875012813</v>
      </c>
      <c r="AF108" s="38">
        <f t="shared" ca="1" si="70"/>
        <v>428.35841282296337</v>
      </c>
      <c r="AG108" s="38">
        <f t="shared" ca="1" si="71"/>
        <v>646.69972598425568</v>
      </c>
    </row>
    <row r="109" spans="1:33" ht="12.75" customHeight="1" x14ac:dyDescent="0.35">
      <c r="A109" s="5"/>
      <c r="B109" s="22">
        <f t="shared" si="58"/>
        <v>26</v>
      </c>
      <c r="C109" s="22">
        <f t="shared" si="59"/>
        <v>9</v>
      </c>
      <c r="D109" s="22" t="str">
        <f>IF(F109="12월",(E109+1)&amp;VLOOKUP(F109,인덱스!$C:$D,2,0),E109&amp;VLOOKUP(F109,인덱스!$C:$D,2,0))</f>
        <v>202610</v>
      </c>
      <c r="E109" s="5" t="str">
        <f t="shared" si="60"/>
        <v>2026</v>
      </c>
      <c r="F109" s="5" t="str">
        <f t="shared" si="61"/>
        <v>9월</v>
      </c>
      <c r="G109" s="37" t="str">
        <f>B109&amp;"."&amp;VLOOKUP(F109,인덱스!$A:$B,2,0)</f>
        <v>26.09</v>
      </c>
      <c r="H109" s="14">
        <f>IFERROR(VLOOKUP(G109,#REF!,2,0),)</f>
        <v>0</v>
      </c>
      <c r="I109" s="38">
        <f t="shared" ca="1" si="62"/>
        <v>276.4185467823574</v>
      </c>
      <c r="J109" s="38">
        <f t="shared" ca="1" si="63"/>
        <v>278.93709254528522</v>
      </c>
      <c r="K109" s="39">
        <f t="shared" ca="1" si="64"/>
        <v>369.67692684318911</v>
      </c>
      <c r="L109" s="39">
        <f t="shared" ca="1" si="65"/>
        <v>306.94264110593451</v>
      </c>
      <c r="M109" s="39">
        <f t="shared" ca="1" si="66"/>
        <v>463.3963427680589</v>
      </c>
      <c r="N109" s="5"/>
      <c r="O109" s="5"/>
      <c r="P109" s="5"/>
      <c r="Q109" s="8">
        <f ca="1">IFERROR(__xludf.DUMMYFUNCTION("iferror(index('지수RAW'!$V$7:$V$12040,MATCH($D109,'지수RAW'!$R$7:$R$12040,0)-1,1),GOOGLEFINANCE(Q$2))"),6820.6)</f>
        <v>6820.6</v>
      </c>
      <c r="R109" s="5">
        <f ca="1">IFERROR(__xludf.DUMMYFUNCTION("iferror(index('지수RAW'!$F$7:$F$12040,MATCH($D109,'지수RAW'!$B$7:$B$12040,0)-1,1),GOOGLEFINANCE(R$2))"),7457.69)</f>
        <v>7457.69</v>
      </c>
      <c r="S109" s="9">
        <f ca="1">IFERROR(__xludf.DUMMYFUNCTION("iferror(index('지수RAW'!$N$7:$N$12040,MATCH($D109,'지수RAW'!$J$7:$J$12040,0)-1,1),GOOGLEFINANCE(S$2))"),25520.24)</f>
        <v>25520.240000000002</v>
      </c>
      <c r="T109" s="5"/>
      <c r="U109" s="29">
        <f t="array" aca="1" ref="U109" ca="1">IFERROR(INDEX(지수RAW!$AT$7:$AT$12040,MATCH($D109,지수RAW!$AP$7:$AP$12040,0)-1,1),지수RAW!$AU$4)</f>
        <v>4018.8</v>
      </c>
      <c r="V109" s="29">
        <f ca="1">IFERROR(__xludf.DUMMYFUNCTION("iferror(index('지수RAW'!$AL$7:$AL$12040,MATCH($D109,'지수RAW'!$AH$7:$AH$12040,0)-1,1),GOOGLEFINANCE(V$2))"),64324)</f>
        <v>64324</v>
      </c>
      <c r="W109" s="30">
        <f ca="1">IFERROR(__xludf.DUMMYFUNCTION("iferror(index('지수RAW'!$AD$7:$AD$12040,MATCH($D109,'지수RAW'!$Z$7:$Z$12040,0)-1,1),GOOGLEFINANCE(W$2))"),1487.77)</f>
        <v>1487.77</v>
      </c>
      <c r="X109" s="36">
        <f t="shared" ca="1" si="54"/>
        <v>11095327.451299999</v>
      </c>
      <c r="Y109" s="36">
        <f t="shared" ca="1" si="55"/>
        <v>37968247.4648</v>
      </c>
      <c r="Z109" s="36">
        <f t="shared" ca="1" si="56"/>
        <v>5979050.0760000004</v>
      </c>
      <c r="AA109" s="36">
        <f t="shared" ca="1" si="57"/>
        <v>95699317.480000004</v>
      </c>
      <c r="AB109" s="12"/>
      <c r="AC109" s="38">
        <f t="shared" ca="1" si="67"/>
        <v>139.55650191826049</v>
      </c>
      <c r="AD109" s="38">
        <f t="shared" ca="1" si="68"/>
        <v>389.27484890870141</v>
      </c>
      <c r="AE109" s="38">
        <f t="shared" ca="1" si="69"/>
        <v>515.9081875012813</v>
      </c>
      <c r="AF109" s="38">
        <f t="shared" ca="1" si="70"/>
        <v>428.35841282296337</v>
      </c>
      <c r="AG109" s="38">
        <f t="shared" ca="1" si="71"/>
        <v>646.69972598425568</v>
      </c>
    </row>
    <row r="110" spans="1:33" ht="12.75" customHeight="1" x14ac:dyDescent="0.35">
      <c r="A110" s="5"/>
      <c r="B110" s="22">
        <f t="shared" si="58"/>
        <v>26</v>
      </c>
      <c r="C110" s="22">
        <f t="shared" si="59"/>
        <v>10</v>
      </c>
      <c r="D110" s="22" t="str">
        <f>IF(F110="12월",(E110+1)&amp;VLOOKUP(F110,인덱스!$C:$D,2,0),E110&amp;VLOOKUP(F110,인덱스!$C:$D,2,0))</f>
        <v>202611</v>
      </c>
      <c r="E110" s="5" t="str">
        <f t="shared" si="60"/>
        <v>2026</v>
      </c>
      <c r="F110" s="5" t="str">
        <f t="shared" si="61"/>
        <v>10월</v>
      </c>
      <c r="G110" s="37" t="str">
        <f>B110&amp;"."&amp;VLOOKUP(F110,인덱스!$A:$B,2,0)</f>
        <v>26.10</v>
      </c>
      <c r="H110" s="14">
        <f>IFERROR(VLOOKUP(G110,#REF!,2,0),)</f>
        <v>0</v>
      </c>
      <c r="I110" s="38">
        <f t="shared" ca="1" si="62"/>
        <v>276.4185467823574</v>
      </c>
      <c r="J110" s="38">
        <f t="shared" ca="1" si="63"/>
        <v>278.93709254528522</v>
      </c>
      <c r="K110" s="39">
        <f t="shared" ca="1" si="64"/>
        <v>369.67692684318911</v>
      </c>
      <c r="L110" s="39">
        <f t="shared" ca="1" si="65"/>
        <v>306.94264110593451</v>
      </c>
      <c r="M110" s="39">
        <f t="shared" ca="1" si="66"/>
        <v>463.3963427680589</v>
      </c>
      <c r="N110" s="5"/>
      <c r="O110" s="5"/>
      <c r="P110" s="5"/>
      <c r="Q110" s="8">
        <f ca="1">IFERROR(__xludf.DUMMYFUNCTION("iferror(index('지수RAW'!$V$7:$V$12040,MATCH($D110,'지수RAW'!$R$7:$R$12040,0)-1,1),GOOGLEFINANCE(Q$2))"),6820.6)</f>
        <v>6820.6</v>
      </c>
      <c r="R110" s="5">
        <f ca="1">IFERROR(__xludf.DUMMYFUNCTION("iferror(index('지수RAW'!$F$7:$F$12040,MATCH($D110,'지수RAW'!$B$7:$B$12040,0)-1,1),GOOGLEFINANCE(R$2))"),7457.69)</f>
        <v>7457.69</v>
      </c>
      <c r="S110" s="9">
        <f ca="1">IFERROR(__xludf.DUMMYFUNCTION("iferror(index('지수RAW'!$N$7:$N$12040,MATCH($D110,'지수RAW'!$J$7:$J$12040,0)-1,1),GOOGLEFINANCE(S$2))"),25520.24)</f>
        <v>25520.240000000002</v>
      </c>
      <c r="T110" s="5"/>
      <c r="U110" s="29">
        <f t="array" aca="1" ref="U110" ca="1">IFERROR(INDEX(지수RAW!$AT$7:$AT$12040,MATCH($D110,지수RAW!$AP$7:$AP$12040,0)-1,1),지수RAW!$AU$4)</f>
        <v>4018.8</v>
      </c>
      <c r="V110" s="29">
        <f ca="1">IFERROR(__xludf.DUMMYFUNCTION("iferror(index('지수RAW'!$AL$7:$AL$12040,MATCH($D110,'지수RAW'!$AH$7:$AH$12040,0)-1,1),GOOGLEFINANCE(V$2))"),64324)</f>
        <v>64324</v>
      </c>
      <c r="W110" s="30">
        <f ca="1">IFERROR(__xludf.DUMMYFUNCTION("iferror(index('지수RAW'!$AD$7:$AD$12040,MATCH($D110,'지수RAW'!$Z$7:$Z$12040,0)-1,1),GOOGLEFINANCE(W$2))"),1487.77)</f>
        <v>1487.77</v>
      </c>
      <c r="X110" s="36">
        <f t="shared" ca="1" si="54"/>
        <v>11095327.451299999</v>
      </c>
      <c r="Y110" s="36">
        <f t="shared" ca="1" si="55"/>
        <v>37968247.4648</v>
      </c>
      <c r="Z110" s="36">
        <f t="shared" ca="1" si="56"/>
        <v>5979050.0760000004</v>
      </c>
      <c r="AA110" s="36">
        <f t="shared" ca="1" si="57"/>
        <v>95699317.480000004</v>
      </c>
      <c r="AB110" s="12"/>
      <c r="AC110" s="38">
        <f t="shared" ca="1" si="67"/>
        <v>139.55650191826049</v>
      </c>
      <c r="AD110" s="38">
        <f t="shared" ca="1" si="68"/>
        <v>389.27484890870141</v>
      </c>
      <c r="AE110" s="38">
        <f t="shared" ca="1" si="69"/>
        <v>515.9081875012813</v>
      </c>
      <c r="AF110" s="38">
        <f t="shared" ca="1" si="70"/>
        <v>428.35841282296337</v>
      </c>
      <c r="AG110" s="38">
        <f t="shared" ca="1" si="71"/>
        <v>646.69972598425568</v>
      </c>
    </row>
    <row r="111" spans="1:33" ht="12.75" customHeight="1" x14ac:dyDescent="0.35">
      <c r="A111" s="5"/>
      <c r="B111" s="22">
        <f t="shared" si="58"/>
        <v>26</v>
      </c>
      <c r="C111" s="22">
        <f t="shared" si="59"/>
        <v>11</v>
      </c>
      <c r="D111" s="22" t="str">
        <f>IF(F111="12월",(E111+1)&amp;VLOOKUP(F111,인덱스!$C:$D,2,0),E111&amp;VLOOKUP(F111,인덱스!$C:$D,2,0))</f>
        <v>202612</v>
      </c>
      <c r="E111" s="5" t="str">
        <f t="shared" si="60"/>
        <v>2026</v>
      </c>
      <c r="F111" s="5" t="str">
        <f t="shared" si="61"/>
        <v>11월</v>
      </c>
      <c r="G111" s="37" t="str">
        <f>B111&amp;"."&amp;VLOOKUP(F111,인덱스!$A:$B,2,0)</f>
        <v>26.11</v>
      </c>
      <c r="H111" s="14">
        <f>IFERROR(VLOOKUP(G111,#REF!,2,0),)</f>
        <v>0</v>
      </c>
      <c r="I111" s="38">
        <f t="shared" ca="1" si="62"/>
        <v>276.4185467823574</v>
      </c>
      <c r="J111" s="38">
        <f t="shared" ca="1" si="63"/>
        <v>278.93709254528522</v>
      </c>
      <c r="K111" s="39">
        <f t="shared" ca="1" si="64"/>
        <v>369.67692684318911</v>
      </c>
      <c r="L111" s="39">
        <f t="shared" ca="1" si="65"/>
        <v>306.94264110593451</v>
      </c>
      <c r="M111" s="39">
        <f t="shared" ca="1" si="66"/>
        <v>463.3963427680589</v>
      </c>
      <c r="N111" s="5"/>
      <c r="O111" s="5"/>
      <c r="P111" s="5"/>
      <c r="Q111" s="8">
        <f ca="1">IFERROR(__xludf.DUMMYFUNCTION("iferror(index('지수RAW'!$V$7:$V$12040,MATCH($D111,'지수RAW'!$R$7:$R$12040,0)-1,1),GOOGLEFINANCE(Q$2))"),6820.6)</f>
        <v>6820.6</v>
      </c>
      <c r="R111" s="5">
        <f ca="1">IFERROR(__xludf.DUMMYFUNCTION("iferror(index('지수RAW'!$F$7:$F$12040,MATCH($D111,'지수RAW'!$B$7:$B$12040,0)-1,1),GOOGLEFINANCE(R$2))"),7457.69)</f>
        <v>7457.69</v>
      </c>
      <c r="S111" s="9">
        <f ca="1">IFERROR(__xludf.DUMMYFUNCTION("iferror(index('지수RAW'!$N$7:$N$12040,MATCH($D111,'지수RAW'!$J$7:$J$12040,0)-1,1),GOOGLEFINANCE(S$2))"),25520.24)</f>
        <v>25520.240000000002</v>
      </c>
      <c r="T111" s="5"/>
      <c r="U111" s="29">
        <f t="array" aca="1" ref="U111" ca="1">IFERROR(INDEX(지수RAW!$AT$7:$AT$12040,MATCH($D111,지수RAW!$AP$7:$AP$12040,0)-1,1),지수RAW!$AU$4)</f>
        <v>4018.8</v>
      </c>
      <c r="V111" s="29">
        <f ca="1">IFERROR(__xludf.DUMMYFUNCTION("iferror(index('지수RAW'!$AL$7:$AL$12040,MATCH($D111,'지수RAW'!$AH$7:$AH$12040,0)-1,1),GOOGLEFINANCE(V$2))"),64324)</f>
        <v>64324</v>
      </c>
      <c r="W111" s="30">
        <f ca="1">IFERROR(__xludf.DUMMYFUNCTION("iferror(index('지수RAW'!$AD$7:$AD$12040,MATCH($D111,'지수RAW'!$Z$7:$Z$12040,0)-1,1),GOOGLEFINANCE(W$2))"),1487.77)</f>
        <v>1487.77</v>
      </c>
      <c r="X111" s="36">
        <f t="shared" ca="1" si="54"/>
        <v>11095327.451299999</v>
      </c>
      <c r="Y111" s="36">
        <f t="shared" ca="1" si="55"/>
        <v>37968247.4648</v>
      </c>
      <c r="Z111" s="36">
        <f t="shared" ca="1" si="56"/>
        <v>5979050.0760000004</v>
      </c>
      <c r="AA111" s="36">
        <f t="shared" ca="1" si="57"/>
        <v>95699317.480000004</v>
      </c>
      <c r="AB111" s="12"/>
      <c r="AC111" s="38">
        <f t="shared" ca="1" si="67"/>
        <v>139.55650191826049</v>
      </c>
      <c r="AD111" s="38">
        <f t="shared" ca="1" si="68"/>
        <v>389.27484890870141</v>
      </c>
      <c r="AE111" s="38">
        <f t="shared" ca="1" si="69"/>
        <v>515.9081875012813</v>
      </c>
      <c r="AF111" s="38">
        <f t="shared" ca="1" si="70"/>
        <v>428.35841282296337</v>
      </c>
      <c r="AG111" s="38">
        <f t="shared" ca="1" si="71"/>
        <v>646.69972598425568</v>
      </c>
    </row>
    <row r="112" spans="1:33" ht="12.75" customHeight="1" x14ac:dyDescent="0.35">
      <c r="A112" s="5"/>
      <c r="B112" s="22">
        <f t="shared" si="58"/>
        <v>26</v>
      </c>
      <c r="C112" s="22">
        <f t="shared" si="59"/>
        <v>12</v>
      </c>
      <c r="D112" s="22" t="str">
        <f>IF(F112="12월",(E112+1)&amp;VLOOKUP(F112,인덱스!$C:$D,2,0),E112&amp;VLOOKUP(F112,인덱스!$C:$D,2,0))</f>
        <v>20271</v>
      </c>
      <c r="E112" s="5" t="str">
        <f t="shared" si="60"/>
        <v>2026</v>
      </c>
      <c r="F112" s="5" t="str">
        <f t="shared" si="61"/>
        <v>12월</v>
      </c>
      <c r="G112" s="37" t="str">
        <f>B112&amp;"."&amp;VLOOKUP(F112,인덱스!$A:$B,2,0)</f>
        <v>26.12</v>
      </c>
      <c r="H112" s="14">
        <f>IFERROR(VLOOKUP(G112,#REF!,2,0),)</f>
        <v>0</v>
      </c>
      <c r="I112" s="38">
        <f t="shared" ca="1" si="62"/>
        <v>276.4185467823574</v>
      </c>
      <c r="J112" s="38">
        <f t="shared" ca="1" si="63"/>
        <v>278.93709254528522</v>
      </c>
      <c r="K112" s="39">
        <f t="shared" ca="1" si="64"/>
        <v>369.67692684318911</v>
      </c>
      <c r="L112" s="39">
        <f t="shared" ca="1" si="65"/>
        <v>306.94264110593451</v>
      </c>
      <c r="M112" s="39">
        <f t="shared" ca="1" si="66"/>
        <v>463.3963427680589</v>
      </c>
      <c r="N112" s="5"/>
      <c r="O112" s="5"/>
      <c r="P112" s="5"/>
      <c r="Q112" s="8">
        <f ca="1">IFERROR(__xludf.DUMMYFUNCTION("iferror(index('지수RAW'!$V$7:$V$12040,MATCH($D112,'지수RAW'!$R$7:$R$12040,0)-1,1),GOOGLEFINANCE(Q$2))"),6820.6)</f>
        <v>6820.6</v>
      </c>
      <c r="R112" s="5">
        <f ca="1">IFERROR(__xludf.DUMMYFUNCTION("iferror(index('지수RAW'!$F$7:$F$12040,MATCH($D112,'지수RAW'!$B$7:$B$12040,0)-1,1),GOOGLEFINANCE(R$2))"),7457.69)</f>
        <v>7457.69</v>
      </c>
      <c r="S112" s="9">
        <f ca="1">IFERROR(__xludf.DUMMYFUNCTION("iferror(index('지수RAW'!$N$7:$N$12040,MATCH($D112,'지수RAW'!$J$7:$J$12040,0)-1,1),GOOGLEFINANCE(S$2))"),25520.24)</f>
        <v>25520.240000000002</v>
      </c>
      <c r="T112" s="5"/>
      <c r="U112" s="29">
        <f t="array" aca="1" ref="U112" ca="1">IFERROR(INDEX(지수RAW!$AT$7:$AT$12040,MATCH($D112,지수RAW!$AP$7:$AP$12040,0)-1,1),지수RAW!$AU$4)</f>
        <v>4018.8</v>
      </c>
      <c r="V112" s="29">
        <f ca="1">IFERROR(__xludf.DUMMYFUNCTION("iferror(index('지수RAW'!$AL$7:$AL$12040,MATCH($D112,'지수RAW'!$AH$7:$AH$12040,0)-1,1),GOOGLEFINANCE(V$2))"),64324)</f>
        <v>64324</v>
      </c>
      <c r="W112" s="30">
        <f ca="1">IFERROR(__xludf.DUMMYFUNCTION("iferror(index('지수RAW'!$AD$7:$AD$12040,MATCH($D112,'지수RAW'!$Z$7:$Z$12040,0)-1,1),GOOGLEFINANCE(W$2))"),1487.77)</f>
        <v>1487.77</v>
      </c>
      <c r="X112" s="36">
        <f t="shared" ca="1" si="54"/>
        <v>11095327.451299999</v>
      </c>
      <c r="Y112" s="36">
        <f t="shared" ca="1" si="55"/>
        <v>37968247.4648</v>
      </c>
      <c r="Z112" s="36">
        <f t="shared" ca="1" si="56"/>
        <v>5979050.0760000004</v>
      </c>
      <c r="AA112" s="36">
        <f t="shared" ca="1" si="57"/>
        <v>95699317.480000004</v>
      </c>
      <c r="AB112" s="12"/>
      <c r="AC112" s="38">
        <f t="shared" ca="1" si="67"/>
        <v>139.55650191826049</v>
      </c>
      <c r="AD112" s="38">
        <f t="shared" ca="1" si="68"/>
        <v>389.27484890870141</v>
      </c>
      <c r="AE112" s="38">
        <f t="shared" ca="1" si="69"/>
        <v>515.9081875012813</v>
      </c>
      <c r="AF112" s="38">
        <f t="shared" ca="1" si="70"/>
        <v>428.35841282296337</v>
      </c>
      <c r="AG112" s="38">
        <f t="shared" ca="1" si="71"/>
        <v>646.69972598425568</v>
      </c>
    </row>
    <row r="113" spans="1:33" ht="12.75" customHeight="1" x14ac:dyDescent="0.35">
      <c r="A113" s="5"/>
      <c r="B113" s="22">
        <f t="shared" si="58"/>
        <v>27</v>
      </c>
      <c r="C113" s="22">
        <f t="shared" si="59"/>
        <v>1</v>
      </c>
      <c r="D113" s="22" t="str">
        <f>IF(F113="12월",(E113+1)&amp;VLOOKUP(F113,인덱스!$C:$D,2,0),E113&amp;VLOOKUP(F113,인덱스!$C:$D,2,0))</f>
        <v>20272</v>
      </c>
      <c r="E113" s="5" t="str">
        <f t="shared" si="60"/>
        <v>2027</v>
      </c>
      <c r="F113" s="5" t="str">
        <f t="shared" si="61"/>
        <v>1월</v>
      </c>
      <c r="G113" s="37" t="str">
        <f>B113&amp;"."&amp;VLOOKUP(F113,인덱스!$A:$B,2,0)</f>
        <v>27.01</v>
      </c>
      <c r="H113" s="14">
        <f>IFERROR(VLOOKUP(G113,#REF!,2,0),)</f>
        <v>0</v>
      </c>
      <c r="I113" s="38">
        <f t="shared" ca="1" si="62"/>
        <v>276.4185467823574</v>
      </c>
      <c r="J113" s="38">
        <f t="shared" ca="1" si="63"/>
        <v>278.93709254528522</v>
      </c>
      <c r="K113" s="39">
        <f t="shared" ca="1" si="64"/>
        <v>369.67692684318911</v>
      </c>
      <c r="L113" s="39">
        <f t="shared" ca="1" si="65"/>
        <v>306.94264110593451</v>
      </c>
      <c r="M113" s="39">
        <f t="shared" ca="1" si="66"/>
        <v>463.3963427680589</v>
      </c>
      <c r="N113" s="5"/>
      <c r="O113" s="5"/>
      <c r="P113" s="5"/>
      <c r="Q113" s="8">
        <f ca="1">IFERROR(__xludf.DUMMYFUNCTION("iferror(index('지수RAW'!$V$7:$V$12040,MATCH($D113,'지수RAW'!$R$7:$R$12040,0)-1,1),GOOGLEFINANCE(Q$2))"),6820.6)</f>
        <v>6820.6</v>
      </c>
      <c r="R113" s="5">
        <f ca="1">IFERROR(__xludf.DUMMYFUNCTION("iferror(index('지수RAW'!$F$7:$F$12040,MATCH($D113,'지수RAW'!$B$7:$B$12040,0)-1,1),GOOGLEFINANCE(R$2))"),7457.69)</f>
        <v>7457.69</v>
      </c>
      <c r="S113" s="9">
        <f ca="1">IFERROR(__xludf.DUMMYFUNCTION("iferror(index('지수RAW'!$N$7:$N$12040,MATCH($D113,'지수RAW'!$J$7:$J$12040,0)-1,1),GOOGLEFINANCE(S$2))"),25520.24)</f>
        <v>25520.240000000002</v>
      </c>
      <c r="T113" s="5"/>
      <c r="U113" s="29">
        <f t="array" aca="1" ref="U113" ca="1">IFERROR(INDEX(지수RAW!$AT$7:$AT$12040,MATCH($D113,지수RAW!$AP$7:$AP$12040,0)-1,1),지수RAW!$AU$4)</f>
        <v>4018.8</v>
      </c>
      <c r="V113" s="29">
        <f ca="1">IFERROR(__xludf.DUMMYFUNCTION("iferror(index('지수RAW'!$AL$7:$AL$12040,MATCH($D113,'지수RAW'!$AH$7:$AH$12040,0)-1,1),GOOGLEFINANCE(V$2))"),64324)</f>
        <v>64324</v>
      </c>
      <c r="W113" s="30">
        <f ca="1">IFERROR(__xludf.DUMMYFUNCTION("iferror(index('지수RAW'!$AD$7:$AD$12040,MATCH($D113,'지수RAW'!$Z$7:$Z$12040,0)-1,1),GOOGLEFINANCE(W$2))"),1487.77)</f>
        <v>1487.77</v>
      </c>
      <c r="X113" s="36">
        <f t="shared" ca="1" si="54"/>
        <v>11095327.451299999</v>
      </c>
      <c r="Y113" s="36">
        <f t="shared" ca="1" si="55"/>
        <v>37968247.4648</v>
      </c>
      <c r="Z113" s="36">
        <f t="shared" ca="1" si="56"/>
        <v>5979050.0760000004</v>
      </c>
      <c r="AA113" s="36">
        <f t="shared" ca="1" si="57"/>
        <v>95699317.480000004</v>
      </c>
      <c r="AB113" s="12"/>
      <c r="AC113" s="38">
        <f t="shared" ca="1" si="67"/>
        <v>139.55650191826049</v>
      </c>
      <c r="AD113" s="38">
        <f t="shared" ca="1" si="68"/>
        <v>389.27484890870141</v>
      </c>
      <c r="AE113" s="38">
        <f t="shared" ca="1" si="69"/>
        <v>515.9081875012813</v>
      </c>
      <c r="AF113" s="38">
        <f t="shared" ca="1" si="70"/>
        <v>428.35841282296337</v>
      </c>
      <c r="AG113" s="38">
        <f t="shared" ca="1" si="71"/>
        <v>646.69972598425568</v>
      </c>
    </row>
    <row r="114" spans="1:33" ht="12.75" customHeight="1" x14ac:dyDescent="0.35">
      <c r="A114" s="5"/>
      <c r="B114" s="22">
        <f t="shared" si="58"/>
        <v>27</v>
      </c>
      <c r="C114" s="22">
        <f t="shared" si="59"/>
        <v>2</v>
      </c>
      <c r="D114" s="22" t="str">
        <f>IF(F114="12월",(E114+1)&amp;VLOOKUP(F114,인덱스!$C:$D,2,0),E114&amp;VLOOKUP(F114,인덱스!$C:$D,2,0))</f>
        <v>20273</v>
      </c>
      <c r="E114" s="5" t="str">
        <f t="shared" si="60"/>
        <v>2027</v>
      </c>
      <c r="F114" s="5" t="str">
        <f t="shared" si="61"/>
        <v>2월</v>
      </c>
      <c r="G114" s="37" t="str">
        <f>B114&amp;"."&amp;VLOOKUP(F114,인덱스!$A:$B,2,0)</f>
        <v>27.02</v>
      </c>
      <c r="H114" s="14">
        <f>IFERROR(VLOOKUP(G114,#REF!,2,0),)</f>
        <v>0</v>
      </c>
      <c r="I114" s="38">
        <f t="shared" ca="1" si="62"/>
        <v>276.4185467823574</v>
      </c>
      <c r="J114" s="38">
        <f t="shared" ca="1" si="63"/>
        <v>278.93709254528522</v>
      </c>
      <c r="K114" s="39">
        <f t="shared" ca="1" si="64"/>
        <v>369.67692684318911</v>
      </c>
      <c r="L114" s="39">
        <f t="shared" ca="1" si="65"/>
        <v>306.94264110593451</v>
      </c>
      <c r="M114" s="39">
        <f t="shared" ca="1" si="66"/>
        <v>463.3963427680589</v>
      </c>
      <c r="N114" s="5"/>
      <c r="O114" s="5"/>
      <c r="P114" s="5"/>
      <c r="Q114" s="8">
        <f ca="1">IFERROR(__xludf.DUMMYFUNCTION("iferror(index('지수RAW'!$V$7:$V$12040,MATCH($D114,'지수RAW'!$R$7:$R$12040,0)-1,1),GOOGLEFINANCE(Q$2))"),6820.6)</f>
        <v>6820.6</v>
      </c>
      <c r="R114" s="5">
        <f ca="1">IFERROR(__xludf.DUMMYFUNCTION("iferror(index('지수RAW'!$F$7:$F$12040,MATCH($D114,'지수RAW'!$B$7:$B$12040,0)-1,1),GOOGLEFINANCE(R$2))"),7457.69)</f>
        <v>7457.69</v>
      </c>
      <c r="S114" s="9">
        <f ca="1">IFERROR(__xludf.DUMMYFUNCTION("iferror(index('지수RAW'!$N$7:$N$12040,MATCH($D114,'지수RAW'!$J$7:$J$12040,0)-1,1),GOOGLEFINANCE(S$2))"),25520.24)</f>
        <v>25520.240000000002</v>
      </c>
      <c r="T114" s="5"/>
      <c r="U114" s="29">
        <f t="array" aca="1" ref="U114" ca="1">IFERROR(INDEX(지수RAW!$AT$7:$AT$12040,MATCH($D114,지수RAW!$AP$7:$AP$12040,0)-1,1),지수RAW!$AU$4)</f>
        <v>4018.8</v>
      </c>
      <c r="V114" s="29">
        <f ca="1">IFERROR(__xludf.DUMMYFUNCTION("iferror(index('지수RAW'!$AL$7:$AL$12040,MATCH($D114,'지수RAW'!$AH$7:$AH$12040,0)-1,1),GOOGLEFINANCE(V$2))"),64324)</f>
        <v>64324</v>
      </c>
      <c r="W114" s="30">
        <f ca="1">IFERROR(__xludf.DUMMYFUNCTION("iferror(index('지수RAW'!$AD$7:$AD$12040,MATCH($D114,'지수RAW'!$Z$7:$Z$12040,0)-1,1),GOOGLEFINANCE(W$2))"),1487.77)</f>
        <v>1487.77</v>
      </c>
      <c r="X114" s="36">
        <f t="shared" ca="1" si="54"/>
        <v>11095327.451299999</v>
      </c>
      <c r="Y114" s="36">
        <f t="shared" ca="1" si="55"/>
        <v>37968247.4648</v>
      </c>
      <c r="Z114" s="36">
        <f t="shared" ca="1" si="56"/>
        <v>5979050.0760000004</v>
      </c>
      <c r="AA114" s="36">
        <f t="shared" ca="1" si="57"/>
        <v>95699317.480000004</v>
      </c>
      <c r="AB114" s="12"/>
      <c r="AC114" s="38">
        <f t="shared" ca="1" si="67"/>
        <v>139.55650191826049</v>
      </c>
      <c r="AD114" s="38">
        <f t="shared" ca="1" si="68"/>
        <v>389.27484890870141</v>
      </c>
      <c r="AE114" s="38">
        <f t="shared" ca="1" si="69"/>
        <v>515.9081875012813</v>
      </c>
      <c r="AF114" s="38">
        <f t="shared" ca="1" si="70"/>
        <v>428.35841282296337</v>
      </c>
      <c r="AG114" s="38">
        <f t="shared" ca="1" si="71"/>
        <v>646.69972598425568</v>
      </c>
    </row>
    <row r="115" spans="1:33" ht="12.75" customHeight="1" x14ac:dyDescent="0.35">
      <c r="A115" s="5"/>
      <c r="B115" s="22">
        <f t="shared" si="58"/>
        <v>27</v>
      </c>
      <c r="C115" s="22">
        <f t="shared" si="59"/>
        <v>3</v>
      </c>
      <c r="D115" s="22" t="str">
        <f>IF(F115="12월",(E115+1)&amp;VLOOKUP(F115,인덱스!$C:$D,2,0),E115&amp;VLOOKUP(F115,인덱스!$C:$D,2,0))</f>
        <v>20274</v>
      </c>
      <c r="E115" s="5" t="str">
        <f t="shared" si="60"/>
        <v>2027</v>
      </c>
      <c r="F115" s="5" t="str">
        <f t="shared" si="61"/>
        <v>3월</v>
      </c>
      <c r="G115" s="37" t="str">
        <f>B115&amp;"."&amp;VLOOKUP(F115,인덱스!$A:$B,2,0)</f>
        <v>27.03</v>
      </c>
      <c r="H115" s="14">
        <f>IFERROR(VLOOKUP(G115,#REF!,2,0),)</f>
        <v>0</v>
      </c>
      <c r="I115" s="38">
        <f t="shared" ca="1" si="62"/>
        <v>276.4185467823574</v>
      </c>
      <c r="J115" s="38">
        <f t="shared" ca="1" si="63"/>
        <v>278.93709254528522</v>
      </c>
      <c r="K115" s="39">
        <f t="shared" ca="1" si="64"/>
        <v>369.67692684318911</v>
      </c>
      <c r="L115" s="39">
        <f t="shared" ca="1" si="65"/>
        <v>306.94264110593451</v>
      </c>
      <c r="M115" s="39">
        <f t="shared" ca="1" si="66"/>
        <v>463.3963427680589</v>
      </c>
      <c r="N115" s="5"/>
      <c r="O115" s="5"/>
      <c r="P115" s="5"/>
      <c r="Q115" s="8">
        <f ca="1">IFERROR(__xludf.DUMMYFUNCTION("iferror(index('지수RAW'!$V$7:$V$12040,MATCH($D115,'지수RAW'!$R$7:$R$12040,0)-1,1),GOOGLEFINANCE(Q$2))"),6820.6)</f>
        <v>6820.6</v>
      </c>
      <c r="R115" s="5">
        <f ca="1">IFERROR(__xludf.DUMMYFUNCTION("iferror(index('지수RAW'!$F$7:$F$12040,MATCH($D115,'지수RAW'!$B$7:$B$12040,0)-1,1),GOOGLEFINANCE(R$2))"),7457.69)</f>
        <v>7457.69</v>
      </c>
      <c r="S115" s="9">
        <f ca="1">IFERROR(__xludf.DUMMYFUNCTION("iferror(index('지수RAW'!$N$7:$N$12040,MATCH($D115,'지수RAW'!$J$7:$J$12040,0)-1,1),GOOGLEFINANCE(S$2))"),25520.24)</f>
        <v>25520.240000000002</v>
      </c>
      <c r="T115" s="5"/>
      <c r="U115" s="29">
        <f t="array" aca="1" ref="U115" ca="1">IFERROR(INDEX(지수RAW!$AT$7:$AT$12040,MATCH($D115,지수RAW!$AP$7:$AP$12040,0)-1,1),지수RAW!$AU$4)</f>
        <v>4018.8</v>
      </c>
      <c r="V115" s="29">
        <f ca="1">IFERROR(__xludf.DUMMYFUNCTION("iferror(index('지수RAW'!$AL$7:$AL$12040,MATCH($D115,'지수RAW'!$AH$7:$AH$12040,0)-1,1),GOOGLEFINANCE(V$2))"),64324)</f>
        <v>64324</v>
      </c>
      <c r="W115" s="30">
        <f ca="1">IFERROR(__xludf.DUMMYFUNCTION("iferror(index('지수RAW'!$AD$7:$AD$12040,MATCH($D115,'지수RAW'!$Z$7:$Z$12040,0)-1,1),GOOGLEFINANCE(W$2))"),1487.77)</f>
        <v>1487.77</v>
      </c>
      <c r="X115" s="36">
        <f t="shared" ca="1" si="54"/>
        <v>11095327.451299999</v>
      </c>
      <c r="Y115" s="36">
        <f t="shared" ca="1" si="55"/>
        <v>37968247.4648</v>
      </c>
      <c r="Z115" s="36">
        <f t="shared" ca="1" si="56"/>
        <v>5979050.0760000004</v>
      </c>
      <c r="AA115" s="36">
        <f t="shared" ca="1" si="57"/>
        <v>95699317.480000004</v>
      </c>
      <c r="AB115" s="12"/>
      <c r="AC115" s="38">
        <f t="shared" ca="1" si="67"/>
        <v>139.55650191826049</v>
      </c>
      <c r="AD115" s="38">
        <f t="shared" ca="1" si="68"/>
        <v>389.27484890870141</v>
      </c>
      <c r="AE115" s="38">
        <f t="shared" ca="1" si="69"/>
        <v>515.9081875012813</v>
      </c>
      <c r="AF115" s="38">
        <f t="shared" ca="1" si="70"/>
        <v>428.35841282296337</v>
      </c>
      <c r="AG115" s="38">
        <f t="shared" ca="1" si="71"/>
        <v>646.69972598425568</v>
      </c>
    </row>
    <row r="116" spans="1:33" ht="12.75" customHeight="1" x14ac:dyDescent="0.35">
      <c r="A116" s="5"/>
      <c r="B116" s="22">
        <f t="shared" si="58"/>
        <v>27</v>
      </c>
      <c r="C116" s="22">
        <f t="shared" si="59"/>
        <v>4</v>
      </c>
      <c r="D116" s="22" t="str">
        <f>IF(F116="12월",(E116+1)&amp;VLOOKUP(F116,인덱스!$C:$D,2,0),E116&amp;VLOOKUP(F116,인덱스!$C:$D,2,0))</f>
        <v>20275</v>
      </c>
      <c r="E116" s="5" t="str">
        <f t="shared" si="60"/>
        <v>2027</v>
      </c>
      <c r="F116" s="5" t="str">
        <f t="shared" si="61"/>
        <v>4월</v>
      </c>
      <c r="G116" s="37" t="str">
        <f>B116&amp;"."&amp;VLOOKUP(F116,인덱스!$A:$B,2,0)</f>
        <v>27.04</v>
      </c>
      <c r="H116" s="14">
        <f>IFERROR(VLOOKUP(G116,#REF!,2,0),)</f>
        <v>0</v>
      </c>
      <c r="I116" s="38">
        <f t="shared" ca="1" si="62"/>
        <v>276.4185467823574</v>
      </c>
      <c r="J116" s="38">
        <f t="shared" ca="1" si="63"/>
        <v>278.93709254528522</v>
      </c>
      <c r="K116" s="39">
        <f t="shared" ca="1" si="64"/>
        <v>369.67692684318911</v>
      </c>
      <c r="L116" s="39">
        <f t="shared" ca="1" si="65"/>
        <v>306.94264110593451</v>
      </c>
      <c r="M116" s="39">
        <f t="shared" ca="1" si="66"/>
        <v>463.3963427680589</v>
      </c>
      <c r="N116" s="5"/>
      <c r="O116" s="5"/>
      <c r="P116" s="5"/>
      <c r="Q116" s="8">
        <f ca="1">IFERROR(__xludf.DUMMYFUNCTION("iferror(index('지수RAW'!$V$7:$V$12040,MATCH($D116,'지수RAW'!$R$7:$R$12040,0)-1,1),GOOGLEFINANCE(Q$2))"),6820.6)</f>
        <v>6820.6</v>
      </c>
      <c r="R116" s="5">
        <f ca="1">IFERROR(__xludf.DUMMYFUNCTION("iferror(index('지수RAW'!$F$7:$F$12040,MATCH($D116,'지수RAW'!$B$7:$B$12040,0)-1,1),GOOGLEFINANCE(R$2))"),7457.69)</f>
        <v>7457.69</v>
      </c>
      <c r="S116" s="9">
        <f ca="1">IFERROR(__xludf.DUMMYFUNCTION("iferror(index('지수RAW'!$N$7:$N$12040,MATCH($D116,'지수RAW'!$J$7:$J$12040,0)-1,1),GOOGLEFINANCE(S$2))"),25520.24)</f>
        <v>25520.240000000002</v>
      </c>
      <c r="T116" s="5"/>
      <c r="U116" s="29">
        <f t="array" aca="1" ref="U116" ca="1">IFERROR(INDEX(지수RAW!$AT$7:$AT$12040,MATCH($D116,지수RAW!$AP$7:$AP$12040,0)-1,1),지수RAW!$AU$4)</f>
        <v>4018.8</v>
      </c>
      <c r="V116" s="29">
        <f ca="1">IFERROR(__xludf.DUMMYFUNCTION("iferror(index('지수RAW'!$AL$7:$AL$12040,MATCH($D116,'지수RAW'!$AH$7:$AH$12040,0)-1,1),GOOGLEFINANCE(V$2))"),64324)</f>
        <v>64324</v>
      </c>
      <c r="W116" s="30">
        <f ca="1">IFERROR(__xludf.DUMMYFUNCTION("iferror(index('지수RAW'!$AD$7:$AD$12040,MATCH($D116,'지수RAW'!$Z$7:$Z$12040,0)-1,1),GOOGLEFINANCE(W$2))"),1487.77)</f>
        <v>1487.77</v>
      </c>
      <c r="X116" s="36">
        <f t="shared" ca="1" si="54"/>
        <v>11095327.451299999</v>
      </c>
      <c r="Y116" s="36">
        <f t="shared" ca="1" si="55"/>
        <v>37968247.4648</v>
      </c>
      <c r="Z116" s="36">
        <f t="shared" ca="1" si="56"/>
        <v>5979050.0760000004</v>
      </c>
      <c r="AA116" s="36">
        <f t="shared" ca="1" si="57"/>
        <v>95699317.480000004</v>
      </c>
      <c r="AB116" s="12"/>
      <c r="AC116" s="38">
        <f t="shared" ca="1" si="67"/>
        <v>139.55650191826049</v>
      </c>
      <c r="AD116" s="38">
        <f t="shared" ca="1" si="68"/>
        <v>389.27484890870141</v>
      </c>
      <c r="AE116" s="38">
        <f t="shared" ca="1" si="69"/>
        <v>515.9081875012813</v>
      </c>
      <c r="AF116" s="38">
        <f t="shared" ca="1" si="70"/>
        <v>428.35841282296337</v>
      </c>
      <c r="AG116" s="38">
        <f t="shared" ca="1" si="71"/>
        <v>646.69972598425568</v>
      </c>
    </row>
    <row r="117" spans="1:33" ht="12.75" customHeight="1" x14ac:dyDescent="0.35">
      <c r="A117" s="5"/>
      <c r="B117" s="22">
        <f t="shared" si="58"/>
        <v>27</v>
      </c>
      <c r="C117" s="22">
        <f t="shared" si="59"/>
        <v>5</v>
      </c>
      <c r="D117" s="22" t="str">
        <f>IF(F117="12월",(E117+1)&amp;VLOOKUP(F117,인덱스!$C:$D,2,0),E117&amp;VLOOKUP(F117,인덱스!$C:$D,2,0))</f>
        <v>20276</v>
      </c>
      <c r="E117" s="5" t="str">
        <f t="shared" si="60"/>
        <v>2027</v>
      </c>
      <c r="F117" s="5" t="str">
        <f t="shared" si="61"/>
        <v>5월</v>
      </c>
      <c r="G117" s="37" t="str">
        <f>B117&amp;"."&amp;VLOOKUP(F117,인덱스!$A:$B,2,0)</f>
        <v>27.05</v>
      </c>
      <c r="H117" s="14">
        <f>IFERROR(VLOOKUP(G117,#REF!,2,0),)</f>
        <v>0</v>
      </c>
      <c r="I117" s="38">
        <f t="shared" ca="1" si="62"/>
        <v>276.4185467823574</v>
      </c>
      <c r="J117" s="38">
        <f t="shared" ca="1" si="63"/>
        <v>278.93709254528522</v>
      </c>
      <c r="K117" s="39">
        <f t="shared" ca="1" si="64"/>
        <v>369.67692684318911</v>
      </c>
      <c r="L117" s="39">
        <f t="shared" ca="1" si="65"/>
        <v>306.94264110593451</v>
      </c>
      <c r="M117" s="39">
        <f t="shared" ca="1" si="66"/>
        <v>463.3963427680589</v>
      </c>
      <c r="N117" s="5"/>
      <c r="O117" s="5"/>
      <c r="P117" s="5"/>
      <c r="Q117" s="8">
        <f ca="1">IFERROR(__xludf.DUMMYFUNCTION("iferror(index('지수RAW'!$V$7:$V$12040,MATCH($D117,'지수RAW'!$R$7:$R$12040,0)-1,1),GOOGLEFINANCE(Q$2))"),6820.6)</f>
        <v>6820.6</v>
      </c>
      <c r="R117" s="5">
        <f ca="1">IFERROR(__xludf.DUMMYFUNCTION("iferror(index('지수RAW'!$F$7:$F$12040,MATCH($D117,'지수RAW'!$B$7:$B$12040,0)-1,1),GOOGLEFINANCE(R$2))"),7457.69)</f>
        <v>7457.69</v>
      </c>
      <c r="S117" s="9">
        <f ca="1">IFERROR(__xludf.DUMMYFUNCTION("iferror(index('지수RAW'!$N$7:$N$12040,MATCH($D117,'지수RAW'!$J$7:$J$12040,0)-1,1),GOOGLEFINANCE(S$2))"),25520.24)</f>
        <v>25520.240000000002</v>
      </c>
      <c r="T117" s="5"/>
      <c r="U117" s="29">
        <f t="array" aca="1" ref="U117" ca="1">IFERROR(INDEX(지수RAW!$AT$7:$AT$12040,MATCH($D117,지수RAW!$AP$7:$AP$12040,0)-1,1),지수RAW!$AU$4)</f>
        <v>4018.8</v>
      </c>
      <c r="V117" s="29">
        <f ca="1">IFERROR(__xludf.DUMMYFUNCTION("iferror(index('지수RAW'!$AL$7:$AL$12040,MATCH($D117,'지수RAW'!$AH$7:$AH$12040,0)-1,1),GOOGLEFINANCE(V$2))"),64324)</f>
        <v>64324</v>
      </c>
      <c r="W117" s="30">
        <f ca="1">IFERROR(__xludf.DUMMYFUNCTION("iferror(index('지수RAW'!$AD$7:$AD$12040,MATCH($D117,'지수RAW'!$Z$7:$Z$12040,0)-1,1),GOOGLEFINANCE(W$2))"),1487.77)</f>
        <v>1487.77</v>
      </c>
      <c r="X117" s="36">
        <f t="shared" ca="1" si="54"/>
        <v>11095327.451299999</v>
      </c>
      <c r="Y117" s="36">
        <f t="shared" ca="1" si="55"/>
        <v>37968247.4648</v>
      </c>
      <c r="Z117" s="36">
        <f t="shared" ca="1" si="56"/>
        <v>5979050.0760000004</v>
      </c>
      <c r="AA117" s="36">
        <f t="shared" ca="1" si="57"/>
        <v>95699317.480000004</v>
      </c>
      <c r="AB117" s="12"/>
      <c r="AC117" s="38">
        <f t="shared" ca="1" si="67"/>
        <v>139.55650191826049</v>
      </c>
      <c r="AD117" s="38">
        <f t="shared" ca="1" si="68"/>
        <v>389.27484890870141</v>
      </c>
      <c r="AE117" s="38">
        <f t="shared" ca="1" si="69"/>
        <v>515.9081875012813</v>
      </c>
      <c r="AF117" s="38">
        <f t="shared" ca="1" si="70"/>
        <v>428.35841282296337</v>
      </c>
      <c r="AG117" s="38">
        <f t="shared" ca="1" si="71"/>
        <v>646.69972598425568</v>
      </c>
    </row>
    <row r="118" spans="1:33" ht="12.75" customHeight="1" x14ac:dyDescent="0.35">
      <c r="A118" s="5"/>
      <c r="B118" s="22">
        <f t="shared" si="58"/>
        <v>27</v>
      </c>
      <c r="C118" s="22">
        <f t="shared" si="59"/>
        <v>6</v>
      </c>
      <c r="D118" s="22" t="str">
        <f>IF(F118="12월",(E118+1)&amp;VLOOKUP(F118,인덱스!$C:$D,2,0),E118&amp;VLOOKUP(F118,인덱스!$C:$D,2,0))</f>
        <v>20277</v>
      </c>
      <c r="E118" s="5" t="str">
        <f t="shared" si="60"/>
        <v>2027</v>
      </c>
      <c r="F118" s="5" t="str">
        <f t="shared" si="61"/>
        <v>6월</v>
      </c>
      <c r="G118" s="37" t="str">
        <f>B118&amp;"."&amp;VLOOKUP(F118,인덱스!$A:$B,2,0)</f>
        <v>27.06</v>
      </c>
      <c r="H118" s="14">
        <f>IFERROR(VLOOKUP(G118,#REF!,2,0),)</f>
        <v>0</v>
      </c>
      <c r="I118" s="38">
        <f t="shared" ca="1" si="62"/>
        <v>276.4185467823574</v>
      </c>
      <c r="J118" s="38">
        <f t="shared" ca="1" si="63"/>
        <v>278.93709254528522</v>
      </c>
      <c r="K118" s="39">
        <f t="shared" ca="1" si="64"/>
        <v>369.67692684318911</v>
      </c>
      <c r="L118" s="39">
        <f t="shared" ca="1" si="65"/>
        <v>306.94264110593451</v>
      </c>
      <c r="M118" s="39">
        <f t="shared" ca="1" si="66"/>
        <v>463.3963427680589</v>
      </c>
      <c r="N118" s="5"/>
      <c r="O118" s="5"/>
      <c r="P118" s="5"/>
      <c r="Q118" s="8">
        <f ca="1">IFERROR(__xludf.DUMMYFUNCTION("iferror(index('지수RAW'!$V$7:$V$12040,MATCH($D118,'지수RAW'!$R$7:$R$12040,0)-1,1),GOOGLEFINANCE(Q$2))"),6820.6)</f>
        <v>6820.6</v>
      </c>
      <c r="R118" s="5">
        <f ca="1">IFERROR(__xludf.DUMMYFUNCTION("iferror(index('지수RAW'!$F$7:$F$12040,MATCH($D118,'지수RAW'!$B$7:$B$12040,0)-1,1),GOOGLEFINANCE(R$2))"),7457.69)</f>
        <v>7457.69</v>
      </c>
      <c r="S118" s="9">
        <f ca="1">IFERROR(__xludf.DUMMYFUNCTION("iferror(index('지수RAW'!$N$7:$N$12040,MATCH($D118,'지수RAW'!$J$7:$J$12040,0)-1,1),GOOGLEFINANCE(S$2))"),25520.24)</f>
        <v>25520.240000000002</v>
      </c>
      <c r="T118" s="5"/>
      <c r="U118" s="29">
        <f t="array" aca="1" ref="U118" ca="1">IFERROR(INDEX(지수RAW!$AT$7:$AT$12040,MATCH($D118,지수RAW!$AP$7:$AP$12040,0)-1,1),지수RAW!$AU$4)</f>
        <v>4018.8</v>
      </c>
      <c r="V118" s="29">
        <f ca="1">IFERROR(__xludf.DUMMYFUNCTION("iferror(index('지수RAW'!$AL$7:$AL$12040,MATCH($D118,'지수RAW'!$AH$7:$AH$12040,0)-1,1),GOOGLEFINANCE(V$2))"),64324)</f>
        <v>64324</v>
      </c>
      <c r="W118" s="30">
        <f ca="1">IFERROR(__xludf.DUMMYFUNCTION("iferror(index('지수RAW'!$AD$7:$AD$12040,MATCH($D118,'지수RAW'!$Z$7:$Z$12040,0)-1,1),GOOGLEFINANCE(W$2))"),1487.77)</f>
        <v>1487.77</v>
      </c>
      <c r="X118" s="36">
        <f t="shared" ca="1" si="54"/>
        <v>11095327.451299999</v>
      </c>
      <c r="Y118" s="36">
        <f t="shared" ca="1" si="55"/>
        <v>37968247.4648</v>
      </c>
      <c r="Z118" s="36">
        <f t="shared" ca="1" si="56"/>
        <v>5979050.0760000004</v>
      </c>
      <c r="AA118" s="36">
        <f t="shared" ca="1" si="57"/>
        <v>95699317.480000004</v>
      </c>
      <c r="AB118" s="12"/>
      <c r="AC118" s="38">
        <f t="shared" ca="1" si="67"/>
        <v>139.55650191826049</v>
      </c>
      <c r="AD118" s="38">
        <f t="shared" ca="1" si="68"/>
        <v>389.27484890870141</v>
      </c>
      <c r="AE118" s="38">
        <f t="shared" ca="1" si="69"/>
        <v>515.9081875012813</v>
      </c>
      <c r="AF118" s="38">
        <f t="shared" ca="1" si="70"/>
        <v>428.35841282296337</v>
      </c>
      <c r="AG118" s="38">
        <f t="shared" ca="1" si="71"/>
        <v>646.69972598425568</v>
      </c>
    </row>
    <row r="119" spans="1:33" ht="12.75" customHeight="1" x14ac:dyDescent="0.35">
      <c r="A119" s="5"/>
      <c r="B119" s="22">
        <f t="shared" si="58"/>
        <v>27</v>
      </c>
      <c r="C119" s="22">
        <f t="shared" si="59"/>
        <v>7</v>
      </c>
      <c r="D119" s="22" t="str">
        <f>IF(F119="12월",(E119+1)&amp;VLOOKUP(F119,인덱스!$C:$D,2,0),E119&amp;VLOOKUP(F119,인덱스!$C:$D,2,0))</f>
        <v>20278</v>
      </c>
      <c r="E119" s="5" t="str">
        <f t="shared" si="60"/>
        <v>2027</v>
      </c>
      <c r="F119" s="5" t="str">
        <f t="shared" si="61"/>
        <v>7월</v>
      </c>
      <c r="G119" s="37" t="str">
        <f>B119&amp;"."&amp;VLOOKUP(F119,인덱스!$A:$B,2,0)</f>
        <v>27.07</v>
      </c>
      <c r="H119" s="14">
        <f>IFERROR(VLOOKUP(G119,#REF!,2,0),)</f>
        <v>0</v>
      </c>
      <c r="I119" s="38">
        <f t="shared" ca="1" si="62"/>
        <v>276.4185467823574</v>
      </c>
      <c r="J119" s="38">
        <f t="shared" ca="1" si="63"/>
        <v>278.93709254528522</v>
      </c>
      <c r="K119" s="39">
        <f t="shared" ca="1" si="64"/>
        <v>369.67692684318911</v>
      </c>
      <c r="L119" s="39">
        <f t="shared" ca="1" si="65"/>
        <v>306.94264110593451</v>
      </c>
      <c r="M119" s="39">
        <f t="shared" ca="1" si="66"/>
        <v>463.3963427680589</v>
      </c>
      <c r="N119" s="5"/>
      <c r="O119" s="5"/>
      <c r="P119" s="5"/>
      <c r="Q119" s="8">
        <f ca="1">IFERROR(__xludf.DUMMYFUNCTION("iferror(index('지수RAW'!$V$7:$V$12040,MATCH($D119,'지수RAW'!$R$7:$R$12040,0)-1,1),GOOGLEFINANCE(Q$2))"),6820.6)</f>
        <v>6820.6</v>
      </c>
      <c r="R119" s="5">
        <f ca="1">IFERROR(__xludf.DUMMYFUNCTION("iferror(index('지수RAW'!$F$7:$F$12040,MATCH($D119,'지수RAW'!$B$7:$B$12040,0)-1,1),GOOGLEFINANCE(R$2))"),7457.69)</f>
        <v>7457.69</v>
      </c>
      <c r="S119" s="9">
        <f ca="1">IFERROR(__xludf.DUMMYFUNCTION("iferror(index('지수RAW'!$N$7:$N$12040,MATCH($D119,'지수RAW'!$J$7:$J$12040,0)-1,1),GOOGLEFINANCE(S$2))"),25520.24)</f>
        <v>25520.240000000002</v>
      </c>
      <c r="T119" s="5"/>
      <c r="U119" s="29">
        <f t="array" aca="1" ref="U119" ca="1">IFERROR(INDEX(지수RAW!$AT$7:$AT$12040,MATCH($D119,지수RAW!$AP$7:$AP$12040,0)-1,1),지수RAW!$AU$4)</f>
        <v>4018.8</v>
      </c>
      <c r="V119" s="29">
        <f ca="1">IFERROR(__xludf.DUMMYFUNCTION("iferror(index('지수RAW'!$AL$7:$AL$12040,MATCH($D119,'지수RAW'!$AH$7:$AH$12040,0)-1,1),GOOGLEFINANCE(V$2))"),64324)</f>
        <v>64324</v>
      </c>
      <c r="W119" s="30">
        <f ca="1">IFERROR(__xludf.DUMMYFUNCTION("iferror(index('지수RAW'!$AD$7:$AD$12040,MATCH($D119,'지수RAW'!$Z$7:$Z$12040,0)-1,1),GOOGLEFINANCE(W$2))"),1487.77)</f>
        <v>1487.77</v>
      </c>
      <c r="X119" s="36">
        <f t="shared" ca="1" si="54"/>
        <v>11095327.451299999</v>
      </c>
      <c r="Y119" s="36">
        <f t="shared" ca="1" si="55"/>
        <v>37968247.4648</v>
      </c>
      <c r="Z119" s="36">
        <f t="shared" ca="1" si="56"/>
        <v>5979050.0760000004</v>
      </c>
      <c r="AA119" s="36">
        <f t="shared" ca="1" si="57"/>
        <v>95699317.480000004</v>
      </c>
      <c r="AB119" s="12"/>
      <c r="AC119" s="38">
        <f t="shared" ca="1" si="67"/>
        <v>139.55650191826049</v>
      </c>
      <c r="AD119" s="38">
        <f t="shared" ca="1" si="68"/>
        <v>389.27484890870141</v>
      </c>
      <c r="AE119" s="38">
        <f t="shared" ca="1" si="69"/>
        <v>515.9081875012813</v>
      </c>
      <c r="AF119" s="38">
        <f t="shared" ca="1" si="70"/>
        <v>428.35841282296337</v>
      </c>
      <c r="AG119" s="38">
        <f t="shared" ca="1" si="71"/>
        <v>646.69972598425568</v>
      </c>
    </row>
    <row r="120" spans="1:33" ht="12.75" customHeight="1" x14ac:dyDescent="0.35">
      <c r="A120" s="5"/>
      <c r="B120" s="22">
        <f t="shared" si="58"/>
        <v>27</v>
      </c>
      <c r="C120" s="22">
        <f t="shared" si="59"/>
        <v>8</v>
      </c>
      <c r="D120" s="22" t="str">
        <f>IF(F120="12월",(E120+1)&amp;VLOOKUP(F120,인덱스!$C:$D,2,0),E120&amp;VLOOKUP(F120,인덱스!$C:$D,2,0))</f>
        <v>20279</v>
      </c>
      <c r="E120" s="5" t="str">
        <f t="shared" si="60"/>
        <v>2027</v>
      </c>
      <c r="F120" s="5" t="str">
        <f t="shared" si="61"/>
        <v>8월</v>
      </c>
      <c r="G120" s="37" t="str">
        <f>B120&amp;"."&amp;VLOOKUP(F120,인덱스!$A:$B,2,0)</f>
        <v>27.08</v>
      </c>
      <c r="H120" s="14">
        <f>IFERROR(VLOOKUP(G120,#REF!,2,0),)</f>
        <v>0</v>
      </c>
      <c r="I120" s="38">
        <f t="shared" ca="1" si="62"/>
        <v>276.4185467823574</v>
      </c>
      <c r="J120" s="38">
        <f t="shared" ca="1" si="63"/>
        <v>278.93709254528522</v>
      </c>
      <c r="K120" s="39">
        <f t="shared" ca="1" si="64"/>
        <v>369.67692684318911</v>
      </c>
      <c r="L120" s="39">
        <f t="shared" ca="1" si="65"/>
        <v>306.94264110593451</v>
      </c>
      <c r="M120" s="39">
        <f t="shared" ca="1" si="66"/>
        <v>463.3963427680589</v>
      </c>
      <c r="N120" s="5"/>
      <c r="O120" s="5"/>
      <c r="P120" s="5"/>
      <c r="Q120" s="8">
        <f ca="1">IFERROR(__xludf.DUMMYFUNCTION("iferror(index('지수RAW'!$V$7:$V$12040,MATCH($D120,'지수RAW'!$R$7:$R$12040,0)-1,1),GOOGLEFINANCE(Q$2))"),6820.6)</f>
        <v>6820.6</v>
      </c>
      <c r="R120" s="5">
        <f ca="1">IFERROR(__xludf.DUMMYFUNCTION("iferror(index('지수RAW'!$F$7:$F$12040,MATCH($D120,'지수RAW'!$B$7:$B$12040,0)-1,1),GOOGLEFINANCE(R$2))"),7457.69)</f>
        <v>7457.69</v>
      </c>
      <c r="S120" s="9">
        <f ca="1">IFERROR(__xludf.DUMMYFUNCTION("iferror(index('지수RAW'!$N$7:$N$12040,MATCH($D120,'지수RAW'!$J$7:$J$12040,0)-1,1),GOOGLEFINANCE(S$2))"),25520.24)</f>
        <v>25520.240000000002</v>
      </c>
      <c r="T120" s="5"/>
      <c r="U120" s="29">
        <f t="array" aca="1" ref="U120" ca="1">IFERROR(INDEX(지수RAW!$AT$7:$AT$12040,MATCH($D120,지수RAW!$AP$7:$AP$12040,0)-1,1),지수RAW!$AU$4)</f>
        <v>4018.8</v>
      </c>
      <c r="V120" s="29">
        <f ca="1">IFERROR(__xludf.DUMMYFUNCTION("iferror(index('지수RAW'!$AL$7:$AL$12040,MATCH($D120,'지수RAW'!$AH$7:$AH$12040,0)-1,1),GOOGLEFINANCE(V$2))"),64324)</f>
        <v>64324</v>
      </c>
      <c r="W120" s="30">
        <f ca="1">IFERROR(__xludf.DUMMYFUNCTION("iferror(index('지수RAW'!$AD$7:$AD$12040,MATCH($D120,'지수RAW'!$Z$7:$Z$12040,0)-1,1),GOOGLEFINANCE(W$2))"),1487.77)</f>
        <v>1487.77</v>
      </c>
      <c r="X120" s="36">
        <f t="shared" ca="1" si="54"/>
        <v>11095327.451299999</v>
      </c>
      <c r="Y120" s="36">
        <f t="shared" ca="1" si="55"/>
        <v>37968247.4648</v>
      </c>
      <c r="Z120" s="36">
        <f t="shared" ca="1" si="56"/>
        <v>5979050.0760000004</v>
      </c>
      <c r="AA120" s="36">
        <f t="shared" ca="1" si="57"/>
        <v>95699317.480000004</v>
      </c>
      <c r="AB120" s="12"/>
      <c r="AC120" s="38">
        <f t="shared" ca="1" si="67"/>
        <v>139.55650191826049</v>
      </c>
      <c r="AD120" s="38">
        <f t="shared" ca="1" si="68"/>
        <v>389.27484890870141</v>
      </c>
      <c r="AE120" s="38">
        <f t="shared" ca="1" si="69"/>
        <v>515.9081875012813</v>
      </c>
      <c r="AF120" s="38">
        <f t="shared" ca="1" si="70"/>
        <v>428.35841282296337</v>
      </c>
      <c r="AG120" s="38">
        <f t="shared" ca="1" si="71"/>
        <v>646.69972598425568</v>
      </c>
    </row>
    <row r="121" spans="1:33" ht="12.75" customHeight="1" x14ac:dyDescent="0.35">
      <c r="A121" s="5"/>
      <c r="B121" s="22">
        <f t="shared" si="58"/>
        <v>27</v>
      </c>
      <c r="C121" s="22">
        <f t="shared" si="59"/>
        <v>9</v>
      </c>
      <c r="D121" s="22" t="str">
        <f>IF(F121="12월",(E121+1)&amp;VLOOKUP(F121,인덱스!$C:$D,2,0),E121&amp;VLOOKUP(F121,인덱스!$C:$D,2,0))</f>
        <v>202710</v>
      </c>
      <c r="E121" s="5" t="str">
        <f t="shared" si="60"/>
        <v>2027</v>
      </c>
      <c r="F121" s="5" t="str">
        <f t="shared" si="61"/>
        <v>9월</v>
      </c>
      <c r="G121" s="37" t="str">
        <f>B121&amp;"."&amp;VLOOKUP(F121,인덱스!$A:$B,2,0)</f>
        <v>27.09</v>
      </c>
      <c r="H121" s="14">
        <f>IFERROR(VLOOKUP(G121,#REF!,2,0),)</f>
        <v>0</v>
      </c>
      <c r="I121" s="38">
        <f t="shared" ca="1" si="62"/>
        <v>276.4185467823574</v>
      </c>
      <c r="J121" s="38">
        <f t="shared" ca="1" si="63"/>
        <v>278.93709254528522</v>
      </c>
      <c r="K121" s="39">
        <f t="shared" ca="1" si="64"/>
        <v>369.67692684318911</v>
      </c>
      <c r="L121" s="39">
        <f t="shared" ca="1" si="65"/>
        <v>306.94264110593451</v>
      </c>
      <c r="M121" s="39">
        <f t="shared" ca="1" si="66"/>
        <v>463.3963427680589</v>
      </c>
      <c r="N121" s="5"/>
      <c r="O121" s="5"/>
      <c r="P121" s="5"/>
      <c r="Q121" s="8">
        <f ca="1">IFERROR(__xludf.DUMMYFUNCTION("iferror(index('지수RAW'!$V$7:$V$12040,MATCH($D121,'지수RAW'!$R$7:$R$12040,0)-1,1),GOOGLEFINANCE(Q$2))"),6820.6)</f>
        <v>6820.6</v>
      </c>
      <c r="R121" s="5">
        <f ca="1">IFERROR(__xludf.DUMMYFUNCTION("iferror(index('지수RAW'!$F$7:$F$12040,MATCH($D121,'지수RAW'!$B$7:$B$12040,0)-1,1),GOOGLEFINANCE(R$2))"),7457.69)</f>
        <v>7457.69</v>
      </c>
      <c r="S121" s="9">
        <f ca="1">IFERROR(__xludf.DUMMYFUNCTION("iferror(index('지수RAW'!$N$7:$N$12040,MATCH($D121,'지수RAW'!$J$7:$J$12040,0)-1,1),GOOGLEFINANCE(S$2))"),25520.24)</f>
        <v>25520.240000000002</v>
      </c>
      <c r="T121" s="5"/>
      <c r="U121" s="29">
        <f t="array" aca="1" ref="U121" ca="1">IFERROR(INDEX(지수RAW!$AT$7:$AT$12040,MATCH($D121,지수RAW!$AP$7:$AP$12040,0)-1,1),지수RAW!$AU$4)</f>
        <v>4018.8</v>
      </c>
      <c r="V121" s="29">
        <f ca="1">IFERROR(__xludf.DUMMYFUNCTION("iferror(index('지수RAW'!$AL$7:$AL$12040,MATCH($D121,'지수RAW'!$AH$7:$AH$12040,0)-1,1),GOOGLEFINANCE(V$2))"),64324)</f>
        <v>64324</v>
      </c>
      <c r="W121" s="30">
        <f ca="1">IFERROR(__xludf.DUMMYFUNCTION("iferror(index('지수RAW'!$AD$7:$AD$12040,MATCH($D121,'지수RAW'!$Z$7:$Z$12040,0)-1,1),GOOGLEFINANCE(W$2))"),1487.77)</f>
        <v>1487.77</v>
      </c>
      <c r="X121" s="36">
        <f t="shared" ca="1" si="54"/>
        <v>11095327.451299999</v>
      </c>
      <c r="Y121" s="36">
        <f t="shared" ca="1" si="55"/>
        <v>37968247.4648</v>
      </c>
      <c r="Z121" s="36">
        <f t="shared" ca="1" si="56"/>
        <v>5979050.0760000004</v>
      </c>
      <c r="AA121" s="36">
        <f t="shared" ca="1" si="57"/>
        <v>95699317.480000004</v>
      </c>
      <c r="AB121" s="12"/>
      <c r="AC121" s="38">
        <f t="shared" ca="1" si="67"/>
        <v>139.55650191826049</v>
      </c>
      <c r="AD121" s="38">
        <f t="shared" ca="1" si="68"/>
        <v>389.27484890870141</v>
      </c>
      <c r="AE121" s="38">
        <f t="shared" ca="1" si="69"/>
        <v>515.9081875012813</v>
      </c>
      <c r="AF121" s="38">
        <f t="shared" ca="1" si="70"/>
        <v>428.35841282296337</v>
      </c>
      <c r="AG121" s="38">
        <f t="shared" ca="1" si="71"/>
        <v>646.69972598425568</v>
      </c>
    </row>
    <row r="122" spans="1:33" ht="12.75" customHeight="1" x14ac:dyDescent="0.35">
      <c r="A122" s="5"/>
      <c r="B122" s="22">
        <f t="shared" si="58"/>
        <v>27</v>
      </c>
      <c r="C122" s="22">
        <f t="shared" si="59"/>
        <v>10</v>
      </c>
      <c r="D122" s="22" t="str">
        <f>IF(F122="12월",(E122+1)&amp;VLOOKUP(F122,인덱스!$C:$D,2,0),E122&amp;VLOOKUP(F122,인덱스!$C:$D,2,0))</f>
        <v>202711</v>
      </c>
      <c r="E122" s="5" t="str">
        <f t="shared" si="60"/>
        <v>2027</v>
      </c>
      <c r="F122" s="5" t="str">
        <f t="shared" si="61"/>
        <v>10월</v>
      </c>
      <c r="G122" s="37" t="str">
        <f>B122&amp;"."&amp;VLOOKUP(F122,인덱스!$A:$B,2,0)</f>
        <v>27.10</v>
      </c>
      <c r="H122" s="14">
        <f>IFERROR(VLOOKUP(G122,#REF!,2,0),)</f>
        <v>0</v>
      </c>
      <c r="I122" s="38">
        <f t="shared" ca="1" si="62"/>
        <v>276.4185467823574</v>
      </c>
      <c r="J122" s="38">
        <f t="shared" ca="1" si="63"/>
        <v>278.93709254528522</v>
      </c>
      <c r="K122" s="39">
        <f t="shared" ca="1" si="64"/>
        <v>369.67692684318911</v>
      </c>
      <c r="L122" s="39">
        <f t="shared" ca="1" si="65"/>
        <v>306.94264110593451</v>
      </c>
      <c r="M122" s="39">
        <f t="shared" ca="1" si="66"/>
        <v>463.3963427680589</v>
      </c>
      <c r="N122" s="5"/>
      <c r="O122" s="5"/>
      <c r="P122" s="5"/>
      <c r="Q122" s="8">
        <f ca="1">IFERROR(__xludf.DUMMYFUNCTION("iferror(index('지수RAW'!$V$7:$V$12040,MATCH($D122,'지수RAW'!$R$7:$R$12040,0)-1,1),GOOGLEFINANCE(Q$2))"),6820.6)</f>
        <v>6820.6</v>
      </c>
      <c r="R122" s="5">
        <f ca="1">IFERROR(__xludf.DUMMYFUNCTION("iferror(index('지수RAW'!$F$7:$F$12040,MATCH($D122,'지수RAW'!$B$7:$B$12040,0)-1,1),GOOGLEFINANCE(R$2))"),7457.69)</f>
        <v>7457.69</v>
      </c>
      <c r="S122" s="9">
        <f ca="1">IFERROR(__xludf.DUMMYFUNCTION("iferror(index('지수RAW'!$N$7:$N$12040,MATCH($D122,'지수RAW'!$J$7:$J$12040,0)-1,1),GOOGLEFINANCE(S$2))"),25520.24)</f>
        <v>25520.240000000002</v>
      </c>
      <c r="T122" s="5"/>
      <c r="U122" s="29">
        <f t="array" aca="1" ref="U122" ca="1">IFERROR(INDEX(지수RAW!$AT$7:$AT$12040,MATCH($D122,지수RAW!$AP$7:$AP$12040,0)-1,1),지수RAW!$AU$4)</f>
        <v>4018.8</v>
      </c>
      <c r="V122" s="29">
        <f ca="1">IFERROR(__xludf.DUMMYFUNCTION("iferror(index('지수RAW'!$AL$7:$AL$12040,MATCH($D122,'지수RAW'!$AH$7:$AH$12040,0)-1,1),GOOGLEFINANCE(V$2))"),64324)</f>
        <v>64324</v>
      </c>
      <c r="W122" s="30">
        <f ca="1">IFERROR(__xludf.DUMMYFUNCTION("iferror(index('지수RAW'!$AD$7:$AD$12040,MATCH($D122,'지수RAW'!$Z$7:$Z$12040,0)-1,1),GOOGLEFINANCE(W$2))"),1487.77)</f>
        <v>1487.77</v>
      </c>
      <c r="X122" s="36">
        <f t="shared" ca="1" si="54"/>
        <v>11095327.451299999</v>
      </c>
      <c r="Y122" s="36">
        <f t="shared" ca="1" si="55"/>
        <v>37968247.4648</v>
      </c>
      <c r="Z122" s="36">
        <f t="shared" ca="1" si="56"/>
        <v>5979050.0760000004</v>
      </c>
      <c r="AA122" s="36">
        <f t="shared" ca="1" si="57"/>
        <v>95699317.480000004</v>
      </c>
      <c r="AB122" s="12"/>
      <c r="AC122" s="38">
        <f t="shared" ca="1" si="67"/>
        <v>139.55650191826049</v>
      </c>
      <c r="AD122" s="38">
        <f t="shared" ca="1" si="68"/>
        <v>389.27484890870141</v>
      </c>
      <c r="AE122" s="38">
        <f t="shared" ca="1" si="69"/>
        <v>515.9081875012813</v>
      </c>
      <c r="AF122" s="38">
        <f t="shared" ca="1" si="70"/>
        <v>428.35841282296337</v>
      </c>
      <c r="AG122" s="38">
        <f t="shared" ca="1" si="71"/>
        <v>646.69972598425568</v>
      </c>
    </row>
    <row r="123" spans="1:33" ht="12.75" customHeight="1" x14ac:dyDescent="0.35">
      <c r="A123" s="5"/>
      <c r="B123" s="22">
        <f t="shared" si="58"/>
        <v>27</v>
      </c>
      <c r="C123" s="22">
        <f t="shared" si="59"/>
        <v>11</v>
      </c>
      <c r="D123" s="22" t="str">
        <f>IF(F123="12월",(E123+1)&amp;VLOOKUP(F123,인덱스!$C:$D,2,0),E123&amp;VLOOKUP(F123,인덱스!$C:$D,2,0))</f>
        <v>202712</v>
      </c>
      <c r="E123" s="5" t="str">
        <f t="shared" si="60"/>
        <v>2027</v>
      </c>
      <c r="F123" s="5" t="str">
        <f t="shared" si="61"/>
        <v>11월</v>
      </c>
      <c r="G123" s="37" t="str">
        <f>B123&amp;"."&amp;VLOOKUP(F123,인덱스!$A:$B,2,0)</f>
        <v>27.11</v>
      </c>
      <c r="H123" s="14">
        <f>IFERROR(VLOOKUP(G123,#REF!,2,0),)</f>
        <v>0</v>
      </c>
      <c r="I123" s="38">
        <f t="shared" ca="1" si="62"/>
        <v>276.4185467823574</v>
      </c>
      <c r="J123" s="38">
        <f t="shared" ca="1" si="63"/>
        <v>278.93709254528522</v>
      </c>
      <c r="K123" s="39">
        <f t="shared" ca="1" si="64"/>
        <v>369.67692684318911</v>
      </c>
      <c r="L123" s="39">
        <f t="shared" ca="1" si="65"/>
        <v>306.94264110593451</v>
      </c>
      <c r="M123" s="39">
        <f t="shared" ca="1" si="66"/>
        <v>463.3963427680589</v>
      </c>
      <c r="N123" s="5"/>
      <c r="O123" s="5"/>
      <c r="P123" s="5"/>
      <c r="Q123" s="8">
        <f ca="1">IFERROR(__xludf.DUMMYFUNCTION("iferror(index('지수RAW'!$V$7:$V$12040,MATCH($D123,'지수RAW'!$R$7:$R$12040,0)-1,1),GOOGLEFINANCE(Q$2))"),6820.6)</f>
        <v>6820.6</v>
      </c>
      <c r="R123" s="5">
        <f ca="1">IFERROR(__xludf.DUMMYFUNCTION("iferror(index('지수RAW'!$F$7:$F$12040,MATCH($D123,'지수RAW'!$B$7:$B$12040,0)-1,1),GOOGLEFINANCE(R$2))"),7457.69)</f>
        <v>7457.69</v>
      </c>
      <c r="S123" s="9">
        <f ca="1">IFERROR(__xludf.DUMMYFUNCTION("iferror(index('지수RAW'!$N$7:$N$12040,MATCH($D123,'지수RAW'!$J$7:$J$12040,0)-1,1),GOOGLEFINANCE(S$2))"),25520.24)</f>
        <v>25520.240000000002</v>
      </c>
      <c r="T123" s="5"/>
      <c r="U123" s="29">
        <f t="array" aca="1" ref="U123" ca="1">IFERROR(INDEX(지수RAW!$AT$7:$AT$12040,MATCH($D123,지수RAW!$AP$7:$AP$12040,0)-1,1),지수RAW!$AU$4)</f>
        <v>4018.8</v>
      </c>
      <c r="V123" s="29">
        <f ca="1">IFERROR(__xludf.DUMMYFUNCTION("iferror(index('지수RAW'!$AL$7:$AL$12040,MATCH($D123,'지수RAW'!$AH$7:$AH$12040,0)-1,1),GOOGLEFINANCE(V$2))"),64324)</f>
        <v>64324</v>
      </c>
      <c r="W123" s="30">
        <f ca="1">IFERROR(__xludf.DUMMYFUNCTION("iferror(index('지수RAW'!$AD$7:$AD$12040,MATCH($D123,'지수RAW'!$Z$7:$Z$12040,0)-1,1),GOOGLEFINANCE(W$2))"),1487.77)</f>
        <v>1487.77</v>
      </c>
      <c r="X123" s="36">
        <f t="shared" ca="1" si="54"/>
        <v>11095327.451299999</v>
      </c>
      <c r="Y123" s="36">
        <f t="shared" ca="1" si="55"/>
        <v>37968247.4648</v>
      </c>
      <c r="Z123" s="36">
        <f t="shared" ca="1" si="56"/>
        <v>5979050.0760000004</v>
      </c>
      <c r="AA123" s="36">
        <f t="shared" ca="1" si="57"/>
        <v>95699317.480000004</v>
      </c>
      <c r="AB123" s="12"/>
      <c r="AC123" s="38">
        <f t="shared" ca="1" si="67"/>
        <v>139.55650191826049</v>
      </c>
      <c r="AD123" s="38">
        <f t="shared" ca="1" si="68"/>
        <v>389.27484890870141</v>
      </c>
      <c r="AE123" s="38">
        <f t="shared" ca="1" si="69"/>
        <v>515.9081875012813</v>
      </c>
      <c r="AF123" s="38">
        <f t="shared" ca="1" si="70"/>
        <v>428.35841282296337</v>
      </c>
      <c r="AG123" s="38">
        <f t="shared" ca="1" si="71"/>
        <v>646.69972598425568</v>
      </c>
    </row>
    <row r="124" spans="1:33" ht="12.75" customHeight="1" x14ac:dyDescent="0.35">
      <c r="A124" s="5"/>
      <c r="B124" s="22">
        <f t="shared" si="58"/>
        <v>27</v>
      </c>
      <c r="C124" s="22">
        <f t="shared" si="59"/>
        <v>12</v>
      </c>
      <c r="D124" s="22" t="str">
        <f>IF(F124="12월",(E124+1)&amp;VLOOKUP(F124,인덱스!$C:$D,2,0),E124&amp;VLOOKUP(F124,인덱스!$C:$D,2,0))</f>
        <v>20281</v>
      </c>
      <c r="E124" s="5" t="str">
        <f t="shared" si="60"/>
        <v>2027</v>
      </c>
      <c r="F124" s="5" t="str">
        <f t="shared" si="61"/>
        <v>12월</v>
      </c>
      <c r="G124" s="37" t="str">
        <f>B124&amp;"."&amp;VLOOKUP(F124,인덱스!$A:$B,2,0)</f>
        <v>27.12</v>
      </c>
      <c r="H124" s="14">
        <f>IFERROR(VLOOKUP(G124,#REF!,2,0),)</f>
        <v>0</v>
      </c>
      <c r="I124" s="38">
        <f t="shared" ca="1" si="62"/>
        <v>276.4185467823574</v>
      </c>
      <c r="J124" s="38">
        <f t="shared" ca="1" si="63"/>
        <v>278.93709254528522</v>
      </c>
      <c r="K124" s="39">
        <f t="shared" ca="1" si="64"/>
        <v>369.67692684318911</v>
      </c>
      <c r="L124" s="39">
        <f t="shared" ca="1" si="65"/>
        <v>306.94264110593451</v>
      </c>
      <c r="M124" s="39">
        <f t="shared" ca="1" si="66"/>
        <v>463.3963427680589</v>
      </c>
      <c r="N124" s="5"/>
      <c r="O124" s="5"/>
      <c r="P124" s="5"/>
      <c r="Q124" s="8">
        <f ca="1">IFERROR(__xludf.DUMMYFUNCTION("iferror(index('지수RAW'!$V$7:$V$12040,MATCH($D124,'지수RAW'!$R$7:$R$12040,0)-1,1),GOOGLEFINANCE(Q$2))"),6820.6)</f>
        <v>6820.6</v>
      </c>
      <c r="R124" s="5">
        <f ca="1">IFERROR(__xludf.DUMMYFUNCTION("iferror(index('지수RAW'!$F$7:$F$12040,MATCH($D124,'지수RAW'!$B$7:$B$12040,0)-1,1),GOOGLEFINANCE(R$2))"),7457.69)</f>
        <v>7457.69</v>
      </c>
      <c r="S124" s="9">
        <f ca="1">IFERROR(__xludf.DUMMYFUNCTION("iferror(index('지수RAW'!$N$7:$N$12040,MATCH($D124,'지수RAW'!$J$7:$J$12040,0)-1,1),GOOGLEFINANCE(S$2))"),25520.24)</f>
        <v>25520.240000000002</v>
      </c>
      <c r="T124" s="5"/>
      <c r="U124" s="29">
        <f t="array" aca="1" ref="U124" ca="1">IFERROR(INDEX(지수RAW!$AT$7:$AT$12040,MATCH($D124,지수RAW!$AP$7:$AP$12040,0)-1,1),지수RAW!$AU$4)</f>
        <v>4018.8</v>
      </c>
      <c r="V124" s="29">
        <f ca="1">IFERROR(__xludf.DUMMYFUNCTION("iferror(index('지수RAW'!$AL$7:$AL$12040,MATCH($D124,'지수RAW'!$AH$7:$AH$12040,0)-1,1),GOOGLEFINANCE(V$2))"),64324)</f>
        <v>64324</v>
      </c>
      <c r="W124" s="30">
        <f ca="1">IFERROR(__xludf.DUMMYFUNCTION("iferror(index('지수RAW'!$AD$7:$AD$12040,MATCH($D124,'지수RAW'!$Z$7:$Z$12040,0)-1,1),GOOGLEFINANCE(W$2))"),1487.77)</f>
        <v>1487.77</v>
      </c>
      <c r="X124" s="36">
        <f t="shared" ca="1" si="54"/>
        <v>11095327.451299999</v>
      </c>
      <c r="Y124" s="36">
        <f t="shared" ca="1" si="55"/>
        <v>37968247.4648</v>
      </c>
      <c r="Z124" s="36">
        <f t="shared" ca="1" si="56"/>
        <v>5979050.0760000004</v>
      </c>
      <c r="AA124" s="36">
        <f t="shared" ca="1" si="57"/>
        <v>95699317.480000004</v>
      </c>
      <c r="AB124" s="12"/>
      <c r="AC124" s="38">
        <f t="shared" ca="1" si="67"/>
        <v>139.55650191826049</v>
      </c>
      <c r="AD124" s="38">
        <f t="shared" ca="1" si="68"/>
        <v>389.27484890870141</v>
      </c>
      <c r="AE124" s="38">
        <f t="shared" ca="1" si="69"/>
        <v>515.9081875012813</v>
      </c>
      <c r="AF124" s="38">
        <f t="shared" ca="1" si="70"/>
        <v>428.35841282296337</v>
      </c>
      <c r="AG124" s="38">
        <f t="shared" ca="1" si="71"/>
        <v>646.69972598425568</v>
      </c>
    </row>
    <row r="125" spans="1:33" ht="12.75" customHeight="1" x14ac:dyDescent="0.35">
      <c r="A125" s="5"/>
      <c r="B125" s="22">
        <f t="shared" si="58"/>
        <v>28</v>
      </c>
      <c r="C125" s="22">
        <f t="shared" si="59"/>
        <v>1</v>
      </c>
      <c r="D125" s="22" t="str">
        <f>IF(F125="12월",(E125+1)&amp;VLOOKUP(F125,인덱스!$C:$D,2,0),E125&amp;VLOOKUP(F125,인덱스!$C:$D,2,0))</f>
        <v>20282</v>
      </c>
      <c r="E125" s="5" t="str">
        <f t="shared" si="60"/>
        <v>2028</v>
      </c>
      <c r="F125" s="5" t="str">
        <f t="shared" si="61"/>
        <v>1월</v>
      </c>
      <c r="G125" s="37" t="str">
        <f>B125&amp;"."&amp;VLOOKUP(F125,인덱스!$A:$B,2,0)</f>
        <v>28.01</v>
      </c>
      <c r="H125" s="14">
        <f>IFERROR(VLOOKUP(G125,#REF!,2,0),)</f>
        <v>0</v>
      </c>
      <c r="I125" s="38">
        <f t="shared" ca="1" si="62"/>
        <v>276.4185467823574</v>
      </c>
      <c r="J125" s="38">
        <f t="shared" ca="1" si="63"/>
        <v>278.93709254528522</v>
      </c>
      <c r="K125" s="39">
        <f t="shared" ca="1" si="64"/>
        <v>369.67692684318911</v>
      </c>
      <c r="L125" s="39">
        <f t="shared" ca="1" si="65"/>
        <v>306.94264110593451</v>
      </c>
      <c r="M125" s="39">
        <f t="shared" ca="1" si="66"/>
        <v>463.3963427680589</v>
      </c>
      <c r="N125" s="5"/>
      <c r="O125" s="5"/>
      <c r="P125" s="5"/>
      <c r="Q125" s="8">
        <f ca="1">IFERROR(__xludf.DUMMYFUNCTION("iferror(index('지수RAW'!$V$7:$V$12040,MATCH($D125,'지수RAW'!$R$7:$R$12040,0)-1,1),GOOGLEFINANCE(Q$2))"),6820.6)</f>
        <v>6820.6</v>
      </c>
      <c r="R125" s="5">
        <f ca="1">IFERROR(__xludf.DUMMYFUNCTION("iferror(index('지수RAW'!$F$7:$F$12040,MATCH($D125,'지수RAW'!$B$7:$B$12040,0)-1,1),GOOGLEFINANCE(R$2))"),7457.69)</f>
        <v>7457.69</v>
      </c>
      <c r="S125" s="9">
        <f ca="1">IFERROR(__xludf.DUMMYFUNCTION("iferror(index('지수RAW'!$N$7:$N$12040,MATCH($D125,'지수RAW'!$J$7:$J$12040,0)-1,1),GOOGLEFINANCE(S$2))"),25520.24)</f>
        <v>25520.240000000002</v>
      </c>
      <c r="T125" s="5"/>
      <c r="U125" s="29">
        <f t="array" aca="1" ref="U125" ca="1">IFERROR(INDEX(지수RAW!$AT$7:$AT$12040,MATCH($D125,지수RAW!$AP$7:$AP$12040,0)-1,1),지수RAW!$AU$4)</f>
        <v>4018.8</v>
      </c>
      <c r="V125" s="29">
        <f ca="1">IFERROR(__xludf.DUMMYFUNCTION("iferror(index('지수RAW'!$AL$7:$AL$12040,MATCH($D125,'지수RAW'!$AH$7:$AH$12040,0)-1,1),GOOGLEFINANCE(V$2))"),64324)</f>
        <v>64324</v>
      </c>
      <c r="W125" s="30">
        <f ca="1">IFERROR(__xludf.DUMMYFUNCTION("iferror(index('지수RAW'!$AD$7:$AD$12040,MATCH($D125,'지수RAW'!$Z$7:$Z$12040,0)-1,1),GOOGLEFINANCE(W$2))"),1487.77)</f>
        <v>1487.77</v>
      </c>
      <c r="X125" s="36">
        <f t="shared" ca="1" si="54"/>
        <v>11095327.451299999</v>
      </c>
      <c r="Y125" s="36">
        <f t="shared" ca="1" si="55"/>
        <v>37968247.4648</v>
      </c>
      <c r="Z125" s="36">
        <f t="shared" ca="1" si="56"/>
        <v>5979050.0760000004</v>
      </c>
      <c r="AA125" s="36">
        <f t="shared" ca="1" si="57"/>
        <v>95699317.480000004</v>
      </c>
      <c r="AB125" s="12"/>
      <c r="AC125" s="38">
        <f t="shared" ca="1" si="67"/>
        <v>139.55650191826049</v>
      </c>
      <c r="AD125" s="38">
        <f t="shared" ca="1" si="68"/>
        <v>389.27484890870141</v>
      </c>
      <c r="AE125" s="38">
        <f t="shared" ca="1" si="69"/>
        <v>515.9081875012813</v>
      </c>
      <c r="AF125" s="38">
        <f t="shared" ca="1" si="70"/>
        <v>428.35841282296337</v>
      </c>
      <c r="AG125" s="38">
        <f t="shared" ca="1" si="71"/>
        <v>646.69972598425568</v>
      </c>
    </row>
    <row r="126" spans="1:33" ht="12.75" customHeight="1" x14ac:dyDescent="0.35">
      <c r="A126" s="5"/>
      <c r="B126" s="22">
        <f t="shared" si="58"/>
        <v>28</v>
      </c>
      <c r="C126" s="22">
        <f t="shared" si="59"/>
        <v>2</v>
      </c>
      <c r="D126" s="22" t="str">
        <f>IF(F126="12월",(E126+1)&amp;VLOOKUP(F126,인덱스!$C:$D,2,0),E126&amp;VLOOKUP(F126,인덱스!$C:$D,2,0))</f>
        <v>20283</v>
      </c>
      <c r="E126" s="5" t="str">
        <f t="shared" si="60"/>
        <v>2028</v>
      </c>
      <c r="F126" s="5" t="str">
        <f t="shared" si="61"/>
        <v>2월</v>
      </c>
      <c r="G126" s="37" t="str">
        <f>B126&amp;"."&amp;VLOOKUP(F126,인덱스!$A:$B,2,0)</f>
        <v>28.02</v>
      </c>
      <c r="H126" s="14">
        <f>IFERROR(VLOOKUP(G126,#REF!,2,0),)</f>
        <v>0</v>
      </c>
      <c r="I126" s="38">
        <f t="shared" ca="1" si="62"/>
        <v>276.4185467823574</v>
      </c>
      <c r="J126" s="38">
        <f t="shared" ca="1" si="63"/>
        <v>278.93709254528522</v>
      </c>
      <c r="K126" s="39">
        <f t="shared" ca="1" si="64"/>
        <v>369.67692684318911</v>
      </c>
      <c r="L126" s="39">
        <f t="shared" ca="1" si="65"/>
        <v>306.94264110593451</v>
      </c>
      <c r="M126" s="39">
        <f t="shared" ca="1" si="66"/>
        <v>463.3963427680589</v>
      </c>
      <c r="N126" s="5"/>
      <c r="O126" s="5"/>
      <c r="P126" s="5"/>
      <c r="Q126" s="8">
        <f ca="1">IFERROR(__xludf.DUMMYFUNCTION("iferror(index('지수RAW'!$V$7:$V$12040,MATCH($D126,'지수RAW'!$R$7:$R$12040,0)-1,1),GOOGLEFINANCE(Q$2))"),6820.6)</f>
        <v>6820.6</v>
      </c>
      <c r="R126" s="5">
        <f ca="1">IFERROR(__xludf.DUMMYFUNCTION("iferror(index('지수RAW'!$F$7:$F$12040,MATCH($D126,'지수RAW'!$B$7:$B$12040,0)-1,1),GOOGLEFINANCE(R$2))"),7457.69)</f>
        <v>7457.69</v>
      </c>
      <c r="S126" s="9">
        <f ca="1">IFERROR(__xludf.DUMMYFUNCTION("iferror(index('지수RAW'!$N$7:$N$12040,MATCH($D126,'지수RAW'!$J$7:$J$12040,0)-1,1),GOOGLEFINANCE(S$2))"),25520.24)</f>
        <v>25520.240000000002</v>
      </c>
      <c r="T126" s="5"/>
      <c r="U126" s="29">
        <f t="array" aca="1" ref="U126" ca="1">IFERROR(INDEX(지수RAW!$AT$7:$AT$12040,MATCH($D126,지수RAW!$AP$7:$AP$12040,0)-1,1),지수RAW!$AU$4)</f>
        <v>4018.8</v>
      </c>
      <c r="V126" s="29">
        <f ca="1">IFERROR(__xludf.DUMMYFUNCTION("iferror(index('지수RAW'!$AL$7:$AL$12040,MATCH($D126,'지수RAW'!$AH$7:$AH$12040,0)-1,1),GOOGLEFINANCE(V$2))"),64324)</f>
        <v>64324</v>
      </c>
      <c r="W126" s="30">
        <f ca="1">IFERROR(__xludf.DUMMYFUNCTION("iferror(index('지수RAW'!$AD$7:$AD$12040,MATCH($D126,'지수RAW'!$Z$7:$Z$12040,0)-1,1),GOOGLEFINANCE(W$2))"),1487.77)</f>
        <v>1487.77</v>
      </c>
      <c r="X126" s="36">
        <f t="shared" ca="1" si="54"/>
        <v>11095327.451299999</v>
      </c>
      <c r="Y126" s="36">
        <f t="shared" ca="1" si="55"/>
        <v>37968247.4648</v>
      </c>
      <c r="Z126" s="36">
        <f t="shared" ca="1" si="56"/>
        <v>5979050.0760000004</v>
      </c>
      <c r="AA126" s="36">
        <f t="shared" ca="1" si="57"/>
        <v>95699317.480000004</v>
      </c>
      <c r="AB126" s="12"/>
      <c r="AC126" s="38">
        <f t="shared" ca="1" si="67"/>
        <v>139.55650191826049</v>
      </c>
      <c r="AD126" s="38">
        <f t="shared" ca="1" si="68"/>
        <v>389.27484890870141</v>
      </c>
      <c r="AE126" s="38">
        <f t="shared" ca="1" si="69"/>
        <v>515.9081875012813</v>
      </c>
      <c r="AF126" s="38">
        <f t="shared" ca="1" si="70"/>
        <v>428.35841282296337</v>
      </c>
      <c r="AG126" s="38">
        <f t="shared" ca="1" si="71"/>
        <v>646.69972598425568</v>
      </c>
    </row>
    <row r="127" spans="1:33" ht="12.75" customHeight="1" x14ac:dyDescent="0.35">
      <c r="A127" s="5"/>
      <c r="B127" s="22">
        <f t="shared" si="58"/>
        <v>28</v>
      </c>
      <c r="C127" s="22">
        <f t="shared" si="59"/>
        <v>3</v>
      </c>
      <c r="D127" s="22" t="str">
        <f>IF(F127="12월",(E127+1)&amp;VLOOKUP(F127,인덱스!$C:$D,2,0),E127&amp;VLOOKUP(F127,인덱스!$C:$D,2,0))</f>
        <v>20284</v>
      </c>
      <c r="E127" s="5" t="str">
        <f t="shared" si="60"/>
        <v>2028</v>
      </c>
      <c r="F127" s="5" t="str">
        <f t="shared" si="61"/>
        <v>3월</v>
      </c>
      <c r="G127" s="37" t="str">
        <f>B127&amp;"."&amp;VLOOKUP(F127,인덱스!$A:$B,2,0)</f>
        <v>28.03</v>
      </c>
      <c r="H127" s="14">
        <f>IFERROR(VLOOKUP(G127,#REF!,2,0),)</f>
        <v>0</v>
      </c>
      <c r="I127" s="38">
        <f t="shared" ca="1" si="62"/>
        <v>276.4185467823574</v>
      </c>
      <c r="J127" s="38">
        <f t="shared" ca="1" si="63"/>
        <v>278.93709254528522</v>
      </c>
      <c r="K127" s="39">
        <f t="shared" ca="1" si="64"/>
        <v>369.67692684318911</v>
      </c>
      <c r="L127" s="39">
        <f t="shared" ca="1" si="65"/>
        <v>306.94264110593451</v>
      </c>
      <c r="M127" s="39">
        <f t="shared" ca="1" si="66"/>
        <v>463.3963427680589</v>
      </c>
      <c r="N127" s="5"/>
      <c r="O127" s="5"/>
      <c r="P127" s="5"/>
      <c r="Q127" s="8">
        <f ca="1">IFERROR(__xludf.DUMMYFUNCTION("iferror(index('지수RAW'!$V$7:$V$12040,MATCH($D127,'지수RAW'!$R$7:$R$12040,0)-1,1),GOOGLEFINANCE(Q$2))"),6820.6)</f>
        <v>6820.6</v>
      </c>
      <c r="R127" s="5">
        <f ca="1">IFERROR(__xludf.DUMMYFUNCTION("iferror(index('지수RAW'!$F$7:$F$12040,MATCH($D127,'지수RAW'!$B$7:$B$12040,0)-1,1),GOOGLEFINANCE(R$2))"),7457.69)</f>
        <v>7457.69</v>
      </c>
      <c r="S127" s="9">
        <f ca="1">IFERROR(__xludf.DUMMYFUNCTION("iferror(index('지수RAW'!$N$7:$N$12040,MATCH($D127,'지수RAW'!$J$7:$J$12040,0)-1,1),GOOGLEFINANCE(S$2))"),25520.24)</f>
        <v>25520.240000000002</v>
      </c>
      <c r="T127" s="5"/>
      <c r="U127" s="29">
        <f t="array" aca="1" ref="U127" ca="1">IFERROR(INDEX(지수RAW!$AT$7:$AT$12040,MATCH($D127,지수RAW!$AP$7:$AP$12040,0)-1,1),지수RAW!$AU$4)</f>
        <v>4018.8</v>
      </c>
      <c r="V127" s="29">
        <f ca="1">IFERROR(__xludf.DUMMYFUNCTION("iferror(index('지수RAW'!$AL$7:$AL$12040,MATCH($D127,'지수RAW'!$AH$7:$AH$12040,0)-1,1),GOOGLEFINANCE(V$2))"),64324)</f>
        <v>64324</v>
      </c>
      <c r="W127" s="30">
        <f ca="1">IFERROR(__xludf.DUMMYFUNCTION("iferror(index('지수RAW'!$AD$7:$AD$12040,MATCH($D127,'지수RAW'!$Z$7:$Z$12040,0)-1,1),GOOGLEFINANCE(W$2))"),1487.77)</f>
        <v>1487.77</v>
      </c>
      <c r="X127" s="36">
        <f t="shared" ca="1" si="54"/>
        <v>11095327.451299999</v>
      </c>
      <c r="Y127" s="36">
        <f t="shared" ca="1" si="55"/>
        <v>37968247.4648</v>
      </c>
      <c r="Z127" s="36">
        <f t="shared" ca="1" si="56"/>
        <v>5979050.0760000004</v>
      </c>
      <c r="AA127" s="36">
        <f t="shared" ca="1" si="57"/>
        <v>95699317.480000004</v>
      </c>
      <c r="AB127" s="12"/>
      <c r="AC127" s="38">
        <f t="shared" ca="1" si="67"/>
        <v>139.55650191826049</v>
      </c>
      <c r="AD127" s="38">
        <f t="shared" ca="1" si="68"/>
        <v>389.27484890870141</v>
      </c>
      <c r="AE127" s="38">
        <f t="shared" ca="1" si="69"/>
        <v>515.9081875012813</v>
      </c>
      <c r="AF127" s="38">
        <f t="shared" ca="1" si="70"/>
        <v>428.35841282296337</v>
      </c>
      <c r="AG127" s="38">
        <f t="shared" ca="1" si="71"/>
        <v>646.69972598425568</v>
      </c>
    </row>
    <row r="128" spans="1:33" ht="12.75" customHeight="1" x14ac:dyDescent="0.35">
      <c r="A128" s="5"/>
      <c r="B128" s="22">
        <f t="shared" si="58"/>
        <v>28</v>
      </c>
      <c r="C128" s="22">
        <f t="shared" si="59"/>
        <v>4</v>
      </c>
      <c r="D128" s="22" t="str">
        <f>IF(F128="12월",(E128+1)&amp;VLOOKUP(F128,인덱스!$C:$D,2,0),E128&amp;VLOOKUP(F128,인덱스!$C:$D,2,0))</f>
        <v>20285</v>
      </c>
      <c r="E128" s="5" t="str">
        <f t="shared" si="60"/>
        <v>2028</v>
      </c>
      <c r="F128" s="5" t="str">
        <f t="shared" si="61"/>
        <v>4월</v>
      </c>
      <c r="G128" s="37" t="str">
        <f>B128&amp;"."&amp;VLOOKUP(F128,인덱스!$A:$B,2,0)</f>
        <v>28.04</v>
      </c>
      <c r="H128" s="14">
        <f>IFERROR(VLOOKUP(G128,#REF!,2,0),)</f>
        <v>0</v>
      </c>
      <c r="I128" s="38">
        <f t="shared" ca="1" si="62"/>
        <v>276.4185467823574</v>
      </c>
      <c r="J128" s="38">
        <f t="shared" ca="1" si="63"/>
        <v>278.93709254528522</v>
      </c>
      <c r="K128" s="39">
        <f t="shared" ca="1" si="64"/>
        <v>369.67692684318911</v>
      </c>
      <c r="L128" s="39">
        <f t="shared" ca="1" si="65"/>
        <v>306.94264110593451</v>
      </c>
      <c r="M128" s="39">
        <f t="shared" ca="1" si="66"/>
        <v>463.3963427680589</v>
      </c>
      <c r="N128" s="5"/>
      <c r="O128" s="5"/>
      <c r="P128" s="5"/>
      <c r="Q128" s="8">
        <f ca="1">IFERROR(__xludf.DUMMYFUNCTION("iferror(index('지수RAW'!$V$7:$V$12040,MATCH($D128,'지수RAW'!$R$7:$R$12040,0)-1,1),GOOGLEFINANCE(Q$2))"),6820.6)</f>
        <v>6820.6</v>
      </c>
      <c r="R128" s="5">
        <f ca="1">IFERROR(__xludf.DUMMYFUNCTION("iferror(index('지수RAW'!$F$7:$F$12040,MATCH($D128,'지수RAW'!$B$7:$B$12040,0)-1,1),GOOGLEFINANCE(R$2))"),7457.69)</f>
        <v>7457.69</v>
      </c>
      <c r="S128" s="9">
        <f ca="1">IFERROR(__xludf.DUMMYFUNCTION("iferror(index('지수RAW'!$N$7:$N$12040,MATCH($D128,'지수RAW'!$J$7:$J$12040,0)-1,1),GOOGLEFINANCE(S$2))"),25520.24)</f>
        <v>25520.240000000002</v>
      </c>
      <c r="T128" s="5"/>
      <c r="U128" s="29">
        <f t="array" aca="1" ref="U128" ca="1">IFERROR(INDEX(지수RAW!$AT$7:$AT$12040,MATCH($D128,지수RAW!$AP$7:$AP$12040,0)-1,1),지수RAW!$AU$4)</f>
        <v>4018.8</v>
      </c>
      <c r="V128" s="29">
        <f ca="1">IFERROR(__xludf.DUMMYFUNCTION("iferror(index('지수RAW'!$AL$7:$AL$12040,MATCH($D128,'지수RAW'!$AH$7:$AH$12040,0)-1,1),GOOGLEFINANCE(V$2))"),64324)</f>
        <v>64324</v>
      </c>
      <c r="W128" s="30">
        <f ca="1">IFERROR(__xludf.DUMMYFUNCTION("iferror(index('지수RAW'!$AD$7:$AD$12040,MATCH($D128,'지수RAW'!$Z$7:$Z$12040,0)-1,1),GOOGLEFINANCE(W$2))"),1487.77)</f>
        <v>1487.77</v>
      </c>
      <c r="X128" s="36">
        <f t="shared" ca="1" si="54"/>
        <v>11095327.451299999</v>
      </c>
      <c r="Y128" s="36">
        <f t="shared" ca="1" si="55"/>
        <v>37968247.4648</v>
      </c>
      <c r="Z128" s="36">
        <f t="shared" ca="1" si="56"/>
        <v>5979050.0760000004</v>
      </c>
      <c r="AA128" s="36">
        <f t="shared" ca="1" si="57"/>
        <v>95699317.480000004</v>
      </c>
      <c r="AB128" s="12"/>
      <c r="AC128" s="38">
        <f t="shared" ca="1" si="67"/>
        <v>139.55650191826049</v>
      </c>
      <c r="AD128" s="38">
        <f t="shared" ca="1" si="68"/>
        <v>389.27484890870141</v>
      </c>
      <c r="AE128" s="38">
        <f t="shared" ca="1" si="69"/>
        <v>515.9081875012813</v>
      </c>
      <c r="AF128" s="38">
        <f t="shared" ca="1" si="70"/>
        <v>428.35841282296337</v>
      </c>
      <c r="AG128" s="38">
        <f t="shared" ca="1" si="71"/>
        <v>646.69972598425568</v>
      </c>
    </row>
    <row r="129" spans="1:33" ht="12.75" customHeight="1" x14ac:dyDescent="0.35">
      <c r="A129" s="5"/>
      <c r="B129" s="22">
        <f t="shared" si="58"/>
        <v>28</v>
      </c>
      <c r="C129" s="22">
        <f t="shared" si="59"/>
        <v>5</v>
      </c>
      <c r="D129" s="22" t="str">
        <f>IF(F129="12월",(E129+1)&amp;VLOOKUP(F129,인덱스!$C:$D,2,0),E129&amp;VLOOKUP(F129,인덱스!$C:$D,2,0))</f>
        <v>20286</v>
      </c>
      <c r="E129" s="5" t="str">
        <f t="shared" si="60"/>
        <v>2028</v>
      </c>
      <c r="F129" s="5" t="str">
        <f t="shared" si="61"/>
        <v>5월</v>
      </c>
      <c r="G129" s="37" t="str">
        <f>B129&amp;"."&amp;VLOOKUP(F129,인덱스!$A:$B,2,0)</f>
        <v>28.05</v>
      </c>
      <c r="H129" s="14">
        <f>IFERROR(VLOOKUP(G129,#REF!,2,0),)</f>
        <v>0</v>
      </c>
      <c r="I129" s="38">
        <f t="shared" ca="1" si="62"/>
        <v>276.4185467823574</v>
      </c>
      <c r="J129" s="38">
        <f t="shared" ca="1" si="63"/>
        <v>278.93709254528522</v>
      </c>
      <c r="K129" s="39">
        <f t="shared" ca="1" si="64"/>
        <v>369.67692684318911</v>
      </c>
      <c r="L129" s="39">
        <f t="shared" ca="1" si="65"/>
        <v>306.94264110593451</v>
      </c>
      <c r="M129" s="39">
        <f t="shared" ca="1" si="66"/>
        <v>463.3963427680589</v>
      </c>
      <c r="N129" s="5"/>
      <c r="O129" s="5"/>
      <c r="P129" s="5"/>
      <c r="Q129" s="8">
        <f ca="1">IFERROR(__xludf.DUMMYFUNCTION("iferror(index('지수RAW'!$V$7:$V$12040,MATCH($D129,'지수RAW'!$R$7:$R$12040,0)-1,1),GOOGLEFINANCE(Q$2))"),6820.6)</f>
        <v>6820.6</v>
      </c>
      <c r="R129" s="5">
        <f ca="1">IFERROR(__xludf.DUMMYFUNCTION("iferror(index('지수RAW'!$F$7:$F$12040,MATCH($D129,'지수RAW'!$B$7:$B$12040,0)-1,1),GOOGLEFINANCE(R$2))"),7457.69)</f>
        <v>7457.69</v>
      </c>
      <c r="S129" s="9">
        <f ca="1">IFERROR(__xludf.DUMMYFUNCTION("iferror(index('지수RAW'!$N$7:$N$12040,MATCH($D129,'지수RAW'!$J$7:$J$12040,0)-1,1),GOOGLEFINANCE(S$2))"),25520.24)</f>
        <v>25520.240000000002</v>
      </c>
      <c r="T129" s="5"/>
      <c r="U129" s="29">
        <f t="array" aca="1" ref="U129" ca="1">IFERROR(INDEX(지수RAW!$AT$7:$AT$12040,MATCH($D129,지수RAW!$AP$7:$AP$12040,0)-1,1),지수RAW!$AU$4)</f>
        <v>4018.8</v>
      </c>
      <c r="V129" s="29">
        <f ca="1">IFERROR(__xludf.DUMMYFUNCTION("iferror(index('지수RAW'!$AL$7:$AL$12040,MATCH($D129,'지수RAW'!$AH$7:$AH$12040,0)-1,1),GOOGLEFINANCE(V$2))"),64324)</f>
        <v>64324</v>
      </c>
      <c r="W129" s="30">
        <f ca="1">IFERROR(__xludf.DUMMYFUNCTION("iferror(index('지수RAW'!$AD$7:$AD$12040,MATCH($D129,'지수RAW'!$Z$7:$Z$12040,0)-1,1),GOOGLEFINANCE(W$2))"),1487.77)</f>
        <v>1487.77</v>
      </c>
      <c r="X129" s="36">
        <f t="shared" ca="1" si="54"/>
        <v>11095327.451299999</v>
      </c>
      <c r="Y129" s="36">
        <f t="shared" ca="1" si="55"/>
        <v>37968247.4648</v>
      </c>
      <c r="Z129" s="36">
        <f t="shared" ca="1" si="56"/>
        <v>5979050.0760000004</v>
      </c>
      <c r="AA129" s="36">
        <f t="shared" ca="1" si="57"/>
        <v>95699317.480000004</v>
      </c>
      <c r="AB129" s="12"/>
      <c r="AC129" s="38">
        <f t="shared" ca="1" si="67"/>
        <v>139.55650191826049</v>
      </c>
      <c r="AD129" s="38">
        <f t="shared" ca="1" si="68"/>
        <v>389.27484890870141</v>
      </c>
      <c r="AE129" s="38">
        <f t="shared" ca="1" si="69"/>
        <v>515.9081875012813</v>
      </c>
      <c r="AF129" s="38">
        <f t="shared" ca="1" si="70"/>
        <v>428.35841282296337</v>
      </c>
      <c r="AG129" s="38">
        <f t="shared" ca="1" si="71"/>
        <v>646.69972598425568</v>
      </c>
    </row>
    <row r="130" spans="1:33" ht="12.75" customHeight="1" x14ac:dyDescent="0.35">
      <c r="A130" s="5"/>
      <c r="B130" s="22">
        <f t="shared" si="58"/>
        <v>28</v>
      </c>
      <c r="C130" s="22">
        <f t="shared" si="59"/>
        <v>6</v>
      </c>
      <c r="D130" s="22" t="str">
        <f>IF(F130="12월",(E130+1)&amp;VLOOKUP(F130,인덱스!$C:$D,2,0),E130&amp;VLOOKUP(F130,인덱스!$C:$D,2,0))</f>
        <v>20287</v>
      </c>
      <c r="E130" s="5" t="str">
        <f t="shared" si="60"/>
        <v>2028</v>
      </c>
      <c r="F130" s="5" t="str">
        <f t="shared" si="61"/>
        <v>6월</v>
      </c>
      <c r="G130" s="37" t="str">
        <f>B130&amp;"."&amp;VLOOKUP(F130,인덱스!$A:$B,2,0)</f>
        <v>28.06</v>
      </c>
      <c r="H130" s="14">
        <f>IFERROR(VLOOKUP(G130,#REF!,2,0),)</f>
        <v>0</v>
      </c>
      <c r="I130" s="38">
        <f t="shared" ca="1" si="62"/>
        <v>276.4185467823574</v>
      </c>
      <c r="J130" s="38">
        <f t="shared" ca="1" si="63"/>
        <v>278.93709254528522</v>
      </c>
      <c r="K130" s="39">
        <f t="shared" ca="1" si="64"/>
        <v>369.67692684318911</v>
      </c>
      <c r="L130" s="39">
        <f t="shared" ca="1" si="65"/>
        <v>306.94264110593451</v>
      </c>
      <c r="M130" s="39">
        <f t="shared" ca="1" si="66"/>
        <v>463.3963427680589</v>
      </c>
      <c r="N130" s="5"/>
      <c r="O130" s="5"/>
      <c r="P130" s="5"/>
      <c r="Q130" s="8">
        <f ca="1">IFERROR(__xludf.DUMMYFUNCTION("iferror(index('지수RAW'!$V$7:$V$12040,MATCH($D130,'지수RAW'!$R$7:$R$12040,0)-1,1),GOOGLEFINANCE(Q$2))"),6820.6)</f>
        <v>6820.6</v>
      </c>
      <c r="R130" s="5">
        <f ca="1">IFERROR(__xludf.DUMMYFUNCTION("iferror(index('지수RAW'!$F$7:$F$12040,MATCH($D130,'지수RAW'!$B$7:$B$12040,0)-1,1),GOOGLEFINANCE(R$2))"),7457.69)</f>
        <v>7457.69</v>
      </c>
      <c r="S130" s="9">
        <f ca="1">IFERROR(__xludf.DUMMYFUNCTION("iferror(index('지수RAW'!$N$7:$N$12040,MATCH($D130,'지수RAW'!$J$7:$J$12040,0)-1,1),GOOGLEFINANCE(S$2))"),25520.24)</f>
        <v>25520.240000000002</v>
      </c>
      <c r="T130" s="5"/>
      <c r="U130" s="29">
        <f t="array" aca="1" ref="U130" ca="1">IFERROR(INDEX(지수RAW!$AT$7:$AT$12040,MATCH($D130,지수RAW!$AP$7:$AP$12040,0)-1,1),지수RAW!$AU$4)</f>
        <v>4018.8</v>
      </c>
      <c r="V130" s="29">
        <f ca="1">IFERROR(__xludf.DUMMYFUNCTION("iferror(index('지수RAW'!$AL$7:$AL$12040,MATCH($D130,'지수RAW'!$AH$7:$AH$12040,0)-1,1),GOOGLEFINANCE(V$2))"),64324)</f>
        <v>64324</v>
      </c>
      <c r="W130" s="30">
        <f ca="1">IFERROR(__xludf.DUMMYFUNCTION("iferror(index('지수RAW'!$AD$7:$AD$12040,MATCH($D130,'지수RAW'!$Z$7:$Z$12040,0)-1,1),GOOGLEFINANCE(W$2))"),1487.77)</f>
        <v>1487.77</v>
      </c>
      <c r="X130" s="36">
        <f t="shared" ca="1" si="54"/>
        <v>11095327.451299999</v>
      </c>
      <c r="Y130" s="36">
        <f t="shared" ca="1" si="55"/>
        <v>37968247.4648</v>
      </c>
      <c r="Z130" s="36">
        <f t="shared" ca="1" si="56"/>
        <v>5979050.0760000004</v>
      </c>
      <c r="AA130" s="36">
        <f t="shared" ca="1" si="57"/>
        <v>95699317.480000004</v>
      </c>
      <c r="AB130" s="12"/>
      <c r="AC130" s="38">
        <f t="shared" ca="1" si="67"/>
        <v>139.55650191826049</v>
      </c>
      <c r="AD130" s="38">
        <f t="shared" ca="1" si="68"/>
        <v>389.27484890870141</v>
      </c>
      <c r="AE130" s="38">
        <f t="shared" ca="1" si="69"/>
        <v>515.9081875012813</v>
      </c>
      <c r="AF130" s="38">
        <f t="shared" ca="1" si="70"/>
        <v>428.35841282296337</v>
      </c>
      <c r="AG130" s="38">
        <f t="shared" ca="1" si="71"/>
        <v>646.69972598425568</v>
      </c>
    </row>
    <row r="131" spans="1:33" ht="12.75" customHeight="1" x14ac:dyDescent="0.35">
      <c r="A131" s="5"/>
      <c r="B131" s="22">
        <f t="shared" si="58"/>
        <v>28</v>
      </c>
      <c r="C131" s="22">
        <f t="shared" si="59"/>
        <v>7</v>
      </c>
      <c r="D131" s="22" t="str">
        <f>IF(F131="12월",(E131+1)&amp;VLOOKUP(F131,인덱스!$C:$D,2,0),E131&amp;VLOOKUP(F131,인덱스!$C:$D,2,0))</f>
        <v>20288</v>
      </c>
      <c r="E131" s="5" t="str">
        <f t="shared" si="60"/>
        <v>2028</v>
      </c>
      <c r="F131" s="5" t="str">
        <f t="shared" si="61"/>
        <v>7월</v>
      </c>
      <c r="G131" s="37" t="str">
        <f>B131&amp;"."&amp;VLOOKUP(F131,인덱스!$A:$B,2,0)</f>
        <v>28.07</v>
      </c>
      <c r="H131" s="14">
        <f>IFERROR(VLOOKUP(G131,#REF!,2,0),)</f>
        <v>0</v>
      </c>
      <c r="I131" s="38">
        <f t="shared" ca="1" si="62"/>
        <v>276.4185467823574</v>
      </c>
      <c r="J131" s="38">
        <f t="shared" ca="1" si="63"/>
        <v>278.93709254528522</v>
      </c>
      <c r="K131" s="39">
        <f t="shared" ca="1" si="64"/>
        <v>369.67692684318911</v>
      </c>
      <c r="L131" s="39">
        <f t="shared" ca="1" si="65"/>
        <v>306.94264110593451</v>
      </c>
      <c r="M131" s="39">
        <f t="shared" ca="1" si="66"/>
        <v>463.3963427680589</v>
      </c>
      <c r="N131" s="5"/>
      <c r="O131" s="5"/>
      <c r="P131" s="5"/>
      <c r="Q131" s="8">
        <f ca="1">IFERROR(__xludf.DUMMYFUNCTION("iferror(index('지수RAW'!$V$7:$V$12040,MATCH($D131,'지수RAW'!$R$7:$R$12040,0)-1,1),GOOGLEFINANCE(Q$2))"),6820.6)</f>
        <v>6820.6</v>
      </c>
      <c r="R131" s="5">
        <f ca="1">IFERROR(__xludf.DUMMYFUNCTION("iferror(index('지수RAW'!$F$7:$F$12040,MATCH($D131,'지수RAW'!$B$7:$B$12040,0)-1,1),GOOGLEFINANCE(R$2))"),7457.69)</f>
        <v>7457.69</v>
      </c>
      <c r="S131" s="9">
        <f ca="1">IFERROR(__xludf.DUMMYFUNCTION("iferror(index('지수RAW'!$N$7:$N$12040,MATCH($D131,'지수RAW'!$J$7:$J$12040,0)-1,1),GOOGLEFINANCE(S$2))"),25520.24)</f>
        <v>25520.240000000002</v>
      </c>
      <c r="T131" s="5"/>
      <c r="U131" s="29">
        <f t="array" aca="1" ref="U131" ca="1">IFERROR(INDEX(지수RAW!$AT$7:$AT$12040,MATCH($D131,지수RAW!$AP$7:$AP$12040,0)-1,1),지수RAW!$AU$4)</f>
        <v>4018.8</v>
      </c>
      <c r="V131" s="29">
        <f ca="1">IFERROR(__xludf.DUMMYFUNCTION("iferror(index('지수RAW'!$AL$7:$AL$12040,MATCH($D131,'지수RAW'!$AH$7:$AH$12040,0)-1,1),GOOGLEFINANCE(V$2))"),64324)</f>
        <v>64324</v>
      </c>
      <c r="W131" s="30">
        <f ca="1">IFERROR(__xludf.DUMMYFUNCTION("iferror(index('지수RAW'!$AD$7:$AD$12040,MATCH($D131,'지수RAW'!$Z$7:$Z$12040,0)-1,1),GOOGLEFINANCE(W$2))"),1487.77)</f>
        <v>1487.77</v>
      </c>
      <c r="X131" s="36">
        <f t="shared" ca="1" si="54"/>
        <v>11095327.451299999</v>
      </c>
      <c r="Y131" s="36">
        <f t="shared" ca="1" si="55"/>
        <v>37968247.4648</v>
      </c>
      <c r="Z131" s="36">
        <f t="shared" ca="1" si="56"/>
        <v>5979050.0760000004</v>
      </c>
      <c r="AA131" s="36">
        <f t="shared" ca="1" si="57"/>
        <v>95699317.480000004</v>
      </c>
      <c r="AB131" s="12"/>
      <c r="AC131" s="38">
        <f t="shared" ca="1" si="67"/>
        <v>139.55650191826049</v>
      </c>
      <c r="AD131" s="38">
        <f t="shared" ca="1" si="68"/>
        <v>389.27484890870141</v>
      </c>
      <c r="AE131" s="38">
        <f t="shared" ca="1" si="69"/>
        <v>515.9081875012813</v>
      </c>
      <c r="AF131" s="38">
        <f t="shared" ca="1" si="70"/>
        <v>428.35841282296337</v>
      </c>
      <c r="AG131" s="38">
        <f t="shared" ca="1" si="71"/>
        <v>646.69972598425568</v>
      </c>
    </row>
    <row r="132" spans="1:33" ht="12.75" customHeight="1" x14ac:dyDescent="0.35">
      <c r="A132" s="5"/>
      <c r="B132" s="22">
        <f t="shared" si="58"/>
        <v>28</v>
      </c>
      <c r="C132" s="22">
        <f t="shared" si="59"/>
        <v>8</v>
      </c>
      <c r="D132" s="22" t="str">
        <f>IF(F132="12월",(E132+1)&amp;VLOOKUP(F132,인덱스!$C:$D,2,0),E132&amp;VLOOKUP(F132,인덱스!$C:$D,2,0))</f>
        <v>20289</v>
      </c>
      <c r="E132" s="5" t="str">
        <f t="shared" si="60"/>
        <v>2028</v>
      </c>
      <c r="F132" s="5" t="str">
        <f t="shared" si="61"/>
        <v>8월</v>
      </c>
      <c r="G132" s="37" t="str">
        <f>B132&amp;"."&amp;VLOOKUP(F132,인덱스!$A:$B,2,0)</f>
        <v>28.08</v>
      </c>
      <c r="H132" s="14">
        <f>IFERROR(VLOOKUP(G132,#REF!,2,0),)</f>
        <v>0</v>
      </c>
      <c r="I132" s="38">
        <f t="shared" ca="1" si="62"/>
        <v>276.4185467823574</v>
      </c>
      <c r="J132" s="38">
        <f t="shared" ca="1" si="63"/>
        <v>278.93709254528522</v>
      </c>
      <c r="K132" s="39">
        <f t="shared" ca="1" si="64"/>
        <v>369.67692684318911</v>
      </c>
      <c r="L132" s="39">
        <f t="shared" ca="1" si="65"/>
        <v>306.94264110593451</v>
      </c>
      <c r="M132" s="39">
        <f t="shared" ca="1" si="66"/>
        <v>463.3963427680589</v>
      </c>
      <c r="N132" s="5"/>
      <c r="O132" s="5"/>
      <c r="P132" s="5"/>
      <c r="Q132" s="8">
        <f ca="1">IFERROR(__xludf.DUMMYFUNCTION("iferror(index('지수RAW'!$V$7:$V$12040,MATCH($D132,'지수RAW'!$R$7:$R$12040,0)-1,1),GOOGLEFINANCE(Q$2))"),6820.6)</f>
        <v>6820.6</v>
      </c>
      <c r="R132" s="5">
        <f ca="1">IFERROR(__xludf.DUMMYFUNCTION("iferror(index('지수RAW'!$F$7:$F$12040,MATCH($D132,'지수RAW'!$B$7:$B$12040,0)-1,1),GOOGLEFINANCE(R$2))"),7457.69)</f>
        <v>7457.69</v>
      </c>
      <c r="S132" s="9">
        <f ca="1">IFERROR(__xludf.DUMMYFUNCTION("iferror(index('지수RAW'!$N$7:$N$12040,MATCH($D132,'지수RAW'!$J$7:$J$12040,0)-1,1),GOOGLEFINANCE(S$2))"),25520.24)</f>
        <v>25520.240000000002</v>
      </c>
      <c r="T132" s="5"/>
      <c r="U132" s="29">
        <f t="array" aca="1" ref="U132" ca="1">IFERROR(INDEX(지수RAW!$AT$7:$AT$12040,MATCH($D132,지수RAW!$AP$7:$AP$12040,0)-1,1),지수RAW!$AU$4)</f>
        <v>4018.8</v>
      </c>
      <c r="V132" s="29">
        <f ca="1">IFERROR(__xludf.DUMMYFUNCTION("iferror(index('지수RAW'!$AL$7:$AL$12040,MATCH($D132,'지수RAW'!$AH$7:$AH$12040,0)-1,1),GOOGLEFINANCE(V$2))"),64324)</f>
        <v>64324</v>
      </c>
      <c r="W132" s="30">
        <f ca="1">IFERROR(__xludf.DUMMYFUNCTION("iferror(index('지수RAW'!$AD$7:$AD$12040,MATCH($D132,'지수RAW'!$Z$7:$Z$12040,0)-1,1),GOOGLEFINANCE(W$2))"),1487.77)</f>
        <v>1487.77</v>
      </c>
      <c r="X132" s="36">
        <f t="shared" ref="X132:X155" ca="1" si="72">$W132*R132</f>
        <v>11095327.451299999</v>
      </c>
      <c r="Y132" s="36">
        <f t="shared" ref="Y132:Y155" ca="1" si="73">$W132*S132</f>
        <v>37968247.4648</v>
      </c>
      <c r="Z132" s="36">
        <f t="shared" ref="Z132:Z155" ca="1" si="74">$W132*U132</f>
        <v>5979050.0760000004</v>
      </c>
      <c r="AA132" s="36">
        <f t="shared" ref="AA132:AA155" ca="1" si="75">$W132*V132</f>
        <v>95699317.480000004</v>
      </c>
      <c r="AB132" s="12"/>
      <c r="AC132" s="38">
        <f t="shared" ca="1" si="67"/>
        <v>139.55650191826049</v>
      </c>
      <c r="AD132" s="38">
        <f t="shared" ca="1" si="68"/>
        <v>389.27484890870141</v>
      </c>
      <c r="AE132" s="38">
        <f t="shared" ca="1" si="69"/>
        <v>515.9081875012813</v>
      </c>
      <c r="AF132" s="38">
        <f t="shared" ca="1" si="70"/>
        <v>428.35841282296337</v>
      </c>
      <c r="AG132" s="38">
        <f t="shared" ca="1" si="71"/>
        <v>646.69972598425568</v>
      </c>
    </row>
    <row r="133" spans="1:33" ht="12.75" customHeight="1" x14ac:dyDescent="0.35">
      <c r="A133" s="5"/>
      <c r="B133" s="22">
        <f t="shared" ref="B133:B155" si="76">IF(C132=12,B132+1,B132)</f>
        <v>28</v>
      </c>
      <c r="C133" s="22">
        <f t="shared" ref="C133:C155" si="77">IF(C132=12,1,C132+1)</f>
        <v>9</v>
      </c>
      <c r="D133" s="22" t="str">
        <f>IF(F133="12월",(E133+1)&amp;VLOOKUP(F133,인덱스!$C:$D,2,0),E133&amp;VLOOKUP(F133,인덱스!$C:$D,2,0))</f>
        <v>202810</v>
      </c>
      <c r="E133" s="5" t="str">
        <f t="shared" ref="E133:E155" si="78">"20"&amp;B133</f>
        <v>2028</v>
      </c>
      <c r="F133" s="5" t="str">
        <f t="shared" ref="F133:F155" si="79">C133&amp;"월"</f>
        <v>9월</v>
      </c>
      <c r="G133" s="37" t="str">
        <f>B133&amp;"."&amp;VLOOKUP(F133,인덱스!$A:$B,2,0)</f>
        <v>28.09</v>
      </c>
      <c r="H133" s="14">
        <f>IFERROR(VLOOKUP(G133,#REF!,2,0),)</f>
        <v>0</v>
      </c>
      <c r="I133" s="38">
        <f t="shared" ref="I133:I155" ca="1" si="80">IF(Q133="","",I132*(Q133/Q132))</f>
        <v>276.4185467823574</v>
      </c>
      <c r="J133" s="38">
        <f t="shared" ref="J133:J155" ca="1" si="81">IF(R133="","",J132*(R133/R132))</f>
        <v>278.93709254528522</v>
      </c>
      <c r="K133" s="39">
        <f t="shared" ref="K133:K155" ca="1" si="82">IF(S133="","",K132*(S133/S132))</f>
        <v>369.67692684318911</v>
      </c>
      <c r="L133" s="39">
        <f t="shared" ref="L133:L155" ca="1" si="83">IF(U133="","",L132*(U133/U132))</f>
        <v>306.94264110593451</v>
      </c>
      <c r="M133" s="39">
        <f t="shared" ref="M133:M155" ca="1" si="84">IF(V133="","",M132*(V133/V132))</f>
        <v>463.3963427680589</v>
      </c>
      <c r="N133" s="5"/>
      <c r="O133" s="5"/>
      <c r="P133" s="5"/>
      <c r="Q133" s="8">
        <f ca="1">IFERROR(__xludf.DUMMYFUNCTION("iferror(index('지수RAW'!$V$7:$V$12040,MATCH($D133,'지수RAW'!$R$7:$R$12040,0)-1,1),GOOGLEFINANCE(Q$2))"),6820.6)</f>
        <v>6820.6</v>
      </c>
      <c r="R133" s="5">
        <f ca="1">IFERROR(__xludf.DUMMYFUNCTION("iferror(index('지수RAW'!$F$7:$F$12040,MATCH($D133,'지수RAW'!$B$7:$B$12040,0)-1,1),GOOGLEFINANCE(R$2))"),7457.69)</f>
        <v>7457.69</v>
      </c>
      <c r="S133" s="9">
        <f ca="1">IFERROR(__xludf.DUMMYFUNCTION("iferror(index('지수RAW'!$N$7:$N$12040,MATCH($D133,'지수RAW'!$J$7:$J$12040,0)-1,1),GOOGLEFINANCE(S$2))"),25520.24)</f>
        <v>25520.240000000002</v>
      </c>
      <c r="T133" s="5"/>
      <c r="U133" s="29">
        <f t="array" aca="1" ref="U133" ca="1">IFERROR(INDEX(지수RAW!$AT$7:$AT$12040,MATCH($D133,지수RAW!$AP$7:$AP$12040,0)-1,1),지수RAW!$AU$4)</f>
        <v>4018.8</v>
      </c>
      <c r="V133" s="29">
        <f ca="1">IFERROR(__xludf.DUMMYFUNCTION("iferror(index('지수RAW'!$AL$7:$AL$12040,MATCH($D133,'지수RAW'!$AH$7:$AH$12040,0)-1,1),GOOGLEFINANCE(V$2))"),64324)</f>
        <v>64324</v>
      </c>
      <c r="W133" s="30">
        <f ca="1">IFERROR(__xludf.DUMMYFUNCTION("iferror(index('지수RAW'!$AD$7:$AD$12040,MATCH($D133,'지수RAW'!$Z$7:$Z$12040,0)-1,1),GOOGLEFINANCE(W$2))"),1487.77)</f>
        <v>1487.77</v>
      </c>
      <c r="X133" s="36">
        <f t="shared" ca="1" si="72"/>
        <v>11095327.451299999</v>
      </c>
      <c r="Y133" s="36">
        <f t="shared" ca="1" si="73"/>
        <v>37968247.4648</v>
      </c>
      <c r="Z133" s="36">
        <f t="shared" ca="1" si="74"/>
        <v>5979050.0760000004</v>
      </c>
      <c r="AA133" s="36">
        <f t="shared" ca="1" si="75"/>
        <v>95699317.480000004</v>
      </c>
      <c r="AB133" s="12"/>
      <c r="AC133" s="38">
        <f t="shared" ref="AC133:AC155" ca="1" si="85">IF(Q133="","",AC132*(W133/W132))</f>
        <v>139.55650191826049</v>
      </c>
      <c r="AD133" s="38">
        <f t="shared" ref="AD133:AD155" ca="1" si="86">IF(R133="","",AD132*(X133/X132))</f>
        <v>389.27484890870141</v>
      </c>
      <c r="AE133" s="38">
        <f t="shared" ref="AE133:AE155" ca="1" si="87">IF(S133="","",AE132*(Y133/Y132))</f>
        <v>515.9081875012813</v>
      </c>
      <c r="AF133" s="38">
        <f t="shared" ref="AF133:AF155" ca="1" si="88">IF(U133="","",AF132*(Z133/Z132))</f>
        <v>428.35841282296337</v>
      </c>
      <c r="AG133" s="38">
        <f t="shared" ref="AG133:AG155" ca="1" si="89">IF(V133="","",AG132*(AA133/AA132))</f>
        <v>646.69972598425568</v>
      </c>
    </row>
    <row r="134" spans="1:33" ht="12.75" customHeight="1" x14ac:dyDescent="0.35">
      <c r="A134" s="5"/>
      <c r="B134" s="22">
        <f t="shared" si="76"/>
        <v>28</v>
      </c>
      <c r="C134" s="22">
        <f t="shared" si="77"/>
        <v>10</v>
      </c>
      <c r="D134" s="22" t="str">
        <f>IF(F134="12월",(E134+1)&amp;VLOOKUP(F134,인덱스!$C:$D,2,0),E134&amp;VLOOKUP(F134,인덱스!$C:$D,2,0))</f>
        <v>202811</v>
      </c>
      <c r="E134" s="5" t="str">
        <f t="shared" si="78"/>
        <v>2028</v>
      </c>
      <c r="F134" s="5" t="str">
        <f t="shared" si="79"/>
        <v>10월</v>
      </c>
      <c r="G134" s="37" t="str">
        <f>B134&amp;"."&amp;VLOOKUP(F134,인덱스!$A:$B,2,0)</f>
        <v>28.10</v>
      </c>
      <c r="H134" s="14">
        <f>IFERROR(VLOOKUP(G134,#REF!,2,0),)</f>
        <v>0</v>
      </c>
      <c r="I134" s="38">
        <f t="shared" ca="1" si="80"/>
        <v>276.4185467823574</v>
      </c>
      <c r="J134" s="38">
        <f t="shared" ca="1" si="81"/>
        <v>278.93709254528522</v>
      </c>
      <c r="K134" s="39">
        <f t="shared" ca="1" si="82"/>
        <v>369.67692684318911</v>
      </c>
      <c r="L134" s="39">
        <f t="shared" ca="1" si="83"/>
        <v>306.94264110593451</v>
      </c>
      <c r="M134" s="39">
        <f t="shared" ca="1" si="84"/>
        <v>463.3963427680589</v>
      </c>
      <c r="N134" s="5"/>
      <c r="O134" s="5"/>
      <c r="P134" s="5"/>
      <c r="Q134" s="8">
        <f ca="1">IFERROR(__xludf.DUMMYFUNCTION("iferror(index('지수RAW'!$V$7:$V$12040,MATCH($D134,'지수RAW'!$R$7:$R$12040,0)-1,1),GOOGLEFINANCE(Q$2))"),6820.6)</f>
        <v>6820.6</v>
      </c>
      <c r="R134" s="5">
        <f ca="1">IFERROR(__xludf.DUMMYFUNCTION("iferror(index('지수RAW'!$F$7:$F$12040,MATCH($D134,'지수RAW'!$B$7:$B$12040,0)-1,1),GOOGLEFINANCE(R$2))"),7457.69)</f>
        <v>7457.69</v>
      </c>
      <c r="S134" s="9">
        <f ca="1">IFERROR(__xludf.DUMMYFUNCTION("iferror(index('지수RAW'!$N$7:$N$12040,MATCH($D134,'지수RAW'!$J$7:$J$12040,0)-1,1),GOOGLEFINANCE(S$2))"),25520.24)</f>
        <v>25520.240000000002</v>
      </c>
      <c r="T134" s="5"/>
      <c r="U134" s="29">
        <f t="array" aca="1" ref="U134" ca="1">IFERROR(INDEX(지수RAW!$AT$7:$AT$12040,MATCH($D134,지수RAW!$AP$7:$AP$12040,0)-1,1),지수RAW!$AU$4)</f>
        <v>4018.8</v>
      </c>
      <c r="V134" s="29">
        <f ca="1">IFERROR(__xludf.DUMMYFUNCTION("iferror(index('지수RAW'!$AL$7:$AL$12040,MATCH($D134,'지수RAW'!$AH$7:$AH$12040,0)-1,1),GOOGLEFINANCE(V$2))"),64324)</f>
        <v>64324</v>
      </c>
      <c r="W134" s="30">
        <f ca="1">IFERROR(__xludf.DUMMYFUNCTION("iferror(index('지수RAW'!$AD$7:$AD$12040,MATCH($D134,'지수RAW'!$Z$7:$Z$12040,0)-1,1),GOOGLEFINANCE(W$2))"),1487.77)</f>
        <v>1487.77</v>
      </c>
      <c r="X134" s="36">
        <f t="shared" ca="1" si="72"/>
        <v>11095327.451299999</v>
      </c>
      <c r="Y134" s="36">
        <f t="shared" ca="1" si="73"/>
        <v>37968247.4648</v>
      </c>
      <c r="Z134" s="36">
        <f t="shared" ca="1" si="74"/>
        <v>5979050.0760000004</v>
      </c>
      <c r="AA134" s="36">
        <f t="shared" ca="1" si="75"/>
        <v>95699317.480000004</v>
      </c>
      <c r="AB134" s="12"/>
      <c r="AC134" s="38">
        <f t="shared" ca="1" si="85"/>
        <v>139.55650191826049</v>
      </c>
      <c r="AD134" s="38">
        <f t="shared" ca="1" si="86"/>
        <v>389.27484890870141</v>
      </c>
      <c r="AE134" s="38">
        <f t="shared" ca="1" si="87"/>
        <v>515.9081875012813</v>
      </c>
      <c r="AF134" s="38">
        <f t="shared" ca="1" si="88"/>
        <v>428.35841282296337</v>
      </c>
      <c r="AG134" s="38">
        <f t="shared" ca="1" si="89"/>
        <v>646.69972598425568</v>
      </c>
    </row>
    <row r="135" spans="1:33" ht="12.75" customHeight="1" x14ac:dyDescent="0.35">
      <c r="A135" s="5"/>
      <c r="B135" s="22">
        <f t="shared" si="76"/>
        <v>28</v>
      </c>
      <c r="C135" s="22">
        <f t="shared" si="77"/>
        <v>11</v>
      </c>
      <c r="D135" s="22" t="str">
        <f>IF(F135="12월",(E135+1)&amp;VLOOKUP(F135,인덱스!$C:$D,2,0),E135&amp;VLOOKUP(F135,인덱스!$C:$D,2,0))</f>
        <v>202812</v>
      </c>
      <c r="E135" s="5" t="str">
        <f t="shared" si="78"/>
        <v>2028</v>
      </c>
      <c r="F135" s="5" t="str">
        <f t="shared" si="79"/>
        <v>11월</v>
      </c>
      <c r="G135" s="37" t="str">
        <f>B135&amp;"."&amp;VLOOKUP(F135,인덱스!$A:$B,2,0)</f>
        <v>28.11</v>
      </c>
      <c r="H135" s="14">
        <f>IFERROR(VLOOKUP(G135,#REF!,2,0),)</f>
        <v>0</v>
      </c>
      <c r="I135" s="38">
        <f t="shared" ca="1" si="80"/>
        <v>276.4185467823574</v>
      </c>
      <c r="J135" s="38">
        <f t="shared" ca="1" si="81"/>
        <v>278.93709254528522</v>
      </c>
      <c r="K135" s="39">
        <f t="shared" ca="1" si="82"/>
        <v>369.67692684318911</v>
      </c>
      <c r="L135" s="39">
        <f t="shared" ca="1" si="83"/>
        <v>306.94264110593451</v>
      </c>
      <c r="M135" s="39">
        <f t="shared" ca="1" si="84"/>
        <v>463.3963427680589</v>
      </c>
      <c r="N135" s="5"/>
      <c r="O135" s="5"/>
      <c r="P135" s="5"/>
      <c r="Q135" s="8">
        <f ca="1">IFERROR(__xludf.DUMMYFUNCTION("iferror(index('지수RAW'!$V$7:$V$12040,MATCH($D135,'지수RAW'!$R$7:$R$12040,0)-1,1),GOOGLEFINANCE(Q$2))"),6820.6)</f>
        <v>6820.6</v>
      </c>
      <c r="R135" s="5">
        <f ca="1">IFERROR(__xludf.DUMMYFUNCTION("iferror(index('지수RAW'!$F$7:$F$12040,MATCH($D135,'지수RAW'!$B$7:$B$12040,0)-1,1),GOOGLEFINANCE(R$2))"),7457.69)</f>
        <v>7457.69</v>
      </c>
      <c r="S135" s="9">
        <f ca="1">IFERROR(__xludf.DUMMYFUNCTION("iferror(index('지수RAW'!$N$7:$N$12040,MATCH($D135,'지수RAW'!$J$7:$J$12040,0)-1,1),GOOGLEFINANCE(S$2))"),25520.24)</f>
        <v>25520.240000000002</v>
      </c>
      <c r="T135" s="5"/>
      <c r="U135" s="29">
        <f t="array" aca="1" ref="U135" ca="1">IFERROR(INDEX(지수RAW!$AT$7:$AT$12040,MATCH($D135,지수RAW!$AP$7:$AP$12040,0)-1,1),지수RAW!$AU$4)</f>
        <v>4018.8</v>
      </c>
      <c r="V135" s="29">
        <f ca="1">IFERROR(__xludf.DUMMYFUNCTION("iferror(index('지수RAW'!$AL$7:$AL$12040,MATCH($D135,'지수RAW'!$AH$7:$AH$12040,0)-1,1),GOOGLEFINANCE(V$2))"),64324)</f>
        <v>64324</v>
      </c>
      <c r="W135" s="30">
        <f ca="1">IFERROR(__xludf.DUMMYFUNCTION("iferror(index('지수RAW'!$AD$7:$AD$12040,MATCH($D135,'지수RAW'!$Z$7:$Z$12040,0)-1,1),GOOGLEFINANCE(W$2))"),1487.77)</f>
        <v>1487.77</v>
      </c>
      <c r="X135" s="36">
        <f t="shared" ca="1" si="72"/>
        <v>11095327.451299999</v>
      </c>
      <c r="Y135" s="36">
        <f t="shared" ca="1" si="73"/>
        <v>37968247.4648</v>
      </c>
      <c r="Z135" s="36">
        <f t="shared" ca="1" si="74"/>
        <v>5979050.0760000004</v>
      </c>
      <c r="AA135" s="36">
        <f t="shared" ca="1" si="75"/>
        <v>95699317.480000004</v>
      </c>
      <c r="AB135" s="12"/>
      <c r="AC135" s="38">
        <f t="shared" ca="1" si="85"/>
        <v>139.55650191826049</v>
      </c>
      <c r="AD135" s="38">
        <f t="shared" ca="1" si="86"/>
        <v>389.27484890870141</v>
      </c>
      <c r="AE135" s="38">
        <f t="shared" ca="1" si="87"/>
        <v>515.9081875012813</v>
      </c>
      <c r="AF135" s="38">
        <f t="shared" ca="1" si="88"/>
        <v>428.35841282296337</v>
      </c>
      <c r="AG135" s="38">
        <f t="shared" ca="1" si="89"/>
        <v>646.69972598425568</v>
      </c>
    </row>
    <row r="136" spans="1:33" ht="12.75" customHeight="1" x14ac:dyDescent="0.35">
      <c r="A136" s="5"/>
      <c r="B136" s="22">
        <f t="shared" si="76"/>
        <v>28</v>
      </c>
      <c r="C136" s="22">
        <f t="shared" si="77"/>
        <v>12</v>
      </c>
      <c r="D136" s="22" t="str">
        <f>IF(F136="12월",(E136+1)&amp;VLOOKUP(F136,인덱스!$C:$D,2,0),E136&amp;VLOOKUP(F136,인덱스!$C:$D,2,0))</f>
        <v>20291</v>
      </c>
      <c r="E136" s="5" t="str">
        <f t="shared" si="78"/>
        <v>2028</v>
      </c>
      <c r="F136" s="5" t="str">
        <f t="shared" si="79"/>
        <v>12월</v>
      </c>
      <c r="G136" s="37" t="str">
        <f>B136&amp;"."&amp;VLOOKUP(F136,인덱스!$A:$B,2,0)</f>
        <v>28.12</v>
      </c>
      <c r="H136" s="14">
        <f>IFERROR(VLOOKUP(G136,#REF!,2,0),)</f>
        <v>0</v>
      </c>
      <c r="I136" s="38">
        <f t="shared" ca="1" si="80"/>
        <v>276.4185467823574</v>
      </c>
      <c r="J136" s="38">
        <f t="shared" ca="1" si="81"/>
        <v>278.93709254528522</v>
      </c>
      <c r="K136" s="39">
        <f t="shared" ca="1" si="82"/>
        <v>369.67692684318911</v>
      </c>
      <c r="L136" s="39">
        <f t="shared" ca="1" si="83"/>
        <v>306.94264110593451</v>
      </c>
      <c r="M136" s="39">
        <f t="shared" ca="1" si="84"/>
        <v>463.3963427680589</v>
      </c>
      <c r="N136" s="5"/>
      <c r="O136" s="5"/>
      <c r="P136" s="5"/>
      <c r="Q136" s="8">
        <f ca="1">IFERROR(__xludf.DUMMYFUNCTION("iferror(index('지수RAW'!$V$7:$V$12040,MATCH($D136,'지수RAW'!$R$7:$R$12040,0)-1,1),GOOGLEFINANCE(Q$2))"),6820.6)</f>
        <v>6820.6</v>
      </c>
      <c r="R136" s="5">
        <f ca="1">IFERROR(__xludf.DUMMYFUNCTION("iferror(index('지수RAW'!$F$7:$F$12040,MATCH($D136,'지수RAW'!$B$7:$B$12040,0)-1,1),GOOGLEFINANCE(R$2))"),7457.69)</f>
        <v>7457.69</v>
      </c>
      <c r="S136" s="9">
        <f ca="1">IFERROR(__xludf.DUMMYFUNCTION("iferror(index('지수RAW'!$N$7:$N$12040,MATCH($D136,'지수RAW'!$J$7:$J$12040,0)-1,1),GOOGLEFINANCE(S$2))"),25520.24)</f>
        <v>25520.240000000002</v>
      </c>
      <c r="T136" s="5"/>
      <c r="U136" s="29">
        <f t="array" aca="1" ref="U136" ca="1">IFERROR(INDEX(지수RAW!$AT$7:$AT$12040,MATCH($D136,지수RAW!$AP$7:$AP$12040,0)-1,1),지수RAW!$AU$4)</f>
        <v>4018.8</v>
      </c>
      <c r="V136" s="29">
        <f ca="1">IFERROR(__xludf.DUMMYFUNCTION("iferror(index('지수RAW'!$AL$7:$AL$12040,MATCH($D136,'지수RAW'!$AH$7:$AH$12040,0)-1,1),GOOGLEFINANCE(V$2))"),64324)</f>
        <v>64324</v>
      </c>
      <c r="W136" s="30">
        <f ca="1">IFERROR(__xludf.DUMMYFUNCTION("iferror(index('지수RAW'!$AD$7:$AD$12040,MATCH($D136,'지수RAW'!$Z$7:$Z$12040,0)-1,1),GOOGLEFINANCE(W$2))"),1487.77)</f>
        <v>1487.77</v>
      </c>
      <c r="X136" s="36">
        <f t="shared" ca="1" si="72"/>
        <v>11095327.451299999</v>
      </c>
      <c r="Y136" s="36">
        <f t="shared" ca="1" si="73"/>
        <v>37968247.4648</v>
      </c>
      <c r="Z136" s="36">
        <f t="shared" ca="1" si="74"/>
        <v>5979050.0760000004</v>
      </c>
      <c r="AA136" s="36">
        <f t="shared" ca="1" si="75"/>
        <v>95699317.480000004</v>
      </c>
      <c r="AB136" s="12"/>
      <c r="AC136" s="38">
        <f t="shared" ca="1" si="85"/>
        <v>139.55650191826049</v>
      </c>
      <c r="AD136" s="38">
        <f t="shared" ca="1" si="86"/>
        <v>389.27484890870141</v>
      </c>
      <c r="AE136" s="38">
        <f t="shared" ca="1" si="87"/>
        <v>515.9081875012813</v>
      </c>
      <c r="AF136" s="38">
        <f t="shared" ca="1" si="88"/>
        <v>428.35841282296337</v>
      </c>
      <c r="AG136" s="38">
        <f t="shared" ca="1" si="89"/>
        <v>646.69972598425568</v>
      </c>
    </row>
    <row r="137" spans="1:33" ht="12.75" customHeight="1" x14ac:dyDescent="0.35">
      <c r="A137" s="5"/>
      <c r="B137" s="22">
        <f t="shared" si="76"/>
        <v>29</v>
      </c>
      <c r="C137" s="22">
        <f t="shared" si="77"/>
        <v>1</v>
      </c>
      <c r="D137" s="22" t="str">
        <f>IF(F137="12월",(E137+1)&amp;VLOOKUP(F137,인덱스!$C:$D,2,0),E137&amp;VLOOKUP(F137,인덱스!$C:$D,2,0))</f>
        <v>20292</v>
      </c>
      <c r="E137" s="5" t="str">
        <f t="shared" si="78"/>
        <v>2029</v>
      </c>
      <c r="F137" s="5" t="str">
        <f t="shared" si="79"/>
        <v>1월</v>
      </c>
      <c r="G137" s="37" t="str">
        <f>B137&amp;"."&amp;VLOOKUP(F137,인덱스!$A:$B,2,0)</f>
        <v>29.01</v>
      </c>
      <c r="H137" s="14">
        <f>IFERROR(VLOOKUP(G137,#REF!,2,0),)</f>
        <v>0</v>
      </c>
      <c r="I137" s="38">
        <f t="shared" ca="1" si="80"/>
        <v>276.4185467823574</v>
      </c>
      <c r="J137" s="38">
        <f t="shared" ca="1" si="81"/>
        <v>278.93709254528522</v>
      </c>
      <c r="K137" s="39">
        <f t="shared" ca="1" si="82"/>
        <v>369.67692684318911</v>
      </c>
      <c r="L137" s="39">
        <f t="shared" ca="1" si="83"/>
        <v>306.94264110593451</v>
      </c>
      <c r="M137" s="39">
        <f t="shared" ca="1" si="84"/>
        <v>463.3963427680589</v>
      </c>
      <c r="N137" s="5"/>
      <c r="O137" s="5"/>
      <c r="P137" s="5"/>
      <c r="Q137" s="8">
        <f ca="1">IFERROR(__xludf.DUMMYFUNCTION("iferror(index('지수RAW'!$V$7:$V$12040,MATCH($D137,'지수RAW'!$R$7:$R$12040,0)-1,1),GOOGLEFINANCE(Q$2))"),6820.6)</f>
        <v>6820.6</v>
      </c>
      <c r="R137" s="5">
        <f ca="1">IFERROR(__xludf.DUMMYFUNCTION("iferror(index('지수RAW'!$F$7:$F$12040,MATCH($D137,'지수RAW'!$B$7:$B$12040,0)-1,1),GOOGLEFINANCE(R$2))"),7457.69)</f>
        <v>7457.69</v>
      </c>
      <c r="S137" s="9">
        <f ca="1">IFERROR(__xludf.DUMMYFUNCTION("iferror(index('지수RAW'!$N$7:$N$12040,MATCH($D137,'지수RAW'!$J$7:$J$12040,0)-1,1),GOOGLEFINANCE(S$2))"),25520.24)</f>
        <v>25520.240000000002</v>
      </c>
      <c r="T137" s="5"/>
      <c r="U137" s="29">
        <f t="array" aca="1" ref="U137" ca="1">IFERROR(INDEX(지수RAW!$AT$7:$AT$12040,MATCH($D137,지수RAW!$AP$7:$AP$12040,0)-1,1),지수RAW!$AU$4)</f>
        <v>4018.8</v>
      </c>
      <c r="V137" s="29">
        <f ca="1">IFERROR(__xludf.DUMMYFUNCTION("iferror(index('지수RAW'!$AL$7:$AL$12040,MATCH($D137,'지수RAW'!$AH$7:$AH$12040,0)-1,1),GOOGLEFINANCE(V$2))"),64324)</f>
        <v>64324</v>
      </c>
      <c r="W137" s="30">
        <f ca="1">IFERROR(__xludf.DUMMYFUNCTION("iferror(index('지수RAW'!$AD$7:$AD$12040,MATCH($D137,'지수RAW'!$Z$7:$Z$12040,0)-1,1),GOOGLEFINANCE(W$2))"),1487.77)</f>
        <v>1487.77</v>
      </c>
      <c r="X137" s="36">
        <f t="shared" ca="1" si="72"/>
        <v>11095327.451299999</v>
      </c>
      <c r="Y137" s="36">
        <f t="shared" ca="1" si="73"/>
        <v>37968247.4648</v>
      </c>
      <c r="Z137" s="36">
        <f t="shared" ca="1" si="74"/>
        <v>5979050.0760000004</v>
      </c>
      <c r="AA137" s="36">
        <f t="shared" ca="1" si="75"/>
        <v>95699317.480000004</v>
      </c>
      <c r="AB137" s="12"/>
      <c r="AC137" s="38">
        <f t="shared" ca="1" si="85"/>
        <v>139.55650191826049</v>
      </c>
      <c r="AD137" s="38">
        <f t="shared" ca="1" si="86"/>
        <v>389.27484890870141</v>
      </c>
      <c r="AE137" s="38">
        <f t="shared" ca="1" si="87"/>
        <v>515.9081875012813</v>
      </c>
      <c r="AF137" s="38">
        <f t="shared" ca="1" si="88"/>
        <v>428.35841282296337</v>
      </c>
      <c r="AG137" s="38">
        <f t="shared" ca="1" si="89"/>
        <v>646.69972598425568</v>
      </c>
    </row>
    <row r="138" spans="1:33" ht="12.75" customHeight="1" x14ac:dyDescent="0.35">
      <c r="A138" s="5"/>
      <c r="B138" s="22">
        <f t="shared" si="76"/>
        <v>29</v>
      </c>
      <c r="C138" s="22">
        <f t="shared" si="77"/>
        <v>2</v>
      </c>
      <c r="D138" s="22" t="str">
        <f>IF(F138="12월",(E138+1)&amp;VLOOKUP(F138,인덱스!$C:$D,2,0),E138&amp;VLOOKUP(F138,인덱스!$C:$D,2,0))</f>
        <v>20293</v>
      </c>
      <c r="E138" s="5" t="str">
        <f t="shared" si="78"/>
        <v>2029</v>
      </c>
      <c r="F138" s="5" t="str">
        <f t="shared" si="79"/>
        <v>2월</v>
      </c>
      <c r="G138" s="37" t="str">
        <f>B138&amp;"."&amp;VLOOKUP(F138,인덱스!$A:$B,2,0)</f>
        <v>29.02</v>
      </c>
      <c r="H138" s="14">
        <f>IFERROR(VLOOKUP(G138,#REF!,2,0),)</f>
        <v>0</v>
      </c>
      <c r="I138" s="38">
        <f t="shared" ca="1" si="80"/>
        <v>276.4185467823574</v>
      </c>
      <c r="J138" s="38">
        <f t="shared" ca="1" si="81"/>
        <v>278.93709254528522</v>
      </c>
      <c r="K138" s="39">
        <f t="shared" ca="1" si="82"/>
        <v>369.67692684318911</v>
      </c>
      <c r="L138" s="39">
        <f t="shared" ca="1" si="83"/>
        <v>306.94264110593451</v>
      </c>
      <c r="M138" s="39">
        <f t="shared" ca="1" si="84"/>
        <v>463.3963427680589</v>
      </c>
      <c r="N138" s="5"/>
      <c r="O138" s="5"/>
      <c r="P138" s="5"/>
      <c r="Q138" s="8">
        <f ca="1">IFERROR(__xludf.DUMMYFUNCTION("iferror(index('지수RAW'!$V$7:$V$12040,MATCH($D138,'지수RAW'!$R$7:$R$12040,0)-1,1),GOOGLEFINANCE(Q$2))"),6820.6)</f>
        <v>6820.6</v>
      </c>
      <c r="R138" s="5">
        <f ca="1">IFERROR(__xludf.DUMMYFUNCTION("iferror(index('지수RAW'!$F$7:$F$12040,MATCH($D138,'지수RAW'!$B$7:$B$12040,0)-1,1),GOOGLEFINANCE(R$2))"),7457.69)</f>
        <v>7457.69</v>
      </c>
      <c r="S138" s="9">
        <f ca="1">IFERROR(__xludf.DUMMYFUNCTION("iferror(index('지수RAW'!$N$7:$N$12040,MATCH($D138,'지수RAW'!$J$7:$J$12040,0)-1,1),GOOGLEFINANCE(S$2))"),25520.24)</f>
        <v>25520.240000000002</v>
      </c>
      <c r="T138" s="5"/>
      <c r="U138" s="29">
        <f t="array" aca="1" ref="U138" ca="1">IFERROR(INDEX(지수RAW!$AT$7:$AT$12040,MATCH($D138,지수RAW!$AP$7:$AP$12040,0)-1,1),지수RAW!$AU$4)</f>
        <v>4018.8</v>
      </c>
      <c r="V138" s="29">
        <f ca="1">IFERROR(__xludf.DUMMYFUNCTION("iferror(index('지수RAW'!$AL$7:$AL$12040,MATCH($D138,'지수RAW'!$AH$7:$AH$12040,0)-1,1),GOOGLEFINANCE(V$2))"),64324)</f>
        <v>64324</v>
      </c>
      <c r="W138" s="30">
        <f ca="1">IFERROR(__xludf.DUMMYFUNCTION("iferror(index('지수RAW'!$AD$7:$AD$12040,MATCH($D138,'지수RAW'!$Z$7:$Z$12040,0)-1,1),GOOGLEFINANCE(W$2))"),1487.77)</f>
        <v>1487.77</v>
      </c>
      <c r="X138" s="36">
        <f t="shared" ca="1" si="72"/>
        <v>11095327.451299999</v>
      </c>
      <c r="Y138" s="36">
        <f t="shared" ca="1" si="73"/>
        <v>37968247.4648</v>
      </c>
      <c r="Z138" s="36">
        <f t="shared" ca="1" si="74"/>
        <v>5979050.0760000004</v>
      </c>
      <c r="AA138" s="36">
        <f t="shared" ca="1" si="75"/>
        <v>95699317.480000004</v>
      </c>
      <c r="AB138" s="12"/>
      <c r="AC138" s="38">
        <f t="shared" ca="1" si="85"/>
        <v>139.55650191826049</v>
      </c>
      <c r="AD138" s="38">
        <f t="shared" ca="1" si="86"/>
        <v>389.27484890870141</v>
      </c>
      <c r="AE138" s="38">
        <f t="shared" ca="1" si="87"/>
        <v>515.9081875012813</v>
      </c>
      <c r="AF138" s="38">
        <f t="shared" ca="1" si="88"/>
        <v>428.35841282296337</v>
      </c>
      <c r="AG138" s="38">
        <f t="shared" ca="1" si="89"/>
        <v>646.69972598425568</v>
      </c>
    </row>
    <row r="139" spans="1:33" ht="12.75" customHeight="1" x14ac:dyDescent="0.35">
      <c r="A139" s="5"/>
      <c r="B139" s="22">
        <f t="shared" si="76"/>
        <v>29</v>
      </c>
      <c r="C139" s="22">
        <f t="shared" si="77"/>
        <v>3</v>
      </c>
      <c r="D139" s="22" t="str">
        <f>IF(F139="12월",(E139+1)&amp;VLOOKUP(F139,인덱스!$C:$D,2,0),E139&amp;VLOOKUP(F139,인덱스!$C:$D,2,0))</f>
        <v>20294</v>
      </c>
      <c r="E139" s="5" t="str">
        <f t="shared" si="78"/>
        <v>2029</v>
      </c>
      <c r="F139" s="5" t="str">
        <f t="shared" si="79"/>
        <v>3월</v>
      </c>
      <c r="G139" s="37" t="str">
        <f>B139&amp;"."&amp;VLOOKUP(F139,인덱스!$A:$B,2,0)</f>
        <v>29.03</v>
      </c>
      <c r="H139" s="14">
        <f>IFERROR(VLOOKUP(G139,#REF!,2,0),)</f>
        <v>0</v>
      </c>
      <c r="I139" s="38">
        <f t="shared" ca="1" si="80"/>
        <v>276.4185467823574</v>
      </c>
      <c r="J139" s="38">
        <f t="shared" ca="1" si="81"/>
        <v>278.93709254528522</v>
      </c>
      <c r="K139" s="39">
        <f t="shared" ca="1" si="82"/>
        <v>369.67692684318911</v>
      </c>
      <c r="L139" s="39">
        <f t="shared" ca="1" si="83"/>
        <v>306.94264110593451</v>
      </c>
      <c r="M139" s="39">
        <f t="shared" ca="1" si="84"/>
        <v>463.3963427680589</v>
      </c>
      <c r="N139" s="5"/>
      <c r="O139" s="5"/>
      <c r="P139" s="5"/>
      <c r="Q139" s="8">
        <f ca="1">IFERROR(__xludf.DUMMYFUNCTION("iferror(index('지수RAW'!$V$7:$V$12040,MATCH($D139,'지수RAW'!$R$7:$R$12040,0)-1,1),GOOGLEFINANCE(Q$2))"),6820.6)</f>
        <v>6820.6</v>
      </c>
      <c r="R139" s="5">
        <f ca="1">IFERROR(__xludf.DUMMYFUNCTION("iferror(index('지수RAW'!$F$7:$F$12040,MATCH($D139,'지수RAW'!$B$7:$B$12040,0)-1,1),GOOGLEFINANCE(R$2))"),7457.69)</f>
        <v>7457.69</v>
      </c>
      <c r="S139" s="9">
        <f ca="1">IFERROR(__xludf.DUMMYFUNCTION("iferror(index('지수RAW'!$N$7:$N$12040,MATCH($D139,'지수RAW'!$J$7:$J$12040,0)-1,1),GOOGLEFINANCE(S$2))"),25520.24)</f>
        <v>25520.240000000002</v>
      </c>
      <c r="T139" s="5"/>
      <c r="U139" s="29">
        <f t="array" aca="1" ref="U139" ca="1">IFERROR(INDEX(지수RAW!$AT$7:$AT$12040,MATCH($D139,지수RAW!$AP$7:$AP$12040,0)-1,1),지수RAW!$AU$4)</f>
        <v>4018.8</v>
      </c>
      <c r="V139" s="29">
        <f ca="1">IFERROR(__xludf.DUMMYFUNCTION("iferror(index('지수RAW'!$AL$7:$AL$12040,MATCH($D139,'지수RAW'!$AH$7:$AH$12040,0)-1,1),GOOGLEFINANCE(V$2))"),64324)</f>
        <v>64324</v>
      </c>
      <c r="W139" s="30">
        <f ca="1">IFERROR(__xludf.DUMMYFUNCTION("iferror(index('지수RAW'!$AD$7:$AD$12040,MATCH($D139,'지수RAW'!$Z$7:$Z$12040,0)-1,1),GOOGLEFINANCE(W$2))"),1487.77)</f>
        <v>1487.77</v>
      </c>
      <c r="X139" s="36">
        <f t="shared" ca="1" si="72"/>
        <v>11095327.451299999</v>
      </c>
      <c r="Y139" s="36">
        <f t="shared" ca="1" si="73"/>
        <v>37968247.4648</v>
      </c>
      <c r="Z139" s="36">
        <f t="shared" ca="1" si="74"/>
        <v>5979050.0760000004</v>
      </c>
      <c r="AA139" s="36">
        <f t="shared" ca="1" si="75"/>
        <v>95699317.480000004</v>
      </c>
      <c r="AB139" s="12"/>
      <c r="AC139" s="38">
        <f t="shared" ca="1" si="85"/>
        <v>139.55650191826049</v>
      </c>
      <c r="AD139" s="38">
        <f t="shared" ca="1" si="86"/>
        <v>389.27484890870141</v>
      </c>
      <c r="AE139" s="38">
        <f t="shared" ca="1" si="87"/>
        <v>515.9081875012813</v>
      </c>
      <c r="AF139" s="38">
        <f t="shared" ca="1" si="88"/>
        <v>428.35841282296337</v>
      </c>
      <c r="AG139" s="38">
        <f t="shared" ca="1" si="89"/>
        <v>646.69972598425568</v>
      </c>
    </row>
    <row r="140" spans="1:33" ht="12.75" customHeight="1" x14ac:dyDescent="0.35">
      <c r="A140" s="5"/>
      <c r="B140" s="22">
        <f t="shared" si="76"/>
        <v>29</v>
      </c>
      <c r="C140" s="22">
        <f t="shared" si="77"/>
        <v>4</v>
      </c>
      <c r="D140" s="22" t="str">
        <f>IF(F140="12월",(E140+1)&amp;VLOOKUP(F140,인덱스!$C:$D,2,0),E140&amp;VLOOKUP(F140,인덱스!$C:$D,2,0))</f>
        <v>20295</v>
      </c>
      <c r="E140" s="5" t="str">
        <f t="shared" si="78"/>
        <v>2029</v>
      </c>
      <c r="F140" s="5" t="str">
        <f t="shared" si="79"/>
        <v>4월</v>
      </c>
      <c r="G140" s="37" t="str">
        <f>B140&amp;"."&amp;VLOOKUP(F140,인덱스!$A:$B,2,0)</f>
        <v>29.04</v>
      </c>
      <c r="H140" s="14">
        <f>IFERROR(VLOOKUP(G140,#REF!,2,0),)</f>
        <v>0</v>
      </c>
      <c r="I140" s="38">
        <f t="shared" ca="1" si="80"/>
        <v>276.4185467823574</v>
      </c>
      <c r="J140" s="38">
        <f t="shared" ca="1" si="81"/>
        <v>278.93709254528522</v>
      </c>
      <c r="K140" s="39">
        <f t="shared" ca="1" si="82"/>
        <v>369.67692684318911</v>
      </c>
      <c r="L140" s="39">
        <f t="shared" ca="1" si="83"/>
        <v>306.94264110593451</v>
      </c>
      <c r="M140" s="39">
        <f t="shared" ca="1" si="84"/>
        <v>463.3963427680589</v>
      </c>
      <c r="N140" s="5"/>
      <c r="O140" s="5"/>
      <c r="P140" s="5"/>
      <c r="Q140" s="8">
        <f ca="1">IFERROR(__xludf.DUMMYFUNCTION("iferror(index('지수RAW'!$V$7:$V$12040,MATCH($D140,'지수RAW'!$R$7:$R$12040,0)-1,1),GOOGLEFINANCE(Q$2))"),6820.6)</f>
        <v>6820.6</v>
      </c>
      <c r="R140" s="5">
        <f ca="1">IFERROR(__xludf.DUMMYFUNCTION("iferror(index('지수RAW'!$F$7:$F$12040,MATCH($D140,'지수RAW'!$B$7:$B$12040,0)-1,1),GOOGLEFINANCE(R$2))"),7457.69)</f>
        <v>7457.69</v>
      </c>
      <c r="S140" s="9">
        <f ca="1">IFERROR(__xludf.DUMMYFUNCTION("iferror(index('지수RAW'!$N$7:$N$12040,MATCH($D140,'지수RAW'!$J$7:$J$12040,0)-1,1),GOOGLEFINANCE(S$2))"),25520.24)</f>
        <v>25520.240000000002</v>
      </c>
      <c r="T140" s="5"/>
      <c r="U140" s="29">
        <f t="array" aca="1" ref="U140" ca="1">IFERROR(INDEX(지수RAW!$AT$7:$AT$12040,MATCH($D140,지수RAW!$AP$7:$AP$12040,0)-1,1),지수RAW!$AU$4)</f>
        <v>4018.8</v>
      </c>
      <c r="V140" s="29">
        <f ca="1">IFERROR(__xludf.DUMMYFUNCTION("iferror(index('지수RAW'!$AL$7:$AL$12040,MATCH($D140,'지수RAW'!$AH$7:$AH$12040,0)-1,1),GOOGLEFINANCE(V$2))"),64324)</f>
        <v>64324</v>
      </c>
      <c r="W140" s="30">
        <f ca="1">IFERROR(__xludf.DUMMYFUNCTION("iferror(index('지수RAW'!$AD$7:$AD$12040,MATCH($D140,'지수RAW'!$Z$7:$Z$12040,0)-1,1),GOOGLEFINANCE(W$2))"),1487.77)</f>
        <v>1487.77</v>
      </c>
      <c r="X140" s="36">
        <f t="shared" ca="1" si="72"/>
        <v>11095327.451299999</v>
      </c>
      <c r="Y140" s="36">
        <f t="shared" ca="1" si="73"/>
        <v>37968247.4648</v>
      </c>
      <c r="Z140" s="36">
        <f t="shared" ca="1" si="74"/>
        <v>5979050.0760000004</v>
      </c>
      <c r="AA140" s="36">
        <f t="shared" ca="1" si="75"/>
        <v>95699317.480000004</v>
      </c>
      <c r="AB140" s="12"/>
      <c r="AC140" s="38">
        <f t="shared" ca="1" si="85"/>
        <v>139.55650191826049</v>
      </c>
      <c r="AD140" s="38">
        <f t="shared" ca="1" si="86"/>
        <v>389.27484890870141</v>
      </c>
      <c r="AE140" s="38">
        <f t="shared" ca="1" si="87"/>
        <v>515.9081875012813</v>
      </c>
      <c r="AF140" s="38">
        <f t="shared" ca="1" si="88"/>
        <v>428.35841282296337</v>
      </c>
      <c r="AG140" s="38">
        <f t="shared" ca="1" si="89"/>
        <v>646.69972598425568</v>
      </c>
    </row>
    <row r="141" spans="1:33" ht="12.75" customHeight="1" x14ac:dyDescent="0.35">
      <c r="A141" s="5"/>
      <c r="B141" s="22">
        <f t="shared" si="76"/>
        <v>29</v>
      </c>
      <c r="C141" s="22">
        <f t="shared" si="77"/>
        <v>5</v>
      </c>
      <c r="D141" s="22" t="str">
        <f>IF(F141="12월",(E141+1)&amp;VLOOKUP(F141,인덱스!$C:$D,2,0),E141&amp;VLOOKUP(F141,인덱스!$C:$D,2,0))</f>
        <v>20296</v>
      </c>
      <c r="E141" s="5" t="str">
        <f t="shared" si="78"/>
        <v>2029</v>
      </c>
      <c r="F141" s="5" t="str">
        <f t="shared" si="79"/>
        <v>5월</v>
      </c>
      <c r="G141" s="37" t="str">
        <f>B141&amp;"."&amp;VLOOKUP(F141,인덱스!$A:$B,2,0)</f>
        <v>29.05</v>
      </c>
      <c r="H141" s="14">
        <f>IFERROR(VLOOKUP(G141,#REF!,2,0),)</f>
        <v>0</v>
      </c>
      <c r="I141" s="38">
        <f t="shared" ca="1" si="80"/>
        <v>276.4185467823574</v>
      </c>
      <c r="J141" s="38">
        <f t="shared" ca="1" si="81"/>
        <v>278.93709254528522</v>
      </c>
      <c r="K141" s="39">
        <f t="shared" ca="1" si="82"/>
        <v>369.67692684318911</v>
      </c>
      <c r="L141" s="39">
        <f t="shared" ca="1" si="83"/>
        <v>306.94264110593451</v>
      </c>
      <c r="M141" s="39">
        <f t="shared" ca="1" si="84"/>
        <v>463.3963427680589</v>
      </c>
      <c r="N141" s="5"/>
      <c r="O141" s="5"/>
      <c r="P141" s="5"/>
      <c r="Q141" s="8">
        <f ca="1">IFERROR(__xludf.DUMMYFUNCTION("iferror(index('지수RAW'!$V$7:$V$12040,MATCH($D141,'지수RAW'!$R$7:$R$12040,0)-1,1),GOOGLEFINANCE(Q$2))"),6820.6)</f>
        <v>6820.6</v>
      </c>
      <c r="R141" s="5">
        <f ca="1">IFERROR(__xludf.DUMMYFUNCTION("iferror(index('지수RAW'!$F$7:$F$12040,MATCH($D141,'지수RAW'!$B$7:$B$12040,0)-1,1),GOOGLEFINANCE(R$2))"),7457.69)</f>
        <v>7457.69</v>
      </c>
      <c r="S141" s="9">
        <f ca="1">IFERROR(__xludf.DUMMYFUNCTION("iferror(index('지수RAW'!$N$7:$N$12040,MATCH($D141,'지수RAW'!$J$7:$J$12040,0)-1,1),GOOGLEFINANCE(S$2))"),25520.24)</f>
        <v>25520.240000000002</v>
      </c>
      <c r="T141" s="5"/>
      <c r="U141" s="29">
        <f t="array" aca="1" ref="U141" ca="1">IFERROR(INDEX(지수RAW!$AT$7:$AT$12040,MATCH($D141,지수RAW!$AP$7:$AP$12040,0)-1,1),지수RAW!$AU$4)</f>
        <v>4018.8</v>
      </c>
      <c r="V141" s="29">
        <f ca="1">IFERROR(__xludf.DUMMYFUNCTION("iferror(index('지수RAW'!$AL$7:$AL$12040,MATCH($D141,'지수RAW'!$AH$7:$AH$12040,0)-1,1),GOOGLEFINANCE(V$2))"),64324)</f>
        <v>64324</v>
      </c>
      <c r="W141" s="30">
        <f ca="1">IFERROR(__xludf.DUMMYFUNCTION("iferror(index('지수RAW'!$AD$7:$AD$12040,MATCH($D141,'지수RAW'!$Z$7:$Z$12040,0)-1,1),GOOGLEFINANCE(W$2))"),1487.77)</f>
        <v>1487.77</v>
      </c>
      <c r="X141" s="36">
        <f t="shared" ca="1" si="72"/>
        <v>11095327.451299999</v>
      </c>
      <c r="Y141" s="36">
        <f t="shared" ca="1" si="73"/>
        <v>37968247.4648</v>
      </c>
      <c r="Z141" s="36">
        <f t="shared" ca="1" si="74"/>
        <v>5979050.0760000004</v>
      </c>
      <c r="AA141" s="36">
        <f t="shared" ca="1" si="75"/>
        <v>95699317.480000004</v>
      </c>
      <c r="AB141" s="12"/>
      <c r="AC141" s="38">
        <f t="shared" ca="1" si="85"/>
        <v>139.55650191826049</v>
      </c>
      <c r="AD141" s="38">
        <f t="shared" ca="1" si="86"/>
        <v>389.27484890870141</v>
      </c>
      <c r="AE141" s="38">
        <f t="shared" ca="1" si="87"/>
        <v>515.9081875012813</v>
      </c>
      <c r="AF141" s="38">
        <f t="shared" ca="1" si="88"/>
        <v>428.35841282296337</v>
      </c>
      <c r="AG141" s="38">
        <f t="shared" ca="1" si="89"/>
        <v>646.69972598425568</v>
      </c>
    </row>
    <row r="142" spans="1:33" ht="12.75" customHeight="1" x14ac:dyDescent="0.35">
      <c r="A142" s="5"/>
      <c r="B142" s="22">
        <f t="shared" si="76"/>
        <v>29</v>
      </c>
      <c r="C142" s="22">
        <f t="shared" si="77"/>
        <v>6</v>
      </c>
      <c r="D142" s="22" t="str">
        <f>IF(F142="12월",(E142+1)&amp;VLOOKUP(F142,인덱스!$C:$D,2,0),E142&amp;VLOOKUP(F142,인덱스!$C:$D,2,0))</f>
        <v>20297</v>
      </c>
      <c r="E142" s="5" t="str">
        <f t="shared" si="78"/>
        <v>2029</v>
      </c>
      <c r="F142" s="5" t="str">
        <f t="shared" si="79"/>
        <v>6월</v>
      </c>
      <c r="G142" s="37" t="str">
        <f>B142&amp;"."&amp;VLOOKUP(F142,인덱스!$A:$B,2,0)</f>
        <v>29.06</v>
      </c>
      <c r="H142" s="14">
        <f>IFERROR(VLOOKUP(G142,#REF!,2,0),)</f>
        <v>0</v>
      </c>
      <c r="I142" s="38">
        <f t="shared" ca="1" si="80"/>
        <v>276.4185467823574</v>
      </c>
      <c r="J142" s="38">
        <f t="shared" ca="1" si="81"/>
        <v>278.93709254528522</v>
      </c>
      <c r="K142" s="39">
        <f t="shared" ca="1" si="82"/>
        <v>369.67692684318911</v>
      </c>
      <c r="L142" s="39">
        <f t="shared" ca="1" si="83"/>
        <v>306.94264110593451</v>
      </c>
      <c r="M142" s="39">
        <f t="shared" ca="1" si="84"/>
        <v>463.3963427680589</v>
      </c>
      <c r="N142" s="5"/>
      <c r="O142" s="5"/>
      <c r="P142" s="5"/>
      <c r="Q142" s="8">
        <f ca="1">IFERROR(__xludf.DUMMYFUNCTION("iferror(index('지수RAW'!$V$7:$V$12040,MATCH($D142,'지수RAW'!$R$7:$R$12040,0)-1,1),GOOGLEFINANCE(Q$2))"),6820.6)</f>
        <v>6820.6</v>
      </c>
      <c r="R142" s="5">
        <f ca="1">IFERROR(__xludf.DUMMYFUNCTION("iferror(index('지수RAW'!$F$7:$F$12040,MATCH($D142,'지수RAW'!$B$7:$B$12040,0)-1,1),GOOGLEFINANCE(R$2))"),7457.69)</f>
        <v>7457.69</v>
      </c>
      <c r="S142" s="9">
        <f ca="1">IFERROR(__xludf.DUMMYFUNCTION("iferror(index('지수RAW'!$N$7:$N$12040,MATCH($D142,'지수RAW'!$J$7:$J$12040,0)-1,1),GOOGLEFINANCE(S$2))"),25520.24)</f>
        <v>25520.240000000002</v>
      </c>
      <c r="T142" s="5"/>
      <c r="U142" s="29">
        <f t="array" aca="1" ref="U142" ca="1">IFERROR(INDEX(지수RAW!$AT$7:$AT$12040,MATCH($D142,지수RAW!$AP$7:$AP$12040,0)-1,1),지수RAW!$AU$4)</f>
        <v>4018.8</v>
      </c>
      <c r="V142" s="29">
        <f ca="1">IFERROR(__xludf.DUMMYFUNCTION("iferror(index('지수RAW'!$AL$7:$AL$12040,MATCH($D142,'지수RAW'!$AH$7:$AH$12040,0)-1,1),GOOGLEFINANCE(V$2))"),64324)</f>
        <v>64324</v>
      </c>
      <c r="W142" s="30">
        <f ca="1">IFERROR(__xludf.DUMMYFUNCTION("iferror(index('지수RAW'!$AD$7:$AD$12040,MATCH($D142,'지수RAW'!$Z$7:$Z$12040,0)-1,1),GOOGLEFINANCE(W$2))"),1487.77)</f>
        <v>1487.77</v>
      </c>
      <c r="X142" s="36">
        <f t="shared" ca="1" si="72"/>
        <v>11095327.451299999</v>
      </c>
      <c r="Y142" s="36">
        <f t="shared" ca="1" si="73"/>
        <v>37968247.4648</v>
      </c>
      <c r="Z142" s="36">
        <f t="shared" ca="1" si="74"/>
        <v>5979050.0760000004</v>
      </c>
      <c r="AA142" s="36">
        <f t="shared" ca="1" si="75"/>
        <v>95699317.480000004</v>
      </c>
      <c r="AB142" s="12"/>
      <c r="AC142" s="38">
        <f t="shared" ca="1" si="85"/>
        <v>139.55650191826049</v>
      </c>
      <c r="AD142" s="38">
        <f t="shared" ca="1" si="86"/>
        <v>389.27484890870141</v>
      </c>
      <c r="AE142" s="38">
        <f t="shared" ca="1" si="87"/>
        <v>515.9081875012813</v>
      </c>
      <c r="AF142" s="38">
        <f t="shared" ca="1" si="88"/>
        <v>428.35841282296337</v>
      </c>
      <c r="AG142" s="38">
        <f t="shared" ca="1" si="89"/>
        <v>646.69972598425568</v>
      </c>
    </row>
    <row r="143" spans="1:33" ht="12.75" customHeight="1" x14ac:dyDescent="0.35">
      <c r="A143" s="5"/>
      <c r="B143" s="22">
        <f t="shared" si="76"/>
        <v>29</v>
      </c>
      <c r="C143" s="22">
        <f t="shared" si="77"/>
        <v>7</v>
      </c>
      <c r="D143" s="22" t="str">
        <f>IF(F143="12월",(E143+1)&amp;VLOOKUP(F143,인덱스!$C:$D,2,0),E143&amp;VLOOKUP(F143,인덱스!$C:$D,2,0))</f>
        <v>20298</v>
      </c>
      <c r="E143" s="5" t="str">
        <f t="shared" si="78"/>
        <v>2029</v>
      </c>
      <c r="F143" s="5" t="str">
        <f t="shared" si="79"/>
        <v>7월</v>
      </c>
      <c r="G143" s="37" t="str">
        <f>B143&amp;"."&amp;VLOOKUP(F143,인덱스!$A:$B,2,0)</f>
        <v>29.07</v>
      </c>
      <c r="H143" s="14">
        <f>IFERROR(VLOOKUP(G143,#REF!,2,0),)</f>
        <v>0</v>
      </c>
      <c r="I143" s="38">
        <f t="shared" ca="1" si="80"/>
        <v>276.4185467823574</v>
      </c>
      <c r="J143" s="38">
        <f t="shared" ca="1" si="81"/>
        <v>278.93709254528522</v>
      </c>
      <c r="K143" s="39">
        <f t="shared" ca="1" si="82"/>
        <v>369.67692684318911</v>
      </c>
      <c r="L143" s="39">
        <f t="shared" ca="1" si="83"/>
        <v>306.94264110593451</v>
      </c>
      <c r="M143" s="39">
        <f t="shared" ca="1" si="84"/>
        <v>463.3963427680589</v>
      </c>
      <c r="N143" s="5"/>
      <c r="O143" s="5"/>
      <c r="P143" s="5"/>
      <c r="Q143" s="8">
        <f ca="1">IFERROR(__xludf.DUMMYFUNCTION("iferror(index('지수RAW'!$V$7:$V$12040,MATCH($D143,'지수RAW'!$R$7:$R$12040,0)-1,1),GOOGLEFINANCE(Q$2))"),6820.6)</f>
        <v>6820.6</v>
      </c>
      <c r="R143" s="5">
        <f ca="1">IFERROR(__xludf.DUMMYFUNCTION("iferror(index('지수RAW'!$F$7:$F$12040,MATCH($D143,'지수RAW'!$B$7:$B$12040,0)-1,1),GOOGLEFINANCE(R$2))"),7457.69)</f>
        <v>7457.69</v>
      </c>
      <c r="S143" s="9">
        <f ca="1">IFERROR(__xludf.DUMMYFUNCTION("iferror(index('지수RAW'!$N$7:$N$12040,MATCH($D143,'지수RAW'!$J$7:$J$12040,0)-1,1),GOOGLEFINANCE(S$2))"),25520.24)</f>
        <v>25520.240000000002</v>
      </c>
      <c r="T143" s="5"/>
      <c r="U143" s="29">
        <f t="array" aca="1" ref="U143" ca="1">IFERROR(INDEX(지수RAW!$AT$7:$AT$12040,MATCH($D143,지수RAW!$AP$7:$AP$12040,0)-1,1),지수RAW!$AU$4)</f>
        <v>4018.8</v>
      </c>
      <c r="V143" s="29">
        <f ca="1">IFERROR(__xludf.DUMMYFUNCTION("iferror(index('지수RAW'!$AL$7:$AL$12040,MATCH($D143,'지수RAW'!$AH$7:$AH$12040,0)-1,1),GOOGLEFINANCE(V$2))"),64324)</f>
        <v>64324</v>
      </c>
      <c r="W143" s="30">
        <f ca="1">IFERROR(__xludf.DUMMYFUNCTION("iferror(index('지수RAW'!$AD$7:$AD$12040,MATCH($D143,'지수RAW'!$Z$7:$Z$12040,0)-1,1),GOOGLEFINANCE(W$2))"),1487.77)</f>
        <v>1487.77</v>
      </c>
      <c r="X143" s="36">
        <f t="shared" ca="1" si="72"/>
        <v>11095327.451299999</v>
      </c>
      <c r="Y143" s="36">
        <f t="shared" ca="1" si="73"/>
        <v>37968247.4648</v>
      </c>
      <c r="Z143" s="36">
        <f t="shared" ca="1" si="74"/>
        <v>5979050.0760000004</v>
      </c>
      <c r="AA143" s="36">
        <f t="shared" ca="1" si="75"/>
        <v>95699317.480000004</v>
      </c>
      <c r="AB143" s="12"/>
      <c r="AC143" s="38">
        <f t="shared" ca="1" si="85"/>
        <v>139.55650191826049</v>
      </c>
      <c r="AD143" s="38">
        <f t="shared" ca="1" si="86"/>
        <v>389.27484890870141</v>
      </c>
      <c r="AE143" s="38">
        <f t="shared" ca="1" si="87"/>
        <v>515.9081875012813</v>
      </c>
      <c r="AF143" s="38">
        <f t="shared" ca="1" si="88"/>
        <v>428.35841282296337</v>
      </c>
      <c r="AG143" s="38">
        <f t="shared" ca="1" si="89"/>
        <v>646.69972598425568</v>
      </c>
    </row>
    <row r="144" spans="1:33" ht="12.75" customHeight="1" x14ac:dyDescent="0.35">
      <c r="A144" s="5"/>
      <c r="B144" s="22">
        <f t="shared" si="76"/>
        <v>29</v>
      </c>
      <c r="C144" s="22">
        <f t="shared" si="77"/>
        <v>8</v>
      </c>
      <c r="D144" s="22" t="str">
        <f>IF(F144="12월",(E144+1)&amp;VLOOKUP(F144,인덱스!$C:$D,2,0),E144&amp;VLOOKUP(F144,인덱스!$C:$D,2,0))</f>
        <v>20299</v>
      </c>
      <c r="E144" s="5" t="str">
        <f t="shared" si="78"/>
        <v>2029</v>
      </c>
      <c r="F144" s="5" t="str">
        <f t="shared" si="79"/>
        <v>8월</v>
      </c>
      <c r="G144" s="37" t="str">
        <f>B144&amp;"."&amp;VLOOKUP(F144,인덱스!$A:$B,2,0)</f>
        <v>29.08</v>
      </c>
      <c r="H144" s="14">
        <f>IFERROR(VLOOKUP(G144,#REF!,2,0),)</f>
        <v>0</v>
      </c>
      <c r="I144" s="38">
        <f t="shared" ca="1" si="80"/>
        <v>276.4185467823574</v>
      </c>
      <c r="J144" s="38">
        <f t="shared" ca="1" si="81"/>
        <v>278.93709254528522</v>
      </c>
      <c r="K144" s="39">
        <f t="shared" ca="1" si="82"/>
        <v>369.67692684318911</v>
      </c>
      <c r="L144" s="39">
        <f t="shared" ca="1" si="83"/>
        <v>306.94264110593451</v>
      </c>
      <c r="M144" s="39">
        <f t="shared" ca="1" si="84"/>
        <v>463.3963427680589</v>
      </c>
      <c r="N144" s="5"/>
      <c r="O144" s="5"/>
      <c r="P144" s="5"/>
      <c r="Q144" s="8">
        <f ca="1">IFERROR(__xludf.DUMMYFUNCTION("iferror(index('지수RAW'!$V$7:$V$12040,MATCH($D144,'지수RAW'!$R$7:$R$12040,0)-1,1),GOOGLEFINANCE(Q$2))"),6820.6)</f>
        <v>6820.6</v>
      </c>
      <c r="R144" s="5">
        <f ca="1">IFERROR(__xludf.DUMMYFUNCTION("iferror(index('지수RAW'!$F$7:$F$12040,MATCH($D144,'지수RAW'!$B$7:$B$12040,0)-1,1),GOOGLEFINANCE(R$2))"),7457.69)</f>
        <v>7457.69</v>
      </c>
      <c r="S144" s="9">
        <f ca="1">IFERROR(__xludf.DUMMYFUNCTION("iferror(index('지수RAW'!$N$7:$N$12040,MATCH($D144,'지수RAW'!$J$7:$J$12040,0)-1,1),GOOGLEFINANCE(S$2))"),25520.24)</f>
        <v>25520.240000000002</v>
      </c>
      <c r="T144" s="5"/>
      <c r="U144" s="29">
        <f t="array" aca="1" ref="U144" ca="1">IFERROR(INDEX(지수RAW!$AT$7:$AT$12040,MATCH($D144,지수RAW!$AP$7:$AP$12040,0)-1,1),지수RAW!$AU$4)</f>
        <v>4018.8</v>
      </c>
      <c r="V144" s="29">
        <f ca="1">IFERROR(__xludf.DUMMYFUNCTION("iferror(index('지수RAW'!$AL$7:$AL$12040,MATCH($D144,'지수RAW'!$AH$7:$AH$12040,0)-1,1),GOOGLEFINANCE(V$2))"),64324)</f>
        <v>64324</v>
      </c>
      <c r="W144" s="30">
        <f ca="1">IFERROR(__xludf.DUMMYFUNCTION("iferror(index('지수RAW'!$AD$7:$AD$12040,MATCH($D144,'지수RAW'!$Z$7:$Z$12040,0)-1,1),GOOGLEFINANCE(W$2))"),1487.77)</f>
        <v>1487.77</v>
      </c>
      <c r="X144" s="36">
        <f t="shared" ca="1" si="72"/>
        <v>11095327.451299999</v>
      </c>
      <c r="Y144" s="36">
        <f t="shared" ca="1" si="73"/>
        <v>37968247.4648</v>
      </c>
      <c r="Z144" s="36">
        <f t="shared" ca="1" si="74"/>
        <v>5979050.0760000004</v>
      </c>
      <c r="AA144" s="36">
        <f t="shared" ca="1" si="75"/>
        <v>95699317.480000004</v>
      </c>
      <c r="AB144" s="12"/>
      <c r="AC144" s="38">
        <f t="shared" ca="1" si="85"/>
        <v>139.55650191826049</v>
      </c>
      <c r="AD144" s="38">
        <f t="shared" ca="1" si="86"/>
        <v>389.27484890870141</v>
      </c>
      <c r="AE144" s="38">
        <f t="shared" ca="1" si="87"/>
        <v>515.9081875012813</v>
      </c>
      <c r="AF144" s="38">
        <f t="shared" ca="1" si="88"/>
        <v>428.35841282296337</v>
      </c>
      <c r="AG144" s="38">
        <f t="shared" ca="1" si="89"/>
        <v>646.69972598425568</v>
      </c>
    </row>
    <row r="145" spans="1:33" ht="12.75" customHeight="1" x14ac:dyDescent="0.35">
      <c r="A145" s="5"/>
      <c r="B145" s="22">
        <f t="shared" si="76"/>
        <v>29</v>
      </c>
      <c r="C145" s="22">
        <f t="shared" si="77"/>
        <v>9</v>
      </c>
      <c r="D145" s="22" t="str">
        <f>IF(F145="12월",(E145+1)&amp;VLOOKUP(F145,인덱스!$C:$D,2,0),E145&amp;VLOOKUP(F145,인덱스!$C:$D,2,0))</f>
        <v>202910</v>
      </c>
      <c r="E145" s="5" t="str">
        <f t="shared" si="78"/>
        <v>2029</v>
      </c>
      <c r="F145" s="5" t="str">
        <f t="shared" si="79"/>
        <v>9월</v>
      </c>
      <c r="G145" s="37" t="str">
        <f>B145&amp;"."&amp;VLOOKUP(F145,인덱스!$A:$B,2,0)</f>
        <v>29.09</v>
      </c>
      <c r="H145" s="14">
        <f>IFERROR(VLOOKUP(G145,#REF!,2,0),)</f>
        <v>0</v>
      </c>
      <c r="I145" s="38">
        <f t="shared" ca="1" si="80"/>
        <v>276.4185467823574</v>
      </c>
      <c r="J145" s="38">
        <f t="shared" ca="1" si="81"/>
        <v>278.93709254528522</v>
      </c>
      <c r="K145" s="39">
        <f t="shared" ca="1" si="82"/>
        <v>369.67692684318911</v>
      </c>
      <c r="L145" s="39">
        <f t="shared" ca="1" si="83"/>
        <v>306.94264110593451</v>
      </c>
      <c r="M145" s="39">
        <f t="shared" ca="1" si="84"/>
        <v>463.3963427680589</v>
      </c>
      <c r="N145" s="5"/>
      <c r="O145" s="5"/>
      <c r="P145" s="5"/>
      <c r="Q145" s="8">
        <f ca="1">IFERROR(__xludf.DUMMYFUNCTION("iferror(index('지수RAW'!$V$7:$V$12040,MATCH($D145,'지수RAW'!$R$7:$R$12040,0)-1,1),GOOGLEFINANCE(Q$2))"),6820.6)</f>
        <v>6820.6</v>
      </c>
      <c r="R145" s="5">
        <f ca="1">IFERROR(__xludf.DUMMYFUNCTION("iferror(index('지수RAW'!$F$7:$F$12040,MATCH($D145,'지수RAW'!$B$7:$B$12040,0)-1,1),GOOGLEFINANCE(R$2))"),7457.69)</f>
        <v>7457.69</v>
      </c>
      <c r="S145" s="9">
        <f ca="1">IFERROR(__xludf.DUMMYFUNCTION("iferror(index('지수RAW'!$N$7:$N$12040,MATCH($D145,'지수RAW'!$J$7:$J$12040,0)-1,1),GOOGLEFINANCE(S$2))"),25520.24)</f>
        <v>25520.240000000002</v>
      </c>
      <c r="T145" s="5"/>
      <c r="U145" s="29">
        <f t="array" aca="1" ref="U145" ca="1">IFERROR(INDEX(지수RAW!$AT$7:$AT$12040,MATCH($D145,지수RAW!$AP$7:$AP$12040,0)-1,1),지수RAW!$AU$4)</f>
        <v>4018.8</v>
      </c>
      <c r="V145" s="29">
        <f ca="1">IFERROR(__xludf.DUMMYFUNCTION("iferror(index('지수RAW'!$AL$7:$AL$12040,MATCH($D145,'지수RAW'!$AH$7:$AH$12040,0)-1,1),GOOGLEFINANCE(V$2))"),64324)</f>
        <v>64324</v>
      </c>
      <c r="W145" s="30">
        <f ca="1">IFERROR(__xludf.DUMMYFUNCTION("iferror(index('지수RAW'!$AD$7:$AD$12040,MATCH($D145,'지수RAW'!$Z$7:$Z$12040,0)-1,1),GOOGLEFINANCE(W$2))"),1487.77)</f>
        <v>1487.77</v>
      </c>
      <c r="X145" s="36">
        <f t="shared" ca="1" si="72"/>
        <v>11095327.451299999</v>
      </c>
      <c r="Y145" s="36">
        <f t="shared" ca="1" si="73"/>
        <v>37968247.4648</v>
      </c>
      <c r="Z145" s="36">
        <f t="shared" ca="1" si="74"/>
        <v>5979050.0760000004</v>
      </c>
      <c r="AA145" s="36">
        <f t="shared" ca="1" si="75"/>
        <v>95699317.480000004</v>
      </c>
      <c r="AB145" s="12"/>
      <c r="AC145" s="38">
        <f t="shared" ca="1" si="85"/>
        <v>139.55650191826049</v>
      </c>
      <c r="AD145" s="38">
        <f t="shared" ca="1" si="86"/>
        <v>389.27484890870141</v>
      </c>
      <c r="AE145" s="38">
        <f t="shared" ca="1" si="87"/>
        <v>515.9081875012813</v>
      </c>
      <c r="AF145" s="38">
        <f t="shared" ca="1" si="88"/>
        <v>428.35841282296337</v>
      </c>
      <c r="AG145" s="38">
        <f t="shared" ca="1" si="89"/>
        <v>646.69972598425568</v>
      </c>
    </row>
    <row r="146" spans="1:33" ht="12.75" customHeight="1" x14ac:dyDescent="0.35">
      <c r="A146" s="5"/>
      <c r="B146" s="22">
        <f t="shared" si="76"/>
        <v>29</v>
      </c>
      <c r="C146" s="22">
        <f t="shared" si="77"/>
        <v>10</v>
      </c>
      <c r="D146" s="22" t="str">
        <f>IF(F146="12월",(E146+1)&amp;VLOOKUP(F146,인덱스!$C:$D,2,0),E146&amp;VLOOKUP(F146,인덱스!$C:$D,2,0))</f>
        <v>202911</v>
      </c>
      <c r="E146" s="5" t="str">
        <f t="shared" si="78"/>
        <v>2029</v>
      </c>
      <c r="F146" s="5" t="str">
        <f t="shared" si="79"/>
        <v>10월</v>
      </c>
      <c r="G146" s="37" t="str">
        <f>B146&amp;"."&amp;VLOOKUP(F146,인덱스!$A:$B,2,0)</f>
        <v>29.10</v>
      </c>
      <c r="H146" s="14">
        <f>IFERROR(VLOOKUP(G146,#REF!,2,0),)</f>
        <v>0</v>
      </c>
      <c r="I146" s="38">
        <f t="shared" ca="1" si="80"/>
        <v>276.4185467823574</v>
      </c>
      <c r="J146" s="38">
        <f t="shared" ca="1" si="81"/>
        <v>278.93709254528522</v>
      </c>
      <c r="K146" s="39">
        <f t="shared" ca="1" si="82"/>
        <v>369.67692684318911</v>
      </c>
      <c r="L146" s="39">
        <f t="shared" ca="1" si="83"/>
        <v>306.94264110593451</v>
      </c>
      <c r="M146" s="39">
        <f t="shared" ca="1" si="84"/>
        <v>463.3963427680589</v>
      </c>
      <c r="N146" s="5"/>
      <c r="O146" s="5"/>
      <c r="P146" s="5"/>
      <c r="Q146" s="8">
        <f ca="1">IFERROR(__xludf.DUMMYFUNCTION("iferror(index('지수RAW'!$V$7:$V$12040,MATCH($D146,'지수RAW'!$R$7:$R$12040,0)-1,1),GOOGLEFINANCE(Q$2))"),6820.6)</f>
        <v>6820.6</v>
      </c>
      <c r="R146" s="5">
        <f ca="1">IFERROR(__xludf.DUMMYFUNCTION("iferror(index('지수RAW'!$F$7:$F$12040,MATCH($D146,'지수RAW'!$B$7:$B$12040,0)-1,1),GOOGLEFINANCE(R$2))"),7457.69)</f>
        <v>7457.69</v>
      </c>
      <c r="S146" s="9">
        <f ca="1">IFERROR(__xludf.DUMMYFUNCTION("iferror(index('지수RAW'!$N$7:$N$12040,MATCH($D146,'지수RAW'!$J$7:$J$12040,0)-1,1),GOOGLEFINANCE(S$2))"),25520.24)</f>
        <v>25520.240000000002</v>
      </c>
      <c r="T146" s="5"/>
      <c r="U146" s="29">
        <f t="array" aca="1" ref="U146" ca="1">IFERROR(INDEX(지수RAW!$AT$7:$AT$12040,MATCH($D146,지수RAW!$AP$7:$AP$12040,0)-1,1),지수RAW!$AU$4)</f>
        <v>4018.8</v>
      </c>
      <c r="V146" s="29">
        <f ca="1">IFERROR(__xludf.DUMMYFUNCTION("iferror(index('지수RAW'!$AL$7:$AL$12040,MATCH($D146,'지수RAW'!$AH$7:$AH$12040,0)-1,1),GOOGLEFINANCE(V$2))"),64324)</f>
        <v>64324</v>
      </c>
      <c r="W146" s="30">
        <f ca="1">IFERROR(__xludf.DUMMYFUNCTION("iferror(index('지수RAW'!$AD$7:$AD$12040,MATCH($D146,'지수RAW'!$Z$7:$Z$12040,0)-1,1),GOOGLEFINANCE(W$2))"),1487.77)</f>
        <v>1487.77</v>
      </c>
      <c r="X146" s="36">
        <f t="shared" ca="1" si="72"/>
        <v>11095327.451299999</v>
      </c>
      <c r="Y146" s="36">
        <f t="shared" ca="1" si="73"/>
        <v>37968247.4648</v>
      </c>
      <c r="Z146" s="36">
        <f t="shared" ca="1" si="74"/>
        <v>5979050.0760000004</v>
      </c>
      <c r="AA146" s="36">
        <f t="shared" ca="1" si="75"/>
        <v>95699317.480000004</v>
      </c>
      <c r="AB146" s="12"/>
      <c r="AC146" s="38">
        <f t="shared" ca="1" si="85"/>
        <v>139.55650191826049</v>
      </c>
      <c r="AD146" s="38">
        <f t="shared" ca="1" si="86"/>
        <v>389.27484890870141</v>
      </c>
      <c r="AE146" s="38">
        <f t="shared" ca="1" si="87"/>
        <v>515.9081875012813</v>
      </c>
      <c r="AF146" s="38">
        <f t="shared" ca="1" si="88"/>
        <v>428.35841282296337</v>
      </c>
      <c r="AG146" s="38">
        <f t="shared" ca="1" si="89"/>
        <v>646.69972598425568</v>
      </c>
    </row>
    <row r="147" spans="1:33" ht="12.75" customHeight="1" x14ac:dyDescent="0.35">
      <c r="A147" s="5"/>
      <c r="B147" s="22">
        <f t="shared" si="76"/>
        <v>29</v>
      </c>
      <c r="C147" s="22">
        <f t="shared" si="77"/>
        <v>11</v>
      </c>
      <c r="D147" s="22" t="str">
        <f>IF(F147="12월",(E147+1)&amp;VLOOKUP(F147,인덱스!$C:$D,2,0),E147&amp;VLOOKUP(F147,인덱스!$C:$D,2,0))</f>
        <v>202912</v>
      </c>
      <c r="E147" s="5" t="str">
        <f t="shared" si="78"/>
        <v>2029</v>
      </c>
      <c r="F147" s="5" t="str">
        <f t="shared" si="79"/>
        <v>11월</v>
      </c>
      <c r="G147" s="37" t="str">
        <f>B147&amp;"."&amp;VLOOKUP(F147,인덱스!$A:$B,2,0)</f>
        <v>29.11</v>
      </c>
      <c r="H147" s="14">
        <f>IFERROR(VLOOKUP(G147,#REF!,2,0),)</f>
        <v>0</v>
      </c>
      <c r="I147" s="38">
        <f t="shared" ca="1" si="80"/>
        <v>276.4185467823574</v>
      </c>
      <c r="J147" s="38">
        <f t="shared" ca="1" si="81"/>
        <v>278.93709254528522</v>
      </c>
      <c r="K147" s="39">
        <f t="shared" ca="1" si="82"/>
        <v>369.67692684318911</v>
      </c>
      <c r="L147" s="39">
        <f t="shared" ca="1" si="83"/>
        <v>306.94264110593451</v>
      </c>
      <c r="M147" s="39">
        <f t="shared" ca="1" si="84"/>
        <v>463.3963427680589</v>
      </c>
      <c r="N147" s="5"/>
      <c r="O147" s="5"/>
      <c r="P147" s="5"/>
      <c r="Q147" s="8">
        <f ca="1">IFERROR(__xludf.DUMMYFUNCTION("iferror(index('지수RAW'!$V$7:$V$12040,MATCH($D147,'지수RAW'!$R$7:$R$12040,0)-1,1),GOOGLEFINANCE(Q$2))"),6820.6)</f>
        <v>6820.6</v>
      </c>
      <c r="R147" s="5">
        <f ca="1">IFERROR(__xludf.DUMMYFUNCTION("iferror(index('지수RAW'!$F$7:$F$12040,MATCH($D147,'지수RAW'!$B$7:$B$12040,0)-1,1),GOOGLEFINANCE(R$2))"),7457.69)</f>
        <v>7457.69</v>
      </c>
      <c r="S147" s="9">
        <f ca="1">IFERROR(__xludf.DUMMYFUNCTION("iferror(index('지수RAW'!$N$7:$N$12040,MATCH($D147,'지수RAW'!$J$7:$J$12040,0)-1,1),GOOGLEFINANCE(S$2))"),25520.24)</f>
        <v>25520.240000000002</v>
      </c>
      <c r="T147" s="5"/>
      <c r="U147" s="29">
        <f t="array" aca="1" ref="U147" ca="1">IFERROR(INDEX(지수RAW!$AT$7:$AT$12040,MATCH($D147,지수RAW!$AP$7:$AP$12040,0)-1,1),지수RAW!$AU$4)</f>
        <v>4018.8</v>
      </c>
      <c r="V147" s="29">
        <f ca="1">IFERROR(__xludf.DUMMYFUNCTION("iferror(index('지수RAW'!$AL$7:$AL$12040,MATCH($D147,'지수RAW'!$AH$7:$AH$12040,0)-1,1),GOOGLEFINANCE(V$2))"),64324)</f>
        <v>64324</v>
      </c>
      <c r="W147" s="30">
        <f ca="1">IFERROR(__xludf.DUMMYFUNCTION("iferror(index('지수RAW'!$AD$7:$AD$12040,MATCH($D147,'지수RAW'!$Z$7:$Z$12040,0)-1,1),GOOGLEFINANCE(W$2))"),1487.77)</f>
        <v>1487.77</v>
      </c>
      <c r="X147" s="36">
        <f t="shared" ca="1" si="72"/>
        <v>11095327.451299999</v>
      </c>
      <c r="Y147" s="36">
        <f t="shared" ca="1" si="73"/>
        <v>37968247.4648</v>
      </c>
      <c r="Z147" s="36">
        <f t="shared" ca="1" si="74"/>
        <v>5979050.0760000004</v>
      </c>
      <c r="AA147" s="36">
        <f t="shared" ca="1" si="75"/>
        <v>95699317.480000004</v>
      </c>
      <c r="AB147" s="12"/>
      <c r="AC147" s="38">
        <f t="shared" ca="1" si="85"/>
        <v>139.55650191826049</v>
      </c>
      <c r="AD147" s="38">
        <f t="shared" ca="1" si="86"/>
        <v>389.27484890870141</v>
      </c>
      <c r="AE147" s="38">
        <f t="shared" ca="1" si="87"/>
        <v>515.9081875012813</v>
      </c>
      <c r="AF147" s="38">
        <f t="shared" ca="1" si="88"/>
        <v>428.35841282296337</v>
      </c>
      <c r="AG147" s="38">
        <f t="shared" ca="1" si="89"/>
        <v>646.69972598425568</v>
      </c>
    </row>
    <row r="148" spans="1:33" ht="12.75" customHeight="1" x14ac:dyDescent="0.35">
      <c r="A148" s="5"/>
      <c r="B148" s="22">
        <f t="shared" si="76"/>
        <v>29</v>
      </c>
      <c r="C148" s="22">
        <f t="shared" si="77"/>
        <v>12</v>
      </c>
      <c r="D148" s="22" t="str">
        <f>IF(F148="12월",(E148+1)&amp;VLOOKUP(F148,인덱스!$C:$D,2,0),E148&amp;VLOOKUP(F148,인덱스!$C:$D,2,0))</f>
        <v>20301</v>
      </c>
      <c r="E148" s="5" t="str">
        <f t="shared" si="78"/>
        <v>2029</v>
      </c>
      <c r="F148" s="5" t="str">
        <f t="shared" si="79"/>
        <v>12월</v>
      </c>
      <c r="G148" s="37" t="str">
        <f>B148&amp;"."&amp;VLOOKUP(F148,인덱스!$A:$B,2,0)</f>
        <v>29.12</v>
      </c>
      <c r="H148" s="14">
        <f>IFERROR(VLOOKUP(G148,#REF!,2,0),)</f>
        <v>0</v>
      </c>
      <c r="I148" s="38">
        <f t="shared" ca="1" si="80"/>
        <v>276.4185467823574</v>
      </c>
      <c r="J148" s="38">
        <f t="shared" ca="1" si="81"/>
        <v>278.93709254528522</v>
      </c>
      <c r="K148" s="39">
        <f t="shared" ca="1" si="82"/>
        <v>369.67692684318911</v>
      </c>
      <c r="L148" s="39">
        <f t="shared" ca="1" si="83"/>
        <v>306.94264110593451</v>
      </c>
      <c r="M148" s="39">
        <f t="shared" ca="1" si="84"/>
        <v>463.3963427680589</v>
      </c>
      <c r="N148" s="5"/>
      <c r="O148" s="5"/>
      <c r="P148" s="5"/>
      <c r="Q148" s="8">
        <f ca="1">IFERROR(__xludf.DUMMYFUNCTION("iferror(index('지수RAW'!$V$7:$V$12040,MATCH($D148,'지수RAW'!$R$7:$R$12040,0)-1,1),GOOGLEFINANCE(Q$2))"),6820.6)</f>
        <v>6820.6</v>
      </c>
      <c r="R148" s="5">
        <f ca="1">IFERROR(__xludf.DUMMYFUNCTION("iferror(index('지수RAW'!$F$7:$F$12040,MATCH($D148,'지수RAW'!$B$7:$B$12040,0)-1,1),GOOGLEFINANCE(R$2))"),7457.69)</f>
        <v>7457.69</v>
      </c>
      <c r="S148" s="9">
        <f ca="1">IFERROR(__xludf.DUMMYFUNCTION("iferror(index('지수RAW'!$N$7:$N$12040,MATCH($D148,'지수RAW'!$J$7:$J$12040,0)-1,1),GOOGLEFINANCE(S$2))"),25520.24)</f>
        <v>25520.240000000002</v>
      </c>
      <c r="T148" s="5"/>
      <c r="U148" s="29">
        <f t="array" aca="1" ref="U148" ca="1">IFERROR(INDEX(지수RAW!$AT$7:$AT$12040,MATCH($D148,지수RAW!$AP$7:$AP$12040,0)-1,1),지수RAW!$AU$4)</f>
        <v>4018.8</v>
      </c>
      <c r="V148" s="29">
        <f ca="1">IFERROR(__xludf.DUMMYFUNCTION("iferror(index('지수RAW'!$AL$7:$AL$12040,MATCH($D148,'지수RAW'!$AH$7:$AH$12040,0)-1,1),GOOGLEFINANCE(V$2))"),64324)</f>
        <v>64324</v>
      </c>
      <c r="W148" s="30">
        <f ca="1">IFERROR(__xludf.DUMMYFUNCTION("iferror(index('지수RAW'!$AD$7:$AD$12040,MATCH($D148,'지수RAW'!$Z$7:$Z$12040,0)-1,1),GOOGLEFINANCE(W$2))"),1487.77)</f>
        <v>1487.77</v>
      </c>
      <c r="X148" s="36">
        <f t="shared" ca="1" si="72"/>
        <v>11095327.451299999</v>
      </c>
      <c r="Y148" s="36">
        <f t="shared" ca="1" si="73"/>
        <v>37968247.4648</v>
      </c>
      <c r="Z148" s="36">
        <f t="shared" ca="1" si="74"/>
        <v>5979050.0760000004</v>
      </c>
      <c r="AA148" s="36">
        <f t="shared" ca="1" si="75"/>
        <v>95699317.480000004</v>
      </c>
      <c r="AB148" s="12"/>
      <c r="AC148" s="38">
        <f t="shared" ca="1" si="85"/>
        <v>139.55650191826049</v>
      </c>
      <c r="AD148" s="38">
        <f t="shared" ca="1" si="86"/>
        <v>389.27484890870141</v>
      </c>
      <c r="AE148" s="38">
        <f t="shared" ca="1" si="87"/>
        <v>515.9081875012813</v>
      </c>
      <c r="AF148" s="38">
        <f t="shared" ca="1" si="88"/>
        <v>428.35841282296337</v>
      </c>
      <c r="AG148" s="38">
        <f t="shared" ca="1" si="89"/>
        <v>646.69972598425568</v>
      </c>
    </row>
    <row r="149" spans="1:33" ht="12.75" customHeight="1" x14ac:dyDescent="0.35">
      <c r="A149" s="5"/>
      <c r="B149" s="22">
        <f t="shared" si="76"/>
        <v>30</v>
      </c>
      <c r="C149" s="22">
        <f t="shared" si="77"/>
        <v>1</v>
      </c>
      <c r="D149" s="22" t="str">
        <f>IF(F149="12월",(E149+1)&amp;VLOOKUP(F149,인덱스!$C:$D,2,0),E149&amp;VLOOKUP(F149,인덱스!$C:$D,2,0))</f>
        <v>20302</v>
      </c>
      <c r="E149" s="5" t="str">
        <f t="shared" si="78"/>
        <v>2030</v>
      </c>
      <c r="F149" s="5" t="str">
        <f t="shared" si="79"/>
        <v>1월</v>
      </c>
      <c r="G149" s="37" t="str">
        <f>B149&amp;"."&amp;VLOOKUP(F149,인덱스!$A:$B,2,0)</f>
        <v>30.01</v>
      </c>
      <c r="H149" s="14">
        <f>IFERROR(VLOOKUP(G149,#REF!,2,0),)</f>
        <v>0</v>
      </c>
      <c r="I149" s="38">
        <f t="shared" ca="1" si="80"/>
        <v>276.4185467823574</v>
      </c>
      <c r="J149" s="38">
        <f t="shared" ca="1" si="81"/>
        <v>278.93709254528522</v>
      </c>
      <c r="K149" s="39">
        <f t="shared" ca="1" si="82"/>
        <v>369.67692684318911</v>
      </c>
      <c r="L149" s="39">
        <f t="shared" ca="1" si="83"/>
        <v>306.94264110593451</v>
      </c>
      <c r="M149" s="39">
        <f t="shared" ca="1" si="84"/>
        <v>463.3963427680589</v>
      </c>
      <c r="N149" s="5"/>
      <c r="O149" s="5"/>
      <c r="P149" s="5"/>
      <c r="Q149" s="8">
        <f ca="1">IFERROR(__xludf.DUMMYFUNCTION("iferror(index('지수RAW'!$V$7:$V$12040,MATCH($D149,'지수RAW'!$R$7:$R$12040,0)-1,1),GOOGLEFINANCE(Q$2))"),6820.6)</f>
        <v>6820.6</v>
      </c>
      <c r="R149" s="5">
        <f ca="1">IFERROR(__xludf.DUMMYFUNCTION("iferror(index('지수RAW'!$F$7:$F$12040,MATCH($D149,'지수RAW'!$B$7:$B$12040,0)-1,1),GOOGLEFINANCE(R$2))"),7457.69)</f>
        <v>7457.69</v>
      </c>
      <c r="S149" s="9">
        <f ca="1">IFERROR(__xludf.DUMMYFUNCTION("iferror(index('지수RAW'!$N$7:$N$12040,MATCH($D149,'지수RAW'!$J$7:$J$12040,0)-1,1),GOOGLEFINANCE(S$2))"),25520.24)</f>
        <v>25520.240000000002</v>
      </c>
      <c r="T149" s="5"/>
      <c r="U149" s="29">
        <f t="array" aca="1" ref="U149" ca="1">IFERROR(INDEX(지수RAW!$AT$7:$AT$12040,MATCH($D149,지수RAW!$AP$7:$AP$12040,0)-1,1),지수RAW!$AU$4)</f>
        <v>4018.8</v>
      </c>
      <c r="V149" s="29">
        <f ca="1">IFERROR(__xludf.DUMMYFUNCTION("iferror(index('지수RAW'!$AL$7:$AL$12040,MATCH($D149,'지수RAW'!$AH$7:$AH$12040,0)-1,1),GOOGLEFINANCE(V$2))"),64324)</f>
        <v>64324</v>
      </c>
      <c r="W149" s="30">
        <f ca="1">IFERROR(__xludf.DUMMYFUNCTION("iferror(index('지수RAW'!$AD$7:$AD$12040,MATCH($D149,'지수RAW'!$Z$7:$Z$12040,0)-1,1),GOOGLEFINANCE(W$2))"),1487.77)</f>
        <v>1487.77</v>
      </c>
      <c r="X149" s="36">
        <f t="shared" ca="1" si="72"/>
        <v>11095327.451299999</v>
      </c>
      <c r="Y149" s="36">
        <f t="shared" ca="1" si="73"/>
        <v>37968247.4648</v>
      </c>
      <c r="Z149" s="36">
        <f t="shared" ca="1" si="74"/>
        <v>5979050.0760000004</v>
      </c>
      <c r="AA149" s="36">
        <f t="shared" ca="1" si="75"/>
        <v>95699317.480000004</v>
      </c>
      <c r="AB149" s="12"/>
      <c r="AC149" s="38">
        <f t="shared" ca="1" si="85"/>
        <v>139.55650191826049</v>
      </c>
      <c r="AD149" s="38">
        <f t="shared" ca="1" si="86"/>
        <v>389.27484890870141</v>
      </c>
      <c r="AE149" s="38">
        <f t="shared" ca="1" si="87"/>
        <v>515.9081875012813</v>
      </c>
      <c r="AF149" s="38">
        <f t="shared" ca="1" si="88"/>
        <v>428.35841282296337</v>
      </c>
      <c r="AG149" s="38">
        <f t="shared" ca="1" si="89"/>
        <v>646.69972598425568</v>
      </c>
    </row>
    <row r="150" spans="1:33" ht="12.75" customHeight="1" x14ac:dyDescent="0.35">
      <c r="A150" s="5"/>
      <c r="B150" s="22">
        <f t="shared" si="76"/>
        <v>30</v>
      </c>
      <c r="C150" s="22">
        <f t="shared" si="77"/>
        <v>2</v>
      </c>
      <c r="D150" s="22" t="str">
        <f>IF(F150="12월",(E150+1)&amp;VLOOKUP(F150,인덱스!$C:$D,2,0),E150&amp;VLOOKUP(F150,인덱스!$C:$D,2,0))</f>
        <v>20303</v>
      </c>
      <c r="E150" s="5" t="str">
        <f t="shared" si="78"/>
        <v>2030</v>
      </c>
      <c r="F150" s="5" t="str">
        <f t="shared" si="79"/>
        <v>2월</v>
      </c>
      <c r="G150" s="37" t="str">
        <f>B150&amp;"."&amp;VLOOKUP(F150,인덱스!$A:$B,2,0)</f>
        <v>30.02</v>
      </c>
      <c r="H150" s="14">
        <f>IFERROR(VLOOKUP(G150,#REF!,2,0),)</f>
        <v>0</v>
      </c>
      <c r="I150" s="38">
        <f t="shared" ca="1" si="80"/>
        <v>276.4185467823574</v>
      </c>
      <c r="J150" s="38">
        <f t="shared" ca="1" si="81"/>
        <v>278.93709254528522</v>
      </c>
      <c r="K150" s="39">
        <f t="shared" ca="1" si="82"/>
        <v>369.67692684318911</v>
      </c>
      <c r="L150" s="39">
        <f t="shared" ca="1" si="83"/>
        <v>306.94264110593451</v>
      </c>
      <c r="M150" s="39">
        <f t="shared" ca="1" si="84"/>
        <v>463.3963427680589</v>
      </c>
      <c r="N150" s="5"/>
      <c r="O150" s="5"/>
      <c r="P150" s="5"/>
      <c r="Q150" s="8">
        <f ca="1">IFERROR(__xludf.DUMMYFUNCTION("iferror(index('지수RAW'!$V$7:$V$12040,MATCH($D150,'지수RAW'!$R$7:$R$12040,0)-1,1),GOOGLEFINANCE(Q$2))"),6820.6)</f>
        <v>6820.6</v>
      </c>
      <c r="R150" s="5">
        <f ca="1">IFERROR(__xludf.DUMMYFUNCTION("iferror(index('지수RAW'!$F$7:$F$12040,MATCH($D150,'지수RAW'!$B$7:$B$12040,0)-1,1),GOOGLEFINANCE(R$2))"),7457.69)</f>
        <v>7457.69</v>
      </c>
      <c r="S150" s="9">
        <f ca="1">IFERROR(__xludf.DUMMYFUNCTION("iferror(index('지수RAW'!$N$7:$N$12040,MATCH($D150,'지수RAW'!$J$7:$J$12040,0)-1,1),GOOGLEFINANCE(S$2))"),25520.24)</f>
        <v>25520.240000000002</v>
      </c>
      <c r="T150" s="5"/>
      <c r="U150" s="29">
        <f t="array" aca="1" ref="U150" ca="1">IFERROR(INDEX(지수RAW!$AT$7:$AT$12040,MATCH($D150,지수RAW!$AP$7:$AP$12040,0)-1,1),지수RAW!$AU$4)</f>
        <v>4018.8</v>
      </c>
      <c r="V150" s="29">
        <f ca="1">IFERROR(__xludf.DUMMYFUNCTION("iferror(index('지수RAW'!$AL$7:$AL$12040,MATCH($D150,'지수RAW'!$AH$7:$AH$12040,0)-1,1),GOOGLEFINANCE(V$2))"),64324)</f>
        <v>64324</v>
      </c>
      <c r="W150" s="30">
        <f ca="1">IFERROR(__xludf.DUMMYFUNCTION("iferror(index('지수RAW'!$AD$7:$AD$12040,MATCH($D150,'지수RAW'!$Z$7:$Z$12040,0)-1,1),GOOGLEFINANCE(W$2))"),1487.77)</f>
        <v>1487.77</v>
      </c>
      <c r="X150" s="36">
        <f t="shared" ca="1" si="72"/>
        <v>11095327.451299999</v>
      </c>
      <c r="Y150" s="36">
        <f t="shared" ca="1" si="73"/>
        <v>37968247.4648</v>
      </c>
      <c r="Z150" s="36">
        <f t="shared" ca="1" si="74"/>
        <v>5979050.0760000004</v>
      </c>
      <c r="AA150" s="36">
        <f t="shared" ca="1" si="75"/>
        <v>95699317.480000004</v>
      </c>
      <c r="AB150" s="12"/>
      <c r="AC150" s="38">
        <f t="shared" ca="1" si="85"/>
        <v>139.55650191826049</v>
      </c>
      <c r="AD150" s="38">
        <f t="shared" ca="1" si="86"/>
        <v>389.27484890870141</v>
      </c>
      <c r="AE150" s="38">
        <f t="shared" ca="1" si="87"/>
        <v>515.9081875012813</v>
      </c>
      <c r="AF150" s="38">
        <f t="shared" ca="1" si="88"/>
        <v>428.35841282296337</v>
      </c>
      <c r="AG150" s="38">
        <f t="shared" ca="1" si="89"/>
        <v>646.69972598425568</v>
      </c>
    </row>
    <row r="151" spans="1:33" ht="12.75" customHeight="1" x14ac:dyDescent="0.35">
      <c r="A151" s="5"/>
      <c r="B151" s="22">
        <f t="shared" si="76"/>
        <v>30</v>
      </c>
      <c r="C151" s="22">
        <f t="shared" si="77"/>
        <v>3</v>
      </c>
      <c r="D151" s="22" t="str">
        <f>IF(F151="12월",(E151+1)&amp;VLOOKUP(F151,인덱스!$C:$D,2,0),E151&amp;VLOOKUP(F151,인덱스!$C:$D,2,0))</f>
        <v>20304</v>
      </c>
      <c r="E151" s="5" t="str">
        <f t="shared" si="78"/>
        <v>2030</v>
      </c>
      <c r="F151" s="5" t="str">
        <f t="shared" si="79"/>
        <v>3월</v>
      </c>
      <c r="G151" s="37" t="str">
        <f>B151&amp;"."&amp;VLOOKUP(F151,인덱스!$A:$B,2,0)</f>
        <v>30.03</v>
      </c>
      <c r="H151" s="14">
        <f>IFERROR(VLOOKUP(G151,#REF!,2,0),)</f>
        <v>0</v>
      </c>
      <c r="I151" s="38">
        <f t="shared" ca="1" si="80"/>
        <v>276.4185467823574</v>
      </c>
      <c r="J151" s="38">
        <f t="shared" ca="1" si="81"/>
        <v>278.93709254528522</v>
      </c>
      <c r="K151" s="39">
        <f t="shared" ca="1" si="82"/>
        <v>369.67692684318911</v>
      </c>
      <c r="L151" s="39">
        <f t="shared" ca="1" si="83"/>
        <v>306.94264110593451</v>
      </c>
      <c r="M151" s="39">
        <f t="shared" ca="1" si="84"/>
        <v>463.3963427680589</v>
      </c>
      <c r="N151" s="5"/>
      <c r="O151" s="5"/>
      <c r="P151" s="5"/>
      <c r="Q151" s="8">
        <f ca="1">IFERROR(__xludf.DUMMYFUNCTION("iferror(index('지수RAW'!$V$7:$V$12040,MATCH($D151,'지수RAW'!$R$7:$R$12040,0)-1,1),GOOGLEFINANCE(Q$2))"),6820.6)</f>
        <v>6820.6</v>
      </c>
      <c r="R151" s="5">
        <f ca="1">IFERROR(__xludf.DUMMYFUNCTION("iferror(index('지수RAW'!$F$7:$F$12040,MATCH($D151,'지수RAW'!$B$7:$B$12040,0)-1,1),GOOGLEFINANCE(R$2))"),7457.69)</f>
        <v>7457.69</v>
      </c>
      <c r="S151" s="9">
        <f ca="1">IFERROR(__xludf.DUMMYFUNCTION("iferror(index('지수RAW'!$N$7:$N$12040,MATCH($D151,'지수RAW'!$J$7:$J$12040,0)-1,1),GOOGLEFINANCE(S$2))"),25520.24)</f>
        <v>25520.240000000002</v>
      </c>
      <c r="T151" s="5"/>
      <c r="U151" s="29">
        <f t="array" aca="1" ref="U151" ca="1">IFERROR(INDEX(지수RAW!$AT$7:$AT$12040,MATCH($D151,지수RAW!$AP$7:$AP$12040,0)-1,1),지수RAW!$AU$4)</f>
        <v>4018.8</v>
      </c>
      <c r="V151" s="29">
        <f ca="1">IFERROR(__xludf.DUMMYFUNCTION("iferror(index('지수RAW'!$AL$7:$AL$12040,MATCH($D151,'지수RAW'!$AH$7:$AH$12040,0)-1,1),GOOGLEFINANCE(V$2))"),64324)</f>
        <v>64324</v>
      </c>
      <c r="W151" s="30">
        <f ca="1">IFERROR(__xludf.DUMMYFUNCTION("iferror(index('지수RAW'!$AD$7:$AD$12040,MATCH($D151,'지수RAW'!$Z$7:$Z$12040,0)-1,1),GOOGLEFINANCE(W$2))"),1487.77)</f>
        <v>1487.77</v>
      </c>
      <c r="X151" s="36">
        <f t="shared" ca="1" si="72"/>
        <v>11095327.451299999</v>
      </c>
      <c r="Y151" s="36">
        <f t="shared" ca="1" si="73"/>
        <v>37968247.4648</v>
      </c>
      <c r="Z151" s="36">
        <f t="shared" ca="1" si="74"/>
        <v>5979050.0760000004</v>
      </c>
      <c r="AA151" s="36">
        <f t="shared" ca="1" si="75"/>
        <v>95699317.480000004</v>
      </c>
      <c r="AB151" s="12"/>
      <c r="AC151" s="38">
        <f t="shared" ca="1" si="85"/>
        <v>139.55650191826049</v>
      </c>
      <c r="AD151" s="38">
        <f t="shared" ca="1" si="86"/>
        <v>389.27484890870141</v>
      </c>
      <c r="AE151" s="38">
        <f t="shared" ca="1" si="87"/>
        <v>515.9081875012813</v>
      </c>
      <c r="AF151" s="38">
        <f t="shared" ca="1" si="88"/>
        <v>428.35841282296337</v>
      </c>
      <c r="AG151" s="38">
        <f t="shared" ca="1" si="89"/>
        <v>646.69972598425568</v>
      </c>
    </row>
    <row r="152" spans="1:33" ht="12.75" customHeight="1" x14ac:dyDescent="0.35">
      <c r="A152" s="5"/>
      <c r="B152" s="22">
        <f t="shared" si="76"/>
        <v>30</v>
      </c>
      <c r="C152" s="22">
        <f t="shared" si="77"/>
        <v>4</v>
      </c>
      <c r="D152" s="22" t="str">
        <f>IF(F152="12월",(E152+1)&amp;VLOOKUP(F152,인덱스!$C:$D,2,0),E152&amp;VLOOKUP(F152,인덱스!$C:$D,2,0))</f>
        <v>20305</v>
      </c>
      <c r="E152" s="5" t="str">
        <f t="shared" si="78"/>
        <v>2030</v>
      </c>
      <c r="F152" s="5" t="str">
        <f t="shared" si="79"/>
        <v>4월</v>
      </c>
      <c r="G152" s="37" t="str">
        <f>B152&amp;"."&amp;VLOOKUP(F152,인덱스!$A:$B,2,0)</f>
        <v>30.04</v>
      </c>
      <c r="H152" s="14">
        <f>IFERROR(VLOOKUP(G152,#REF!,2,0),)</f>
        <v>0</v>
      </c>
      <c r="I152" s="38">
        <f t="shared" ca="1" si="80"/>
        <v>276.4185467823574</v>
      </c>
      <c r="J152" s="38">
        <f t="shared" ca="1" si="81"/>
        <v>278.93709254528522</v>
      </c>
      <c r="K152" s="39">
        <f t="shared" ca="1" si="82"/>
        <v>369.67692684318911</v>
      </c>
      <c r="L152" s="39">
        <f t="shared" ca="1" si="83"/>
        <v>306.94264110593451</v>
      </c>
      <c r="M152" s="39">
        <f t="shared" ca="1" si="84"/>
        <v>463.3963427680589</v>
      </c>
      <c r="N152" s="5"/>
      <c r="O152" s="5"/>
      <c r="P152" s="5"/>
      <c r="Q152" s="8">
        <f ca="1">IFERROR(__xludf.DUMMYFUNCTION("iferror(index('지수RAW'!$V$7:$V$12040,MATCH($D152,'지수RAW'!$R$7:$R$12040,0)-1,1),GOOGLEFINANCE(Q$2))"),6820.6)</f>
        <v>6820.6</v>
      </c>
      <c r="R152" s="5">
        <f ca="1">IFERROR(__xludf.DUMMYFUNCTION("iferror(index('지수RAW'!$F$7:$F$12040,MATCH($D152,'지수RAW'!$B$7:$B$12040,0)-1,1),GOOGLEFINANCE(R$2))"),7457.69)</f>
        <v>7457.69</v>
      </c>
      <c r="S152" s="9">
        <f ca="1">IFERROR(__xludf.DUMMYFUNCTION("iferror(index('지수RAW'!$N$7:$N$12040,MATCH($D152,'지수RAW'!$J$7:$J$12040,0)-1,1),GOOGLEFINANCE(S$2))"),25520.24)</f>
        <v>25520.240000000002</v>
      </c>
      <c r="T152" s="5"/>
      <c r="U152" s="29">
        <f t="array" aca="1" ref="U152" ca="1">IFERROR(INDEX(지수RAW!$AT$7:$AT$12040,MATCH($D152,지수RAW!$AP$7:$AP$12040,0)-1,1),지수RAW!$AU$4)</f>
        <v>4018.8</v>
      </c>
      <c r="V152" s="29">
        <f ca="1">IFERROR(__xludf.DUMMYFUNCTION("iferror(index('지수RAW'!$AL$7:$AL$12040,MATCH($D152,'지수RAW'!$AH$7:$AH$12040,0)-1,1),GOOGLEFINANCE(V$2))"),64324)</f>
        <v>64324</v>
      </c>
      <c r="W152" s="30">
        <f ca="1">IFERROR(__xludf.DUMMYFUNCTION("iferror(index('지수RAW'!$AD$7:$AD$12040,MATCH($D152,'지수RAW'!$Z$7:$Z$12040,0)-1,1),GOOGLEFINANCE(W$2))"),1487.77)</f>
        <v>1487.77</v>
      </c>
      <c r="X152" s="36">
        <f t="shared" ca="1" si="72"/>
        <v>11095327.451299999</v>
      </c>
      <c r="Y152" s="36">
        <f t="shared" ca="1" si="73"/>
        <v>37968247.4648</v>
      </c>
      <c r="Z152" s="36">
        <f t="shared" ca="1" si="74"/>
        <v>5979050.0760000004</v>
      </c>
      <c r="AA152" s="36">
        <f t="shared" ca="1" si="75"/>
        <v>95699317.480000004</v>
      </c>
      <c r="AB152" s="12"/>
      <c r="AC152" s="38">
        <f t="shared" ca="1" si="85"/>
        <v>139.55650191826049</v>
      </c>
      <c r="AD152" s="38">
        <f t="shared" ca="1" si="86"/>
        <v>389.27484890870141</v>
      </c>
      <c r="AE152" s="38">
        <f t="shared" ca="1" si="87"/>
        <v>515.9081875012813</v>
      </c>
      <c r="AF152" s="38">
        <f t="shared" ca="1" si="88"/>
        <v>428.35841282296337</v>
      </c>
      <c r="AG152" s="38">
        <f t="shared" ca="1" si="89"/>
        <v>646.69972598425568</v>
      </c>
    </row>
    <row r="153" spans="1:33" ht="12.75" customHeight="1" x14ac:dyDescent="0.35">
      <c r="A153" s="5"/>
      <c r="B153" s="22">
        <f t="shared" si="76"/>
        <v>30</v>
      </c>
      <c r="C153" s="22">
        <f t="shared" si="77"/>
        <v>5</v>
      </c>
      <c r="D153" s="22" t="str">
        <f>IF(F153="12월",(E153+1)&amp;VLOOKUP(F153,인덱스!$C:$D,2,0),E153&amp;VLOOKUP(F153,인덱스!$C:$D,2,0))</f>
        <v>20306</v>
      </c>
      <c r="E153" s="5" t="str">
        <f t="shared" si="78"/>
        <v>2030</v>
      </c>
      <c r="F153" s="5" t="str">
        <f t="shared" si="79"/>
        <v>5월</v>
      </c>
      <c r="G153" s="37" t="str">
        <f>B153&amp;"."&amp;VLOOKUP(F153,인덱스!$A:$B,2,0)</f>
        <v>30.05</v>
      </c>
      <c r="H153" s="14">
        <f>IFERROR(VLOOKUP(G153,#REF!,2,0),)</f>
        <v>0</v>
      </c>
      <c r="I153" s="38">
        <f t="shared" ca="1" si="80"/>
        <v>276.4185467823574</v>
      </c>
      <c r="J153" s="38">
        <f t="shared" ca="1" si="81"/>
        <v>278.93709254528522</v>
      </c>
      <c r="K153" s="39">
        <f t="shared" ca="1" si="82"/>
        <v>369.67692684318911</v>
      </c>
      <c r="L153" s="39">
        <f t="shared" ca="1" si="83"/>
        <v>306.94264110593451</v>
      </c>
      <c r="M153" s="39">
        <f t="shared" ca="1" si="84"/>
        <v>463.3963427680589</v>
      </c>
      <c r="N153" s="5"/>
      <c r="O153" s="5"/>
      <c r="P153" s="5"/>
      <c r="Q153" s="8">
        <f ca="1">IFERROR(__xludf.DUMMYFUNCTION("iferror(index('지수RAW'!$V$7:$V$12040,MATCH($D153,'지수RAW'!$R$7:$R$12040,0)-1,1),GOOGLEFINANCE(Q$2))"),6820.6)</f>
        <v>6820.6</v>
      </c>
      <c r="R153" s="5">
        <f ca="1">IFERROR(__xludf.DUMMYFUNCTION("iferror(index('지수RAW'!$F$7:$F$12040,MATCH($D153,'지수RAW'!$B$7:$B$12040,0)-1,1),GOOGLEFINANCE(R$2))"),7457.69)</f>
        <v>7457.69</v>
      </c>
      <c r="S153" s="9">
        <f ca="1">IFERROR(__xludf.DUMMYFUNCTION("iferror(index('지수RAW'!$N$7:$N$12040,MATCH($D153,'지수RAW'!$J$7:$J$12040,0)-1,1),GOOGLEFINANCE(S$2))"),25520.24)</f>
        <v>25520.240000000002</v>
      </c>
      <c r="T153" s="5"/>
      <c r="U153" s="29">
        <f t="array" aca="1" ref="U153" ca="1">IFERROR(INDEX(지수RAW!$AT$7:$AT$12040,MATCH($D153,지수RAW!$AP$7:$AP$12040,0)-1,1),지수RAW!$AU$4)</f>
        <v>4018.8</v>
      </c>
      <c r="V153" s="29">
        <f ca="1">IFERROR(__xludf.DUMMYFUNCTION("iferror(index('지수RAW'!$AL$7:$AL$12040,MATCH($D153,'지수RAW'!$AH$7:$AH$12040,0)-1,1),GOOGLEFINANCE(V$2))"),64324)</f>
        <v>64324</v>
      </c>
      <c r="W153" s="30">
        <f ca="1">IFERROR(__xludf.DUMMYFUNCTION("iferror(index('지수RAW'!$AD$7:$AD$12040,MATCH($D153,'지수RAW'!$Z$7:$Z$12040,0)-1,1),GOOGLEFINANCE(W$2))"),1487.77)</f>
        <v>1487.77</v>
      </c>
      <c r="X153" s="36">
        <f t="shared" ca="1" si="72"/>
        <v>11095327.451299999</v>
      </c>
      <c r="Y153" s="36">
        <f t="shared" ca="1" si="73"/>
        <v>37968247.4648</v>
      </c>
      <c r="Z153" s="36">
        <f t="shared" ca="1" si="74"/>
        <v>5979050.0760000004</v>
      </c>
      <c r="AA153" s="36">
        <f t="shared" ca="1" si="75"/>
        <v>95699317.480000004</v>
      </c>
      <c r="AB153" s="12"/>
      <c r="AC153" s="38">
        <f t="shared" ca="1" si="85"/>
        <v>139.55650191826049</v>
      </c>
      <c r="AD153" s="38">
        <f t="shared" ca="1" si="86"/>
        <v>389.27484890870141</v>
      </c>
      <c r="AE153" s="38">
        <f t="shared" ca="1" si="87"/>
        <v>515.9081875012813</v>
      </c>
      <c r="AF153" s="38">
        <f t="shared" ca="1" si="88"/>
        <v>428.35841282296337</v>
      </c>
      <c r="AG153" s="38">
        <f t="shared" ca="1" si="89"/>
        <v>646.69972598425568</v>
      </c>
    </row>
    <row r="154" spans="1:33" ht="12.75" customHeight="1" x14ac:dyDescent="0.35">
      <c r="A154" s="5"/>
      <c r="B154" s="22">
        <f t="shared" si="76"/>
        <v>30</v>
      </c>
      <c r="C154" s="22">
        <f t="shared" si="77"/>
        <v>6</v>
      </c>
      <c r="D154" s="22" t="str">
        <f>IF(F154="12월",(E154+1)&amp;VLOOKUP(F154,인덱스!$C:$D,2,0),E154&amp;VLOOKUP(F154,인덱스!$C:$D,2,0))</f>
        <v>20307</v>
      </c>
      <c r="E154" s="5" t="str">
        <f t="shared" si="78"/>
        <v>2030</v>
      </c>
      <c r="F154" s="5" t="str">
        <f t="shared" si="79"/>
        <v>6월</v>
      </c>
      <c r="G154" s="37" t="str">
        <f>B154&amp;"."&amp;VLOOKUP(F154,인덱스!$A:$B,2,0)</f>
        <v>30.06</v>
      </c>
      <c r="H154" s="14">
        <f>IFERROR(VLOOKUP(G154,#REF!,2,0),)</f>
        <v>0</v>
      </c>
      <c r="I154" s="38">
        <f t="shared" ca="1" si="80"/>
        <v>276.4185467823574</v>
      </c>
      <c r="J154" s="38">
        <f t="shared" ca="1" si="81"/>
        <v>278.93709254528522</v>
      </c>
      <c r="K154" s="39">
        <f t="shared" ca="1" si="82"/>
        <v>369.67692684318911</v>
      </c>
      <c r="L154" s="39">
        <f t="shared" ca="1" si="83"/>
        <v>306.94264110593451</v>
      </c>
      <c r="M154" s="39">
        <f t="shared" ca="1" si="84"/>
        <v>463.3963427680589</v>
      </c>
      <c r="N154" s="5"/>
      <c r="O154" s="5"/>
      <c r="P154" s="5"/>
      <c r="Q154" s="8">
        <f ca="1">IFERROR(__xludf.DUMMYFUNCTION("iferror(index('지수RAW'!$V$7:$V$12040,MATCH($D154,'지수RAW'!$R$7:$R$12040,0)-1,1),GOOGLEFINANCE(Q$2))"),6820.6)</f>
        <v>6820.6</v>
      </c>
      <c r="R154" s="5">
        <f ca="1">IFERROR(__xludf.DUMMYFUNCTION("iferror(index('지수RAW'!$F$7:$F$12040,MATCH($D154,'지수RAW'!$B$7:$B$12040,0)-1,1),GOOGLEFINANCE(R$2))"),7457.69)</f>
        <v>7457.69</v>
      </c>
      <c r="S154" s="9">
        <f ca="1">IFERROR(__xludf.DUMMYFUNCTION("iferror(index('지수RAW'!$N$7:$N$12040,MATCH($D154,'지수RAW'!$J$7:$J$12040,0)-1,1),GOOGLEFINANCE(S$2))"),25520.24)</f>
        <v>25520.240000000002</v>
      </c>
      <c r="T154" s="5"/>
      <c r="U154" s="29">
        <f t="array" aca="1" ref="U154" ca="1">IFERROR(INDEX(지수RAW!$AT$7:$AT$12040,MATCH($D154,지수RAW!$AP$7:$AP$12040,0)-1,1),지수RAW!$AU$4)</f>
        <v>4018.8</v>
      </c>
      <c r="V154" s="29">
        <f ca="1">IFERROR(__xludf.DUMMYFUNCTION("iferror(index('지수RAW'!$AL$7:$AL$12040,MATCH($D154,'지수RAW'!$AH$7:$AH$12040,0)-1,1),GOOGLEFINANCE(V$2))"),64324)</f>
        <v>64324</v>
      </c>
      <c r="W154" s="30">
        <f ca="1">IFERROR(__xludf.DUMMYFUNCTION("iferror(index('지수RAW'!$AD$7:$AD$12040,MATCH($D154,'지수RAW'!$Z$7:$Z$12040,0)-1,1),GOOGLEFINANCE(W$2))"),1487.77)</f>
        <v>1487.77</v>
      </c>
      <c r="X154" s="36">
        <f t="shared" ca="1" si="72"/>
        <v>11095327.451299999</v>
      </c>
      <c r="Y154" s="36">
        <f t="shared" ca="1" si="73"/>
        <v>37968247.4648</v>
      </c>
      <c r="Z154" s="36">
        <f t="shared" ca="1" si="74"/>
        <v>5979050.0760000004</v>
      </c>
      <c r="AA154" s="36">
        <f t="shared" ca="1" si="75"/>
        <v>95699317.480000004</v>
      </c>
      <c r="AB154" s="12"/>
      <c r="AC154" s="38">
        <f t="shared" ca="1" si="85"/>
        <v>139.55650191826049</v>
      </c>
      <c r="AD154" s="38">
        <f t="shared" ca="1" si="86"/>
        <v>389.27484890870141</v>
      </c>
      <c r="AE154" s="38">
        <f t="shared" ca="1" si="87"/>
        <v>515.9081875012813</v>
      </c>
      <c r="AF154" s="38">
        <f t="shared" ca="1" si="88"/>
        <v>428.35841282296337</v>
      </c>
      <c r="AG154" s="38">
        <f t="shared" ca="1" si="89"/>
        <v>646.69972598425568</v>
      </c>
    </row>
    <row r="155" spans="1:33" ht="12.75" customHeight="1" x14ac:dyDescent="0.35">
      <c r="A155" s="5"/>
      <c r="B155" s="22">
        <f t="shared" si="76"/>
        <v>30</v>
      </c>
      <c r="C155" s="22">
        <f t="shared" si="77"/>
        <v>7</v>
      </c>
      <c r="D155" s="22" t="str">
        <f>IF(F155="12월",(E155+1)&amp;VLOOKUP(F155,인덱스!$C:$D,2,0),E155&amp;VLOOKUP(F155,인덱스!$C:$D,2,0))</f>
        <v>20308</v>
      </c>
      <c r="E155" s="5" t="str">
        <f t="shared" si="78"/>
        <v>2030</v>
      </c>
      <c r="F155" s="5" t="str">
        <f t="shared" si="79"/>
        <v>7월</v>
      </c>
      <c r="G155" s="37" t="str">
        <f>B155&amp;"."&amp;VLOOKUP(F155,인덱스!$A:$B,2,0)</f>
        <v>30.07</v>
      </c>
      <c r="H155" s="14">
        <f>IFERROR(VLOOKUP(G155,#REF!,2,0),)</f>
        <v>0</v>
      </c>
      <c r="I155" s="38">
        <f t="shared" ca="1" si="80"/>
        <v>276.4185467823574</v>
      </c>
      <c r="J155" s="38">
        <f t="shared" ca="1" si="81"/>
        <v>278.93709254528522</v>
      </c>
      <c r="K155" s="39">
        <f t="shared" ca="1" si="82"/>
        <v>369.67692684318911</v>
      </c>
      <c r="L155" s="39">
        <f t="shared" ca="1" si="83"/>
        <v>306.94264110593451</v>
      </c>
      <c r="M155" s="39">
        <f t="shared" ca="1" si="84"/>
        <v>463.3963427680589</v>
      </c>
      <c r="N155" s="5"/>
      <c r="O155" s="5"/>
      <c r="P155" s="5"/>
      <c r="Q155" s="8">
        <f ca="1">IFERROR(__xludf.DUMMYFUNCTION("iferror(index('지수RAW'!$V$7:$V$12040,MATCH($D155,'지수RAW'!$R$7:$R$12040,0)-1,1),GOOGLEFINANCE(Q$2))"),6820.6)</f>
        <v>6820.6</v>
      </c>
      <c r="R155" s="5">
        <f ca="1">IFERROR(__xludf.DUMMYFUNCTION("iferror(index('지수RAW'!$F$7:$F$12040,MATCH($D155,'지수RAW'!$B$7:$B$12040,0)-1,1),GOOGLEFINANCE(R$2))"),7457.69)</f>
        <v>7457.69</v>
      </c>
      <c r="S155" s="9">
        <f ca="1">IFERROR(__xludf.DUMMYFUNCTION("iferror(index('지수RAW'!$N$7:$N$12040,MATCH($D155,'지수RAW'!$J$7:$J$12040,0)-1,1),GOOGLEFINANCE(S$2))"),25520.24)</f>
        <v>25520.240000000002</v>
      </c>
      <c r="T155" s="5"/>
      <c r="U155" s="29">
        <f t="array" aca="1" ref="U155" ca="1">IFERROR(INDEX(지수RAW!$AT$7:$AT$12040,MATCH($D155,지수RAW!$AP$7:$AP$12040,0)-1,1),지수RAW!$AU$4)</f>
        <v>4018.8</v>
      </c>
      <c r="V155" s="29">
        <f ca="1">IFERROR(__xludf.DUMMYFUNCTION("iferror(index('지수RAW'!$AL$7:$AL$12040,MATCH($D155,'지수RAW'!$AH$7:$AH$12040,0)-1,1),GOOGLEFINANCE(V$2))"),64324)</f>
        <v>64324</v>
      </c>
      <c r="W155" s="30">
        <f ca="1">IFERROR(__xludf.DUMMYFUNCTION("iferror(index('지수RAW'!$AD$7:$AD$12040,MATCH($D155,'지수RAW'!$Z$7:$Z$12040,0)-1,1),GOOGLEFINANCE(W$2))"),1487.77)</f>
        <v>1487.77</v>
      </c>
      <c r="X155" s="36">
        <f t="shared" ca="1" si="72"/>
        <v>11095327.451299999</v>
      </c>
      <c r="Y155" s="36">
        <f t="shared" ca="1" si="73"/>
        <v>37968247.4648</v>
      </c>
      <c r="Z155" s="36">
        <f t="shared" ca="1" si="74"/>
        <v>5979050.0760000004</v>
      </c>
      <c r="AA155" s="36">
        <f t="shared" ca="1" si="75"/>
        <v>95699317.480000004</v>
      </c>
      <c r="AB155" s="12"/>
      <c r="AC155" s="38">
        <f t="shared" ca="1" si="85"/>
        <v>139.55650191826049</v>
      </c>
      <c r="AD155" s="38">
        <f t="shared" ca="1" si="86"/>
        <v>389.27484890870141</v>
      </c>
      <c r="AE155" s="38">
        <f t="shared" ca="1" si="87"/>
        <v>515.9081875012813</v>
      </c>
      <c r="AF155" s="38">
        <f t="shared" ca="1" si="88"/>
        <v>428.35841282296337</v>
      </c>
      <c r="AG155" s="38">
        <f t="shared" ca="1" si="89"/>
        <v>646.69972598425568</v>
      </c>
    </row>
    <row r="156" spans="1:33" ht="12.75" customHeight="1" x14ac:dyDescent="0.3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 spans="1:33" ht="12.75" customHeight="1" x14ac:dyDescent="0.3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 spans="1:33" ht="12.75" customHeight="1" x14ac:dyDescent="0.3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 spans="1:33" ht="12.75" customHeight="1" x14ac:dyDescent="0.3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 spans="1:33" ht="12.75" customHeight="1" x14ac:dyDescent="0.3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 spans="1:33" ht="12.75" customHeight="1" x14ac:dyDescent="0.3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 spans="1:33" ht="12.75" customHeight="1" x14ac:dyDescent="0.3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 spans="1:33" ht="12.75" customHeight="1" x14ac:dyDescent="0.3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 spans="1:33" ht="12.75" customHeight="1" x14ac:dyDescent="0.3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 spans="1:33" ht="12.75" customHeight="1" x14ac:dyDescent="0.3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 spans="1:33" ht="12.75" customHeight="1" x14ac:dyDescent="0.3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 spans="1:33" ht="12.75" customHeight="1" x14ac:dyDescent="0.3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 spans="1:33" ht="12.75" customHeight="1" x14ac:dyDescent="0.3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 spans="1:33" ht="12.75" customHeight="1" x14ac:dyDescent="0.3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 spans="1:33" ht="12.75" customHeight="1" x14ac:dyDescent="0.3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 spans="1:33" ht="12.75" customHeight="1" x14ac:dyDescent="0.3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 spans="1:33" ht="12.75" customHeight="1" x14ac:dyDescent="0.3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 spans="1:33" ht="12.75" customHeight="1" x14ac:dyDescent="0.3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 spans="1:33" ht="12.75" customHeight="1" x14ac:dyDescent="0.3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 spans="1:33" ht="12.75" customHeight="1" x14ac:dyDescent="0.3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 spans="1:33" ht="12.75" customHeight="1" x14ac:dyDescent="0.3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 spans="1:33" ht="12.75" customHeight="1" x14ac:dyDescent="0.3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 spans="1:33" ht="12.75" customHeight="1" x14ac:dyDescent="0.3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 spans="1:33" ht="12.75" customHeight="1" x14ac:dyDescent="0.3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 spans="1:33" ht="12.75" customHeight="1" x14ac:dyDescent="0.3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 spans="1:33" ht="12.75" customHeight="1" x14ac:dyDescent="0.3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 spans="1:33" ht="12.75" customHeight="1" x14ac:dyDescent="0.3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 spans="1:33" ht="12.75" customHeight="1" x14ac:dyDescent="0.3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 spans="1:33" ht="12.75" customHeight="1" x14ac:dyDescent="0.3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 spans="1:33" ht="12.75" customHeight="1" x14ac:dyDescent="0.3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 spans="1:33" ht="12.75" customHeight="1" x14ac:dyDescent="0.3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 spans="1:33" ht="12.75" customHeight="1" x14ac:dyDescent="0.3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 spans="1:33" ht="12.75" customHeight="1" x14ac:dyDescent="0.3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 spans="1:33" ht="12.75" customHeight="1" x14ac:dyDescent="0.3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 spans="1:33" ht="12.75" customHeight="1" x14ac:dyDescent="0.3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 spans="1:33" ht="12.75" customHeight="1" x14ac:dyDescent="0.3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 spans="1:33" ht="12.75" customHeight="1" x14ac:dyDescent="0.3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 spans="1:33" ht="12.75" customHeight="1" x14ac:dyDescent="0.3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 spans="1:33" ht="12.75" customHeight="1" x14ac:dyDescent="0.3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 spans="1:33" ht="12.75" customHeight="1" x14ac:dyDescent="0.3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 spans="1:33" ht="12.75" customHeight="1" x14ac:dyDescent="0.3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 spans="1:33" ht="12.75" customHeight="1" x14ac:dyDescent="0.3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 spans="1:33" ht="12.75" customHeight="1" x14ac:dyDescent="0.3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 spans="1:33" ht="12.75" customHeight="1" x14ac:dyDescent="0.3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 spans="1:33" ht="12.75" customHeight="1" x14ac:dyDescent="0.3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 spans="1:33" ht="12.75" customHeight="1" x14ac:dyDescent="0.3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 spans="1:33" ht="12.75" customHeight="1" x14ac:dyDescent="0.3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 spans="1:33" ht="12.75" customHeight="1" x14ac:dyDescent="0.3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 spans="1:33" ht="12.75" customHeight="1" x14ac:dyDescent="0.3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 spans="1:33" ht="12.75" customHeight="1" x14ac:dyDescent="0.3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 spans="1:33" ht="12.75" customHeight="1" x14ac:dyDescent="0.3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 spans="1:33" ht="12.75" customHeight="1" x14ac:dyDescent="0.3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 spans="1:33" ht="12.75" customHeight="1" x14ac:dyDescent="0.3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 spans="1:33" ht="12.75" customHeight="1" x14ac:dyDescent="0.3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 spans="1:33" ht="12.75" customHeight="1" x14ac:dyDescent="0.3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 spans="1:33" ht="12.75" customHeight="1" x14ac:dyDescent="0.3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 spans="1:33" ht="12.75" customHeight="1" x14ac:dyDescent="0.3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 spans="1:33" ht="12.75" customHeight="1" x14ac:dyDescent="0.3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 spans="1:33" ht="12.75" customHeight="1" x14ac:dyDescent="0.3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 spans="1:33" ht="12.75" customHeight="1" x14ac:dyDescent="0.3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 spans="1:33" ht="12.75" customHeight="1" x14ac:dyDescent="0.3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 spans="1:33" ht="12.75" customHeight="1" x14ac:dyDescent="0.3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 spans="1:33" ht="12.75" customHeight="1" x14ac:dyDescent="0.3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 spans="1:33" ht="12.75" customHeight="1" x14ac:dyDescent="0.3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 spans="1:33" ht="12.75" customHeight="1" x14ac:dyDescent="0.3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 spans="1:33" ht="12.75" customHeight="1" x14ac:dyDescent="0.3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 spans="1:33" ht="12.75" customHeight="1" x14ac:dyDescent="0.3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 spans="1:33" ht="12.75" customHeight="1" x14ac:dyDescent="0.3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 spans="1:33" ht="12.75" customHeight="1" x14ac:dyDescent="0.3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 spans="1:33" ht="12.75" customHeight="1" x14ac:dyDescent="0.3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 spans="1:33" ht="12.75" customHeight="1" x14ac:dyDescent="0.3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 spans="1:33" ht="12.75" customHeight="1" x14ac:dyDescent="0.3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 spans="1:33" ht="12.75" customHeight="1" x14ac:dyDescent="0.3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 spans="1:33" ht="12.75" customHeight="1" x14ac:dyDescent="0.3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 spans="1:33" ht="12.75" customHeight="1" x14ac:dyDescent="0.3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 spans="1:33" ht="12.75" customHeight="1" x14ac:dyDescent="0.3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 spans="1:33" ht="12.75" customHeight="1" x14ac:dyDescent="0.3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 spans="1:33" ht="12.75" customHeight="1" x14ac:dyDescent="0.3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 spans="1:33" ht="12.75" customHeight="1" x14ac:dyDescent="0.3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 spans="1:33" ht="12.75" customHeight="1" x14ac:dyDescent="0.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 spans="1:33" ht="12.75" customHeight="1" x14ac:dyDescent="0.3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 spans="1:33" ht="12.75" customHeight="1" x14ac:dyDescent="0.3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 spans="1:33" ht="12.75" customHeight="1" x14ac:dyDescent="0.3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 spans="1:33" ht="12.75" customHeight="1" x14ac:dyDescent="0.3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 spans="1:33" ht="12.75" customHeight="1" x14ac:dyDescent="0.3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 spans="1:33" ht="12.75" customHeight="1" x14ac:dyDescent="0.3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 spans="1:33" ht="12.75" customHeight="1" x14ac:dyDescent="0.3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 spans="1:33" ht="12.75" customHeight="1" x14ac:dyDescent="0.3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 spans="1:33" ht="12.75" customHeight="1" x14ac:dyDescent="0.3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 spans="1:33" ht="12.75" customHeight="1" x14ac:dyDescent="0.3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 spans="1:33" ht="12.75" customHeight="1" x14ac:dyDescent="0.3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 spans="1:33" ht="12.75" customHeight="1" x14ac:dyDescent="0.3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 spans="1:33" ht="12.75" customHeight="1" x14ac:dyDescent="0.3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 spans="1:33" ht="12.75" customHeight="1" x14ac:dyDescent="0.3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 spans="1:33" ht="12.75" customHeight="1" x14ac:dyDescent="0.3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 spans="1:33" ht="12.75" customHeight="1" x14ac:dyDescent="0.3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 spans="1:33" ht="12.75" customHeight="1" x14ac:dyDescent="0.3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 spans="1:33" ht="12.75" customHeight="1" x14ac:dyDescent="0.3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 spans="1:33" ht="12.75" customHeight="1" x14ac:dyDescent="0.3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 spans="1:33" ht="12.75" customHeight="1" x14ac:dyDescent="0.3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 spans="1:33" ht="12.75" customHeight="1" x14ac:dyDescent="0.3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 spans="1:33" ht="12.75" customHeight="1" x14ac:dyDescent="0.3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 spans="1:33" ht="12.75" customHeight="1" x14ac:dyDescent="0.3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 spans="1:33" ht="12.75" customHeight="1" x14ac:dyDescent="0.3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 spans="1:33" ht="12.75" customHeight="1" x14ac:dyDescent="0.3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 spans="1:33" ht="12.75" customHeight="1" x14ac:dyDescent="0.3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 spans="1:33" ht="12.75" customHeight="1" x14ac:dyDescent="0.3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 spans="1:33" ht="12.75" customHeight="1" x14ac:dyDescent="0.3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 spans="1:33" ht="12.75" customHeight="1" x14ac:dyDescent="0.3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 spans="1:33" ht="12.75" customHeight="1" x14ac:dyDescent="0.3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 spans="1:33" ht="12.75" customHeight="1" x14ac:dyDescent="0.3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 spans="1:33" ht="12.75" customHeight="1" x14ac:dyDescent="0.3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 spans="1:33" ht="12.75" customHeight="1" x14ac:dyDescent="0.3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 spans="1:33" ht="12.75" customHeight="1" x14ac:dyDescent="0.3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 spans="1:33" ht="12.75" customHeight="1" x14ac:dyDescent="0.3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 spans="1:33" ht="12.75" customHeight="1" x14ac:dyDescent="0.3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 spans="1:33" ht="12.75" customHeight="1" x14ac:dyDescent="0.3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 spans="1:33" ht="12.75" customHeight="1" x14ac:dyDescent="0.3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 spans="1:33" ht="12.75" customHeight="1" x14ac:dyDescent="0.3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 spans="1:33" ht="12.75" customHeight="1" x14ac:dyDescent="0.3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 spans="1:33" ht="12.75" customHeight="1" x14ac:dyDescent="0.3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 spans="1:33" ht="12.75" customHeight="1" x14ac:dyDescent="0.3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 spans="1:33" ht="12.75" customHeight="1" x14ac:dyDescent="0.3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 spans="1:33" ht="12.75" customHeight="1" x14ac:dyDescent="0.3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 spans="1:33" ht="12.75" customHeight="1" x14ac:dyDescent="0.3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 spans="1:33" ht="12.75" customHeight="1" x14ac:dyDescent="0.3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 spans="1:33" ht="12.75" customHeight="1" x14ac:dyDescent="0.3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 spans="1:33" ht="12.75" customHeight="1" x14ac:dyDescent="0.3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 spans="1:33" ht="12.75" customHeight="1" x14ac:dyDescent="0.3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 spans="1:33" ht="12.75" customHeight="1" x14ac:dyDescent="0.3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 spans="1:33" ht="12.75" customHeight="1" x14ac:dyDescent="0.3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 spans="1:33" ht="12.75" customHeight="1" x14ac:dyDescent="0.3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 spans="1:33" ht="12.75" customHeight="1" x14ac:dyDescent="0.3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 spans="1:33" ht="12.75" customHeight="1" x14ac:dyDescent="0.3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 spans="1:33" ht="12.75" customHeight="1" x14ac:dyDescent="0.3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 spans="1:33" ht="12.75" customHeight="1" x14ac:dyDescent="0.3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 spans="1:33" ht="12.75" customHeight="1" x14ac:dyDescent="0.3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 spans="1:33" ht="12.75" customHeight="1" x14ac:dyDescent="0.3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 spans="1:33" ht="12.75" customHeight="1" x14ac:dyDescent="0.3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 spans="1:33" ht="12.75" customHeight="1" x14ac:dyDescent="0.3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 spans="1:33" ht="12.75" customHeight="1" x14ac:dyDescent="0.3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 spans="1:33" ht="12.75" customHeight="1" x14ac:dyDescent="0.3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 spans="1:33" ht="12.75" customHeight="1" x14ac:dyDescent="0.3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 spans="1:33" ht="12.75" customHeight="1" x14ac:dyDescent="0.3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 spans="1:33" ht="12.75" customHeight="1" x14ac:dyDescent="0.3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 spans="1:33" ht="12.75" customHeight="1" x14ac:dyDescent="0.3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 spans="1:33" ht="12.75" customHeight="1" x14ac:dyDescent="0.3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 spans="1:33" ht="12.75" customHeight="1" x14ac:dyDescent="0.3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 spans="1:33" ht="12.75" customHeight="1" x14ac:dyDescent="0.3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 spans="1:33" ht="12.75" customHeight="1" x14ac:dyDescent="0.3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 spans="1:33" ht="12.75" customHeight="1" x14ac:dyDescent="0.3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 spans="1:33" ht="12.75" customHeight="1" x14ac:dyDescent="0.3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 spans="1:33" ht="12.75" customHeight="1" x14ac:dyDescent="0.3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 spans="1:33" ht="12.75" customHeight="1" x14ac:dyDescent="0.3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 spans="1:33" ht="12.75" customHeight="1" x14ac:dyDescent="0.3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 spans="1:33" ht="12.75" customHeight="1" x14ac:dyDescent="0.3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 spans="1:33" ht="12.75" customHeight="1" x14ac:dyDescent="0.3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 spans="1:33" ht="12.75" customHeight="1" x14ac:dyDescent="0.3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 spans="1:33" ht="12.75" customHeight="1" x14ac:dyDescent="0.3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 spans="1:33" ht="12.75" customHeight="1" x14ac:dyDescent="0.3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 spans="1:33" ht="12.75" customHeight="1" x14ac:dyDescent="0.3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 spans="1:33" ht="12.75" customHeight="1" x14ac:dyDescent="0.3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 spans="1:33" ht="12.75" customHeight="1" x14ac:dyDescent="0.3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 spans="1:33" ht="12.75" customHeight="1" x14ac:dyDescent="0.3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 spans="1:33" ht="12.75" customHeight="1" x14ac:dyDescent="0.3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 spans="1:33" ht="12.75" customHeight="1" x14ac:dyDescent="0.3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 spans="1:33" ht="12.75" customHeight="1" x14ac:dyDescent="0.3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 spans="1:33" ht="12.75" customHeight="1" x14ac:dyDescent="0.3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 spans="1:33" ht="12.75" customHeight="1" x14ac:dyDescent="0.3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 spans="1:33" ht="12.75" customHeight="1" x14ac:dyDescent="0.3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 spans="1:33" ht="12.75" customHeight="1" x14ac:dyDescent="0.3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 spans="1:33" ht="12.75" customHeight="1" x14ac:dyDescent="0.3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 spans="1:33" ht="12.75" customHeight="1" x14ac:dyDescent="0.3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 spans="1:33" ht="12.75" customHeight="1" x14ac:dyDescent="0.3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 spans="1:33" ht="12.75" customHeight="1" x14ac:dyDescent="0.3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 spans="1:33" ht="12.75" customHeight="1" x14ac:dyDescent="0.3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 spans="1:33" ht="12.75" customHeight="1" x14ac:dyDescent="0.3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 spans="1:33" ht="12.75" customHeight="1" x14ac:dyDescent="0.3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 spans="1:33" ht="12.75" customHeight="1" x14ac:dyDescent="0.3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 spans="1:33" ht="12.75" customHeight="1" x14ac:dyDescent="0.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 spans="1:33" ht="12.75" customHeight="1" x14ac:dyDescent="0.3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 spans="1:33" ht="12.75" customHeight="1" x14ac:dyDescent="0.3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 spans="1:33" ht="12.75" customHeight="1" x14ac:dyDescent="0.3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 spans="1:33" ht="12.75" customHeight="1" x14ac:dyDescent="0.3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 spans="1:33" ht="12.75" customHeight="1" x14ac:dyDescent="0.3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 spans="1:33" ht="12.75" customHeight="1" x14ac:dyDescent="0.3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 spans="1:33" ht="12.75" customHeight="1" x14ac:dyDescent="0.3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 spans="1:33" ht="12.75" customHeight="1" x14ac:dyDescent="0.3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 spans="1:33" ht="12.75" customHeight="1" x14ac:dyDescent="0.3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 spans="1:33" ht="12.75" customHeight="1" x14ac:dyDescent="0.3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 spans="1:33" ht="12.75" customHeight="1" x14ac:dyDescent="0.3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 spans="1:33" ht="12.75" customHeight="1" x14ac:dyDescent="0.3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 spans="1:33" ht="12.75" customHeight="1" x14ac:dyDescent="0.3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 spans="1:33" ht="12.75" customHeight="1" x14ac:dyDescent="0.3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 spans="1:33" ht="12.75" customHeight="1" x14ac:dyDescent="0.3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 spans="1:33" ht="12.75" customHeight="1" x14ac:dyDescent="0.3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 spans="1:33" ht="12.75" customHeight="1" x14ac:dyDescent="0.3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 spans="1:33" ht="12.75" customHeight="1" x14ac:dyDescent="0.3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 spans="1:33" ht="12.75" customHeight="1" x14ac:dyDescent="0.3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 spans="1:33" ht="12.75" customHeight="1" x14ac:dyDescent="0.3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 spans="1:33" ht="12.75" customHeight="1" x14ac:dyDescent="0.3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 spans="1:33" ht="12.75" customHeight="1" x14ac:dyDescent="0.3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 spans="1:33" ht="12.75" customHeight="1" x14ac:dyDescent="0.3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 spans="1:33" ht="12.75" customHeight="1" x14ac:dyDescent="0.3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 spans="1:33" ht="12.75" customHeight="1" x14ac:dyDescent="0.3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 spans="1:33" ht="12.75" customHeight="1" x14ac:dyDescent="0.3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 spans="1:33" ht="12.75" customHeight="1" x14ac:dyDescent="0.3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 spans="1:33" ht="12.75" customHeight="1" x14ac:dyDescent="0.3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 spans="1:33" ht="12.75" customHeight="1" x14ac:dyDescent="0.3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 spans="1:33" ht="12.75" customHeight="1" x14ac:dyDescent="0.3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 spans="1:33" ht="12.75" customHeight="1" x14ac:dyDescent="0.3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 spans="1:33" ht="12.75" customHeight="1" x14ac:dyDescent="0.3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 spans="1:33" ht="12.75" customHeight="1" x14ac:dyDescent="0.3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 spans="1:33" ht="12.75" customHeight="1" x14ac:dyDescent="0.3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 spans="1:33" ht="12.75" customHeight="1" x14ac:dyDescent="0.3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 spans="1:33" ht="12.75" customHeight="1" x14ac:dyDescent="0.3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 spans="1:33" ht="12.75" customHeight="1" x14ac:dyDescent="0.3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 spans="1:33" ht="12.75" customHeight="1" x14ac:dyDescent="0.3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 spans="1:33" ht="12.75" customHeight="1" x14ac:dyDescent="0.3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 spans="1:33" ht="12.75" customHeight="1" x14ac:dyDescent="0.3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 spans="1:33" ht="12.75" customHeight="1" x14ac:dyDescent="0.3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 spans="1:33" ht="12.75" customHeight="1" x14ac:dyDescent="0.3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 spans="1:33" ht="12.75" customHeight="1" x14ac:dyDescent="0.3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 spans="1:33" ht="12.75" customHeight="1" x14ac:dyDescent="0.3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 spans="1:33" ht="12.75" customHeight="1" x14ac:dyDescent="0.3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 spans="1:33" ht="12.75" customHeight="1" x14ac:dyDescent="0.3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 spans="1:33" ht="12.75" customHeight="1" x14ac:dyDescent="0.3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 spans="1:33" ht="12.75" customHeight="1" x14ac:dyDescent="0.3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 spans="1:33" ht="12.75" customHeight="1" x14ac:dyDescent="0.3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 spans="1:33" ht="12.75" customHeight="1" x14ac:dyDescent="0.3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  <row r="386" spans="1:33" ht="12.75" customHeight="1" x14ac:dyDescent="0.3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 spans="1:33" ht="12.75" customHeight="1" x14ac:dyDescent="0.3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</row>
    <row r="388" spans="1:33" ht="12.75" customHeight="1" x14ac:dyDescent="0.3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</row>
    <row r="389" spans="1:33" ht="12.75" customHeight="1" x14ac:dyDescent="0.3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</row>
    <row r="390" spans="1:33" ht="12.75" customHeight="1" x14ac:dyDescent="0.3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</row>
    <row r="391" spans="1:33" ht="12.75" customHeight="1" x14ac:dyDescent="0.3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</row>
    <row r="392" spans="1:33" ht="12.75" customHeight="1" x14ac:dyDescent="0.3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 spans="1:33" ht="12.75" customHeight="1" x14ac:dyDescent="0.3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</row>
    <row r="394" spans="1:33" ht="12.75" customHeight="1" x14ac:dyDescent="0.3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</row>
    <row r="395" spans="1:33" ht="12.75" customHeight="1" x14ac:dyDescent="0.3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</row>
    <row r="396" spans="1:33" ht="12.75" customHeight="1" x14ac:dyDescent="0.3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</row>
    <row r="397" spans="1:33" ht="12.75" customHeight="1" x14ac:dyDescent="0.3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</row>
    <row r="398" spans="1:33" ht="12.75" customHeight="1" x14ac:dyDescent="0.3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</row>
    <row r="399" spans="1:33" ht="12.75" customHeight="1" x14ac:dyDescent="0.3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</row>
    <row r="400" spans="1:33" ht="12.75" customHeight="1" x14ac:dyDescent="0.3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</row>
    <row r="401" spans="1:33" ht="12.75" customHeight="1" x14ac:dyDescent="0.3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</row>
    <row r="402" spans="1:33" ht="12.75" customHeight="1" x14ac:dyDescent="0.3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</row>
    <row r="403" spans="1:33" ht="12.75" customHeight="1" x14ac:dyDescent="0.3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 spans="1:33" ht="12.75" customHeight="1" x14ac:dyDescent="0.3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</row>
    <row r="405" spans="1:33" ht="12.75" customHeight="1" x14ac:dyDescent="0.3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</row>
    <row r="406" spans="1:33" ht="12.75" customHeight="1" x14ac:dyDescent="0.3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</row>
    <row r="407" spans="1:33" ht="12.75" customHeight="1" x14ac:dyDescent="0.3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</row>
    <row r="408" spans="1:33" ht="12.75" customHeight="1" x14ac:dyDescent="0.3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</row>
    <row r="409" spans="1:33" ht="12.75" customHeight="1" x14ac:dyDescent="0.3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</row>
    <row r="410" spans="1:33" ht="12.75" customHeight="1" x14ac:dyDescent="0.3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</row>
    <row r="411" spans="1:33" ht="12.75" customHeight="1" x14ac:dyDescent="0.3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</row>
    <row r="412" spans="1:33" ht="12.75" customHeight="1" x14ac:dyDescent="0.3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</row>
    <row r="413" spans="1:33" ht="12.75" customHeight="1" x14ac:dyDescent="0.3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</row>
    <row r="414" spans="1:33" ht="12.75" customHeight="1" x14ac:dyDescent="0.3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</row>
    <row r="415" spans="1:33" ht="12.75" customHeight="1" x14ac:dyDescent="0.3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</row>
    <row r="416" spans="1:33" ht="12.75" customHeight="1" x14ac:dyDescent="0.3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 spans="1:33" ht="12.75" customHeight="1" x14ac:dyDescent="0.3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</row>
    <row r="418" spans="1:33" ht="12.75" customHeight="1" x14ac:dyDescent="0.3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</row>
    <row r="419" spans="1:33" ht="12.75" customHeight="1" x14ac:dyDescent="0.3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</row>
    <row r="420" spans="1:33" ht="12.75" customHeight="1" x14ac:dyDescent="0.3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</row>
    <row r="421" spans="1:33" ht="12.75" customHeight="1" x14ac:dyDescent="0.3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</row>
    <row r="422" spans="1:33" ht="12.75" customHeight="1" x14ac:dyDescent="0.3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</row>
    <row r="423" spans="1:33" ht="12.75" customHeight="1" x14ac:dyDescent="0.3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</row>
    <row r="424" spans="1:33" ht="12.75" customHeight="1" x14ac:dyDescent="0.3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</row>
    <row r="425" spans="1:33" ht="12.75" customHeight="1" x14ac:dyDescent="0.3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  <row r="426" spans="1:33" ht="12.75" customHeight="1" x14ac:dyDescent="0.3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</row>
    <row r="427" spans="1:33" ht="12.75" customHeight="1" x14ac:dyDescent="0.3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</row>
    <row r="428" spans="1:33" ht="12.75" customHeight="1" x14ac:dyDescent="0.3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</row>
    <row r="429" spans="1:33" ht="12.75" customHeight="1" x14ac:dyDescent="0.3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</row>
    <row r="430" spans="1:33" ht="12.75" customHeight="1" x14ac:dyDescent="0.3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</row>
    <row r="431" spans="1:33" ht="12.75" customHeight="1" x14ac:dyDescent="0.3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</row>
    <row r="432" spans="1:33" ht="12.75" customHeight="1" x14ac:dyDescent="0.3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</row>
    <row r="433" spans="1:33" ht="12.75" customHeight="1" x14ac:dyDescent="0.3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</row>
    <row r="434" spans="1:33" ht="12.75" customHeight="1" x14ac:dyDescent="0.3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</row>
    <row r="435" spans="1:33" ht="12.75" customHeight="1" x14ac:dyDescent="0.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</row>
    <row r="436" spans="1:33" ht="12.75" customHeight="1" x14ac:dyDescent="0.3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</row>
    <row r="437" spans="1:33" ht="12.75" customHeight="1" x14ac:dyDescent="0.3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</row>
    <row r="438" spans="1:33" ht="12.75" customHeight="1" x14ac:dyDescent="0.3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</row>
    <row r="439" spans="1:33" ht="12.75" customHeight="1" x14ac:dyDescent="0.3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</row>
    <row r="440" spans="1:33" ht="12.75" customHeight="1" x14ac:dyDescent="0.3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</row>
    <row r="441" spans="1:33" ht="12.75" customHeight="1" x14ac:dyDescent="0.3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</row>
    <row r="442" spans="1:33" ht="12.75" customHeight="1" x14ac:dyDescent="0.3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</row>
    <row r="443" spans="1:33" ht="12.75" customHeight="1" x14ac:dyDescent="0.3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</row>
    <row r="444" spans="1:33" ht="12.75" customHeight="1" x14ac:dyDescent="0.3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</row>
    <row r="445" spans="1:33" ht="12.75" customHeight="1" x14ac:dyDescent="0.3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</row>
    <row r="446" spans="1:33" ht="12.75" customHeight="1" x14ac:dyDescent="0.3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</row>
    <row r="447" spans="1:33" ht="12.75" customHeight="1" x14ac:dyDescent="0.3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</row>
    <row r="448" spans="1:33" ht="12.75" customHeight="1" x14ac:dyDescent="0.3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</row>
    <row r="449" spans="1:33" ht="12.75" customHeight="1" x14ac:dyDescent="0.3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</row>
    <row r="450" spans="1:33" ht="12.75" customHeight="1" x14ac:dyDescent="0.3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</row>
    <row r="451" spans="1:33" ht="12.75" customHeight="1" x14ac:dyDescent="0.3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</row>
    <row r="452" spans="1:33" ht="12.75" customHeight="1" x14ac:dyDescent="0.3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</row>
    <row r="453" spans="1:33" ht="12.75" customHeight="1" x14ac:dyDescent="0.3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</row>
    <row r="454" spans="1:33" ht="12.75" customHeight="1" x14ac:dyDescent="0.3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</row>
    <row r="455" spans="1:33" ht="12.75" customHeight="1" x14ac:dyDescent="0.3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</row>
    <row r="456" spans="1:33" ht="12.75" customHeight="1" x14ac:dyDescent="0.3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</row>
    <row r="457" spans="1:33" ht="12.75" customHeight="1" x14ac:dyDescent="0.3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</row>
    <row r="458" spans="1:33" ht="12.75" customHeight="1" x14ac:dyDescent="0.3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</row>
    <row r="459" spans="1:33" ht="12.75" customHeight="1" x14ac:dyDescent="0.3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</row>
    <row r="460" spans="1:33" ht="12.75" customHeight="1" x14ac:dyDescent="0.3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</row>
    <row r="461" spans="1:33" ht="12.75" customHeight="1" x14ac:dyDescent="0.3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</row>
    <row r="462" spans="1:33" ht="12.75" customHeight="1" x14ac:dyDescent="0.3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</row>
    <row r="463" spans="1:33" ht="12.75" customHeight="1" x14ac:dyDescent="0.3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</row>
    <row r="464" spans="1:33" ht="12.75" customHeight="1" x14ac:dyDescent="0.3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</row>
    <row r="465" spans="1:33" ht="12.75" customHeight="1" x14ac:dyDescent="0.3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</row>
    <row r="466" spans="1:33" ht="12.75" customHeight="1" x14ac:dyDescent="0.3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</row>
    <row r="467" spans="1:33" ht="12.75" customHeight="1" x14ac:dyDescent="0.3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</row>
    <row r="468" spans="1:33" ht="12.75" customHeight="1" x14ac:dyDescent="0.3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</row>
    <row r="469" spans="1:33" ht="12.75" customHeight="1" x14ac:dyDescent="0.3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</row>
    <row r="470" spans="1:33" ht="12.75" customHeight="1" x14ac:dyDescent="0.3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</row>
    <row r="471" spans="1:33" ht="12.75" customHeight="1" x14ac:dyDescent="0.3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</row>
    <row r="472" spans="1:33" ht="12.75" customHeight="1" x14ac:dyDescent="0.3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</row>
    <row r="473" spans="1:33" ht="12.75" customHeight="1" x14ac:dyDescent="0.3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</row>
    <row r="474" spans="1:33" ht="12.75" customHeight="1" x14ac:dyDescent="0.3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</row>
    <row r="475" spans="1:33" ht="12.75" customHeight="1" x14ac:dyDescent="0.3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</row>
    <row r="476" spans="1:33" ht="12.75" customHeight="1" x14ac:dyDescent="0.3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</row>
    <row r="477" spans="1:33" ht="12.75" customHeight="1" x14ac:dyDescent="0.3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</row>
    <row r="478" spans="1:33" ht="12.75" customHeight="1" x14ac:dyDescent="0.3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</row>
    <row r="479" spans="1:33" ht="12.75" customHeight="1" x14ac:dyDescent="0.3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</row>
    <row r="480" spans="1:33" ht="12.75" customHeight="1" x14ac:dyDescent="0.3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</row>
    <row r="481" spans="1:33" ht="12.75" customHeight="1" x14ac:dyDescent="0.3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</row>
    <row r="482" spans="1:33" ht="12.75" customHeight="1" x14ac:dyDescent="0.3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</row>
    <row r="483" spans="1:33" ht="12.75" customHeight="1" x14ac:dyDescent="0.3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</row>
    <row r="484" spans="1:33" ht="12.75" customHeight="1" x14ac:dyDescent="0.3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</row>
    <row r="485" spans="1:33" ht="12.75" customHeight="1" x14ac:dyDescent="0.3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</row>
    <row r="486" spans="1:33" ht="12.75" customHeight="1" x14ac:dyDescent="0.3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</row>
    <row r="487" spans="1:33" ht="12.75" customHeight="1" x14ac:dyDescent="0.3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</row>
    <row r="488" spans="1:33" ht="12.75" customHeight="1" x14ac:dyDescent="0.3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</row>
    <row r="489" spans="1:33" ht="12.75" customHeight="1" x14ac:dyDescent="0.3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</row>
    <row r="490" spans="1:33" ht="12.75" customHeight="1" x14ac:dyDescent="0.3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</row>
    <row r="491" spans="1:33" ht="12.75" customHeight="1" x14ac:dyDescent="0.3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</row>
    <row r="492" spans="1:33" ht="12.75" customHeight="1" x14ac:dyDescent="0.3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</row>
    <row r="493" spans="1:33" ht="12.75" customHeight="1" x14ac:dyDescent="0.3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</row>
    <row r="494" spans="1:33" ht="12.75" customHeight="1" x14ac:dyDescent="0.3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</row>
    <row r="495" spans="1:33" ht="12.75" customHeight="1" x14ac:dyDescent="0.3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</row>
    <row r="496" spans="1:33" ht="12.75" customHeight="1" x14ac:dyDescent="0.3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</row>
    <row r="497" spans="1:33" ht="12.75" customHeight="1" x14ac:dyDescent="0.3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</row>
    <row r="498" spans="1:33" ht="12.75" customHeight="1" x14ac:dyDescent="0.3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</row>
    <row r="499" spans="1:33" ht="12.75" customHeight="1" x14ac:dyDescent="0.3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</row>
    <row r="500" spans="1:33" ht="12.75" customHeight="1" x14ac:dyDescent="0.3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</row>
    <row r="501" spans="1:33" ht="12.75" customHeight="1" x14ac:dyDescent="0.3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</row>
    <row r="502" spans="1:33" ht="12.75" customHeight="1" x14ac:dyDescent="0.3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</row>
    <row r="503" spans="1:33" ht="12.75" customHeight="1" x14ac:dyDescent="0.3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</row>
    <row r="504" spans="1:33" ht="12.75" customHeight="1" x14ac:dyDescent="0.3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</row>
    <row r="505" spans="1:33" ht="12.75" customHeight="1" x14ac:dyDescent="0.3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</row>
    <row r="506" spans="1:33" ht="12.75" customHeight="1" x14ac:dyDescent="0.3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</row>
    <row r="507" spans="1:33" ht="12.75" customHeight="1" x14ac:dyDescent="0.3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</row>
    <row r="508" spans="1:33" ht="12.75" customHeight="1" x14ac:dyDescent="0.3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</row>
    <row r="509" spans="1:33" ht="12.75" customHeight="1" x14ac:dyDescent="0.3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</row>
    <row r="510" spans="1:33" ht="12.75" customHeight="1" x14ac:dyDescent="0.3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</row>
    <row r="511" spans="1:33" ht="12.75" customHeight="1" x14ac:dyDescent="0.3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</row>
    <row r="512" spans="1:33" ht="12.75" customHeight="1" x14ac:dyDescent="0.3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</row>
    <row r="513" spans="1:33" ht="12.75" customHeight="1" x14ac:dyDescent="0.3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</row>
    <row r="514" spans="1:33" ht="12.75" customHeight="1" x14ac:dyDescent="0.3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</row>
    <row r="515" spans="1:33" ht="12.75" customHeight="1" x14ac:dyDescent="0.3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</row>
    <row r="516" spans="1:33" ht="12.75" customHeight="1" x14ac:dyDescent="0.3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</row>
    <row r="517" spans="1:33" ht="12.75" customHeight="1" x14ac:dyDescent="0.3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</row>
    <row r="518" spans="1:33" ht="12.75" customHeight="1" x14ac:dyDescent="0.3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</row>
    <row r="519" spans="1:33" ht="12.75" customHeight="1" x14ac:dyDescent="0.3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</row>
    <row r="520" spans="1:33" ht="12.75" customHeight="1" x14ac:dyDescent="0.3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</row>
    <row r="521" spans="1:33" ht="12.75" customHeight="1" x14ac:dyDescent="0.3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</row>
    <row r="522" spans="1:33" ht="12.75" customHeight="1" x14ac:dyDescent="0.3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</row>
    <row r="523" spans="1:33" ht="12.75" customHeight="1" x14ac:dyDescent="0.3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</row>
    <row r="524" spans="1:33" ht="12.75" customHeight="1" x14ac:dyDescent="0.3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</row>
    <row r="525" spans="1:33" ht="12.75" customHeight="1" x14ac:dyDescent="0.3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</row>
    <row r="526" spans="1:33" ht="12.75" customHeight="1" x14ac:dyDescent="0.3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</row>
    <row r="527" spans="1:33" ht="12.75" customHeight="1" x14ac:dyDescent="0.3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</row>
    <row r="528" spans="1:33" ht="12.75" customHeight="1" x14ac:dyDescent="0.3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</row>
    <row r="529" spans="1:33" ht="12.75" customHeight="1" x14ac:dyDescent="0.3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</row>
    <row r="530" spans="1:33" ht="12.75" customHeight="1" x14ac:dyDescent="0.3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</row>
    <row r="531" spans="1:33" ht="12.75" customHeight="1" x14ac:dyDescent="0.3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</row>
    <row r="532" spans="1:33" ht="12.75" customHeight="1" x14ac:dyDescent="0.3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</row>
    <row r="533" spans="1:33" ht="12.75" customHeight="1" x14ac:dyDescent="0.3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</row>
    <row r="534" spans="1:33" ht="12.75" customHeight="1" x14ac:dyDescent="0.3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</row>
    <row r="535" spans="1:33" ht="12.75" customHeight="1" x14ac:dyDescent="0.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</row>
    <row r="536" spans="1:33" ht="12.75" customHeight="1" x14ac:dyDescent="0.3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</row>
    <row r="537" spans="1:33" ht="12.75" customHeight="1" x14ac:dyDescent="0.3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</row>
    <row r="538" spans="1:33" ht="12.75" customHeight="1" x14ac:dyDescent="0.3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</row>
    <row r="539" spans="1:33" ht="12.75" customHeight="1" x14ac:dyDescent="0.3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</row>
    <row r="540" spans="1:33" ht="12.75" customHeight="1" x14ac:dyDescent="0.3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</row>
    <row r="541" spans="1:33" ht="12.75" customHeight="1" x14ac:dyDescent="0.3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</row>
    <row r="542" spans="1:33" ht="12.75" customHeight="1" x14ac:dyDescent="0.3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</row>
    <row r="543" spans="1:33" ht="12.75" customHeight="1" x14ac:dyDescent="0.3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</row>
    <row r="544" spans="1:33" ht="12.75" customHeight="1" x14ac:dyDescent="0.3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</row>
    <row r="545" spans="1:33" ht="12.75" customHeight="1" x14ac:dyDescent="0.3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</row>
    <row r="546" spans="1:33" ht="12.75" customHeight="1" x14ac:dyDescent="0.3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</row>
    <row r="547" spans="1:33" ht="12.75" customHeight="1" x14ac:dyDescent="0.3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</row>
    <row r="548" spans="1:33" ht="12.75" customHeight="1" x14ac:dyDescent="0.3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</row>
    <row r="549" spans="1:33" ht="12.75" customHeight="1" x14ac:dyDescent="0.3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</row>
    <row r="550" spans="1:33" ht="12.75" customHeight="1" x14ac:dyDescent="0.3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</row>
    <row r="551" spans="1:33" ht="12.75" customHeight="1" x14ac:dyDescent="0.3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</row>
    <row r="552" spans="1:33" ht="12.75" customHeight="1" x14ac:dyDescent="0.3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</row>
    <row r="553" spans="1:33" ht="12.75" customHeight="1" x14ac:dyDescent="0.3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</row>
    <row r="554" spans="1:33" ht="12.75" customHeight="1" x14ac:dyDescent="0.3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</row>
    <row r="555" spans="1:33" ht="12.75" customHeight="1" x14ac:dyDescent="0.3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</row>
    <row r="556" spans="1:33" ht="12.75" customHeight="1" x14ac:dyDescent="0.3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</row>
    <row r="557" spans="1:33" ht="12.75" customHeight="1" x14ac:dyDescent="0.3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</row>
    <row r="558" spans="1:33" ht="12.75" customHeight="1" x14ac:dyDescent="0.3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</row>
    <row r="559" spans="1:33" ht="12.75" customHeight="1" x14ac:dyDescent="0.3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</row>
    <row r="560" spans="1:33" ht="12.75" customHeight="1" x14ac:dyDescent="0.3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</row>
    <row r="561" spans="1:33" ht="12.75" customHeight="1" x14ac:dyDescent="0.3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</row>
    <row r="562" spans="1:33" ht="12.75" customHeight="1" x14ac:dyDescent="0.3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</row>
    <row r="563" spans="1:33" ht="12.75" customHeight="1" x14ac:dyDescent="0.3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</row>
    <row r="564" spans="1:33" ht="12.75" customHeight="1" x14ac:dyDescent="0.3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</row>
    <row r="565" spans="1:33" ht="12.75" customHeight="1" x14ac:dyDescent="0.3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</row>
    <row r="566" spans="1:33" ht="12.75" customHeight="1" x14ac:dyDescent="0.3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</row>
    <row r="567" spans="1:33" ht="12.75" customHeight="1" x14ac:dyDescent="0.3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</row>
    <row r="568" spans="1:33" ht="12.75" customHeight="1" x14ac:dyDescent="0.3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</row>
    <row r="569" spans="1:33" ht="12.75" customHeight="1" x14ac:dyDescent="0.3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</row>
    <row r="570" spans="1:33" ht="12.75" customHeight="1" x14ac:dyDescent="0.3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</row>
    <row r="571" spans="1:33" ht="12.75" customHeight="1" x14ac:dyDescent="0.3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</row>
    <row r="572" spans="1:33" ht="12.75" customHeight="1" x14ac:dyDescent="0.3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</row>
    <row r="573" spans="1:33" ht="12.75" customHeight="1" x14ac:dyDescent="0.3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</row>
    <row r="574" spans="1:33" ht="12.75" customHeight="1" x14ac:dyDescent="0.3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</row>
    <row r="575" spans="1:33" ht="12.75" customHeight="1" x14ac:dyDescent="0.3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</row>
    <row r="576" spans="1:33" ht="12.75" customHeight="1" x14ac:dyDescent="0.3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</row>
    <row r="577" spans="1:33" ht="12.75" customHeight="1" x14ac:dyDescent="0.3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</row>
    <row r="578" spans="1:33" ht="12.75" customHeight="1" x14ac:dyDescent="0.3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</row>
    <row r="579" spans="1:33" ht="12.75" customHeight="1" x14ac:dyDescent="0.3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</row>
    <row r="580" spans="1:33" ht="12.75" customHeight="1" x14ac:dyDescent="0.3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</row>
    <row r="581" spans="1:33" ht="12.75" customHeight="1" x14ac:dyDescent="0.3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</row>
    <row r="582" spans="1:33" ht="12.75" customHeight="1" x14ac:dyDescent="0.3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</row>
    <row r="583" spans="1:33" ht="12.75" customHeight="1" x14ac:dyDescent="0.3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</row>
    <row r="584" spans="1:33" ht="12.75" customHeight="1" x14ac:dyDescent="0.3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</row>
    <row r="585" spans="1:33" ht="12.75" customHeight="1" x14ac:dyDescent="0.3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</row>
    <row r="586" spans="1:33" ht="12.75" customHeight="1" x14ac:dyDescent="0.3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</row>
    <row r="587" spans="1:33" ht="12.75" customHeight="1" x14ac:dyDescent="0.3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</row>
    <row r="588" spans="1:33" ht="12.75" customHeight="1" x14ac:dyDescent="0.3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</row>
    <row r="589" spans="1:33" ht="12.75" customHeight="1" x14ac:dyDescent="0.3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</row>
    <row r="590" spans="1:33" ht="12.75" customHeight="1" x14ac:dyDescent="0.3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</row>
    <row r="591" spans="1:33" ht="12.75" customHeight="1" x14ac:dyDescent="0.3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</row>
    <row r="592" spans="1:33" ht="12.75" customHeight="1" x14ac:dyDescent="0.3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</row>
    <row r="593" spans="1:33" ht="12.75" customHeight="1" x14ac:dyDescent="0.3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</row>
    <row r="594" spans="1:33" ht="12.75" customHeight="1" x14ac:dyDescent="0.3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</row>
    <row r="595" spans="1:33" ht="12.75" customHeight="1" x14ac:dyDescent="0.3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</row>
    <row r="596" spans="1:33" ht="12.75" customHeight="1" x14ac:dyDescent="0.3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</row>
    <row r="597" spans="1:33" ht="12.75" customHeight="1" x14ac:dyDescent="0.3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</row>
    <row r="598" spans="1:33" ht="12.75" customHeight="1" x14ac:dyDescent="0.3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</row>
    <row r="599" spans="1:33" ht="12.75" customHeight="1" x14ac:dyDescent="0.3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</row>
    <row r="600" spans="1:33" ht="12.75" customHeight="1" x14ac:dyDescent="0.3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</row>
    <row r="601" spans="1:33" ht="12.75" customHeight="1" x14ac:dyDescent="0.3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</row>
    <row r="602" spans="1:33" ht="12.75" customHeight="1" x14ac:dyDescent="0.3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</row>
    <row r="603" spans="1:33" ht="12.75" customHeight="1" x14ac:dyDescent="0.3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</row>
    <row r="604" spans="1:33" ht="12.75" customHeight="1" x14ac:dyDescent="0.3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</row>
    <row r="605" spans="1:33" ht="12.75" customHeight="1" x14ac:dyDescent="0.3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</row>
    <row r="606" spans="1:33" ht="12.75" customHeight="1" x14ac:dyDescent="0.3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</row>
    <row r="607" spans="1:33" ht="12.75" customHeight="1" x14ac:dyDescent="0.3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</row>
    <row r="608" spans="1:33" ht="12.75" customHeight="1" x14ac:dyDescent="0.3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</row>
    <row r="609" spans="1:33" ht="12.75" customHeight="1" x14ac:dyDescent="0.3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</row>
    <row r="610" spans="1:33" ht="12.75" customHeight="1" x14ac:dyDescent="0.3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</row>
    <row r="611" spans="1:33" ht="12.75" customHeight="1" x14ac:dyDescent="0.3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</row>
    <row r="612" spans="1:33" ht="12.75" customHeight="1" x14ac:dyDescent="0.3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</row>
    <row r="613" spans="1:33" ht="12.75" customHeight="1" x14ac:dyDescent="0.3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</row>
    <row r="614" spans="1:33" ht="12.75" customHeight="1" x14ac:dyDescent="0.3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</row>
    <row r="615" spans="1:33" ht="12.75" customHeight="1" x14ac:dyDescent="0.3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</row>
    <row r="616" spans="1:33" ht="12.75" customHeight="1" x14ac:dyDescent="0.3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</row>
    <row r="617" spans="1:33" ht="12.75" customHeight="1" x14ac:dyDescent="0.3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</row>
    <row r="618" spans="1:33" ht="12.75" customHeight="1" x14ac:dyDescent="0.3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</row>
    <row r="619" spans="1:33" ht="12.75" customHeight="1" x14ac:dyDescent="0.3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</row>
    <row r="620" spans="1:33" ht="12.75" customHeight="1" x14ac:dyDescent="0.3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</row>
    <row r="621" spans="1:33" ht="12.75" customHeight="1" x14ac:dyDescent="0.3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</row>
    <row r="622" spans="1:33" ht="12.75" customHeight="1" x14ac:dyDescent="0.3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</row>
    <row r="623" spans="1:33" ht="12.75" customHeight="1" x14ac:dyDescent="0.3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</row>
    <row r="624" spans="1:33" ht="12.75" customHeight="1" x14ac:dyDescent="0.3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</row>
    <row r="625" spans="1:33" ht="12.75" customHeight="1" x14ac:dyDescent="0.3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</row>
    <row r="626" spans="1:33" ht="12.75" customHeight="1" x14ac:dyDescent="0.3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</row>
    <row r="627" spans="1:33" ht="12.75" customHeight="1" x14ac:dyDescent="0.3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</row>
    <row r="628" spans="1:33" ht="12.75" customHeight="1" x14ac:dyDescent="0.3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</row>
    <row r="629" spans="1:33" ht="12.75" customHeight="1" x14ac:dyDescent="0.3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</row>
    <row r="630" spans="1:33" ht="12.75" customHeight="1" x14ac:dyDescent="0.3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</row>
    <row r="631" spans="1:33" ht="12.75" customHeight="1" x14ac:dyDescent="0.3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</row>
    <row r="632" spans="1:33" ht="12.75" customHeight="1" x14ac:dyDescent="0.3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</row>
    <row r="633" spans="1:33" ht="12.75" customHeight="1" x14ac:dyDescent="0.3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</row>
    <row r="634" spans="1:33" ht="12.75" customHeight="1" x14ac:dyDescent="0.3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</row>
    <row r="635" spans="1:33" ht="12.75" customHeight="1" x14ac:dyDescent="0.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</row>
    <row r="636" spans="1:33" ht="12.75" customHeight="1" x14ac:dyDescent="0.3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</row>
    <row r="637" spans="1:33" ht="12.75" customHeight="1" x14ac:dyDescent="0.3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</row>
    <row r="638" spans="1:33" ht="12.75" customHeight="1" x14ac:dyDescent="0.3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</row>
    <row r="639" spans="1:33" ht="12.75" customHeight="1" x14ac:dyDescent="0.3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</row>
    <row r="640" spans="1:33" ht="12.75" customHeight="1" x14ac:dyDescent="0.3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</row>
    <row r="641" spans="1:33" ht="12.75" customHeight="1" x14ac:dyDescent="0.3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</row>
    <row r="642" spans="1:33" ht="12.75" customHeight="1" x14ac:dyDescent="0.3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</row>
    <row r="643" spans="1:33" ht="12.75" customHeight="1" x14ac:dyDescent="0.3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</row>
    <row r="644" spans="1:33" ht="12.75" customHeight="1" x14ac:dyDescent="0.3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</row>
    <row r="645" spans="1:33" ht="12.75" customHeight="1" x14ac:dyDescent="0.3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</row>
    <row r="646" spans="1:33" ht="12.75" customHeight="1" x14ac:dyDescent="0.3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</row>
    <row r="647" spans="1:33" ht="12.75" customHeight="1" x14ac:dyDescent="0.3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</row>
    <row r="648" spans="1:33" ht="12.75" customHeight="1" x14ac:dyDescent="0.3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</row>
    <row r="649" spans="1:33" ht="12.75" customHeight="1" x14ac:dyDescent="0.3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</row>
    <row r="650" spans="1:33" ht="12.75" customHeight="1" x14ac:dyDescent="0.3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</row>
    <row r="651" spans="1:33" ht="12.75" customHeight="1" x14ac:dyDescent="0.3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</row>
    <row r="652" spans="1:33" ht="12.75" customHeight="1" x14ac:dyDescent="0.3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</row>
    <row r="653" spans="1:33" ht="12.75" customHeight="1" x14ac:dyDescent="0.3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</row>
    <row r="654" spans="1:33" ht="12.75" customHeight="1" x14ac:dyDescent="0.3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</row>
    <row r="655" spans="1:33" ht="12.75" customHeight="1" x14ac:dyDescent="0.3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</row>
    <row r="656" spans="1:33" ht="12.75" customHeight="1" x14ac:dyDescent="0.3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</row>
    <row r="657" spans="1:33" ht="12.75" customHeight="1" x14ac:dyDescent="0.3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</row>
    <row r="658" spans="1:33" ht="12.75" customHeight="1" x14ac:dyDescent="0.3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</row>
    <row r="659" spans="1:33" ht="12.75" customHeight="1" x14ac:dyDescent="0.3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</row>
    <row r="660" spans="1:33" ht="12.75" customHeight="1" x14ac:dyDescent="0.3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</row>
    <row r="661" spans="1:33" ht="12.75" customHeight="1" x14ac:dyDescent="0.3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</row>
    <row r="662" spans="1:33" ht="12.75" customHeight="1" x14ac:dyDescent="0.3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</row>
    <row r="663" spans="1:33" ht="12.75" customHeight="1" x14ac:dyDescent="0.3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</row>
    <row r="664" spans="1:33" ht="12.75" customHeight="1" x14ac:dyDescent="0.3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</row>
    <row r="665" spans="1:33" ht="12.75" customHeight="1" x14ac:dyDescent="0.3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</row>
    <row r="666" spans="1:33" ht="12.75" customHeight="1" x14ac:dyDescent="0.3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</row>
    <row r="667" spans="1:33" ht="12.75" customHeight="1" x14ac:dyDescent="0.3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</row>
    <row r="668" spans="1:33" ht="12.75" customHeight="1" x14ac:dyDescent="0.3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</row>
    <row r="669" spans="1:33" ht="12.75" customHeight="1" x14ac:dyDescent="0.3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</row>
    <row r="670" spans="1:33" ht="12.75" customHeight="1" x14ac:dyDescent="0.3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</row>
    <row r="671" spans="1:33" ht="12.75" customHeight="1" x14ac:dyDescent="0.3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</row>
    <row r="672" spans="1:33" ht="12.75" customHeight="1" x14ac:dyDescent="0.3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</row>
    <row r="673" spans="1:33" ht="12.75" customHeight="1" x14ac:dyDescent="0.3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</row>
    <row r="674" spans="1:33" ht="12.75" customHeight="1" x14ac:dyDescent="0.3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</row>
    <row r="675" spans="1:33" ht="12.75" customHeight="1" x14ac:dyDescent="0.3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</row>
    <row r="676" spans="1:33" ht="12.75" customHeight="1" x14ac:dyDescent="0.3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</row>
    <row r="677" spans="1:33" ht="12.75" customHeight="1" x14ac:dyDescent="0.3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</row>
    <row r="678" spans="1:33" ht="12.75" customHeight="1" x14ac:dyDescent="0.3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</row>
    <row r="679" spans="1:33" ht="12.75" customHeight="1" x14ac:dyDescent="0.3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</row>
    <row r="680" spans="1:33" ht="12.75" customHeight="1" x14ac:dyDescent="0.3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</row>
    <row r="681" spans="1:33" ht="12.75" customHeight="1" x14ac:dyDescent="0.3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</row>
    <row r="682" spans="1:33" ht="12.75" customHeight="1" x14ac:dyDescent="0.3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</row>
    <row r="683" spans="1:33" ht="12.75" customHeight="1" x14ac:dyDescent="0.3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</row>
    <row r="684" spans="1:33" ht="12.75" customHeight="1" x14ac:dyDescent="0.3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</row>
    <row r="685" spans="1:33" ht="12.75" customHeight="1" x14ac:dyDescent="0.3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</row>
    <row r="686" spans="1:33" ht="12.75" customHeight="1" x14ac:dyDescent="0.3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</row>
    <row r="687" spans="1:33" ht="12.75" customHeight="1" x14ac:dyDescent="0.3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</row>
    <row r="688" spans="1:33" ht="12.75" customHeight="1" x14ac:dyDescent="0.3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</row>
    <row r="689" spans="1:33" ht="12.75" customHeight="1" x14ac:dyDescent="0.3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</row>
    <row r="690" spans="1:33" ht="12.75" customHeight="1" x14ac:dyDescent="0.3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</row>
    <row r="691" spans="1:33" ht="12.75" customHeight="1" x14ac:dyDescent="0.3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</row>
    <row r="692" spans="1:33" ht="12.75" customHeight="1" x14ac:dyDescent="0.3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</row>
    <row r="693" spans="1:33" ht="12.75" customHeight="1" x14ac:dyDescent="0.3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</row>
    <row r="694" spans="1:33" ht="12.75" customHeight="1" x14ac:dyDescent="0.3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</row>
    <row r="695" spans="1:33" ht="12.75" customHeight="1" x14ac:dyDescent="0.3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</row>
    <row r="696" spans="1:33" ht="12.75" customHeight="1" x14ac:dyDescent="0.3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</row>
    <row r="697" spans="1:33" ht="12.75" customHeight="1" x14ac:dyDescent="0.3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</row>
    <row r="698" spans="1:33" ht="12.75" customHeight="1" x14ac:dyDescent="0.3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</row>
    <row r="699" spans="1:33" ht="12.75" customHeight="1" x14ac:dyDescent="0.3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</row>
    <row r="700" spans="1:33" ht="12.75" customHeight="1" x14ac:dyDescent="0.3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</row>
    <row r="701" spans="1:33" ht="12.75" customHeight="1" x14ac:dyDescent="0.3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</row>
    <row r="702" spans="1:33" ht="12.75" customHeight="1" x14ac:dyDescent="0.3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</row>
    <row r="703" spans="1:33" ht="12.75" customHeight="1" x14ac:dyDescent="0.3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</row>
    <row r="704" spans="1:33" ht="12.75" customHeight="1" x14ac:dyDescent="0.3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</row>
    <row r="705" spans="1:33" ht="12.75" customHeight="1" x14ac:dyDescent="0.3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</row>
    <row r="706" spans="1:33" ht="12.75" customHeight="1" x14ac:dyDescent="0.3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</row>
    <row r="707" spans="1:33" ht="12.75" customHeight="1" x14ac:dyDescent="0.3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</row>
    <row r="708" spans="1:33" ht="12.75" customHeight="1" x14ac:dyDescent="0.3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</row>
    <row r="709" spans="1:33" ht="12.75" customHeight="1" x14ac:dyDescent="0.3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</row>
    <row r="710" spans="1:33" ht="12.75" customHeight="1" x14ac:dyDescent="0.3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</row>
    <row r="711" spans="1:33" ht="12.75" customHeight="1" x14ac:dyDescent="0.3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</row>
    <row r="712" spans="1:33" ht="12.75" customHeight="1" x14ac:dyDescent="0.3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</row>
    <row r="713" spans="1:33" ht="12.75" customHeight="1" x14ac:dyDescent="0.3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</row>
    <row r="714" spans="1:33" ht="12.75" customHeight="1" x14ac:dyDescent="0.3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</row>
    <row r="715" spans="1:33" ht="12.75" customHeight="1" x14ac:dyDescent="0.3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</row>
    <row r="716" spans="1:33" ht="12.75" customHeight="1" x14ac:dyDescent="0.3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</row>
    <row r="717" spans="1:33" ht="12.75" customHeight="1" x14ac:dyDescent="0.3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</row>
    <row r="718" spans="1:33" ht="12.75" customHeight="1" x14ac:dyDescent="0.3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</row>
    <row r="719" spans="1:33" ht="12.75" customHeight="1" x14ac:dyDescent="0.3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</row>
    <row r="720" spans="1:33" ht="12.75" customHeight="1" x14ac:dyDescent="0.3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</row>
    <row r="721" spans="1:33" ht="12.75" customHeight="1" x14ac:dyDescent="0.3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</row>
    <row r="722" spans="1:33" ht="12.75" customHeight="1" x14ac:dyDescent="0.3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</row>
    <row r="723" spans="1:33" ht="12.75" customHeight="1" x14ac:dyDescent="0.3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</row>
    <row r="724" spans="1:33" ht="12.75" customHeight="1" x14ac:dyDescent="0.3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</row>
    <row r="725" spans="1:33" ht="12.75" customHeight="1" x14ac:dyDescent="0.3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</row>
    <row r="726" spans="1:33" ht="12.75" customHeight="1" x14ac:dyDescent="0.3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</row>
    <row r="727" spans="1:33" ht="12.75" customHeight="1" x14ac:dyDescent="0.3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</row>
    <row r="728" spans="1:33" ht="12.75" customHeight="1" x14ac:dyDescent="0.3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</row>
    <row r="729" spans="1:33" ht="12.75" customHeight="1" x14ac:dyDescent="0.3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</row>
    <row r="730" spans="1:33" ht="12.75" customHeight="1" x14ac:dyDescent="0.3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</row>
    <row r="731" spans="1:33" ht="12.75" customHeight="1" x14ac:dyDescent="0.3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</row>
    <row r="732" spans="1:33" ht="12.75" customHeight="1" x14ac:dyDescent="0.3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</row>
    <row r="733" spans="1:33" ht="12.75" customHeight="1" x14ac:dyDescent="0.3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</row>
    <row r="734" spans="1:33" ht="12.75" customHeight="1" x14ac:dyDescent="0.3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</row>
    <row r="735" spans="1:33" ht="12.75" customHeight="1" x14ac:dyDescent="0.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</row>
    <row r="736" spans="1:33" ht="12.75" customHeight="1" x14ac:dyDescent="0.3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</row>
    <row r="737" spans="1:33" ht="12.75" customHeight="1" x14ac:dyDescent="0.3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</row>
    <row r="738" spans="1:33" ht="12.75" customHeight="1" x14ac:dyDescent="0.3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</row>
    <row r="739" spans="1:33" ht="12.75" customHeight="1" x14ac:dyDescent="0.3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</row>
    <row r="740" spans="1:33" ht="12.75" customHeight="1" x14ac:dyDescent="0.3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</row>
    <row r="741" spans="1:33" ht="12.75" customHeight="1" x14ac:dyDescent="0.3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</row>
    <row r="742" spans="1:33" ht="12.75" customHeight="1" x14ac:dyDescent="0.3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</row>
    <row r="743" spans="1:33" ht="12.75" customHeight="1" x14ac:dyDescent="0.3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</row>
    <row r="744" spans="1:33" ht="12.75" customHeight="1" x14ac:dyDescent="0.3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</row>
    <row r="745" spans="1:33" ht="12.75" customHeight="1" x14ac:dyDescent="0.3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</row>
    <row r="746" spans="1:33" ht="12.75" customHeight="1" x14ac:dyDescent="0.3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</row>
    <row r="747" spans="1:33" ht="12.75" customHeight="1" x14ac:dyDescent="0.3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</row>
    <row r="748" spans="1:33" ht="12.75" customHeight="1" x14ac:dyDescent="0.3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</row>
    <row r="749" spans="1:33" ht="12.75" customHeight="1" x14ac:dyDescent="0.3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</row>
    <row r="750" spans="1:33" ht="12.75" customHeight="1" x14ac:dyDescent="0.3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</row>
    <row r="751" spans="1:33" ht="12.75" customHeight="1" x14ac:dyDescent="0.3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</row>
    <row r="752" spans="1:33" ht="12.75" customHeight="1" x14ac:dyDescent="0.3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</row>
    <row r="753" spans="1:33" ht="12.75" customHeight="1" x14ac:dyDescent="0.3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</row>
    <row r="754" spans="1:33" ht="12.75" customHeight="1" x14ac:dyDescent="0.3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</row>
    <row r="755" spans="1:33" ht="12.75" customHeight="1" x14ac:dyDescent="0.3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</row>
    <row r="756" spans="1:33" ht="12.75" customHeight="1" x14ac:dyDescent="0.3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</row>
    <row r="757" spans="1:33" ht="12.75" customHeight="1" x14ac:dyDescent="0.3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</row>
    <row r="758" spans="1:33" ht="12.75" customHeight="1" x14ac:dyDescent="0.3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</row>
    <row r="759" spans="1:33" ht="12.75" customHeight="1" x14ac:dyDescent="0.3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</row>
    <row r="760" spans="1:33" ht="12.75" customHeight="1" x14ac:dyDescent="0.3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</row>
    <row r="761" spans="1:33" ht="12.75" customHeight="1" x14ac:dyDescent="0.3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</row>
    <row r="762" spans="1:33" ht="12.75" customHeight="1" x14ac:dyDescent="0.3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</row>
    <row r="763" spans="1:33" ht="12.75" customHeight="1" x14ac:dyDescent="0.3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</row>
    <row r="764" spans="1:33" ht="12.75" customHeight="1" x14ac:dyDescent="0.3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</row>
    <row r="765" spans="1:33" ht="12.75" customHeight="1" x14ac:dyDescent="0.3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</row>
    <row r="766" spans="1:33" ht="12.75" customHeight="1" x14ac:dyDescent="0.3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</row>
    <row r="767" spans="1:33" ht="12.75" customHeight="1" x14ac:dyDescent="0.3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</row>
    <row r="768" spans="1:33" ht="12.75" customHeight="1" x14ac:dyDescent="0.3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</row>
    <row r="769" spans="1:33" ht="12.75" customHeight="1" x14ac:dyDescent="0.3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</row>
    <row r="770" spans="1:33" ht="12.75" customHeight="1" x14ac:dyDescent="0.3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</row>
    <row r="771" spans="1:33" ht="12.75" customHeight="1" x14ac:dyDescent="0.3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</row>
    <row r="772" spans="1:33" ht="12.75" customHeight="1" x14ac:dyDescent="0.3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</row>
    <row r="773" spans="1:33" ht="12.75" customHeight="1" x14ac:dyDescent="0.3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</row>
    <row r="774" spans="1:33" ht="12.75" customHeight="1" x14ac:dyDescent="0.3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</row>
    <row r="775" spans="1:33" ht="12.75" customHeight="1" x14ac:dyDescent="0.3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</row>
    <row r="776" spans="1:33" ht="12.75" customHeight="1" x14ac:dyDescent="0.3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</row>
    <row r="777" spans="1:33" ht="12.75" customHeight="1" x14ac:dyDescent="0.3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</row>
    <row r="778" spans="1:33" ht="12.75" customHeight="1" x14ac:dyDescent="0.3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</row>
    <row r="779" spans="1:33" ht="12.75" customHeight="1" x14ac:dyDescent="0.3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</row>
    <row r="780" spans="1:33" ht="12.75" customHeight="1" x14ac:dyDescent="0.3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</row>
    <row r="781" spans="1:33" ht="12.75" customHeight="1" x14ac:dyDescent="0.3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</row>
    <row r="782" spans="1:33" ht="12.75" customHeight="1" x14ac:dyDescent="0.3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</row>
    <row r="783" spans="1:33" ht="12.75" customHeight="1" x14ac:dyDescent="0.3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</row>
    <row r="784" spans="1:33" ht="12.75" customHeight="1" x14ac:dyDescent="0.3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</row>
    <row r="785" spans="1:33" ht="12.75" customHeight="1" x14ac:dyDescent="0.3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</row>
    <row r="786" spans="1:33" ht="12.75" customHeight="1" x14ac:dyDescent="0.3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</row>
    <row r="787" spans="1:33" ht="12.75" customHeight="1" x14ac:dyDescent="0.3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</row>
    <row r="788" spans="1:33" ht="12.75" customHeight="1" x14ac:dyDescent="0.3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</row>
    <row r="789" spans="1:33" ht="12.75" customHeight="1" x14ac:dyDescent="0.3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</row>
    <row r="790" spans="1:33" ht="12.75" customHeight="1" x14ac:dyDescent="0.3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</row>
    <row r="791" spans="1:33" ht="12.75" customHeight="1" x14ac:dyDescent="0.3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</row>
    <row r="792" spans="1:33" ht="12.75" customHeight="1" x14ac:dyDescent="0.3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</row>
    <row r="793" spans="1:33" ht="12.75" customHeight="1" x14ac:dyDescent="0.3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</row>
    <row r="794" spans="1:33" ht="12.75" customHeight="1" x14ac:dyDescent="0.3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</row>
    <row r="795" spans="1:33" ht="12.75" customHeight="1" x14ac:dyDescent="0.3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</row>
    <row r="796" spans="1:33" ht="12.75" customHeight="1" x14ac:dyDescent="0.3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</row>
    <row r="797" spans="1:33" ht="12.75" customHeight="1" x14ac:dyDescent="0.3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</row>
    <row r="798" spans="1:33" ht="12.75" customHeight="1" x14ac:dyDescent="0.3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</row>
    <row r="799" spans="1:33" ht="12.75" customHeight="1" x14ac:dyDescent="0.3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</row>
    <row r="800" spans="1:33" ht="12.75" customHeight="1" x14ac:dyDescent="0.3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</row>
    <row r="801" spans="1:33" ht="12.75" customHeight="1" x14ac:dyDescent="0.3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</row>
    <row r="802" spans="1:33" ht="12.75" customHeight="1" x14ac:dyDescent="0.3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</row>
    <row r="803" spans="1:33" ht="12.75" customHeight="1" x14ac:dyDescent="0.3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</row>
    <row r="804" spans="1:33" ht="12.75" customHeight="1" x14ac:dyDescent="0.3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</row>
    <row r="805" spans="1:33" ht="12.75" customHeight="1" x14ac:dyDescent="0.3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</row>
    <row r="806" spans="1:33" ht="12.75" customHeight="1" x14ac:dyDescent="0.3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</row>
    <row r="807" spans="1:33" ht="12.75" customHeight="1" x14ac:dyDescent="0.3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</row>
    <row r="808" spans="1:33" ht="12.75" customHeight="1" x14ac:dyDescent="0.3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</row>
    <row r="809" spans="1:33" ht="12.75" customHeight="1" x14ac:dyDescent="0.3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</row>
    <row r="810" spans="1:33" ht="12.75" customHeight="1" x14ac:dyDescent="0.3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</row>
    <row r="811" spans="1:33" ht="12.75" customHeight="1" x14ac:dyDescent="0.3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</row>
    <row r="812" spans="1:33" ht="12.75" customHeight="1" x14ac:dyDescent="0.3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</row>
    <row r="813" spans="1:33" ht="12.75" customHeight="1" x14ac:dyDescent="0.3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</row>
    <row r="814" spans="1:33" ht="12.75" customHeight="1" x14ac:dyDescent="0.3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</row>
    <row r="815" spans="1:33" ht="12.75" customHeight="1" x14ac:dyDescent="0.3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</row>
    <row r="816" spans="1:33" ht="12.75" customHeight="1" x14ac:dyDescent="0.3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</row>
    <row r="817" spans="1:33" ht="12.75" customHeight="1" x14ac:dyDescent="0.3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</row>
    <row r="818" spans="1:33" ht="12.75" customHeight="1" x14ac:dyDescent="0.3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</row>
    <row r="819" spans="1:33" ht="12.75" customHeight="1" x14ac:dyDescent="0.3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</row>
    <row r="820" spans="1:33" ht="12.75" customHeight="1" x14ac:dyDescent="0.3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</row>
    <row r="821" spans="1:33" ht="12.75" customHeight="1" x14ac:dyDescent="0.3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</row>
    <row r="822" spans="1:33" ht="12.75" customHeight="1" x14ac:dyDescent="0.3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</row>
    <row r="823" spans="1:33" ht="12.75" customHeight="1" x14ac:dyDescent="0.3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</row>
    <row r="824" spans="1:33" ht="12.75" customHeight="1" x14ac:dyDescent="0.3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</row>
    <row r="825" spans="1:33" ht="12.75" customHeight="1" x14ac:dyDescent="0.3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</row>
    <row r="826" spans="1:33" ht="12.75" customHeight="1" x14ac:dyDescent="0.3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</row>
    <row r="827" spans="1:33" ht="12.75" customHeight="1" x14ac:dyDescent="0.3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</row>
    <row r="828" spans="1:33" ht="12.75" customHeight="1" x14ac:dyDescent="0.3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</row>
    <row r="829" spans="1:33" ht="12.75" customHeight="1" x14ac:dyDescent="0.3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</row>
    <row r="830" spans="1:33" ht="12.75" customHeight="1" x14ac:dyDescent="0.3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</row>
    <row r="831" spans="1:33" ht="12.75" customHeight="1" x14ac:dyDescent="0.3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</row>
    <row r="832" spans="1:33" ht="12.75" customHeight="1" x14ac:dyDescent="0.3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</row>
    <row r="833" spans="1:33" ht="12.75" customHeight="1" x14ac:dyDescent="0.3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</row>
    <row r="834" spans="1:33" ht="12.75" customHeight="1" x14ac:dyDescent="0.3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</row>
    <row r="835" spans="1:33" ht="12.75" customHeight="1" x14ac:dyDescent="0.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</row>
    <row r="836" spans="1:33" ht="12.75" customHeight="1" x14ac:dyDescent="0.3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</row>
    <row r="837" spans="1:33" ht="12.75" customHeight="1" x14ac:dyDescent="0.3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</row>
    <row r="838" spans="1:33" ht="12.75" customHeight="1" x14ac:dyDescent="0.3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</row>
    <row r="839" spans="1:33" ht="12.75" customHeight="1" x14ac:dyDescent="0.3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</row>
    <row r="840" spans="1:33" ht="12.75" customHeight="1" x14ac:dyDescent="0.3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</row>
    <row r="841" spans="1:33" ht="12.75" customHeight="1" x14ac:dyDescent="0.3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</row>
    <row r="842" spans="1:33" ht="12.75" customHeight="1" x14ac:dyDescent="0.3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</row>
    <row r="843" spans="1:33" ht="12.75" customHeight="1" x14ac:dyDescent="0.3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</row>
    <row r="844" spans="1:33" ht="12.75" customHeight="1" x14ac:dyDescent="0.3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</row>
    <row r="845" spans="1:33" ht="12.75" customHeight="1" x14ac:dyDescent="0.3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</row>
    <row r="846" spans="1:33" ht="12.75" customHeight="1" x14ac:dyDescent="0.3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</row>
    <row r="847" spans="1:33" ht="12.75" customHeight="1" x14ac:dyDescent="0.3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</row>
    <row r="848" spans="1:33" ht="12.75" customHeight="1" x14ac:dyDescent="0.3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</row>
    <row r="849" spans="1:33" ht="12.75" customHeight="1" x14ac:dyDescent="0.3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</row>
    <row r="850" spans="1:33" ht="12.75" customHeight="1" x14ac:dyDescent="0.3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</row>
    <row r="851" spans="1:33" ht="12.75" customHeight="1" x14ac:dyDescent="0.3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</row>
    <row r="852" spans="1:33" ht="12.75" customHeight="1" x14ac:dyDescent="0.3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</row>
    <row r="853" spans="1:33" ht="12.75" customHeight="1" x14ac:dyDescent="0.3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</row>
    <row r="854" spans="1:33" ht="12.75" customHeight="1" x14ac:dyDescent="0.3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</row>
    <row r="855" spans="1:33" ht="12.75" customHeight="1" x14ac:dyDescent="0.3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</row>
    <row r="856" spans="1:33" ht="12.75" customHeight="1" x14ac:dyDescent="0.3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</row>
    <row r="857" spans="1:33" ht="12.75" customHeight="1" x14ac:dyDescent="0.3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</row>
    <row r="858" spans="1:33" ht="12.75" customHeight="1" x14ac:dyDescent="0.3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</row>
    <row r="859" spans="1:33" ht="12.75" customHeight="1" x14ac:dyDescent="0.3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</row>
    <row r="860" spans="1:33" ht="12.75" customHeight="1" x14ac:dyDescent="0.3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</row>
    <row r="861" spans="1:33" ht="12.75" customHeight="1" x14ac:dyDescent="0.3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</row>
    <row r="862" spans="1:33" ht="12.75" customHeight="1" x14ac:dyDescent="0.3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</row>
    <row r="863" spans="1:33" ht="12.75" customHeight="1" x14ac:dyDescent="0.3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</row>
    <row r="864" spans="1:33" ht="12.75" customHeight="1" x14ac:dyDescent="0.3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</row>
    <row r="865" spans="1:33" ht="12.75" customHeight="1" x14ac:dyDescent="0.3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</row>
    <row r="866" spans="1:33" ht="12.75" customHeight="1" x14ac:dyDescent="0.3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</row>
    <row r="867" spans="1:33" ht="12.75" customHeight="1" x14ac:dyDescent="0.3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</row>
    <row r="868" spans="1:33" ht="12.75" customHeight="1" x14ac:dyDescent="0.3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</row>
    <row r="869" spans="1:33" ht="12.75" customHeight="1" x14ac:dyDescent="0.3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</row>
    <row r="870" spans="1:33" ht="12.75" customHeight="1" x14ac:dyDescent="0.3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</row>
    <row r="871" spans="1:33" ht="12.75" customHeight="1" x14ac:dyDescent="0.3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</row>
    <row r="872" spans="1:33" ht="12.75" customHeight="1" x14ac:dyDescent="0.3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</row>
    <row r="873" spans="1:33" ht="12.75" customHeight="1" x14ac:dyDescent="0.3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</row>
    <row r="874" spans="1:33" ht="12.75" customHeight="1" x14ac:dyDescent="0.3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</row>
    <row r="875" spans="1:33" ht="12.75" customHeight="1" x14ac:dyDescent="0.3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</row>
    <row r="876" spans="1:33" ht="12.75" customHeight="1" x14ac:dyDescent="0.3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</row>
    <row r="877" spans="1:33" ht="12.75" customHeight="1" x14ac:dyDescent="0.3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</row>
    <row r="878" spans="1:33" ht="12.75" customHeight="1" x14ac:dyDescent="0.3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</row>
    <row r="879" spans="1:33" ht="12.75" customHeight="1" x14ac:dyDescent="0.3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</row>
    <row r="880" spans="1:33" ht="12.75" customHeight="1" x14ac:dyDescent="0.3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</row>
    <row r="881" spans="1:33" ht="12.75" customHeight="1" x14ac:dyDescent="0.3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</row>
    <row r="882" spans="1:33" ht="12.75" customHeight="1" x14ac:dyDescent="0.3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</row>
    <row r="883" spans="1:33" ht="12.75" customHeight="1" x14ac:dyDescent="0.3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</row>
    <row r="884" spans="1:33" ht="12.75" customHeight="1" x14ac:dyDescent="0.3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</row>
    <row r="885" spans="1:33" ht="12.75" customHeight="1" x14ac:dyDescent="0.3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</row>
    <row r="886" spans="1:33" ht="12.75" customHeight="1" x14ac:dyDescent="0.3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</row>
    <row r="887" spans="1:33" ht="12.75" customHeight="1" x14ac:dyDescent="0.3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</row>
    <row r="888" spans="1:33" ht="12.75" customHeight="1" x14ac:dyDescent="0.3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</row>
    <row r="889" spans="1:33" ht="12.75" customHeight="1" x14ac:dyDescent="0.3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</row>
    <row r="890" spans="1:33" ht="12.75" customHeight="1" x14ac:dyDescent="0.3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</row>
    <row r="891" spans="1:33" ht="12.75" customHeight="1" x14ac:dyDescent="0.3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</row>
    <row r="892" spans="1:33" ht="12.75" customHeight="1" x14ac:dyDescent="0.3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</row>
    <row r="893" spans="1:33" ht="12.75" customHeight="1" x14ac:dyDescent="0.3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</row>
    <row r="894" spans="1:33" ht="12.75" customHeight="1" x14ac:dyDescent="0.3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</row>
    <row r="895" spans="1:33" ht="12.75" customHeight="1" x14ac:dyDescent="0.3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</row>
    <row r="896" spans="1:33" ht="12.75" customHeight="1" x14ac:dyDescent="0.3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</row>
    <row r="897" spans="1:33" ht="12.75" customHeight="1" x14ac:dyDescent="0.3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</row>
    <row r="898" spans="1:33" ht="12.75" customHeight="1" x14ac:dyDescent="0.3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</row>
    <row r="899" spans="1:33" ht="12.75" customHeight="1" x14ac:dyDescent="0.3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</row>
    <row r="900" spans="1:33" ht="12.75" customHeight="1" x14ac:dyDescent="0.3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</row>
    <row r="901" spans="1:33" ht="12.75" customHeight="1" x14ac:dyDescent="0.3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</row>
    <row r="902" spans="1:33" ht="12.75" customHeight="1" x14ac:dyDescent="0.3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</row>
    <row r="903" spans="1:33" ht="12.75" customHeight="1" x14ac:dyDescent="0.3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</row>
    <row r="904" spans="1:33" ht="12.75" customHeight="1" x14ac:dyDescent="0.3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</row>
    <row r="905" spans="1:33" ht="12.75" customHeight="1" x14ac:dyDescent="0.3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</row>
    <row r="906" spans="1:33" ht="12.75" customHeight="1" x14ac:dyDescent="0.3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</row>
    <row r="907" spans="1:33" ht="12.75" customHeight="1" x14ac:dyDescent="0.3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</row>
    <row r="908" spans="1:33" ht="12.75" customHeight="1" x14ac:dyDescent="0.3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</row>
    <row r="909" spans="1:33" ht="12.75" customHeight="1" x14ac:dyDescent="0.3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</row>
    <row r="910" spans="1:33" ht="12.75" customHeight="1" x14ac:dyDescent="0.3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</row>
    <row r="911" spans="1:33" ht="12.75" customHeight="1" x14ac:dyDescent="0.3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</row>
    <row r="912" spans="1:33" ht="12.75" customHeight="1" x14ac:dyDescent="0.3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</row>
    <row r="913" spans="1:33" ht="12.75" customHeight="1" x14ac:dyDescent="0.3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</row>
    <row r="914" spans="1:33" ht="12.75" customHeight="1" x14ac:dyDescent="0.3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</row>
    <row r="915" spans="1:33" ht="12.75" customHeight="1" x14ac:dyDescent="0.3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</row>
    <row r="916" spans="1:33" ht="12.75" customHeight="1" x14ac:dyDescent="0.3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</row>
    <row r="917" spans="1:33" ht="12.75" customHeight="1" x14ac:dyDescent="0.3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</row>
    <row r="918" spans="1:33" ht="12.75" customHeight="1" x14ac:dyDescent="0.3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</row>
    <row r="919" spans="1:33" ht="12.75" customHeight="1" x14ac:dyDescent="0.3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</row>
    <row r="920" spans="1:33" ht="12.75" customHeight="1" x14ac:dyDescent="0.3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</row>
    <row r="921" spans="1:33" ht="12.75" customHeight="1" x14ac:dyDescent="0.3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</row>
    <row r="922" spans="1:33" ht="12.75" customHeight="1" x14ac:dyDescent="0.3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</row>
    <row r="923" spans="1:33" ht="12.75" customHeight="1" x14ac:dyDescent="0.3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</row>
    <row r="924" spans="1:33" ht="12.75" customHeight="1" x14ac:dyDescent="0.3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</row>
    <row r="925" spans="1:33" ht="12.75" customHeight="1" x14ac:dyDescent="0.3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</row>
    <row r="926" spans="1:33" ht="12.75" customHeight="1" x14ac:dyDescent="0.3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</row>
    <row r="927" spans="1:33" ht="12.75" customHeight="1" x14ac:dyDescent="0.3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</row>
    <row r="928" spans="1:33" ht="12.75" customHeight="1" x14ac:dyDescent="0.3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</row>
    <row r="929" spans="1:33" ht="12.75" customHeight="1" x14ac:dyDescent="0.3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</row>
    <row r="930" spans="1:33" ht="12.75" customHeight="1" x14ac:dyDescent="0.3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</row>
    <row r="931" spans="1:33" ht="12.75" customHeight="1" x14ac:dyDescent="0.3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</row>
    <row r="932" spans="1:33" ht="12.75" customHeight="1" x14ac:dyDescent="0.3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</row>
  </sheetData>
  <phoneticPr fontId="10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B1:M998"/>
  <sheetViews>
    <sheetView showGridLines="0" workbookViewId="0"/>
  </sheetViews>
  <sheetFormatPr defaultColWidth="12.59765625" defaultRowHeight="15.75" customHeight="1" x14ac:dyDescent="0.35"/>
  <cols>
    <col min="3" max="5" width="6.46484375" customWidth="1"/>
    <col min="6" max="6" width="13.1328125" customWidth="1"/>
    <col min="7" max="7" width="22.59765625" customWidth="1"/>
    <col min="8" max="9" width="18.3984375" customWidth="1"/>
  </cols>
  <sheetData>
    <row r="1" spans="2:13" ht="12.75" customHeight="1" x14ac:dyDescent="0.35"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</row>
    <row r="2" spans="2:13" ht="15.75" customHeight="1" x14ac:dyDescent="0.4">
      <c r="B2" s="5"/>
      <c r="C2" s="47"/>
      <c r="D2" s="47"/>
      <c r="E2" s="47"/>
      <c r="F2" s="47"/>
      <c r="G2" s="47"/>
      <c r="H2" s="47"/>
      <c r="I2" s="47"/>
      <c r="J2" s="47"/>
      <c r="K2" s="1"/>
      <c r="L2" s="1"/>
      <c r="M2" s="2" t="s">
        <v>230</v>
      </c>
    </row>
    <row r="3" spans="2:13" ht="12.75" customHeight="1" x14ac:dyDescent="0.35">
      <c r="B3" s="48"/>
      <c r="C3" s="48"/>
      <c r="D3" s="48"/>
      <c r="E3" s="48"/>
      <c r="F3" s="48"/>
      <c r="G3" s="48"/>
      <c r="H3" s="47"/>
      <c r="I3" s="48"/>
      <c r="J3" s="47"/>
      <c r="K3" s="47"/>
      <c r="L3" s="47"/>
      <c r="M3" s="47"/>
    </row>
    <row r="4" spans="2:13" ht="13.15" customHeight="1" x14ac:dyDescent="0.35">
      <c r="B4" s="54" t="s">
        <v>231</v>
      </c>
      <c r="C4" s="55" t="s">
        <v>232</v>
      </c>
      <c r="D4" s="55" t="s">
        <v>233</v>
      </c>
      <c r="E4" s="56" t="s">
        <v>234</v>
      </c>
      <c r="F4" s="55" t="s">
        <v>203</v>
      </c>
      <c r="G4" s="56" t="s">
        <v>4</v>
      </c>
      <c r="H4" s="55" t="s">
        <v>235</v>
      </c>
      <c r="I4" s="56" t="s">
        <v>236</v>
      </c>
      <c r="J4" s="47"/>
      <c r="K4" s="47"/>
      <c r="L4" s="47"/>
      <c r="M4" s="47"/>
    </row>
    <row r="5" spans="2:13" ht="13.15" customHeight="1" x14ac:dyDescent="0.35">
      <c r="B5" s="60"/>
      <c r="C5" s="61"/>
      <c r="D5" s="61"/>
      <c r="E5" s="62"/>
      <c r="F5" s="61"/>
      <c r="G5" s="63"/>
      <c r="H5" s="61"/>
      <c r="I5" s="62"/>
      <c r="J5" s="47"/>
      <c r="K5" s="47"/>
      <c r="L5" s="47"/>
      <c r="M5" s="47"/>
    </row>
    <row r="6" spans="2:13" ht="12.75" customHeight="1" x14ac:dyDescent="0.35">
      <c r="B6" s="64"/>
      <c r="C6" s="50" t="str">
        <f t="shared" ref="C6:C69" si="0">IF(B6=0,"",YEAR(B6))</f>
        <v/>
      </c>
      <c r="D6" s="50" t="str">
        <f t="shared" ref="D6:D69" si="1">IF(B6=0,"",MONTH(B6)&amp;"월")</f>
        <v/>
      </c>
      <c r="E6" s="51" t="str">
        <f t="shared" ref="E6:E69" si="2">IF(B6=0,"",DAY(B6)&amp;"일")</f>
        <v/>
      </c>
      <c r="F6" s="57"/>
      <c r="G6" s="52"/>
      <c r="H6" s="65">
        <v>1</v>
      </c>
      <c r="I6" s="66">
        <v>11</v>
      </c>
      <c r="J6" s="47"/>
      <c r="K6" s="47"/>
      <c r="L6" s="47"/>
      <c r="M6" s="47"/>
    </row>
    <row r="7" spans="2:13" ht="12.75" customHeight="1" x14ac:dyDescent="0.35">
      <c r="B7" s="64"/>
      <c r="C7" s="50" t="str">
        <f t="shared" si="0"/>
        <v/>
      </c>
      <c r="D7" s="50" t="str">
        <f t="shared" si="1"/>
        <v/>
      </c>
      <c r="E7" s="51" t="str">
        <f t="shared" si="2"/>
        <v/>
      </c>
      <c r="F7" s="57"/>
      <c r="G7" s="52"/>
      <c r="H7" s="58"/>
      <c r="I7" s="59"/>
      <c r="J7" s="47"/>
      <c r="K7" s="47"/>
      <c r="L7" s="47"/>
      <c r="M7" s="47"/>
    </row>
    <row r="8" spans="2:13" ht="12.75" customHeight="1" x14ac:dyDescent="0.35">
      <c r="B8" s="49"/>
      <c r="C8" s="50" t="str">
        <f t="shared" si="0"/>
        <v/>
      </c>
      <c r="D8" s="50" t="str">
        <f t="shared" si="1"/>
        <v/>
      </c>
      <c r="E8" s="51" t="str">
        <f t="shared" si="2"/>
        <v/>
      </c>
      <c r="F8" s="57"/>
      <c r="G8" s="52"/>
      <c r="H8" s="58"/>
      <c r="I8" s="59"/>
      <c r="J8" s="47"/>
      <c r="K8" s="47"/>
      <c r="L8" s="47"/>
      <c r="M8" s="47"/>
    </row>
    <row r="9" spans="2:13" ht="12.75" customHeight="1" x14ac:dyDescent="0.35">
      <c r="B9" s="49"/>
      <c r="C9" s="50" t="str">
        <f t="shared" si="0"/>
        <v/>
      </c>
      <c r="D9" s="50" t="str">
        <f t="shared" si="1"/>
        <v/>
      </c>
      <c r="E9" s="51" t="str">
        <f t="shared" si="2"/>
        <v/>
      </c>
      <c r="F9" s="57"/>
      <c r="G9" s="52"/>
      <c r="H9" s="58"/>
      <c r="I9" s="59"/>
      <c r="J9" s="47"/>
      <c r="K9" s="47"/>
      <c r="L9" s="47"/>
      <c r="M9" s="47"/>
    </row>
    <row r="10" spans="2:13" ht="12.75" customHeight="1" x14ac:dyDescent="0.35">
      <c r="B10" s="49"/>
      <c r="C10" s="50" t="str">
        <f t="shared" si="0"/>
        <v/>
      </c>
      <c r="D10" s="50" t="str">
        <f t="shared" si="1"/>
        <v/>
      </c>
      <c r="E10" s="51" t="str">
        <f t="shared" si="2"/>
        <v/>
      </c>
      <c r="F10" s="57"/>
      <c r="G10" s="52"/>
      <c r="H10" s="58"/>
      <c r="I10" s="59"/>
      <c r="J10" s="47"/>
      <c r="K10" s="47"/>
      <c r="L10" s="47"/>
      <c r="M10" s="47"/>
    </row>
    <row r="11" spans="2:13" ht="12.75" customHeight="1" x14ac:dyDescent="0.35">
      <c r="B11" s="53"/>
      <c r="C11" s="50" t="str">
        <f t="shared" si="0"/>
        <v/>
      </c>
      <c r="D11" s="50" t="str">
        <f t="shared" si="1"/>
        <v/>
      </c>
      <c r="E11" s="51" t="str">
        <f t="shared" si="2"/>
        <v/>
      </c>
      <c r="F11" s="57"/>
      <c r="G11" s="52"/>
      <c r="H11" s="58"/>
      <c r="I11" s="59"/>
      <c r="J11" s="47"/>
      <c r="K11" s="47"/>
      <c r="L11" s="47"/>
      <c r="M11" s="47"/>
    </row>
    <row r="12" spans="2:13" ht="12.75" customHeight="1" x14ac:dyDescent="0.35">
      <c r="B12" s="53"/>
      <c r="C12" s="50" t="str">
        <f t="shared" si="0"/>
        <v/>
      </c>
      <c r="D12" s="50" t="str">
        <f t="shared" si="1"/>
        <v/>
      </c>
      <c r="E12" s="51" t="str">
        <f t="shared" si="2"/>
        <v/>
      </c>
      <c r="F12" s="57"/>
      <c r="G12" s="52"/>
      <c r="H12" s="58"/>
      <c r="I12" s="59"/>
      <c r="J12" s="47"/>
      <c r="K12" s="47"/>
      <c r="L12" s="47"/>
      <c r="M12" s="47"/>
    </row>
    <row r="13" spans="2:13" ht="12.75" customHeight="1" x14ac:dyDescent="0.35">
      <c r="B13" s="53"/>
      <c r="C13" s="50" t="str">
        <f t="shared" si="0"/>
        <v/>
      </c>
      <c r="D13" s="50" t="str">
        <f t="shared" si="1"/>
        <v/>
      </c>
      <c r="E13" s="51" t="str">
        <f t="shared" si="2"/>
        <v/>
      </c>
      <c r="F13" s="57"/>
      <c r="G13" s="52"/>
      <c r="H13" s="58"/>
      <c r="I13" s="59"/>
      <c r="J13" s="47"/>
      <c r="K13" s="47"/>
      <c r="L13" s="47"/>
      <c r="M13" s="47"/>
    </row>
    <row r="14" spans="2:13" ht="12.75" customHeight="1" x14ac:dyDescent="0.35">
      <c r="B14" s="53"/>
      <c r="C14" s="50" t="str">
        <f t="shared" si="0"/>
        <v/>
      </c>
      <c r="D14" s="50" t="str">
        <f t="shared" si="1"/>
        <v/>
      </c>
      <c r="E14" s="51" t="str">
        <f t="shared" si="2"/>
        <v/>
      </c>
      <c r="F14" s="57"/>
      <c r="G14" s="52"/>
      <c r="H14" s="58"/>
      <c r="I14" s="59"/>
      <c r="J14" s="47"/>
      <c r="K14" s="47"/>
      <c r="L14" s="47"/>
      <c r="M14" s="47"/>
    </row>
    <row r="15" spans="2:13" ht="12.75" customHeight="1" x14ac:dyDescent="0.35">
      <c r="B15" s="53"/>
      <c r="C15" s="50" t="str">
        <f t="shared" si="0"/>
        <v/>
      </c>
      <c r="D15" s="50" t="str">
        <f t="shared" si="1"/>
        <v/>
      </c>
      <c r="E15" s="51" t="str">
        <f t="shared" si="2"/>
        <v/>
      </c>
      <c r="F15" s="57"/>
      <c r="G15" s="52"/>
      <c r="H15" s="58"/>
      <c r="I15" s="59"/>
      <c r="J15" s="47"/>
      <c r="K15" s="47"/>
      <c r="L15" s="47"/>
      <c r="M15" s="47"/>
    </row>
    <row r="16" spans="2:13" ht="12.75" customHeight="1" x14ac:dyDescent="0.35">
      <c r="B16" s="53"/>
      <c r="C16" s="50" t="str">
        <f t="shared" si="0"/>
        <v/>
      </c>
      <c r="D16" s="50" t="str">
        <f t="shared" si="1"/>
        <v/>
      </c>
      <c r="E16" s="51" t="str">
        <f t="shared" si="2"/>
        <v/>
      </c>
      <c r="F16" s="57"/>
      <c r="G16" s="52"/>
      <c r="H16" s="58"/>
      <c r="I16" s="59"/>
      <c r="J16" s="47"/>
      <c r="K16" s="47"/>
      <c r="L16" s="47"/>
      <c r="M16" s="47"/>
    </row>
    <row r="17" spans="2:13" ht="12.75" customHeight="1" x14ac:dyDescent="0.35">
      <c r="B17" s="53"/>
      <c r="C17" s="50" t="str">
        <f t="shared" si="0"/>
        <v/>
      </c>
      <c r="D17" s="50" t="str">
        <f t="shared" si="1"/>
        <v/>
      </c>
      <c r="E17" s="51" t="str">
        <f t="shared" si="2"/>
        <v/>
      </c>
      <c r="F17" s="57"/>
      <c r="G17" s="52"/>
      <c r="H17" s="58"/>
      <c r="I17" s="59"/>
      <c r="J17" s="47"/>
      <c r="K17" s="47"/>
      <c r="L17" s="47"/>
      <c r="M17" s="47"/>
    </row>
    <row r="18" spans="2:13" ht="12.75" customHeight="1" x14ac:dyDescent="0.35">
      <c r="B18" s="53"/>
      <c r="C18" s="50" t="str">
        <f t="shared" si="0"/>
        <v/>
      </c>
      <c r="D18" s="50" t="str">
        <f t="shared" si="1"/>
        <v/>
      </c>
      <c r="E18" s="51" t="str">
        <f t="shared" si="2"/>
        <v/>
      </c>
      <c r="F18" s="57"/>
      <c r="G18" s="52"/>
      <c r="H18" s="58"/>
      <c r="I18" s="59"/>
      <c r="J18" s="47"/>
      <c r="K18" s="47"/>
      <c r="L18" s="47"/>
      <c r="M18" s="47"/>
    </row>
    <row r="19" spans="2:13" ht="12.75" customHeight="1" x14ac:dyDescent="0.35">
      <c r="B19" s="53"/>
      <c r="C19" s="50" t="str">
        <f t="shared" si="0"/>
        <v/>
      </c>
      <c r="D19" s="50" t="str">
        <f t="shared" si="1"/>
        <v/>
      </c>
      <c r="E19" s="51" t="str">
        <f t="shared" si="2"/>
        <v/>
      </c>
      <c r="F19" s="57"/>
      <c r="G19" s="52"/>
      <c r="H19" s="58"/>
      <c r="I19" s="59"/>
      <c r="J19" s="47"/>
      <c r="K19" s="47"/>
      <c r="L19" s="47"/>
      <c r="M19" s="47"/>
    </row>
    <row r="20" spans="2:13" ht="12.75" customHeight="1" x14ac:dyDescent="0.35">
      <c r="B20" s="53"/>
      <c r="C20" s="50" t="str">
        <f t="shared" si="0"/>
        <v/>
      </c>
      <c r="D20" s="50" t="str">
        <f t="shared" si="1"/>
        <v/>
      </c>
      <c r="E20" s="51" t="str">
        <f t="shared" si="2"/>
        <v/>
      </c>
      <c r="F20" s="57"/>
      <c r="G20" s="52"/>
      <c r="H20" s="58"/>
      <c r="I20" s="59"/>
      <c r="J20" s="47"/>
      <c r="K20" s="47"/>
      <c r="L20" s="47"/>
      <c r="M20" s="47"/>
    </row>
    <row r="21" spans="2:13" ht="12.75" customHeight="1" x14ac:dyDescent="0.35">
      <c r="B21" s="53"/>
      <c r="C21" s="50" t="str">
        <f t="shared" si="0"/>
        <v/>
      </c>
      <c r="D21" s="50" t="str">
        <f t="shared" si="1"/>
        <v/>
      </c>
      <c r="E21" s="51" t="str">
        <f t="shared" si="2"/>
        <v/>
      </c>
      <c r="F21" s="57"/>
      <c r="G21" s="52"/>
      <c r="H21" s="58"/>
      <c r="I21" s="59"/>
      <c r="J21" s="47"/>
      <c r="K21" s="47"/>
      <c r="L21" s="47"/>
      <c r="M21" s="47"/>
    </row>
    <row r="22" spans="2:13" ht="12.75" customHeight="1" x14ac:dyDescent="0.35">
      <c r="B22" s="53"/>
      <c r="C22" s="50" t="str">
        <f t="shared" si="0"/>
        <v/>
      </c>
      <c r="D22" s="50" t="str">
        <f t="shared" si="1"/>
        <v/>
      </c>
      <c r="E22" s="51" t="str">
        <f t="shared" si="2"/>
        <v/>
      </c>
      <c r="F22" s="57"/>
      <c r="G22" s="52"/>
      <c r="H22" s="58"/>
      <c r="I22" s="59"/>
      <c r="J22" s="47"/>
      <c r="K22" s="47"/>
      <c r="L22" s="47"/>
      <c r="M22" s="47"/>
    </row>
    <row r="23" spans="2:13" ht="12.75" customHeight="1" x14ac:dyDescent="0.35">
      <c r="B23" s="53"/>
      <c r="C23" s="50" t="str">
        <f t="shared" si="0"/>
        <v/>
      </c>
      <c r="D23" s="50" t="str">
        <f t="shared" si="1"/>
        <v/>
      </c>
      <c r="E23" s="51" t="str">
        <f t="shared" si="2"/>
        <v/>
      </c>
      <c r="F23" s="57"/>
      <c r="G23" s="52"/>
      <c r="H23" s="58"/>
      <c r="I23" s="59"/>
      <c r="J23" s="47"/>
      <c r="K23" s="47"/>
      <c r="L23" s="47"/>
      <c r="M23" s="47"/>
    </row>
    <row r="24" spans="2:13" ht="12.75" customHeight="1" x14ac:dyDescent="0.35">
      <c r="B24" s="53"/>
      <c r="C24" s="50" t="str">
        <f t="shared" si="0"/>
        <v/>
      </c>
      <c r="D24" s="50" t="str">
        <f t="shared" si="1"/>
        <v/>
      </c>
      <c r="E24" s="51" t="str">
        <f t="shared" si="2"/>
        <v/>
      </c>
      <c r="F24" s="57"/>
      <c r="G24" s="52"/>
      <c r="H24" s="58"/>
      <c r="I24" s="59"/>
      <c r="J24" s="47"/>
      <c r="K24" s="47"/>
      <c r="L24" s="47"/>
      <c r="M24" s="47"/>
    </row>
    <row r="25" spans="2:13" ht="12.75" customHeight="1" x14ac:dyDescent="0.35">
      <c r="B25" s="53"/>
      <c r="C25" s="50" t="str">
        <f t="shared" si="0"/>
        <v/>
      </c>
      <c r="D25" s="50" t="str">
        <f t="shared" si="1"/>
        <v/>
      </c>
      <c r="E25" s="51" t="str">
        <f t="shared" si="2"/>
        <v/>
      </c>
      <c r="F25" s="57"/>
      <c r="G25" s="52"/>
      <c r="H25" s="58"/>
      <c r="I25" s="59"/>
      <c r="J25" s="47"/>
      <c r="K25" s="47"/>
      <c r="L25" s="47"/>
      <c r="M25" s="47"/>
    </row>
    <row r="26" spans="2:13" ht="12.75" customHeight="1" x14ac:dyDescent="0.35">
      <c r="B26" s="53"/>
      <c r="C26" s="50" t="str">
        <f t="shared" si="0"/>
        <v/>
      </c>
      <c r="D26" s="50" t="str">
        <f t="shared" si="1"/>
        <v/>
      </c>
      <c r="E26" s="51" t="str">
        <f t="shared" si="2"/>
        <v/>
      </c>
      <c r="F26" s="57"/>
      <c r="G26" s="52"/>
      <c r="H26" s="58"/>
      <c r="I26" s="59"/>
      <c r="J26" s="47"/>
      <c r="K26" s="47"/>
      <c r="L26" s="47"/>
      <c r="M26" s="47"/>
    </row>
    <row r="27" spans="2:13" ht="12.75" customHeight="1" x14ac:dyDescent="0.35">
      <c r="B27" s="53"/>
      <c r="C27" s="50" t="str">
        <f t="shared" si="0"/>
        <v/>
      </c>
      <c r="D27" s="50" t="str">
        <f t="shared" si="1"/>
        <v/>
      </c>
      <c r="E27" s="51" t="str">
        <f t="shared" si="2"/>
        <v/>
      </c>
      <c r="F27" s="57"/>
      <c r="G27" s="52"/>
      <c r="H27" s="58"/>
      <c r="I27" s="59"/>
      <c r="J27" s="47"/>
      <c r="K27" s="47"/>
      <c r="L27" s="47"/>
      <c r="M27" s="47"/>
    </row>
    <row r="28" spans="2:13" ht="12.75" customHeight="1" x14ac:dyDescent="0.35">
      <c r="B28" s="53"/>
      <c r="C28" s="50" t="str">
        <f t="shared" si="0"/>
        <v/>
      </c>
      <c r="D28" s="50" t="str">
        <f t="shared" si="1"/>
        <v/>
      </c>
      <c r="E28" s="51" t="str">
        <f t="shared" si="2"/>
        <v/>
      </c>
      <c r="F28" s="57"/>
      <c r="G28" s="52"/>
      <c r="H28" s="58"/>
      <c r="I28" s="59"/>
      <c r="J28" s="47"/>
      <c r="K28" s="47"/>
      <c r="L28" s="47"/>
      <c r="M28" s="47"/>
    </row>
    <row r="29" spans="2:13" ht="12.75" customHeight="1" x14ac:dyDescent="0.35">
      <c r="B29" s="53"/>
      <c r="C29" s="50" t="str">
        <f t="shared" si="0"/>
        <v/>
      </c>
      <c r="D29" s="50" t="str">
        <f t="shared" si="1"/>
        <v/>
      </c>
      <c r="E29" s="51" t="str">
        <f t="shared" si="2"/>
        <v/>
      </c>
      <c r="F29" s="57"/>
      <c r="G29" s="52"/>
      <c r="H29" s="58"/>
      <c r="I29" s="59"/>
      <c r="J29" s="47"/>
      <c r="K29" s="47"/>
      <c r="L29" s="47"/>
      <c r="M29" s="47"/>
    </row>
    <row r="30" spans="2:13" ht="12.75" customHeight="1" x14ac:dyDescent="0.35">
      <c r="B30" s="53"/>
      <c r="C30" s="50" t="str">
        <f t="shared" si="0"/>
        <v/>
      </c>
      <c r="D30" s="50" t="str">
        <f t="shared" si="1"/>
        <v/>
      </c>
      <c r="E30" s="51" t="str">
        <f t="shared" si="2"/>
        <v/>
      </c>
      <c r="F30" s="57"/>
      <c r="G30" s="52"/>
      <c r="H30" s="58"/>
      <c r="I30" s="59"/>
      <c r="J30" s="47"/>
      <c r="K30" s="47"/>
      <c r="L30" s="47"/>
      <c r="M30" s="47"/>
    </row>
    <row r="31" spans="2:13" ht="12.75" customHeight="1" x14ac:dyDescent="0.35">
      <c r="B31" s="53"/>
      <c r="C31" s="50" t="str">
        <f t="shared" si="0"/>
        <v/>
      </c>
      <c r="D31" s="50" t="str">
        <f t="shared" si="1"/>
        <v/>
      </c>
      <c r="E31" s="51" t="str">
        <f t="shared" si="2"/>
        <v/>
      </c>
      <c r="F31" s="57"/>
      <c r="G31" s="52"/>
      <c r="H31" s="58"/>
      <c r="I31" s="59"/>
      <c r="J31" s="47"/>
      <c r="K31" s="47"/>
      <c r="L31" s="47"/>
      <c r="M31" s="47"/>
    </row>
    <row r="32" spans="2:13" ht="12.75" customHeight="1" x14ac:dyDescent="0.35">
      <c r="B32" s="53"/>
      <c r="C32" s="50" t="str">
        <f t="shared" si="0"/>
        <v/>
      </c>
      <c r="D32" s="50" t="str">
        <f t="shared" si="1"/>
        <v/>
      </c>
      <c r="E32" s="51" t="str">
        <f t="shared" si="2"/>
        <v/>
      </c>
      <c r="F32" s="57"/>
      <c r="G32" s="52"/>
      <c r="H32" s="58"/>
      <c r="I32" s="59"/>
      <c r="J32" s="47"/>
      <c r="K32" s="47"/>
      <c r="L32" s="47"/>
      <c r="M32" s="47"/>
    </row>
    <row r="33" spans="2:13" ht="12.75" customHeight="1" x14ac:dyDescent="0.35">
      <c r="B33" s="53"/>
      <c r="C33" s="50" t="str">
        <f t="shared" si="0"/>
        <v/>
      </c>
      <c r="D33" s="50" t="str">
        <f t="shared" si="1"/>
        <v/>
      </c>
      <c r="E33" s="51" t="str">
        <f t="shared" si="2"/>
        <v/>
      </c>
      <c r="F33" s="57"/>
      <c r="G33" s="52"/>
      <c r="H33" s="58"/>
      <c r="I33" s="59"/>
      <c r="J33" s="47"/>
      <c r="K33" s="47"/>
      <c r="L33" s="47"/>
      <c r="M33" s="47"/>
    </row>
    <row r="34" spans="2:13" ht="12.75" customHeight="1" x14ac:dyDescent="0.35">
      <c r="B34" s="53"/>
      <c r="C34" s="50" t="str">
        <f t="shared" si="0"/>
        <v/>
      </c>
      <c r="D34" s="50" t="str">
        <f t="shared" si="1"/>
        <v/>
      </c>
      <c r="E34" s="51" t="str">
        <f t="shared" si="2"/>
        <v/>
      </c>
      <c r="F34" s="57"/>
      <c r="G34" s="52"/>
      <c r="H34" s="58"/>
      <c r="I34" s="59"/>
      <c r="J34" s="47"/>
      <c r="K34" s="47"/>
      <c r="L34" s="47"/>
      <c r="M34" s="47"/>
    </row>
    <row r="35" spans="2:13" ht="12.75" customHeight="1" x14ac:dyDescent="0.35">
      <c r="B35" s="53"/>
      <c r="C35" s="50" t="str">
        <f t="shared" si="0"/>
        <v/>
      </c>
      <c r="D35" s="50" t="str">
        <f t="shared" si="1"/>
        <v/>
      </c>
      <c r="E35" s="51" t="str">
        <f t="shared" si="2"/>
        <v/>
      </c>
      <c r="F35" s="57"/>
      <c r="G35" s="52"/>
      <c r="H35" s="58"/>
      <c r="I35" s="59"/>
      <c r="J35" s="47"/>
      <c r="K35" s="47"/>
      <c r="L35" s="47"/>
      <c r="M35" s="47"/>
    </row>
    <row r="36" spans="2:13" ht="12.75" customHeight="1" x14ac:dyDescent="0.35">
      <c r="B36" s="53"/>
      <c r="C36" s="50" t="str">
        <f t="shared" si="0"/>
        <v/>
      </c>
      <c r="D36" s="50" t="str">
        <f t="shared" si="1"/>
        <v/>
      </c>
      <c r="E36" s="51" t="str">
        <f t="shared" si="2"/>
        <v/>
      </c>
      <c r="F36" s="57"/>
      <c r="G36" s="52"/>
      <c r="H36" s="58"/>
      <c r="I36" s="59"/>
      <c r="J36" s="47"/>
      <c r="K36" s="47"/>
      <c r="L36" s="47"/>
      <c r="M36" s="47"/>
    </row>
    <row r="37" spans="2:13" ht="12.75" customHeight="1" x14ac:dyDescent="0.35">
      <c r="B37" s="53"/>
      <c r="C37" s="50" t="str">
        <f t="shared" si="0"/>
        <v/>
      </c>
      <c r="D37" s="50" t="str">
        <f t="shared" si="1"/>
        <v/>
      </c>
      <c r="E37" s="51" t="str">
        <f t="shared" si="2"/>
        <v/>
      </c>
      <c r="F37" s="57"/>
      <c r="G37" s="52"/>
      <c r="H37" s="58"/>
      <c r="I37" s="59"/>
      <c r="J37" s="47"/>
      <c r="K37" s="47"/>
      <c r="L37" s="47"/>
      <c r="M37" s="47"/>
    </row>
    <row r="38" spans="2:13" ht="12.75" customHeight="1" x14ac:dyDescent="0.35">
      <c r="B38" s="53"/>
      <c r="C38" s="50" t="str">
        <f t="shared" si="0"/>
        <v/>
      </c>
      <c r="D38" s="50" t="str">
        <f t="shared" si="1"/>
        <v/>
      </c>
      <c r="E38" s="51" t="str">
        <f t="shared" si="2"/>
        <v/>
      </c>
      <c r="F38" s="57"/>
      <c r="G38" s="52"/>
      <c r="H38" s="58"/>
      <c r="I38" s="59"/>
      <c r="J38" s="47"/>
      <c r="K38" s="47"/>
      <c r="L38" s="47"/>
      <c r="M38" s="47"/>
    </row>
    <row r="39" spans="2:13" ht="12.75" customHeight="1" x14ac:dyDescent="0.35">
      <c r="B39" s="53"/>
      <c r="C39" s="50" t="str">
        <f t="shared" si="0"/>
        <v/>
      </c>
      <c r="D39" s="50" t="str">
        <f t="shared" si="1"/>
        <v/>
      </c>
      <c r="E39" s="51" t="str">
        <f t="shared" si="2"/>
        <v/>
      </c>
      <c r="F39" s="57"/>
      <c r="G39" s="52"/>
      <c r="H39" s="58"/>
      <c r="I39" s="59"/>
      <c r="J39" s="47"/>
      <c r="K39" s="47"/>
      <c r="L39" s="47"/>
      <c r="M39" s="47"/>
    </row>
    <row r="40" spans="2:13" ht="12.75" customHeight="1" x14ac:dyDescent="0.35">
      <c r="B40" s="53"/>
      <c r="C40" s="50" t="str">
        <f t="shared" si="0"/>
        <v/>
      </c>
      <c r="D40" s="50" t="str">
        <f t="shared" si="1"/>
        <v/>
      </c>
      <c r="E40" s="51" t="str">
        <f t="shared" si="2"/>
        <v/>
      </c>
      <c r="F40" s="57"/>
      <c r="G40" s="52"/>
      <c r="H40" s="58"/>
      <c r="I40" s="59"/>
      <c r="J40" s="47"/>
      <c r="K40" s="47"/>
      <c r="L40" s="47"/>
      <c r="M40" s="47"/>
    </row>
    <row r="41" spans="2:13" ht="12.75" customHeight="1" x14ac:dyDescent="0.35">
      <c r="B41" s="53"/>
      <c r="C41" s="50" t="str">
        <f t="shared" si="0"/>
        <v/>
      </c>
      <c r="D41" s="50" t="str">
        <f t="shared" si="1"/>
        <v/>
      </c>
      <c r="E41" s="51" t="str">
        <f t="shared" si="2"/>
        <v/>
      </c>
      <c r="F41" s="57"/>
      <c r="G41" s="52"/>
      <c r="H41" s="58"/>
      <c r="I41" s="59"/>
      <c r="J41" s="47"/>
      <c r="K41" s="47"/>
      <c r="L41" s="47"/>
      <c r="M41" s="47"/>
    </row>
    <row r="42" spans="2:13" ht="12.75" customHeight="1" x14ac:dyDescent="0.35">
      <c r="B42" s="53"/>
      <c r="C42" s="50" t="str">
        <f t="shared" si="0"/>
        <v/>
      </c>
      <c r="D42" s="50" t="str">
        <f t="shared" si="1"/>
        <v/>
      </c>
      <c r="E42" s="51" t="str">
        <f t="shared" si="2"/>
        <v/>
      </c>
      <c r="F42" s="57"/>
      <c r="G42" s="52"/>
      <c r="H42" s="58"/>
      <c r="I42" s="59"/>
      <c r="J42" s="47"/>
      <c r="K42" s="47"/>
      <c r="L42" s="47"/>
      <c r="M42" s="47"/>
    </row>
    <row r="43" spans="2:13" ht="12.75" customHeight="1" x14ac:dyDescent="0.35">
      <c r="B43" s="53"/>
      <c r="C43" s="50" t="str">
        <f t="shared" si="0"/>
        <v/>
      </c>
      <c r="D43" s="50" t="str">
        <f t="shared" si="1"/>
        <v/>
      </c>
      <c r="E43" s="51" t="str">
        <f t="shared" si="2"/>
        <v/>
      </c>
      <c r="F43" s="57"/>
      <c r="G43" s="52"/>
      <c r="H43" s="58"/>
      <c r="I43" s="59"/>
      <c r="J43" s="47"/>
      <c r="K43" s="47"/>
      <c r="L43" s="47"/>
      <c r="M43" s="47"/>
    </row>
    <row r="44" spans="2:13" ht="12.75" customHeight="1" x14ac:dyDescent="0.35">
      <c r="B44" s="53"/>
      <c r="C44" s="50" t="str">
        <f t="shared" si="0"/>
        <v/>
      </c>
      <c r="D44" s="50" t="str">
        <f t="shared" si="1"/>
        <v/>
      </c>
      <c r="E44" s="51" t="str">
        <f t="shared" si="2"/>
        <v/>
      </c>
      <c r="F44" s="57"/>
      <c r="G44" s="52"/>
      <c r="H44" s="58"/>
      <c r="I44" s="59"/>
      <c r="J44" s="47"/>
      <c r="K44" s="47"/>
      <c r="L44" s="47"/>
      <c r="M44" s="47"/>
    </row>
    <row r="45" spans="2:13" ht="12.75" customHeight="1" x14ac:dyDescent="0.35">
      <c r="B45" s="53"/>
      <c r="C45" s="50" t="str">
        <f t="shared" si="0"/>
        <v/>
      </c>
      <c r="D45" s="50" t="str">
        <f t="shared" si="1"/>
        <v/>
      </c>
      <c r="E45" s="51" t="str">
        <f t="shared" si="2"/>
        <v/>
      </c>
      <c r="F45" s="57"/>
      <c r="G45" s="52"/>
      <c r="H45" s="58"/>
      <c r="I45" s="59"/>
      <c r="J45" s="47"/>
      <c r="K45" s="47"/>
      <c r="L45" s="47"/>
      <c r="M45" s="47"/>
    </row>
    <row r="46" spans="2:13" ht="12.75" customHeight="1" x14ac:dyDescent="0.35">
      <c r="B46" s="53"/>
      <c r="C46" s="50" t="str">
        <f t="shared" si="0"/>
        <v/>
      </c>
      <c r="D46" s="50" t="str">
        <f t="shared" si="1"/>
        <v/>
      </c>
      <c r="E46" s="51" t="str">
        <f t="shared" si="2"/>
        <v/>
      </c>
      <c r="F46" s="57"/>
      <c r="G46" s="52"/>
      <c r="H46" s="58"/>
      <c r="I46" s="59"/>
      <c r="J46" s="47"/>
      <c r="K46" s="47"/>
      <c r="L46" s="47"/>
      <c r="M46" s="47"/>
    </row>
    <row r="47" spans="2:13" ht="12.75" customHeight="1" x14ac:dyDescent="0.35">
      <c r="B47" s="53"/>
      <c r="C47" s="50" t="str">
        <f t="shared" si="0"/>
        <v/>
      </c>
      <c r="D47" s="50" t="str">
        <f t="shared" si="1"/>
        <v/>
      </c>
      <c r="E47" s="51" t="str">
        <f t="shared" si="2"/>
        <v/>
      </c>
      <c r="F47" s="57"/>
      <c r="G47" s="52"/>
      <c r="H47" s="58"/>
      <c r="I47" s="59"/>
      <c r="J47" s="47"/>
      <c r="K47" s="47"/>
      <c r="L47" s="47"/>
      <c r="M47" s="47"/>
    </row>
    <row r="48" spans="2:13" ht="12.75" customHeight="1" x14ac:dyDescent="0.35">
      <c r="B48" s="53"/>
      <c r="C48" s="50" t="str">
        <f t="shared" si="0"/>
        <v/>
      </c>
      <c r="D48" s="50" t="str">
        <f t="shared" si="1"/>
        <v/>
      </c>
      <c r="E48" s="51" t="str">
        <f t="shared" si="2"/>
        <v/>
      </c>
      <c r="F48" s="57"/>
      <c r="G48" s="52"/>
      <c r="H48" s="58"/>
      <c r="I48" s="59"/>
      <c r="J48" s="47"/>
      <c r="K48" s="47"/>
      <c r="L48" s="47"/>
      <c r="M48" s="47"/>
    </row>
    <row r="49" spans="2:13" ht="12.75" customHeight="1" x14ac:dyDescent="0.35">
      <c r="B49" s="53"/>
      <c r="C49" s="50" t="str">
        <f t="shared" si="0"/>
        <v/>
      </c>
      <c r="D49" s="50" t="str">
        <f t="shared" si="1"/>
        <v/>
      </c>
      <c r="E49" s="51" t="str">
        <f t="shared" si="2"/>
        <v/>
      </c>
      <c r="F49" s="57"/>
      <c r="G49" s="52"/>
      <c r="H49" s="58"/>
      <c r="I49" s="59"/>
      <c r="J49" s="47"/>
      <c r="K49" s="47"/>
      <c r="L49" s="47"/>
      <c r="M49" s="47"/>
    </row>
    <row r="50" spans="2:13" ht="12.75" customHeight="1" x14ac:dyDescent="0.35">
      <c r="B50" s="53"/>
      <c r="C50" s="50" t="str">
        <f t="shared" si="0"/>
        <v/>
      </c>
      <c r="D50" s="50" t="str">
        <f t="shared" si="1"/>
        <v/>
      </c>
      <c r="E50" s="51" t="str">
        <f t="shared" si="2"/>
        <v/>
      </c>
      <c r="F50" s="57"/>
      <c r="G50" s="52"/>
      <c r="H50" s="58"/>
      <c r="I50" s="59"/>
      <c r="J50" s="47"/>
      <c r="K50" s="47"/>
      <c r="L50" s="47"/>
      <c r="M50" s="47"/>
    </row>
    <row r="51" spans="2:13" ht="12.75" customHeight="1" x14ac:dyDescent="0.35">
      <c r="B51" s="53"/>
      <c r="C51" s="50" t="str">
        <f t="shared" si="0"/>
        <v/>
      </c>
      <c r="D51" s="50" t="str">
        <f t="shared" si="1"/>
        <v/>
      </c>
      <c r="E51" s="51" t="str">
        <f t="shared" si="2"/>
        <v/>
      </c>
      <c r="F51" s="57"/>
      <c r="G51" s="52"/>
      <c r="H51" s="58"/>
      <c r="I51" s="59"/>
      <c r="J51" s="47"/>
      <c r="K51" s="47"/>
      <c r="L51" s="47"/>
      <c r="M51" s="47"/>
    </row>
    <row r="52" spans="2:13" ht="12.75" customHeight="1" x14ac:dyDescent="0.35">
      <c r="B52" s="53"/>
      <c r="C52" s="50" t="str">
        <f t="shared" si="0"/>
        <v/>
      </c>
      <c r="D52" s="50" t="str">
        <f t="shared" si="1"/>
        <v/>
      </c>
      <c r="E52" s="51" t="str">
        <f t="shared" si="2"/>
        <v/>
      </c>
      <c r="F52" s="57"/>
      <c r="G52" s="52"/>
      <c r="H52" s="58"/>
      <c r="I52" s="59"/>
      <c r="J52" s="47"/>
      <c r="K52" s="47"/>
      <c r="L52" s="47"/>
      <c r="M52" s="47"/>
    </row>
    <row r="53" spans="2:13" ht="12.75" customHeight="1" x14ac:dyDescent="0.35">
      <c r="B53" s="53"/>
      <c r="C53" s="50" t="str">
        <f t="shared" si="0"/>
        <v/>
      </c>
      <c r="D53" s="50" t="str">
        <f t="shared" si="1"/>
        <v/>
      </c>
      <c r="E53" s="51" t="str">
        <f t="shared" si="2"/>
        <v/>
      </c>
      <c r="F53" s="57"/>
      <c r="G53" s="52"/>
      <c r="H53" s="58"/>
      <c r="I53" s="59"/>
      <c r="J53" s="47"/>
      <c r="K53" s="47"/>
      <c r="L53" s="47"/>
      <c r="M53" s="47"/>
    </row>
    <row r="54" spans="2:13" ht="12.75" customHeight="1" x14ac:dyDescent="0.35">
      <c r="B54" s="53"/>
      <c r="C54" s="50" t="str">
        <f t="shared" si="0"/>
        <v/>
      </c>
      <c r="D54" s="50" t="str">
        <f t="shared" si="1"/>
        <v/>
      </c>
      <c r="E54" s="51" t="str">
        <f t="shared" si="2"/>
        <v/>
      </c>
      <c r="F54" s="57"/>
      <c r="G54" s="52"/>
      <c r="H54" s="58"/>
      <c r="I54" s="59"/>
      <c r="J54" s="47"/>
      <c r="K54" s="47"/>
      <c r="L54" s="47"/>
      <c r="M54" s="47"/>
    </row>
    <row r="55" spans="2:13" ht="12.75" customHeight="1" x14ac:dyDescent="0.35">
      <c r="B55" s="53"/>
      <c r="C55" s="50" t="str">
        <f t="shared" si="0"/>
        <v/>
      </c>
      <c r="D55" s="50" t="str">
        <f t="shared" si="1"/>
        <v/>
      </c>
      <c r="E55" s="51" t="str">
        <f t="shared" si="2"/>
        <v/>
      </c>
      <c r="F55" s="57"/>
      <c r="G55" s="52"/>
      <c r="H55" s="58"/>
      <c r="I55" s="59"/>
      <c r="J55" s="47"/>
      <c r="K55" s="47"/>
      <c r="L55" s="47"/>
      <c r="M55" s="47"/>
    </row>
    <row r="56" spans="2:13" ht="12.75" customHeight="1" x14ac:dyDescent="0.35">
      <c r="B56" s="53"/>
      <c r="C56" s="50" t="str">
        <f t="shared" si="0"/>
        <v/>
      </c>
      <c r="D56" s="50" t="str">
        <f t="shared" si="1"/>
        <v/>
      </c>
      <c r="E56" s="51" t="str">
        <f t="shared" si="2"/>
        <v/>
      </c>
      <c r="F56" s="57"/>
      <c r="G56" s="52"/>
      <c r="H56" s="58"/>
      <c r="I56" s="59"/>
      <c r="J56" s="47"/>
      <c r="K56" s="47"/>
      <c r="L56" s="47"/>
      <c r="M56" s="47"/>
    </row>
    <row r="57" spans="2:13" ht="12.75" customHeight="1" x14ac:dyDescent="0.35">
      <c r="B57" s="53"/>
      <c r="C57" s="50" t="str">
        <f t="shared" si="0"/>
        <v/>
      </c>
      <c r="D57" s="50" t="str">
        <f t="shared" si="1"/>
        <v/>
      </c>
      <c r="E57" s="51" t="str">
        <f t="shared" si="2"/>
        <v/>
      </c>
      <c r="F57" s="57"/>
      <c r="G57" s="52"/>
      <c r="H57" s="58"/>
      <c r="I57" s="59"/>
      <c r="J57" s="47"/>
      <c r="K57" s="47"/>
      <c r="L57" s="47"/>
      <c r="M57" s="47"/>
    </row>
    <row r="58" spans="2:13" ht="12.75" customHeight="1" x14ac:dyDescent="0.35">
      <c r="B58" s="53"/>
      <c r="C58" s="50" t="str">
        <f t="shared" si="0"/>
        <v/>
      </c>
      <c r="D58" s="50" t="str">
        <f t="shared" si="1"/>
        <v/>
      </c>
      <c r="E58" s="51" t="str">
        <f t="shared" si="2"/>
        <v/>
      </c>
      <c r="F58" s="57"/>
      <c r="G58" s="52"/>
      <c r="H58" s="58"/>
      <c r="I58" s="59"/>
      <c r="J58" s="47"/>
      <c r="K58" s="47"/>
      <c r="L58" s="47"/>
      <c r="M58" s="47"/>
    </row>
    <row r="59" spans="2:13" ht="12.75" customHeight="1" x14ac:dyDescent="0.35">
      <c r="B59" s="53"/>
      <c r="C59" s="50" t="str">
        <f t="shared" si="0"/>
        <v/>
      </c>
      <c r="D59" s="50" t="str">
        <f t="shared" si="1"/>
        <v/>
      </c>
      <c r="E59" s="51" t="str">
        <f t="shared" si="2"/>
        <v/>
      </c>
      <c r="F59" s="57"/>
      <c r="G59" s="52"/>
      <c r="H59" s="58"/>
      <c r="I59" s="59"/>
      <c r="J59" s="47"/>
      <c r="K59" s="47"/>
      <c r="L59" s="47"/>
      <c r="M59" s="47"/>
    </row>
    <row r="60" spans="2:13" ht="12.75" customHeight="1" x14ac:dyDescent="0.35">
      <c r="B60" s="53"/>
      <c r="C60" s="50" t="str">
        <f t="shared" si="0"/>
        <v/>
      </c>
      <c r="D60" s="50" t="str">
        <f t="shared" si="1"/>
        <v/>
      </c>
      <c r="E60" s="51" t="str">
        <f t="shared" si="2"/>
        <v/>
      </c>
      <c r="F60" s="57"/>
      <c r="G60" s="52"/>
      <c r="H60" s="58"/>
      <c r="I60" s="59"/>
      <c r="J60" s="47"/>
      <c r="K60" s="47"/>
      <c r="L60" s="47"/>
      <c r="M60" s="47"/>
    </row>
    <row r="61" spans="2:13" ht="12.75" customHeight="1" x14ac:dyDescent="0.35">
      <c r="B61" s="53"/>
      <c r="C61" s="50" t="str">
        <f t="shared" si="0"/>
        <v/>
      </c>
      <c r="D61" s="50" t="str">
        <f t="shared" si="1"/>
        <v/>
      </c>
      <c r="E61" s="51" t="str">
        <f t="shared" si="2"/>
        <v/>
      </c>
      <c r="F61" s="57"/>
      <c r="G61" s="52"/>
      <c r="H61" s="58"/>
      <c r="I61" s="59"/>
      <c r="J61" s="47"/>
      <c r="K61" s="47"/>
      <c r="L61" s="47"/>
      <c r="M61" s="47"/>
    </row>
    <row r="62" spans="2:13" ht="12.75" customHeight="1" x14ac:dyDescent="0.35">
      <c r="B62" s="53"/>
      <c r="C62" s="50" t="str">
        <f t="shared" si="0"/>
        <v/>
      </c>
      <c r="D62" s="50" t="str">
        <f t="shared" si="1"/>
        <v/>
      </c>
      <c r="E62" s="51" t="str">
        <f t="shared" si="2"/>
        <v/>
      </c>
      <c r="F62" s="57"/>
      <c r="G62" s="52"/>
      <c r="H62" s="58"/>
      <c r="I62" s="59"/>
      <c r="J62" s="47"/>
      <c r="K62" s="47"/>
      <c r="L62" s="47"/>
      <c r="M62" s="47"/>
    </row>
    <row r="63" spans="2:13" ht="12.75" customHeight="1" x14ac:dyDescent="0.35">
      <c r="B63" s="53"/>
      <c r="C63" s="50" t="str">
        <f t="shared" si="0"/>
        <v/>
      </c>
      <c r="D63" s="50" t="str">
        <f t="shared" si="1"/>
        <v/>
      </c>
      <c r="E63" s="51" t="str">
        <f t="shared" si="2"/>
        <v/>
      </c>
      <c r="F63" s="57"/>
      <c r="G63" s="52"/>
      <c r="H63" s="58"/>
      <c r="I63" s="59"/>
      <c r="J63" s="47"/>
      <c r="K63" s="47"/>
      <c r="L63" s="47"/>
      <c r="M63" s="47"/>
    </row>
    <row r="64" spans="2:13" ht="12.75" customHeight="1" x14ac:dyDescent="0.35">
      <c r="B64" s="53"/>
      <c r="C64" s="50" t="str">
        <f t="shared" si="0"/>
        <v/>
      </c>
      <c r="D64" s="50" t="str">
        <f t="shared" si="1"/>
        <v/>
      </c>
      <c r="E64" s="51" t="str">
        <f t="shared" si="2"/>
        <v/>
      </c>
      <c r="F64" s="57"/>
      <c r="G64" s="52"/>
      <c r="H64" s="58"/>
      <c r="I64" s="59"/>
      <c r="J64" s="47"/>
      <c r="K64" s="47"/>
      <c r="L64" s="47"/>
      <c r="M64" s="47"/>
    </row>
    <row r="65" spans="2:13" ht="12.75" customHeight="1" x14ac:dyDescent="0.35">
      <c r="B65" s="53"/>
      <c r="C65" s="50" t="str">
        <f t="shared" si="0"/>
        <v/>
      </c>
      <c r="D65" s="50" t="str">
        <f t="shared" si="1"/>
        <v/>
      </c>
      <c r="E65" s="51" t="str">
        <f t="shared" si="2"/>
        <v/>
      </c>
      <c r="F65" s="57"/>
      <c r="G65" s="52"/>
      <c r="H65" s="58"/>
      <c r="I65" s="59"/>
      <c r="J65" s="47"/>
      <c r="K65" s="47"/>
      <c r="L65" s="47"/>
      <c r="M65" s="47"/>
    </row>
    <row r="66" spans="2:13" ht="12.75" customHeight="1" x14ac:dyDescent="0.35">
      <c r="B66" s="53"/>
      <c r="C66" s="50" t="str">
        <f t="shared" si="0"/>
        <v/>
      </c>
      <c r="D66" s="50" t="str">
        <f t="shared" si="1"/>
        <v/>
      </c>
      <c r="E66" s="51" t="str">
        <f t="shared" si="2"/>
        <v/>
      </c>
      <c r="F66" s="57"/>
      <c r="G66" s="52"/>
      <c r="H66" s="58"/>
      <c r="I66" s="59"/>
      <c r="J66" s="47"/>
      <c r="K66" s="47"/>
      <c r="L66" s="47"/>
      <c r="M66" s="47"/>
    </row>
    <row r="67" spans="2:13" ht="12.75" customHeight="1" x14ac:dyDescent="0.35">
      <c r="B67" s="53"/>
      <c r="C67" s="50" t="str">
        <f t="shared" si="0"/>
        <v/>
      </c>
      <c r="D67" s="50" t="str">
        <f t="shared" si="1"/>
        <v/>
      </c>
      <c r="E67" s="51" t="str">
        <f t="shared" si="2"/>
        <v/>
      </c>
      <c r="F67" s="57"/>
      <c r="G67" s="52"/>
      <c r="H67" s="58"/>
      <c r="I67" s="59"/>
      <c r="J67" s="47"/>
      <c r="K67" s="47"/>
      <c r="L67" s="47"/>
      <c r="M67" s="47"/>
    </row>
    <row r="68" spans="2:13" ht="12.75" customHeight="1" x14ac:dyDescent="0.35">
      <c r="B68" s="53"/>
      <c r="C68" s="50" t="str">
        <f t="shared" si="0"/>
        <v/>
      </c>
      <c r="D68" s="50" t="str">
        <f t="shared" si="1"/>
        <v/>
      </c>
      <c r="E68" s="51" t="str">
        <f t="shared" si="2"/>
        <v/>
      </c>
      <c r="F68" s="57"/>
      <c r="G68" s="52"/>
      <c r="H68" s="58"/>
      <c r="I68" s="59"/>
      <c r="J68" s="47"/>
      <c r="K68" s="47"/>
      <c r="L68" s="47"/>
      <c r="M68" s="47"/>
    </row>
    <row r="69" spans="2:13" ht="12.75" customHeight="1" x14ac:dyDescent="0.35">
      <c r="B69" s="53"/>
      <c r="C69" s="50" t="str">
        <f t="shared" si="0"/>
        <v/>
      </c>
      <c r="D69" s="50" t="str">
        <f t="shared" si="1"/>
        <v/>
      </c>
      <c r="E69" s="51" t="str">
        <f t="shared" si="2"/>
        <v/>
      </c>
      <c r="F69" s="57"/>
      <c r="G69" s="52"/>
      <c r="H69" s="58"/>
      <c r="I69" s="59"/>
      <c r="J69" s="47"/>
      <c r="K69" s="47"/>
      <c r="L69" s="47"/>
      <c r="M69" s="47"/>
    </row>
    <row r="70" spans="2:13" ht="12.75" customHeight="1" x14ac:dyDescent="0.35">
      <c r="B70" s="53"/>
      <c r="C70" s="50" t="str">
        <f t="shared" ref="C70:C133" si="3">IF(B70=0,"",YEAR(B70))</f>
        <v/>
      </c>
      <c r="D70" s="50" t="str">
        <f t="shared" ref="D70:D133" si="4">IF(B70=0,"",MONTH(B70)&amp;"월")</f>
        <v/>
      </c>
      <c r="E70" s="51" t="str">
        <f t="shared" ref="E70:E133" si="5">IF(B70=0,"",DAY(B70)&amp;"일")</f>
        <v/>
      </c>
      <c r="F70" s="57"/>
      <c r="G70" s="52"/>
      <c r="H70" s="58"/>
      <c r="I70" s="59"/>
      <c r="J70" s="47"/>
      <c r="K70" s="47"/>
      <c r="L70" s="47"/>
      <c r="M70" s="47"/>
    </row>
    <row r="71" spans="2:13" ht="12.75" customHeight="1" x14ac:dyDescent="0.35">
      <c r="B71" s="53"/>
      <c r="C71" s="50" t="str">
        <f t="shared" si="3"/>
        <v/>
      </c>
      <c r="D71" s="50" t="str">
        <f t="shared" si="4"/>
        <v/>
      </c>
      <c r="E71" s="51" t="str">
        <f t="shared" si="5"/>
        <v/>
      </c>
      <c r="F71" s="57"/>
      <c r="G71" s="52"/>
      <c r="H71" s="58"/>
      <c r="I71" s="59"/>
      <c r="J71" s="47"/>
      <c r="K71" s="47"/>
      <c r="L71" s="47"/>
      <c r="M71" s="47"/>
    </row>
    <row r="72" spans="2:13" ht="12.75" customHeight="1" x14ac:dyDescent="0.35">
      <c r="B72" s="53"/>
      <c r="C72" s="50" t="str">
        <f t="shared" si="3"/>
        <v/>
      </c>
      <c r="D72" s="50" t="str">
        <f t="shared" si="4"/>
        <v/>
      </c>
      <c r="E72" s="51" t="str">
        <f t="shared" si="5"/>
        <v/>
      </c>
      <c r="F72" s="57"/>
      <c r="G72" s="52"/>
      <c r="H72" s="58"/>
      <c r="I72" s="59"/>
      <c r="J72" s="47"/>
      <c r="K72" s="47"/>
      <c r="L72" s="47"/>
      <c r="M72" s="47"/>
    </row>
    <row r="73" spans="2:13" ht="12.75" customHeight="1" x14ac:dyDescent="0.35">
      <c r="B73" s="53"/>
      <c r="C73" s="50" t="str">
        <f t="shared" si="3"/>
        <v/>
      </c>
      <c r="D73" s="50" t="str">
        <f t="shared" si="4"/>
        <v/>
      </c>
      <c r="E73" s="51" t="str">
        <f t="shared" si="5"/>
        <v/>
      </c>
      <c r="F73" s="57"/>
      <c r="G73" s="52"/>
      <c r="H73" s="58"/>
      <c r="I73" s="59"/>
      <c r="J73" s="47"/>
      <c r="K73" s="47"/>
      <c r="L73" s="47"/>
      <c r="M73" s="47"/>
    </row>
    <row r="74" spans="2:13" ht="12.75" customHeight="1" x14ac:dyDescent="0.35">
      <c r="B74" s="53"/>
      <c r="C74" s="50" t="str">
        <f t="shared" si="3"/>
        <v/>
      </c>
      <c r="D74" s="50" t="str">
        <f t="shared" si="4"/>
        <v/>
      </c>
      <c r="E74" s="51" t="str">
        <f t="shared" si="5"/>
        <v/>
      </c>
      <c r="F74" s="57"/>
      <c r="G74" s="52"/>
      <c r="H74" s="58"/>
      <c r="I74" s="59"/>
      <c r="J74" s="47"/>
      <c r="K74" s="47"/>
      <c r="L74" s="47"/>
      <c r="M74" s="47"/>
    </row>
    <row r="75" spans="2:13" ht="12.75" customHeight="1" x14ac:dyDescent="0.35">
      <c r="B75" s="53"/>
      <c r="C75" s="50" t="str">
        <f t="shared" si="3"/>
        <v/>
      </c>
      <c r="D75" s="50" t="str">
        <f t="shared" si="4"/>
        <v/>
      </c>
      <c r="E75" s="51" t="str">
        <f t="shared" si="5"/>
        <v/>
      </c>
      <c r="F75" s="57"/>
      <c r="G75" s="52"/>
      <c r="H75" s="58"/>
      <c r="I75" s="59"/>
      <c r="J75" s="47"/>
      <c r="K75" s="47"/>
      <c r="L75" s="47"/>
      <c r="M75" s="47"/>
    </row>
    <row r="76" spans="2:13" ht="12.75" customHeight="1" x14ac:dyDescent="0.35">
      <c r="B76" s="53"/>
      <c r="C76" s="50" t="str">
        <f t="shared" si="3"/>
        <v/>
      </c>
      <c r="D76" s="50" t="str">
        <f t="shared" si="4"/>
        <v/>
      </c>
      <c r="E76" s="51" t="str">
        <f t="shared" si="5"/>
        <v/>
      </c>
      <c r="F76" s="57"/>
      <c r="G76" s="52"/>
      <c r="H76" s="58"/>
      <c r="I76" s="59"/>
      <c r="J76" s="47"/>
      <c r="K76" s="47"/>
      <c r="L76" s="47"/>
      <c r="M76" s="47"/>
    </row>
    <row r="77" spans="2:13" ht="12.75" customHeight="1" x14ac:dyDescent="0.35">
      <c r="B77" s="53"/>
      <c r="C77" s="50" t="str">
        <f t="shared" si="3"/>
        <v/>
      </c>
      <c r="D77" s="50" t="str">
        <f t="shared" si="4"/>
        <v/>
      </c>
      <c r="E77" s="51" t="str">
        <f t="shared" si="5"/>
        <v/>
      </c>
      <c r="F77" s="57"/>
      <c r="G77" s="52"/>
      <c r="H77" s="58"/>
      <c r="I77" s="59"/>
      <c r="J77" s="47"/>
      <c r="K77" s="47"/>
      <c r="L77" s="47"/>
      <c r="M77" s="47"/>
    </row>
    <row r="78" spans="2:13" ht="12.75" customHeight="1" x14ac:dyDescent="0.35">
      <c r="B78" s="53"/>
      <c r="C78" s="50" t="str">
        <f t="shared" si="3"/>
        <v/>
      </c>
      <c r="D78" s="50" t="str">
        <f t="shared" si="4"/>
        <v/>
      </c>
      <c r="E78" s="51" t="str">
        <f t="shared" si="5"/>
        <v/>
      </c>
      <c r="F78" s="57"/>
      <c r="G78" s="52"/>
      <c r="H78" s="58"/>
      <c r="I78" s="59"/>
      <c r="J78" s="47"/>
      <c r="K78" s="47"/>
      <c r="L78" s="47"/>
      <c r="M78" s="47"/>
    </row>
    <row r="79" spans="2:13" ht="12.75" customHeight="1" x14ac:dyDescent="0.35">
      <c r="B79" s="53"/>
      <c r="C79" s="50" t="str">
        <f t="shared" si="3"/>
        <v/>
      </c>
      <c r="D79" s="50" t="str">
        <f t="shared" si="4"/>
        <v/>
      </c>
      <c r="E79" s="51" t="str">
        <f t="shared" si="5"/>
        <v/>
      </c>
      <c r="F79" s="57"/>
      <c r="G79" s="52"/>
      <c r="H79" s="58"/>
      <c r="I79" s="59"/>
      <c r="J79" s="47"/>
      <c r="K79" s="47"/>
      <c r="L79" s="47"/>
      <c r="M79" s="47"/>
    </row>
    <row r="80" spans="2:13" ht="12.75" customHeight="1" x14ac:dyDescent="0.35">
      <c r="B80" s="53"/>
      <c r="C80" s="50" t="str">
        <f t="shared" si="3"/>
        <v/>
      </c>
      <c r="D80" s="50" t="str">
        <f t="shared" si="4"/>
        <v/>
      </c>
      <c r="E80" s="51" t="str">
        <f t="shared" si="5"/>
        <v/>
      </c>
      <c r="F80" s="57"/>
      <c r="G80" s="52"/>
      <c r="H80" s="58"/>
      <c r="I80" s="59"/>
      <c r="J80" s="47"/>
      <c r="K80" s="47"/>
      <c r="L80" s="47"/>
      <c r="M80" s="47"/>
    </row>
    <row r="81" spans="2:13" ht="12.75" customHeight="1" x14ac:dyDescent="0.35">
      <c r="B81" s="53"/>
      <c r="C81" s="50" t="str">
        <f t="shared" si="3"/>
        <v/>
      </c>
      <c r="D81" s="50" t="str">
        <f t="shared" si="4"/>
        <v/>
      </c>
      <c r="E81" s="51" t="str">
        <f t="shared" si="5"/>
        <v/>
      </c>
      <c r="F81" s="57"/>
      <c r="G81" s="52"/>
      <c r="H81" s="58"/>
      <c r="I81" s="59"/>
      <c r="J81" s="47"/>
      <c r="K81" s="47"/>
      <c r="L81" s="47"/>
      <c r="M81" s="47"/>
    </row>
    <row r="82" spans="2:13" ht="12.75" customHeight="1" x14ac:dyDescent="0.35">
      <c r="B82" s="53"/>
      <c r="C82" s="50" t="str">
        <f t="shared" si="3"/>
        <v/>
      </c>
      <c r="D82" s="50" t="str">
        <f t="shared" si="4"/>
        <v/>
      </c>
      <c r="E82" s="51" t="str">
        <f t="shared" si="5"/>
        <v/>
      </c>
      <c r="F82" s="57"/>
      <c r="G82" s="52"/>
      <c r="H82" s="58"/>
      <c r="I82" s="59"/>
      <c r="J82" s="47"/>
      <c r="K82" s="47"/>
      <c r="L82" s="47"/>
      <c r="M82" s="47"/>
    </row>
    <row r="83" spans="2:13" ht="12.75" customHeight="1" x14ac:dyDescent="0.35">
      <c r="B83" s="53"/>
      <c r="C83" s="50" t="str">
        <f t="shared" si="3"/>
        <v/>
      </c>
      <c r="D83" s="50" t="str">
        <f t="shared" si="4"/>
        <v/>
      </c>
      <c r="E83" s="51" t="str">
        <f t="shared" si="5"/>
        <v/>
      </c>
      <c r="F83" s="57"/>
      <c r="G83" s="52"/>
      <c r="H83" s="58"/>
      <c r="I83" s="59"/>
      <c r="J83" s="47"/>
      <c r="K83" s="47"/>
      <c r="L83" s="47"/>
      <c r="M83" s="47"/>
    </row>
    <row r="84" spans="2:13" ht="12.75" customHeight="1" x14ac:dyDescent="0.35">
      <c r="B84" s="53"/>
      <c r="C84" s="50" t="str">
        <f t="shared" si="3"/>
        <v/>
      </c>
      <c r="D84" s="50" t="str">
        <f t="shared" si="4"/>
        <v/>
      </c>
      <c r="E84" s="51" t="str">
        <f t="shared" si="5"/>
        <v/>
      </c>
      <c r="F84" s="57"/>
      <c r="G84" s="52"/>
      <c r="H84" s="58"/>
      <c r="I84" s="59"/>
      <c r="J84" s="47"/>
      <c r="K84" s="47"/>
      <c r="L84" s="47"/>
      <c r="M84" s="47"/>
    </row>
    <row r="85" spans="2:13" ht="12.75" customHeight="1" x14ac:dyDescent="0.35">
      <c r="B85" s="53"/>
      <c r="C85" s="50" t="str">
        <f t="shared" si="3"/>
        <v/>
      </c>
      <c r="D85" s="50" t="str">
        <f t="shared" si="4"/>
        <v/>
      </c>
      <c r="E85" s="51" t="str">
        <f t="shared" si="5"/>
        <v/>
      </c>
      <c r="F85" s="57"/>
      <c r="G85" s="52"/>
      <c r="H85" s="58"/>
      <c r="I85" s="59"/>
      <c r="J85" s="47"/>
      <c r="K85" s="47"/>
      <c r="L85" s="47"/>
      <c r="M85" s="47"/>
    </row>
    <row r="86" spans="2:13" ht="12.75" customHeight="1" x14ac:dyDescent="0.35">
      <c r="B86" s="53"/>
      <c r="C86" s="50" t="str">
        <f t="shared" si="3"/>
        <v/>
      </c>
      <c r="D86" s="50" t="str">
        <f t="shared" si="4"/>
        <v/>
      </c>
      <c r="E86" s="51" t="str">
        <f t="shared" si="5"/>
        <v/>
      </c>
      <c r="F86" s="57"/>
      <c r="G86" s="52"/>
      <c r="H86" s="58"/>
      <c r="I86" s="59"/>
      <c r="J86" s="47"/>
      <c r="K86" s="47"/>
      <c r="L86" s="47"/>
      <c r="M86" s="47"/>
    </row>
    <row r="87" spans="2:13" ht="12.75" customHeight="1" x14ac:dyDescent="0.35">
      <c r="B87" s="53"/>
      <c r="C87" s="50" t="str">
        <f t="shared" si="3"/>
        <v/>
      </c>
      <c r="D87" s="50" t="str">
        <f t="shared" si="4"/>
        <v/>
      </c>
      <c r="E87" s="51" t="str">
        <f t="shared" si="5"/>
        <v/>
      </c>
      <c r="F87" s="57"/>
      <c r="G87" s="52"/>
      <c r="H87" s="58"/>
      <c r="I87" s="59"/>
      <c r="J87" s="47"/>
      <c r="K87" s="47"/>
      <c r="L87" s="47"/>
      <c r="M87" s="47"/>
    </row>
    <row r="88" spans="2:13" ht="12.75" customHeight="1" x14ac:dyDescent="0.35">
      <c r="B88" s="53"/>
      <c r="C88" s="50" t="str">
        <f t="shared" si="3"/>
        <v/>
      </c>
      <c r="D88" s="50" t="str">
        <f t="shared" si="4"/>
        <v/>
      </c>
      <c r="E88" s="51" t="str">
        <f t="shared" si="5"/>
        <v/>
      </c>
      <c r="F88" s="57"/>
      <c r="G88" s="52"/>
      <c r="H88" s="58"/>
      <c r="I88" s="59"/>
      <c r="J88" s="47"/>
      <c r="K88" s="47"/>
      <c r="L88" s="47"/>
      <c r="M88" s="47"/>
    </row>
    <row r="89" spans="2:13" ht="12.75" customHeight="1" x14ac:dyDescent="0.35">
      <c r="B89" s="53"/>
      <c r="C89" s="50" t="str">
        <f t="shared" si="3"/>
        <v/>
      </c>
      <c r="D89" s="50" t="str">
        <f t="shared" si="4"/>
        <v/>
      </c>
      <c r="E89" s="51" t="str">
        <f t="shared" si="5"/>
        <v/>
      </c>
      <c r="F89" s="57"/>
      <c r="G89" s="52"/>
      <c r="H89" s="58"/>
      <c r="I89" s="59"/>
      <c r="J89" s="47"/>
      <c r="K89" s="47"/>
      <c r="L89" s="47"/>
      <c r="M89" s="47"/>
    </row>
    <row r="90" spans="2:13" ht="12.75" customHeight="1" x14ac:dyDescent="0.35">
      <c r="B90" s="53"/>
      <c r="C90" s="50" t="str">
        <f t="shared" si="3"/>
        <v/>
      </c>
      <c r="D90" s="50" t="str">
        <f t="shared" si="4"/>
        <v/>
      </c>
      <c r="E90" s="51" t="str">
        <f t="shared" si="5"/>
        <v/>
      </c>
      <c r="F90" s="57"/>
      <c r="G90" s="52"/>
      <c r="H90" s="58"/>
      <c r="I90" s="59"/>
      <c r="J90" s="47"/>
      <c r="K90" s="47"/>
      <c r="L90" s="47"/>
      <c r="M90" s="47"/>
    </row>
    <row r="91" spans="2:13" ht="12.75" customHeight="1" x14ac:dyDescent="0.35">
      <c r="B91" s="53"/>
      <c r="C91" s="50" t="str">
        <f t="shared" si="3"/>
        <v/>
      </c>
      <c r="D91" s="50" t="str">
        <f t="shared" si="4"/>
        <v/>
      </c>
      <c r="E91" s="51" t="str">
        <f t="shared" si="5"/>
        <v/>
      </c>
      <c r="F91" s="57"/>
      <c r="G91" s="52"/>
      <c r="H91" s="58"/>
      <c r="I91" s="59"/>
      <c r="J91" s="47"/>
      <c r="K91" s="47"/>
      <c r="L91" s="47"/>
      <c r="M91" s="47"/>
    </row>
    <row r="92" spans="2:13" ht="12.75" customHeight="1" x14ac:dyDescent="0.35">
      <c r="B92" s="53"/>
      <c r="C92" s="50" t="str">
        <f t="shared" si="3"/>
        <v/>
      </c>
      <c r="D92" s="50" t="str">
        <f t="shared" si="4"/>
        <v/>
      </c>
      <c r="E92" s="51" t="str">
        <f t="shared" si="5"/>
        <v/>
      </c>
      <c r="F92" s="57"/>
      <c r="G92" s="52"/>
      <c r="H92" s="58"/>
      <c r="I92" s="59"/>
      <c r="J92" s="47"/>
      <c r="K92" s="47"/>
      <c r="L92" s="47"/>
      <c r="M92" s="47"/>
    </row>
    <row r="93" spans="2:13" ht="12.75" customHeight="1" x14ac:dyDescent="0.35">
      <c r="B93" s="53"/>
      <c r="C93" s="50" t="str">
        <f t="shared" si="3"/>
        <v/>
      </c>
      <c r="D93" s="50" t="str">
        <f t="shared" si="4"/>
        <v/>
      </c>
      <c r="E93" s="51" t="str">
        <f t="shared" si="5"/>
        <v/>
      </c>
      <c r="F93" s="57"/>
      <c r="G93" s="52"/>
      <c r="H93" s="58"/>
      <c r="I93" s="59"/>
      <c r="J93" s="47"/>
      <c r="K93" s="47"/>
      <c r="L93" s="47"/>
      <c r="M93" s="47"/>
    </row>
    <row r="94" spans="2:13" ht="12.75" customHeight="1" x14ac:dyDescent="0.35">
      <c r="B94" s="53"/>
      <c r="C94" s="50" t="str">
        <f t="shared" si="3"/>
        <v/>
      </c>
      <c r="D94" s="50" t="str">
        <f t="shared" si="4"/>
        <v/>
      </c>
      <c r="E94" s="51" t="str">
        <f t="shared" si="5"/>
        <v/>
      </c>
      <c r="F94" s="57"/>
      <c r="G94" s="52"/>
      <c r="H94" s="58"/>
      <c r="I94" s="59"/>
      <c r="J94" s="47"/>
      <c r="K94" s="47"/>
      <c r="L94" s="47"/>
      <c r="M94" s="47"/>
    </row>
    <row r="95" spans="2:13" ht="12.75" customHeight="1" x14ac:dyDescent="0.35">
      <c r="B95" s="53"/>
      <c r="C95" s="50" t="str">
        <f t="shared" si="3"/>
        <v/>
      </c>
      <c r="D95" s="50" t="str">
        <f t="shared" si="4"/>
        <v/>
      </c>
      <c r="E95" s="51" t="str">
        <f t="shared" si="5"/>
        <v/>
      </c>
      <c r="F95" s="57"/>
      <c r="G95" s="52"/>
      <c r="H95" s="58"/>
      <c r="I95" s="59"/>
      <c r="J95" s="47"/>
      <c r="K95" s="47"/>
      <c r="L95" s="47"/>
      <c r="M95" s="47"/>
    </row>
    <row r="96" spans="2:13" ht="12.75" customHeight="1" x14ac:dyDescent="0.35">
      <c r="B96" s="53"/>
      <c r="C96" s="50" t="str">
        <f t="shared" si="3"/>
        <v/>
      </c>
      <c r="D96" s="50" t="str">
        <f t="shared" si="4"/>
        <v/>
      </c>
      <c r="E96" s="51" t="str">
        <f t="shared" si="5"/>
        <v/>
      </c>
      <c r="F96" s="57"/>
      <c r="G96" s="52"/>
      <c r="H96" s="58"/>
      <c r="I96" s="59"/>
      <c r="J96" s="47"/>
      <c r="K96" s="47"/>
      <c r="L96" s="47"/>
      <c r="M96" s="47"/>
    </row>
    <row r="97" spans="2:13" ht="12.75" customHeight="1" x14ac:dyDescent="0.35">
      <c r="B97" s="53"/>
      <c r="C97" s="50" t="str">
        <f t="shared" si="3"/>
        <v/>
      </c>
      <c r="D97" s="50" t="str">
        <f t="shared" si="4"/>
        <v/>
      </c>
      <c r="E97" s="51" t="str">
        <f t="shared" si="5"/>
        <v/>
      </c>
      <c r="F97" s="57"/>
      <c r="G97" s="52"/>
      <c r="H97" s="58"/>
      <c r="I97" s="59"/>
      <c r="J97" s="47"/>
      <c r="K97" s="47"/>
      <c r="L97" s="47"/>
      <c r="M97" s="47"/>
    </row>
    <row r="98" spans="2:13" ht="12.75" customHeight="1" x14ac:dyDescent="0.35">
      <c r="B98" s="53"/>
      <c r="C98" s="50" t="str">
        <f t="shared" si="3"/>
        <v/>
      </c>
      <c r="D98" s="50" t="str">
        <f t="shared" si="4"/>
        <v/>
      </c>
      <c r="E98" s="51" t="str">
        <f t="shared" si="5"/>
        <v/>
      </c>
      <c r="F98" s="57"/>
      <c r="G98" s="52"/>
      <c r="H98" s="58"/>
      <c r="I98" s="59"/>
      <c r="J98" s="47"/>
      <c r="K98" s="47"/>
      <c r="L98" s="47"/>
      <c r="M98" s="47"/>
    </row>
    <row r="99" spans="2:13" ht="12.75" customHeight="1" x14ac:dyDescent="0.35">
      <c r="B99" s="53"/>
      <c r="C99" s="50" t="str">
        <f t="shared" si="3"/>
        <v/>
      </c>
      <c r="D99" s="50" t="str">
        <f t="shared" si="4"/>
        <v/>
      </c>
      <c r="E99" s="51" t="str">
        <f t="shared" si="5"/>
        <v/>
      </c>
      <c r="F99" s="57"/>
      <c r="G99" s="52"/>
      <c r="H99" s="58"/>
      <c r="I99" s="59"/>
      <c r="J99" s="47"/>
      <c r="K99" s="47"/>
      <c r="L99" s="47"/>
      <c r="M99" s="47"/>
    </row>
    <row r="100" spans="2:13" ht="12.75" customHeight="1" x14ac:dyDescent="0.35">
      <c r="B100" s="53"/>
      <c r="C100" s="50" t="str">
        <f t="shared" si="3"/>
        <v/>
      </c>
      <c r="D100" s="50" t="str">
        <f t="shared" si="4"/>
        <v/>
      </c>
      <c r="E100" s="51" t="str">
        <f t="shared" si="5"/>
        <v/>
      </c>
      <c r="F100" s="57"/>
      <c r="G100" s="52"/>
      <c r="H100" s="58"/>
      <c r="I100" s="59"/>
      <c r="J100" s="47"/>
      <c r="K100" s="47"/>
      <c r="L100" s="47"/>
      <c r="M100" s="47"/>
    </row>
    <row r="101" spans="2:13" ht="12.75" customHeight="1" x14ac:dyDescent="0.35">
      <c r="B101" s="53"/>
      <c r="C101" s="50" t="str">
        <f t="shared" si="3"/>
        <v/>
      </c>
      <c r="D101" s="50" t="str">
        <f t="shared" si="4"/>
        <v/>
      </c>
      <c r="E101" s="51" t="str">
        <f t="shared" si="5"/>
        <v/>
      </c>
      <c r="F101" s="57"/>
      <c r="G101" s="52"/>
      <c r="H101" s="58"/>
      <c r="I101" s="59"/>
      <c r="J101" s="47"/>
      <c r="K101" s="47"/>
      <c r="L101" s="47"/>
      <c r="M101" s="47"/>
    </row>
    <row r="102" spans="2:13" ht="12.75" customHeight="1" x14ac:dyDescent="0.35">
      <c r="B102" s="53"/>
      <c r="C102" s="50" t="str">
        <f t="shared" si="3"/>
        <v/>
      </c>
      <c r="D102" s="50" t="str">
        <f t="shared" si="4"/>
        <v/>
      </c>
      <c r="E102" s="51" t="str">
        <f t="shared" si="5"/>
        <v/>
      </c>
      <c r="F102" s="57"/>
      <c r="G102" s="52"/>
      <c r="H102" s="58"/>
      <c r="I102" s="59"/>
      <c r="J102" s="47"/>
      <c r="K102" s="47"/>
      <c r="L102" s="47"/>
      <c r="M102" s="47"/>
    </row>
    <row r="103" spans="2:13" ht="12.75" customHeight="1" x14ac:dyDescent="0.35">
      <c r="B103" s="53"/>
      <c r="C103" s="50" t="str">
        <f t="shared" si="3"/>
        <v/>
      </c>
      <c r="D103" s="50" t="str">
        <f t="shared" si="4"/>
        <v/>
      </c>
      <c r="E103" s="51" t="str">
        <f t="shared" si="5"/>
        <v/>
      </c>
      <c r="F103" s="57"/>
      <c r="G103" s="52"/>
      <c r="H103" s="58"/>
      <c r="I103" s="59"/>
      <c r="J103" s="47"/>
      <c r="K103" s="47"/>
      <c r="L103" s="47"/>
      <c r="M103" s="47"/>
    </row>
    <row r="104" spans="2:13" ht="12.75" customHeight="1" x14ac:dyDescent="0.35">
      <c r="B104" s="53"/>
      <c r="C104" s="50" t="str">
        <f t="shared" si="3"/>
        <v/>
      </c>
      <c r="D104" s="50" t="str">
        <f t="shared" si="4"/>
        <v/>
      </c>
      <c r="E104" s="51" t="str">
        <f t="shared" si="5"/>
        <v/>
      </c>
      <c r="F104" s="57"/>
      <c r="G104" s="52"/>
      <c r="H104" s="58"/>
      <c r="I104" s="59"/>
      <c r="J104" s="47"/>
      <c r="K104" s="47"/>
      <c r="L104" s="47"/>
      <c r="M104" s="47"/>
    </row>
    <row r="105" spans="2:13" ht="12.75" customHeight="1" x14ac:dyDescent="0.35">
      <c r="B105" s="53"/>
      <c r="C105" s="50" t="str">
        <f t="shared" si="3"/>
        <v/>
      </c>
      <c r="D105" s="50" t="str">
        <f t="shared" si="4"/>
        <v/>
      </c>
      <c r="E105" s="51" t="str">
        <f t="shared" si="5"/>
        <v/>
      </c>
      <c r="F105" s="57"/>
      <c r="G105" s="52"/>
      <c r="H105" s="58"/>
      <c r="I105" s="59"/>
      <c r="J105" s="47"/>
      <c r="K105" s="47"/>
      <c r="L105" s="47"/>
      <c r="M105" s="47"/>
    </row>
    <row r="106" spans="2:13" ht="12.75" customHeight="1" x14ac:dyDescent="0.35">
      <c r="B106" s="53"/>
      <c r="C106" s="50" t="str">
        <f t="shared" si="3"/>
        <v/>
      </c>
      <c r="D106" s="50" t="str">
        <f t="shared" si="4"/>
        <v/>
      </c>
      <c r="E106" s="51" t="str">
        <f t="shared" si="5"/>
        <v/>
      </c>
      <c r="F106" s="57"/>
      <c r="G106" s="52"/>
      <c r="H106" s="58"/>
      <c r="I106" s="59"/>
      <c r="J106" s="47"/>
      <c r="K106" s="47"/>
      <c r="L106" s="47"/>
      <c r="M106" s="47"/>
    </row>
    <row r="107" spans="2:13" ht="12.75" customHeight="1" x14ac:dyDescent="0.35">
      <c r="B107" s="53"/>
      <c r="C107" s="50" t="str">
        <f t="shared" si="3"/>
        <v/>
      </c>
      <c r="D107" s="50" t="str">
        <f t="shared" si="4"/>
        <v/>
      </c>
      <c r="E107" s="51" t="str">
        <f t="shared" si="5"/>
        <v/>
      </c>
      <c r="F107" s="57"/>
      <c r="G107" s="52"/>
      <c r="H107" s="58"/>
      <c r="I107" s="59"/>
      <c r="J107" s="47"/>
      <c r="K107" s="47"/>
      <c r="L107" s="47"/>
      <c r="M107" s="47"/>
    </row>
    <row r="108" spans="2:13" ht="12.75" customHeight="1" x14ac:dyDescent="0.35">
      <c r="B108" s="53"/>
      <c r="C108" s="50" t="str">
        <f t="shared" si="3"/>
        <v/>
      </c>
      <c r="D108" s="50" t="str">
        <f t="shared" si="4"/>
        <v/>
      </c>
      <c r="E108" s="51" t="str">
        <f t="shared" si="5"/>
        <v/>
      </c>
      <c r="F108" s="57"/>
      <c r="G108" s="52"/>
      <c r="H108" s="58"/>
      <c r="I108" s="59"/>
      <c r="J108" s="47"/>
      <c r="K108" s="47"/>
      <c r="L108" s="47"/>
      <c r="M108" s="47"/>
    </row>
    <row r="109" spans="2:13" ht="12.75" customHeight="1" x14ac:dyDescent="0.35">
      <c r="B109" s="53"/>
      <c r="C109" s="50" t="str">
        <f t="shared" si="3"/>
        <v/>
      </c>
      <c r="D109" s="50" t="str">
        <f t="shared" si="4"/>
        <v/>
      </c>
      <c r="E109" s="51" t="str">
        <f t="shared" si="5"/>
        <v/>
      </c>
      <c r="F109" s="57"/>
      <c r="G109" s="52"/>
      <c r="H109" s="58"/>
      <c r="I109" s="59"/>
      <c r="J109" s="47"/>
      <c r="K109" s="47"/>
      <c r="L109" s="47"/>
      <c r="M109" s="47"/>
    </row>
    <row r="110" spans="2:13" ht="12.75" customHeight="1" x14ac:dyDescent="0.35">
      <c r="B110" s="53"/>
      <c r="C110" s="50" t="str">
        <f t="shared" si="3"/>
        <v/>
      </c>
      <c r="D110" s="50" t="str">
        <f t="shared" si="4"/>
        <v/>
      </c>
      <c r="E110" s="51" t="str">
        <f t="shared" si="5"/>
        <v/>
      </c>
      <c r="F110" s="57"/>
      <c r="G110" s="52"/>
      <c r="H110" s="58"/>
      <c r="I110" s="59"/>
      <c r="J110" s="47"/>
      <c r="K110" s="47"/>
      <c r="L110" s="47"/>
      <c r="M110" s="47"/>
    </row>
    <row r="111" spans="2:13" ht="12.75" customHeight="1" x14ac:dyDescent="0.35">
      <c r="B111" s="53"/>
      <c r="C111" s="50" t="str">
        <f t="shared" si="3"/>
        <v/>
      </c>
      <c r="D111" s="50" t="str">
        <f t="shared" si="4"/>
        <v/>
      </c>
      <c r="E111" s="51" t="str">
        <f t="shared" si="5"/>
        <v/>
      </c>
      <c r="F111" s="57"/>
      <c r="G111" s="52"/>
      <c r="H111" s="58"/>
      <c r="I111" s="59"/>
      <c r="J111" s="47"/>
      <c r="K111" s="47"/>
      <c r="L111" s="47"/>
      <c r="M111" s="47"/>
    </row>
    <row r="112" spans="2:13" ht="12.75" customHeight="1" x14ac:dyDescent="0.35">
      <c r="B112" s="53"/>
      <c r="C112" s="50" t="str">
        <f t="shared" si="3"/>
        <v/>
      </c>
      <c r="D112" s="50" t="str">
        <f t="shared" si="4"/>
        <v/>
      </c>
      <c r="E112" s="51" t="str">
        <f t="shared" si="5"/>
        <v/>
      </c>
      <c r="F112" s="57"/>
      <c r="G112" s="52"/>
      <c r="H112" s="58"/>
      <c r="I112" s="59"/>
      <c r="J112" s="47"/>
      <c r="K112" s="47"/>
      <c r="L112" s="47"/>
      <c r="M112" s="47"/>
    </row>
    <row r="113" spans="2:13" ht="12.75" customHeight="1" x14ac:dyDescent="0.35">
      <c r="B113" s="53"/>
      <c r="C113" s="50" t="str">
        <f t="shared" si="3"/>
        <v/>
      </c>
      <c r="D113" s="50" t="str">
        <f t="shared" si="4"/>
        <v/>
      </c>
      <c r="E113" s="51" t="str">
        <f t="shared" si="5"/>
        <v/>
      </c>
      <c r="F113" s="57"/>
      <c r="G113" s="52"/>
      <c r="H113" s="58"/>
      <c r="I113" s="59"/>
      <c r="J113" s="47"/>
      <c r="K113" s="47"/>
      <c r="L113" s="47"/>
      <c r="M113" s="47"/>
    </row>
    <row r="114" spans="2:13" ht="12.75" customHeight="1" x14ac:dyDescent="0.35">
      <c r="B114" s="53"/>
      <c r="C114" s="50" t="str">
        <f t="shared" si="3"/>
        <v/>
      </c>
      <c r="D114" s="50" t="str">
        <f t="shared" si="4"/>
        <v/>
      </c>
      <c r="E114" s="51" t="str">
        <f t="shared" si="5"/>
        <v/>
      </c>
      <c r="F114" s="57"/>
      <c r="G114" s="52"/>
      <c r="H114" s="58"/>
      <c r="I114" s="59"/>
      <c r="J114" s="47"/>
      <c r="K114" s="47"/>
      <c r="L114" s="47"/>
      <c r="M114" s="47"/>
    </row>
    <row r="115" spans="2:13" ht="12.75" customHeight="1" x14ac:dyDescent="0.35">
      <c r="B115" s="53"/>
      <c r="C115" s="50" t="str">
        <f t="shared" si="3"/>
        <v/>
      </c>
      <c r="D115" s="50" t="str">
        <f t="shared" si="4"/>
        <v/>
      </c>
      <c r="E115" s="51" t="str">
        <f t="shared" si="5"/>
        <v/>
      </c>
      <c r="F115" s="57"/>
      <c r="G115" s="52"/>
      <c r="H115" s="58"/>
      <c r="I115" s="59"/>
      <c r="J115" s="47"/>
      <c r="K115" s="47"/>
      <c r="L115" s="47"/>
      <c r="M115" s="47"/>
    </row>
    <row r="116" spans="2:13" ht="12.75" customHeight="1" x14ac:dyDescent="0.35">
      <c r="B116" s="53"/>
      <c r="C116" s="50" t="str">
        <f t="shared" si="3"/>
        <v/>
      </c>
      <c r="D116" s="50" t="str">
        <f t="shared" si="4"/>
        <v/>
      </c>
      <c r="E116" s="51" t="str">
        <f t="shared" si="5"/>
        <v/>
      </c>
      <c r="F116" s="57"/>
      <c r="G116" s="52"/>
      <c r="H116" s="58"/>
      <c r="I116" s="59"/>
      <c r="J116" s="47"/>
      <c r="K116" s="47"/>
      <c r="L116" s="47"/>
      <c r="M116" s="47"/>
    </row>
    <row r="117" spans="2:13" ht="12.75" customHeight="1" x14ac:dyDescent="0.35">
      <c r="B117" s="53"/>
      <c r="C117" s="50" t="str">
        <f t="shared" si="3"/>
        <v/>
      </c>
      <c r="D117" s="50" t="str">
        <f t="shared" si="4"/>
        <v/>
      </c>
      <c r="E117" s="51" t="str">
        <f t="shared" si="5"/>
        <v/>
      </c>
      <c r="F117" s="57"/>
      <c r="G117" s="52"/>
      <c r="H117" s="58"/>
      <c r="I117" s="59"/>
      <c r="J117" s="47"/>
      <c r="K117" s="47"/>
      <c r="L117" s="47"/>
      <c r="M117" s="47"/>
    </row>
    <row r="118" spans="2:13" ht="12.75" customHeight="1" x14ac:dyDescent="0.35">
      <c r="B118" s="53"/>
      <c r="C118" s="50" t="str">
        <f t="shared" si="3"/>
        <v/>
      </c>
      <c r="D118" s="50" t="str">
        <f t="shared" si="4"/>
        <v/>
      </c>
      <c r="E118" s="51" t="str">
        <f t="shared" si="5"/>
        <v/>
      </c>
      <c r="F118" s="57"/>
      <c r="G118" s="52"/>
      <c r="H118" s="58"/>
      <c r="I118" s="59"/>
      <c r="J118" s="47"/>
      <c r="K118" s="47"/>
      <c r="L118" s="47"/>
      <c r="M118" s="47"/>
    </row>
    <row r="119" spans="2:13" ht="12.75" customHeight="1" x14ac:dyDescent="0.35">
      <c r="B119" s="53"/>
      <c r="C119" s="50" t="str">
        <f t="shared" si="3"/>
        <v/>
      </c>
      <c r="D119" s="50" t="str">
        <f t="shared" si="4"/>
        <v/>
      </c>
      <c r="E119" s="51" t="str">
        <f t="shared" si="5"/>
        <v/>
      </c>
      <c r="F119" s="57"/>
      <c r="G119" s="52"/>
      <c r="H119" s="58"/>
      <c r="I119" s="59"/>
      <c r="J119" s="47"/>
      <c r="K119" s="47"/>
      <c r="L119" s="47"/>
      <c r="M119" s="47"/>
    </row>
    <row r="120" spans="2:13" ht="12.75" customHeight="1" x14ac:dyDescent="0.35">
      <c r="B120" s="53"/>
      <c r="C120" s="50" t="str">
        <f t="shared" si="3"/>
        <v/>
      </c>
      <c r="D120" s="50" t="str">
        <f t="shared" si="4"/>
        <v/>
      </c>
      <c r="E120" s="51" t="str">
        <f t="shared" si="5"/>
        <v/>
      </c>
      <c r="F120" s="57"/>
      <c r="G120" s="52"/>
      <c r="H120" s="58"/>
      <c r="I120" s="59"/>
      <c r="J120" s="47"/>
      <c r="K120" s="47"/>
      <c r="L120" s="47"/>
      <c r="M120" s="47"/>
    </row>
    <row r="121" spans="2:13" ht="12.75" customHeight="1" x14ac:dyDescent="0.35">
      <c r="B121" s="53"/>
      <c r="C121" s="50" t="str">
        <f t="shared" si="3"/>
        <v/>
      </c>
      <c r="D121" s="50" t="str">
        <f t="shared" si="4"/>
        <v/>
      </c>
      <c r="E121" s="51" t="str">
        <f t="shared" si="5"/>
        <v/>
      </c>
      <c r="F121" s="57"/>
      <c r="G121" s="52"/>
      <c r="H121" s="58"/>
      <c r="I121" s="59"/>
      <c r="J121" s="47"/>
      <c r="K121" s="47"/>
      <c r="L121" s="47"/>
      <c r="M121" s="47"/>
    </row>
    <row r="122" spans="2:13" ht="12.75" customHeight="1" x14ac:dyDescent="0.35">
      <c r="B122" s="53"/>
      <c r="C122" s="50" t="str">
        <f t="shared" si="3"/>
        <v/>
      </c>
      <c r="D122" s="50" t="str">
        <f t="shared" si="4"/>
        <v/>
      </c>
      <c r="E122" s="51" t="str">
        <f t="shared" si="5"/>
        <v/>
      </c>
      <c r="F122" s="57"/>
      <c r="G122" s="52"/>
      <c r="H122" s="58"/>
      <c r="I122" s="59"/>
      <c r="J122" s="47"/>
      <c r="K122" s="47"/>
      <c r="L122" s="47"/>
      <c r="M122" s="47"/>
    </row>
    <row r="123" spans="2:13" ht="12.75" customHeight="1" x14ac:dyDescent="0.35">
      <c r="B123" s="53"/>
      <c r="C123" s="50" t="str">
        <f t="shared" si="3"/>
        <v/>
      </c>
      <c r="D123" s="50" t="str">
        <f t="shared" si="4"/>
        <v/>
      </c>
      <c r="E123" s="51" t="str">
        <f t="shared" si="5"/>
        <v/>
      </c>
      <c r="F123" s="57"/>
      <c r="G123" s="52"/>
      <c r="H123" s="58"/>
      <c r="I123" s="59"/>
      <c r="J123" s="47"/>
      <c r="K123" s="47"/>
      <c r="L123" s="47"/>
      <c r="M123" s="47"/>
    </row>
    <row r="124" spans="2:13" ht="12.75" customHeight="1" x14ac:dyDescent="0.35">
      <c r="B124" s="53"/>
      <c r="C124" s="50" t="str">
        <f t="shared" si="3"/>
        <v/>
      </c>
      <c r="D124" s="50" t="str">
        <f t="shared" si="4"/>
        <v/>
      </c>
      <c r="E124" s="51" t="str">
        <f t="shared" si="5"/>
        <v/>
      </c>
      <c r="F124" s="57"/>
      <c r="G124" s="52"/>
      <c r="H124" s="58"/>
      <c r="I124" s="59"/>
      <c r="J124" s="47"/>
      <c r="K124" s="47"/>
      <c r="L124" s="47"/>
      <c r="M124" s="47"/>
    </row>
    <row r="125" spans="2:13" ht="12.75" customHeight="1" x14ac:dyDescent="0.35">
      <c r="B125" s="53"/>
      <c r="C125" s="50" t="str">
        <f t="shared" si="3"/>
        <v/>
      </c>
      <c r="D125" s="50" t="str">
        <f t="shared" si="4"/>
        <v/>
      </c>
      <c r="E125" s="51" t="str">
        <f t="shared" si="5"/>
        <v/>
      </c>
      <c r="F125" s="57"/>
      <c r="G125" s="52"/>
      <c r="H125" s="58"/>
      <c r="I125" s="59"/>
      <c r="J125" s="47"/>
      <c r="K125" s="47"/>
      <c r="L125" s="47"/>
      <c r="M125" s="47"/>
    </row>
    <row r="126" spans="2:13" ht="12.75" customHeight="1" x14ac:dyDescent="0.35">
      <c r="B126" s="53"/>
      <c r="C126" s="50" t="str">
        <f t="shared" si="3"/>
        <v/>
      </c>
      <c r="D126" s="50" t="str">
        <f t="shared" si="4"/>
        <v/>
      </c>
      <c r="E126" s="51" t="str">
        <f t="shared" si="5"/>
        <v/>
      </c>
      <c r="F126" s="57"/>
      <c r="G126" s="52"/>
      <c r="H126" s="58"/>
      <c r="I126" s="59"/>
      <c r="J126" s="47"/>
      <c r="K126" s="47"/>
      <c r="L126" s="47"/>
      <c r="M126" s="47"/>
    </row>
    <row r="127" spans="2:13" ht="12.75" customHeight="1" x14ac:dyDescent="0.35">
      <c r="B127" s="53"/>
      <c r="C127" s="50" t="str">
        <f t="shared" si="3"/>
        <v/>
      </c>
      <c r="D127" s="50" t="str">
        <f t="shared" si="4"/>
        <v/>
      </c>
      <c r="E127" s="51" t="str">
        <f t="shared" si="5"/>
        <v/>
      </c>
      <c r="F127" s="57"/>
      <c r="G127" s="52"/>
      <c r="H127" s="58"/>
      <c r="I127" s="59"/>
      <c r="J127" s="47"/>
      <c r="K127" s="47"/>
      <c r="L127" s="47"/>
      <c r="M127" s="47"/>
    </row>
    <row r="128" spans="2:13" ht="12.75" customHeight="1" x14ac:dyDescent="0.35">
      <c r="B128" s="53"/>
      <c r="C128" s="50" t="str">
        <f t="shared" si="3"/>
        <v/>
      </c>
      <c r="D128" s="50" t="str">
        <f t="shared" si="4"/>
        <v/>
      </c>
      <c r="E128" s="51" t="str">
        <f t="shared" si="5"/>
        <v/>
      </c>
      <c r="F128" s="57"/>
      <c r="G128" s="52"/>
      <c r="H128" s="58"/>
      <c r="I128" s="59"/>
      <c r="J128" s="47"/>
      <c r="K128" s="47"/>
      <c r="L128" s="47"/>
      <c r="M128" s="47"/>
    </row>
    <row r="129" spans="2:13" ht="12.75" customHeight="1" x14ac:dyDescent="0.35">
      <c r="B129" s="53"/>
      <c r="C129" s="50" t="str">
        <f t="shared" si="3"/>
        <v/>
      </c>
      <c r="D129" s="50" t="str">
        <f t="shared" si="4"/>
        <v/>
      </c>
      <c r="E129" s="51" t="str">
        <f t="shared" si="5"/>
        <v/>
      </c>
      <c r="F129" s="57"/>
      <c r="G129" s="52"/>
      <c r="H129" s="58"/>
      <c r="I129" s="59"/>
      <c r="J129" s="47"/>
      <c r="K129" s="47"/>
      <c r="L129" s="47"/>
      <c r="M129" s="47"/>
    </row>
    <row r="130" spans="2:13" ht="12.75" customHeight="1" x14ac:dyDescent="0.35">
      <c r="B130" s="53"/>
      <c r="C130" s="50" t="str">
        <f t="shared" si="3"/>
        <v/>
      </c>
      <c r="D130" s="50" t="str">
        <f t="shared" si="4"/>
        <v/>
      </c>
      <c r="E130" s="51" t="str">
        <f t="shared" si="5"/>
        <v/>
      </c>
      <c r="F130" s="57"/>
      <c r="G130" s="52"/>
      <c r="H130" s="58"/>
      <c r="I130" s="59"/>
      <c r="J130" s="47"/>
      <c r="K130" s="47"/>
      <c r="L130" s="47"/>
      <c r="M130" s="47"/>
    </row>
    <row r="131" spans="2:13" ht="12.75" customHeight="1" x14ac:dyDescent="0.35">
      <c r="B131" s="53"/>
      <c r="C131" s="50" t="str">
        <f t="shared" si="3"/>
        <v/>
      </c>
      <c r="D131" s="50" t="str">
        <f t="shared" si="4"/>
        <v/>
      </c>
      <c r="E131" s="51" t="str">
        <f t="shared" si="5"/>
        <v/>
      </c>
      <c r="F131" s="57"/>
      <c r="G131" s="52"/>
      <c r="H131" s="58"/>
      <c r="I131" s="59"/>
      <c r="J131" s="47"/>
      <c r="K131" s="47"/>
      <c r="L131" s="47"/>
      <c r="M131" s="47"/>
    </row>
    <row r="132" spans="2:13" ht="12.75" customHeight="1" x14ac:dyDescent="0.35">
      <c r="B132" s="53"/>
      <c r="C132" s="50" t="str">
        <f t="shared" si="3"/>
        <v/>
      </c>
      <c r="D132" s="50" t="str">
        <f t="shared" si="4"/>
        <v/>
      </c>
      <c r="E132" s="51" t="str">
        <f t="shared" si="5"/>
        <v/>
      </c>
      <c r="F132" s="57"/>
      <c r="G132" s="52"/>
      <c r="H132" s="58"/>
      <c r="I132" s="59"/>
      <c r="J132" s="47"/>
      <c r="K132" s="47"/>
      <c r="L132" s="47"/>
      <c r="M132" s="47"/>
    </row>
    <row r="133" spans="2:13" ht="12.75" customHeight="1" x14ac:dyDescent="0.35">
      <c r="B133" s="53"/>
      <c r="C133" s="50" t="str">
        <f t="shared" si="3"/>
        <v/>
      </c>
      <c r="D133" s="50" t="str">
        <f t="shared" si="4"/>
        <v/>
      </c>
      <c r="E133" s="51" t="str">
        <f t="shared" si="5"/>
        <v/>
      </c>
      <c r="F133" s="57"/>
      <c r="G133" s="52"/>
      <c r="H133" s="58"/>
      <c r="I133" s="59"/>
      <c r="J133" s="47"/>
      <c r="K133" s="47"/>
      <c r="L133" s="47"/>
      <c r="M133" s="47"/>
    </row>
    <row r="134" spans="2:13" ht="12.75" customHeight="1" x14ac:dyDescent="0.35">
      <c r="B134" s="53"/>
      <c r="C134" s="50" t="str">
        <f t="shared" ref="C134:C197" si="6">IF(B134=0,"",YEAR(B134))</f>
        <v/>
      </c>
      <c r="D134" s="50" t="str">
        <f t="shared" ref="D134:D197" si="7">IF(B134=0,"",MONTH(B134)&amp;"월")</f>
        <v/>
      </c>
      <c r="E134" s="51" t="str">
        <f t="shared" ref="E134:E197" si="8">IF(B134=0,"",DAY(B134)&amp;"일")</f>
        <v/>
      </c>
      <c r="F134" s="57"/>
      <c r="G134" s="52"/>
      <c r="H134" s="58"/>
      <c r="I134" s="59"/>
      <c r="J134" s="47"/>
      <c r="K134" s="47"/>
      <c r="L134" s="47"/>
      <c r="M134" s="47"/>
    </row>
    <row r="135" spans="2:13" ht="12.75" customHeight="1" x14ac:dyDescent="0.35">
      <c r="B135" s="53"/>
      <c r="C135" s="50" t="str">
        <f t="shared" si="6"/>
        <v/>
      </c>
      <c r="D135" s="50" t="str">
        <f t="shared" si="7"/>
        <v/>
      </c>
      <c r="E135" s="51" t="str">
        <f t="shared" si="8"/>
        <v/>
      </c>
      <c r="F135" s="57"/>
      <c r="G135" s="52"/>
      <c r="H135" s="58"/>
      <c r="I135" s="59"/>
      <c r="J135" s="47"/>
      <c r="K135" s="47"/>
      <c r="L135" s="47"/>
      <c r="M135" s="47"/>
    </row>
    <row r="136" spans="2:13" ht="12.75" customHeight="1" x14ac:dyDescent="0.35">
      <c r="B136" s="53"/>
      <c r="C136" s="50" t="str">
        <f t="shared" si="6"/>
        <v/>
      </c>
      <c r="D136" s="50" t="str">
        <f t="shared" si="7"/>
        <v/>
      </c>
      <c r="E136" s="51" t="str">
        <f t="shared" si="8"/>
        <v/>
      </c>
      <c r="F136" s="57"/>
      <c r="G136" s="52"/>
      <c r="H136" s="58"/>
      <c r="I136" s="59"/>
      <c r="J136" s="47"/>
      <c r="K136" s="47"/>
      <c r="L136" s="47"/>
      <c r="M136" s="47"/>
    </row>
    <row r="137" spans="2:13" ht="12.75" customHeight="1" x14ac:dyDescent="0.35">
      <c r="B137" s="53"/>
      <c r="C137" s="50" t="str">
        <f t="shared" si="6"/>
        <v/>
      </c>
      <c r="D137" s="50" t="str">
        <f t="shared" si="7"/>
        <v/>
      </c>
      <c r="E137" s="51" t="str">
        <f t="shared" si="8"/>
        <v/>
      </c>
      <c r="F137" s="57"/>
      <c r="G137" s="52"/>
      <c r="H137" s="58"/>
      <c r="I137" s="59"/>
      <c r="J137" s="47"/>
      <c r="K137" s="47"/>
      <c r="L137" s="47"/>
      <c r="M137" s="47"/>
    </row>
    <row r="138" spans="2:13" ht="12.75" customHeight="1" x14ac:dyDescent="0.35">
      <c r="B138" s="53"/>
      <c r="C138" s="50" t="str">
        <f t="shared" si="6"/>
        <v/>
      </c>
      <c r="D138" s="50" t="str">
        <f t="shared" si="7"/>
        <v/>
      </c>
      <c r="E138" s="51" t="str">
        <f t="shared" si="8"/>
        <v/>
      </c>
      <c r="F138" s="57"/>
      <c r="G138" s="52"/>
      <c r="H138" s="58"/>
      <c r="I138" s="59"/>
      <c r="J138" s="47"/>
      <c r="K138" s="47"/>
      <c r="L138" s="47"/>
      <c r="M138" s="47"/>
    </row>
    <row r="139" spans="2:13" ht="12.75" customHeight="1" x14ac:dyDescent="0.35">
      <c r="B139" s="53"/>
      <c r="C139" s="50" t="str">
        <f t="shared" si="6"/>
        <v/>
      </c>
      <c r="D139" s="50" t="str">
        <f t="shared" si="7"/>
        <v/>
      </c>
      <c r="E139" s="51" t="str">
        <f t="shared" si="8"/>
        <v/>
      </c>
      <c r="F139" s="57"/>
      <c r="G139" s="52"/>
      <c r="H139" s="58"/>
      <c r="I139" s="59"/>
      <c r="J139" s="47"/>
      <c r="K139" s="47"/>
      <c r="L139" s="47"/>
      <c r="M139" s="47"/>
    </row>
    <row r="140" spans="2:13" ht="12.75" customHeight="1" x14ac:dyDescent="0.35">
      <c r="B140" s="53"/>
      <c r="C140" s="50" t="str">
        <f t="shared" si="6"/>
        <v/>
      </c>
      <c r="D140" s="50" t="str">
        <f t="shared" si="7"/>
        <v/>
      </c>
      <c r="E140" s="51" t="str">
        <f t="shared" si="8"/>
        <v/>
      </c>
      <c r="F140" s="57"/>
      <c r="G140" s="52"/>
      <c r="H140" s="58"/>
      <c r="I140" s="59"/>
      <c r="J140" s="47"/>
      <c r="K140" s="47"/>
      <c r="L140" s="47"/>
      <c r="M140" s="47"/>
    </row>
    <row r="141" spans="2:13" ht="12.75" customHeight="1" x14ac:dyDescent="0.35">
      <c r="B141" s="53"/>
      <c r="C141" s="50" t="str">
        <f t="shared" si="6"/>
        <v/>
      </c>
      <c r="D141" s="50" t="str">
        <f t="shared" si="7"/>
        <v/>
      </c>
      <c r="E141" s="51" t="str">
        <f t="shared" si="8"/>
        <v/>
      </c>
      <c r="F141" s="57"/>
      <c r="G141" s="52"/>
      <c r="H141" s="58"/>
      <c r="I141" s="59"/>
      <c r="J141" s="47"/>
      <c r="K141" s="47"/>
      <c r="L141" s="47"/>
      <c r="M141" s="47"/>
    </row>
    <row r="142" spans="2:13" ht="12.75" customHeight="1" x14ac:dyDescent="0.35">
      <c r="B142" s="53"/>
      <c r="C142" s="50" t="str">
        <f t="shared" si="6"/>
        <v/>
      </c>
      <c r="D142" s="50" t="str">
        <f t="shared" si="7"/>
        <v/>
      </c>
      <c r="E142" s="51" t="str">
        <f t="shared" si="8"/>
        <v/>
      </c>
      <c r="F142" s="57"/>
      <c r="G142" s="52"/>
      <c r="H142" s="58"/>
      <c r="I142" s="59"/>
      <c r="J142" s="47"/>
      <c r="K142" s="47"/>
      <c r="L142" s="47"/>
      <c r="M142" s="47"/>
    </row>
    <row r="143" spans="2:13" ht="12.75" customHeight="1" x14ac:dyDescent="0.35">
      <c r="B143" s="53"/>
      <c r="C143" s="50" t="str">
        <f t="shared" si="6"/>
        <v/>
      </c>
      <c r="D143" s="50" t="str">
        <f t="shared" si="7"/>
        <v/>
      </c>
      <c r="E143" s="51" t="str">
        <f t="shared" si="8"/>
        <v/>
      </c>
      <c r="F143" s="57"/>
      <c r="G143" s="52"/>
      <c r="H143" s="58"/>
      <c r="I143" s="59"/>
      <c r="J143" s="47"/>
      <c r="K143" s="47"/>
      <c r="L143" s="47"/>
      <c r="M143" s="47"/>
    </row>
    <row r="144" spans="2:13" ht="12.75" customHeight="1" x14ac:dyDescent="0.35">
      <c r="B144" s="53"/>
      <c r="C144" s="50" t="str">
        <f t="shared" si="6"/>
        <v/>
      </c>
      <c r="D144" s="50" t="str">
        <f t="shared" si="7"/>
        <v/>
      </c>
      <c r="E144" s="51" t="str">
        <f t="shared" si="8"/>
        <v/>
      </c>
      <c r="F144" s="57"/>
      <c r="G144" s="52"/>
      <c r="H144" s="58"/>
      <c r="I144" s="59"/>
      <c r="J144" s="47"/>
      <c r="K144" s="47"/>
      <c r="L144" s="47"/>
      <c r="M144" s="47"/>
    </row>
    <row r="145" spans="2:13" ht="12.75" customHeight="1" x14ac:dyDescent="0.35">
      <c r="B145" s="53"/>
      <c r="C145" s="50" t="str">
        <f t="shared" si="6"/>
        <v/>
      </c>
      <c r="D145" s="50" t="str">
        <f t="shared" si="7"/>
        <v/>
      </c>
      <c r="E145" s="51" t="str">
        <f t="shared" si="8"/>
        <v/>
      </c>
      <c r="F145" s="57"/>
      <c r="G145" s="52"/>
      <c r="H145" s="58"/>
      <c r="I145" s="59"/>
      <c r="J145" s="47"/>
      <c r="K145" s="47"/>
      <c r="L145" s="47"/>
      <c r="M145" s="47"/>
    </row>
    <row r="146" spans="2:13" ht="12.75" customHeight="1" x14ac:dyDescent="0.35">
      <c r="B146" s="53"/>
      <c r="C146" s="50" t="str">
        <f t="shared" si="6"/>
        <v/>
      </c>
      <c r="D146" s="50" t="str">
        <f t="shared" si="7"/>
        <v/>
      </c>
      <c r="E146" s="51" t="str">
        <f t="shared" si="8"/>
        <v/>
      </c>
      <c r="F146" s="57"/>
      <c r="G146" s="52"/>
      <c r="H146" s="58"/>
      <c r="I146" s="59"/>
      <c r="J146" s="47"/>
      <c r="K146" s="47"/>
      <c r="L146" s="47"/>
      <c r="M146" s="47"/>
    </row>
    <row r="147" spans="2:13" ht="12.75" customHeight="1" x14ac:dyDescent="0.35">
      <c r="B147" s="53"/>
      <c r="C147" s="50" t="str">
        <f t="shared" si="6"/>
        <v/>
      </c>
      <c r="D147" s="50" t="str">
        <f t="shared" si="7"/>
        <v/>
      </c>
      <c r="E147" s="51" t="str">
        <f t="shared" si="8"/>
        <v/>
      </c>
      <c r="F147" s="57"/>
      <c r="G147" s="52"/>
      <c r="H147" s="58"/>
      <c r="I147" s="59"/>
      <c r="J147" s="47"/>
      <c r="K147" s="47"/>
      <c r="L147" s="47"/>
      <c r="M147" s="47"/>
    </row>
    <row r="148" spans="2:13" ht="12.75" customHeight="1" x14ac:dyDescent="0.35">
      <c r="B148" s="53"/>
      <c r="C148" s="50" t="str">
        <f t="shared" si="6"/>
        <v/>
      </c>
      <c r="D148" s="50" t="str">
        <f t="shared" si="7"/>
        <v/>
      </c>
      <c r="E148" s="51" t="str">
        <f t="shared" si="8"/>
        <v/>
      </c>
      <c r="F148" s="57"/>
      <c r="G148" s="52"/>
      <c r="H148" s="58"/>
      <c r="I148" s="59"/>
      <c r="J148" s="47"/>
      <c r="K148" s="47"/>
      <c r="L148" s="47"/>
      <c r="M148" s="47"/>
    </row>
    <row r="149" spans="2:13" ht="12.75" customHeight="1" x14ac:dyDescent="0.35">
      <c r="B149" s="53"/>
      <c r="C149" s="50" t="str">
        <f t="shared" si="6"/>
        <v/>
      </c>
      <c r="D149" s="50" t="str">
        <f t="shared" si="7"/>
        <v/>
      </c>
      <c r="E149" s="51" t="str">
        <f t="shared" si="8"/>
        <v/>
      </c>
      <c r="F149" s="57"/>
      <c r="G149" s="52"/>
      <c r="H149" s="58"/>
      <c r="I149" s="59"/>
      <c r="J149" s="47"/>
      <c r="K149" s="47"/>
      <c r="L149" s="47"/>
      <c r="M149" s="47"/>
    </row>
    <row r="150" spans="2:13" ht="12.75" customHeight="1" x14ac:dyDescent="0.35">
      <c r="B150" s="53"/>
      <c r="C150" s="50" t="str">
        <f t="shared" si="6"/>
        <v/>
      </c>
      <c r="D150" s="50" t="str">
        <f t="shared" si="7"/>
        <v/>
      </c>
      <c r="E150" s="51" t="str">
        <f t="shared" si="8"/>
        <v/>
      </c>
      <c r="F150" s="57"/>
      <c r="G150" s="52"/>
      <c r="H150" s="58"/>
      <c r="I150" s="59"/>
      <c r="J150" s="47"/>
      <c r="K150" s="47"/>
      <c r="L150" s="47"/>
      <c r="M150" s="47"/>
    </row>
    <row r="151" spans="2:13" ht="12.75" customHeight="1" x14ac:dyDescent="0.35">
      <c r="B151" s="53"/>
      <c r="C151" s="50" t="str">
        <f t="shared" si="6"/>
        <v/>
      </c>
      <c r="D151" s="50" t="str">
        <f t="shared" si="7"/>
        <v/>
      </c>
      <c r="E151" s="51" t="str">
        <f t="shared" si="8"/>
        <v/>
      </c>
      <c r="F151" s="57"/>
      <c r="G151" s="52"/>
      <c r="H151" s="58"/>
      <c r="I151" s="59"/>
      <c r="J151" s="47"/>
      <c r="K151" s="47"/>
      <c r="L151" s="47"/>
      <c r="M151" s="47"/>
    </row>
    <row r="152" spans="2:13" ht="12.75" customHeight="1" x14ac:dyDescent="0.35">
      <c r="B152" s="53"/>
      <c r="C152" s="50" t="str">
        <f t="shared" si="6"/>
        <v/>
      </c>
      <c r="D152" s="50" t="str">
        <f t="shared" si="7"/>
        <v/>
      </c>
      <c r="E152" s="51" t="str">
        <f t="shared" si="8"/>
        <v/>
      </c>
      <c r="F152" s="57"/>
      <c r="G152" s="52"/>
      <c r="H152" s="58"/>
      <c r="I152" s="59"/>
      <c r="J152" s="47"/>
      <c r="K152" s="47"/>
      <c r="L152" s="47"/>
      <c r="M152" s="47"/>
    </row>
    <row r="153" spans="2:13" ht="12.75" customHeight="1" x14ac:dyDescent="0.35">
      <c r="B153" s="53"/>
      <c r="C153" s="50" t="str">
        <f t="shared" si="6"/>
        <v/>
      </c>
      <c r="D153" s="50" t="str">
        <f t="shared" si="7"/>
        <v/>
      </c>
      <c r="E153" s="51" t="str">
        <f t="shared" si="8"/>
        <v/>
      </c>
      <c r="F153" s="57"/>
      <c r="G153" s="52"/>
      <c r="H153" s="58"/>
      <c r="I153" s="59"/>
      <c r="J153" s="47"/>
      <c r="K153" s="47"/>
      <c r="L153" s="47"/>
      <c r="M153" s="47"/>
    </row>
    <row r="154" spans="2:13" ht="12.75" customHeight="1" x14ac:dyDescent="0.35">
      <c r="B154" s="53"/>
      <c r="C154" s="50" t="str">
        <f t="shared" si="6"/>
        <v/>
      </c>
      <c r="D154" s="50" t="str">
        <f t="shared" si="7"/>
        <v/>
      </c>
      <c r="E154" s="51" t="str">
        <f t="shared" si="8"/>
        <v/>
      </c>
      <c r="F154" s="57"/>
      <c r="G154" s="52"/>
      <c r="H154" s="58"/>
      <c r="I154" s="59"/>
      <c r="J154" s="47"/>
      <c r="K154" s="47"/>
      <c r="L154" s="47"/>
      <c r="M154" s="47"/>
    </row>
    <row r="155" spans="2:13" ht="12.75" customHeight="1" x14ac:dyDescent="0.35">
      <c r="B155" s="53"/>
      <c r="C155" s="50" t="str">
        <f t="shared" si="6"/>
        <v/>
      </c>
      <c r="D155" s="50" t="str">
        <f t="shared" si="7"/>
        <v/>
      </c>
      <c r="E155" s="51" t="str">
        <f t="shared" si="8"/>
        <v/>
      </c>
      <c r="F155" s="57"/>
      <c r="G155" s="52"/>
      <c r="H155" s="58"/>
      <c r="I155" s="59"/>
      <c r="J155" s="47"/>
      <c r="K155" s="47"/>
      <c r="L155" s="47"/>
      <c r="M155" s="47"/>
    </row>
    <row r="156" spans="2:13" ht="12.75" customHeight="1" x14ac:dyDescent="0.35">
      <c r="B156" s="53"/>
      <c r="C156" s="50" t="str">
        <f t="shared" si="6"/>
        <v/>
      </c>
      <c r="D156" s="50" t="str">
        <f t="shared" si="7"/>
        <v/>
      </c>
      <c r="E156" s="51" t="str">
        <f t="shared" si="8"/>
        <v/>
      </c>
      <c r="F156" s="57"/>
      <c r="G156" s="52"/>
      <c r="H156" s="58"/>
      <c r="I156" s="59"/>
      <c r="J156" s="47"/>
      <c r="K156" s="47"/>
      <c r="L156" s="47"/>
      <c r="M156" s="47"/>
    </row>
    <row r="157" spans="2:13" ht="12.75" customHeight="1" x14ac:dyDescent="0.35">
      <c r="B157" s="53"/>
      <c r="C157" s="50" t="str">
        <f t="shared" si="6"/>
        <v/>
      </c>
      <c r="D157" s="50" t="str">
        <f t="shared" si="7"/>
        <v/>
      </c>
      <c r="E157" s="51" t="str">
        <f t="shared" si="8"/>
        <v/>
      </c>
      <c r="F157" s="57"/>
      <c r="G157" s="52"/>
      <c r="H157" s="58"/>
      <c r="I157" s="59"/>
      <c r="J157" s="47"/>
      <c r="K157" s="47"/>
      <c r="L157" s="47"/>
      <c r="M157" s="47"/>
    </row>
    <row r="158" spans="2:13" ht="12.75" customHeight="1" x14ac:dyDescent="0.35">
      <c r="B158" s="53"/>
      <c r="C158" s="50" t="str">
        <f t="shared" si="6"/>
        <v/>
      </c>
      <c r="D158" s="50" t="str">
        <f t="shared" si="7"/>
        <v/>
      </c>
      <c r="E158" s="51" t="str">
        <f t="shared" si="8"/>
        <v/>
      </c>
      <c r="F158" s="57"/>
      <c r="G158" s="52"/>
      <c r="H158" s="58"/>
      <c r="I158" s="59"/>
      <c r="J158" s="47"/>
      <c r="K158" s="47"/>
      <c r="L158" s="47"/>
      <c r="M158" s="47"/>
    </row>
    <row r="159" spans="2:13" ht="12.75" customHeight="1" x14ac:dyDescent="0.35">
      <c r="B159" s="53"/>
      <c r="C159" s="50" t="str">
        <f t="shared" si="6"/>
        <v/>
      </c>
      <c r="D159" s="50" t="str">
        <f t="shared" si="7"/>
        <v/>
      </c>
      <c r="E159" s="51" t="str">
        <f t="shared" si="8"/>
        <v/>
      </c>
      <c r="F159" s="57"/>
      <c r="G159" s="52"/>
      <c r="H159" s="58"/>
      <c r="I159" s="59"/>
      <c r="J159" s="47"/>
      <c r="K159" s="47"/>
      <c r="L159" s="47"/>
      <c r="M159" s="47"/>
    </row>
    <row r="160" spans="2:13" ht="12.75" customHeight="1" x14ac:dyDescent="0.35">
      <c r="B160" s="53"/>
      <c r="C160" s="50" t="str">
        <f t="shared" si="6"/>
        <v/>
      </c>
      <c r="D160" s="50" t="str">
        <f t="shared" si="7"/>
        <v/>
      </c>
      <c r="E160" s="51" t="str">
        <f t="shared" si="8"/>
        <v/>
      </c>
      <c r="F160" s="57"/>
      <c r="G160" s="52"/>
      <c r="H160" s="58"/>
      <c r="I160" s="59"/>
      <c r="J160" s="47"/>
      <c r="K160" s="47"/>
      <c r="L160" s="47"/>
      <c r="M160" s="47"/>
    </row>
    <row r="161" spans="2:13" ht="12.75" customHeight="1" x14ac:dyDescent="0.35">
      <c r="B161" s="53"/>
      <c r="C161" s="50" t="str">
        <f t="shared" si="6"/>
        <v/>
      </c>
      <c r="D161" s="50" t="str">
        <f t="shared" si="7"/>
        <v/>
      </c>
      <c r="E161" s="51" t="str">
        <f t="shared" si="8"/>
        <v/>
      </c>
      <c r="F161" s="57"/>
      <c r="G161" s="52"/>
      <c r="H161" s="58"/>
      <c r="I161" s="59"/>
      <c r="J161" s="47"/>
      <c r="K161" s="47"/>
      <c r="L161" s="47"/>
      <c r="M161" s="47"/>
    </row>
    <row r="162" spans="2:13" ht="12.75" customHeight="1" x14ac:dyDescent="0.35">
      <c r="B162" s="53"/>
      <c r="C162" s="50" t="str">
        <f t="shared" si="6"/>
        <v/>
      </c>
      <c r="D162" s="50" t="str">
        <f t="shared" si="7"/>
        <v/>
      </c>
      <c r="E162" s="51" t="str">
        <f t="shared" si="8"/>
        <v/>
      </c>
      <c r="F162" s="57"/>
      <c r="G162" s="52"/>
      <c r="H162" s="58"/>
      <c r="I162" s="59"/>
      <c r="J162" s="47"/>
      <c r="K162" s="47"/>
      <c r="L162" s="47"/>
      <c r="M162" s="47"/>
    </row>
    <row r="163" spans="2:13" ht="12.75" customHeight="1" x14ac:dyDescent="0.35">
      <c r="B163" s="53"/>
      <c r="C163" s="50" t="str">
        <f t="shared" si="6"/>
        <v/>
      </c>
      <c r="D163" s="50" t="str">
        <f t="shared" si="7"/>
        <v/>
      </c>
      <c r="E163" s="51" t="str">
        <f t="shared" si="8"/>
        <v/>
      </c>
      <c r="F163" s="57"/>
      <c r="G163" s="52"/>
      <c r="H163" s="58"/>
      <c r="I163" s="59"/>
      <c r="J163" s="47"/>
      <c r="K163" s="47"/>
      <c r="L163" s="47"/>
      <c r="M163" s="47"/>
    </row>
    <row r="164" spans="2:13" ht="12.75" customHeight="1" x14ac:dyDescent="0.35">
      <c r="B164" s="53"/>
      <c r="C164" s="50" t="str">
        <f t="shared" si="6"/>
        <v/>
      </c>
      <c r="D164" s="50" t="str">
        <f t="shared" si="7"/>
        <v/>
      </c>
      <c r="E164" s="51" t="str">
        <f t="shared" si="8"/>
        <v/>
      </c>
      <c r="F164" s="57"/>
      <c r="G164" s="52"/>
      <c r="H164" s="58"/>
      <c r="I164" s="59"/>
      <c r="J164" s="47"/>
      <c r="K164" s="47"/>
      <c r="L164" s="47"/>
      <c r="M164" s="47"/>
    </row>
    <row r="165" spans="2:13" ht="12.75" customHeight="1" x14ac:dyDescent="0.35">
      <c r="B165" s="53"/>
      <c r="C165" s="50" t="str">
        <f t="shared" si="6"/>
        <v/>
      </c>
      <c r="D165" s="50" t="str">
        <f t="shared" si="7"/>
        <v/>
      </c>
      <c r="E165" s="51" t="str">
        <f t="shared" si="8"/>
        <v/>
      </c>
      <c r="F165" s="57"/>
      <c r="G165" s="52"/>
      <c r="H165" s="58"/>
      <c r="I165" s="59"/>
      <c r="J165" s="47"/>
      <c r="K165" s="47"/>
      <c r="L165" s="47"/>
      <c r="M165" s="47"/>
    </row>
    <row r="166" spans="2:13" ht="12.75" customHeight="1" x14ac:dyDescent="0.35">
      <c r="B166" s="53"/>
      <c r="C166" s="50" t="str">
        <f t="shared" si="6"/>
        <v/>
      </c>
      <c r="D166" s="50" t="str">
        <f t="shared" si="7"/>
        <v/>
      </c>
      <c r="E166" s="51" t="str">
        <f t="shared" si="8"/>
        <v/>
      </c>
      <c r="F166" s="57"/>
      <c r="G166" s="52"/>
      <c r="H166" s="58"/>
      <c r="I166" s="59"/>
      <c r="J166" s="47"/>
      <c r="K166" s="47"/>
      <c r="L166" s="47"/>
      <c r="M166" s="47"/>
    </row>
    <row r="167" spans="2:13" ht="12.75" customHeight="1" x14ac:dyDescent="0.35">
      <c r="B167" s="53"/>
      <c r="C167" s="50" t="str">
        <f t="shared" si="6"/>
        <v/>
      </c>
      <c r="D167" s="50" t="str">
        <f t="shared" si="7"/>
        <v/>
      </c>
      <c r="E167" s="51" t="str">
        <f t="shared" si="8"/>
        <v/>
      </c>
      <c r="F167" s="57"/>
      <c r="G167" s="52"/>
      <c r="H167" s="58"/>
      <c r="I167" s="59"/>
      <c r="J167" s="47"/>
      <c r="K167" s="47"/>
      <c r="L167" s="47"/>
      <c r="M167" s="47"/>
    </row>
    <row r="168" spans="2:13" ht="12.75" customHeight="1" x14ac:dyDescent="0.35">
      <c r="B168" s="53"/>
      <c r="C168" s="50" t="str">
        <f t="shared" si="6"/>
        <v/>
      </c>
      <c r="D168" s="50" t="str">
        <f t="shared" si="7"/>
        <v/>
      </c>
      <c r="E168" s="51" t="str">
        <f t="shared" si="8"/>
        <v/>
      </c>
      <c r="F168" s="57"/>
      <c r="G168" s="52"/>
      <c r="H168" s="58"/>
      <c r="I168" s="59"/>
      <c r="J168" s="47"/>
      <c r="K168" s="47"/>
      <c r="L168" s="47"/>
      <c r="M168" s="47"/>
    </row>
    <row r="169" spans="2:13" ht="12.75" customHeight="1" x14ac:dyDescent="0.35">
      <c r="B169" s="53"/>
      <c r="C169" s="50" t="str">
        <f t="shared" si="6"/>
        <v/>
      </c>
      <c r="D169" s="50" t="str">
        <f t="shared" si="7"/>
        <v/>
      </c>
      <c r="E169" s="51" t="str">
        <f t="shared" si="8"/>
        <v/>
      </c>
      <c r="F169" s="57"/>
      <c r="G169" s="52"/>
      <c r="H169" s="58"/>
      <c r="I169" s="59"/>
      <c r="J169" s="47"/>
      <c r="K169" s="47"/>
      <c r="L169" s="47"/>
      <c r="M169" s="47"/>
    </row>
    <row r="170" spans="2:13" ht="12.75" customHeight="1" x14ac:dyDescent="0.35">
      <c r="B170" s="53"/>
      <c r="C170" s="50" t="str">
        <f t="shared" si="6"/>
        <v/>
      </c>
      <c r="D170" s="50" t="str">
        <f t="shared" si="7"/>
        <v/>
      </c>
      <c r="E170" s="51" t="str">
        <f t="shared" si="8"/>
        <v/>
      </c>
      <c r="F170" s="57"/>
      <c r="G170" s="52"/>
      <c r="H170" s="58"/>
      <c r="I170" s="59"/>
      <c r="J170" s="47"/>
      <c r="K170" s="47"/>
      <c r="L170" s="47"/>
      <c r="M170" s="47"/>
    </row>
    <row r="171" spans="2:13" ht="12.75" customHeight="1" x14ac:dyDescent="0.35">
      <c r="B171" s="53"/>
      <c r="C171" s="50" t="str">
        <f t="shared" si="6"/>
        <v/>
      </c>
      <c r="D171" s="50" t="str">
        <f t="shared" si="7"/>
        <v/>
      </c>
      <c r="E171" s="51" t="str">
        <f t="shared" si="8"/>
        <v/>
      </c>
      <c r="F171" s="57"/>
      <c r="G171" s="52"/>
      <c r="H171" s="58"/>
      <c r="I171" s="59"/>
      <c r="J171" s="47"/>
      <c r="K171" s="47"/>
      <c r="L171" s="47"/>
      <c r="M171" s="47"/>
    </row>
    <row r="172" spans="2:13" ht="12.75" customHeight="1" x14ac:dyDescent="0.35">
      <c r="B172" s="53"/>
      <c r="C172" s="50" t="str">
        <f t="shared" si="6"/>
        <v/>
      </c>
      <c r="D172" s="50" t="str">
        <f t="shared" si="7"/>
        <v/>
      </c>
      <c r="E172" s="51" t="str">
        <f t="shared" si="8"/>
        <v/>
      </c>
      <c r="F172" s="57"/>
      <c r="G172" s="52"/>
      <c r="H172" s="58"/>
      <c r="I172" s="59"/>
      <c r="J172" s="47"/>
      <c r="K172" s="47"/>
      <c r="L172" s="47"/>
      <c r="M172" s="47"/>
    </row>
    <row r="173" spans="2:13" ht="12.75" customHeight="1" x14ac:dyDescent="0.35">
      <c r="B173" s="53"/>
      <c r="C173" s="50" t="str">
        <f t="shared" si="6"/>
        <v/>
      </c>
      <c r="D173" s="50" t="str">
        <f t="shared" si="7"/>
        <v/>
      </c>
      <c r="E173" s="51" t="str">
        <f t="shared" si="8"/>
        <v/>
      </c>
      <c r="F173" s="57"/>
      <c r="G173" s="52"/>
      <c r="H173" s="58"/>
      <c r="I173" s="59"/>
      <c r="J173" s="47"/>
      <c r="K173" s="47"/>
      <c r="L173" s="47"/>
      <c r="M173" s="47"/>
    </row>
    <row r="174" spans="2:13" ht="12.75" customHeight="1" x14ac:dyDescent="0.35">
      <c r="B174" s="53"/>
      <c r="C174" s="50" t="str">
        <f t="shared" si="6"/>
        <v/>
      </c>
      <c r="D174" s="50" t="str">
        <f t="shared" si="7"/>
        <v/>
      </c>
      <c r="E174" s="51" t="str">
        <f t="shared" si="8"/>
        <v/>
      </c>
      <c r="F174" s="57"/>
      <c r="G174" s="52"/>
      <c r="H174" s="58"/>
      <c r="I174" s="59"/>
      <c r="J174" s="47"/>
      <c r="K174" s="47"/>
      <c r="L174" s="47"/>
      <c r="M174" s="47"/>
    </row>
    <row r="175" spans="2:13" ht="12.75" customHeight="1" x14ac:dyDescent="0.35">
      <c r="B175" s="53"/>
      <c r="C175" s="50" t="str">
        <f t="shared" si="6"/>
        <v/>
      </c>
      <c r="D175" s="50" t="str">
        <f t="shared" si="7"/>
        <v/>
      </c>
      <c r="E175" s="51" t="str">
        <f t="shared" si="8"/>
        <v/>
      </c>
      <c r="F175" s="57"/>
      <c r="G175" s="52"/>
      <c r="H175" s="58"/>
      <c r="I175" s="59"/>
      <c r="J175" s="47"/>
      <c r="K175" s="47"/>
      <c r="L175" s="47"/>
      <c r="M175" s="47"/>
    </row>
    <row r="176" spans="2:13" ht="12.75" customHeight="1" x14ac:dyDescent="0.35">
      <c r="B176" s="53"/>
      <c r="C176" s="50" t="str">
        <f t="shared" si="6"/>
        <v/>
      </c>
      <c r="D176" s="50" t="str">
        <f t="shared" si="7"/>
        <v/>
      </c>
      <c r="E176" s="51" t="str">
        <f t="shared" si="8"/>
        <v/>
      </c>
      <c r="F176" s="57"/>
      <c r="G176" s="52"/>
      <c r="H176" s="58"/>
      <c r="I176" s="59"/>
      <c r="J176" s="47"/>
      <c r="K176" s="47"/>
      <c r="L176" s="47"/>
      <c r="M176" s="47"/>
    </row>
    <row r="177" spans="2:13" ht="12.75" customHeight="1" x14ac:dyDescent="0.35">
      <c r="B177" s="53"/>
      <c r="C177" s="50" t="str">
        <f t="shared" si="6"/>
        <v/>
      </c>
      <c r="D177" s="50" t="str">
        <f t="shared" si="7"/>
        <v/>
      </c>
      <c r="E177" s="51" t="str">
        <f t="shared" si="8"/>
        <v/>
      </c>
      <c r="F177" s="57"/>
      <c r="G177" s="52"/>
      <c r="H177" s="58"/>
      <c r="I177" s="59"/>
      <c r="J177" s="47"/>
      <c r="K177" s="47"/>
      <c r="L177" s="47"/>
      <c r="M177" s="47"/>
    </row>
    <row r="178" spans="2:13" ht="12.75" customHeight="1" x14ac:dyDescent="0.35">
      <c r="B178" s="53"/>
      <c r="C178" s="50" t="str">
        <f t="shared" si="6"/>
        <v/>
      </c>
      <c r="D178" s="50" t="str">
        <f t="shared" si="7"/>
        <v/>
      </c>
      <c r="E178" s="51" t="str">
        <f t="shared" si="8"/>
        <v/>
      </c>
      <c r="F178" s="57"/>
      <c r="G178" s="52"/>
      <c r="H178" s="58"/>
      <c r="I178" s="59"/>
      <c r="J178" s="47"/>
      <c r="K178" s="47"/>
      <c r="L178" s="47"/>
      <c r="M178" s="47"/>
    </row>
    <row r="179" spans="2:13" ht="12.75" customHeight="1" x14ac:dyDescent="0.35">
      <c r="B179" s="53"/>
      <c r="C179" s="50" t="str">
        <f t="shared" si="6"/>
        <v/>
      </c>
      <c r="D179" s="50" t="str">
        <f t="shared" si="7"/>
        <v/>
      </c>
      <c r="E179" s="51" t="str">
        <f t="shared" si="8"/>
        <v/>
      </c>
      <c r="F179" s="57"/>
      <c r="G179" s="52"/>
      <c r="H179" s="58"/>
      <c r="I179" s="59"/>
      <c r="J179" s="47"/>
      <c r="K179" s="47"/>
      <c r="L179" s="47"/>
      <c r="M179" s="47"/>
    </row>
    <row r="180" spans="2:13" ht="12.75" customHeight="1" x14ac:dyDescent="0.35">
      <c r="B180" s="53"/>
      <c r="C180" s="50" t="str">
        <f t="shared" si="6"/>
        <v/>
      </c>
      <c r="D180" s="50" t="str">
        <f t="shared" si="7"/>
        <v/>
      </c>
      <c r="E180" s="51" t="str">
        <f t="shared" si="8"/>
        <v/>
      </c>
      <c r="F180" s="57"/>
      <c r="G180" s="52"/>
      <c r="H180" s="58"/>
      <c r="I180" s="59"/>
      <c r="J180" s="47"/>
      <c r="K180" s="47"/>
      <c r="L180" s="47"/>
      <c r="M180" s="47"/>
    </row>
    <row r="181" spans="2:13" ht="12.75" customHeight="1" x14ac:dyDescent="0.35">
      <c r="B181" s="53"/>
      <c r="C181" s="50" t="str">
        <f t="shared" si="6"/>
        <v/>
      </c>
      <c r="D181" s="50" t="str">
        <f t="shared" si="7"/>
        <v/>
      </c>
      <c r="E181" s="51" t="str">
        <f t="shared" si="8"/>
        <v/>
      </c>
      <c r="F181" s="57"/>
      <c r="G181" s="52"/>
      <c r="H181" s="58"/>
      <c r="I181" s="59"/>
      <c r="J181" s="47"/>
      <c r="K181" s="47"/>
      <c r="L181" s="47"/>
      <c r="M181" s="47"/>
    </row>
    <row r="182" spans="2:13" ht="12.75" customHeight="1" x14ac:dyDescent="0.35">
      <c r="B182" s="53"/>
      <c r="C182" s="50" t="str">
        <f t="shared" si="6"/>
        <v/>
      </c>
      <c r="D182" s="50" t="str">
        <f t="shared" si="7"/>
        <v/>
      </c>
      <c r="E182" s="51" t="str">
        <f t="shared" si="8"/>
        <v/>
      </c>
      <c r="F182" s="57"/>
      <c r="G182" s="52"/>
      <c r="H182" s="58"/>
      <c r="I182" s="59"/>
      <c r="J182" s="47"/>
      <c r="K182" s="47"/>
      <c r="L182" s="47"/>
      <c r="M182" s="47"/>
    </row>
    <row r="183" spans="2:13" ht="12.75" customHeight="1" x14ac:dyDescent="0.35">
      <c r="B183" s="53"/>
      <c r="C183" s="50" t="str">
        <f t="shared" si="6"/>
        <v/>
      </c>
      <c r="D183" s="50" t="str">
        <f t="shared" si="7"/>
        <v/>
      </c>
      <c r="E183" s="51" t="str">
        <f t="shared" si="8"/>
        <v/>
      </c>
      <c r="F183" s="57"/>
      <c r="G183" s="52"/>
      <c r="H183" s="58"/>
      <c r="I183" s="59"/>
      <c r="J183" s="47"/>
      <c r="K183" s="47"/>
      <c r="L183" s="47"/>
      <c r="M183" s="47"/>
    </row>
    <row r="184" spans="2:13" ht="12.75" customHeight="1" x14ac:dyDescent="0.35">
      <c r="B184" s="53"/>
      <c r="C184" s="50" t="str">
        <f t="shared" si="6"/>
        <v/>
      </c>
      <c r="D184" s="50" t="str">
        <f t="shared" si="7"/>
        <v/>
      </c>
      <c r="E184" s="51" t="str">
        <f t="shared" si="8"/>
        <v/>
      </c>
      <c r="F184" s="57"/>
      <c r="G184" s="52"/>
      <c r="H184" s="58"/>
      <c r="I184" s="59"/>
      <c r="J184" s="47"/>
      <c r="K184" s="47"/>
      <c r="L184" s="47"/>
      <c r="M184" s="47"/>
    </row>
    <row r="185" spans="2:13" ht="12.75" customHeight="1" x14ac:dyDescent="0.35">
      <c r="B185" s="53"/>
      <c r="C185" s="50" t="str">
        <f t="shared" si="6"/>
        <v/>
      </c>
      <c r="D185" s="50" t="str">
        <f t="shared" si="7"/>
        <v/>
      </c>
      <c r="E185" s="51" t="str">
        <f t="shared" si="8"/>
        <v/>
      </c>
      <c r="F185" s="57"/>
      <c r="G185" s="52"/>
      <c r="H185" s="58"/>
      <c r="I185" s="59"/>
      <c r="J185" s="47"/>
      <c r="K185" s="47"/>
      <c r="L185" s="47"/>
      <c r="M185" s="47"/>
    </row>
    <row r="186" spans="2:13" ht="12.75" customHeight="1" x14ac:dyDescent="0.35">
      <c r="B186" s="53"/>
      <c r="C186" s="50" t="str">
        <f t="shared" si="6"/>
        <v/>
      </c>
      <c r="D186" s="50" t="str">
        <f t="shared" si="7"/>
        <v/>
      </c>
      <c r="E186" s="51" t="str">
        <f t="shared" si="8"/>
        <v/>
      </c>
      <c r="F186" s="57"/>
      <c r="G186" s="52"/>
      <c r="H186" s="58"/>
      <c r="I186" s="59"/>
      <c r="J186" s="47"/>
      <c r="K186" s="47"/>
      <c r="L186" s="47"/>
      <c r="M186" s="47"/>
    </row>
    <row r="187" spans="2:13" ht="12.75" customHeight="1" x14ac:dyDescent="0.35">
      <c r="B187" s="53"/>
      <c r="C187" s="50" t="str">
        <f t="shared" si="6"/>
        <v/>
      </c>
      <c r="D187" s="50" t="str">
        <f t="shared" si="7"/>
        <v/>
      </c>
      <c r="E187" s="51" t="str">
        <f t="shared" si="8"/>
        <v/>
      </c>
      <c r="F187" s="57"/>
      <c r="G187" s="52"/>
      <c r="H187" s="58"/>
      <c r="I187" s="59"/>
      <c r="J187" s="47"/>
      <c r="K187" s="47"/>
      <c r="L187" s="47"/>
      <c r="M187" s="47"/>
    </row>
    <row r="188" spans="2:13" ht="12.75" customHeight="1" x14ac:dyDescent="0.35">
      <c r="B188" s="53"/>
      <c r="C188" s="50" t="str">
        <f t="shared" si="6"/>
        <v/>
      </c>
      <c r="D188" s="50" t="str">
        <f t="shared" si="7"/>
        <v/>
      </c>
      <c r="E188" s="51" t="str">
        <f t="shared" si="8"/>
        <v/>
      </c>
      <c r="F188" s="57"/>
      <c r="G188" s="52"/>
      <c r="H188" s="58"/>
      <c r="I188" s="59"/>
      <c r="J188" s="47"/>
      <c r="K188" s="47"/>
      <c r="L188" s="47"/>
      <c r="M188" s="47"/>
    </row>
    <row r="189" spans="2:13" ht="12.75" customHeight="1" x14ac:dyDescent="0.35">
      <c r="B189" s="53"/>
      <c r="C189" s="50" t="str">
        <f t="shared" si="6"/>
        <v/>
      </c>
      <c r="D189" s="50" t="str">
        <f t="shared" si="7"/>
        <v/>
      </c>
      <c r="E189" s="51" t="str">
        <f t="shared" si="8"/>
        <v/>
      </c>
      <c r="F189" s="57"/>
      <c r="G189" s="52"/>
      <c r="H189" s="58"/>
      <c r="I189" s="59"/>
      <c r="J189" s="47"/>
      <c r="K189" s="47"/>
      <c r="L189" s="47"/>
      <c r="M189" s="47"/>
    </row>
    <row r="190" spans="2:13" ht="12.75" customHeight="1" x14ac:dyDescent="0.35">
      <c r="B190" s="53"/>
      <c r="C190" s="50" t="str">
        <f t="shared" si="6"/>
        <v/>
      </c>
      <c r="D190" s="50" t="str">
        <f t="shared" si="7"/>
        <v/>
      </c>
      <c r="E190" s="51" t="str">
        <f t="shared" si="8"/>
        <v/>
      </c>
      <c r="F190" s="57"/>
      <c r="G190" s="52"/>
      <c r="H190" s="58"/>
      <c r="I190" s="59"/>
      <c r="J190" s="47"/>
      <c r="K190" s="47"/>
      <c r="L190" s="47"/>
      <c r="M190" s="47"/>
    </row>
    <row r="191" spans="2:13" ht="12.75" customHeight="1" x14ac:dyDescent="0.35">
      <c r="B191" s="53"/>
      <c r="C191" s="50" t="str">
        <f t="shared" si="6"/>
        <v/>
      </c>
      <c r="D191" s="50" t="str">
        <f t="shared" si="7"/>
        <v/>
      </c>
      <c r="E191" s="51" t="str">
        <f t="shared" si="8"/>
        <v/>
      </c>
      <c r="F191" s="57"/>
      <c r="G191" s="52"/>
      <c r="H191" s="58"/>
      <c r="I191" s="59"/>
      <c r="J191" s="47"/>
      <c r="K191" s="47"/>
      <c r="L191" s="47"/>
      <c r="M191" s="47"/>
    </row>
    <row r="192" spans="2:13" ht="12.75" customHeight="1" x14ac:dyDescent="0.35">
      <c r="B192" s="53"/>
      <c r="C192" s="50" t="str">
        <f t="shared" si="6"/>
        <v/>
      </c>
      <c r="D192" s="50" t="str">
        <f t="shared" si="7"/>
        <v/>
      </c>
      <c r="E192" s="51" t="str">
        <f t="shared" si="8"/>
        <v/>
      </c>
      <c r="F192" s="57"/>
      <c r="G192" s="52"/>
      <c r="H192" s="58"/>
      <c r="I192" s="59"/>
      <c r="J192" s="47"/>
      <c r="K192" s="47"/>
      <c r="L192" s="47"/>
      <c r="M192" s="47"/>
    </row>
    <row r="193" spans="2:13" ht="12.75" customHeight="1" x14ac:dyDescent="0.35">
      <c r="B193" s="53"/>
      <c r="C193" s="50" t="str">
        <f t="shared" si="6"/>
        <v/>
      </c>
      <c r="D193" s="50" t="str">
        <f t="shared" si="7"/>
        <v/>
      </c>
      <c r="E193" s="51" t="str">
        <f t="shared" si="8"/>
        <v/>
      </c>
      <c r="F193" s="57"/>
      <c r="G193" s="52"/>
      <c r="H193" s="58"/>
      <c r="I193" s="59"/>
      <c r="J193" s="47"/>
      <c r="K193" s="47"/>
      <c r="L193" s="47"/>
      <c r="M193" s="47"/>
    </row>
    <row r="194" spans="2:13" ht="12.75" customHeight="1" x14ac:dyDescent="0.35">
      <c r="B194" s="53"/>
      <c r="C194" s="50" t="str">
        <f t="shared" si="6"/>
        <v/>
      </c>
      <c r="D194" s="50" t="str">
        <f t="shared" si="7"/>
        <v/>
      </c>
      <c r="E194" s="51" t="str">
        <f t="shared" si="8"/>
        <v/>
      </c>
      <c r="F194" s="57"/>
      <c r="G194" s="52"/>
      <c r="H194" s="58"/>
      <c r="I194" s="59"/>
      <c r="J194" s="47"/>
      <c r="K194" s="47"/>
      <c r="L194" s="47"/>
      <c r="M194" s="47"/>
    </row>
    <row r="195" spans="2:13" ht="12.75" customHeight="1" x14ac:dyDescent="0.35">
      <c r="B195" s="53"/>
      <c r="C195" s="50" t="str">
        <f t="shared" si="6"/>
        <v/>
      </c>
      <c r="D195" s="50" t="str">
        <f t="shared" si="7"/>
        <v/>
      </c>
      <c r="E195" s="51" t="str">
        <f t="shared" si="8"/>
        <v/>
      </c>
      <c r="F195" s="57"/>
      <c r="G195" s="52"/>
      <c r="H195" s="58"/>
      <c r="I195" s="59"/>
      <c r="J195" s="47"/>
      <c r="K195" s="47"/>
      <c r="L195" s="47"/>
      <c r="M195" s="47"/>
    </row>
    <row r="196" spans="2:13" ht="12.75" customHeight="1" x14ac:dyDescent="0.35">
      <c r="B196" s="53"/>
      <c r="C196" s="50" t="str">
        <f t="shared" si="6"/>
        <v/>
      </c>
      <c r="D196" s="50" t="str">
        <f t="shared" si="7"/>
        <v/>
      </c>
      <c r="E196" s="51" t="str">
        <f t="shared" si="8"/>
        <v/>
      </c>
      <c r="F196" s="57"/>
      <c r="G196" s="52"/>
      <c r="H196" s="58"/>
      <c r="I196" s="59"/>
      <c r="J196" s="47"/>
      <c r="K196" s="47"/>
      <c r="L196" s="47"/>
      <c r="M196" s="47"/>
    </row>
    <row r="197" spans="2:13" ht="12.75" customHeight="1" x14ac:dyDescent="0.35">
      <c r="B197" s="53"/>
      <c r="C197" s="50" t="str">
        <f t="shared" si="6"/>
        <v/>
      </c>
      <c r="D197" s="50" t="str">
        <f t="shared" si="7"/>
        <v/>
      </c>
      <c r="E197" s="51" t="str">
        <f t="shared" si="8"/>
        <v/>
      </c>
      <c r="F197" s="57"/>
      <c r="G197" s="52"/>
      <c r="H197" s="58"/>
      <c r="I197" s="59"/>
      <c r="J197" s="47"/>
      <c r="K197" s="47"/>
      <c r="L197" s="47"/>
      <c r="M197" s="47"/>
    </row>
    <row r="198" spans="2:13" ht="12.75" customHeight="1" x14ac:dyDescent="0.35">
      <c r="B198" s="53"/>
      <c r="C198" s="50" t="str">
        <f t="shared" ref="C198:C261" si="9">IF(B198=0,"",YEAR(B198))</f>
        <v/>
      </c>
      <c r="D198" s="50" t="str">
        <f t="shared" ref="D198:D261" si="10">IF(B198=0,"",MONTH(B198)&amp;"월")</f>
        <v/>
      </c>
      <c r="E198" s="51" t="str">
        <f t="shared" ref="E198:E261" si="11">IF(B198=0,"",DAY(B198)&amp;"일")</f>
        <v/>
      </c>
      <c r="F198" s="57"/>
      <c r="G198" s="52"/>
      <c r="H198" s="58"/>
      <c r="I198" s="59"/>
      <c r="J198" s="47"/>
      <c r="K198" s="47"/>
      <c r="L198" s="47"/>
      <c r="M198" s="47"/>
    </row>
    <row r="199" spans="2:13" ht="12.75" customHeight="1" x14ac:dyDescent="0.35">
      <c r="B199" s="53"/>
      <c r="C199" s="50" t="str">
        <f t="shared" si="9"/>
        <v/>
      </c>
      <c r="D199" s="50" t="str">
        <f t="shared" si="10"/>
        <v/>
      </c>
      <c r="E199" s="51" t="str">
        <f t="shared" si="11"/>
        <v/>
      </c>
      <c r="F199" s="57"/>
      <c r="G199" s="52"/>
      <c r="H199" s="58"/>
      <c r="I199" s="59"/>
      <c r="J199" s="47"/>
      <c r="K199" s="47"/>
      <c r="L199" s="47"/>
      <c r="M199" s="47"/>
    </row>
    <row r="200" spans="2:13" ht="12.75" customHeight="1" x14ac:dyDescent="0.35">
      <c r="B200" s="53"/>
      <c r="C200" s="50" t="str">
        <f t="shared" si="9"/>
        <v/>
      </c>
      <c r="D200" s="50" t="str">
        <f t="shared" si="10"/>
        <v/>
      </c>
      <c r="E200" s="51" t="str">
        <f t="shared" si="11"/>
        <v/>
      </c>
      <c r="F200" s="57"/>
      <c r="G200" s="52"/>
      <c r="H200" s="58"/>
      <c r="I200" s="59"/>
      <c r="J200" s="47"/>
      <c r="K200" s="47"/>
      <c r="L200" s="47"/>
      <c r="M200" s="47"/>
    </row>
    <row r="201" spans="2:13" ht="12.75" customHeight="1" x14ac:dyDescent="0.35">
      <c r="B201" s="53"/>
      <c r="C201" s="50" t="str">
        <f t="shared" si="9"/>
        <v/>
      </c>
      <c r="D201" s="50" t="str">
        <f t="shared" si="10"/>
        <v/>
      </c>
      <c r="E201" s="51" t="str">
        <f t="shared" si="11"/>
        <v/>
      </c>
      <c r="F201" s="57"/>
      <c r="G201" s="52"/>
      <c r="H201" s="58"/>
      <c r="I201" s="59"/>
      <c r="J201" s="47"/>
      <c r="K201" s="47"/>
      <c r="L201" s="47"/>
      <c r="M201" s="47"/>
    </row>
    <row r="202" spans="2:13" ht="12.75" customHeight="1" x14ac:dyDescent="0.35">
      <c r="B202" s="53"/>
      <c r="C202" s="50" t="str">
        <f t="shared" si="9"/>
        <v/>
      </c>
      <c r="D202" s="50" t="str">
        <f t="shared" si="10"/>
        <v/>
      </c>
      <c r="E202" s="51" t="str">
        <f t="shared" si="11"/>
        <v/>
      </c>
      <c r="F202" s="57"/>
      <c r="G202" s="52"/>
      <c r="H202" s="58"/>
      <c r="I202" s="59"/>
      <c r="J202" s="47"/>
      <c r="K202" s="47"/>
      <c r="L202" s="47"/>
      <c r="M202" s="47"/>
    </row>
    <row r="203" spans="2:13" ht="12.75" customHeight="1" x14ac:dyDescent="0.35">
      <c r="B203" s="53"/>
      <c r="C203" s="50" t="str">
        <f t="shared" si="9"/>
        <v/>
      </c>
      <c r="D203" s="50" t="str">
        <f t="shared" si="10"/>
        <v/>
      </c>
      <c r="E203" s="51" t="str">
        <f t="shared" si="11"/>
        <v/>
      </c>
      <c r="F203" s="57"/>
      <c r="G203" s="52"/>
      <c r="H203" s="58"/>
      <c r="I203" s="59"/>
      <c r="J203" s="47"/>
      <c r="K203" s="47"/>
      <c r="L203" s="47"/>
      <c r="M203" s="47"/>
    </row>
    <row r="204" spans="2:13" ht="12.75" customHeight="1" x14ac:dyDescent="0.35">
      <c r="B204" s="53"/>
      <c r="C204" s="50" t="str">
        <f t="shared" si="9"/>
        <v/>
      </c>
      <c r="D204" s="50" t="str">
        <f t="shared" si="10"/>
        <v/>
      </c>
      <c r="E204" s="51" t="str">
        <f t="shared" si="11"/>
        <v/>
      </c>
      <c r="F204" s="57"/>
      <c r="G204" s="52"/>
      <c r="H204" s="58"/>
      <c r="I204" s="59"/>
      <c r="J204" s="47"/>
      <c r="K204" s="47"/>
      <c r="L204" s="47"/>
      <c r="M204" s="47"/>
    </row>
    <row r="205" spans="2:13" ht="12.75" customHeight="1" x14ac:dyDescent="0.35">
      <c r="B205" s="53"/>
      <c r="C205" s="50" t="str">
        <f t="shared" si="9"/>
        <v/>
      </c>
      <c r="D205" s="50" t="str">
        <f t="shared" si="10"/>
        <v/>
      </c>
      <c r="E205" s="51" t="str">
        <f t="shared" si="11"/>
        <v/>
      </c>
      <c r="F205" s="57"/>
      <c r="G205" s="52"/>
      <c r="H205" s="58"/>
      <c r="I205" s="59"/>
      <c r="J205" s="47"/>
      <c r="K205" s="47"/>
      <c r="L205" s="47"/>
      <c r="M205" s="47"/>
    </row>
    <row r="206" spans="2:13" ht="12.75" customHeight="1" x14ac:dyDescent="0.35">
      <c r="B206" s="53"/>
      <c r="C206" s="50" t="str">
        <f t="shared" si="9"/>
        <v/>
      </c>
      <c r="D206" s="50" t="str">
        <f t="shared" si="10"/>
        <v/>
      </c>
      <c r="E206" s="51" t="str">
        <f t="shared" si="11"/>
        <v/>
      </c>
      <c r="F206" s="57"/>
      <c r="G206" s="52"/>
      <c r="H206" s="58"/>
      <c r="I206" s="59"/>
      <c r="J206" s="47"/>
      <c r="K206" s="47"/>
      <c r="L206" s="47"/>
      <c r="M206" s="47"/>
    </row>
    <row r="207" spans="2:13" ht="12.75" customHeight="1" x14ac:dyDescent="0.35">
      <c r="B207" s="53"/>
      <c r="C207" s="50" t="str">
        <f t="shared" si="9"/>
        <v/>
      </c>
      <c r="D207" s="50" t="str">
        <f t="shared" si="10"/>
        <v/>
      </c>
      <c r="E207" s="51" t="str">
        <f t="shared" si="11"/>
        <v/>
      </c>
      <c r="F207" s="57"/>
      <c r="G207" s="52"/>
      <c r="H207" s="58"/>
      <c r="I207" s="59"/>
      <c r="J207" s="47"/>
      <c r="K207" s="47"/>
      <c r="L207" s="47"/>
      <c r="M207" s="47"/>
    </row>
    <row r="208" spans="2:13" ht="12.75" customHeight="1" x14ac:dyDescent="0.35">
      <c r="B208" s="53"/>
      <c r="C208" s="50" t="str">
        <f t="shared" si="9"/>
        <v/>
      </c>
      <c r="D208" s="50" t="str">
        <f t="shared" si="10"/>
        <v/>
      </c>
      <c r="E208" s="51" t="str">
        <f t="shared" si="11"/>
        <v/>
      </c>
      <c r="F208" s="57"/>
      <c r="G208" s="52"/>
      <c r="H208" s="58"/>
      <c r="I208" s="59"/>
      <c r="J208" s="47"/>
      <c r="K208" s="47"/>
      <c r="L208" s="47"/>
      <c r="M208" s="47"/>
    </row>
    <row r="209" spans="2:13" ht="12.75" customHeight="1" x14ac:dyDescent="0.35">
      <c r="B209" s="53"/>
      <c r="C209" s="50" t="str">
        <f t="shared" si="9"/>
        <v/>
      </c>
      <c r="D209" s="50" t="str">
        <f t="shared" si="10"/>
        <v/>
      </c>
      <c r="E209" s="51" t="str">
        <f t="shared" si="11"/>
        <v/>
      </c>
      <c r="F209" s="57"/>
      <c r="G209" s="52"/>
      <c r="H209" s="58"/>
      <c r="I209" s="59"/>
      <c r="J209" s="47"/>
      <c r="K209" s="47"/>
      <c r="L209" s="47"/>
      <c r="M209" s="47"/>
    </row>
    <row r="210" spans="2:13" ht="12.75" customHeight="1" x14ac:dyDescent="0.35">
      <c r="B210" s="53"/>
      <c r="C210" s="50" t="str">
        <f t="shared" si="9"/>
        <v/>
      </c>
      <c r="D210" s="50" t="str">
        <f t="shared" si="10"/>
        <v/>
      </c>
      <c r="E210" s="51" t="str">
        <f t="shared" si="11"/>
        <v/>
      </c>
      <c r="F210" s="57"/>
      <c r="G210" s="52"/>
      <c r="H210" s="58"/>
      <c r="I210" s="59"/>
      <c r="J210" s="47"/>
      <c r="K210" s="47"/>
      <c r="L210" s="47"/>
      <c r="M210" s="47"/>
    </row>
    <row r="211" spans="2:13" ht="12.75" customHeight="1" x14ac:dyDescent="0.35">
      <c r="B211" s="53"/>
      <c r="C211" s="50" t="str">
        <f t="shared" si="9"/>
        <v/>
      </c>
      <c r="D211" s="50" t="str">
        <f t="shared" si="10"/>
        <v/>
      </c>
      <c r="E211" s="51" t="str">
        <f t="shared" si="11"/>
        <v/>
      </c>
      <c r="F211" s="57"/>
      <c r="G211" s="52"/>
      <c r="H211" s="58"/>
      <c r="I211" s="59"/>
      <c r="J211" s="47"/>
      <c r="K211" s="47"/>
      <c r="L211" s="47"/>
      <c r="M211" s="47"/>
    </row>
    <row r="212" spans="2:13" ht="12.75" customHeight="1" x14ac:dyDescent="0.35">
      <c r="B212" s="53"/>
      <c r="C212" s="50" t="str">
        <f t="shared" si="9"/>
        <v/>
      </c>
      <c r="D212" s="50" t="str">
        <f t="shared" si="10"/>
        <v/>
      </c>
      <c r="E212" s="51" t="str">
        <f t="shared" si="11"/>
        <v/>
      </c>
      <c r="F212" s="57"/>
      <c r="G212" s="52"/>
      <c r="H212" s="58"/>
      <c r="I212" s="59"/>
      <c r="J212" s="47"/>
      <c r="K212" s="47"/>
      <c r="L212" s="47"/>
      <c r="M212" s="47"/>
    </row>
    <row r="213" spans="2:13" ht="12.75" customHeight="1" x14ac:dyDescent="0.35">
      <c r="B213" s="53"/>
      <c r="C213" s="50" t="str">
        <f t="shared" si="9"/>
        <v/>
      </c>
      <c r="D213" s="50" t="str">
        <f t="shared" si="10"/>
        <v/>
      </c>
      <c r="E213" s="51" t="str">
        <f t="shared" si="11"/>
        <v/>
      </c>
      <c r="F213" s="57"/>
      <c r="G213" s="52"/>
      <c r="H213" s="58"/>
      <c r="I213" s="59"/>
      <c r="J213" s="47"/>
      <c r="K213" s="47"/>
      <c r="L213" s="47"/>
      <c r="M213" s="47"/>
    </row>
    <row r="214" spans="2:13" ht="12.75" customHeight="1" x14ac:dyDescent="0.35">
      <c r="B214" s="53"/>
      <c r="C214" s="50" t="str">
        <f t="shared" si="9"/>
        <v/>
      </c>
      <c r="D214" s="50" t="str">
        <f t="shared" si="10"/>
        <v/>
      </c>
      <c r="E214" s="51" t="str">
        <f t="shared" si="11"/>
        <v/>
      </c>
      <c r="F214" s="57"/>
      <c r="G214" s="52"/>
      <c r="H214" s="58"/>
      <c r="I214" s="59"/>
      <c r="J214" s="47"/>
      <c r="K214" s="47"/>
      <c r="L214" s="47"/>
      <c r="M214" s="47"/>
    </row>
    <row r="215" spans="2:13" ht="12.75" customHeight="1" x14ac:dyDescent="0.35">
      <c r="B215" s="53"/>
      <c r="C215" s="50" t="str">
        <f t="shared" si="9"/>
        <v/>
      </c>
      <c r="D215" s="50" t="str">
        <f t="shared" si="10"/>
        <v/>
      </c>
      <c r="E215" s="51" t="str">
        <f t="shared" si="11"/>
        <v/>
      </c>
      <c r="F215" s="57"/>
      <c r="G215" s="52"/>
      <c r="H215" s="58"/>
      <c r="I215" s="59"/>
      <c r="J215" s="47"/>
      <c r="K215" s="47"/>
      <c r="L215" s="47"/>
      <c r="M215" s="47"/>
    </row>
    <row r="216" spans="2:13" ht="12.75" customHeight="1" x14ac:dyDescent="0.35">
      <c r="B216" s="53"/>
      <c r="C216" s="50" t="str">
        <f t="shared" si="9"/>
        <v/>
      </c>
      <c r="D216" s="50" t="str">
        <f t="shared" si="10"/>
        <v/>
      </c>
      <c r="E216" s="51" t="str">
        <f t="shared" si="11"/>
        <v/>
      </c>
      <c r="F216" s="57"/>
      <c r="G216" s="52"/>
      <c r="H216" s="58"/>
      <c r="I216" s="59"/>
      <c r="J216" s="47"/>
      <c r="K216" s="47"/>
      <c r="L216" s="47"/>
      <c r="M216" s="47"/>
    </row>
    <row r="217" spans="2:13" ht="12.75" customHeight="1" x14ac:dyDescent="0.35">
      <c r="B217" s="53"/>
      <c r="C217" s="50" t="str">
        <f t="shared" si="9"/>
        <v/>
      </c>
      <c r="D217" s="50" t="str">
        <f t="shared" si="10"/>
        <v/>
      </c>
      <c r="E217" s="51" t="str">
        <f t="shared" si="11"/>
        <v/>
      </c>
      <c r="F217" s="57"/>
      <c r="G217" s="52"/>
      <c r="H217" s="58"/>
      <c r="I217" s="59"/>
      <c r="J217" s="47"/>
      <c r="K217" s="47"/>
      <c r="L217" s="47"/>
      <c r="M217" s="47"/>
    </row>
    <row r="218" spans="2:13" ht="12.75" customHeight="1" x14ac:dyDescent="0.35">
      <c r="B218" s="53"/>
      <c r="C218" s="50" t="str">
        <f t="shared" si="9"/>
        <v/>
      </c>
      <c r="D218" s="50" t="str">
        <f t="shared" si="10"/>
        <v/>
      </c>
      <c r="E218" s="51" t="str">
        <f t="shared" si="11"/>
        <v/>
      </c>
      <c r="F218" s="57"/>
      <c r="G218" s="52"/>
      <c r="H218" s="58"/>
      <c r="I218" s="59"/>
      <c r="J218" s="47"/>
      <c r="K218" s="47"/>
      <c r="L218" s="47"/>
      <c r="M218" s="47"/>
    </row>
    <row r="219" spans="2:13" ht="12.75" customHeight="1" x14ac:dyDescent="0.35">
      <c r="B219" s="53"/>
      <c r="C219" s="50" t="str">
        <f t="shared" si="9"/>
        <v/>
      </c>
      <c r="D219" s="50" t="str">
        <f t="shared" si="10"/>
        <v/>
      </c>
      <c r="E219" s="51" t="str">
        <f t="shared" si="11"/>
        <v/>
      </c>
      <c r="F219" s="57"/>
      <c r="G219" s="52"/>
      <c r="H219" s="58"/>
      <c r="I219" s="59"/>
      <c r="J219" s="47"/>
      <c r="K219" s="47"/>
      <c r="L219" s="47"/>
      <c r="M219" s="47"/>
    </row>
    <row r="220" spans="2:13" ht="12.75" customHeight="1" x14ac:dyDescent="0.35">
      <c r="B220" s="53"/>
      <c r="C220" s="50" t="str">
        <f t="shared" si="9"/>
        <v/>
      </c>
      <c r="D220" s="50" t="str">
        <f t="shared" si="10"/>
        <v/>
      </c>
      <c r="E220" s="51" t="str">
        <f t="shared" si="11"/>
        <v/>
      </c>
      <c r="F220" s="57"/>
      <c r="G220" s="52"/>
      <c r="H220" s="58"/>
      <c r="I220" s="59"/>
      <c r="J220" s="47"/>
      <c r="K220" s="47"/>
      <c r="L220" s="47"/>
      <c r="M220" s="47"/>
    </row>
    <row r="221" spans="2:13" ht="12.75" customHeight="1" x14ac:dyDescent="0.35">
      <c r="B221" s="53"/>
      <c r="C221" s="50" t="str">
        <f t="shared" si="9"/>
        <v/>
      </c>
      <c r="D221" s="50" t="str">
        <f t="shared" si="10"/>
        <v/>
      </c>
      <c r="E221" s="51" t="str">
        <f t="shared" si="11"/>
        <v/>
      </c>
      <c r="F221" s="57"/>
      <c r="G221" s="52"/>
      <c r="H221" s="58"/>
      <c r="I221" s="59"/>
      <c r="J221" s="47"/>
      <c r="K221" s="47"/>
      <c r="L221" s="47"/>
      <c r="M221" s="47"/>
    </row>
    <row r="222" spans="2:13" ht="12.75" customHeight="1" x14ac:dyDescent="0.35">
      <c r="B222" s="53"/>
      <c r="C222" s="50" t="str">
        <f t="shared" si="9"/>
        <v/>
      </c>
      <c r="D222" s="50" t="str">
        <f t="shared" si="10"/>
        <v/>
      </c>
      <c r="E222" s="51" t="str">
        <f t="shared" si="11"/>
        <v/>
      </c>
      <c r="F222" s="57"/>
      <c r="G222" s="52"/>
      <c r="H222" s="58"/>
      <c r="I222" s="59"/>
      <c r="J222" s="47"/>
      <c r="K222" s="47"/>
      <c r="L222" s="47"/>
      <c r="M222" s="47"/>
    </row>
    <row r="223" spans="2:13" ht="12.75" customHeight="1" x14ac:dyDescent="0.35">
      <c r="B223" s="53"/>
      <c r="C223" s="50" t="str">
        <f t="shared" si="9"/>
        <v/>
      </c>
      <c r="D223" s="50" t="str">
        <f t="shared" si="10"/>
        <v/>
      </c>
      <c r="E223" s="51" t="str">
        <f t="shared" si="11"/>
        <v/>
      </c>
      <c r="F223" s="57"/>
      <c r="G223" s="52"/>
      <c r="H223" s="58"/>
      <c r="I223" s="59"/>
      <c r="J223" s="47"/>
      <c r="K223" s="47"/>
      <c r="L223" s="47"/>
      <c r="M223" s="47"/>
    </row>
    <row r="224" spans="2:13" ht="12.75" customHeight="1" x14ac:dyDescent="0.35">
      <c r="B224" s="53"/>
      <c r="C224" s="50" t="str">
        <f t="shared" si="9"/>
        <v/>
      </c>
      <c r="D224" s="50" t="str">
        <f t="shared" si="10"/>
        <v/>
      </c>
      <c r="E224" s="51" t="str">
        <f t="shared" si="11"/>
        <v/>
      </c>
      <c r="F224" s="57"/>
      <c r="G224" s="52"/>
      <c r="H224" s="58"/>
      <c r="I224" s="59"/>
      <c r="J224" s="47"/>
      <c r="K224" s="47"/>
      <c r="L224" s="47"/>
      <c r="M224" s="47"/>
    </row>
    <row r="225" spans="2:13" ht="12.75" customHeight="1" x14ac:dyDescent="0.35">
      <c r="B225" s="53"/>
      <c r="C225" s="50" t="str">
        <f t="shared" si="9"/>
        <v/>
      </c>
      <c r="D225" s="50" t="str">
        <f t="shared" si="10"/>
        <v/>
      </c>
      <c r="E225" s="51" t="str">
        <f t="shared" si="11"/>
        <v/>
      </c>
      <c r="F225" s="57"/>
      <c r="G225" s="52"/>
      <c r="H225" s="58"/>
      <c r="I225" s="59"/>
      <c r="J225" s="47"/>
      <c r="K225" s="47"/>
      <c r="L225" s="47"/>
      <c r="M225" s="47"/>
    </row>
    <row r="226" spans="2:13" ht="12.75" customHeight="1" x14ac:dyDescent="0.35">
      <c r="B226" s="53"/>
      <c r="C226" s="50" t="str">
        <f t="shared" si="9"/>
        <v/>
      </c>
      <c r="D226" s="50" t="str">
        <f t="shared" si="10"/>
        <v/>
      </c>
      <c r="E226" s="51" t="str">
        <f t="shared" si="11"/>
        <v/>
      </c>
      <c r="F226" s="57"/>
      <c r="G226" s="52"/>
      <c r="H226" s="58"/>
      <c r="I226" s="59"/>
      <c r="J226" s="47"/>
      <c r="K226" s="47"/>
      <c r="L226" s="47"/>
      <c r="M226" s="47"/>
    </row>
    <row r="227" spans="2:13" ht="12.75" customHeight="1" x14ac:dyDescent="0.35">
      <c r="B227" s="53"/>
      <c r="C227" s="50" t="str">
        <f t="shared" si="9"/>
        <v/>
      </c>
      <c r="D227" s="50" t="str">
        <f t="shared" si="10"/>
        <v/>
      </c>
      <c r="E227" s="51" t="str">
        <f t="shared" si="11"/>
        <v/>
      </c>
      <c r="F227" s="57"/>
      <c r="G227" s="52"/>
      <c r="H227" s="58"/>
      <c r="I227" s="59"/>
      <c r="J227" s="47"/>
      <c r="K227" s="47"/>
      <c r="L227" s="47"/>
      <c r="M227" s="47"/>
    </row>
    <row r="228" spans="2:13" ht="12.75" customHeight="1" x14ac:dyDescent="0.35">
      <c r="B228" s="53"/>
      <c r="C228" s="50" t="str">
        <f t="shared" si="9"/>
        <v/>
      </c>
      <c r="D228" s="50" t="str">
        <f t="shared" si="10"/>
        <v/>
      </c>
      <c r="E228" s="51" t="str">
        <f t="shared" si="11"/>
        <v/>
      </c>
      <c r="F228" s="57"/>
      <c r="G228" s="52"/>
      <c r="H228" s="58"/>
      <c r="I228" s="59"/>
      <c r="J228" s="47"/>
      <c r="K228" s="47"/>
      <c r="L228" s="47"/>
      <c r="M228" s="47"/>
    </row>
    <row r="229" spans="2:13" ht="12.75" customHeight="1" x14ac:dyDescent="0.35">
      <c r="B229" s="53"/>
      <c r="C229" s="50" t="str">
        <f t="shared" si="9"/>
        <v/>
      </c>
      <c r="D229" s="50" t="str">
        <f t="shared" si="10"/>
        <v/>
      </c>
      <c r="E229" s="51" t="str">
        <f t="shared" si="11"/>
        <v/>
      </c>
      <c r="F229" s="57"/>
      <c r="G229" s="52"/>
      <c r="H229" s="58"/>
      <c r="I229" s="59"/>
      <c r="J229" s="47"/>
      <c r="K229" s="47"/>
      <c r="L229" s="47"/>
      <c r="M229" s="47"/>
    </row>
    <row r="230" spans="2:13" ht="12.75" customHeight="1" x14ac:dyDescent="0.35">
      <c r="B230" s="53"/>
      <c r="C230" s="50" t="str">
        <f t="shared" si="9"/>
        <v/>
      </c>
      <c r="D230" s="50" t="str">
        <f t="shared" si="10"/>
        <v/>
      </c>
      <c r="E230" s="51" t="str">
        <f t="shared" si="11"/>
        <v/>
      </c>
      <c r="F230" s="57"/>
      <c r="G230" s="52"/>
      <c r="H230" s="58"/>
      <c r="I230" s="59"/>
      <c r="J230" s="47"/>
      <c r="K230" s="47"/>
      <c r="L230" s="47"/>
      <c r="M230" s="47"/>
    </row>
    <row r="231" spans="2:13" ht="12.75" customHeight="1" x14ac:dyDescent="0.35">
      <c r="B231" s="53"/>
      <c r="C231" s="50" t="str">
        <f t="shared" si="9"/>
        <v/>
      </c>
      <c r="D231" s="50" t="str">
        <f t="shared" si="10"/>
        <v/>
      </c>
      <c r="E231" s="51" t="str">
        <f t="shared" si="11"/>
        <v/>
      </c>
      <c r="F231" s="57"/>
      <c r="G231" s="52"/>
      <c r="H231" s="58"/>
      <c r="I231" s="59"/>
      <c r="J231" s="47"/>
      <c r="K231" s="47"/>
      <c r="L231" s="47"/>
      <c r="M231" s="47"/>
    </row>
    <row r="232" spans="2:13" ht="12.75" customHeight="1" x14ac:dyDescent="0.35">
      <c r="B232" s="53"/>
      <c r="C232" s="50" t="str">
        <f t="shared" si="9"/>
        <v/>
      </c>
      <c r="D232" s="50" t="str">
        <f t="shared" si="10"/>
        <v/>
      </c>
      <c r="E232" s="51" t="str">
        <f t="shared" si="11"/>
        <v/>
      </c>
      <c r="F232" s="57"/>
      <c r="G232" s="52"/>
      <c r="H232" s="58"/>
      <c r="I232" s="59"/>
      <c r="J232" s="47"/>
      <c r="K232" s="47"/>
      <c r="L232" s="47"/>
      <c r="M232" s="47"/>
    </row>
    <row r="233" spans="2:13" ht="12.75" customHeight="1" x14ac:dyDescent="0.35">
      <c r="B233" s="53"/>
      <c r="C233" s="50" t="str">
        <f t="shared" si="9"/>
        <v/>
      </c>
      <c r="D233" s="50" t="str">
        <f t="shared" si="10"/>
        <v/>
      </c>
      <c r="E233" s="51" t="str">
        <f t="shared" si="11"/>
        <v/>
      </c>
      <c r="F233" s="57"/>
      <c r="G233" s="52"/>
      <c r="H233" s="58"/>
      <c r="I233" s="59"/>
      <c r="J233" s="47"/>
      <c r="K233" s="47"/>
      <c r="L233" s="47"/>
      <c r="M233" s="47"/>
    </row>
    <row r="234" spans="2:13" ht="12.75" customHeight="1" x14ac:dyDescent="0.35">
      <c r="B234" s="53"/>
      <c r="C234" s="50" t="str">
        <f t="shared" si="9"/>
        <v/>
      </c>
      <c r="D234" s="50" t="str">
        <f t="shared" si="10"/>
        <v/>
      </c>
      <c r="E234" s="51" t="str">
        <f t="shared" si="11"/>
        <v/>
      </c>
      <c r="F234" s="57"/>
      <c r="G234" s="52"/>
      <c r="H234" s="58"/>
      <c r="I234" s="59"/>
      <c r="J234" s="47"/>
      <c r="K234" s="47"/>
      <c r="L234" s="47"/>
      <c r="M234" s="47"/>
    </row>
    <row r="235" spans="2:13" ht="12.75" customHeight="1" x14ac:dyDescent="0.35">
      <c r="B235" s="53"/>
      <c r="C235" s="50" t="str">
        <f t="shared" si="9"/>
        <v/>
      </c>
      <c r="D235" s="50" t="str">
        <f t="shared" si="10"/>
        <v/>
      </c>
      <c r="E235" s="51" t="str">
        <f t="shared" si="11"/>
        <v/>
      </c>
      <c r="F235" s="57"/>
      <c r="G235" s="52"/>
      <c r="H235" s="58"/>
      <c r="I235" s="59"/>
      <c r="J235" s="47"/>
      <c r="K235" s="47"/>
      <c r="L235" s="47"/>
      <c r="M235" s="47"/>
    </row>
    <row r="236" spans="2:13" ht="12.75" customHeight="1" x14ac:dyDescent="0.35">
      <c r="B236" s="53"/>
      <c r="C236" s="50" t="str">
        <f t="shared" si="9"/>
        <v/>
      </c>
      <c r="D236" s="50" t="str">
        <f t="shared" si="10"/>
        <v/>
      </c>
      <c r="E236" s="51" t="str">
        <f t="shared" si="11"/>
        <v/>
      </c>
      <c r="F236" s="57"/>
      <c r="G236" s="52"/>
      <c r="H236" s="58"/>
      <c r="I236" s="59"/>
      <c r="J236" s="47"/>
      <c r="K236" s="47"/>
      <c r="L236" s="47"/>
      <c r="M236" s="47"/>
    </row>
    <row r="237" spans="2:13" ht="12.75" customHeight="1" x14ac:dyDescent="0.35">
      <c r="B237" s="53"/>
      <c r="C237" s="50" t="str">
        <f t="shared" si="9"/>
        <v/>
      </c>
      <c r="D237" s="50" t="str">
        <f t="shared" si="10"/>
        <v/>
      </c>
      <c r="E237" s="51" t="str">
        <f t="shared" si="11"/>
        <v/>
      </c>
      <c r="F237" s="57"/>
      <c r="G237" s="52"/>
      <c r="H237" s="58"/>
      <c r="I237" s="59"/>
      <c r="J237" s="47"/>
      <c r="K237" s="47"/>
      <c r="L237" s="47"/>
      <c r="M237" s="47"/>
    </row>
    <row r="238" spans="2:13" ht="12.75" customHeight="1" x14ac:dyDescent="0.35">
      <c r="B238" s="53"/>
      <c r="C238" s="50" t="str">
        <f t="shared" si="9"/>
        <v/>
      </c>
      <c r="D238" s="50" t="str">
        <f t="shared" si="10"/>
        <v/>
      </c>
      <c r="E238" s="51" t="str">
        <f t="shared" si="11"/>
        <v/>
      </c>
      <c r="F238" s="57"/>
      <c r="G238" s="52"/>
      <c r="H238" s="58"/>
      <c r="I238" s="59"/>
      <c r="J238" s="47"/>
      <c r="K238" s="47"/>
      <c r="L238" s="47"/>
      <c r="M238" s="47"/>
    </row>
    <row r="239" spans="2:13" ht="12.75" customHeight="1" x14ac:dyDescent="0.35">
      <c r="B239" s="53"/>
      <c r="C239" s="50" t="str">
        <f t="shared" si="9"/>
        <v/>
      </c>
      <c r="D239" s="50" t="str">
        <f t="shared" si="10"/>
        <v/>
      </c>
      <c r="E239" s="51" t="str">
        <f t="shared" si="11"/>
        <v/>
      </c>
      <c r="F239" s="57"/>
      <c r="G239" s="52"/>
      <c r="H239" s="58"/>
      <c r="I239" s="59"/>
      <c r="J239" s="47"/>
      <c r="K239" s="47"/>
      <c r="L239" s="47"/>
      <c r="M239" s="47"/>
    </row>
    <row r="240" spans="2:13" ht="12.75" customHeight="1" x14ac:dyDescent="0.35">
      <c r="B240" s="53"/>
      <c r="C240" s="50" t="str">
        <f t="shared" si="9"/>
        <v/>
      </c>
      <c r="D240" s="50" t="str">
        <f t="shared" si="10"/>
        <v/>
      </c>
      <c r="E240" s="51" t="str">
        <f t="shared" si="11"/>
        <v/>
      </c>
      <c r="F240" s="57"/>
      <c r="G240" s="52"/>
      <c r="H240" s="58"/>
      <c r="I240" s="59"/>
      <c r="J240" s="47"/>
      <c r="K240" s="47"/>
      <c r="L240" s="47"/>
      <c r="M240" s="47"/>
    </row>
    <row r="241" spans="2:13" ht="12.75" customHeight="1" x14ac:dyDescent="0.35">
      <c r="B241" s="53"/>
      <c r="C241" s="50" t="str">
        <f t="shared" si="9"/>
        <v/>
      </c>
      <c r="D241" s="50" t="str">
        <f t="shared" si="10"/>
        <v/>
      </c>
      <c r="E241" s="51" t="str">
        <f t="shared" si="11"/>
        <v/>
      </c>
      <c r="F241" s="57"/>
      <c r="G241" s="52"/>
      <c r="H241" s="58"/>
      <c r="I241" s="59"/>
      <c r="J241" s="47"/>
      <c r="K241" s="47"/>
      <c r="L241" s="47"/>
      <c r="M241" s="47"/>
    </row>
    <row r="242" spans="2:13" ht="12.75" customHeight="1" x14ac:dyDescent="0.35">
      <c r="B242" s="53"/>
      <c r="C242" s="50" t="str">
        <f t="shared" si="9"/>
        <v/>
      </c>
      <c r="D242" s="50" t="str">
        <f t="shared" si="10"/>
        <v/>
      </c>
      <c r="E242" s="51" t="str">
        <f t="shared" si="11"/>
        <v/>
      </c>
      <c r="F242" s="57"/>
      <c r="G242" s="52"/>
      <c r="H242" s="58"/>
      <c r="I242" s="59"/>
      <c r="J242" s="47"/>
      <c r="K242" s="47"/>
      <c r="L242" s="47"/>
      <c r="M242" s="47"/>
    </row>
    <row r="243" spans="2:13" ht="12.75" customHeight="1" x14ac:dyDescent="0.35">
      <c r="B243" s="53"/>
      <c r="C243" s="50" t="str">
        <f t="shared" si="9"/>
        <v/>
      </c>
      <c r="D243" s="50" t="str">
        <f t="shared" si="10"/>
        <v/>
      </c>
      <c r="E243" s="51" t="str">
        <f t="shared" si="11"/>
        <v/>
      </c>
      <c r="F243" s="57"/>
      <c r="G243" s="52"/>
      <c r="H243" s="58"/>
      <c r="I243" s="59"/>
      <c r="J243" s="47"/>
      <c r="K243" s="47"/>
      <c r="L243" s="47"/>
      <c r="M243" s="47"/>
    </row>
    <row r="244" spans="2:13" ht="12.75" customHeight="1" x14ac:dyDescent="0.35">
      <c r="B244" s="53"/>
      <c r="C244" s="50" t="str">
        <f t="shared" si="9"/>
        <v/>
      </c>
      <c r="D244" s="50" t="str">
        <f t="shared" si="10"/>
        <v/>
      </c>
      <c r="E244" s="51" t="str">
        <f t="shared" si="11"/>
        <v/>
      </c>
      <c r="F244" s="57"/>
      <c r="G244" s="52"/>
      <c r="H244" s="58"/>
      <c r="I244" s="59"/>
      <c r="J244" s="47"/>
      <c r="K244" s="47"/>
      <c r="L244" s="47"/>
      <c r="M244" s="47"/>
    </row>
    <row r="245" spans="2:13" ht="12.75" customHeight="1" x14ac:dyDescent="0.35">
      <c r="B245" s="53"/>
      <c r="C245" s="50" t="str">
        <f t="shared" si="9"/>
        <v/>
      </c>
      <c r="D245" s="50" t="str">
        <f t="shared" si="10"/>
        <v/>
      </c>
      <c r="E245" s="51" t="str">
        <f t="shared" si="11"/>
        <v/>
      </c>
      <c r="F245" s="57"/>
      <c r="G245" s="52"/>
      <c r="H245" s="58"/>
      <c r="I245" s="59"/>
      <c r="J245" s="47"/>
      <c r="K245" s="47"/>
      <c r="L245" s="47"/>
      <c r="M245" s="47"/>
    </row>
    <row r="246" spans="2:13" ht="12.75" customHeight="1" x14ac:dyDescent="0.35">
      <c r="B246" s="53"/>
      <c r="C246" s="50" t="str">
        <f t="shared" si="9"/>
        <v/>
      </c>
      <c r="D246" s="50" t="str">
        <f t="shared" si="10"/>
        <v/>
      </c>
      <c r="E246" s="51" t="str">
        <f t="shared" si="11"/>
        <v/>
      </c>
      <c r="F246" s="57"/>
      <c r="G246" s="52"/>
      <c r="H246" s="58"/>
      <c r="I246" s="59"/>
      <c r="J246" s="47"/>
      <c r="K246" s="47"/>
      <c r="L246" s="47"/>
      <c r="M246" s="47"/>
    </row>
    <row r="247" spans="2:13" ht="12.75" customHeight="1" x14ac:dyDescent="0.35">
      <c r="B247" s="53"/>
      <c r="C247" s="50" t="str">
        <f t="shared" si="9"/>
        <v/>
      </c>
      <c r="D247" s="50" t="str">
        <f t="shared" si="10"/>
        <v/>
      </c>
      <c r="E247" s="51" t="str">
        <f t="shared" si="11"/>
        <v/>
      </c>
      <c r="F247" s="57"/>
      <c r="G247" s="52"/>
      <c r="H247" s="58"/>
      <c r="I247" s="59"/>
      <c r="J247" s="47"/>
      <c r="K247" s="47"/>
      <c r="L247" s="47"/>
      <c r="M247" s="47"/>
    </row>
    <row r="248" spans="2:13" ht="12.75" customHeight="1" x14ac:dyDescent="0.35">
      <c r="B248" s="53"/>
      <c r="C248" s="50" t="str">
        <f t="shared" si="9"/>
        <v/>
      </c>
      <c r="D248" s="50" t="str">
        <f t="shared" si="10"/>
        <v/>
      </c>
      <c r="E248" s="51" t="str">
        <f t="shared" si="11"/>
        <v/>
      </c>
      <c r="F248" s="57"/>
      <c r="G248" s="52"/>
      <c r="H248" s="58"/>
      <c r="I248" s="59"/>
      <c r="J248" s="47"/>
      <c r="K248" s="47"/>
      <c r="L248" s="47"/>
      <c r="M248" s="47"/>
    </row>
    <row r="249" spans="2:13" ht="12.75" customHeight="1" x14ac:dyDescent="0.35">
      <c r="B249" s="53"/>
      <c r="C249" s="50" t="str">
        <f t="shared" si="9"/>
        <v/>
      </c>
      <c r="D249" s="50" t="str">
        <f t="shared" si="10"/>
        <v/>
      </c>
      <c r="E249" s="51" t="str">
        <f t="shared" si="11"/>
        <v/>
      </c>
      <c r="F249" s="57"/>
      <c r="G249" s="52"/>
      <c r="H249" s="58"/>
      <c r="I249" s="59"/>
      <c r="J249" s="47"/>
      <c r="K249" s="47"/>
      <c r="L249" s="47"/>
      <c r="M249" s="47"/>
    </row>
    <row r="250" spans="2:13" ht="12.75" customHeight="1" x14ac:dyDescent="0.35">
      <c r="B250" s="53"/>
      <c r="C250" s="50" t="str">
        <f t="shared" si="9"/>
        <v/>
      </c>
      <c r="D250" s="50" t="str">
        <f t="shared" si="10"/>
        <v/>
      </c>
      <c r="E250" s="51" t="str">
        <f t="shared" si="11"/>
        <v/>
      </c>
      <c r="F250" s="57"/>
      <c r="G250" s="52"/>
      <c r="H250" s="58"/>
      <c r="I250" s="59"/>
      <c r="J250" s="47"/>
      <c r="K250" s="47"/>
      <c r="L250" s="47"/>
      <c r="M250" s="47"/>
    </row>
    <row r="251" spans="2:13" ht="12.75" customHeight="1" x14ac:dyDescent="0.35">
      <c r="B251" s="53"/>
      <c r="C251" s="50" t="str">
        <f t="shared" si="9"/>
        <v/>
      </c>
      <c r="D251" s="50" t="str">
        <f t="shared" si="10"/>
        <v/>
      </c>
      <c r="E251" s="51" t="str">
        <f t="shared" si="11"/>
        <v/>
      </c>
      <c r="F251" s="57"/>
      <c r="G251" s="52"/>
      <c r="H251" s="58"/>
      <c r="I251" s="59"/>
      <c r="J251" s="47"/>
      <c r="K251" s="47"/>
      <c r="L251" s="47"/>
      <c r="M251" s="47"/>
    </row>
    <row r="252" spans="2:13" ht="12.75" customHeight="1" x14ac:dyDescent="0.35">
      <c r="B252" s="53"/>
      <c r="C252" s="50" t="str">
        <f t="shared" si="9"/>
        <v/>
      </c>
      <c r="D252" s="50" t="str">
        <f t="shared" si="10"/>
        <v/>
      </c>
      <c r="E252" s="51" t="str">
        <f t="shared" si="11"/>
        <v/>
      </c>
      <c r="F252" s="57"/>
      <c r="G252" s="52"/>
      <c r="H252" s="58"/>
      <c r="I252" s="59"/>
      <c r="J252" s="47"/>
      <c r="K252" s="47"/>
      <c r="L252" s="47"/>
      <c r="M252" s="47"/>
    </row>
    <row r="253" spans="2:13" ht="12.75" customHeight="1" x14ac:dyDescent="0.35">
      <c r="B253" s="53"/>
      <c r="C253" s="50" t="str">
        <f t="shared" si="9"/>
        <v/>
      </c>
      <c r="D253" s="50" t="str">
        <f t="shared" si="10"/>
        <v/>
      </c>
      <c r="E253" s="51" t="str">
        <f t="shared" si="11"/>
        <v/>
      </c>
      <c r="F253" s="57"/>
      <c r="G253" s="52"/>
      <c r="H253" s="58"/>
      <c r="I253" s="59"/>
      <c r="J253" s="47"/>
      <c r="K253" s="47"/>
      <c r="L253" s="47"/>
      <c r="M253" s="47"/>
    </row>
    <row r="254" spans="2:13" ht="12.75" customHeight="1" x14ac:dyDescent="0.35">
      <c r="B254" s="53"/>
      <c r="C254" s="50" t="str">
        <f t="shared" si="9"/>
        <v/>
      </c>
      <c r="D254" s="50" t="str">
        <f t="shared" si="10"/>
        <v/>
      </c>
      <c r="E254" s="51" t="str">
        <f t="shared" si="11"/>
        <v/>
      </c>
      <c r="F254" s="57"/>
      <c r="G254" s="52"/>
      <c r="H254" s="58"/>
      <c r="I254" s="59"/>
      <c r="J254" s="47"/>
      <c r="K254" s="47"/>
      <c r="L254" s="47"/>
      <c r="M254" s="47"/>
    </row>
    <row r="255" spans="2:13" ht="12.75" customHeight="1" x14ac:dyDescent="0.35">
      <c r="B255" s="53"/>
      <c r="C255" s="50" t="str">
        <f t="shared" si="9"/>
        <v/>
      </c>
      <c r="D255" s="50" t="str">
        <f t="shared" si="10"/>
        <v/>
      </c>
      <c r="E255" s="51" t="str">
        <f t="shared" si="11"/>
        <v/>
      </c>
      <c r="F255" s="57"/>
      <c r="G255" s="52"/>
      <c r="H255" s="58"/>
      <c r="I255" s="59"/>
      <c r="J255" s="47"/>
      <c r="K255" s="47"/>
      <c r="L255" s="47"/>
      <c r="M255" s="47"/>
    </row>
    <row r="256" spans="2:13" ht="12.75" customHeight="1" x14ac:dyDescent="0.35">
      <c r="B256" s="53"/>
      <c r="C256" s="50" t="str">
        <f t="shared" si="9"/>
        <v/>
      </c>
      <c r="D256" s="50" t="str">
        <f t="shared" si="10"/>
        <v/>
      </c>
      <c r="E256" s="51" t="str">
        <f t="shared" si="11"/>
        <v/>
      </c>
      <c r="F256" s="57"/>
      <c r="G256" s="52"/>
      <c r="H256" s="58"/>
      <c r="I256" s="59"/>
      <c r="J256" s="47"/>
      <c r="K256" s="47"/>
      <c r="L256" s="47"/>
      <c r="M256" s="47"/>
    </row>
    <row r="257" spans="2:13" ht="12.75" customHeight="1" x14ac:dyDescent="0.35">
      <c r="B257" s="53"/>
      <c r="C257" s="50" t="str">
        <f t="shared" si="9"/>
        <v/>
      </c>
      <c r="D257" s="50" t="str">
        <f t="shared" si="10"/>
        <v/>
      </c>
      <c r="E257" s="51" t="str">
        <f t="shared" si="11"/>
        <v/>
      </c>
      <c r="F257" s="57"/>
      <c r="G257" s="52"/>
      <c r="H257" s="58"/>
      <c r="I257" s="59"/>
      <c r="J257" s="47"/>
      <c r="K257" s="47"/>
      <c r="L257" s="47"/>
      <c r="M257" s="47"/>
    </row>
    <row r="258" spans="2:13" ht="12.75" customHeight="1" x14ac:dyDescent="0.35">
      <c r="B258" s="53"/>
      <c r="C258" s="50" t="str">
        <f t="shared" si="9"/>
        <v/>
      </c>
      <c r="D258" s="50" t="str">
        <f t="shared" si="10"/>
        <v/>
      </c>
      <c r="E258" s="51" t="str">
        <f t="shared" si="11"/>
        <v/>
      </c>
      <c r="F258" s="57"/>
      <c r="G258" s="52"/>
      <c r="H258" s="58"/>
      <c r="I258" s="59"/>
      <c r="J258" s="47"/>
      <c r="K258" s="47"/>
      <c r="L258" s="47"/>
      <c r="M258" s="47"/>
    </row>
    <row r="259" spans="2:13" ht="12.75" customHeight="1" x14ac:dyDescent="0.35">
      <c r="B259" s="53"/>
      <c r="C259" s="50" t="str">
        <f t="shared" si="9"/>
        <v/>
      </c>
      <c r="D259" s="50" t="str">
        <f t="shared" si="10"/>
        <v/>
      </c>
      <c r="E259" s="51" t="str">
        <f t="shared" si="11"/>
        <v/>
      </c>
      <c r="F259" s="57"/>
      <c r="G259" s="52"/>
      <c r="H259" s="58"/>
      <c r="I259" s="59"/>
      <c r="J259" s="47"/>
      <c r="K259" s="47"/>
      <c r="L259" s="47"/>
      <c r="M259" s="47"/>
    </row>
    <row r="260" spans="2:13" ht="12.75" customHeight="1" x14ac:dyDescent="0.35">
      <c r="B260" s="53"/>
      <c r="C260" s="50" t="str">
        <f t="shared" si="9"/>
        <v/>
      </c>
      <c r="D260" s="50" t="str">
        <f t="shared" si="10"/>
        <v/>
      </c>
      <c r="E260" s="51" t="str">
        <f t="shared" si="11"/>
        <v/>
      </c>
      <c r="F260" s="57"/>
      <c r="G260" s="52"/>
      <c r="H260" s="58"/>
      <c r="I260" s="59"/>
      <c r="J260" s="47"/>
      <c r="K260" s="47"/>
      <c r="L260" s="47"/>
      <c r="M260" s="47"/>
    </row>
    <row r="261" spans="2:13" ht="12.75" customHeight="1" x14ac:dyDescent="0.35">
      <c r="B261" s="53"/>
      <c r="C261" s="50" t="str">
        <f t="shared" si="9"/>
        <v/>
      </c>
      <c r="D261" s="50" t="str">
        <f t="shared" si="10"/>
        <v/>
      </c>
      <c r="E261" s="51" t="str">
        <f t="shared" si="11"/>
        <v/>
      </c>
      <c r="F261" s="57"/>
      <c r="G261" s="52"/>
      <c r="H261" s="58"/>
      <c r="I261" s="59"/>
      <c r="J261" s="47"/>
      <c r="K261" s="47"/>
      <c r="L261" s="47"/>
      <c r="M261" s="47"/>
    </row>
    <row r="262" spans="2:13" ht="12.75" customHeight="1" x14ac:dyDescent="0.35">
      <c r="B262" s="53"/>
      <c r="C262" s="50" t="str">
        <f t="shared" ref="C262:C325" si="12">IF(B262=0,"",YEAR(B262))</f>
        <v/>
      </c>
      <c r="D262" s="50" t="str">
        <f t="shared" ref="D262:D325" si="13">IF(B262=0,"",MONTH(B262)&amp;"월")</f>
        <v/>
      </c>
      <c r="E262" s="51" t="str">
        <f t="shared" ref="E262:E325" si="14">IF(B262=0,"",DAY(B262)&amp;"일")</f>
        <v/>
      </c>
      <c r="F262" s="57"/>
      <c r="G262" s="52"/>
      <c r="H262" s="58"/>
      <c r="I262" s="59"/>
      <c r="J262" s="47"/>
      <c r="K262" s="47"/>
      <c r="L262" s="47"/>
      <c r="M262" s="47"/>
    </row>
    <row r="263" spans="2:13" ht="12.75" customHeight="1" x14ac:dyDescent="0.35">
      <c r="B263" s="53"/>
      <c r="C263" s="50" t="str">
        <f t="shared" si="12"/>
        <v/>
      </c>
      <c r="D263" s="50" t="str">
        <f t="shared" si="13"/>
        <v/>
      </c>
      <c r="E263" s="51" t="str">
        <f t="shared" si="14"/>
        <v/>
      </c>
      <c r="F263" s="57"/>
      <c r="G263" s="52"/>
      <c r="H263" s="58"/>
      <c r="I263" s="59"/>
      <c r="J263" s="47"/>
      <c r="K263" s="47"/>
      <c r="L263" s="47"/>
      <c r="M263" s="47"/>
    </row>
    <row r="264" spans="2:13" ht="12.75" customHeight="1" x14ac:dyDescent="0.35">
      <c r="B264" s="53"/>
      <c r="C264" s="50" t="str">
        <f t="shared" si="12"/>
        <v/>
      </c>
      <c r="D264" s="50" t="str">
        <f t="shared" si="13"/>
        <v/>
      </c>
      <c r="E264" s="51" t="str">
        <f t="shared" si="14"/>
        <v/>
      </c>
      <c r="F264" s="57"/>
      <c r="G264" s="52"/>
      <c r="H264" s="58"/>
      <c r="I264" s="59"/>
      <c r="J264" s="47"/>
      <c r="K264" s="47"/>
      <c r="L264" s="47"/>
      <c r="M264" s="47"/>
    </row>
    <row r="265" spans="2:13" ht="12.75" customHeight="1" x14ac:dyDescent="0.35">
      <c r="B265" s="53"/>
      <c r="C265" s="50" t="str">
        <f t="shared" si="12"/>
        <v/>
      </c>
      <c r="D265" s="50" t="str">
        <f t="shared" si="13"/>
        <v/>
      </c>
      <c r="E265" s="51" t="str">
        <f t="shared" si="14"/>
        <v/>
      </c>
      <c r="F265" s="57"/>
      <c r="G265" s="52"/>
      <c r="H265" s="58"/>
      <c r="I265" s="59"/>
      <c r="J265" s="47"/>
      <c r="K265" s="47"/>
      <c r="L265" s="47"/>
      <c r="M265" s="47"/>
    </row>
    <row r="266" spans="2:13" ht="12.75" customHeight="1" x14ac:dyDescent="0.35">
      <c r="B266" s="53"/>
      <c r="C266" s="50" t="str">
        <f t="shared" si="12"/>
        <v/>
      </c>
      <c r="D266" s="50" t="str">
        <f t="shared" si="13"/>
        <v/>
      </c>
      <c r="E266" s="51" t="str">
        <f t="shared" si="14"/>
        <v/>
      </c>
      <c r="F266" s="57"/>
      <c r="G266" s="52"/>
      <c r="H266" s="58"/>
      <c r="I266" s="59"/>
      <c r="J266" s="47"/>
      <c r="K266" s="47"/>
      <c r="L266" s="47"/>
      <c r="M266" s="47"/>
    </row>
    <row r="267" spans="2:13" ht="12.75" customHeight="1" x14ac:dyDescent="0.35">
      <c r="B267" s="53"/>
      <c r="C267" s="50" t="str">
        <f t="shared" si="12"/>
        <v/>
      </c>
      <c r="D267" s="50" t="str">
        <f t="shared" si="13"/>
        <v/>
      </c>
      <c r="E267" s="51" t="str">
        <f t="shared" si="14"/>
        <v/>
      </c>
      <c r="F267" s="57"/>
      <c r="G267" s="52"/>
      <c r="H267" s="58"/>
      <c r="I267" s="59"/>
      <c r="J267" s="47"/>
      <c r="K267" s="47"/>
      <c r="L267" s="47"/>
      <c r="M267" s="47"/>
    </row>
    <row r="268" spans="2:13" ht="12.75" customHeight="1" x14ac:dyDescent="0.35">
      <c r="B268" s="53"/>
      <c r="C268" s="50" t="str">
        <f t="shared" si="12"/>
        <v/>
      </c>
      <c r="D268" s="50" t="str">
        <f t="shared" si="13"/>
        <v/>
      </c>
      <c r="E268" s="51" t="str">
        <f t="shared" si="14"/>
        <v/>
      </c>
      <c r="F268" s="57"/>
      <c r="G268" s="52"/>
      <c r="H268" s="58"/>
      <c r="I268" s="59"/>
      <c r="J268" s="47"/>
      <c r="K268" s="47"/>
      <c r="L268" s="47"/>
      <c r="M268" s="47"/>
    </row>
    <row r="269" spans="2:13" ht="12.75" customHeight="1" x14ac:dyDescent="0.35">
      <c r="B269" s="53"/>
      <c r="C269" s="50" t="str">
        <f t="shared" si="12"/>
        <v/>
      </c>
      <c r="D269" s="50" t="str">
        <f t="shared" si="13"/>
        <v/>
      </c>
      <c r="E269" s="51" t="str">
        <f t="shared" si="14"/>
        <v/>
      </c>
      <c r="F269" s="57"/>
      <c r="G269" s="52"/>
      <c r="H269" s="58"/>
      <c r="I269" s="59"/>
      <c r="J269" s="47"/>
      <c r="K269" s="47"/>
      <c r="L269" s="47"/>
      <c r="M269" s="47"/>
    </row>
    <row r="270" spans="2:13" ht="12.75" customHeight="1" x14ac:dyDescent="0.35">
      <c r="B270" s="53"/>
      <c r="C270" s="50" t="str">
        <f t="shared" si="12"/>
        <v/>
      </c>
      <c r="D270" s="50" t="str">
        <f t="shared" si="13"/>
        <v/>
      </c>
      <c r="E270" s="51" t="str">
        <f t="shared" si="14"/>
        <v/>
      </c>
      <c r="F270" s="57"/>
      <c r="G270" s="52"/>
      <c r="H270" s="58"/>
      <c r="I270" s="59"/>
      <c r="J270" s="47"/>
      <c r="K270" s="47"/>
      <c r="L270" s="47"/>
      <c r="M270" s="47"/>
    </row>
    <row r="271" spans="2:13" ht="12.75" customHeight="1" x14ac:dyDescent="0.35">
      <c r="B271" s="53"/>
      <c r="C271" s="50" t="str">
        <f t="shared" si="12"/>
        <v/>
      </c>
      <c r="D271" s="50" t="str">
        <f t="shared" si="13"/>
        <v/>
      </c>
      <c r="E271" s="51" t="str">
        <f t="shared" si="14"/>
        <v/>
      </c>
      <c r="F271" s="57"/>
      <c r="G271" s="52"/>
      <c r="H271" s="58"/>
      <c r="I271" s="59"/>
      <c r="J271" s="47"/>
      <c r="K271" s="47"/>
      <c r="L271" s="47"/>
      <c r="M271" s="47"/>
    </row>
    <row r="272" spans="2:13" ht="12.75" customHeight="1" x14ac:dyDescent="0.35">
      <c r="B272" s="53"/>
      <c r="C272" s="50" t="str">
        <f t="shared" si="12"/>
        <v/>
      </c>
      <c r="D272" s="50" t="str">
        <f t="shared" si="13"/>
        <v/>
      </c>
      <c r="E272" s="51" t="str">
        <f t="shared" si="14"/>
        <v/>
      </c>
      <c r="F272" s="57"/>
      <c r="G272" s="52"/>
      <c r="H272" s="58"/>
      <c r="I272" s="59"/>
      <c r="J272" s="47"/>
      <c r="K272" s="47"/>
      <c r="L272" s="47"/>
      <c r="M272" s="47"/>
    </row>
    <row r="273" spans="2:13" ht="12.75" customHeight="1" x14ac:dyDescent="0.35">
      <c r="B273" s="53"/>
      <c r="C273" s="50" t="str">
        <f t="shared" si="12"/>
        <v/>
      </c>
      <c r="D273" s="50" t="str">
        <f t="shared" si="13"/>
        <v/>
      </c>
      <c r="E273" s="51" t="str">
        <f t="shared" si="14"/>
        <v/>
      </c>
      <c r="F273" s="57"/>
      <c r="G273" s="52"/>
      <c r="H273" s="58"/>
      <c r="I273" s="59"/>
      <c r="J273" s="47"/>
      <c r="K273" s="47"/>
      <c r="L273" s="47"/>
      <c r="M273" s="47"/>
    </row>
    <row r="274" spans="2:13" ht="12.75" customHeight="1" x14ac:dyDescent="0.35">
      <c r="B274" s="53"/>
      <c r="C274" s="50" t="str">
        <f t="shared" si="12"/>
        <v/>
      </c>
      <c r="D274" s="50" t="str">
        <f t="shared" si="13"/>
        <v/>
      </c>
      <c r="E274" s="51" t="str">
        <f t="shared" si="14"/>
        <v/>
      </c>
      <c r="F274" s="57"/>
      <c r="G274" s="52"/>
      <c r="H274" s="58"/>
      <c r="I274" s="59"/>
      <c r="J274" s="47"/>
      <c r="K274" s="47"/>
      <c r="L274" s="47"/>
      <c r="M274" s="47"/>
    </row>
    <row r="275" spans="2:13" ht="12.75" customHeight="1" x14ac:dyDescent="0.35">
      <c r="B275" s="53"/>
      <c r="C275" s="50" t="str">
        <f t="shared" si="12"/>
        <v/>
      </c>
      <c r="D275" s="50" t="str">
        <f t="shared" si="13"/>
        <v/>
      </c>
      <c r="E275" s="51" t="str">
        <f t="shared" si="14"/>
        <v/>
      </c>
      <c r="F275" s="57"/>
      <c r="G275" s="52"/>
      <c r="H275" s="58"/>
      <c r="I275" s="59"/>
      <c r="J275" s="47"/>
      <c r="K275" s="47"/>
      <c r="L275" s="47"/>
      <c r="M275" s="47"/>
    </row>
    <row r="276" spans="2:13" ht="12.75" customHeight="1" x14ac:dyDescent="0.35">
      <c r="B276" s="53"/>
      <c r="C276" s="50" t="str">
        <f t="shared" si="12"/>
        <v/>
      </c>
      <c r="D276" s="50" t="str">
        <f t="shared" si="13"/>
        <v/>
      </c>
      <c r="E276" s="51" t="str">
        <f t="shared" si="14"/>
        <v/>
      </c>
      <c r="F276" s="57"/>
      <c r="G276" s="52"/>
      <c r="H276" s="58"/>
      <c r="I276" s="59"/>
      <c r="J276" s="47"/>
      <c r="K276" s="47"/>
      <c r="L276" s="47"/>
      <c r="M276" s="47"/>
    </row>
    <row r="277" spans="2:13" ht="12.75" customHeight="1" x14ac:dyDescent="0.35">
      <c r="B277" s="53"/>
      <c r="C277" s="50" t="str">
        <f t="shared" si="12"/>
        <v/>
      </c>
      <c r="D277" s="50" t="str">
        <f t="shared" si="13"/>
        <v/>
      </c>
      <c r="E277" s="51" t="str">
        <f t="shared" si="14"/>
        <v/>
      </c>
      <c r="F277" s="57"/>
      <c r="G277" s="52"/>
      <c r="H277" s="58"/>
      <c r="I277" s="59"/>
      <c r="J277" s="47"/>
      <c r="K277" s="47"/>
      <c r="L277" s="47"/>
      <c r="M277" s="47"/>
    </row>
    <row r="278" spans="2:13" ht="12.75" customHeight="1" x14ac:dyDescent="0.35">
      <c r="B278" s="53"/>
      <c r="C278" s="50" t="str">
        <f t="shared" si="12"/>
        <v/>
      </c>
      <c r="D278" s="50" t="str">
        <f t="shared" si="13"/>
        <v/>
      </c>
      <c r="E278" s="51" t="str">
        <f t="shared" si="14"/>
        <v/>
      </c>
      <c r="F278" s="57"/>
      <c r="G278" s="52"/>
      <c r="H278" s="58"/>
      <c r="I278" s="59"/>
      <c r="J278" s="47"/>
      <c r="K278" s="47"/>
      <c r="L278" s="47"/>
      <c r="M278" s="47"/>
    </row>
    <row r="279" spans="2:13" ht="12.75" customHeight="1" x14ac:dyDescent="0.35">
      <c r="B279" s="53"/>
      <c r="C279" s="50" t="str">
        <f t="shared" si="12"/>
        <v/>
      </c>
      <c r="D279" s="50" t="str">
        <f t="shared" si="13"/>
        <v/>
      </c>
      <c r="E279" s="51" t="str">
        <f t="shared" si="14"/>
        <v/>
      </c>
      <c r="F279" s="57"/>
      <c r="G279" s="52"/>
      <c r="H279" s="58"/>
      <c r="I279" s="59"/>
      <c r="J279" s="47"/>
      <c r="K279" s="47"/>
      <c r="L279" s="47"/>
      <c r="M279" s="47"/>
    </row>
    <row r="280" spans="2:13" ht="12.75" customHeight="1" x14ac:dyDescent="0.35">
      <c r="B280" s="53"/>
      <c r="C280" s="50" t="str">
        <f t="shared" si="12"/>
        <v/>
      </c>
      <c r="D280" s="50" t="str">
        <f t="shared" si="13"/>
        <v/>
      </c>
      <c r="E280" s="51" t="str">
        <f t="shared" si="14"/>
        <v/>
      </c>
      <c r="F280" s="57"/>
      <c r="G280" s="52"/>
      <c r="H280" s="58"/>
      <c r="I280" s="59"/>
      <c r="J280" s="47"/>
      <c r="K280" s="47"/>
      <c r="L280" s="47"/>
      <c r="M280" s="47"/>
    </row>
    <row r="281" spans="2:13" ht="12.75" customHeight="1" x14ac:dyDescent="0.35">
      <c r="B281" s="53"/>
      <c r="C281" s="50" t="str">
        <f t="shared" si="12"/>
        <v/>
      </c>
      <c r="D281" s="50" t="str">
        <f t="shared" si="13"/>
        <v/>
      </c>
      <c r="E281" s="51" t="str">
        <f t="shared" si="14"/>
        <v/>
      </c>
      <c r="F281" s="57"/>
      <c r="G281" s="52"/>
      <c r="H281" s="58"/>
      <c r="I281" s="59"/>
      <c r="J281" s="47"/>
      <c r="K281" s="47"/>
      <c r="L281" s="47"/>
      <c r="M281" s="47"/>
    </row>
    <row r="282" spans="2:13" ht="12.75" customHeight="1" x14ac:dyDescent="0.35">
      <c r="B282" s="53"/>
      <c r="C282" s="50" t="str">
        <f t="shared" si="12"/>
        <v/>
      </c>
      <c r="D282" s="50" t="str">
        <f t="shared" si="13"/>
        <v/>
      </c>
      <c r="E282" s="51" t="str">
        <f t="shared" si="14"/>
        <v/>
      </c>
      <c r="F282" s="57"/>
      <c r="G282" s="52"/>
      <c r="H282" s="58"/>
      <c r="I282" s="59"/>
      <c r="J282" s="47"/>
      <c r="K282" s="47"/>
      <c r="L282" s="47"/>
      <c r="M282" s="47"/>
    </row>
    <row r="283" spans="2:13" ht="12.75" customHeight="1" x14ac:dyDescent="0.35">
      <c r="B283" s="53"/>
      <c r="C283" s="50" t="str">
        <f t="shared" si="12"/>
        <v/>
      </c>
      <c r="D283" s="50" t="str">
        <f t="shared" si="13"/>
        <v/>
      </c>
      <c r="E283" s="51" t="str">
        <f t="shared" si="14"/>
        <v/>
      </c>
      <c r="F283" s="57"/>
      <c r="G283" s="52"/>
      <c r="H283" s="58"/>
      <c r="I283" s="59"/>
      <c r="J283" s="47"/>
      <c r="K283" s="47"/>
      <c r="L283" s="47"/>
      <c r="M283" s="47"/>
    </row>
    <row r="284" spans="2:13" ht="12.75" customHeight="1" x14ac:dyDescent="0.35">
      <c r="B284" s="53"/>
      <c r="C284" s="50" t="str">
        <f t="shared" si="12"/>
        <v/>
      </c>
      <c r="D284" s="50" t="str">
        <f t="shared" si="13"/>
        <v/>
      </c>
      <c r="E284" s="51" t="str">
        <f t="shared" si="14"/>
        <v/>
      </c>
      <c r="F284" s="57"/>
      <c r="G284" s="52"/>
      <c r="H284" s="58"/>
      <c r="I284" s="59"/>
      <c r="J284" s="47"/>
      <c r="K284" s="47"/>
      <c r="L284" s="47"/>
      <c r="M284" s="47"/>
    </row>
    <row r="285" spans="2:13" ht="12.75" customHeight="1" x14ac:dyDescent="0.35">
      <c r="B285" s="53"/>
      <c r="C285" s="50" t="str">
        <f t="shared" si="12"/>
        <v/>
      </c>
      <c r="D285" s="50" t="str">
        <f t="shared" si="13"/>
        <v/>
      </c>
      <c r="E285" s="51" t="str">
        <f t="shared" si="14"/>
        <v/>
      </c>
      <c r="F285" s="57"/>
      <c r="G285" s="52"/>
      <c r="H285" s="58"/>
      <c r="I285" s="59"/>
      <c r="J285" s="47"/>
      <c r="K285" s="47"/>
      <c r="L285" s="47"/>
      <c r="M285" s="47"/>
    </row>
    <row r="286" spans="2:13" ht="12.75" customHeight="1" x14ac:dyDescent="0.35">
      <c r="B286" s="53"/>
      <c r="C286" s="50" t="str">
        <f t="shared" si="12"/>
        <v/>
      </c>
      <c r="D286" s="50" t="str">
        <f t="shared" si="13"/>
        <v/>
      </c>
      <c r="E286" s="51" t="str">
        <f t="shared" si="14"/>
        <v/>
      </c>
      <c r="F286" s="57"/>
      <c r="G286" s="52"/>
      <c r="H286" s="58"/>
      <c r="I286" s="59"/>
      <c r="J286" s="47"/>
      <c r="K286" s="47"/>
      <c r="L286" s="47"/>
      <c r="M286" s="47"/>
    </row>
    <row r="287" spans="2:13" ht="12.75" customHeight="1" x14ac:dyDescent="0.35">
      <c r="B287" s="53"/>
      <c r="C287" s="50" t="str">
        <f t="shared" si="12"/>
        <v/>
      </c>
      <c r="D287" s="50" t="str">
        <f t="shared" si="13"/>
        <v/>
      </c>
      <c r="E287" s="51" t="str">
        <f t="shared" si="14"/>
        <v/>
      </c>
      <c r="F287" s="57"/>
      <c r="G287" s="52"/>
      <c r="H287" s="58"/>
      <c r="I287" s="59"/>
      <c r="J287" s="47"/>
      <c r="K287" s="47"/>
      <c r="L287" s="47"/>
      <c r="M287" s="47"/>
    </row>
    <row r="288" spans="2:13" ht="12.75" customHeight="1" x14ac:dyDescent="0.35">
      <c r="B288" s="53"/>
      <c r="C288" s="50" t="str">
        <f t="shared" si="12"/>
        <v/>
      </c>
      <c r="D288" s="50" t="str">
        <f t="shared" si="13"/>
        <v/>
      </c>
      <c r="E288" s="51" t="str">
        <f t="shared" si="14"/>
        <v/>
      </c>
      <c r="F288" s="57"/>
      <c r="G288" s="52"/>
      <c r="H288" s="58"/>
      <c r="I288" s="59"/>
      <c r="J288" s="47"/>
      <c r="K288" s="47"/>
      <c r="L288" s="47"/>
      <c r="M288" s="47"/>
    </row>
    <row r="289" spans="2:13" ht="12.75" customHeight="1" x14ac:dyDescent="0.35">
      <c r="B289" s="53"/>
      <c r="C289" s="50" t="str">
        <f t="shared" si="12"/>
        <v/>
      </c>
      <c r="D289" s="50" t="str">
        <f t="shared" si="13"/>
        <v/>
      </c>
      <c r="E289" s="51" t="str">
        <f t="shared" si="14"/>
        <v/>
      </c>
      <c r="F289" s="57"/>
      <c r="G289" s="52"/>
      <c r="H289" s="58"/>
      <c r="I289" s="59"/>
      <c r="J289" s="47"/>
      <c r="K289" s="47"/>
      <c r="L289" s="47"/>
      <c r="M289" s="47"/>
    </row>
    <row r="290" spans="2:13" ht="12.75" customHeight="1" x14ac:dyDescent="0.35">
      <c r="B290" s="53"/>
      <c r="C290" s="50" t="str">
        <f t="shared" si="12"/>
        <v/>
      </c>
      <c r="D290" s="50" t="str">
        <f t="shared" si="13"/>
        <v/>
      </c>
      <c r="E290" s="51" t="str">
        <f t="shared" si="14"/>
        <v/>
      </c>
      <c r="F290" s="57"/>
      <c r="G290" s="52"/>
      <c r="H290" s="58"/>
      <c r="I290" s="59"/>
      <c r="J290" s="47"/>
      <c r="K290" s="47"/>
      <c r="L290" s="47"/>
      <c r="M290" s="47"/>
    </row>
    <row r="291" spans="2:13" ht="12.75" customHeight="1" x14ac:dyDescent="0.35">
      <c r="B291" s="53"/>
      <c r="C291" s="50" t="str">
        <f t="shared" si="12"/>
        <v/>
      </c>
      <c r="D291" s="50" t="str">
        <f t="shared" si="13"/>
        <v/>
      </c>
      <c r="E291" s="51" t="str">
        <f t="shared" si="14"/>
        <v/>
      </c>
      <c r="F291" s="57"/>
      <c r="G291" s="52"/>
      <c r="H291" s="58"/>
      <c r="I291" s="59"/>
      <c r="J291" s="47"/>
      <c r="K291" s="47"/>
      <c r="L291" s="47"/>
      <c r="M291" s="47"/>
    </row>
    <row r="292" spans="2:13" ht="12.75" customHeight="1" x14ac:dyDescent="0.35">
      <c r="B292" s="53"/>
      <c r="C292" s="50" t="str">
        <f t="shared" si="12"/>
        <v/>
      </c>
      <c r="D292" s="50" t="str">
        <f t="shared" si="13"/>
        <v/>
      </c>
      <c r="E292" s="51" t="str">
        <f t="shared" si="14"/>
        <v/>
      </c>
      <c r="F292" s="57"/>
      <c r="G292" s="52"/>
      <c r="H292" s="58"/>
      <c r="I292" s="59"/>
      <c r="J292" s="47"/>
      <c r="K292" s="47"/>
      <c r="L292" s="47"/>
      <c r="M292" s="47"/>
    </row>
    <row r="293" spans="2:13" ht="12.75" customHeight="1" x14ac:dyDescent="0.35">
      <c r="B293" s="53"/>
      <c r="C293" s="50" t="str">
        <f t="shared" si="12"/>
        <v/>
      </c>
      <c r="D293" s="50" t="str">
        <f t="shared" si="13"/>
        <v/>
      </c>
      <c r="E293" s="51" t="str">
        <f t="shared" si="14"/>
        <v/>
      </c>
      <c r="F293" s="57"/>
      <c r="G293" s="52"/>
      <c r="H293" s="58"/>
      <c r="I293" s="59"/>
      <c r="J293" s="47"/>
      <c r="K293" s="47"/>
      <c r="L293" s="47"/>
      <c r="M293" s="47"/>
    </row>
    <row r="294" spans="2:13" ht="12.75" customHeight="1" x14ac:dyDescent="0.35">
      <c r="B294" s="53"/>
      <c r="C294" s="50" t="str">
        <f t="shared" si="12"/>
        <v/>
      </c>
      <c r="D294" s="50" t="str">
        <f t="shared" si="13"/>
        <v/>
      </c>
      <c r="E294" s="51" t="str">
        <f t="shared" si="14"/>
        <v/>
      </c>
      <c r="F294" s="57"/>
      <c r="G294" s="52"/>
      <c r="H294" s="58"/>
      <c r="I294" s="59"/>
      <c r="J294" s="47"/>
      <c r="K294" s="47"/>
      <c r="L294" s="47"/>
      <c r="M294" s="47"/>
    </row>
    <row r="295" spans="2:13" ht="12.75" customHeight="1" x14ac:dyDescent="0.35">
      <c r="B295" s="53"/>
      <c r="C295" s="50" t="str">
        <f t="shared" si="12"/>
        <v/>
      </c>
      <c r="D295" s="50" t="str">
        <f t="shared" si="13"/>
        <v/>
      </c>
      <c r="E295" s="51" t="str">
        <f t="shared" si="14"/>
        <v/>
      </c>
      <c r="F295" s="57"/>
      <c r="G295" s="52"/>
      <c r="H295" s="58"/>
      <c r="I295" s="59"/>
      <c r="J295" s="47"/>
      <c r="K295" s="47"/>
      <c r="L295" s="47"/>
      <c r="M295" s="47"/>
    </row>
    <row r="296" spans="2:13" ht="12.75" customHeight="1" x14ac:dyDescent="0.35">
      <c r="B296" s="53"/>
      <c r="C296" s="50" t="str">
        <f t="shared" si="12"/>
        <v/>
      </c>
      <c r="D296" s="50" t="str">
        <f t="shared" si="13"/>
        <v/>
      </c>
      <c r="E296" s="51" t="str">
        <f t="shared" si="14"/>
        <v/>
      </c>
      <c r="F296" s="57"/>
      <c r="G296" s="52"/>
      <c r="H296" s="58"/>
      <c r="I296" s="59"/>
      <c r="J296" s="47"/>
      <c r="K296" s="47"/>
      <c r="L296" s="47"/>
      <c r="M296" s="47"/>
    </row>
    <row r="297" spans="2:13" ht="12.75" customHeight="1" x14ac:dyDescent="0.35">
      <c r="B297" s="53"/>
      <c r="C297" s="50" t="str">
        <f t="shared" si="12"/>
        <v/>
      </c>
      <c r="D297" s="50" t="str">
        <f t="shared" si="13"/>
        <v/>
      </c>
      <c r="E297" s="51" t="str">
        <f t="shared" si="14"/>
        <v/>
      </c>
      <c r="F297" s="57"/>
      <c r="G297" s="52"/>
      <c r="H297" s="58"/>
      <c r="I297" s="59"/>
      <c r="J297" s="47"/>
      <c r="K297" s="47"/>
      <c r="L297" s="47"/>
      <c r="M297" s="47"/>
    </row>
    <row r="298" spans="2:13" ht="12.75" customHeight="1" x14ac:dyDescent="0.35">
      <c r="B298" s="53"/>
      <c r="C298" s="50" t="str">
        <f t="shared" si="12"/>
        <v/>
      </c>
      <c r="D298" s="50" t="str">
        <f t="shared" si="13"/>
        <v/>
      </c>
      <c r="E298" s="51" t="str">
        <f t="shared" si="14"/>
        <v/>
      </c>
      <c r="F298" s="57"/>
      <c r="G298" s="52"/>
      <c r="H298" s="58"/>
      <c r="I298" s="59"/>
      <c r="J298" s="47"/>
      <c r="K298" s="47"/>
      <c r="L298" s="47"/>
      <c r="M298" s="47"/>
    </row>
    <row r="299" spans="2:13" ht="12.75" customHeight="1" x14ac:dyDescent="0.35">
      <c r="B299" s="53"/>
      <c r="C299" s="50" t="str">
        <f t="shared" si="12"/>
        <v/>
      </c>
      <c r="D299" s="50" t="str">
        <f t="shared" si="13"/>
        <v/>
      </c>
      <c r="E299" s="51" t="str">
        <f t="shared" si="14"/>
        <v/>
      </c>
      <c r="F299" s="57"/>
      <c r="G299" s="52"/>
      <c r="H299" s="58"/>
      <c r="I299" s="59"/>
      <c r="J299" s="47"/>
      <c r="K299" s="47"/>
      <c r="L299" s="47"/>
      <c r="M299" s="47"/>
    </row>
    <row r="300" spans="2:13" ht="12.75" customHeight="1" x14ac:dyDescent="0.35">
      <c r="B300" s="53"/>
      <c r="C300" s="50" t="str">
        <f t="shared" si="12"/>
        <v/>
      </c>
      <c r="D300" s="50" t="str">
        <f t="shared" si="13"/>
        <v/>
      </c>
      <c r="E300" s="51" t="str">
        <f t="shared" si="14"/>
        <v/>
      </c>
      <c r="F300" s="57"/>
      <c r="G300" s="52"/>
      <c r="H300" s="58"/>
      <c r="I300" s="59"/>
      <c r="J300" s="47"/>
      <c r="K300" s="47"/>
      <c r="L300" s="47"/>
      <c r="M300" s="47"/>
    </row>
    <row r="301" spans="2:13" ht="12.75" customHeight="1" x14ac:dyDescent="0.35">
      <c r="B301" s="53"/>
      <c r="C301" s="50" t="str">
        <f t="shared" si="12"/>
        <v/>
      </c>
      <c r="D301" s="50" t="str">
        <f t="shared" si="13"/>
        <v/>
      </c>
      <c r="E301" s="51" t="str">
        <f t="shared" si="14"/>
        <v/>
      </c>
      <c r="F301" s="57"/>
      <c r="G301" s="52"/>
      <c r="H301" s="58"/>
      <c r="I301" s="59"/>
      <c r="J301" s="47"/>
      <c r="K301" s="47"/>
      <c r="L301" s="47"/>
      <c r="M301" s="47"/>
    </row>
    <row r="302" spans="2:13" ht="12.75" customHeight="1" x14ac:dyDescent="0.35">
      <c r="B302" s="53"/>
      <c r="C302" s="50" t="str">
        <f t="shared" si="12"/>
        <v/>
      </c>
      <c r="D302" s="50" t="str">
        <f t="shared" si="13"/>
        <v/>
      </c>
      <c r="E302" s="51" t="str">
        <f t="shared" si="14"/>
        <v/>
      </c>
      <c r="F302" s="57"/>
      <c r="G302" s="52"/>
      <c r="H302" s="58"/>
      <c r="I302" s="59"/>
      <c r="J302" s="47"/>
      <c r="K302" s="47"/>
      <c r="L302" s="47"/>
      <c r="M302" s="47"/>
    </row>
    <row r="303" spans="2:13" ht="12.75" customHeight="1" x14ac:dyDescent="0.35">
      <c r="B303" s="53"/>
      <c r="C303" s="50" t="str">
        <f t="shared" si="12"/>
        <v/>
      </c>
      <c r="D303" s="50" t="str">
        <f t="shared" si="13"/>
        <v/>
      </c>
      <c r="E303" s="51" t="str">
        <f t="shared" si="14"/>
        <v/>
      </c>
      <c r="F303" s="57"/>
      <c r="G303" s="52"/>
      <c r="H303" s="58"/>
      <c r="I303" s="59"/>
      <c r="J303" s="47"/>
      <c r="K303" s="47"/>
      <c r="L303" s="47"/>
      <c r="M303" s="47"/>
    </row>
    <row r="304" spans="2:13" ht="12.75" customHeight="1" x14ac:dyDescent="0.35">
      <c r="B304" s="53"/>
      <c r="C304" s="50" t="str">
        <f t="shared" si="12"/>
        <v/>
      </c>
      <c r="D304" s="50" t="str">
        <f t="shared" si="13"/>
        <v/>
      </c>
      <c r="E304" s="51" t="str">
        <f t="shared" si="14"/>
        <v/>
      </c>
      <c r="F304" s="57"/>
      <c r="G304" s="52"/>
      <c r="H304" s="58"/>
      <c r="I304" s="59"/>
      <c r="J304" s="47"/>
      <c r="K304" s="47"/>
      <c r="L304" s="47"/>
      <c r="M304" s="47"/>
    </row>
    <row r="305" spans="2:13" ht="12.75" customHeight="1" x14ac:dyDescent="0.35">
      <c r="B305" s="53"/>
      <c r="C305" s="50" t="str">
        <f t="shared" si="12"/>
        <v/>
      </c>
      <c r="D305" s="50" t="str">
        <f t="shared" si="13"/>
        <v/>
      </c>
      <c r="E305" s="51" t="str">
        <f t="shared" si="14"/>
        <v/>
      </c>
      <c r="F305" s="57"/>
      <c r="G305" s="52"/>
      <c r="H305" s="58"/>
      <c r="I305" s="59"/>
      <c r="J305" s="47"/>
      <c r="K305" s="47"/>
      <c r="L305" s="47"/>
      <c r="M305" s="47"/>
    </row>
    <row r="306" spans="2:13" ht="12.75" customHeight="1" x14ac:dyDescent="0.35">
      <c r="B306" s="53"/>
      <c r="C306" s="50" t="str">
        <f t="shared" si="12"/>
        <v/>
      </c>
      <c r="D306" s="50" t="str">
        <f t="shared" si="13"/>
        <v/>
      </c>
      <c r="E306" s="51" t="str">
        <f t="shared" si="14"/>
        <v/>
      </c>
      <c r="F306" s="57"/>
      <c r="G306" s="52"/>
      <c r="H306" s="58"/>
      <c r="I306" s="59"/>
      <c r="J306" s="47"/>
      <c r="K306" s="47"/>
      <c r="L306" s="47"/>
      <c r="M306" s="47"/>
    </row>
    <row r="307" spans="2:13" ht="12.75" customHeight="1" x14ac:dyDescent="0.35">
      <c r="B307" s="53"/>
      <c r="C307" s="50" t="str">
        <f t="shared" si="12"/>
        <v/>
      </c>
      <c r="D307" s="50" t="str">
        <f t="shared" si="13"/>
        <v/>
      </c>
      <c r="E307" s="51" t="str">
        <f t="shared" si="14"/>
        <v/>
      </c>
      <c r="F307" s="57"/>
      <c r="G307" s="52"/>
      <c r="H307" s="58"/>
      <c r="I307" s="59"/>
      <c r="J307" s="47"/>
      <c r="K307" s="47"/>
      <c r="L307" s="47"/>
      <c r="M307" s="47"/>
    </row>
    <row r="308" spans="2:13" ht="12.75" customHeight="1" x14ac:dyDescent="0.35">
      <c r="B308" s="53"/>
      <c r="C308" s="50" t="str">
        <f t="shared" si="12"/>
        <v/>
      </c>
      <c r="D308" s="50" t="str">
        <f t="shared" si="13"/>
        <v/>
      </c>
      <c r="E308" s="51" t="str">
        <f t="shared" si="14"/>
        <v/>
      </c>
      <c r="F308" s="57"/>
      <c r="G308" s="52"/>
      <c r="H308" s="58"/>
      <c r="I308" s="59"/>
      <c r="J308" s="47"/>
      <c r="K308" s="47"/>
      <c r="L308" s="47"/>
      <c r="M308" s="47"/>
    </row>
    <row r="309" spans="2:13" ht="12.75" customHeight="1" x14ac:dyDescent="0.35">
      <c r="B309" s="53"/>
      <c r="C309" s="50" t="str">
        <f t="shared" si="12"/>
        <v/>
      </c>
      <c r="D309" s="50" t="str">
        <f t="shared" si="13"/>
        <v/>
      </c>
      <c r="E309" s="51" t="str">
        <f t="shared" si="14"/>
        <v/>
      </c>
      <c r="F309" s="57"/>
      <c r="G309" s="52"/>
      <c r="H309" s="58"/>
      <c r="I309" s="59"/>
      <c r="J309" s="47"/>
      <c r="K309" s="47"/>
      <c r="L309" s="47"/>
      <c r="M309" s="47"/>
    </row>
    <row r="310" spans="2:13" ht="12.75" customHeight="1" x14ac:dyDescent="0.35">
      <c r="B310" s="53"/>
      <c r="C310" s="50" t="str">
        <f t="shared" si="12"/>
        <v/>
      </c>
      <c r="D310" s="50" t="str">
        <f t="shared" si="13"/>
        <v/>
      </c>
      <c r="E310" s="51" t="str">
        <f t="shared" si="14"/>
        <v/>
      </c>
      <c r="F310" s="57"/>
      <c r="G310" s="52"/>
      <c r="H310" s="58"/>
      <c r="I310" s="59"/>
      <c r="J310" s="47"/>
      <c r="K310" s="47"/>
      <c r="L310" s="47"/>
      <c r="M310" s="47"/>
    </row>
    <row r="311" spans="2:13" ht="12.75" customHeight="1" x14ac:dyDescent="0.35">
      <c r="B311" s="53"/>
      <c r="C311" s="50" t="str">
        <f t="shared" si="12"/>
        <v/>
      </c>
      <c r="D311" s="50" t="str">
        <f t="shared" si="13"/>
        <v/>
      </c>
      <c r="E311" s="51" t="str">
        <f t="shared" si="14"/>
        <v/>
      </c>
      <c r="F311" s="57"/>
      <c r="G311" s="52"/>
      <c r="H311" s="58"/>
      <c r="I311" s="59"/>
      <c r="J311" s="47"/>
      <c r="K311" s="47"/>
      <c r="L311" s="47"/>
      <c r="M311" s="47"/>
    </row>
    <row r="312" spans="2:13" ht="12.75" customHeight="1" x14ac:dyDescent="0.35">
      <c r="B312" s="53"/>
      <c r="C312" s="50" t="str">
        <f t="shared" si="12"/>
        <v/>
      </c>
      <c r="D312" s="50" t="str">
        <f t="shared" si="13"/>
        <v/>
      </c>
      <c r="E312" s="51" t="str">
        <f t="shared" si="14"/>
        <v/>
      </c>
      <c r="F312" s="57"/>
      <c r="G312" s="52"/>
      <c r="H312" s="58"/>
      <c r="I312" s="59"/>
      <c r="J312" s="47"/>
      <c r="K312" s="47"/>
      <c r="L312" s="47"/>
      <c r="M312" s="47"/>
    </row>
    <row r="313" spans="2:13" ht="12.75" customHeight="1" x14ac:dyDescent="0.35">
      <c r="B313" s="53"/>
      <c r="C313" s="50" t="str">
        <f t="shared" si="12"/>
        <v/>
      </c>
      <c r="D313" s="50" t="str">
        <f t="shared" si="13"/>
        <v/>
      </c>
      <c r="E313" s="51" t="str">
        <f t="shared" si="14"/>
        <v/>
      </c>
      <c r="F313" s="57"/>
      <c r="G313" s="52"/>
      <c r="H313" s="58"/>
      <c r="I313" s="59"/>
      <c r="J313" s="47"/>
      <c r="K313" s="47"/>
      <c r="L313" s="47"/>
      <c r="M313" s="47"/>
    </row>
    <row r="314" spans="2:13" ht="12.75" customHeight="1" x14ac:dyDescent="0.35">
      <c r="B314" s="53"/>
      <c r="C314" s="50" t="str">
        <f t="shared" si="12"/>
        <v/>
      </c>
      <c r="D314" s="50" t="str">
        <f t="shared" si="13"/>
        <v/>
      </c>
      <c r="E314" s="51" t="str">
        <f t="shared" si="14"/>
        <v/>
      </c>
      <c r="F314" s="57"/>
      <c r="G314" s="52"/>
      <c r="H314" s="58"/>
      <c r="I314" s="59"/>
      <c r="J314" s="47"/>
      <c r="K314" s="47"/>
      <c r="L314" s="47"/>
      <c r="M314" s="47"/>
    </row>
    <row r="315" spans="2:13" ht="12.75" customHeight="1" x14ac:dyDescent="0.35">
      <c r="B315" s="53"/>
      <c r="C315" s="50" t="str">
        <f t="shared" si="12"/>
        <v/>
      </c>
      <c r="D315" s="50" t="str">
        <f t="shared" si="13"/>
        <v/>
      </c>
      <c r="E315" s="51" t="str">
        <f t="shared" si="14"/>
        <v/>
      </c>
      <c r="F315" s="57"/>
      <c r="G315" s="52"/>
      <c r="H315" s="58"/>
      <c r="I315" s="59"/>
      <c r="J315" s="47"/>
      <c r="K315" s="47"/>
      <c r="L315" s="47"/>
      <c r="M315" s="47"/>
    </row>
    <row r="316" spans="2:13" ht="12.75" customHeight="1" x14ac:dyDescent="0.35">
      <c r="B316" s="53"/>
      <c r="C316" s="50" t="str">
        <f t="shared" si="12"/>
        <v/>
      </c>
      <c r="D316" s="50" t="str">
        <f t="shared" si="13"/>
        <v/>
      </c>
      <c r="E316" s="51" t="str">
        <f t="shared" si="14"/>
        <v/>
      </c>
      <c r="F316" s="57"/>
      <c r="G316" s="52"/>
      <c r="H316" s="58"/>
      <c r="I316" s="59"/>
      <c r="J316" s="47"/>
      <c r="K316" s="47"/>
      <c r="L316" s="47"/>
      <c r="M316" s="47"/>
    </row>
    <row r="317" spans="2:13" ht="12.75" customHeight="1" x14ac:dyDescent="0.35">
      <c r="B317" s="53"/>
      <c r="C317" s="50" t="str">
        <f t="shared" si="12"/>
        <v/>
      </c>
      <c r="D317" s="50" t="str">
        <f t="shared" si="13"/>
        <v/>
      </c>
      <c r="E317" s="51" t="str">
        <f t="shared" si="14"/>
        <v/>
      </c>
      <c r="F317" s="57"/>
      <c r="G317" s="52"/>
      <c r="H317" s="58"/>
      <c r="I317" s="59"/>
      <c r="J317" s="47"/>
      <c r="K317" s="47"/>
      <c r="L317" s="47"/>
      <c r="M317" s="47"/>
    </row>
    <row r="318" spans="2:13" ht="12.75" customHeight="1" x14ac:dyDescent="0.35">
      <c r="B318" s="53"/>
      <c r="C318" s="50" t="str">
        <f t="shared" si="12"/>
        <v/>
      </c>
      <c r="D318" s="50" t="str">
        <f t="shared" si="13"/>
        <v/>
      </c>
      <c r="E318" s="51" t="str">
        <f t="shared" si="14"/>
        <v/>
      </c>
      <c r="F318" s="57"/>
      <c r="G318" s="52"/>
      <c r="H318" s="58"/>
      <c r="I318" s="59"/>
      <c r="J318" s="47"/>
      <c r="K318" s="47"/>
      <c r="L318" s="47"/>
      <c r="M318" s="47"/>
    </row>
    <row r="319" spans="2:13" ht="12.75" customHeight="1" x14ac:dyDescent="0.35">
      <c r="B319" s="53"/>
      <c r="C319" s="50" t="str">
        <f t="shared" si="12"/>
        <v/>
      </c>
      <c r="D319" s="50" t="str">
        <f t="shared" si="13"/>
        <v/>
      </c>
      <c r="E319" s="51" t="str">
        <f t="shared" si="14"/>
        <v/>
      </c>
      <c r="F319" s="57"/>
      <c r="G319" s="52"/>
      <c r="H319" s="58"/>
      <c r="I319" s="59"/>
      <c r="J319" s="47"/>
      <c r="K319" s="47"/>
      <c r="L319" s="47"/>
      <c r="M319" s="47"/>
    </row>
    <row r="320" spans="2:13" ht="12.75" customHeight="1" x14ac:dyDescent="0.35">
      <c r="B320" s="53"/>
      <c r="C320" s="50" t="str">
        <f t="shared" si="12"/>
        <v/>
      </c>
      <c r="D320" s="50" t="str">
        <f t="shared" si="13"/>
        <v/>
      </c>
      <c r="E320" s="51" t="str">
        <f t="shared" si="14"/>
        <v/>
      </c>
      <c r="F320" s="57"/>
      <c r="G320" s="52"/>
      <c r="H320" s="58"/>
      <c r="I320" s="59"/>
      <c r="J320" s="47"/>
      <c r="K320" s="47"/>
      <c r="L320" s="47"/>
      <c r="M320" s="47"/>
    </row>
    <row r="321" spans="2:13" ht="12.75" customHeight="1" x14ac:dyDescent="0.35">
      <c r="B321" s="53"/>
      <c r="C321" s="50" t="str">
        <f t="shared" si="12"/>
        <v/>
      </c>
      <c r="D321" s="50" t="str">
        <f t="shared" si="13"/>
        <v/>
      </c>
      <c r="E321" s="51" t="str">
        <f t="shared" si="14"/>
        <v/>
      </c>
      <c r="F321" s="57"/>
      <c r="G321" s="52"/>
      <c r="H321" s="58"/>
      <c r="I321" s="59"/>
      <c r="J321" s="47"/>
      <c r="K321" s="47"/>
      <c r="L321" s="47"/>
      <c r="M321" s="47"/>
    </row>
    <row r="322" spans="2:13" ht="12.75" customHeight="1" x14ac:dyDescent="0.35">
      <c r="B322" s="53"/>
      <c r="C322" s="50" t="str">
        <f t="shared" si="12"/>
        <v/>
      </c>
      <c r="D322" s="50" t="str">
        <f t="shared" si="13"/>
        <v/>
      </c>
      <c r="E322" s="51" t="str">
        <f t="shared" si="14"/>
        <v/>
      </c>
      <c r="F322" s="57"/>
      <c r="G322" s="52"/>
      <c r="H322" s="58"/>
      <c r="I322" s="59"/>
      <c r="J322" s="47"/>
      <c r="K322" s="47"/>
      <c r="L322" s="47"/>
      <c r="M322" s="47"/>
    </row>
    <row r="323" spans="2:13" ht="12.75" customHeight="1" x14ac:dyDescent="0.35">
      <c r="B323" s="53"/>
      <c r="C323" s="50" t="str">
        <f t="shared" si="12"/>
        <v/>
      </c>
      <c r="D323" s="50" t="str">
        <f t="shared" si="13"/>
        <v/>
      </c>
      <c r="E323" s="51" t="str">
        <f t="shared" si="14"/>
        <v/>
      </c>
      <c r="F323" s="57"/>
      <c r="G323" s="52"/>
      <c r="H323" s="58"/>
      <c r="I323" s="59"/>
      <c r="J323" s="47"/>
      <c r="K323" s="47"/>
      <c r="L323" s="47"/>
      <c r="M323" s="47"/>
    </row>
    <row r="324" spans="2:13" ht="12.75" customHeight="1" x14ac:dyDescent="0.35">
      <c r="B324" s="53"/>
      <c r="C324" s="50" t="str">
        <f t="shared" si="12"/>
        <v/>
      </c>
      <c r="D324" s="50" t="str">
        <f t="shared" si="13"/>
        <v/>
      </c>
      <c r="E324" s="51" t="str">
        <f t="shared" si="14"/>
        <v/>
      </c>
      <c r="F324" s="57"/>
      <c r="G324" s="52"/>
      <c r="H324" s="58"/>
      <c r="I324" s="59"/>
      <c r="J324" s="47"/>
      <c r="K324" s="47"/>
      <c r="L324" s="47"/>
      <c r="M324" s="47"/>
    </row>
    <row r="325" spans="2:13" ht="12.75" customHeight="1" x14ac:dyDescent="0.35">
      <c r="B325" s="53"/>
      <c r="C325" s="50" t="str">
        <f t="shared" si="12"/>
        <v/>
      </c>
      <c r="D325" s="50" t="str">
        <f t="shared" si="13"/>
        <v/>
      </c>
      <c r="E325" s="51" t="str">
        <f t="shared" si="14"/>
        <v/>
      </c>
      <c r="F325" s="57"/>
      <c r="G325" s="52"/>
      <c r="H325" s="58"/>
      <c r="I325" s="59"/>
      <c r="J325" s="47"/>
      <c r="K325" s="47"/>
      <c r="L325" s="47"/>
      <c r="M325" s="47"/>
    </row>
    <row r="326" spans="2:13" ht="12.75" customHeight="1" x14ac:dyDescent="0.35">
      <c r="B326" s="53"/>
      <c r="C326" s="50" t="str">
        <f t="shared" ref="C326:C389" si="15">IF(B326=0,"",YEAR(B326))</f>
        <v/>
      </c>
      <c r="D326" s="50" t="str">
        <f t="shared" ref="D326:D389" si="16">IF(B326=0,"",MONTH(B326)&amp;"월")</f>
        <v/>
      </c>
      <c r="E326" s="51" t="str">
        <f t="shared" ref="E326:E389" si="17">IF(B326=0,"",DAY(B326)&amp;"일")</f>
        <v/>
      </c>
      <c r="F326" s="57"/>
      <c r="G326" s="52"/>
      <c r="H326" s="58"/>
      <c r="I326" s="59"/>
      <c r="J326" s="47"/>
      <c r="K326" s="47"/>
      <c r="L326" s="47"/>
      <c r="M326" s="47"/>
    </row>
    <row r="327" spans="2:13" ht="12.75" customHeight="1" x14ac:dyDescent="0.35">
      <c r="B327" s="53"/>
      <c r="C327" s="50" t="str">
        <f t="shared" si="15"/>
        <v/>
      </c>
      <c r="D327" s="50" t="str">
        <f t="shared" si="16"/>
        <v/>
      </c>
      <c r="E327" s="51" t="str">
        <f t="shared" si="17"/>
        <v/>
      </c>
      <c r="F327" s="57"/>
      <c r="G327" s="52"/>
      <c r="H327" s="58"/>
      <c r="I327" s="59"/>
      <c r="J327" s="47"/>
      <c r="K327" s="47"/>
      <c r="L327" s="47"/>
      <c r="M327" s="47"/>
    </row>
    <row r="328" spans="2:13" ht="12.75" customHeight="1" x14ac:dyDescent="0.35">
      <c r="B328" s="53"/>
      <c r="C328" s="50" t="str">
        <f t="shared" si="15"/>
        <v/>
      </c>
      <c r="D328" s="50" t="str">
        <f t="shared" si="16"/>
        <v/>
      </c>
      <c r="E328" s="51" t="str">
        <f t="shared" si="17"/>
        <v/>
      </c>
      <c r="F328" s="57"/>
      <c r="G328" s="52"/>
      <c r="H328" s="58"/>
      <c r="I328" s="59"/>
      <c r="J328" s="47"/>
      <c r="K328" s="47"/>
      <c r="L328" s="47"/>
      <c r="M328" s="47"/>
    </row>
    <row r="329" spans="2:13" ht="12.75" customHeight="1" x14ac:dyDescent="0.35">
      <c r="B329" s="53"/>
      <c r="C329" s="50" t="str">
        <f t="shared" si="15"/>
        <v/>
      </c>
      <c r="D329" s="50" t="str">
        <f t="shared" si="16"/>
        <v/>
      </c>
      <c r="E329" s="51" t="str">
        <f t="shared" si="17"/>
        <v/>
      </c>
      <c r="F329" s="57"/>
      <c r="G329" s="52"/>
      <c r="H329" s="58"/>
      <c r="I329" s="59"/>
      <c r="J329" s="47"/>
      <c r="K329" s="47"/>
      <c r="L329" s="47"/>
      <c r="M329" s="47"/>
    </row>
    <row r="330" spans="2:13" ht="12.75" customHeight="1" x14ac:dyDescent="0.35">
      <c r="B330" s="53"/>
      <c r="C330" s="50" t="str">
        <f t="shared" si="15"/>
        <v/>
      </c>
      <c r="D330" s="50" t="str">
        <f t="shared" si="16"/>
        <v/>
      </c>
      <c r="E330" s="51" t="str">
        <f t="shared" si="17"/>
        <v/>
      </c>
      <c r="F330" s="57"/>
      <c r="G330" s="52"/>
      <c r="H330" s="58"/>
      <c r="I330" s="59"/>
      <c r="J330" s="47"/>
      <c r="K330" s="47"/>
      <c r="L330" s="47"/>
      <c r="M330" s="47"/>
    </row>
    <row r="331" spans="2:13" ht="12.75" customHeight="1" x14ac:dyDescent="0.35">
      <c r="B331" s="53"/>
      <c r="C331" s="50" t="str">
        <f t="shared" si="15"/>
        <v/>
      </c>
      <c r="D331" s="50" t="str">
        <f t="shared" si="16"/>
        <v/>
      </c>
      <c r="E331" s="51" t="str">
        <f t="shared" si="17"/>
        <v/>
      </c>
      <c r="F331" s="57"/>
      <c r="G331" s="52"/>
      <c r="H331" s="58"/>
      <c r="I331" s="59"/>
      <c r="J331" s="47"/>
      <c r="K331" s="47"/>
      <c r="L331" s="47"/>
      <c r="M331" s="47"/>
    </row>
    <row r="332" spans="2:13" ht="12.75" customHeight="1" x14ac:dyDescent="0.35">
      <c r="B332" s="53"/>
      <c r="C332" s="50" t="str">
        <f t="shared" si="15"/>
        <v/>
      </c>
      <c r="D332" s="50" t="str">
        <f t="shared" si="16"/>
        <v/>
      </c>
      <c r="E332" s="51" t="str">
        <f t="shared" si="17"/>
        <v/>
      </c>
      <c r="F332" s="57"/>
      <c r="G332" s="52"/>
      <c r="H332" s="58"/>
      <c r="I332" s="59"/>
      <c r="J332" s="47"/>
      <c r="K332" s="47"/>
      <c r="L332" s="47"/>
      <c r="M332" s="47"/>
    </row>
    <row r="333" spans="2:13" ht="12.75" customHeight="1" x14ac:dyDescent="0.35">
      <c r="B333" s="53"/>
      <c r="C333" s="50" t="str">
        <f t="shared" si="15"/>
        <v/>
      </c>
      <c r="D333" s="50" t="str">
        <f t="shared" si="16"/>
        <v/>
      </c>
      <c r="E333" s="51" t="str">
        <f t="shared" si="17"/>
        <v/>
      </c>
      <c r="F333" s="57"/>
      <c r="G333" s="52"/>
      <c r="H333" s="58"/>
      <c r="I333" s="59"/>
      <c r="J333" s="47"/>
      <c r="K333" s="47"/>
      <c r="L333" s="47"/>
      <c r="M333" s="47"/>
    </row>
    <row r="334" spans="2:13" ht="12.75" customHeight="1" x14ac:dyDescent="0.35">
      <c r="B334" s="53"/>
      <c r="C334" s="50" t="str">
        <f t="shared" si="15"/>
        <v/>
      </c>
      <c r="D334" s="50" t="str">
        <f t="shared" si="16"/>
        <v/>
      </c>
      <c r="E334" s="51" t="str">
        <f t="shared" si="17"/>
        <v/>
      </c>
      <c r="F334" s="57"/>
      <c r="G334" s="52"/>
      <c r="H334" s="58"/>
      <c r="I334" s="59"/>
      <c r="J334" s="47"/>
      <c r="K334" s="47"/>
      <c r="L334" s="47"/>
      <c r="M334" s="47"/>
    </row>
    <row r="335" spans="2:13" ht="12.75" customHeight="1" x14ac:dyDescent="0.35">
      <c r="B335" s="53"/>
      <c r="C335" s="50" t="str">
        <f t="shared" si="15"/>
        <v/>
      </c>
      <c r="D335" s="50" t="str">
        <f t="shared" si="16"/>
        <v/>
      </c>
      <c r="E335" s="51" t="str">
        <f t="shared" si="17"/>
        <v/>
      </c>
      <c r="F335" s="57"/>
      <c r="G335" s="52"/>
      <c r="H335" s="58"/>
      <c r="I335" s="59"/>
      <c r="J335" s="47"/>
      <c r="K335" s="47"/>
      <c r="L335" s="47"/>
      <c r="M335" s="47"/>
    </row>
    <row r="336" spans="2:13" ht="12.75" customHeight="1" x14ac:dyDescent="0.35">
      <c r="B336" s="53"/>
      <c r="C336" s="50" t="str">
        <f t="shared" si="15"/>
        <v/>
      </c>
      <c r="D336" s="50" t="str">
        <f t="shared" si="16"/>
        <v/>
      </c>
      <c r="E336" s="51" t="str">
        <f t="shared" si="17"/>
        <v/>
      </c>
      <c r="F336" s="57"/>
      <c r="G336" s="52"/>
      <c r="H336" s="58"/>
      <c r="I336" s="59"/>
      <c r="J336" s="47"/>
      <c r="K336" s="47"/>
      <c r="L336" s="47"/>
      <c r="M336" s="47"/>
    </row>
    <row r="337" spans="2:13" ht="12.75" customHeight="1" x14ac:dyDescent="0.35">
      <c r="B337" s="53"/>
      <c r="C337" s="50" t="str">
        <f t="shared" si="15"/>
        <v/>
      </c>
      <c r="D337" s="50" t="str">
        <f t="shared" si="16"/>
        <v/>
      </c>
      <c r="E337" s="51" t="str">
        <f t="shared" si="17"/>
        <v/>
      </c>
      <c r="F337" s="57"/>
      <c r="G337" s="52"/>
      <c r="H337" s="58"/>
      <c r="I337" s="59"/>
      <c r="J337" s="47"/>
      <c r="K337" s="47"/>
      <c r="L337" s="47"/>
      <c r="M337" s="47"/>
    </row>
    <row r="338" spans="2:13" ht="12.75" customHeight="1" x14ac:dyDescent="0.35">
      <c r="B338" s="53"/>
      <c r="C338" s="50" t="str">
        <f t="shared" si="15"/>
        <v/>
      </c>
      <c r="D338" s="50" t="str">
        <f t="shared" si="16"/>
        <v/>
      </c>
      <c r="E338" s="51" t="str">
        <f t="shared" si="17"/>
        <v/>
      </c>
      <c r="F338" s="57"/>
      <c r="G338" s="52"/>
      <c r="H338" s="58"/>
      <c r="I338" s="59"/>
      <c r="J338" s="47"/>
      <c r="K338" s="47"/>
      <c r="L338" s="47"/>
      <c r="M338" s="47"/>
    </row>
    <row r="339" spans="2:13" ht="12.75" customHeight="1" x14ac:dyDescent="0.35">
      <c r="B339" s="53"/>
      <c r="C339" s="50" t="str">
        <f t="shared" si="15"/>
        <v/>
      </c>
      <c r="D339" s="50" t="str">
        <f t="shared" si="16"/>
        <v/>
      </c>
      <c r="E339" s="51" t="str">
        <f t="shared" si="17"/>
        <v/>
      </c>
      <c r="F339" s="57"/>
      <c r="G339" s="52"/>
      <c r="H339" s="58"/>
      <c r="I339" s="59"/>
      <c r="J339" s="47"/>
      <c r="K339" s="47"/>
      <c r="L339" s="47"/>
      <c r="M339" s="47"/>
    </row>
    <row r="340" spans="2:13" ht="12.75" customHeight="1" x14ac:dyDescent="0.35">
      <c r="B340" s="53"/>
      <c r="C340" s="50" t="str">
        <f t="shared" si="15"/>
        <v/>
      </c>
      <c r="D340" s="50" t="str">
        <f t="shared" si="16"/>
        <v/>
      </c>
      <c r="E340" s="51" t="str">
        <f t="shared" si="17"/>
        <v/>
      </c>
      <c r="F340" s="57"/>
      <c r="G340" s="52"/>
      <c r="H340" s="58"/>
      <c r="I340" s="59"/>
      <c r="J340" s="47"/>
      <c r="K340" s="47"/>
      <c r="L340" s="47"/>
      <c r="M340" s="47"/>
    </row>
    <row r="341" spans="2:13" ht="12.75" customHeight="1" x14ac:dyDescent="0.35">
      <c r="B341" s="53"/>
      <c r="C341" s="50" t="str">
        <f t="shared" si="15"/>
        <v/>
      </c>
      <c r="D341" s="50" t="str">
        <f t="shared" si="16"/>
        <v/>
      </c>
      <c r="E341" s="51" t="str">
        <f t="shared" si="17"/>
        <v/>
      </c>
      <c r="F341" s="57"/>
      <c r="G341" s="52"/>
      <c r="H341" s="58"/>
      <c r="I341" s="59"/>
      <c r="J341" s="47"/>
      <c r="K341" s="47"/>
      <c r="L341" s="47"/>
      <c r="M341" s="47"/>
    </row>
    <row r="342" spans="2:13" ht="12.75" customHeight="1" x14ac:dyDescent="0.35">
      <c r="B342" s="53"/>
      <c r="C342" s="50" t="str">
        <f t="shared" si="15"/>
        <v/>
      </c>
      <c r="D342" s="50" t="str">
        <f t="shared" si="16"/>
        <v/>
      </c>
      <c r="E342" s="51" t="str">
        <f t="shared" si="17"/>
        <v/>
      </c>
      <c r="F342" s="57"/>
      <c r="G342" s="52"/>
      <c r="H342" s="58"/>
      <c r="I342" s="59"/>
      <c r="J342" s="47"/>
      <c r="K342" s="47"/>
      <c r="L342" s="47"/>
      <c r="M342" s="47"/>
    </row>
    <row r="343" spans="2:13" ht="12.75" customHeight="1" x14ac:dyDescent="0.35">
      <c r="B343" s="53"/>
      <c r="C343" s="50" t="str">
        <f t="shared" si="15"/>
        <v/>
      </c>
      <c r="D343" s="50" t="str">
        <f t="shared" si="16"/>
        <v/>
      </c>
      <c r="E343" s="51" t="str">
        <f t="shared" si="17"/>
        <v/>
      </c>
      <c r="F343" s="57"/>
      <c r="G343" s="52"/>
      <c r="H343" s="58"/>
      <c r="I343" s="59"/>
      <c r="J343" s="47"/>
      <c r="K343" s="47"/>
      <c r="L343" s="47"/>
      <c r="M343" s="47"/>
    </row>
    <row r="344" spans="2:13" ht="12.75" customHeight="1" x14ac:dyDescent="0.35">
      <c r="B344" s="53"/>
      <c r="C344" s="50" t="str">
        <f t="shared" si="15"/>
        <v/>
      </c>
      <c r="D344" s="50" t="str">
        <f t="shared" si="16"/>
        <v/>
      </c>
      <c r="E344" s="51" t="str">
        <f t="shared" si="17"/>
        <v/>
      </c>
      <c r="F344" s="57"/>
      <c r="G344" s="52"/>
      <c r="H344" s="58"/>
      <c r="I344" s="59"/>
      <c r="J344" s="47"/>
      <c r="K344" s="47"/>
      <c r="L344" s="47"/>
      <c r="M344" s="47"/>
    </row>
    <row r="345" spans="2:13" ht="12.75" customHeight="1" x14ac:dyDescent="0.35">
      <c r="B345" s="53"/>
      <c r="C345" s="50" t="str">
        <f t="shared" si="15"/>
        <v/>
      </c>
      <c r="D345" s="50" t="str">
        <f t="shared" si="16"/>
        <v/>
      </c>
      <c r="E345" s="51" t="str">
        <f t="shared" si="17"/>
        <v/>
      </c>
      <c r="F345" s="57"/>
      <c r="G345" s="52"/>
      <c r="H345" s="58"/>
      <c r="I345" s="59"/>
      <c r="J345" s="47"/>
      <c r="K345" s="47"/>
      <c r="L345" s="47"/>
      <c r="M345" s="47"/>
    </row>
    <row r="346" spans="2:13" ht="12.75" customHeight="1" x14ac:dyDescent="0.35">
      <c r="B346" s="53"/>
      <c r="C346" s="50" t="str">
        <f t="shared" si="15"/>
        <v/>
      </c>
      <c r="D346" s="50" t="str">
        <f t="shared" si="16"/>
        <v/>
      </c>
      <c r="E346" s="51" t="str">
        <f t="shared" si="17"/>
        <v/>
      </c>
      <c r="F346" s="57"/>
      <c r="G346" s="52"/>
      <c r="H346" s="58"/>
      <c r="I346" s="59"/>
      <c r="J346" s="47"/>
      <c r="K346" s="47"/>
      <c r="L346" s="47"/>
      <c r="M346" s="47"/>
    </row>
    <row r="347" spans="2:13" ht="12.75" customHeight="1" x14ac:dyDescent="0.35">
      <c r="B347" s="53"/>
      <c r="C347" s="50" t="str">
        <f t="shared" si="15"/>
        <v/>
      </c>
      <c r="D347" s="50" t="str">
        <f t="shared" si="16"/>
        <v/>
      </c>
      <c r="E347" s="51" t="str">
        <f t="shared" si="17"/>
        <v/>
      </c>
      <c r="F347" s="57"/>
      <c r="G347" s="52"/>
      <c r="H347" s="58"/>
      <c r="I347" s="59"/>
      <c r="J347" s="47"/>
      <c r="K347" s="47"/>
      <c r="L347" s="47"/>
      <c r="M347" s="47"/>
    </row>
    <row r="348" spans="2:13" ht="12.75" customHeight="1" x14ac:dyDescent="0.35">
      <c r="B348" s="53"/>
      <c r="C348" s="50" t="str">
        <f t="shared" si="15"/>
        <v/>
      </c>
      <c r="D348" s="50" t="str">
        <f t="shared" si="16"/>
        <v/>
      </c>
      <c r="E348" s="51" t="str">
        <f t="shared" si="17"/>
        <v/>
      </c>
      <c r="F348" s="57"/>
      <c r="G348" s="52"/>
      <c r="H348" s="58"/>
      <c r="I348" s="59"/>
      <c r="J348" s="47"/>
      <c r="K348" s="47"/>
      <c r="L348" s="47"/>
      <c r="M348" s="47"/>
    </row>
    <row r="349" spans="2:13" ht="12.75" customHeight="1" x14ac:dyDescent="0.35">
      <c r="B349" s="53"/>
      <c r="C349" s="50" t="str">
        <f t="shared" si="15"/>
        <v/>
      </c>
      <c r="D349" s="50" t="str">
        <f t="shared" si="16"/>
        <v/>
      </c>
      <c r="E349" s="51" t="str">
        <f t="shared" si="17"/>
        <v/>
      </c>
      <c r="F349" s="57"/>
      <c r="G349" s="52"/>
      <c r="H349" s="58"/>
      <c r="I349" s="59"/>
      <c r="J349" s="47"/>
      <c r="K349" s="47"/>
      <c r="L349" s="47"/>
      <c r="M349" s="47"/>
    </row>
    <row r="350" spans="2:13" ht="12.75" customHeight="1" x14ac:dyDescent="0.35">
      <c r="B350" s="53"/>
      <c r="C350" s="50" t="str">
        <f t="shared" si="15"/>
        <v/>
      </c>
      <c r="D350" s="50" t="str">
        <f t="shared" si="16"/>
        <v/>
      </c>
      <c r="E350" s="51" t="str">
        <f t="shared" si="17"/>
        <v/>
      </c>
      <c r="F350" s="57"/>
      <c r="G350" s="52"/>
      <c r="H350" s="58"/>
      <c r="I350" s="59"/>
      <c r="J350" s="47"/>
      <c r="K350" s="47"/>
      <c r="L350" s="47"/>
      <c r="M350" s="47"/>
    </row>
    <row r="351" spans="2:13" ht="12.75" customHeight="1" x14ac:dyDescent="0.35">
      <c r="B351" s="53"/>
      <c r="C351" s="50" t="str">
        <f t="shared" si="15"/>
        <v/>
      </c>
      <c r="D351" s="50" t="str">
        <f t="shared" si="16"/>
        <v/>
      </c>
      <c r="E351" s="51" t="str">
        <f t="shared" si="17"/>
        <v/>
      </c>
      <c r="F351" s="57"/>
      <c r="G351" s="52"/>
      <c r="H351" s="58"/>
      <c r="I351" s="59"/>
      <c r="J351" s="47"/>
      <c r="K351" s="47"/>
      <c r="L351" s="47"/>
      <c r="M351" s="47"/>
    </row>
    <row r="352" spans="2:13" ht="12.75" customHeight="1" x14ac:dyDescent="0.35">
      <c r="B352" s="53"/>
      <c r="C352" s="50" t="str">
        <f t="shared" si="15"/>
        <v/>
      </c>
      <c r="D352" s="50" t="str">
        <f t="shared" si="16"/>
        <v/>
      </c>
      <c r="E352" s="51" t="str">
        <f t="shared" si="17"/>
        <v/>
      </c>
      <c r="F352" s="57"/>
      <c r="G352" s="52"/>
      <c r="H352" s="58"/>
      <c r="I352" s="59"/>
      <c r="J352" s="47"/>
      <c r="K352" s="47"/>
      <c r="L352" s="47"/>
      <c r="M352" s="47"/>
    </row>
    <row r="353" spans="2:13" ht="12.75" customHeight="1" x14ac:dyDescent="0.35">
      <c r="B353" s="53"/>
      <c r="C353" s="50" t="str">
        <f t="shared" si="15"/>
        <v/>
      </c>
      <c r="D353" s="50" t="str">
        <f t="shared" si="16"/>
        <v/>
      </c>
      <c r="E353" s="51" t="str">
        <f t="shared" si="17"/>
        <v/>
      </c>
      <c r="F353" s="57"/>
      <c r="G353" s="52"/>
      <c r="H353" s="58"/>
      <c r="I353" s="59"/>
      <c r="J353" s="47"/>
      <c r="K353" s="47"/>
      <c r="L353" s="47"/>
      <c r="M353" s="47"/>
    </row>
    <row r="354" spans="2:13" ht="12.75" customHeight="1" x14ac:dyDescent="0.35">
      <c r="B354" s="53"/>
      <c r="C354" s="50" t="str">
        <f t="shared" si="15"/>
        <v/>
      </c>
      <c r="D354" s="50" t="str">
        <f t="shared" si="16"/>
        <v/>
      </c>
      <c r="E354" s="51" t="str">
        <f t="shared" si="17"/>
        <v/>
      </c>
      <c r="F354" s="57"/>
      <c r="G354" s="52"/>
      <c r="H354" s="58"/>
      <c r="I354" s="59"/>
      <c r="J354" s="47"/>
      <c r="K354" s="47"/>
      <c r="L354" s="47"/>
      <c r="M354" s="47"/>
    </row>
    <row r="355" spans="2:13" ht="12.75" customHeight="1" x14ac:dyDescent="0.35">
      <c r="B355" s="53"/>
      <c r="C355" s="50" t="str">
        <f t="shared" si="15"/>
        <v/>
      </c>
      <c r="D355" s="50" t="str">
        <f t="shared" si="16"/>
        <v/>
      </c>
      <c r="E355" s="51" t="str">
        <f t="shared" si="17"/>
        <v/>
      </c>
      <c r="F355" s="57"/>
      <c r="G355" s="52"/>
      <c r="H355" s="58"/>
      <c r="I355" s="59"/>
      <c r="J355" s="47"/>
      <c r="K355" s="47"/>
      <c r="L355" s="47"/>
      <c r="M355" s="47"/>
    </row>
    <row r="356" spans="2:13" ht="12.75" customHeight="1" x14ac:dyDescent="0.35">
      <c r="B356" s="53"/>
      <c r="C356" s="50" t="str">
        <f t="shared" si="15"/>
        <v/>
      </c>
      <c r="D356" s="50" t="str">
        <f t="shared" si="16"/>
        <v/>
      </c>
      <c r="E356" s="51" t="str">
        <f t="shared" si="17"/>
        <v/>
      </c>
      <c r="F356" s="57"/>
      <c r="G356" s="52"/>
      <c r="H356" s="58"/>
      <c r="I356" s="59"/>
      <c r="J356" s="47"/>
      <c r="K356" s="47"/>
      <c r="L356" s="47"/>
      <c r="M356" s="47"/>
    </row>
    <row r="357" spans="2:13" ht="12.75" customHeight="1" x14ac:dyDescent="0.35">
      <c r="B357" s="53"/>
      <c r="C357" s="50" t="str">
        <f t="shared" si="15"/>
        <v/>
      </c>
      <c r="D357" s="50" t="str">
        <f t="shared" si="16"/>
        <v/>
      </c>
      <c r="E357" s="51" t="str">
        <f t="shared" si="17"/>
        <v/>
      </c>
      <c r="F357" s="57"/>
      <c r="G357" s="52"/>
      <c r="H357" s="58"/>
      <c r="I357" s="59"/>
      <c r="J357" s="47"/>
      <c r="K357" s="47"/>
      <c r="L357" s="47"/>
      <c r="M357" s="47"/>
    </row>
    <row r="358" spans="2:13" ht="12.75" customHeight="1" x14ac:dyDescent="0.35">
      <c r="B358" s="53"/>
      <c r="C358" s="50" t="str">
        <f t="shared" si="15"/>
        <v/>
      </c>
      <c r="D358" s="50" t="str">
        <f t="shared" si="16"/>
        <v/>
      </c>
      <c r="E358" s="51" t="str">
        <f t="shared" si="17"/>
        <v/>
      </c>
      <c r="F358" s="57"/>
      <c r="G358" s="52"/>
      <c r="H358" s="58"/>
      <c r="I358" s="59"/>
      <c r="J358" s="47"/>
      <c r="K358" s="47"/>
      <c r="L358" s="47"/>
      <c r="M358" s="47"/>
    </row>
    <row r="359" spans="2:13" ht="12.75" customHeight="1" x14ac:dyDescent="0.35">
      <c r="B359" s="53"/>
      <c r="C359" s="50" t="str">
        <f t="shared" si="15"/>
        <v/>
      </c>
      <c r="D359" s="50" t="str">
        <f t="shared" si="16"/>
        <v/>
      </c>
      <c r="E359" s="51" t="str">
        <f t="shared" si="17"/>
        <v/>
      </c>
      <c r="F359" s="57"/>
      <c r="G359" s="52"/>
      <c r="H359" s="58"/>
      <c r="I359" s="59"/>
      <c r="J359" s="47"/>
      <c r="K359" s="47"/>
      <c r="L359" s="47"/>
      <c r="M359" s="47"/>
    </row>
    <row r="360" spans="2:13" ht="12.75" customHeight="1" x14ac:dyDescent="0.35">
      <c r="B360" s="53"/>
      <c r="C360" s="50" t="str">
        <f t="shared" si="15"/>
        <v/>
      </c>
      <c r="D360" s="50" t="str">
        <f t="shared" si="16"/>
        <v/>
      </c>
      <c r="E360" s="51" t="str">
        <f t="shared" si="17"/>
        <v/>
      </c>
      <c r="F360" s="57"/>
      <c r="G360" s="52"/>
      <c r="H360" s="58"/>
      <c r="I360" s="59"/>
      <c r="J360" s="47"/>
      <c r="K360" s="47"/>
      <c r="L360" s="47"/>
      <c r="M360" s="47"/>
    </row>
    <row r="361" spans="2:13" ht="12.75" customHeight="1" x14ac:dyDescent="0.35">
      <c r="B361" s="53"/>
      <c r="C361" s="50" t="str">
        <f t="shared" si="15"/>
        <v/>
      </c>
      <c r="D361" s="50" t="str">
        <f t="shared" si="16"/>
        <v/>
      </c>
      <c r="E361" s="51" t="str">
        <f t="shared" si="17"/>
        <v/>
      </c>
      <c r="F361" s="57"/>
      <c r="G361" s="52"/>
      <c r="H361" s="58"/>
      <c r="I361" s="59"/>
      <c r="J361" s="47"/>
      <c r="K361" s="47"/>
      <c r="L361" s="47"/>
      <c r="M361" s="47"/>
    </row>
    <row r="362" spans="2:13" ht="12.75" customHeight="1" x14ac:dyDescent="0.35">
      <c r="B362" s="53"/>
      <c r="C362" s="50" t="str">
        <f t="shared" si="15"/>
        <v/>
      </c>
      <c r="D362" s="50" t="str">
        <f t="shared" si="16"/>
        <v/>
      </c>
      <c r="E362" s="51" t="str">
        <f t="shared" si="17"/>
        <v/>
      </c>
      <c r="F362" s="57"/>
      <c r="G362" s="52"/>
      <c r="H362" s="58"/>
      <c r="I362" s="59"/>
      <c r="J362" s="47"/>
      <c r="K362" s="47"/>
      <c r="L362" s="47"/>
      <c r="M362" s="47"/>
    </row>
    <row r="363" spans="2:13" ht="12.75" customHeight="1" x14ac:dyDescent="0.35">
      <c r="B363" s="53"/>
      <c r="C363" s="50" t="str">
        <f t="shared" si="15"/>
        <v/>
      </c>
      <c r="D363" s="50" t="str">
        <f t="shared" si="16"/>
        <v/>
      </c>
      <c r="E363" s="51" t="str">
        <f t="shared" si="17"/>
        <v/>
      </c>
      <c r="F363" s="57"/>
      <c r="G363" s="52"/>
      <c r="H363" s="58"/>
      <c r="I363" s="59"/>
      <c r="J363" s="47"/>
      <c r="K363" s="47"/>
      <c r="L363" s="47"/>
      <c r="M363" s="47"/>
    </row>
    <row r="364" spans="2:13" ht="12.75" customHeight="1" x14ac:dyDescent="0.35">
      <c r="B364" s="53"/>
      <c r="C364" s="50" t="str">
        <f t="shared" si="15"/>
        <v/>
      </c>
      <c r="D364" s="50" t="str">
        <f t="shared" si="16"/>
        <v/>
      </c>
      <c r="E364" s="51" t="str">
        <f t="shared" si="17"/>
        <v/>
      </c>
      <c r="F364" s="57"/>
      <c r="G364" s="52"/>
      <c r="H364" s="58"/>
      <c r="I364" s="59"/>
      <c r="J364" s="47"/>
      <c r="K364" s="47"/>
      <c r="L364" s="47"/>
      <c r="M364" s="47"/>
    </row>
    <row r="365" spans="2:13" ht="12.75" customHeight="1" x14ac:dyDescent="0.35">
      <c r="B365" s="53"/>
      <c r="C365" s="50" t="str">
        <f t="shared" si="15"/>
        <v/>
      </c>
      <c r="D365" s="50" t="str">
        <f t="shared" si="16"/>
        <v/>
      </c>
      <c r="E365" s="51" t="str">
        <f t="shared" si="17"/>
        <v/>
      </c>
      <c r="F365" s="57"/>
      <c r="G365" s="52"/>
      <c r="H365" s="58"/>
      <c r="I365" s="59"/>
      <c r="J365" s="47"/>
      <c r="K365" s="47"/>
      <c r="L365" s="47"/>
      <c r="M365" s="47"/>
    </row>
    <row r="366" spans="2:13" ht="12.75" customHeight="1" x14ac:dyDescent="0.35">
      <c r="B366" s="53"/>
      <c r="C366" s="50" t="str">
        <f t="shared" si="15"/>
        <v/>
      </c>
      <c r="D366" s="50" t="str">
        <f t="shared" si="16"/>
        <v/>
      </c>
      <c r="E366" s="51" t="str">
        <f t="shared" si="17"/>
        <v/>
      </c>
      <c r="F366" s="57"/>
      <c r="G366" s="52"/>
      <c r="H366" s="58"/>
      <c r="I366" s="59"/>
      <c r="J366" s="47"/>
      <c r="K366" s="47"/>
      <c r="L366" s="47"/>
      <c r="M366" s="47"/>
    </row>
    <row r="367" spans="2:13" ht="12.75" customHeight="1" x14ac:dyDescent="0.35">
      <c r="B367" s="53"/>
      <c r="C367" s="50" t="str">
        <f t="shared" si="15"/>
        <v/>
      </c>
      <c r="D367" s="50" t="str">
        <f t="shared" si="16"/>
        <v/>
      </c>
      <c r="E367" s="51" t="str">
        <f t="shared" si="17"/>
        <v/>
      </c>
      <c r="F367" s="57"/>
      <c r="G367" s="52"/>
      <c r="H367" s="58"/>
      <c r="I367" s="59"/>
      <c r="J367" s="47"/>
      <c r="K367" s="47"/>
      <c r="L367" s="47"/>
      <c r="M367" s="47"/>
    </row>
    <row r="368" spans="2:13" ht="12.75" customHeight="1" x14ac:dyDescent="0.35">
      <c r="B368" s="53"/>
      <c r="C368" s="50" t="str">
        <f t="shared" si="15"/>
        <v/>
      </c>
      <c r="D368" s="50" t="str">
        <f t="shared" si="16"/>
        <v/>
      </c>
      <c r="E368" s="51" t="str">
        <f t="shared" si="17"/>
        <v/>
      </c>
      <c r="F368" s="57"/>
      <c r="G368" s="52"/>
      <c r="H368" s="58"/>
      <c r="I368" s="59"/>
      <c r="J368" s="47"/>
      <c r="K368" s="47"/>
      <c r="L368" s="47"/>
      <c r="M368" s="47"/>
    </row>
    <row r="369" spans="2:13" ht="12.75" customHeight="1" x14ac:dyDescent="0.35">
      <c r="B369" s="53"/>
      <c r="C369" s="50" t="str">
        <f t="shared" si="15"/>
        <v/>
      </c>
      <c r="D369" s="50" t="str">
        <f t="shared" si="16"/>
        <v/>
      </c>
      <c r="E369" s="51" t="str">
        <f t="shared" si="17"/>
        <v/>
      </c>
      <c r="F369" s="57"/>
      <c r="G369" s="52"/>
      <c r="H369" s="58"/>
      <c r="I369" s="59"/>
      <c r="J369" s="47"/>
      <c r="K369" s="47"/>
      <c r="L369" s="47"/>
      <c r="M369" s="47"/>
    </row>
    <row r="370" spans="2:13" ht="12.75" customHeight="1" x14ac:dyDescent="0.35">
      <c r="B370" s="53"/>
      <c r="C370" s="50" t="str">
        <f t="shared" si="15"/>
        <v/>
      </c>
      <c r="D370" s="50" t="str">
        <f t="shared" si="16"/>
        <v/>
      </c>
      <c r="E370" s="51" t="str">
        <f t="shared" si="17"/>
        <v/>
      </c>
      <c r="F370" s="57"/>
      <c r="G370" s="52"/>
      <c r="H370" s="58"/>
      <c r="I370" s="59"/>
      <c r="J370" s="47"/>
      <c r="K370" s="47"/>
      <c r="L370" s="47"/>
      <c r="M370" s="47"/>
    </row>
    <row r="371" spans="2:13" ht="12.75" customHeight="1" x14ac:dyDescent="0.35">
      <c r="B371" s="53"/>
      <c r="C371" s="50" t="str">
        <f t="shared" si="15"/>
        <v/>
      </c>
      <c r="D371" s="50" t="str">
        <f t="shared" si="16"/>
        <v/>
      </c>
      <c r="E371" s="51" t="str">
        <f t="shared" si="17"/>
        <v/>
      </c>
      <c r="F371" s="57"/>
      <c r="G371" s="52"/>
      <c r="H371" s="58"/>
      <c r="I371" s="59"/>
      <c r="J371" s="47"/>
      <c r="K371" s="47"/>
      <c r="L371" s="47"/>
      <c r="M371" s="47"/>
    </row>
    <row r="372" spans="2:13" ht="12.75" customHeight="1" x14ac:dyDescent="0.35">
      <c r="B372" s="53"/>
      <c r="C372" s="50" t="str">
        <f t="shared" si="15"/>
        <v/>
      </c>
      <c r="D372" s="50" t="str">
        <f t="shared" si="16"/>
        <v/>
      </c>
      <c r="E372" s="51" t="str">
        <f t="shared" si="17"/>
        <v/>
      </c>
      <c r="F372" s="57"/>
      <c r="G372" s="52"/>
      <c r="H372" s="58"/>
      <c r="I372" s="59"/>
      <c r="J372" s="47"/>
      <c r="K372" s="47"/>
      <c r="L372" s="47"/>
      <c r="M372" s="47"/>
    </row>
    <row r="373" spans="2:13" ht="12.75" customHeight="1" x14ac:dyDescent="0.35">
      <c r="B373" s="53"/>
      <c r="C373" s="50" t="str">
        <f t="shared" si="15"/>
        <v/>
      </c>
      <c r="D373" s="50" t="str">
        <f t="shared" si="16"/>
        <v/>
      </c>
      <c r="E373" s="51" t="str">
        <f t="shared" si="17"/>
        <v/>
      </c>
      <c r="F373" s="57"/>
      <c r="G373" s="52"/>
      <c r="H373" s="58"/>
      <c r="I373" s="59"/>
      <c r="J373" s="47"/>
      <c r="K373" s="47"/>
      <c r="L373" s="47"/>
      <c r="M373" s="47"/>
    </row>
    <row r="374" spans="2:13" ht="12.75" customHeight="1" x14ac:dyDescent="0.35">
      <c r="B374" s="53"/>
      <c r="C374" s="50" t="str">
        <f t="shared" si="15"/>
        <v/>
      </c>
      <c r="D374" s="50" t="str">
        <f t="shared" si="16"/>
        <v/>
      </c>
      <c r="E374" s="51" t="str">
        <f t="shared" si="17"/>
        <v/>
      </c>
      <c r="F374" s="57"/>
      <c r="G374" s="52"/>
      <c r="H374" s="58"/>
      <c r="I374" s="59"/>
      <c r="J374" s="47"/>
      <c r="K374" s="47"/>
      <c r="L374" s="47"/>
      <c r="M374" s="47"/>
    </row>
    <row r="375" spans="2:13" ht="12.75" customHeight="1" x14ac:dyDescent="0.35">
      <c r="B375" s="53"/>
      <c r="C375" s="50" t="str">
        <f t="shared" si="15"/>
        <v/>
      </c>
      <c r="D375" s="50" t="str">
        <f t="shared" si="16"/>
        <v/>
      </c>
      <c r="E375" s="51" t="str">
        <f t="shared" si="17"/>
        <v/>
      </c>
      <c r="F375" s="57"/>
      <c r="G375" s="52"/>
      <c r="H375" s="58"/>
      <c r="I375" s="59"/>
      <c r="J375" s="47"/>
      <c r="K375" s="47"/>
      <c r="L375" s="47"/>
      <c r="M375" s="47"/>
    </row>
    <row r="376" spans="2:13" ht="12.75" customHeight="1" x14ac:dyDescent="0.35">
      <c r="B376" s="53"/>
      <c r="C376" s="50" t="str">
        <f t="shared" si="15"/>
        <v/>
      </c>
      <c r="D376" s="50" t="str">
        <f t="shared" si="16"/>
        <v/>
      </c>
      <c r="E376" s="51" t="str">
        <f t="shared" si="17"/>
        <v/>
      </c>
      <c r="F376" s="57"/>
      <c r="G376" s="52"/>
      <c r="H376" s="58"/>
      <c r="I376" s="59"/>
      <c r="J376" s="47"/>
      <c r="K376" s="47"/>
      <c r="L376" s="47"/>
      <c r="M376" s="47"/>
    </row>
    <row r="377" spans="2:13" ht="12.75" customHeight="1" x14ac:dyDescent="0.35">
      <c r="B377" s="53"/>
      <c r="C377" s="50" t="str">
        <f t="shared" si="15"/>
        <v/>
      </c>
      <c r="D377" s="50" t="str">
        <f t="shared" si="16"/>
        <v/>
      </c>
      <c r="E377" s="51" t="str">
        <f t="shared" si="17"/>
        <v/>
      </c>
      <c r="F377" s="57"/>
      <c r="G377" s="52"/>
      <c r="H377" s="58"/>
      <c r="I377" s="59"/>
      <c r="J377" s="47"/>
      <c r="K377" s="47"/>
      <c r="L377" s="47"/>
      <c r="M377" s="47"/>
    </row>
    <row r="378" spans="2:13" ht="12.75" customHeight="1" x14ac:dyDescent="0.35">
      <c r="B378" s="53"/>
      <c r="C378" s="50" t="str">
        <f t="shared" si="15"/>
        <v/>
      </c>
      <c r="D378" s="50" t="str">
        <f t="shared" si="16"/>
        <v/>
      </c>
      <c r="E378" s="51" t="str">
        <f t="shared" si="17"/>
        <v/>
      </c>
      <c r="F378" s="57"/>
      <c r="G378" s="52"/>
      <c r="H378" s="58"/>
      <c r="I378" s="59"/>
      <c r="J378" s="47"/>
      <c r="K378" s="47"/>
      <c r="L378" s="47"/>
      <c r="M378" s="47"/>
    </row>
    <row r="379" spans="2:13" ht="12.75" customHeight="1" x14ac:dyDescent="0.35">
      <c r="B379" s="53"/>
      <c r="C379" s="50" t="str">
        <f t="shared" si="15"/>
        <v/>
      </c>
      <c r="D379" s="50" t="str">
        <f t="shared" si="16"/>
        <v/>
      </c>
      <c r="E379" s="51" t="str">
        <f t="shared" si="17"/>
        <v/>
      </c>
      <c r="F379" s="57"/>
      <c r="G379" s="52"/>
      <c r="H379" s="58"/>
      <c r="I379" s="59"/>
      <c r="J379" s="47"/>
      <c r="K379" s="47"/>
      <c r="L379" s="47"/>
      <c r="M379" s="47"/>
    </row>
    <row r="380" spans="2:13" ht="12.75" customHeight="1" x14ac:dyDescent="0.35">
      <c r="B380" s="53"/>
      <c r="C380" s="50" t="str">
        <f t="shared" si="15"/>
        <v/>
      </c>
      <c r="D380" s="50" t="str">
        <f t="shared" si="16"/>
        <v/>
      </c>
      <c r="E380" s="51" t="str">
        <f t="shared" si="17"/>
        <v/>
      </c>
      <c r="F380" s="57"/>
      <c r="G380" s="52"/>
      <c r="H380" s="58"/>
      <c r="I380" s="59"/>
      <c r="J380" s="47"/>
      <c r="K380" s="47"/>
      <c r="L380" s="47"/>
      <c r="M380" s="47"/>
    </row>
    <row r="381" spans="2:13" ht="12.75" customHeight="1" x14ac:dyDescent="0.35">
      <c r="B381" s="53"/>
      <c r="C381" s="50" t="str">
        <f t="shared" si="15"/>
        <v/>
      </c>
      <c r="D381" s="50" t="str">
        <f t="shared" si="16"/>
        <v/>
      </c>
      <c r="E381" s="51" t="str">
        <f t="shared" si="17"/>
        <v/>
      </c>
      <c r="F381" s="57"/>
      <c r="G381" s="52"/>
      <c r="H381" s="58"/>
      <c r="I381" s="59"/>
      <c r="J381" s="47"/>
      <c r="K381" s="47"/>
      <c r="L381" s="47"/>
      <c r="M381" s="47"/>
    </row>
    <row r="382" spans="2:13" ht="12.75" customHeight="1" x14ac:dyDescent="0.35">
      <c r="B382" s="53"/>
      <c r="C382" s="50" t="str">
        <f t="shared" si="15"/>
        <v/>
      </c>
      <c r="D382" s="50" t="str">
        <f t="shared" si="16"/>
        <v/>
      </c>
      <c r="E382" s="51" t="str">
        <f t="shared" si="17"/>
        <v/>
      </c>
      <c r="F382" s="57"/>
      <c r="G382" s="52"/>
      <c r="H382" s="58"/>
      <c r="I382" s="59"/>
      <c r="J382" s="47"/>
      <c r="K382" s="47"/>
      <c r="L382" s="47"/>
      <c r="M382" s="47"/>
    </row>
    <row r="383" spans="2:13" ht="12.75" customHeight="1" x14ac:dyDescent="0.35">
      <c r="B383" s="53"/>
      <c r="C383" s="50" t="str">
        <f t="shared" si="15"/>
        <v/>
      </c>
      <c r="D383" s="50" t="str">
        <f t="shared" si="16"/>
        <v/>
      </c>
      <c r="E383" s="51" t="str">
        <f t="shared" si="17"/>
        <v/>
      </c>
      <c r="F383" s="57"/>
      <c r="G383" s="52"/>
      <c r="H383" s="58"/>
      <c r="I383" s="59"/>
      <c r="J383" s="47"/>
      <c r="K383" s="47"/>
      <c r="L383" s="47"/>
      <c r="M383" s="47"/>
    </row>
    <row r="384" spans="2:13" ht="12.75" customHeight="1" x14ac:dyDescent="0.35">
      <c r="B384" s="53"/>
      <c r="C384" s="50" t="str">
        <f t="shared" si="15"/>
        <v/>
      </c>
      <c r="D384" s="50" t="str">
        <f t="shared" si="16"/>
        <v/>
      </c>
      <c r="E384" s="51" t="str">
        <f t="shared" si="17"/>
        <v/>
      </c>
      <c r="F384" s="57"/>
      <c r="G384" s="52"/>
      <c r="H384" s="58"/>
      <c r="I384" s="59"/>
      <c r="J384" s="47"/>
      <c r="K384" s="47"/>
      <c r="L384" s="47"/>
      <c r="M384" s="47"/>
    </row>
    <row r="385" spans="2:13" ht="12.75" customHeight="1" x14ac:dyDescent="0.35">
      <c r="B385" s="53"/>
      <c r="C385" s="50" t="str">
        <f t="shared" si="15"/>
        <v/>
      </c>
      <c r="D385" s="50" t="str">
        <f t="shared" si="16"/>
        <v/>
      </c>
      <c r="E385" s="51" t="str">
        <f t="shared" si="17"/>
        <v/>
      </c>
      <c r="F385" s="57"/>
      <c r="G385" s="52"/>
      <c r="H385" s="58"/>
      <c r="I385" s="59"/>
      <c r="J385" s="47"/>
      <c r="K385" s="47"/>
      <c r="L385" s="47"/>
      <c r="M385" s="47"/>
    </row>
    <row r="386" spans="2:13" ht="12.75" customHeight="1" x14ac:dyDescent="0.35">
      <c r="B386" s="53"/>
      <c r="C386" s="50" t="str">
        <f t="shared" si="15"/>
        <v/>
      </c>
      <c r="D386" s="50" t="str">
        <f t="shared" si="16"/>
        <v/>
      </c>
      <c r="E386" s="51" t="str">
        <f t="shared" si="17"/>
        <v/>
      </c>
      <c r="F386" s="57"/>
      <c r="G386" s="52"/>
      <c r="H386" s="58"/>
      <c r="I386" s="59"/>
      <c r="J386" s="47"/>
      <c r="K386" s="47"/>
      <c r="L386" s="47"/>
      <c r="M386" s="47"/>
    </row>
    <row r="387" spans="2:13" ht="12.75" customHeight="1" x14ac:dyDescent="0.35">
      <c r="B387" s="53"/>
      <c r="C387" s="50" t="str">
        <f t="shared" si="15"/>
        <v/>
      </c>
      <c r="D387" s="50" t="str">
        <f t="shared" si="16"/>
        <v/>
      </c>
      <c r="E387" s="51" t="str">
        <f t="shared" si="17"/>
        <v/>
      </c>
      <c r="F387" s="57"/>
      <c r="G387" s="52"/>
      <c r="H387" s="58"/>
      <c r="I387" s="59"/>
      <c r="J387" s="47"/>
      <c r="K387" s="47"/>
      <c r="L387" s="47"/>
      <c r="M387" s="47"/>
    </row>
    <row r="388" spans="2:13" ht="12.75" customHeight="1" x14ac:dyDescent="0.35">
      <c r="B388" s="53"/>
      <c r="C388" s="50" t="str">
        <f t="shared" si="15"/>
        <v/>
      </c>
      <c r="D388" s="50" t="str">
        <f t="shared" si="16"/>
        <v/>
      </c>
      <c r="E388" s="51" t="str">
        <f t="shared" si="17"/>
        <v/>
      </c>
      <c r="F388" s="57"/>
      <c r="G388" s="52"/>
      <c r="H388" s="58"/>
      <c r="I388" s="59"/>
      <c r="J388" s="47"/>
      <c r="K388" s="47"/>
      <c r="L388" s="47"/>
      <c r="M388" s="47"/>
    </row>
    <row r="389" spans="2:13" ht="12.75" customHeight="1" x14ac:dyDescent="0.35">
      <c r="B389" s="53"/>
      <c r="C389" s="50" t="str">
        <f t="shared" si="15"/>
        <v/>
      </c>
      <c r="D389" s="50" t="str">
        <f t="shared" si="16"/>
        <v/>
      </c>
      <c r="E389" s="51" t="str">
        <f t="shared" si="17"/>
        <v/>
      </c>
      <c r="F389" s="57"/>
      <c r="G389" s="52"/>
      <c r="H389" s="58"/>
      <c r="I389" s="59"/>
      <c r="J389" s="47"/>
      <c r="K389" s="47"/>
      <c r="L389" s="47"/>
      <c r="M389" s="47"/>
    </row>
    <row r="390" spans="2:13" ht="12.75" customHeight="1" x14ac:dyDescent="0.35">
      <c r="B390" s="53"/>
      <c r="C390" s="50" t="str">
        <f t="shared" ref="C390:C453" si="18">IF(B390=0,"",YEAR(B390))</f>
        <v/>
      </c>
      <c r="D390" s="50" t="str">
        <f t="shared" ref="D390:D449" si="19">IF(B390=0,"",MONTH(B390)&amp;"월")</f>
        <v/>
      </c>
      <c r="E390" s="51" t="str">
        <f t="shared" ref="E390:E449" si="20">IF(B390=0,"",DAY(B390)&amp;"일")</f>
        <v/>
      </c>
      <c r="F390" s="57"/>
      <c r="G390" s="52"/>
      <c r="H390" s="58"/>
      <c r="I390" s="59"/>
      <c r="J390" s="47"/>
      <c r="K390" s="47"/>
      <c r="L390" s="47"/>
      <c r="M390" s="47"/>
    </row>
    <row r="391" spans="2:13" ht="12.75" customHeight="1" x14ac:dyDescent="0.35">
      <c r="B391" s="53"/>
      <c r="C391" s="50" t="str">
        <f t="shared" si="18"/>
        <v/>
      </c>
      <c r="D391" s="50" t="str">
        <f t="shared" si="19"/>
        <v/>
      </c>
      <c r="E391" s="51" t="str">
        <f t="shared" si="20"/>
        <v/>
      </c>
      <c r="F391" s="57"/>
      <c r="G391" s="52"/>
      <c r="H391" s="58"/>
      <c r="I391" s="59"/>
      <c r="J391" s="47"/>
      <c r="K391" s="47"/>
      <c r="L391" s="47"/>
      <c r="M391" s="47"/>
    </row>
    <row r="392" spans="2:13" ht="12.75" customHeight="1" x14ac:dyDescent="0.35">
      <c r="B392" s="53"/>
      <c r="C392" s="50" t="str">
        <f t="shared" si="18"/>
        <v/>
      </c>
      <c r="D392" s="50" t="str">
        <f t="shared" si="19"/>
        <v/>
      </c>
      <c r="E392" s="51" t="str">
        <f t="shared" si="20"/>
        <v/>
      </c>
      <c r="F392" s="57"/>
      <c r="G392" s="52"/>
      <c r="H392" s="58"/>
      <c r="I392" s="59"/>
      <c r="J392" s="47"/>
      <c r="K392" s="47"/>
      <c r="L392" s="47"/>
      <c r="M392" s="47"/>
    </row>
    <row r="393" spans="2:13" ht="12.75" customHeight="1" x14ac:dyDescent="0.35">
      <c r="B393" s="53"/>
      <c r="C393" s="50" t="str">
        <f t="shared" si="18"/>
        <v/>
      </c>
      <c r="D393" s="50" t="str">
        <f t="shared" si="19"/>
        <v/>
      </c>
      <c r="E393" s="51" t="str">
        <f t="shared" si="20"/>
        <v/>
      </c>
      <c r="F393" s="57"/>
      <c r="G393" s="52"/>
      <c r="H393" s="58"/>
      <c r="I393" s="59"/>
      <c r="J393" s="47"/>
      <c r="K393" s="47"/>
      <c r="L393" s="47"/>
      <c r="M393" s="47"/>
    </row>
    <row r="394" spans="2:13" ht="12.75" customHeight="1" x14ac:dyDescent="0.35">
      <c r="B394" s="53"/>
      <c r="C394" s="50" t="str">
        <f t="shared" si="18"/>
        <v/>
      </c>
      <c r="D394" s="50" t="str">
        <f t="shared" si="19"/>
        <v/>
      </c>
      <c r="E394" s="51" t="str">
        <f t="shared" si="20"/>
        <v/>
      </c>
      <c r="F394" s="57"/>
      <c r="G394" s="52"/>
      <c r="H394" s="58"/>
      <c r="I394" s="59"/>
      <c r="J394" s="47"/>
      <c r="K394" s="47"/>
      <c r="L394" s="47"/>
      <c r="M394" s="47"/>
    </row>
    <row r="395" spans="2:13" ht="12.75" customHeight="1" x14ac:dyDescent="0.35">
      <c r="B395" s="53"/>
      <c r="C395" s="50" t="str">
        <f t="shared" si="18"/>
        <v/>
      </c>
      <c r="D395" s="50" t="str">
        <f t="shared" si="19"/>
        <v/>
      </c>
      <c r="E395" s="51" t="str">
        <f t="shared" si="20"/>
        <v/>
      </c>
      <c r="F395" s="57"/>
      <c r="G395" s="52"/>
      <c r="H395" s="58"/>
      <c r="I395" s="59"/>
      <c r="J395" s="47"/>
      <c r="K395" s="47"/>
      <c r="L395" s="47"/>
      <c r="M395" s="47"/>
    </row>
    <row r="396" spans="2:13" ht="12.75" customHeight="1" x14ac:dyDescent="0.35">
      <c r="B396" s="53"/>
      <c r="C396" s="50" t="str">
        <f t="shared" si="18"/>
        <v/>
      </c>
      <c r="D396" s="50" t="str">
        <f t="shared" si="19"/>
        <v/>
      </c>
      <c r="E396" s="51" t="str">
        <f t="shared" si="20"/>
        <v/>
      </c>
      <c r="F396" s="57"/>
      <c r="G396" s="52"/>
      <c r="H396" s="58"/>
      <c r="I396" s="59"/>
      <c r="J396" s="47"/>
      <c r="K396" s="47"/>
      <c r="L396" s="47"/>
      <c r="M396" s="47"/>
    </row>
    <row r="397" spans="2:13" ht="12.75" customHeight="1" x14ac:dyDescent="0.35">
      <c r="B397" s="53"/>
      <c r="C397" s="50" t="str">
        <f t="shared" si="18"/>
        <v/>
      </c>
      <c r="D397" s="50" t="str">
        <f t="shared" si="19"/>
        <v/>
      </c>
      <c r="E397" s="51" t="str">
        <f t="shared" si="20"/>
        <v/>
      </c>
      <c r="F397" s="57"/>
      <c r="G397" s="52"/>
      <c r="H397" s="58"/>
      <c r="I397" s="59"/>
      <c r="J397" s="47"/>
      <c r="K397" s="47"/>
      <c r="L397" s="47"/>
      <c r="M397" s="47"/>
    </row>
    <row r="398" spans="2:13" ht="12.75" customHeight="1" x14ac:dyDescent="0.35">
      <c r="B398" s="53"/>
      <c r="C398" s="50" t="str">
        <f t="shared" si="18"/>
        <v/>
      </c>
      <c r="D398" s="50" t="str">
        <f t="shared" si="19"/>
        <v/>
      </c>
      <c r="E398" s="51" t="str">
        <f t="shared" si="20"/>
        <v/>
      </c>
      <c r="F398" s="57"/>
      <c r="G398" s="52"/>
      <c r="H398" s="58"/>
      <c r="I398" s="59"/>
      <c r="J398" s="47"/>
      <c r="K398" s="47"/>
      <c r="L398" s="47"/>
      <c r="M398" s="47"/>
    </row>
    <row r="399" spans="2:13" ht="12.75" customHeight="1" x14ac:dyDescent="0.35">
      <c r="B399" s="53"/>
      <c r="C399" s="50" t="str">
        <f t="shared" si="18"/>
        <v/>
      </c>
      <c r="D399" s="50" t="str">
        <f t="shared" si="19"/>
        <v/>
      </c>
      <c r="E399" s="51" t="str">
        <f t="shared" si="20"/>
        <v/>
      </c>
      <c r="F399" s="57"/>
      <c r="G399" s="52"/>
      <c r="H399" s="58"/>
      <c r="I399" s="59"/>
      <c r="J399" s="47"/>
      <c r="K399" s="47"/>
      <c r="L399" s="47"/>
      <c r="M399" s="47"/>
    </row>
    <row r="400" spans="2:13" ht="12.75" customHeight="1" x14ac:dyDescent="0.35">
      <c r="B400" s="53"/>
      <c r="C400" s="50" t="str">
        <f t="shared" si="18"/>
        <v/>
      </c>
      <c r="D400" s="50" t="str">
        <f t="shared" si="19"/>
        <v/>
      </c>
      <c r="E400" s="51" t="str">
        <f t="shared" si="20"/>
        <v/>
      </c>
      <c r="F400" s="57"/>
      <c r="G400" s="52"/>
      <c r="H400" s="58"/>
      <c r="I400" s="59"/>
      <c r="J400" s="47"/>
      <c r="K400" s="47"/>
      <c r="L400" s="47"/>
      <c r="M400" s="47"/>
    </row>
    <row r="401" spans="2:13" ht="12.75" customHeight="1" x14ac:dyDescent="0.35">
      <c r="B401" s="53"/>
      <c r="C401" s="50" t="str">
        <f t="shared" si="18"/>
        <v/>
      </c>
      <c r="D401" s="50" t="str">
        <f t="shared" si="19"/>
        <v/>
      </c>
      <c r="E401" s="51" t="str">
        <f t="shared" si="20"/>
        <v/>
      </c>
      <c r="F401" s="57"/>
      <c r="G401" s="52"/>
      <c r="H401" s="58"/>
      <c r="I401" s="59"/>
      <c r="J401" s="47"/>
      <c r="K401" s="47"/>
      <c r="L401" s="47"/>
      <c r="M401" s="47"/>
    </row>
    <row r="402" spans="2:13" ht="12.75" customHeight="1" x14ac:dyDescent="0.35">
      <c r="B402" s="53"/>
      <c r="C402" s="50" t="str">
        <f t="shared" si="18"/>
        <v/>
      </c>
      <c r="D402" s="50" t="str">
        <f t="shared" si="19"/>
        <v/>
      </c>
      <c r="E402" s="51" t="str">
        <f t="shared" si="20"/>
        <v/>
      </c>
      <c r="F402" s="57"/>
      <c r="G402" s="52"/>
      <c r="H402" s="58"/>
      <c r="I402" s="59"/>
      <c r="J402" s="47"/>
      <c r="K402" s="47"/>
      <c r="L402" s="47"/>
      <c r="M402" s="47"/>
    </row>
    <row r="403" spans="2:13" ht="12.75" customHeight="1" x14ac:dyDescent="0.35">
      <c r="B403" s="53"/>
      <c r="C403" s="50" t="str">
        <f t="shared" si="18"/>
        <v/>
      </c>
      <c r="D403" s="50" t="str">
        <f t="shared" si="19"/>
        <v/>
      </c>
      <c r="E403" s="51" t="str">
        <f t="shared" si="20"/>
        <v/>
      </c>
      <c r="F403" s="57"/>
      <c r="G403" s="52"/>
      <c r="H403" s="58"/>
      <c r="I403" s="59"/>
      <c r="J403" s="47"/>
      <c r="K403" s="47"/>
      <c r="L403" s="47"/>
      <c r="M403" s="47"/>
    </row>
    <row r="404" spans="2:13" ht="12.75" customHeight="1" x14ac:dyDescent="0.35">
      <c r="B404" s="53"/>
      <c r="C404" s="50" t="str">
        <f t="shared" si="18"/>
        <v/>
      </c>
      <c r="D404" s="50" t="str">
        <f t="shared" si="19"/>
        <v/>
      </c>
      <c r="E404" s="51" t="str">
        <f t="shared" si="20"/>
        <v/>
      </c>
      <c r="F404" s="57"/>
      <c r="G404" s="52"/>
      <c r="H404" s="58"/>
      <c r="I404" s="59"/>
      <c r="J404" s="47"/>
      <c r="K404" s="47"/>
      <c r="L404" s="47"/>
      <c r="M404" s="47"/>
    </row>
    <row r="405" spans="2:13" ht="12.75" customHeight="1" x14ac:dyDescent="0.35">
      <c r="B405" s="53"/>
      <c r="C405" s="50" t="str">
        <f t="shared" si="18"/>
        <v/>
      </c>
      <c r="D405" s="50" t="str">
        <f t="shared" si="19"/>
        <v/>
      </c>
      <c r="E405" s="51" t="str">
        <f t="shared" si="20"/>
        <v/>
      </c>
      <c r="F405" s="57"/>
      <c r="G405" s="52"/>
      <c r="H405" s="58"/>
      <c r="I405" s="59"/>
      <c r="J405" s="47"/>
      <c r="K405" s="47"/>
      <c r="L405" s="47"/>
      <c r="M405" s="47"/>
    </row>
    <row r="406" spans="2:13" ht="12.75" customHeight="1" x14ac:dyDescent="0.35">
      <c r="B406" s="53"/>
      <c r="C406" s="50" t="str">
        <f t="shared" si="18"/>
        <v/>
      </c>
      <c r="D406" s="50" t="str">
        <f t="shared" si="19"/>
        <v/>
      </c>
      <c r="E406" s="51" t="str">
        <f t="shared" si="20"/>
        <v/>
      </c>
      <c r="F406" s="57"/>
      <c r="G406" s="52"/>
      <c r="H406" s="58"/>
      <c r="I406" s="59"/>
      <c r="J406" s="47"/>
      <c r="K406" s="47"/>
      <c r="L406" s="47"/>
      <c r="M406" s="47"/>
    </row>
    <row r="407" spans="2:13" ht="12.75" customHeight="1" x14ac:dyDescent="0.35">
      <c r="B407" s="53"/>
      <c r="C407" s="50" t="str">
        <f t="shared" si="18"/>
        <v/>
      </c>
      <c r="D407" s="50" t="str">
        <f t="shared" si="19"/>
        <v/>
      </c>
      <c r="E407" s="51" t="str">
        <f t="shared" si="20"/>
        <v/>
      </c>
      <c r="F407" s="57"/>
      <c r="G407" s="52"/>
      <c r="H407" s="58"/>
      <c r="I407" s="59"/>
      <c r="J407" s="47"/>
      <c r="K407" s="47"/>
      <c r="L407" s="47"/>
      <c r="M407" s="47"/>
    </row>
    <row r="408" spans="2:13" ht="12.75" customHeight="1" x14ac:dyDescent="0.35">
      <c r="B408" s="53"/>
      <c r="C408" s="50" t="str">
        <f t="shared" si="18"/>
        <v/>
      </c>
      <c r="D408" s="50" t="str">
        <f t="shared" si="19"/>
        <v/>
      </c>
      <c r="E408" s="51" t="str">
        <f t="shared" si="20"/>
        <v/>
      </c>
      <c r="F408" s="57"/>
      <c r="G408" s="52"/>
      <c r="H408" s="58"/>
      <c r="I408" s="59"/>
      <c r="J408" s="47"/>
      <c r="K408" s="47"/>
      <c r="L408" s="47"/>
      <c r="M408" s="47"/>
    </row>
    <row r="409" spans="2:13" ht="12.75" customHeight="1" x14ac:dyDescent="0.35">
      <c r="B409" s="53"/>
      <c r="C409" s="50" t="str">
        <f t="shared" si="18"/>
        <v/>
      </c>
      <c r="D409" s="50" t="str">
        <f t="shared" si="19"/>
        <v/>
      </c>
      <c r="E409" s="51" t="str">
        <f t="shared" si="20"/>
        <v/>
      </c>
      <c r="F409" s="57"/>
      <c r="G409" s="52"/>
      <c r="H409" s="58"/>
      <c r="I409" s="59"/>
      <c r="J409" s="47"/>
      <c r="K409" s="47"/>
      <c r="L409" s="47"/>
      <c r="M409" s="47"/>
    </row>
    <row r="410" spans="2:13" ht="12.75" customHeight="1" x14ac:dyDescent="0.35">
      <c r="B410" s="53"/>
      <c r="C410" s="50" t="str">
        <f t="shared" si="18"/>
        <v/>
      </c>
      <c r="D410" s="50" t="str">
        <f t="shared" si="19"/>
        <v/>
      </c>
      <c r="E410" s="51" t="str">
        <f t="shared" si="20"/>
        <v/>
      </c>
      <c r="F410" s="57"/>
      <c r="G410" s="52"/>
      <c r="H410" s="58"/>
      <c r="I410" s="59"/>
      <c r="J410" s="47"/>
      <c r="K410" s="47"/>
      <c r="L410" s="47"/>
      <c r="M410" s="47"/>
    </row>
    <row r="411" spans="2:13" ht="12.75" customHeight="1" x14ac:dyDescent="0.35">
      <c r="B411" s="53"/>
      <c r="C411" s="50" t="str">
        <f t="shared" si="18"/>
        <v/>
      </c>
      <c r="D411" s="50" t="str">
        <f t="shared" si="19"/>
        <v/>
      </c>
      <c r="E411" s="51" t="str">
        <f t="shared" si="20"/>
        <v/>
      </c>
      <c r="F411" s="57"/>
      <c r="G411" s="52"/>
      <c r="H411" s="58"/>
      <c r="I411" s="59"/>
      <c r="J411" s="47"/>
      <c r="K411" s="47"/>
      <c r="L411" s="47"/>
      <c r="M411" s="47"/>
    </row>
    <row r="412" spans="2:13" ht="12.75" customHeight="1" x14ac:dyDescent="0.35">
      <c r="B412" s="53"/>
      <c r="C412" s="50" t="str">
        <f t="shared" si="18"/>
        <v/>
      </c>
      <c r="D412" s="50" t="str">
        <f t="shared" si="19"/>
        <v/>
      </c>
      <c r="E412" s="51" t="str">
        <f t="shared" si="20"/>
        <v/>
      </c>
      <c r="F412" s="57"/>
      <c r="G412" s="52"/>
      <c r="H412" s="58"/>
      <c r="I412" s="59"/>
      <c r="J412" s="47"/>
      <c r="K412" s="47"/>
      <c r="L412" s="47"/>
      <c r="M412" s="47"/>
    </row>
    <row r="413" spans="2:13" ht="12.75" customHeight="1" x14ac:dyDescent="0.35">
      <c r="B413" s="53"/>
      <c r="C413" s="50" t="str">
        <f t="shared" si="18"/>
        <v/>
      </c>
      <c r="D413" s="50" t="str">
        <f t="shared" si="19"/>
        <v/>
      </c>
      <c r="E413" s="51" t="str">
        <f t="shared" si="20"/>
        <v/>
      </c>
      <c r="F413" s="57"/>
      <c r="G413" s="52"/>
      <c r="H413" s="58"/>
      <c r="I413" s="59"/>
      <c r="J413" s="47"/>
      <c r="K413" s="47"/>
      <c r="L413" s="47"/>
      <c r="M413" s="47"/>
    </row>
    <row r="414" spans="2:13" ht="12.75" customHeight="1" x14ac:dyDescent="0.35">
      <c r="B414" s="53"/>
      <c r="C414" s="50" t="str">
        <f t="shared" si="18"/>
        <v/>
      </c>
      <c r="D414" s="50" t="str">
        <f t="shared" si="19"/>
        <v/>
      </c>
      <c r="E414" s="51" t="str">
        <f t="shared" si="20"/>
        <v/>
      </c>
      <c r="F414" s="57"/>
      <c r="G414" s="52"/>
      <c r="H414" s="58"/>
      <c r="I414" s="59"/>
      <c r="J414" s="47"/>
      <c r="K414" s="47"/>
      <c r="L414" s="47"/>
      <c r="M414" s="47"/>
    </row>
    <row r="415" spans="2:13" ht="12.75" customHeight="1" x14ac:dyDescent="0.35">
      <c r="B415" s="53"/>
      <c r="C415" s="50" t="str">
        <f t="shared" si="18"/>
        <v/>
      </c>
      <c r="D415" s="50" t="str">
        <f t="shared" si="19"/>
        <v/>
      </c>
      <c r="E415" s="51" t="str">
        <f t="shared" si="20"/>
        <v/>
      </c>
      <c r="F415" s="57"/>
      <c r="G415" s="52"/>
      <c r="H415" s="58"/>
      <c r="I415" s="59"/>
      <c r="J415" s="47"/>
      <c r="K415" s="47"/>
      <c r="L415" s="47"/>
      <c r="M415" s="47"/>
    </row>
    <row r="416" spans="2:13" ht="12.75" customHeight="1" x14ac:dyDescent="0.35">
      <c r="B416" s="53"/>
      <c r="C416" s="50" t="str">
        <f t="shared" si="18"/>
        <v/>
      </c>
      <c r="D416" s="50" t="str">
        <f t="shared" si="19"/>
        <v/>
      </c>
      <c r="E416" s="51" t="str">
        <f t="shared" si="20"/>
        <v/>
      </c>
      <c r="F416" s="57"/>
      <c r="G416" s="52"/>
      <c r="H416" s="58"/>
      <c r="I416" s="59"/>
      <c r="J416" s="47"/>
      <c r="K416" s="47"/>
      <c r="L416" s="47"/>
      <c r="M416" s="47"/>
    </row>
    <row r="417" spans="2:13" ht="12.75" customHeight="1" x14ac:dyDescent="0.35">
      <c r="B417" s="53"/>
      <c r="C417" s="50" t="str">
        <f t="shared" si="18"/>
        <v/>
      </c>
      <c r="D417" s="50" t="str">
        <f t="shared" si="19"/>
        <v/>
      </c>
      <c r="E417" s="51" t="str">
        <f t="shared" si="20"/>
        <v/>
      </c>
      <c r="F417" s="57"/>
      <c r="G417" s="52"/>
      <c r="H417" s="58"/>
      <c r="I417" s="59"/>
      <c r="J417" s="47"/>
      <c r="K417" s="47"/>
      <c r="L417" s="47"/>
      <c r="M417" s="47"/>
    </row>
    <row r="418" spans="2:13" ht="12.75" customHeight="1" x14ac:dyDescent="0.35">
      <c r="B418" s="53"/>
      <c r="C418" s="50" t="str">
        <f t="shared" si="18"/>
        <v/>
      </c>
      <c r="D418" s="50" t="str">
        <f t="shared" si="19"/>
        <v/>
      </c>
      <c r="E418" s="51" t="str">
        <f t="shared" si="20"/>
        <v/>
      </c>
      <c r="F418" s="57"/>
      <c r="G418" s="52"/>
      <c r="H418" s="58"/>
      <c r="I418" s="59"/>
      <c r="J418" s="47"/>
      <c r="K418" s="47"/>
      <c r="L418" s="47"/>
      <c r="M418" s="47"/>
    </row>
    <row r="419" spans="2:13" ht="12.75" customHeight="1" x14ac:dyDescent="0.35">
      <c r="B419" s="53"/>
      <c r="C419" s="50" t="str">
        <f t="shared" si="18"/>
        <v/>
      </c>
      <c r="D419" s="50" t="str">
        <f t="shared" si="19"/>
        <v/>
      </c>
      <c r="E419" s="51" t="str">
        <f t="shared" si="20"/>
        <v/>
      </c>
      <c r="F419" s="57"/>
      <c r="G419" s="52"/>
      <c r="H419" s="58"/>
      <c r="I419" s="59"/>
      <c r="J419" s="47"/>
      <c r="K419" s="47"/>
      <c r="L419" s="47"/>
      <c r="M419" s="47"/>
    </row>
    <row r="420" spans="2:13" ht="12.75" customHeight="1" x14ac:dyDescent="0.35">
      <c r="B420" s="53"/>
      <c r="C420" s="50" t="str">
        <f t="shared" si="18"/>
        <v/>
      </c>
      <c r="D420" s="50" t="str">
        <f t="shared" si="19"/>
        <v/>
      </c>
      <c r="E420" s="51" t="str">
        <f t="shared" si="20"/>
        <v/>
      </c>
      <c r="F420" s="57"/>
      <c r="G420" s="52"/>
      <c r="H420" s="58"/>
      <c r="I420" s="59"/>
      <c r="J420" s="47"/>
      <c r="K420" s="47"/>
      <c r="L420" s="47"/>
      <c r="M420" s="47"/>
    </row>
    <row r="421" spans="2:13" ht="12.75" customHeight="1" x14ac:dyDescent="0.35">
      <c r="B421" s="53"/>
      <c r="C421" s="50" t="str">
        <f t="shared" si="18"/>
        <v/>
      </c>
      <c r="D421" s="50" t="str">
        <f t="shared" si="19"/>
        <v/>
      </c>
      <c r="E421" s="51" t="str">
        <f t="shared" si="20"/>
        <v/>
      </c>
      <c r="F421" s="57"/>
      <c r="G421" s="52"/>
      <c r="H421" s="58"/>
      <c r="I421" s="59"/>
      <c r="J421" s="47"/>
      <c r="K421" s="47"/>
      <c r="L421" s="47"/>
      <c r="M421" s="47"/>
    </row>
    <row r="422" spans="2:13" ht="12.75" customHeight="1" x14ac:dyDescent="0.35">
      <c r="B422" s="53"/>
      <c r="C422" s="50" t="str">
        <f t="shared" si="18"/>
        <v/>
      </c>
      <c r="D422" s="50" t="str">
        <f t="shared" si="19"/>
        <v/>
      </c>
      <c r="E422" s="51" t="str">
        <f t="shared" si="20"/>
        <v/>
      </c>
      <c r="F422" s="57"/>
      <c r="G422" s="52"/>
      <c r="H422" s="58"/>
      <c r="I422" s="59"/>
      <c r="J422" s="47"/>
      <c r="K422" s="47"/>
      <c r="L422" s="47"/>
      <c r="M422" s="47"/>
    </row>
    <row r="423" spans="2:13" ht="12.75" customHeight="1" x14ac:dyDescent="0.35">
      <c r="B423" s="53"/>
      <c r="C423" s="50" t="str">
        <f t="shared" si="18"/>
        <v/>
      </c>
      <c r="D423" s="50" t="str">
        <f t="shared" si="19"/>
        <v/>
      </c>
      <c r="E423" s="51" t="str">
        <f t="shared" si="20"/>
        <v/>
      </c>
      <c r="F423" s="57"/>
      <c r="G423" s="52"/>
      <c r="H423" s="58"/>
      <c r="I423" s="59"/>
      <c r="J423" s="47"/>
      <c r="K423" s="47"/>
      <c r="L423" s="47"/>
      <c r="M423" s="47"/>
    </row>
    <row r="424" spans="2:13" ht="12.75" customHeight="1" x14ac:dyDescent="0.35">
      <c r="B424" s="53"/>
      <c r="C424" s="50" t="str">
        <f t="shared" si="18"/>
        <v/>
      </c>
      <c r="D424" s="50" t="str">
        <f t="shared" si="19"/>
        <v/>
      </c>
      <c r="E424" s="51" t="str">
        <f t="shared" si="20"/>
        <v/>
      </c>
      <c r="F424" s="57"/>
      <c r="G424" s="52"/>
      <c r="H424" s="58"/>
      <c r="I424" s="59"/>
      <c r="J424" s="47"/>
      <c r="K424" s="47"/>
      <c r="L424" s="47"/>
      <c r="M424" s="47"/>
    </row>
    <row r="425" spans="2:13" ht="12.75" customHeight="1" x14ac:dyDescent="0.35">
      <c r="B425" s="53"/>
      <c r="C425" s="50" t="str">
        <f t="shared" si="18"/>
        <v/>
      </c>
      <c r="D425" s="50" t="str">
        <f t="shared" si="19"/>
        <v/>
      </c>
      <c r="E425" s="51" t="str">
        <f t="shared" si="20"/>
        <v/>
      </c>
      <c r="F425" s="57"/>
      <c r="G425" s="52"/>
      <c r="H425" s="58"/>
      <c r="I425" s="59"/>
      <c r="J425" s="47"/>
      <c r="K425" s="47"/>
      <c r="L425" s="47"/>
      <c r="M425" s="47"/>
    </row>
    <row r="426" spans="2:13" ht="12.75" customHeight="1" x14ac:dyDescent="0.35">
      <c r="B426" s="53"/>
      <c r="C426" s="50" t="str">
        <f t="shared" si="18"/>
        <v/>
      </c>
      <c r="D426" s="50" t="str">
        <f t="shared" si="19"/>
        <v/>
      </c>
      <c r="E426" s="51" t="str">
        <f t="shared" si="20"/>
        <v/>
      </c>
      <c r="F426" s="57"/>
      <c r="G426" s="52"/>
      <c r="H426" s="58"/>
      <c r="I426" s="59"/>
      <c r="J426" s="47"/>
      <c r="K426" s="47"/>
      <c r="L426" s="47"/>
      <c r="M426" s="47"/>
    </row>
    <row r="427" spans="2:13" ht="12.75" customHeight="1" x14ac:dyDescent="0.35">
      <c r="B427" s="53"/>
      <c r="C427" s="50" t="str">
        <f t="shared" si="18"/>
        <v/>
      </c>
      <c r="D427" s="50" t="str">
        <f t="shared" si="19"/>
        <v/>
      </c>
      <c r="E427" s="51" t="str">
        <f t="shared" si="20"/>
        <v/>
      </c>
      <c r="F427" s="57"/>
      <c r="G427" s="52"/>
      <c r="H427" s="58"/>
      <c r="I427" s="59"/>
      <c r="J427" s="47"/>
      <c r="K427" s="47"/>
      <c r="L427" s="47"/>
      <c r="M427" s="47"/>
    </row>
    <row r="428" spans="2:13" ht="12.75" customHeight="1" x14ac:dyDescent="0.35">
      <c r="B428" s="53"/>
      <c r="C428" s="50" t="str">
        <f t="shared" si="18"/>
        <v/>
      </c>
      <c r="D428" s="50" t="str">
        <f t="shared" si="19"/>
        <v/>
      </c>
      <c r="E428" s="51" t="str">
        <f t="shared" si="20"/>
        <v/>
      </c>
      <c r="F428" s="57"/>
      <c r="G428" s="52"/>
      <c r="H428" s="58"/>
      <c r="I428" s="59"/>
      <c r="J428" s="47"/>
      <c r="K428" s="47"/>
      <c r="L428" s="47"/>
      <c r="M428" s="47"/>
    </row>
    <row r="429" spans="2:13" ht="12.75" customHeight="1" x14ac:dyDescent="0.35">
      <c r="B429" s="53"/>
      <c r="C429" s="50" t="str">
        <f t="shared" si="18"/>
        <v/>
      </c>
      <c r="D429" s="50" t="str">
        <f t="shared" si="19"/>
        <v/>
      </c>
      <c r="E429" s="51" t="str">
        <f t="shared" si="20"/>
        <v/>
      </c>
      <c r="F429" s="57"/>
      <c r="G429" s="52"/>
      <c r="H429" s="58"/>
      <c r="I429" s="59"/>
      <c r="J429" s="47"/>
      <c r="K429" s="47"/>
      <c r="L429" s="47"/>
      <c r="M429" s="47"/>
    </row>
    <row r="430" spans="2:13" ht="12.75" customHeight="1" x14ac:dyDescent="0.35">
      <c r="B430" s="53"/>
      <c r="C430" s="50" t="str">
        <f t="shared" si="18"/>
        <v/>
      </c>
      <c r="D430" s="50" t="str">
        <f t="shared" si="19"/>
        <v/>
      </c>
      <c r="E430" s="51" t="str">
        <f t="shared" si="20"/>
        <v/>
      </c>
      <c r="F430" s="57"/>
      <c r="G430" s="52"/>
      <c r="H430" s="58"/>
      <c r="I430" s="59"/>
      <c r="J430" s="47"/>
      <c r="K430" s="47"/>
      <c r="L430" s="47"/>
      <c r="M430" s="47"/>
    </row>
    <row r="431" spans="2:13" ht="12.75" customHeight="1" x14ac:dyDescent="0.35">
      <c r="B431" s="53"/>
      <c r="C431" s="50" t="str">
        <f t="shared" si="18"/>
        <v/>
      </c>
      <c r="D431" s="50" t="str">
        <f t="shared" si="19"/>
        <v/>
      </c>
      <c r="E431" s="51" t="str">
        <f t="shared" si="20"/>
        <v/>
      </c>
      <c r="F431" s="57"/>
      <c r="G431" s="52"/>
      <c r="H431" s="58"/>
      <c r="I431" s="59"/>
      <c r="J431" s="47"/>
      <c r="K431" s="47"/>
      <c r="L431" s="47"/>
      <c r="M431" s="47"/>
    </row>
    <row r="432" spans="2:13" ht="12.75" customHeight="1" x14ac:dyDescent="0.35">
      <c r="B432" s="53"/>
      <c r="C432" s="50" t="str">
        <f t="shared" si="18"/>
        <v/>
      </c>
      <c r="D432" s="50" t="str">
        <f t="shared" si="19"/>
        <v/>
      </c>
      <c r="E432" s="51" t="str">
        <f t="shared" si="20"/>
        <v/>
      </c>
      <c r="F432" s="57"/>
      <c r="G432" s="52"/>
      <c r="H432" s="58"/>
      <c r="I432" s="59"/>
      <c r="J432" s="47"/>
      <c r="K432" s="47"/>
      <c r="L432" s="47"/>
      <c r="M432" s="47"/>
    </row>
    <row r="433" spans="2:13" ht="12.75" customHeight="1" x14ac:dyDescent="0.35">
      <c r="B433" s="53"/>
      <c r="C433" s="50" t="str">
        <f t="shared" si="18"/>
        <v/>
      </c>
      <c r="D433" s="50" t="str">
        <f t="shared" si="19"/>
        <v/>
      </c>
      <c r="E433" s="51" t="str">
        <f t="shared" si="20"/>
        <v/>
      </c>
      <c r="F433" s="57"/>
      <c r="G433" s="52"/>
      <c r="H433" s="58"/>
      <c r="I433" s="59"/>
      <c r="J433" s="47"/>
      <c r="K433" s="47"/>
      <c r="L433" s="47"/>
      <c r="M433" s="47"/>
    </row>
    <row r="434" spans="2:13" ht="12.75" customHeight="1" x14ac:dyDescent="0.35">
      <c r="B434" s="53"/>
      <c r="C434" s="50" t="str">
        <f t="shared" si="18"/>
        <v/>
      </c>
      <c r="D434" s="50" t="str">
        <f t="shared" si="19"/>
        <v/>
      </c>
      <c r="E434" s="51" t="str">
        <f t="shared" si="20"/>
        <v/>
      </c>
      <c r="F434" s="57"/>
      <c r="G434" s="52"/>
      <c r="H434" s="58"/>
      <c r="I434" s="59"/>
      <c r="J434" s="47"/>
      <c r="K434" s="47"/>
      <c r="L434" s="47"/>
      <c r="M434" s="47"/>
    </row>
    <row r="435" spans="2:13" ht="12.75" customHeight="1" x14ac:dyDescent="0.35">
      <c r="B435" s="53"/>
      <c r="C435" s="50" t="str">
        <f t="shared" si="18"/>
        <v/>
      </c>
      <c r="D435" s="50" t="str">
        <f t="shared" si="19"/>
        <v/>
      </c>
      <c r="E435" s="51" t="str">
        <f t="shared" si="20"/>
        <v/>
      </c>
      <c r="F435" s="57"/>
      <c r="G435" s="52"/>
      <c r="H435" s="58"/>
      <c r="I435" s="59"/>
      <c r="J435" s="47"/>
      <c r="K435" s="47"/>
      <c r="L435" s="47"/>
      <c r="M435" s="47"/>
    </row>
    <row r="436" spans="2:13" ht="12.75" customHeight="1" x14ac:dyDescent="0.35">
      <c r="B436" s="53"/>
      <c r="C436" s="50" t="str">
        <f t="shared" si="18"/>
        <v/>
      </c>
      <c r="D436" s="50" t="str">
        <f t="shared" si="19"/>
        <v/>
      </c>
      <c r="E436" s="51" t="str">
        <f t="shared" si="20"/>
        <v/>
      </c>
      <c r="F436" s="57"/>
      <c r="G436" s="52"/>
      <c r="H436" s="58"/>
      <c r="I436" s="59"/>
      <c r="J436" s="47"/>
      <c r="K436" s="47"/>
      <c r="L436" s="47"/>
      <c r="M436" s="47"/>
    </row>
    <row r="437" spans="2:13" ht="12.75" customHeight="1" x14ac:dyDescent="0.35">
      <c r="B437" s="53"/>
      <c r="C437" s="50" t="str">
        <f t="shared" si="18"/>
        <v/>
      </c>
      <c r="D437" s="50" t="str">
        <f t="shared" si="19"/>
        <v/>
      </c>
      <c r="E437" s="51" t="str">
        <f t="shared" si="20"/>
        <v/>
      </c>
      <c r="F437" s="57"/>
      <c r="G437" s="52"/>
      <c r="H437" s="58"/>
      <c r="I437" s="59"/>
      <c r="J437" s="47"/>
      <c r="K437" s="47"/>
      <c r="L437" s="47"/>
      <c r="M437" s="47"/>
    </row>
    <row r="438" spans="2:13" ht="12.75" customHeight="1" x14ac:dyDescent="0.35">
      <c r="B438" s="53"/>
      <c r="C438" s="50" t="str">
        <f t="shared" si="18"/>
        <v/>
      </c>
      <c r="D438" s="50" t="str">
        <f t="shared" si="19"/>
        <v/>
      </c>
      <c r="E438" s="51" t="str">
        <f t="shared" si="20"/>
        <v/>
      </c>
      <c r="F438" s="57"/>
      <c r="G438" s="52"/>
      <c r="H438" s="58"/>
      <c r="I438" s="59"/>
      <c r="J438" s="47"/>
      <c r="K438" s="47"/>
      <c r="L438" s="47"/>
      <c r="M438" s="47"/>
    </row>
    <row r="439" spans="2:13" ht="12.75" customHeight="1" x14ac:dyDescent="0.35">
      <c r="B439" s="53"/>
      <c r="C439" s="50" t="str">
        <f t="shared" si="18"/>
        <v/>
      </c>
      <c r="D439" s="50" t="str">
        <f t="shared" si="19"/>
        <v/>
      </c>
      <c r="E439" s="51" t="str">
        <f t="shared" si="20"/>
        <v/>
      </c>
      <c r="F439" s="57"/>
      <c r="G439" s="52"/>
      <c r="H439" s="58"/>
      <c r="I439" s="59"/>
      <c r="J439" s="47"/>
      <c r="K439" s="47"/>
      <c r="L439" s="47"/>
      <c r="M439" s="47"/>
    </row>
    <row r="440" spans="2:13" ht="12.75" customHeight="1" x14ac:dyDescent="0.35">
      <c r="B440" s="53"/>
      <c r="C440" s="50" t="str">
        <f t="shared" si="18"/>
        <v/>
      </c>
      <c r="D440" s="50" t="str">
        <f t="shared" si="19"/>
        <v/>
      </c>
      <c r="E440" s="51" t="str">
        <f t="shared" si="20"/>
        <v/>
      </c>
      <c r="F440" s="57"/>
      <c r="G440" s="52"/>
      <c r="H440" s="58"/>
      <c r="I440" s="59"/>
      <c r="J440" s="47"/>
      <c r="K440" s="47"/>
      <c r="L440" s="47"/>
      <c r="M440" s="47"/>
    </row>
    <row r="441" spans="2:13" ht="12.75" customHeight="1" x14ac:dyDescent="0.35">
      <c r="B441" s="53"/>
      <c r="C441" s="50" t="str">
        <f t="shared" si="18"/>
        <v/>
      </c>
      <c r="D441" s="50" t="str">
        <f t="shared" si="19"/>
        <v/>
      </c>
      <c r="E441" s="51" t="str">
        <f t="shared" si="20"/>
        <v/>
      </c>
      <c r="F441" s="57"/>
      <c r="G441" s="52"/>
      <c r="H441" s="58"/>
      <c r="I441" s="59"/>
      <c r="J441" s="47"/>
      <c r="K441" s="47"/>
      <c r="L441" s="47"/>
      <c r="M441" s="47"/>
    </row>
    <row r="442" spans="2:13" ht="12.75" customHeight="1" x14ac:dyDescent="0.35">
      <c r="B442" s="53"/>
      <c r="C442" s="50" t="str">
        <f t="shared" si="18"/>
        <v/>
      </c>
      <c r="D442" s="50" t="str">
        <f t="shared" si="19"/>
        <v/>
      </c>
      <c r="E442" s="51" t="str">
        <f t="shared" si="20"/>
        <v/>
      </c>
      <c r="F442" s="57"/>
      <c r="G442" s="52"/>
      <c r="H442" s="58"/>
      <c r="I442" s="59"/>
      <c r="J442" s="47"/>
      <c r="K442" s="47"/>
      <c r="L442" s="47"/>
      <c r="M442" s="47"/>
    </row>
    <row r="443" spans="2:13" ht="12.75" customHeight="1" x14ac:dyDescent="0.35">
      <c r="B443" s="53"/>
      <c r="C443" s="50" t="str">
        <f t="shared" si="18"/>
        <v/>
      </c>
      <c r="D443" s="50" t="str">
        <f t="shared" si="19"/>
        <v/>
      </c>
      <c r="E443" s="51" t="str">
        <f t="shared" si="20"/>
        <v/>
      </c>
      <c r="F443" s="57"/>
      <c r="G443" s="52"/>
      <c r="H443" s="58"/>
      <c r="I443" s="59"/>
      <c r="J443" s="47"/>
      <c r="K443" s="47"/>
      <c r="L443" s="47"/>
      <c r="M443" s="47"/>
    </row>
    <row r="444" spans="2:13" ht="12.75" customHeight="1" x14ac:dyDescent="0.35">
      <c r="B444" s="53"/>
      <c r="C444" s="50" t="str">
        <f t="shared" si="18"/>
        <v/>
      </c>
      <c r="D444" s="50" t="str">
        <f t="shared" si="19"/>
        <v/>
      </c>
      <c r="E444" s="51" t="str">
        <f t="shared" si="20"/>
        <v/>
      </c>
      <c r="F444" s="57"/>
      <c r="G444" s="52"/>
      <c r="H444" s="58"/>
      <c r="I444" s="59"/>
      <c r="J444" s="47"/>
      <c r="K444" s="47"/>
      <c r="L444" s="47"/>
      <c r="M444" s="47"/>
    </row>
    <row r="445" spans="2:13" ht="12.75" customHeight="1" x14ac:dyDescent="0.35">
      <c r="B445" s="53"/>
      <c r="C445" s="50" t="str">
        <f t="shared" si="18"/>
        <v/>
      </c>
      <c r="D445" s="50" t="str">
        <f t="shared" si="19"/>
        <v/>
      </c>
      <c r="E445" s="51" t="str">
        <f t="shared" si="20"/>
        <v/>
      </c>
      <c r="F445" s="57"/>
      <c r="G445" s="52"/>
      <c r="H445" s="58"/>
      <c r="I445" s="59"/>
      <c r="J445" s="47"/>
      <c r="K445" s="47"/>
      <c r="L445" s="47"/>
      <c r="M445" s="47"/>
    </row>
    <row r="446" spans="2:13" ht="12.75" customHeight="1" x14ac:dyDescent="0.35">
      <c r="B446" s="53"/>
      <c r="C446" s="50" t="str">
        <f t="shared" si="18"/>
        <v/>
      </c>
      <c r="D446" s="50" t="str">
        <f t="shared" si="19"/>
        <v/>
      </c>
      <c r="E446" s="51" t="str">
        <f t="shared" si="20"/>
        <v/>
      </c>
      <c r="F446" s="57"/>
      <c r="G446" s="52"/>
      <c r="H446" s="58"/>
      <c r="I446" s="59"/>
      <c r="J446" s="47"/>
      <c r="K446" s="47"/>
      <c r="L446" s="47"/>
      <c r="M446" s="47"/>
    </row>
    <row r="447" spans="2:13" ht="12.75" customHeight="1" x14ac:dyDescent="0.35">
      <c r="B447" s="53"/>
      <c r="C447" s="50" t="str">
        <f t="shared" si="18"/>
        <v/>
      </c>
      <c r="D447" s="50" t="str">
        <f t="shared" si="19"/>
        <v/>
      </c>
      <c r="E447" s="51" t="str">
        <f t="shared" si="20"/>
        <v/>
      </c>
      <c r="F447" s="57"/>
      <c r="G447" s="52"/>
      <c r="H447" s="58"/>
      <c r="I447" s="59"/>
      <c r="J447" s="47"/>
      <c r="K447" s="47"/>
      <c r="L447" s="47"/>
      <c r="M447" s="47"/>
    </row>
    <row r="448" spans="2:13" ht="12.75" customHeight="1" x14ac:dyDescent="0.35">
      <c r="B448" s="53"/>
      <c r="C448" s="50" t="str">
        <f t="shared" si="18"/>
        <v/>
      </c>
      <c r="D448" s="50" t="str">
        <f t="shared" si="19"/>
        <v/>
      </c>
      <c r="E448" s="51" t="str">
        <f t="shared" si="20"/>
        <v/>
      </c>
      <c r="F448" s="57"/>
      <c r="G448" s="52"/>
      <c r="H448" s="58"/>
      <c r="I448" s="59"/>
      <c r="J448" s="47"/>
      <c r="K448" s="47"/>
      <c r="L448" s="47"/>
      <c r="M448" s="47"/>
    </row>
    <row r="449" spans="2:13" ht="12.75" customHeight="1" x14ac:dyDescent="0.35">
      <c r="B449" s="53"/>
      <c r="C449" s="50" t="str">
        <f t="shared" si="18"/>
        <v/>
      </c>
      <c r="D449" s="50" t="str">
        <f t="shared" si="19"/>
        <v/>
      </c>
      <c r="E449" s="51" t="str">
        <f t="shared" si="20"/>
        <v/>
      </c>
      <c r="F449" s="57"/>
      <c r="G449" s="52"/>
      <c r="H449" s="58"/>
      <c r="I449" s="59"/>
      <c r="J449" s="47"/>
      <c r="K449" s="47"/>
      <c r="L449" s="47"/>
      <c r="M449" s="47"/>
    </row>
    <row r="450" spans="2:13" ht="12.75" customHeight="1" x14ac:dyDescent="0.35"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</row>
    <row r="451" spans="2:13" ht="12.75" customHeight="1" x14ac:dyDescent="0.35"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</row>
    <row r="452" spans="2:13" ht="12.75" customHeight="1" x14ac:dyDescent="0.35"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</row>
    <row r="453" spans="2:13" ht="12.75" customHeight="1" x14ac:dyDescent="0.35"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</row>
    <row r="454" spans="2:13" ht="12.75" customHeight="1" x14ac:dyDescent="0.35"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</row>
    <row r="455" spans="2:13" ht="12.75" customHeight="1" x14ac:dyDescent="0.35"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</row>
    <row r="456" spans="2:13" ht="12.75" customHeight="1" x14ac:dyDescent="0.35"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</row>
    <row r="457" spans="2:13" ht="12.75" customHeight="1" x14ac:dyDescent="0.35"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</row>
    <row r="458" spans="2:13" ht="12.75" customHeight="1" x14ac:dyDescent="0.35"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</row>
    <row r="459" spans="2:13" ht="12.75" customHeight="1" x14ac:dyDescent="0.35"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</row>
    <row r="460" spans="2:13" ht="12.75" customHeight="1" x14ac:dyDescent="0.35"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</row>
    <row r="461" spans="2:13" ht="12.75" customHeight="1" x14ac:dyDescent="0.35"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</row>
    <row r="462" spans="2:13" ht="12.75" customHeight="1" x14ac:dyDescent="0.35"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</row>
    <row r="463" spans="2:13" ht="12.75" customHeight="1" x14ac:dyDescent="0.35"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</row>
    <row r="464" spans="2:13" ht="12.75" customHeight="1" x14ac:dyDescent="0.35"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</row>
    <row r="465" spans="2:13" ht="12.75" customHeight="1" x14ac:dyDescent="0.35"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</row>
    <row r="466" spans="2:13" ht="12.75" customHeight="1" x14ac:dyDescent="0.35"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</row>
    <row r="467" spans="2:13" ht="12.75" customHeight="1" x14ac:dyDescent="0.35"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</row>
    <row r="468" spans="2:13" ht="12.75" customHeight="1" x14ac:dyDescent="0.35"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</row>
    <row r="469" spans="2:13" ht="12.75" customHeight="1" x14ac:dyDescent="0.35"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</row>
    <row r="470" spans="2:13" ht="12.75" customHeight="1" x14ac:dyDescent="0.35"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</row>
    <row r="471" spans="2:13" ht="12.75" customHeight="1" x14ac:dyDescent="0.35"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</row>
    <row r="472" spans="2:13" ht="12.75" customHeight="1" x14ac:dyDescent="0.35"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</row>
    <row r="473" spans="2:13" ht="12.75" customHeight="1" x14ac:dyDescent="0.35"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</row>
    <row r="474" spans="2:13" ht="12.75" customHeight="1" x14ac:dyDescent="0.35"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</row>
    <row r="475" spans="2:13" ht="12.75" customHeight="1" x14ac:dyDescent="0.35"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</row>
    <row r="476" spans="2:13" ht="12.75" customHeight="1" x14ac:dyDescent="0.35"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</row>
    <row r="477" spans="2:13" ht="12.75" customHeight="1" x14ac:dyDescent="0.35"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</row>
    <row r="478" spans="2:13" ht="12.75" customHeight="1" x14ac:dyDescent="0.35"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</row>
    <row r="479" spans="2:13" ht="12.75" customHeight="1" x14ac:dyDescent="0.35"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</row>
    <row r="480" spans="2:13" ht="12.75" customHeight="1" x14ac:dyDescent="0.35"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</row>
    <row r="481" spans="2:13" ht="12.75" customHeight="1" x14ac:dyDescent="0.35"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</row>
    <row r="482" spans="2:13" ht="12.75" customHeight="1" x14ac:dyDescent="0.35"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</row>
    <row r="483" spans="2:13" ht="12.75" customHeight="1" x14ac:dyDescent="0.35"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</row>
    <row r="484" spans="2:13" ht="12.75" customHeight="1" x14ac:dyDescent="0.35"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</row>
    <row r="485" spans="2:13" ht="12.75" customHeight="1" x14ac:dyDescent="0.35"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</row>
    <row r="486" spans="2:13" ht="12.75" customHeight="1" x14ac:dyDescent="0.35"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</row>
    <row r="487" spans="2:13" ht="12.75" customHeight="1" x14ac:dyDescent="0.35"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</row>
    <row r="488" spans="2:13" ht="12.75" customHeight="1" x14ac:dyDescent="0.35"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</row>
    <row r="489" spans="2:13" ht="12.75" customHeight="1" x14ac:dyDescent="0.35"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</row>
    <row r="490" spans="2:13" ht="12.75" customHeight="1" x14ac:dyDescent="0.35"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</row>
    <row r="491" spans="2:13" ht="12.75" customHeight="1" x14ac:dyDescent="0.35"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</row>
    <row r="492" spans="2:13" ht="12.75" customHeight="1" x14ac:dyDescent="0.35"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</row>
    <row r="493" spans="2:13" ht="12.75" customHeight="1" x14ac:dyDescent="0.35"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</row>
    <row r="494" spans="2:13" ht="12.75" customHeight="1" x14ac:dyDescent="0.35"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</row>
    <row r="495" spans="2:13" ht="12.75" customHeight="1" x14ac:dyDescent="0.35"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</row>
    <row r="496" spans="2:13" ht="12.75" customHeight="1" x14ac:dyDescent="0.35"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</row>
    <row r="497" spans="2:13" ht="12.75" customHeight="1" x14ac:dyDescent="0.35"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</row>
    <row r="498" spans="2:13" ht="12.75" customHeight="1" x14ac:dyDescent="0.35"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</row>
    <row r="499" spans="2:13" ht="12.75" customHeight="1" x14ac:dyDescent="0.35"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</row>
    <row r="500" spans="2:13" ht="12.75" customHeight="1" x14ac:dyDescent="0.35"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</row>
    <row r="501" spans="2:13" ht="12.75" customHeight="1" x14ac:dyDescent="0.35"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</row>
    <row r="502" spans="2:13" ht="12.75" customHeight="1" x14ac:dyDescent="0.35"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</row>
    <row r="503" spans="2:13" ht="12.75" customHeight="1" x14ac:dyDescent="0.35"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</row>
    <row r="504" spans="2:13" ht="12.75" customHeight="1" x14ac:dyDescent="0.35"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</row>
    <row r="505" spans="2:13" ht="12.75" customHeight="1" x14ac:dyDescent="0.35"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</row>
    <row r="506" spans="2:13" ht="12.75" customHeight="1" x14ac:dyDescent="0.35"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</row>
    <row r="507" spans="2:13" ht="12.75" customHeight="1" x14ac:dyDescent="0.35"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</row>
    <row r="508" spans="2:13" ht="12.75" customHeight="1" x14ac:dyDescent="0.35"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</row>
    <row r="509" spans="2:13" ht="12.75" customHeight="1" x14ac:dyDescent="0.35"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</row>
    <row r="510" spans="2:13" ht="12.75" customHeight="1" x14ac:dyDescent="0.35"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</row>
    <row r="511" spans="2:13" ht="12.75" customHeight="1" x14ac:dyDescent="0.35"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</row>
    <row r="512" spans="2:13" ht="12.75" customHeight="1" x14ac:dyDescent="0.35"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</row>
    <row r="513" spans="2:13" ht="12.75" customHeight="1" x14ac:dyDescent="0.35"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</row>
    <row r="514" spans="2:13" ht="12.75" customHeight="1" x14ac:dyDescent="0.35"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</row>
    <row r="515" spans="2:13" ht="12.75" customHeight="1" x14ac:dyDescent="0.35"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</row>
    <row r="516" spans="2:13" ht="12.75" customHeight="1" x14ac:dyDescent="0.35"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</row>
    <row r="517" spans="2:13" ht="12.75" customHeight="1" x14ac:dyDescent="0.35"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</row>
    <row r="518" spans="2:13" ht="12.75" customHeight="1" x14ac:dyDescent="0.35"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</row>
    <row r="519" spans="2:13" ht="12.75" customHeight="1" x14ac:dyDescent="0.35"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</row>
    <row r="520" spans="2:13" ht="12.75" customHeight="1" x14ac:dyDescent="0.35"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</row>
    <row r="521" spans="2:13" ht="12.75" customHeight="1" x14ac:dyDescent="0.35"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</row>
    <row r="522" spans="2:13" ht="12.75" customHeight="1" x14ac:dyDescent="0.35"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</row>
    <row r="523" spans="2:13" ht="12.75" customHeight="1" x14ac:dyDescent="0.35"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</row>
    <row r="524" spans="2:13" ht="12.75" customHeight="1" x14ac:dyDescent="0.35"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</row>
    <row r="525" spans="2:13" ht="12.75" customHeight="1" x14ac:dyDescent="0.35"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</row>
    <row r="526" spans="2:13" ht="12.75" customHeight="1" x14ac:dyDescent="0.35"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</row>
    <row r="527" spans="2:13" ht="12.75" customHeight="1" x14ac:dyDescent="0.35"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</row>
    <row r="528" spans="2:13" ht="12.75" customHeight="1" x14ac:dyDescent="0.35"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</row>
    <row r="529" spans="2:13" ht="12.75" customHeight="1" x14ac:dyDescent="0.35"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</row>
    <row r="530" spans="2:13" ht="12.75" customHeight="1" x14ac:dyDescent="0.35"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</row>
    <row r="531" spans="2:13" ht="12.75" customHeight="1" x14ac:dyDescent="0.35"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</row>
    <row r="532" spans="2:13" ht="12.75" customHeight="1" x14ac:dyDescent="0.35"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</row>
    <row r="533" spans="2:13" ht="12.75" customHeight="1" x14ac:dyDescent="0.35"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</row>
    <row r="534" spans="2:13" ht="12.75" customHeight="1" x14ac:dyDescent="0.35"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</row>
    <row r="535" spans="2:13" ht="12.75" customHeight="1" x14ac:dyDescent="0.35"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</row>
    <row r="536" spans="2:13" ht="12.75" customHeight="1" x14ac:dyDescent="0.35"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</row>
    <row r="537" spans="2:13" ht="12.75" customHeight="1" x14ac:dyDescent="0.35"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</row>
    <row r="538" spans="2:13" ht="12.75" customHeight="1" x14ac:dyDescent="0.35"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</row>
    <row r="539" spans="2:13" ht="12.75" customHeight="1" x14ac:dyDescent="0.35"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</row>
    <row r="540" spans="2:13" ht="12.75" customHeight="1" x14ac:dyDescent="0.35"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</row>
    <row r="541" spans="2:13" ht="12.75" customHeight="1" x14ac:dyDescent="0.35"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</row>
    <row r="542" spans="2:13" ht="12.75" customHeight="1" x14ac:dyDescent="0.35"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</row>
    <row r="543" spans="2:13" ht="12.75" customHeight="1" x14ac:dyDescent="0.35"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</row>
    <row r="544" spans="2:13" ht="12.75" customHeight="1" x14ac:dyDescent="0.35"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</row>
    <row r="545" spans="2:13" ht="12.75" customHeight="1" x14ac:dyDescent="0.35"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</row>
    <row r="546" spans="2:13" ht="12.75" customHeight="1" x14ac:dyDescent="0.35"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</row>
    <row r="547" spans="2:13" ht="12.75" customHeight="1" x14ac:dyDescent="0.35"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</row>
    <row r="548" spans="2:13" ht="12.75" customHeight="1" x14ac:dyDescent="0.35"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</row>
    <row r="549" spans="2:13" ht="12.75" customHeight="1" x14ac:dyDescent="0.35"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</row>
    <row r="550" spans="2:13" ht="12.75" customHeight="1" x14ac:dyDescent="0.35"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</row>
    <row r="551" spans="2:13" ht="12.75" customHeight="1" x14ac:dyDescent="0.35"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</row>
    <row r="552" spans="2:13" ht="12.75" customHeight="1" x14ac:dyDescent="0.35"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</row>
    <row r="553" spans="2:13" ht="12.75" customHeight="1" x14ac:dyDescent="0.35"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</row>
    <row r="554" spans="2:13" ht="12.75" customHeight="1" x14ac:dyDescent="0.35"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</row>
    <row r="555" spans="2:13" ht="12.75" customHeight="1" x14ac:dyDescent="0.35"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</row>
    <row r="556" spans="2:13" ht="12.75" customHeight="1" x14ac:dyDescent="0.35"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</row>
    <row r="557" spans="2:13" ht="12.75" customHeight="1" x14ac:dyDescent="0.35"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</row>
    <row r="558" spans="2:13" ht="12.75" customHeight="1" x14ac:dyDescent="0.35"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</row>
    <row r="559" spans="2:13" ht="12.75" customHeight="1" x14ac:dyDescent="0.35"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</row>
    <row r="560" spans="2:13" ht="12.75" customHeight="1" x14ac:dyDescent="0.35"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</row>
    <row r="561" spans="2:13" ht="12.75" customHeight="1" x14ac:dyDescent="0.35"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</row>
    <row r="562" spans="2:13" ht="12.75" customHeight="1" x14ac:dyDescent="0.35"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</row>
    <row r="563" spans="2:13" ht="12.75" customHeight="1" x14ac:dyDescent="0.35"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</row>
    <row r="564" spans="2:13" ht="12.75" customHeight="1" x14ac:dyDescent="0.35"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</row>
    <row r="565" spans="2:13" ht="12.75" customHeight="1" x14ac:dyDescent="0.35"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</row>
    <row r="566" spans="2:13" ht="12.75" customHeight="1" x14ac:dyDescent="0.35"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</row>
    <row r="567" spans="2:13" ht="12.75" customHeight="1" x14ac:dyDescent="0.35"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</row>
    <row r="568" spans="2:13" ht="12.75" customHeight="1" x14ac:dyDescent="0.35"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</row>
    <row r="569" spans="2:13" ht="12.75" customHeight="1" x14ac:dyDescent="0.35"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</row>
    <row r="570" spans="2:13" ht="12.75" customHeight="1" x14ac:dyDescent="0.35"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</row>
    <row r="571" spans="2:13" ht="12.75" customHeight="1" x14ac:dyDescent="0.35"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</row>
    <row r="572" spans="2:13" ht="12.75" customHeight="1" x14ac:dyDescent="0.35"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</row>
    <row r="573" spans="2:13" ht="12.75" customHeight="1" x14ac:dyDescent="0.35"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</row>
    <row r="574" spans="2:13" ht="12.75" customHeight="1" x14ac:dyDescent="0.35"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</row>
    <row r="575" spans="2:13" ht="12.75" customHeight="1" x14ac:dyDescent="0.35"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</row>
    <row r="576" spans="2:13" ht="12.75" customHeight="1" x14ac:dyDescent="0.35"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</row>
    <row r="577" spans="2:13" ht="12.75" customHeight="1" x14ac:dyDescent="0.35"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</row>
    <row r="578" spans="2:13" ht="12.75" customHeight="1" x14ac:dyDescent="0.35"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</row>
    <row r="579" spans="2:13" ht="12.75" customHeight="1" x14ac:dyDescent="0.35"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</row>
    <row r="580" spans="2:13" ht="12.75" customHeight="1" x14ac:dyDescent="0.35"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</row>
    <row r="581" spans="2:13" ht="12.75" customHeight="1" x14ac:dyDescent="0.35"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</row>
    <row r="582" spans="2:13" ht="12.75" customHeight="1" x14ac:dyDescent="0.35"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</row>
    <row r="583" spans="2:13" ht="12.75" customHeight="1" x14ac:dyDescent="0.35"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</row>
    <row r="584" spans="2:13" ht="12.75" customHeight="1" x14ac:dyDescent="0.35"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</row>
    <row r="585" spans="2:13" ht="12.75" customHeight="1" x14ac:dyDescent="0.35"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</row>
    <row r="586" spans="2:13" ht="12.75" customHeight="1" x14ac:dyDescent="0.35"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</row>
    <row r="587" spans="2:13" ht="12.75" customHeight="1" x14ac:dyDescent="0.35"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</row>
    <row r="588" spans="2:13" ht="12.75" customHeight="1" x14ac:dyDescent="0.35"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</row>
    <row r="589" spans="2:13" ht="12.75" customHeight="1" x14ac:dyDescent="0.35"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</row>
    <row r="590" spans="2:13" ht="12.75" customHeight="1" x14ac:dyDescent="0.35"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</row>
    <row r="591" spans="2:13" ht="12.75" customHeight="1" x14ac:dyDescent="0.35"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</row>
    <row r="592" spans="2:13" ht="12.75" customHeight="1" x14ac:dyDescent="0.35"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</row>
    <row r="593" spans="2:13" ht="12.75" customHeight="1" x14ac:dyDescent="0.35"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</row>
    <row r="594" spans="2:13" ht="12.75" customHeight="1" x14ac:dyDescent="0.35"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</row>
    <row r="595" spans="2:13" ht="12.75" customHeight="1" x14ac:dyDescent="0.35"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</row>
    <row r="596" spans="2:13" ht="12.75" customHeight="1" x14ac:dyDescent="0.35"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</row>
    <row r="597" spans="2:13" ht="12.75" customHeight="1" x14ac:dyDescent="0.35"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</row>
    <row r="598" spans="2:13" ht="12.75" customHeight="1" x14ac:dyDescent="0.35"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</row>
    <row r="599" spans="2:13" ht="12.75" customHeight="1" x14ac:dyDescent="0.35"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</row>
    <row r="600" spans="2:13" ht="12.75" customHeight="1" x14ac:dyDescent="0.35"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</row>
    <row r="601" spans="2:13" ht="12.75" customHeight="1" x14ac:dyDescent="0.35"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</row>
    <row r="602" spans="2:13" ht="12.75" customHeight="1" x14ac:dyDescent="0.35"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</row>
    <row r="603" spans="2:13" ht="12.75" customHeight="1" x14ac:dyDescent="0.35"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</row>
    <row r="604" spans="2:13" ht="12.75" customHeight="1" x14ac:dyDescent="0.35"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</row>
    <row r="605" spans="2:13" ht="12.75" customHeight="1" x14ac:dyDescent="0.35"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</row>
    <row r="606" spans="2:13" ht="12.75" customHeight="1" x14ac:dyDescent="0.35"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</row>
    <row r="607" spans="2:13" ht="12.75" customHeight="1" x14ac:dyDescent="0.35"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</row>
    <row r="608" spans="2:13" ht="12.75" customHeight="1" x14ac:dyDescent="0.35"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</row>
    <row r="609" spans="2:13" ht="12.75" customHeight="1" x14ac:dyDescent="0.35"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</row>
    <row r="610" spans="2:13" ht="12.75" customHeight="1" x14ac:dyDescent="0.35"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</row>
    <row r="611" spans="2:13" ht="12.75" customHeight="1" x14ac:dyDescent="0.35"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</row>
    <row r="612" spans="2:13" ht="12.75" customHeight="1" x14ac:dyDescent="0.35"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</row>
    <row r="613" spans="2:13" ht="12.75" customHeight="1" x14ac:dyDescent="0.35"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</row>
    <row r="614" spans="2:13" ht="12.75" customHeight="1" x14ac:dyDescent="0.35"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</row>
    <row r="615" spans="2:13" ht="12.75" customHeight="1" x14ac:dyDescent="0.35"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</row>
    <row r="616" spans="2:13" ht="12.75" customHeight="1" x14ac:dyDescent="0.35"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</row>
    <row r="617" spans="2:13" ht="12.75" customHeight="1" x14ac:dyDescent="0.35"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</row>
    <row r="618" spans="2:13" ht="12.75" customHeight="1" x14ac:dyDescent="0.35"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</row>
    <row r="619" spans="2:13" ht="12.75" customHeight="1" x14ac:dyDescent="0.35"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</row>
    <row r="620" spans="2:13" ht="12.75" customHeight="1" x14ac:dyDescent="0.35"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</row>
    <row r="621" spans="2:13" ht="12.75" customHeight="1" x14ac:dyDescent="0.35"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</row>
    <row r="622" spans="2:13" ht="12.75" customHeight="1" x14ac:dyDescent="0.35"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</row>
    <row r="623" spans="2:13" ht="12.75" customHeight="1" x14ac:dyDescent="0.35"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</row>
    <row r="624" spans="2:13" ht="12.75" customHeight="1" x14ac:dyDescent="0.35"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</row>
    <row r="625" spans="2:13" ht="12.75" customHeight="1" x14ac:dyDescent="0.35"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</row>
    <row r="626" spans="2:13" ht="12.75" customHeight="1" x14ac:dyDescent="0.35"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</row>
    <row r="627" spans="2:13" ht="12.75" customHeight="1" x14ac:dyDescent="0.35"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</row>
    <row r="628" spans="2:13" ht="12.75" customHeight="1" x14ac:dyDescent="0.35"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</row>
    <row r="629" spans="2:13" ht="12.75" customHeight="1" x14ac:dyDescent="0.35"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</row>
    <row r="630" spans="2:13" ht="12.75" customHeight="1" x14ac:dyDescent="0.35"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</row>
    <row r="631" spans="2:13" ht="12.75" customHeight="1" x14ac:dyDescent="0.35"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</row>
    <row r="632" spans="2:13" ht="12.75" customHeight="1" x14ac:dyDescent="0.35"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</row>
    <row r="633" spans="2:13" ht="12.75" customHeight="1" x14ac:dyDescent="0.35"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</row>
    <row r="634" spans="2:13" ht="12.75" customHeight="1" x14ac:dyDescent="0.35"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</row>
    <row r="635" spans="2:13" ht="12.75" customHeight="1" x14ac:dyDescent="0.35"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</row>
    <row r="636" spans="2:13" ht="12.75" customHeight="1" x14ac:dyDescent="0.35"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</row>
    <row r="637" spans="2:13" ht="12.75" customHeight="1" x14ac:dyDescent="0.35"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</row>
    <row r="638" spans="2:13" ht="12.75" customHeight="1" x14ac:dyDescent="0.35"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</row>
    <row r="639" spans="2:13" ht="12.75" customHeight="1" x14ac:dyDescent="0.35"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</row>
    <row r="640" spans="2:13" ht="12.75" customHeight="1" x14ac:dyDescent="0.35"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</row>
    <row r="641" spans="2:13" ht="12.75" customHeight="1" x14ac:dyDescent="0.35"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</row>
    <row r="642" spans="2:13" ht="12.75" customHeight="1" x14ac:dyDescent="0.35"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</row>
    <row r="643" spans="2:13" ht="12.75" customHeight="1" x14ac:dyDescent="0.35"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</row>
    <row r="644" spans="2:13" ht="12.75" customHeight="1" x14ac:dyDescent="0.35"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</row>
    <row r="645" spans="2:13" ht="12.75" customHeight="1" x14ac:dyDescent="0.35"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</row>
    <row r="646" spans="2:13" ht="12.75" customHeight="1" x14ac:dyDescent="0.35"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</row>
    <row r="647" spans="2:13" ht="12.75" customHeight="1" x14ac:dyDescent="0.35"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</row>
    <row r="648" spans="2:13" ht="12.75" customHeight="1" x14ac:dyDescent="0.35"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</row>
    <row r="649" spans="2:13" ht="12.75" customHeight="1" x14ac:dyDescent="0.35"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</row>
    <row r="650" spans="2:13" ht="12.75" customHeight="1" x14ac:dyDescent="0.35"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</row>
    <row r="651" spans="2:13" ht="12.75" customHeight="1" x14ac:dyDescent="0.35"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</row>
    <row r="652" spans="2:13" ht="12.75" customHeight="1" x14ac:dyDescent="0.35"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</row>
    <row r="653" spans="2:13" ht="12.75" customHeight="1" x14ac:dyDescent="0.35"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</row>
    <row r="654" spans="2:13" ht="12.75" customHeight="1" x14ac:dyDescent="0.35"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</row>
    <row r="655" spans="2:13" ht="12.75" customHeight="1" x14ac:dyDescent="0.35"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</row>
    <row r="656" spans="2:13" ht="12.75" customHeight="1" x14ac:dyDescent="0.35"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</row>
    <row r="657" spans="2:13" ht="12.75" customHeight="1" x14ac:dyDescent="0.35"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</row>
    <row r="658" spans="2:13" ht="12.75" customHeight="1" x14ac:dyDescent="0.35"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</row>
    <row r="659" spans="2:13" ht="12.75" customHeight="1" x14ac:dyDescent="0.35"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</row>
    <row r="660" spans="2:13" ht="12.75" customHeight="1" x14ac:dyDescent="0.35"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</row>
    <row r="661" spans="2:13" ht="12.75" customHeight="1" x14ac:dyDescent="0.35"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</row>
    <row r="662" spans="2:13" ht="12.75" customHeight="1" x14ac:dyDescent="0.35"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</row>
    <row r="663" spans="2:13" ht="12.75" customHeight="1" x14ac:dyDescent="0.35"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</row>
    <row r="664" spans="2:13" ht="12.75" customHeight="1" x14ac:dyDescent="0.35"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</row>
    <row r="665" spans="2:13" ht="12.75" customHeight="1" x14ac:dyDescent="0.35"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</row>
    <row r="666" spans="2:13" ht="12.75" customHeight="1" x14ac:dyDescent="0.35"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</row>
    <row r="667" spans="2:13" ht="12.75" customHeight="1" x14ac:dyDescent="0.35"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</row>
    <row r="668" spans="2:13" ht="12.75" customHeight="1" x14ac:dyDescent="0.35"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</row>
    <row r="669" spans="2:13" ht="12.75" customHeight="1" x14ac:dyDescent="0.35"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</row>
    <row r="670" spans="2:13" ht="12.75" customHeight="1" x14ac:dyDescent="0.35"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</row>
    <row r="671" spans="2:13" ht="12.75" customHeight="1" x14ac:dyDescent="0.35"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</row>
    <row r="672" spans="2:13" ht="12.75" customHeight="1" x14ac:dyDescent="0.35"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</row>
    <row r="673" spans="2:13" ht="12.75" customHeight="1" x14ac:dyDescent="0.35"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</row>
    <row r="674" spans="2:13" ht="12.75" customHeight="1" x14ac:dyDescent="0.35"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</row>
    <row r="675" spans="2:13" ht="12.75" customHeight="1" x14ac:dyDescent="0.35"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</row>
    <row r="676" spans="2:13" ht="12.75" customHeight="1" x14ac:dyDescent="0.35"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</row>
    <row r="677" spans="2:13" ht="12.75" customHeight="1" x14ac:dyDescent="0.35"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</row>
    <row r="678" spans="2:13" ht="12.75" customHeight="1" x14ac:dyDescent="0.35"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</row>
    <row r="679" spans="2:13" ht="12.75" customHeight="1" x14ac:dyDescent="0.35"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</row>
    <row r="680" spans="2:13" ht="12.75" customHeight="1" x14ac:dyDescent="0.35"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</row>
    <row r="681" spans="2:13" ht="12.75" customHeight="1" x14ac:dyDescent="0.35"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</row>
    <row r="682" spans="2:13" ht="12.75" customHeight="1" x14ac:dyDescent="0.35"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</row>
    <row r="683" spans="2:13" ht="12.75" customHeight="1" x14ac:dyDescent="0.35"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</row>
    <row r="684" spans="2:13" ht="12.75" customHeight="1" x14ac:dyDescent="0.35"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</row>
    <row r="685" spans="2:13" ht="12.75" customHeight="1" x14ac:dyDescent="0.35"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</row>
    <row r="686" spans="2:13" ht="12.75" customHeight="1" x14ac:dyDescent="0.35"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</row>
    <row r="687" spans="2:13" ht="12.75" customHeight="1" x14ac:dyDescent="0.35"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</row>
    <row r="688" spans="2:13" ht="12.75" customHeight="1" x14ac:dyDescent="0.35"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</row>
    <row r="689" spans="2:13" ht="12.75" customHeight="1" x14ac:dyDescent="0.35"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</row>
    <row r="690" spans="2:13" ht="12.75" customHeight="1" x14ac:dyDescent="0.35"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</row>
    <row r="691" spans="2:13" ht="12.75" customHeight="1" x14ac:dyDescent="0.35"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</row>
    <row r="692" spans="2:13" ht="12.75" customHeight="1" x14ac:dyDescent="0.35"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</row>
    <row r="693" spans="2:13" ht="12.75" customHeight="1" x14ac:dyDescent="0.35"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</row>
    <row r="694" spans="2:13" ht="12.75" customHeight="1" x14ac:dyDescent="0.35"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</row>
    <row r="695" spans="2:13" ht="12.75" customHeight="1" x14ac:dyDescent="0.35"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</row>
    <row r="696" spans="2:13" ht="12.75" customHeight="1" x14ac:dyDescent="0.35"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</row>
    <row r="697" spans="2:13" ht="12.75" customHeight="1" x14ac:dyDescent="0.35"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</row>
    <row r="698" spans="2:13" ht="12.75" customHeight="1" x14ac:dyDescent="0.35"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</row>
    <row r="699" spans="2:13" ht="12.75" customHeight="1" x14ac:dyDescent="0.35"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</row>
    <row r="700" spans="2:13" ht="12.75" customHeight="1" x14ac:dyDescent="0.35"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</row>
    <row r="701" spans="2:13" ht="12.75" customHeight="1" x14ac:dyDescent="0.35"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</row>
    <row r="702" spans="2:13" ht="12.75" customHeight="1" x14ac:dyDescent="0.35"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</row>
    <row r="703" spans="2:13" ht="12.75" customHeight="1" x14ac:dyDescent="0.35"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</row>
    <row r="704" spans="2:13" ht="12.75" customHeight="1" x14ac:dyDescent="0.35"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</row>
    <row r="705" spans="2:13" ht="12.75" customHeight="1" x14ac:dyDescent="0.35"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</row>
    <row r="706" spans="2:13" ht="12.75" customHeight="1" x14ac:dyDescent="0.35"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</row>
    <row r="707" spans="2:13" ht="12.75" customHeight="1" x14ac:dyDescent="0.35"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</row>
    <row r="708" spans="2:13" ht="12.75" customHeight="1" x14ac:dyDescent="0.35"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</row>
    <row r="709" spans="2:13" ht="12.75" customHeight="1" x14ac:dyDescent="0.35"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</row>
    <row r="710" spans="2:13" ht="12.75" customHeight="1" x14ac:dyDescent="0.35"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</row>
    <row r="711" spans="2:13" ht="12.75" customHeight="1" x14ac:dyDescent="0.35"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</row>
    <row r="712" spans="2:13" ht="12.75" customHeight="1" x14ac:dyDescent="0.35"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</row>
    <row r="713" spans="2:13" ht="12.75" customHeight="1" x14ac:dyDescent="0.35"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</row>
    <row r="714" spans="2:13" ht="12.75" customHeight="1" x14ac:dyDescent="0.35"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</row>
    <row r="715" spans="2:13" ht="12.75" customHeight="1" x14ac:dyDescent="0.35"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</row>
    <row r="716" spans="2:13" ht="12.75" customHeight="1" x14ac:dyDescent="0.35"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</row>
    <row r="717" spans="2:13" ht="12.75" customHeight="1" x14ac:dyDescent="0.35"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</row>
    <row r="718" spans="2:13" ht="12.75" customHeight="1" x14ac:dyDescent="0.35"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</row>
    <row r="719" spans="2:13" ht="12.75" customHeight="1" x14ac:dyDescent="0.35"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</row>
    <row r="720" spans="2:13" ht="12.75" customHeight="1" x14ac:dyDescent="0.35"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</row>
    <row r="721" spans="2:13" ht="12.75" customHeight="1" x14ac:dyDescent="0.35"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</row>
    <row r="722" spans="2:13" ht="12.75" customHeight="1" x14ac:dyDescent="0.35"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</row>
    <row r="723" spans="2:13" ht="12.75" customHeight="1" x14ac:dyDescent="0.35"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</row>
    <row r="724" spans="2:13" ht="12.75" customHeight="1" x14ac:dyDescent="0.35"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</row>
    <row r="725" spans="2:13" ht="12.75" customHeight="1" x14ac:dyDescent="0.35"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</row>
    <row r="726" spans="2:13" ht="12.75" customHeight="1" x14ac:dyDescent="0.35"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</row>
    <row r="727" spans="2:13" ht="12.75" customHeight="1" x14ac:dyDescent="0.35"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</row>
    <row r="728" spans="2:13" ht="12.75" customHeight="1" x14ac:dyDescent="0.35"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</row>
    <row r="729" spans="2:13" ht="12.75" customHeight="1" x14ac:dyDescent="0.35"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</row>
    <row r="730" spans="2:13" ht="12.75" customHeight="1" x14ac:dyDescent="0.35"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</row>
    <row r="731" spans="2:13" ht="12.75" customHeight="1" x14ac:dyDescent="0.35"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</row>
    <row r="732" spans="2:13" ht="12.75" customHeight="1" x14ac:dyDescent="0.35"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</row>
    <row r="733" spans="2:13" ht="12.75" customHeight="1" x14ac:dyDescent="0.35"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</row>
    <row r="734" spans="2:13" ht="12.75" customHeight="1" x14ac:dyDescent="0.35"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</row>
    <row r="735" spans="2:13" ht="12.75" customHeight="1" x14ac:dyDescent="0.35"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</row>
    <row r="736" spans="2:13" ht="12.75" customHeight="1" x14ac:dyDescent="0.35"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</row>
    <row r="737" spans="2:13" ht="12.75" customHeight="1" x14ac:dyDescent="0.35"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</row>
    <row r="738" spans="2:13" ht="12.75" customHeight="1" x14ac:dyDescent="0.35"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</row>
    <row r="739" spans="2:13" ht="12.75" customHeight="1" x14ac:dyDescent="0.35"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</row>
    <row r="740" spans="2:13" ht="12.75" customHeight="1" x14ac:dyDescent="0.35"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</row>
    <row r="741" spans="2:13" ht="12.75" customHeight="1" x14ac:dyDescent="0.35"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</row>
    <row r="742" spans="2:13" ht="12.75" customHeight="1" x14ac:dyDescent="0.35"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</row>
    <row r="743" spans="2:13" ht="12.75" customHeight="1" x14ac:dyDescent="0.35"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</row>
    <row r="744" spans="2:13" ht="12.75" customHeight="1" x14ac:dyDescent="0.35"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</row>
    <row r="745" spans="2:13" ht="12.75" customHeight="1" x14ac:dyDescent="0.35"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</row>
    <row r="746" spans="2:13" ht="12.75" customHeight="1" x14ac:dyDescent="0.35"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</row>
    <row r="747" spans="2:13" ht="12.75" customHeight="1" x14ac:dyDescent="0.35"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</row>
    <row r="748" spans="2:13" ht="12.75" customHeight="1" x14ac:dyDescent="0.35"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</row>
    <row r="749" spans="2:13" ht="12.75" customHeight="1" x14ac:dyDescent="0.35"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</row>
    <row r="750" spans="2:13" ht="12.75" customHeight="1" x14ac:dyDescent="0.35"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</row>
    <row r="751" spans="2:13" ht="12.75" customHeight="1" x14ac:dyDescent="0.35"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</row>
    <row r="752" spans="2:13" ht="12.75" customHeight="1" x14ac:dyDescent="0.35"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</row>
    <row r="753" spans="2:13" ht="12.75" customHeight="1" x14ac:dyDescent="0.35"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</row>
    <row r="754" spans="2:13" ht="12.75" customHeight="1" x14ac:dyDescent="0.35"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</row>
    <row r="755" spans="2:13" ht="12.75" customHeight="1" x14ac:dyDescent="0.35"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</row>
    <row r="756" spans="2:13" ht="12.75" customHeight="1" x14ac:dyDescent="0.35"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</row>
    <row r="757" spans="2:13" ht="12.75" customHeight="1" x14ac:dyDescent="0.35"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</row>
    <row r="758" spans="2:13" ht="12.75" customHeight="1" x14ac:dyDescent="0.35"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</row>
    <row r="759" spans="2:13" ht="12.75" customHeight="1" x14ac:dyDescent="0.35"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</row>
    <row r="760" spans="2:13" ht="12.75" customHeight="1" x14ac:dyDescent="0.35"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</row>
    <row r="761" spans="2:13" ht="12.75" customHeight="1" x14ac:dyDescent="0.35"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</row>
    <row r="762" spans="2:13" ht="12.75" customHeight="1" x14ac:dyDescent="0.35"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</row>
    <row r="763" spans="2:13" ht="12.75" customHeight="1" x14ac:dyDescent="0.35"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</row>
    <row r="764" spans="2:13" ht="12.75" customHeight="1" x14ac:dyDescent="0.35"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</row>
    <row r="765" spans="2:13" ht="12.75" customHeight="1" x14ac:dyDescent="0.35"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</row>
    <row r="766" spans="2:13" ht="12.75" customHeight="1" x14ac:dyDescent="0.35"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</row>
    <row r="767" spans="2:13" ht="12.75" customHeight="1" x14ac:dyDescent="0.35"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</row>
    <row r="768" spans="2:13" ht="12.75" customHeight="1" x14ac:dyDescent="0.35"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</row>
    <row r="769" spans="2:13" ht="12.75" customHeight="1" x14ac:dyDescent="0.35"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</row>
    <row r="770" spans="2:13" ht="12.75" customHeight="1" x14ac:dyDescent="0.35"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</row>
    <row r="771" spans="2:13" ht="12.75" customHeight="1" x14ac:dyDescent="0.35"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</row>
    <row r="772" spans="2:13" ht="12.75" customHeight="1" x14ac:dyDescent="0.35"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</row>
    <row r="773" spans="2:13" ht="12.75" customHeight="1" x14ac:dyDescent="0.35"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</row>
    <row r="774" spans="2:13" ht="12.75" customHeight="1" x14ac:dyDescent="0.35"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</row>
    <row r="775" spans="2:13" ht="12.75" customHeight="1" x14ac:dyDescent="0.35"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</row>
    <row r="776" spans="2:13" ht="12.75" customHeight="1" x14ac:dyDescent="0.35"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</row>
    <row r="777" spans="2:13" ht="12.75" customHeight="1" x14ac:dyDescent="0.35"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</row>
    <row r="778" spans="2:13" ht="12.75" customHeight="1" x14ac:dyDescent="0.35"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</row>
    <row r="779" spans="2:13" ht="12.75" customHeight="1" x14ac:dyDescent="0.35"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</row>
    <row r="780" spans="2:13" ht="12.75" customHeight="1" x14ac:dyDescent="0.35"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</row>
    <row r="781" spans="2:13" ht="12.75" customHeight="1" x14ac:dyDescent="0.35"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</row>
    <row r="782" spans="2:13" ht="12.75" customHeight="1" x14ac:dyDescent="0.35"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</row>
    <row r="783" spans="2:13" ht="12.75" customHeight="1" x14ac:dyDescent="0.35"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</row>
    <row r="784" spans="2:13" ht="12.75" customHeight="1" x14ac:dyDescent="0.35"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</row>
    <row r="785" spans="2:13" ht="12.75" customHeight="1" x14ac:dyDescent="0.35"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</row>
    <row r="786" spans="2:13" ht="12.75" customHeight="1" x14ac:dyDescent="0.35"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</row>
    <row r="787" spans="2:13" ht="12.75" customHeight="1" x14ac:dyDescent="0.35"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</row>
    <row r="788" spans="2:13" ht="12.75" customHeight="1" x14ac:dyDescent="0.35"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</row>
    <row r="789" spans="2:13" ht="12.75" customHeight="1" x14ac:dyDescent="0.35"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</row>
    <row r="790" spans="2:13" ht="12.75" customHeight="1" x14ac:dyDescent="0.35"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</row>
    <row r="791" spans="2:13" ht="12.75" customHeight="1" x14ac:dyDescent="0.35"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</row>
    <row r="792" spans="2:13" ht="12.75" customHeight="1" x14ac:dyDescent="0.35"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</row>
    <row r="793" spans="2:13" ht="12.75" customHeight="1" x14ac:dyDescent="0.35"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</row>
    <row r="794" spans="2:13" ht="12.75" customHeight="1" x14ac:dyDescent="0.35"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</row>
    <row r="795" spans="2:13" ht="12.75" customHeight="1" x14ac:dyDescent="0.35"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</row>
    <row r="796" spans="2:13" ht="12.75" customHeight="1" x14ac:dyDescent="0.35"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</row>
    <row r="797" spans="2:13" ht="12.75" customHeight="1" x14ac:dyDescent="0.35"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</row>
    <row r="798" spans="2:13" ht="12.75" customHeight="1" x14ac:dyDescent="0.35"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</row>
    <row r="799" spans="2:13" ht="12.75" customHeight="1" x14ac:dyDescent="0.35"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</row>
    <row r="800" spans="2:13" ht="12.75" customHeight="1" x14ac:dyDescent="0.35"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</row>
    <row r="801" spans="2:13" ht="12.75" customHeight="1" x14ac:dyDescent="0.35"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</row>
    <row r="802" spans="2:13" ht="12.75" customHeight="1" x14ac:dyDescent="0.35"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</row>
    <row r="803" spans="2:13" ht="12.75" customHeight="1" x14ac:dyDescent="0.35"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</row>
    <row r="804" spans="2:13" ht="12.75" customHeight="1" x14ac:dyDescent="0.35"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</row>
    <row r="805" spans="2:13" ht="12.75" customHeight="1" x14ac:dyDescent="0.35"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</row>
    <row r="806" spans="2:13" ht="12.75" customHeight="1" x14ac:dyDescent="0.35"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</row>
    <row r="807" spans="2:13" ht="12.75" customHeight="1" x14ac:dyDescent="0.35"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</row>
    <row r="808" spans="2:13" ht="12.75" customHeight="1" x14ac:dyDescent="0.35"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</row>
    <row r="809" spans="2:13" ht="12.75" customHeight="1" x14ac:dyDescent="0.35"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</row>
    <row r="810" spans="2:13" ht="12.75" customHeight="1" x14ac:dyDescent="0.35"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</row>
    <row r="811" spans="2:13" ht="12.75" customHeight="1" x14ac:dyDescent="0.35"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</row>
    <row r="812" spans="2:13" ht="12.75" customHeight="1" x14ac:dyDescent="0.35"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</row>
    <row r="813" spans="2:13" ht="12.75" customHeight="1" x14ac:dyDescent="0.35"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</row>
    <row r="814" spans="2:13" ht="12.75" customHeight="1" x14ac:dyDescent="0.35"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</row>
    <row r="815" spans="2:13" ht="12.75" customHeight="1" x14ac:dyDescent="0.35"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</row>
    <row r="816" spans="2:13" ht="12.75" customHeight="1" x14ac:dyDescent="0.35"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</row>
    <row r="817" spans="2:13" ht="12.75" customHeight="1" x14ac:dyDescent="0.35"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</row>
    <row r="818" spans="2:13" ht="12.75" customHeight="1" x14ac:dyDescent="0.35"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</row>
    <row r="819" spans="2:13" ht="12.75" customHeight="1" x14ac:dyDescent="0.35"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</row>
    <row r="820" spans="2:13" ht="12.75" customHeight="1" x14ac:dyDescent="0.35"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</row>
    <row r="821" spans="2:13" ht="12.75" customHeight="1" x14ac:dyDescent="0.35"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</row>
    <row r="822" spans="2:13" ht="12.75" customHeight="1" x14ac:dyDescent="0.35"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</row>
    <row r="823" spans="2:13" ht="12.75" customHeight="1" x14ac:dyDescent="0.35"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</row>
    <row r="824" spans="2:13" ht="12.75" customHeight="1" x14ac:dyDescent="0.35"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</row>
    <row r="825" spans="2:13" ht="12.75" customHeight="1" x14ac:dyDescent="0.35"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</row>
    <row r="826" spans="2:13" ht="12.75" customHeight="1" x14ac:dyDescent="0.35"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</row>
    <row r="827" spans="2:13" ht="12.75" customHeight="1" x14ac:dyDescent="0.35"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</row>
    <row r="828" spans="2:13" ht="12.75" customHeight="1" x14ac:dyDescent="0.35"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</row>
    <row r="829" spans="2:13" ht="12.75" customHeight="1" x14ac:dyDescent="0.35"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</row>
    <row r="830" spans="2:13" ht="12.75" customHeight="1" x14ac:dyDescent="0.35"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</row>
    <row r="831" spans="2:13" ht="12.75" customHeight="1" x14ac:dyDescent="0.35"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</row>
    <row r="832" spans="2:13" ht="12.75" customHeight="1" x14ac:dyDescent="0.35"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</row>
    <row r="833" spans="2:13" ht="12.75" customHeight="1" x14ac:dyDescent="0.35"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</row>
    <row r="834" spans="2:13" ht="12.75" customHeight="1" x14ac:dyDescent="0.35"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</row>
    <row r="835" spans="2:13" ht="12.75" customHeight="1" x14ac:dyDescent="0.35"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</row>
    <row r="836" spans="2:13" ht="12.75" customHeight="1" x14ac:dyDescent="0.35"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</row>
    <row r="837" spans="2:13" ht="12.75" customHeight="1" x14ac:dyDescent="0.35"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</row>
    <row r="838" spans="2:13" ht="12.75" customHeight="1" x14ac:dyDescent="0.35"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</row>
    <row r="839" spans="2:13" ht="12.75" customHeight="1" x14ac:dyDescent="0.35"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</row>
    <row r="840" spans="2:13" ht="12.75" customHeight="1" x14ac:dyDescent="0.35"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</row>
    <row r="841" spans="2:13" ht="12.75" customHeight="1" x14ac:dyDescent="0.35"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</row>
    <row r="842" spans="2:13" ht="12.75" customHeight="1" x14ac:dyDescent="0.35"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</row>
    <row r="843" spans="2:13" ht="12.75" customHeight="1" x14ac:dyDescent="0.35"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</row>
    <row r="844" spans="2:13" ht="12.75" customHeight="1" x14ac:dyDescent="0.35"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</row>
    <row r="845" spans="2:13" ht="12.75" customHeight="1" x14ac:dyDescent="0.35"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</row>
    <row r="846" spans="2:13" ht="12.75" customHeight="1" x14ac:dyDescent="0.35"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</row>
    <row r="847" spans="2:13" ht="12.75" customHeight="1" x14ac:dyDescent="0.35"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</row>
    <row r="848" spans="2:13" ht="12.75" customHeight="1" x14ac:dyDescent="0.35"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</row>
    <row r="849" spans="2:13" ht="12.75" customHeight="1" x14ac:dyDescent="0.35"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</row>
    <row r="850" spans="2:13" ht="12.75" customHeight="1" x14ac:dyDescent="0.35"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</row>
    <row r="851" spans="2:13" ht="12.75" customHeight="1" x14ac:dyDescent="0.35"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</row>
    <row r="852" spans="2:13" ht="12.75" customHeight="1" x14ac:dyDescent="0.35"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</row>
    <row r="853" spans="2:13" ht="12.75" customHeight="1" x14ac:dyDescent="0.35"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</row>
    <row r="854" spans="2:13" ht="12.75" customHeight="1" x14ac:dyDescent="0.35"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</row>
    <row r="855" spans="2:13" ht="12.75" customHeight="1" x14ac:dyDescent="0.35"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</row>
    <row r="856" spans="2:13" ht="12.75" customHeight="1" x14ac:dyDescent="0.35"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</row>
    <row r="857" spans="2:13" ht="12.75" customHeight="1" x14ac:dyDescent="0.35"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</row>
    <row r="858" spans="2:13" ht="12.75" customHeight="1" x14ac:dyDescent="0.35"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</row>
    <row r="859" spans="2:13" ht="12.75" customHeight="1" x14ac:dyDescent="0.35"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</row>
    <row r="860" spans="2:13" ht="12.75" customHeight="1" x14ac:dyDescent="0.35"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</row>
    <row r="861" spans="2:13" ht="12.75" customHeight="1" x14ac:dyDescent="0.35"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</row>
    <row r="862" spans="2:13" ht="12.75" customHeight="1" x14ac:dyDescent="0.35"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</row>
    <row r="863" spans="2:13" ht="12.75" customHeight="1" x14ac:dyDescent="0.35"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</row>
    <row r="864" spans="2:13" ht="12.75" customHeight="1" x14ac:dyDescent="0.35"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</row>
    <row r="865" spans="2:13" ht="12.75" customHeight="1" x14ac:dyDescent="0.35"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</row>
    <row r="866" spans="2:13" ht="12.75" customHeight="1" x14ac:dyDescent="0.35"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</row>
    <row r="867" spans="2:13" ht="12.75" customHeight="1" x14ac:dyDescent="0.35"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</row>
    <row r="868" spans="2:13" ht="12.75" customHeight="1" x14ac:dyDescent="0.35"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</row>
    <row r="869" spans="2:13" ht="12.75" customHeight="1" x14ac:dyDescent="0.35"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</row>
    <row r="870" spans="2:13" ht="12.75" customHeight="1" x14ac:dyDescent="0.35"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</row>
    <row r="871" spans="2:13" ht="12.75" customHeight="1" x14ac:dyDescent="0.35"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</row>
    <row r="872" spans="2:13" ht="12.75" customHeight="1" x14ac:dyDescent="0.35"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</row>
    <row r="873" spans="2:13" ht="12.75" customHeight="1" x14ac:dyDescent="0.35"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</row>
    <row r="874" spans="2:13" ht="12.75" customHeight="1" x14ac:dyDescent="0.35"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</row>
    <row r="875" spans="2:13" ht="12.75" customHeight="1" x14ac:dyDescent="0.35"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</row>
    <row r="876" spans="2:13" ht="12.75" customHeight="1" x14ac:dyDescent="0.35"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</row>
    <row r="877" spans="2:13" ht="12.75" customHeight="1" x14ac:dyDescent="0.35"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</row>
    <row r="878" spans="2:13" ht="12.75" customHeight="1" x14ac:dyDescent="0.35"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</row>
    <row r="879" spans="2:13" ht="12.75" customHeight="1" x14ac:dyDescent="0.35"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</row>
    <row r="880" spans="2:13" ht="12.75" customHeight="1" x14ac:dyDescent="0.35"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</row>
    <row r="881" spans="2:13" ht="12.75" customHeight="1" x14ac:dyDescent="0.35"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</row>
    <row r="882" spans="2:13" ht="12.75" customHeight="1" x14ac:dyDescent="0.35"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</row>
    <row r="883" spans="2:13" ht="12.75" customHeight="1" x14ac:dyDescent="0.35"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</row>
    <row r="884" spans="2:13" ht="12.75" customHeight="1" x14ac:dyDescent="0.35"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</row>
    <row r="885" spans="2:13" ht="12.75" customHeight="1" x14ac:dyDescent="0.35"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</row>
    <row r="886" spans="2:13" ht="12.75" customHeight="1" x14ac:dyDescent="0.35"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</row>
    <row r="887" spans="2:13" ht="12.75" customHeight="1" x14ac:dyDescent="0.35"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</row>
    <row r="888" spans="2:13" ht="12.75" customHeight="1" x14ac:dyDescent="0.35"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</row>
    <row r="889" spans="2:13" ht="12.75" customHeight="1" x14ac:dyDescent="0.35"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</row>
    <row r="890" spans="2:13" ht="12.75" customHeight="1" x14ac:dyDescent="0.35"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</row>
    <row r="891" spans="2:13" ht="12.75" customHeight="1" x14ac:dyDescent="0.35"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</row>
    <row r="892" spans="2:13" ht="12.75" customHeight="1" x14ac:dyDescent="0.35"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</row>
    <row r="893" spans="2:13" ht="12.75" customHeight="1" x14ac:dyDescent="0.35"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</row>
    <row r="894" spans="2:13" ht="12.75" customHeight="1" x14ac:dyDescent="0.35"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</row>
    <row r="895" spans="2:13" ht="12.75" customHeight="1" x14ac:dyDescent="0.35"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</row>
    <row r="896" spans="2:13" ht="12.75" customHeight="1" x14ac:dyDescent="0.35"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</row>
    <row r="897" spans="2:13" ht="12.75" customHeight="1" x14ac:dyDescent="0.35"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</row>
    <row r="898" spans="2:13" ht="12.75" customHeight="1" x14ac:dyDescent="0.35"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</row>
    <row r="899" spans="2:13" ht="12.75" customHeight="1" x14ac:dyDescent="0.35"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</row>
    <row r="900" spans="2:13" ht="12.75" customHeight="1" x14ac:dyDescent="0.35"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</row>
    <row r="901" spans="2:13" ht="12.75" customHeight="1" x14ac:dyDescent="0.35"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</row>
    <row r="902" spans="2:13" ht="12.75" customHeight="1" x14ac:dyDescent="0.35"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</row>
    <row r="903" spans="2:13" ht="12.75" customHeight="1" x14ac:dyDescent="0.35"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</row>
    <row r="904" spans="2:13" ht="12.75" customHeight="1" x14ac:dyDescent="0.35"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</row>
    <row r="905" spans="2:13" ht="12.75" customHeight="1" x14ac:dyDescent="0.35"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</row>
    <row r="906" spans="2:13" ht="12.75" customHeight="1" x14ac:dyDescent="0.35"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</row>
    <row r="907" spans="2:13" ht="12.75" customHeight="1" x14ac:dyDescent="0.35"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</row>
    <row r="908" spans="2:13" ht="12.75" customHeight="1" x14ac:dyDescent="0.35"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</row>
    <row r="909" spans="2:13" ht="12.75" customHeight="1" x14ac:dyDescent="0.35"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</row>
    <row r="910" spans="2:13" ht="12.75" customHeight="1" x14ac:dyDescent="0.35"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</row>
    <row r="911" spans="2:13" ht="12.75" customHeight="1" x14ac:dyDescent="0.35"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</row>
    <row r="912" spans="2:13" ht="12.75" customHeight="1" x14ac:dyDescent="0.35"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</row>
    <row r="913" spans="2:13" ht="12.75" customHeight="1" x14ac:dyDescent="0.35"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</row>
    <row r="914" spans="2:13" ht="12.75" customHeight="1" x14ac:dyDescent="0.35"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</row>
    <row r="915" spans="2:13" ht="12.75" customHeight="1" x14ac:dyDescent="0.35"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</row>
    <row r="916" spans="2:13" ht="12.75" customHeight="1" x14ac:dyDescent="0.35"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</row>
    <row r="917" spans="2:13" ht="12.75" customHeight="1" x14ac:dyDescent="0.35"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</row>
    <row r="918" spans="2:13" ht="12.75" customHeight="1" x14ac:dyDescent="0.35"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</row>
    <row r="919" spans="2:13" ht="12.75" customHeight="1" x14ac:dyDescent="0.35"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</row>
    <row r="920" spans="2:13" ht="12.75" customHeight="1" x14ac:dyDescent="0.35"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</row>
    <row r="921" spans="2:13" ht="12.75" customHeight="1" x14ac:dyDescent="0.35"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</row>
    <row r="922" spans="2:13" ht="12.75" customHeight="1" x14ac:dyDescent="0.35"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</row>
    <row r="923" spans="2:13" ht="12.75" customHeight="1" x14ac:dyDescent="0.35"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</row>
    <row r="924" spans="2:13" ht="12.75" customHeight="1" x14ac:dyDescent="0.35"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</row>
    <row r="925" spans="2:13" ht="12.75" customHeight="1" x14ac:dyDescent="0.35"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</row>
    <row r="926" spans="2:13" ht="12.75" customHeight="1" x14ac:dyDescent="0.35"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</row>
    <row r="927" spans="2:13" ht="12.75" customHeight="1" x14ac:dyDescent="0.35"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</row>
    <row r="928" spans="2:13" ht="12.75" customHeight="1" x14ac:dyDescent="0.35"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</row>
    <row r="929" spans="2:13" ht="12.75" customHeight="1" x14ac:dyDescent="0.35"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</row>
    <row r="930" spans="2:13" ht="12.75" customHeight="1" x14ac:dyDescent="0.35"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</row>
    <row r="931" spans="2:13" ht="12.75" customHeight="1" x14ac:dyDescent="0.35"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</row>
    <row r="932" spans="2:13" ht="12.75" customHeight="1" x14ac:dyDescent="0.35"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</row>
    <row r="933" spans="2:13" ht="12.75" customHeight="1" x14ac:dyDescent="0.35"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</row>
    <row r="934" spans="2:13" ht="12.75" customHeight="1" x14ac:dyDescent="0.35"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</row>
    <row r="935" spans="2:13" ht="12.75" customHeight="1" x14ac:dyDescent="0.35"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</row>
    <row r="936" spans="2:13" ht="12.75" customHeight="1" x14ac:dyDescent="0.35"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</row>
    <row r="937" spans="2:13" ht="12.75" customHeight="1" x14ac:dyDescent="0.35"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</row>
    <row r="938" spans="2:13" ht="12.75" customHeight="1" x14ac:dyDescent="0.35"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</row>
    <row r="939" spans="2:13" ht="12.75" customHeight="1" x14ac:dyDescent="0.35">
      <c r="B939" s="47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</row>
    <row r="940" spans="2:13" ht="12.75" customHeight="1" x14ac:dyDescent="0.35">
      <c r="B940" s="47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</row>
    <row r="941" spans="2:13" ht="12.75" customHeight="1" x14ac:dyDescent="0.35">
      <c r="B941" s="47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</row>
    <row r="942" spans="2:13" ht="12.75" customHeight="1" x14ac:dyDescent="0.35"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</row>
    <row r="943" spans="2:13" ht="12.75" customHeight="1" x14ac:dyDescent="0.35"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</row>
    <row r="944" spans="2:13" ht="12.75" customHeight="1" x14ac:dyDescent="0.35"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</row>
    <row r="945" spans="2:13" ht="12.75" customHeight="1" x14ac:dyDescent="0.35"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</row>
    <row r="946" spans="2:13" ht="12.75" customHeight="1" x14ac:dyDescent="0.35"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</row>
    <row r="947" spans="2:13" ht="12.75" customHeight="1" x14ac:dyDescent="0.35"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</row>
    <row r="948" spans="2:13" ht="12.75" customHeight="1" x14ac:dyDescent="0.35"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</row>
    <row r="949" spans="2:13" ht="12.75" customHeight="1" x14ac:dyDescent="0.35"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</row>
    <row r="950" spans="2:13" ht="12.75" customHeight="1" x14ac:dyDescent="0.35"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</row>
    <row r="951" spans="2:13" ht="12.75" customHeight="1" x14ac:dyDescent="0.35"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</row>
    <row r="952" spans="2:13" ht="12.75" customHeight="1" x14ac:dyDescent="0.35"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</row>
    <row r="953" spans="2:13" ht="12.75" customHeight="1" x14ac:dyDescent="0.35">
      <c r="B953" s="47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</row>
    <row r="954" spans="2:13" ht="12.75" customHeight="1" x14ac:dyDescent="0.35"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</row>
    <row r="955" spans="2:13" ht="12.75" customHeight="1" x14ac:dyDescent="0.35">
      <c r="B955" s="47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</row>
    <row r="956" spans="2:13" ht="12.75" customHeight="1" x14ac:dyDescent="0.35"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</row>
    <row r="957" spans="2:13" ht="12.75" customHeight="1" x14ac:dyDescent="0.35">
      <c r="B957" s="47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</row>
    <row r="958" spans="2:13" ht="12.75" customHeight="1" x14ac:dyDescent="0.35">
      <c r="B958" s="47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</row>
    <row r="959" spans="2:13" ht="12.75" customHeight="1" x14ac:dyDescent="0.35">
      <c r="B959" s="47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</row>
    <row r="960" spans="2:13" ht="12.75" customHeight="1" x14ac:dyDescent="0.35">
      <c r="B960" s="47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</row>
    <row r="961" spans="2:13" ht="12.75" customHeight="1" x14ac:dyDescent="0.35">
      <c r="B961" s="47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</row>
    <row r="962" spans="2:13" ht="12.75" customHeight="1" x14ac:dyDescent="0.35">
      <c r="B962" s="47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</row>
    <row r="963" spans="2:13" ht="12.75" customHeight="1" x14ac:dyDescent="0.35">
      <c r="B963" s="47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</row>
    <row r="964" spans="2:13" ht="12.75" customHeight="1" x14ac:dyDescent="0.35">
      <c r="B964" s="47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</row>
    <row r="965" spans="2:13" ht="12.75" customHeight="1" x14ac:dyDescent="0.35">
      <c r="B965" s="47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</row>
    <row r="966" spans="2:13" ht="12.75" customHeight="1" x14ac:dyDescent="0.35">
      <c r="B966" s="47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</row>
    <row r="967" spans="2:13" ht="12.75" customHeight="1" x14ac:dyDescent="0.35">
      <c r="B967" s="47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</row>
    <row r="968" spans="2:13" ht="12.75" customHeight="1" x14ac:dyDescent="0.35">
      <c r="B968" s="47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</row>
    <row r="969" spans="2:13" ht="12.75" customHeight="1" x14ac:dyDescent="0.35">
      <c r="B969" s="47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</row>
    <row r="970" spans="2:13" ht="12.75" customHeight="1" x14ac:dyDescent="0.35">
      <c r="B970" s="47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</row>
    <row r="971" spans="2:13" ht="12.75" customHeight="1" x14ac:dyDescent="0.35">
      <c r="B971" s="47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</row>
    <row r="972" spans="2:13" ht="12.75" customHeight="1" x14ac:dyDescent="0.35">
      <c r="B972" s="47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</row>
    <row r="973" spans="2:13" ht="12.75" customHeight="1" x14ac:dyDescent="0.35">
      <c r="B973" s="47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</row>
    <row r="974" spans="2:13" ht="12.75" customHeight="1" x14ac:dyDescent="0.35">
      <c r="B974" s="47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</row>
    <row r="975" spans="2:13" ht="12.75" customHeight="1" x14ac:dyDescent="0.35">
      <c r="B975" s="47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</row>
    <row r="976" spans="2:13" ht="12.75" customHeight="1" x14ac:dyDescent="0.35">
      <c r="B976" s="47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</row>
    <row r="977" spans="2:13" ht="12.75" customHeight="1" x14ac:dyDescent="0.35">
      <c r="B977" s="47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</row>
    <row r="978" spans="2:13" ht="12.75" customHeight="1" x14ac:dyDescent="0.35">
      <c r="B978" s="47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</row>
    <row r="979" spans="2:13" ht="12.75" customHeight="1" x14ac:dyDescent="0.35">
      <c r="B979" s="47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</row>
    <row r="980" spans="2:13" ht="12.75" customHeight="1" x14ac:dyDescent="0.35">
      <c r="B980" s="47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</row>
    <row r="981" spans="2:13" ht="12.75" customHeight="1" x14ac:dyDescent="0.35">
      <c r="B981" s="47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</row>
    <row r="982" spans="2:13" ht="12.75" customHeight="1" x14ac:dyDescent="0.35">
      <c r="B982" s="47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</row>
    <row r="983" spans="2:13" ht="12.75" customHeight="1" x14ac:dyDescent="0.35">
      <c r="B983" s="47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</row>
    <row r="984" spans="2:13" ht="12.75" customHeight="1" x14ac:dyDescent="0.35">
      <c r="B984" s="47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</row>
    <row r="985" spans="2:13" ht="12.75" customHeight="1" x14ac:dyDescent="0.35">
      <c r="B985" s="47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</row>
    <row r="986" spans="2:13" ht="12.75" customHeight="1" x14ac:dyDescent="0.35">
      <c r="B986" s="47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</row>
    <row r="987" spans="2:13" ht="12.75" customHeight="1" x14ac:dyDescent="0.35">
      <c r="B987" s="47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</row>
    <row r="988" spans="2:13" ht="12.75" customHeight="1" x14ac:dyDescent="0.35">
      <c r="B988" s="47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</row>
    <row r="989" spans="2:13" ht="12.75" customHeight="1" x14ac:dyDescent="0.35">
      <c r="B989" s="47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</row>
    <row r="990" spans="2:13" ht="12.75" customHeight="1" x14ac:dyDescent="0.35">
      <c r="B990" s="47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</row>
    <row r="991" spans="2:13" ht="12.75" customHeight="1" x14ac:dyDescent="0.35">
      <c r="B991" s="47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</row>
    <row r="992" spans="2:13" ht="12.75" customHeight="1" x14ac:dyDescent="0.35">
      <c r="B992" s="47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</row>
    <row r="993" spans="2:13" ht="12.75" customHeight="1" x14ac:dyDescent="0.35">
      <c r="B993" s="47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</row>
    <row r="994" spans="2:13" ht="12.75" customHeight="1" x14ac:dyDescent="0.35">
      <c r="B994" s="47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</row>
    <row r="995" spans="2:13" ht="12.75" customHeight="1" x14ac:dyDescent="0.35">
      <c r="B995" s="47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</row>
    <row r="996" spans="2:13" ht="12.75" customHeight="1" x14ac:dyDescent="0.35">
      <c r="B996" s="47"/>
      <c r="C996" s="47"/>
      <c r="D996" s="47"/>
      <c r="E996" s="47"/>
      <c r="F996" s="47"/>
      <c r="G996" s="47"/>
      <c r="H996" s="47"/>
      <c r="I996" s="47"/>
      <c r="J996" s="47"/>
      <c r="K996" s="47"/>
      <c r="L996" s="47"/>
      <c r="M996" s="47"/>
    </row>
    <row r="997" spans="2:13" ht="12.75" customHeight="1" x14ac:dyDescent="0.35">
      <c r="B997" s="47"/>
      <c r="C997" s="47"/>
      <c r="D997" s="47"/>
      <c r="E997" s="47"/>
      <c r="F997" s="47"/>
      <c r="G997" s="47"/>
      <c r="H997" s="47"/>
      <c r="I997" s="47"/>
      <c r="J997" s="47"/>
      <c r="K997" s="47"/>
      <c r="L997" s="47"/>
      <c r="M997" s="47"/>
    </row>
    <row r="998" spans="2:13" ht="12.75" customHeight="1" x14ac:dyDescent="0.35">
      <c r="B998" s="47"/>
      <c r="C998" s="47"/>
      <c r="D998" s="47"/>
      <c r="E998" s="47"/>
      <c r="F998" s="47"/>
      <c r="G998" s="47"/>
      <c r="H998" s="47"/>
      <c r="I998" s="47"/>
      <c r="J998" s="47"/>
      <c r="K998" s="47"/>
      <c r="L998" s="47"/>
      <c r="M998" s="47"/>
    </row>
  </sheetData>
  <phoneticPr fontId="10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9:D20"/>
  <sheetViews>
    <sheetView workbookViewId="0"/>
  </sheetViews>
  <sheetFormatPr defaultColWidth="12.59765625" defaultRowHeight="15.75" customHeight="1" x14ac:dyDescent="0.35"/>
  <sheetData>
    <row r="9" spans="1:4" x14ac:dyDescent="0.35">
      <c r="A9" s="5" t="s">
        <v>237</v>
      </c>
      <c r="B9" s="6" t="s">
        <v>238</v>
      </c>
      <c r="C9" s="5" t="s">
        <v>237</v>
      </c>
      <c r="D9" s="6">
        <v>2</v>
      </c>
    </row>
    <row r="10" spans="1:4" x14ac:dyDescent="0.35">
      <c r="A10" s="5" t="s">
        <v>239</v>
      </c>
      <c r="B10" s="6" t="s">
        <v>240</v>
      </c>
      <c r="C10" s="5" t="s">
        <v>239</v>
      </c>
      <c r="D10" s="6">
        <v>3</v>
      </c>
    </row>
    <row r="11" spans="1:4" x14ac:dyDescent="0.35">
      <c r="A11" s="5" t="s">
        <v>241</v>
      </c>
      <c r="B11" s="6" t="s">
        <v>242</v>
      </c>
      <c r="C11" s="5" t="s">
        <v>241</v>
      </c>
      <c r="D11" s="6">
        <v>4</v>
      </c>
    </row>
    <row r="12" spans="1:4" x14ac:dyDescent="0.35">
      <c r="A12" s="5" t="s">
        <v>243</v>
      </c>
      <c r="B12" s="6" t="s">
        <v>244</v>
      </c>
      <c r="C12" s="5" t="s">
        <v>243</v>
      </c>
      <c r="D12" s="6">
        <v>5</v>
      </c>
    </row>
    <row r="13" spans="1:4" x14ac:dyDescent="0.35">
      <c r="A13" s="5" t="s">
        <v>245</v>
      </c>
      <c r="B13" s="6" t="s">
        <v>246</v>
      </c>
      <c r="C13" s="5" t="s">
        <v>245</v>
      </c>
      <c r="D13" s="6">
        <v>6</v>
      </c>
    </row>
    <row r="14" spans="1:4" x14ac:dyDescent="0.35">
      <c r="A14" s="5" t="s">
        <v>247</v>
      </c>
      <c r="B14" s="6" t="s">
        <v>248</v>
      </c>
      <c r="C14" s="5" t="s">
        <v>247</v>
      </c>
      <c r="D14" s="6">
        <v>7</v>
      </c>
    </row>
    <row r="15" spans="1:4" x14ac:dyDescent="0.35">
      <c r="A15" s="5" t="s">
        <v>249</v>
      </c>
      <c r="B15" s="6" t="s">
        <v>250</v>
      </c>
      <c r="C15" s="5" t="s">
        <v>249</v>
      </c>
      <c r="D15" s="6">
        <v>8</v>
      </c>
    </row>
    <row r="16" spans="1:4" x14ac:dyDescent="0.35">
      <c r="A16" s="5" t="s">
        <v>251</v>
      </c>
      <c r="B16" s="6" t="s">
        <v>252</v>
      </c>
      <c r="C16" s="5" t="s">
        <v>251</v>
      </c>
      <c r="D16" s="6">
        <v>9</v>
      </c>
    </row>
    <row r="17" spans="1:4" x14ac:dyDescent="0.35">
      <c r="A17" s="5" t="s">
        <v>253</v>
      </c>
      <c r="B17" s="6" t="s">
        <v>254</v>
      </c>
      <c r="C17" s="5" t="s">
        <v>253</v>
      </c>
      <c r="D17" s="6">
        <v>10</v>
      </c>
    </row>
    <row r="18" spans="1:4" x14ac:dyDescent="0.35">
      <c r="A18" s="5" t="s">
        <v>255</v>
      </c>
      <c r="B18" s="6" t="s">
        <v>256</v>
      </c>
      <c r="C18" s="5" t="s">
        <v>255</v>
      </c>
      <c r="D18" s="6">
        <v>11</v>
      </c>
    </row>
    <row r="19" spans="1:4" x14ac:dyDescent="0.35">
      <c r="A19" s="5" t="s">
        <v>257</v>
      </c>
      <c r="B19" s="6" t="s">
        <v>258</v>
      </c>
      <c r="C19" s="5" t="s">
        <v>257</v>
      </c>
      <c r="D19" s="6">
        <v>12</v>
      </c>
    </row>
    <row r="20" spans="1:4" x14ac:dyDescent="0.35">
      <c r="A20" s="5" t="s">
        <v>259</v>
      </c>
      <c r="B20" s="6" t="s">
        <v>260</v>
      </c>
      <c r="C20" s="5" t="s">
        <v>259</v>
      </c>
      <c r="D20" s="6">
        <v>1</v>
      </c>
    </row>
  </sheetData>
  <phoneticPr fontId="10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B2:AU3182"/>
  <sheetViews>
    <sheetView workbookViewId="0"/>
  </sheetViews>
  <sheetFormatPr defaultColWidth="12.59765625" defaultRowHeight="15.75" customHeight="1" x14ac:dyDescent="0.35"/>
  <sheetData>
    <row r="2" spans="2:47" x14ac:dyDescent="0.35">
      <c r="D2" s="6" t="s">
        <v>261</v>
      </c>
      <c r="E2" s="67">
        <v>43098</v>
      </c>
      <c r="AT2" s="6">
        <v>31.1035</v>
      </c>
    </row>
    <row r="3" spans="2:47" x14ac:dyDescent="0.35">
      <c r="D3" s="6" t="s">
        <v>262</v>
      </c>
      <c r="E3" s="67">
        <f ca="1">TODAY()</f>
        <v>46317</v>
      </c>
      <c r="AU3" s="6">
        <f ca="1">COUNTA(AT7:AT3591)</f>
        <v>2136</v>
      </c>
    </row>
    <row r="4" spans="2:47" x14ac:dyDescent="0.35">
      <c r="H4" s="6">
        <v>3230.78</v>
      </c>
      <c r="AU4" s="6">
        <f t="array" aca="1" ref="AU4" ca="1">INDEX(AT7:AT3591,AU3,1)</f>
        <v>4018.8</v>
      </c>
    </row>
    <row r="5" spans="2:47" x14ac:dyDescent="0.35">
      <c r="E5" s="6" t="s">
        <v>221</v>
      </c>
      <c r="H5" s="6">
        <v>3830.6</v>
      </c>
      <c r="M5" s="6" t="s">
        <v>40</v>
      </c>
      <c r="U5" s="6" t="s">
        <v>220</v>
      </c>
      <c r="AC5" s="6" t="s">
        <v>225</v>
      </c>
      <c r="AK5" s="6" t="s">
        <v>263</v>
      </c>
      <c r="AS5" s="6" t="s">
        <v>264</v>
      </c>
    </row>
    <row r="6" spans="2:47" x14ac:dyDescent="0.35">
      <c r="E6" s="6" t="str">
        <f ca="1">IFERROR(__xludf.DUMMYFUNCTION("GOOGLEFINANCE(""INDEXSP:.INX"",""price"",$E$2,$E$3,""daily"")"),"Date")</f>
        <v>Date</v>
      </c>
      <c r="F6" s="6" t="str">
        <f ca="1">IFERROR(__xludf.DUMMYFUNCTION("""COMPUTED_VALUE"""),"Close")</f>
        <v>Close</v>
      </c>
      <c r="M6" s="6" t="str">
        <f ca="1">IFERROR(__xludf.DUMMYFUNCTION("GOOGLEFINANCE(""INDEXNASDAQ:.IXIC"",""price"",$E$2,$E$3,""daily"")"),"Date")</f>
        <v>Date</v>
      </c>
      <c r="N6" s="6" t="str">
        <f ca="1">IFERROR(__xludf.DUMMYFUNCTION("""COMPUTED_VALUE"""),"Close")</f>
        <v>Close</v>
      </c>
      <c r="U6" s="6" t="str">
        <f ca="1">IFERROR(__xludf.DUMMYFUNCTION("GOOGLEFINANCE(""kospi"",""price"",$E$2-1,$E$3,""daily"")"),"Date")</f>
        <v>Date</v>
      </c>
      <c r="V6" s="6" t="str">
        <f ca="1">IFERROR(__xludf.DUMMYFUNCTION("""COMPUTED_VALUE"""),"Close")</f>
        <v>Close</v>
      </c>
      <c r="AC6" s="6" t="str">
        <f ca="1">IFERROR(__xludf.DUMMYFUNCTION("GOOGLEFINANCE(""USDKRW"",""price"",$E$2,$E$3,""daily"")"),"Date")</f>
        <v>Date</v>
      </c>
      <c r="AD6" s="6" t="str">
        <f ca="1">IFERROR(__xludf.DUMMYFUNCTION("""COMPUTED_VALUE"""),"Close")</f>
        <v>Close</v>
      </c>
      <c r="AK6" s="6" t="str">
        <f ca="1">IFERROR(__xludf.DUMMYFUNCTION("GOOGLEFINANCE(""BTCusd"",""price"",$E$2,$E$3,""daily"")"),"Date")</f>
        <v>Date</v>
      </c>
      <c r="AL6" s="6" t="str">
        <f ca="1">IFERROR(__xludf.DUMMYFUNCTION("""COMPUTED_VALUE"""),"Close")</f>
        <v>Close</v>
      </c>
      <c r="AS6" s="6" t="str">
        <f ca="1">IFERROR(__xludf.DUMMYFUNCTION("GOOGLEFINANCE(""GCW00"",""price"",$E$2,$E$3,""daily"")"),"Date")</f>
        <v>Date</v>
      </c>
      <c r="AT6" s="6" t="str">
        <f ca="1">IFERROR(__xludf.DUMMYFUNCTION("""COMPUTED_VALUE"""),"Close")</f>
        <v>Close</v>
      </c>
    </row>
    <row r="7" spans="2:47" x14ac:dyDescent="0.35">
      <c r="B7" s="6" t="str">
        <f t="shared" ref="B7:B70" ca="1" si="0">C7&amp;D7</f>
        <v>201712</v>
      </c>
      <c r="C7" s="6">
        <f t="shared" ref="C7:C70" ca="1" si="1">YEAR(E7)</f>
        <v>2017</v>
      </c>
      <c r="D7" s="6">
        <f t="shared" ref="D7:D70" ca="1" si="2">MONTH(E7)</f>
        <v>12</v>
      </c>
      <c r="E7" s="68">
        <f ca="1">IFERROR(__xludf.DUMMYFUNCTION("""COMPUTED_VALUE"""),43098.6666666666)</f>
        <v>43098.666666666599</v>
      </c>
      <c r="F7" s="6">
        <f ca="1">IFERROR(__xludf.DUMMYFUNCTION("""COMPUTED_VALUE"""),2673.61)</f>
        <v>2673.61</v>
      </c>
      <c r="J7" s="6" t="str">
        <f t="shared" ref="J7:J70" ca="1" si="3">K7&amp;L7</f>
        <v>201712</v>
      </c>
      <c r="K7" s="6">
        <f t="shared" ref="K7:K70" ca="1" si="4">YEAR(M7)</f>
        <v>2017</v>
      </c>
      <c r="L7" s="6">
        <f t="shared" ref="L7:L70" ca="1" si="5">MONTH(M7)</f>
        <v>12</v>
      </c>
      <c r="M7" s="68">
        <f ca="1">IFERROR(__xludf.DUMMYFUNCTION("""COMPUTED_VALUE"""),43098.6666666666)</f>
        <v>43098.666666666599</v>
      </c>
      <c r="N7" s="6">
        <f ca="1">IFERROR(__xludf.DUMMYFUNCTION("""COMPUTED_VALUE"""),6903.39)</f>
        <v>6903.39</v>
      </c>
      <c r="R7" s="6" t="str">
        <f t="shared" ref="R7:R70" ca="1" si="6">S7&amp;T7</f>
        <v>201712</v>
      </c>
      <c r="S7" s="6">
        <f t="shared" ref="S7:S70" ca="1" si="7">YEAR(U7)</f>
        <v>2017</v>
      </c>
      <c r="T7" s="6">
        <f t="shared" ref="T7:T70" ca="1" si="8">MONTH(U7)</f>
        <v>12</v>
      </c>
      <c r="U7" s="68">
        <f ca="1">IFERROR(__xludf.DUMMYFUNCTION("""COMPUTED_VALUE"""),43097.6458333333)</f>
        <v>43097.645833333299</v>
      </c>
      <c r="V7" s="6">
        <f ca="1">IFERROR(__xludf.DUMMYFUNCTION("""COMPUTED_VALUE"""),2467.49)</f>
        <v>2467.4899999999998</v>
      </c>
      <c r="Z7" s="6" t="str">
        <f t="shared" ref="Z7:Z70" ca="1" si="9">AA7&amp;AB7</f>
        <v>201712</v>
      </c>
      <c r="AA7" s="6">
        <f t="shared" ref="AA7:AA70" ca="1" si="10">YEAR(AC7)</f>
        <v>2017</v>
      </c>
      <c r="AB7" s="6">
        <f t="shared" ref="AB7:AB70" ca="1" si="11">MONTH(AC7)</f>
        <v>12</v>
      </c>
      <c r="AC7" s="68">
        <f ca="1">IFERROR(__xludf.DUMMYFUNCTION("""COMPUTED_VALUE"""),43098.9986111111)</f>
        <v>43098.998611111099</v>
      </c>
      <c r="AD7" s="6">
        <f ca="1">IFERROR(__xludf.DUMMYFUNCTION("""COMPUTED_VALUE"""),1065.38)</f>
        <v>1065.3800000000001</v>
      </c>
      <c r="AH7" s="6" t="str">
        <f t="shared" ref="AH7:AH70" ca="1" si="12">AI7&amp;AJ7</f>
        <v>201712</v>
      </c>
      <c r="AI7" s="6">
        <f t="shared" ref="AI7:AI70" ca="1" si="13">YEAR(AK7)</f>
        <v>2017</v>
      </c>
      <c r="AJ7" s="6">
        <f t="shared" ref="AJ7:AJ70" ca="1" si="14">MONTH(AK7)</f>
        <v>12</v>
      </c>
      <c r="AK7" s="68">
        <f ca="1">IFERROR(__xludf.DUMMYFUNCTION("""COMPUTED_VALUE"""),43098.9986111111)</f>
        <v>43098.998611111099</v>
      </c>
      <c r="AL7" s="6">
        <f ca="1">IFERROR(__xludf.DUMMYFUNCTION("""COMPUTED_VALUE"""),14492.85)</f>
        <v>14492.85</v>
      </c>
      <c r="AP7" s="6" t="str">
        <f t="shared" ref="AP7:AP70" ca="1" si="15">AQ7&amp;AR7</f>
        <v>201712</v>
      </c>
      <c r="AQ7" s="6">
        <f t="shared" ref="AQ7:AQ70" ca="1" si="16">YEAR(AS7)</f>
        <v>2017</v>
      </c>
      <c r="AR7" s="6">
        <f t="shared" ref="AR7:AR70" ca="1" si="17">MONTH(AS7)</f>
        <v>12</v>
      </c>
      <c r="AS7" s="68">
        <f ca="1">IFERROR(__xludf.DUMMYFUNCTION("""COMPUTED_VALUE"""),43098.9986111111)</f>
        <v>43098.998611111099</v>
      </c>
      <c r="AT7" s="6">
        <f ca="1">IFERROR(__xludf.DUMMYFUNCTION("""COMPUTED_VALUE"""),1309.3)</f>
        <v>1309.3</v>
      </c>
    </row>
    <row r="8" spans="2:47" x14ac:dyDescent="0.35">
      <c r="B8" s="6" t="str">
        <f t="shared" ca="1" si="0"/>
        <v>20181</v>
      </c>
      <c r="C8" s="6">
        <f t="shared" ca="1" si="1"/>
        <v>2018</v>
      </c>
      <c r="D8" s="6">
        <f t="shared" ca="1" si="2"/>
        <v>1</v>
      </c>
      <c r="E8" s="68">
        <f ca="1">IFERROR(__xludf.DUMMYFUNCTION("""COMPUTED_VALUE"""),43102.6666666666)</f>
        <v>43102.666666666599</v>
      </c>
      <c r="F8" s="6">
        <f ca="1">IFERROR(__xludf.DUMMYFUNCTION("""COMPUTED_VALUE"""),2695.81)</f>
        <v>2695.81</v>
      </c>
      <c r="H8" s="69">
        <f>H5/H4-1</f>
        <v>0.18565795256872941</v>
      </c>
      <c r="J8" s="6" t="str">
        <f t="shared" ca="1" si="3"/>
        <v>20181</v>
      </c>
      <c r="K8" s="6">
        <f t="shared" ca="1" si="4"/>
        <v>2018</v>
      </c>
      <c r="L8" s="6">
        <f t="shared" ca="1" si="5"/>
        <v>1</v>
      </c>
      <c r="M8" s="68">
        <f ca="1">IFERROR(__xludf.DUMMYFUNCTION("""COMPUTED_VALUE"""),43102.6666666666)</f>
        <v>43102.666666666599</v>
      </c>
      <c r="N8" s="6">
        <f ca="1">IFERROR(__xludf.DUMMYFUNCTION("""COMPUTED_VALUE"""),7006.9)</f>
        <v>7006.9</v>
      </c>
      <c r="R8" s="6" t="str">
        <f t="shared" ca="1" si="6"/>
        <v>20181</v>
      </c>
      <c r="S8" s="6">
        <f t="shared" ca="1" si="7"/>
        <v>2018</v>
      </c>
      <c r="T8" s="6">
        <f t="shared" ca="1" si="8"/>
        <v>1</v>
      </c>
      <c r="U8" s="68">
        <f ca="1">IFERROR(__xludf.DUMMYFUNCTION("""COMPUTED_VALUE"""),43102.6458333333)</f>
        <v>43102.645833333299</v>
      </c>
      <c r="V8" s="6">
        <f ca="1">IFERROR(__xludf.DUMMYFUNCTION("""COMPUTED_VALUE"""),2479.65)</f>
        <v>2479.65</v>
      </c>
      <c r="Z8" s="6" t="str">
        <f t="shared" ca="1" si="9"/>
        <v>201712</v>
      </c>
      <c r="AA8" s="6">
        <f t="shared" ca="1" si="10"/>
        <v>2017</v>
      </c>
      <c r="AB8" s="6">
        <f t="shared" ca="1" si="11"/>
        <v>12</v>
      </c>
      <c r="AC8" s="68">
        <f ca="1">IFERROR(__xludf.DUMMYFUNCTION("""COMPUTED_VALUE"""),43099.9986111111)</f>
        <v>43099.998611111099</v>
      </c>
      <c r="AD8" s="6">
        <f ca="1">IFERROR(__xludf.DUMMYFUNCTION("""COMPUTED_VALUE"""),1066.38)</f>
        <v>1066.3800000000001</v>
      </c>
      <c r="AH8" s="6" t="str">
        <f t="shared" ca="1" si="12"/>
        <v>201712</v>
      </c>
      <c r="AI8" s="6">
        <f t="shared" ca="1" si="13"/>
        <v>2017</v>
      </c>
      <c r="AJ8" s="6">
        <f t="shared" ca="1" si="14"/>
        <v>12</v>
      </c>
      <c r="AK8" s="68">
        <f ca="1">IFERROR(__xludf.DUMMYFUNCTION("""COMPUTED_VALUE"""),43099.9986111111)</f>
        <v>43099.998611111099</v>
      </c>
      <c r="AL8" s="6">
        <f ca="1">IFERROR(__xludf.DUMMYFUNCTION("""COMPUTED_VALUE"""),13012.22)</f>
        <v>13012.22</v>
      </c>
      <c r="AP8" s="6" t="str">
        <f t="shared" ca="1" si="15"/>
        <v>20181</v>
      </c>
      <c r="AQ8" s="6">
        <f t="shared" ca="1" si="16"/>
        <v>2018</v>
      </c>
      <c r="AR8" s="6">
        <f t="shared" ca="1" si="17"/>
        <v>1</v>
      </c>
      <c r="AS8" s="68">
        <f ca="1">IFERROR(__xludf.DUMMYFUNCTION("""COMPUTED_VALUE"""),43102.9986111111)</f>
        <v>43102.998611111099</v>
      </c>
      <c r="AT8" s="6">
        <f ca="1">IFERROR(__xludf.DUMMYFUNCTION("""COMPUTED_VALUE"""),1316.1)</f>
        <v>1316.1</v>
      </c>
    </row>
    <row r="9" spans="2:47" x14ac:dyDescent="0.35">
      <c r="B9" s="6" t="str">
        <f t="shared" ca="1" si="0"/>
        <v>20181</v>
      </c>
      <c r="C9" s="6">
        <f t="shared" ca="1" si="1"/>
        <v>2018</v>
      </c>
      <c r="D9" s="6">
        <f t="shared" ca="1" si="2"/>
        <v>1</v>
      </c>
      <c r="E9" s="68">
        <f ca="1">IFERROR(__xludf.DUMMYFUNCTION("""COMPUTED_VALUE"""),43103.6666666666)</f>
        <v>43103.666666666599</v>
      </c>
      <c r="F9" s="6">
        <f ca="1">IFERROR(__xludf.DUMMYFUNCTION("""COMPUTED_VALUE"""),2713.06)</f>
        <v>2713.06</v>
      </c>
      <c r="H9" s="70">
        <f>RATE(4,0,-H4,H5,0)</f>
        <v>4.3493755870255398E-2</v>
      </c>
      <c r="J9" s="6" t="str">
        <f t="shared" ca="1" si="3"/>
        <v>20181</v>
      </c>
      <c r="K9" s="6">
        <f t="shared" ca="1" si="4"/>
        <v>2018</v>
      </c>
      <c r="L9" s="6">
        <f t="shared" ca="1" si="5"/>
        <v>1</v>
      </c>
      <c r="M9" s="68">
        <f ca="1">IFERROR(__xludf.DUMMYFUNCTION("""COMPUTED_VALUE"""),43103.6666666666)</f>
        <v>43103.666666666599</v>
      </c>
      <c r="N9" s="6">
        <f ca="1">IFERROR(__xludf.DUMMYFUNCTION("""COMPUTED_VALUE"""),7065.53)</f>
        <v>7065.53</v>
      </c>
      <c r="R9" s="6" t="str">
        <f t="shared" ca="1" si="6"/>
        <v>20181</v>
      </c>
      <c r="S9" s="6">
        <f t="shared" ca="1" si="7"/>
        <v>2018</v>
      </c>
      <c r="T9" s="6">
        <f t="shared" ca="1" si="8"/>
        <v>1</v>
      </c>
      <c r="U9" s="68">
        <f ca="1">IFERROR(__xludf.DUMMYFUNCTION("""COMPUTED_VALUE"""),43103.6458333333)</f>
        <v>43103.645833333299</v>
      </c>
      <c r="V9" s="6">
        <f ca="1">IFERROR(__xludf.DUMMYFUNCTION("""COMPUTED_VALUE"""),2486.35)</f>
        <v>2486.35</v>
      </c>
      <c r="Z9" s="6" t="str">
        <f t="shared" ca="1" si="9"/>
        <v>201712</v>
      </c>
      <c r="AA9" s="6">
        <f t="shared" ca="1" si="10"/>
        <v>2017</v>
      </c>
      <c r="AB9" s="6">
        <f t="shared" ca="1" si="11"/>
        <v>12</v>
      </c>
      <c r="AC9" s="68">
        <f ca="1">IFERROR(__xludf.DUMMYFUNCTION("""COMPUTED_VALUE"""),43100.9986111111)</f>
        <v>43100.998611111099</v>
      </c>
      <c r="AD9" s="6">
        <f ca="1">IFERROR(__xludf.DUMMYFUNCTION("""COMPUTED_VALUE"""),1066.07)</f>
        <v>1066.07</v>
      </c>
      <c r="AH9" s="6" t="str">
        <f t="shared" ca="1" si="12"/>
        <v>201712</v>
      </c>
      <c r="AI9" s="6">
        <f t="shared" ca="1" si="13"/>
        <v>2017</v>
      </c>
      <c r="AJ9" s="6">
        <f t="shared" ca="1" si="14"/>
        <v>12</v>
      </c>
      <c r="AK9" s="68">
        <f ca="1">IFERROR(__xludf.DUMMYFUNCTION("""COMPUTED_VALUE"""),43100.9986111111)</f>
        <v>43100.998611111099</v>
      </c>
      <c r="AL9" s="6">
        <f ca="1">IFERROR(__xludf.DUMMYFUNCTION("""COMPUTED_VALUE"""),13880.99)</f>
        <v>13880.99</v>
      </c>
      <c r="AP9" s="6" t="str">
        <f t="shared" ca="1" si="15"/>
        <v>20181</v>
      </c>
      <c r="AQ9" s="6">
        <f t="shared" ca="1" si="16"/>
        <v>2018</v>
      </c>
      <c r="AR9" s="6">
        <f t="shared" ca="1" si="17"/>
        <v>1</v>
      </c>
      <c r="AS9" s="68">
        <f ca="1">IFERROR(__xludf.DUMMYFUNCTION("""COMPUTED_VALUE"""),43103.9986111111)</f>
        <v>43103.998611111099</v>
      </c>
      <c r="AT9" s="6">
        <f ca="1">IFERROR(__xludf.DUMMYFUNCTION("""COMPUTED_VALUE"""),1318.5)</f>
        <v>1318.5</v>
      </c>
    </row>
    <row r="10" spans="2:47" x14ac:dyDescent="0.35">
      <c r="B10" s="6" t="str">
        <f t="shared" ca="1" si="0"/>
        <v>20181</v>
      </c>
      <c r="C10" s="6">
        <f t="shared" ca="1" si="1"/>
        <v>2018</v>
      </c>
      <c r="D10" s="6">
        <f t="shared" ca="1" si="2"/>
        <v>1</v>
      </c>
      <c r="E10" s="68">
        <f ca="1">IFERROR(__xludf.DUMMYFUNCTION("""COMPUTED_VALUE"""),43104.6666666666)</f>
        <v>43104.666666666599</v>
      </c>
      <c r="F10" s="6">
        <f ca="1">IFERROR(__xludf.DUMMYFUNCTION("""COMPUTED_VALUE"""),2723.99)</f>
        <v>2723.99</v>
      </c>
      <c r="J10" s="6" t="str">
        <f t="shared" ca="1" si="3"/>
        <v>20181</v>
      </c>
      <c r="K10" s="6">
        <f t="shared" ca="1" si="4"/>
        <v>2018</v>
      </c>
      <c r="L10" s="6">
        <f t="shared" ca="1" si="5"/>
        <v>1</v>
      </c>
      <c r="M10" s="68">
        <f ca="1">IFERROR(__xludf.DUMMYFUNCTION("""COMPUTED_VALUE"""),43104.6666666666)</f>
        <v>43104.666666666599</v>
      </c>
      <c r="N10" s="6">
        <f ca="1">IFERROR(__xludf.DUMMYFUNCTION("""COMPUTED_VALUE"""),7077.92)</f>
        <v>7077.92</v>
      </c>
      <c r="R10" s="6" t="str">
        <f t="shared" ca="1" si="6"/>
        <v>20181</v>
      </c>
      <c r="S10" s="6">
        <f t="shared" ca="1" si="7"/>
        <v>2018</v>
      </c>
      <c r="T10" s="6">
        <f t="shared" ca="1" si="8"/>
        <v>1</v>
      </c>
      <c r="U10" s="68">
        <f ca="1">IFERROR(__xludf.DUMMYFUNCTION("""COMPUTED_VALUE"""),43104.6458333333)</f>
        <v>43104.645833333299</v>
      </c>
      <c r="V10" s="6">
        <f ca="1">IFERROR(__xludf.DUMMYFUNCTION("""COMPUTED_VALUE"""),2466.46)</f>
        <v>2466.46</v>
      </c>
      <c r="Z10" s="6" t="str">
        <f t="shared" ca="1" si="9"/>
        <v>20181</v>
      </c>
      <c r="AA10" s="6">
        <f t="shared" ca="1" si="10"/>
        <v>2018</v>
      </c>
      <c r="AB10" s="6">
        <f t="shared" ca="1" si="11"/>
        <v>1</v>
      </c>
      <c r="AC10" s="68">
        <f ca="1">IFERROR(__xludf.DUMMYFUNCTION("""COMPUTED_VALUE"""),43101.9986111111)</f>
        <v>43101.998611111099</v>
      </c>
      <c r="AD10" s="6">
        <f ca="1">IFERROR(__xludf.DUMMYFUNCTION("""COMPUTED_VALUE"""),1065.22)</f>
        <v>1065.22</v>
      </c>
      <c r="AH10" s="6" t="str">
        <f t="shared" ca="1" si="12"/>
        <v>20181</v>
      </c>
      <c r="AI10" s="6">
        <f t="shared" ca="1" si="13"/>
        <v>2018</v>
      </c>
      <c r="AJ10" s="6">
        <f t="shared" ca="1" si="14"/>
        <v>1</v>
      </c>
      <c r="AK10" s="68">
        <f ca="1">IFERROR(__xludf.DUMMYFUNCTION("""COMPUTED_VALUE"""),43101.9986111111)</f>
        <v>43101.998611111099</v>
      </c>
      <c r="AL10" s="6">
        <f ca="1">IFERROR(__xludf.DUMMYFUNCTION("""COMPUTED_VALUE"""),13584.14)</f>
        <v>13584.14</v>
      </c>
      <c r="AP10" s="6" t="str">
        <f t="shared" ca="1" si="15"/>
        <v>20181</v>
      </c>
      <c r="AQ10" s="6">
        <f t="shared" ca="1" si="16"/>
        <v>2018</v>
      </c>
      <c r="AR10" s="6">
        <f t="shared" ca="1" si="17"/>
        <v>1</v>
      </c>
      <c r="AS10" s="68">
        <f ca="1">IFERROR(__xludf.DUMMYFUNCTION("""COMPUTED_VALUE"""),43104.9986111111)</f>
        <v>43104.998611111099</v>
      </c>
      <c r="AT10" s="6">
        <f ca="1">IFERROR(__xludf.DUMMYFUNCTION("""COMPUTED_VALUE"""),1321.6)</f>
        <v>1321.6</v>
      </c>
    </row>
    <row r="11" spans="2:47" x14ac:dyDescent="0.35">
      <c r="B11" s="6" t="str">
        <f t="shared" ca="1" si="0"/>
        <v>20181</v>
      </c>
      <c r="C11" s="6">
        <f t="shared" ca="1" si="1"/>
        <v>2018</v>
      </c>
      <c r="D11" s="6">
        <f t="shared" ca="1" si="2"/>
        <v>1</v>
      </c>
      <c r="E11" s="68">
        <f ca="1">IFERROR(__xludf.DUMMYFUNCTION("""COMPUTED_VALUE"""),43105.6666666666)</f>
        <v>43105.666666666599</v>
      </c>
      <c r="F11" s="6">
        <f ca="1">IFERROR(__xludf.DUMMYFUNCTION("""COMPUTED_VALUE"""),2743.15)</f>
        <v>2743.15</v>
      </c>
      <c r="J11" s="6" t="str">
        <f t="shared" ca="1" si="3"/>
        <v>20181</v>
      </c>
      <c r="K11" s="6">
        <f t="shared" ca="1" si="4"/>
        <v>2018</v>
      </c>
      <c r="L11" s="6">
        <f t="shared" ca="1" si="5"/>
        <v>1</v>
      </c>
      <c r="M11" s="68">
        <f ca="1">IFERROR(__xludf.DUMMYFUNCTION("""COMPUTED_VALUE"""),43105.6666666666)</f>
        <v>43105.666666666599</v>
      </c>
      <c r="N11" s="6">
        <f ca="1">IFERROR(__xludf.DUMMYFUNCTION("""COMPUTED_VALUE"""),7136.56)</f>
        <v>7136.56</v>
      </c>
      <c r="R11" s="6" t="str">
        <f t="shared" ca="1" si="6"/>
        <v>20181</v>
      </c>
      <c r="S11" s="6">
        <f t="shared" ca="1" si="7"/>
        <v>2018</v>
      </c>
      <c r="T11" s="6">
        <f t="shared" ca="1" si="8"/>
        <v>1</v>
      </c>
      <c r="U11" s="68">
        <f ca="1">IFERROR(__xludf.DUMMYFUNCTION("""COMPUTED_VALUE"""),43105.6458333333)</f>
        <v>43105.645833333299</v>
      </c>
      <c r="V11" s="6">
        <f ca="1">IFERROR(__xludf.DUMMYFUNCTION("""COMPUTED_VALUE"""),2497.52)</f>
        <v>2497.52</v>
      </c>
      <c r="Z11" s="6" t="str">
        <f t="shared" ca="1" si="9"/>
        <v>20181</v>
      </c>
      <c r="AA11" s="6">
        <f t="shared" ca="1" si="10"/>
        <v>2018</v>
      </c>
      <c r="AB11" s="6">
        <f t="shared" ca="1" si="11"/>
        <v>1</v>
      </c>
      <c r="AC11" s="68">
        <f ca="1">IFERROR(__xludf.DUMMYFUNCTION("""COMPUTED_VALUE"""),43102.9986111111)</f>
        <v>43102.998611111099</v>
      </c>
      <c r="AD11" s="6">
        <f ca="1">IFERROR(__xludf.DUMMYFUNCTION("""COMPUTED_VALUE"""),1062.54)</f>
        <v>1062.54</v>
      </c>
      <c r="AH11" s="6" t="str">
        <f t="shared" ca="1" si="12"/>
        <v>20181</v>
      </c>
      <c r="AI11" s="6">
        <f t="shared" ca="1" si="13"/>
        <v>2018</v>
      </c>
      <c r="AJ11" s="6">
        <f t="shared" ca="1" si="14"/>
        <v>1</v>
      </c>
      <c r="AK11" s="68">
        <f ca="1">IFERROR(__xludf.DUMMYFUNCTION("""COMPUTED_VALUE"""),43102.9986111111)</f>
        <v>43102.998611111099</v>
      </c>
      <c r="AL11" s="6">
        <f ca="1">IFERROR(__xludf.DUMMYFUNCTION("""COMPUTED_VALUE"""),14756.63)</f>
        <v>14756.63</v>
      </c>
      <c r="AP11" s="6" t="str">
        <f t="shared" ca="1" si="15"/>
        <v>20181</v>
      </c>
      <c r="AQ11" s="6">
        <f t="shared" ca="1" si="16"/>
        <v>2018</v>
      </c>
      <c r="AR11" s="6">
        <f t="shared" ca="1" si="17"/>
        <v>1</v>
      </c>
      <c r="AS11" s="68">
        <f ca="1">IFERROR(__xludf.DUMMYFUNCTION("""COMPUTED_VALUE"""),43105.9986111111)</f>
        <v>43105.998611111099</v>
      </c>
      <c r="AT11" s="6">
        <f ca="1">IFERROR(__xludf.DUMMYFUNCTION("""COMPUTED_VALUE"""),1322.3)</f>
        <v>1322.3</v>
      </c>
    </row>
    <row r="12" spans="2:47" x14ac:dyDescent="0.35">
      <c r="B12" s="6" t="str">
        <f t="shared" ca="1" si="0"/>
        <v>20181</v>
      </c>
      <c r="C12" s="6">
        <f t="shared" ca="1" si="1"/>
        <v>2018</v>
      </c>
      <c r="D12" s="6">
        <f t="shared" ca="1" si="2"/>
        <v>1</v>
      </c>
      <c r="E12" s="68">
        <f ca="1">IFERROR(__xludf.DUMMYFUNCTION("""COMPUTED_VALUE"""),43108.6666666666)</f>
        <v>43108.666666666599</v>
      </c>
      <c r="F12" s="6">
        <f ca="1">IFERROR(__xludf.DUMMYFUNCTION("""COMPUTED_VALUE"""),2747.71)</f>
        <v>2747.71</v>
      </c>
      <c r="J12" s="6" t="str">
        <f t="shared" ca="1" si="3"/>
        <v>20181</v>
      </c>
      <c r="K12" s="6">
        <f t="shared" ca="1" si="4"/>
        <v>2018</v>
      </c>
      <c r="L12" s="6">
        <f t="shared" ca="1" si="5"/>
        <v>1</v>
      </c>
      <c r="M12" s="68">
        <f ca="1">IFERROR(__xludf.DUMMYFUNCTION("""COMPUTED_VALUE"""),43108.6666666666)</f>
        <v>43108.666666666599</v>
      </c>
      <c r="N12" s="6">
        <f ca="1">IFERROR(__xludf.DUMMYFUNCTION("""COMPUTED_VALUE"""),7157.39)</f>
        <v>7157.39</v>
      </c>
      <c r="R12" s="6" t="str">
        <f t="shared" ca="1" si="6"/>
        <v>20181</v>
      </c>
      <c r="S12" s="6">
        <f t="shared" ca="1" si="7"/>
        <v>2018</v>
      </c>
      <c r="T12" s="6">
        <f t="shared" ca="1" si="8"/>
        <v>1</v>
      </c>
      <c r="U12" s="68">
        <f ca="1">IFERROR(__xludf.DUMMYFUNCTION("""COMPUTED_VALUE"""),43108.6458333333)</f>
        <v>43108.645833333299</v>
      </c>
      <c r="V12" s="6">
        <f ca="1">IFERROR(__xludf.DUMMYFUNCTION("""COMPUTED_VALUE"""),2513.28)</f>
        <v>2513.2800000000002</v>
      </c>
      <c r="Z12" s="6" t="str">
        <f t="shared" ca="1" si="9"/>
        <v>20181</v>
      </c>
      <c r="AA12" s="6">
        <f t="shared" ca="1" si="10"/>
        <v>2018</v>
      </c>
      <c r="AB12" s="6">
        <f t="shared" ca="1" si="11"/>
        <v>1</v>
      </c>
      <c r="AC12" s="68">
        <f ca="1">IFERROR(__xludf.DUMMYFUNCTION("""COMPUTED_VALUE"""),43103.9986111111)</f>
        <v>43103.998611111099</v>
      </c>
      <c r="AD12" s="6">
        <f ca="1">IFERROR(__xludf.DUMMYFUNCTION("""COMPUTED_VALUE"""),1063.94)</f>
        <v>1063.94</v>
      </c>
      <c r="AH12" s="6" t="str">
        <f t="shared" ca="1" si="12"/>
        <v>20181</v>
      </c>
      <c r="AI12" s="6">
        <f t="shared" ca="1" si="13"/>
        <v>2018</v>
      </c>
      <c r="AJ12" s="6">
        <f t="shared" ca="1" si="14"/>
        <v>1</v>
      </c>
      <c r="AK12" s="68">
        <f ca="1">IFERROR(__xludf.DUMMYFUNCTION("""COMPUTED_VALUE"""),43103.9986111111)</f>
        <v>43103.998611111099</v>
      </c>
      <c r="AL12" s="6">
        <f ca="1">IFERROR(__xludf.DUMMYFUNCTION("""COMPUTED_VALUE"""),15082.82)</f>
        <v>15082.82</v>
      </c>
      <c r="AP12" s="6" t="str">
        <f t="shared" ca="1" si="15"/>
        <v>20181</v>
      </c>
      <c r="AQ12" s="6">
        <f t="shared" ca="1" si="16"/>
        <v>2018</v>
      </c>
      <c r="AR12" s="6">
        <f t="shared" ca="1" si="17"/>
        <v>1</v>
      </c>
      <c r="AS12" s="68">
        <f ca="1">IFERROR(__xludf.DUMMYFUNCTION("""COMPUTED_VALUE"""),43108.9986111111)</f>
        <v>43108.998611111099</v>
      </c>
      <c r="AT12" s="6">
        <f ca="1">IFERROR(__xludf.DUMMYFUNCTION("""COMPUTED_VALUE"""),1320.4)</f>
        <v>1320.4</v>
      </c>
    </row>
    <row r="13" spans="2:47" x14ac:dyDescent="0.35">
      <c r="B13" s="6" t="str">
        <f t="shared" ca="1" si="0"/>
        <v>20181</v>
      </c>
      <c r="C13" s="6">
        <f t="shared" ca="1" si="1"/>
        <v>2018</v>
      </c>
      <c r="D13" s="6">
        <f t="shared" ca="1" si="2"/>
        <v>1</v>
      </c>
      <c r="E13" s="68">
        <f ca="1">IFERROR(__xludf.DUMMYFUNCTION("""COMPUTED_VALUE"""),43109.6666666666)</f>
        <v>43109.666666666599</v>
      </c>
      <c r="F13" s="6">
        <f ca="1">IFERROR(__xludf.DUMMYFUNCTION("""COMPUTED_VALUE"""),2751.29)</f>
        <v>2751.29</v>
      </c>
      <c r="J13" s="6" t="str">
        <f t="shared" ca="1" si="3"/>
        <v>20181</v>
      </c>
      <c r="K13" s="6">
        <f t="shared" ca="1" si="4"/>
        <v>2018</v>
      </c>
      <c r="L13" s="6">
        <f t="shared" ca="1" si="5"/>
        <v>1</v>
      </c>
      <c r="M13" s="68">
        <f ca="1">IFERROR(__xludf.DUMMYFUNCTION("""COMPUTED_VALUE"""),43109.6666666666)</f>
        <v>43109.666666666599</v>
      </c>
      <c r="N13" s="6">
        <f ca="1">IFERROR(__xludf.DUMMYFUNCTION("""COMPUTED_VALUE"""),7163.58)</f>
        <v>7163.58</v>
      </c>
      <c r="R13" s="6" t="str">
        <f t="shared" ca="1" si="6"/>
        <v>20181</v>
      </c>
      <c r="S13" s="6">
        <f t="shared" ca="1" si="7"/>
        <v>2018</v>
      </c>
      <c r="T13" s="6">
        <f t="shared" ca="1" si="8"/>
        <v>1</v>
      </c>
      <c r="U13" s="68">
        <f ca="1">IFERROR(__xludf.DUMMYFUNCTION("""COMPUTED_VALUE"""),43109.6458333333)</f>
        <v>43109.645833333299</v>
      </c>
      <c r="V13" s="6">
        <f ca="1">IFERROR(__xludf.DUMMYFUNCTION("""COMPUTED_VALUE"""),2510.23)</f>
        <v>2510.23</v>
      </c>
      <c r="Z13" s="6" t="str">
        <f t="shared" ca="1" si="9"/>
        <v>20181</v>
      </c>
      <c r="AA13" s="6">
        <f t="shared" ca="1" si="10"/>
        <v>2018</v>
      </c>
      <c r="AB13" s="6">
        <f t="shared" ca="1" si="11"/>
        <v>1</v>
      </c>
      <c r="AC13" s="68">
        <f ca="1">IFERROR(__xludf.DUMMYFUNCTION("""COMPUTED_VALUE"""),43104.9986111111)</f>
        <v>43104.998611111099</v>
      </c>
      <c r="AD13" s="6">
        <f ca="1">IFERROR(__xludf.DUMMYFUNCTION("""COMPUTED_VALUE"""),1061.08)</f>
        <v>1061.08</v>
      </c>
      <c r="AH13" s="6" t="str">
        <f t="shared" ca="1" si="12"/>
        <v>20181</v>
      </c>
      <c r="AI13" s="6">
        <f t="shared" ca="1" si="13"/>
        <v>2018</v>
      </c>
      <c r="AJ13" s="6">
        <f t="shared" ca="1" si="14"/>
        <v>1</v>
      </c>
      <c r="AK13" s="68">
        <f ca="1">IFERROR(__xludf.DUMMYFUNCTION("""COMPUTED_VALUE"""),43104.9986111111)</f>
        <v>43104.998611111099</v>
      </c>
      <c r="AL13" s="6">
        <f ca="1">IFERROR(__xludf.DUMMYFUNCTION("""COMPUTED_VALUE"""),14922.65)</f>
        <v>14922.65</v>
      </c>
      <c r="AP13" s="6" t="str">
        <f t="shared" ca="1" si="15"/>
        <v>20181</v>
      </c>
      <c r="AQ13" s="6">
        <f t="shared" ca="1" si="16"/>
        <v>2018</v>
      </c>
      <c r="AR13" s="6">
        <f t="shared" ca="1" si="17"/>
        <v>1</v>
      </c>
      <c r="AS13" s="68">
        <f ca="1">IFERROR(__xludf.DUMMYFUNCTION("""COMPUTED_VALUE"""),43109.9986111111)</f>
        <v>43109.998611111099</v>
      </c>
      <c r="AT13" s="6">
        <f ca="1">IFERROR(__xludf.DUMMYFUNCTION("""COMPUTED_VALUE"""),1313.7)</f>
        <v>1313.7</v>
      </c>
    </row>
    <row r="14" spans="2:47" x14ac:dyDescent="0.35">
      <c r="B14" s="6" t="str">
        <f t="shared" ca="1" si="0"/>
        <v>20181</v>
      </c>
      <c r="C14" s="6">
        <f t="shared" ca="1" si="1"/>
        <v>2018</v>
      </c>
      <c r="D14" s="6">
        <f t="shared" ca="1" si="2"/>
        <v>1</v>
      </c>
      <c r="E14" s="68">
        <f ca="1">IFERROR(__xludf.DUMMYFUNCTION("""COMPUTED_VALUE"""),43110.6666666666)</f>
        <v>43110.666666666599</v>
      </c>
      <c r="F14" s="6">
        <f ca="1">IFERROR(__xludf.DUMMYFUNCTION("""COMPUTED_VALUE"""),2748.23)</f>
        <v>2748.23</v>
      </c>
      <c r="J14" s="6" t="str">
        <f t="shared" ca="1" si="3"/>
        <v>20181</v>
      </c>
      <c r="K14" s="6">
        <f t="shared" ca="1" si="4"/>
        <v>2018</v>
      </c>
      <c r="L14" s="6">
        <f t="shared" ca="1" si="5"/>
        <v>1</v>
      </c>
      <c r="M14" s="68">
        <f ca="1">IFERROR(__xludf.DUMMYFUNCTION("""COMPUTED_VALUE"""),43110.6666666666)</f>
        <v>43110.666666666599</v>
      </c>
      <c r="N14" s="6">
        <f ca="1">IFERROR(__xludf.DUMMYFUNCTION("""COMPUTED_VALUE"""),7153.57)</f>
        <v>7153.57</v>
      </c>
      <c r="R14" s="6" t="str">
        <f t="shared" ca="1" si="6"/>
        <v>20181</v>
      </c>
      <c r="S14" s="6">
        <f t="shared" ca="1" si="7"/>
        <v>2018</v>
      </c>
      <c r="T14" s="6">
        <f t="shared" ca="1" si="8"/>
        <v>1</v>
      </c>
      <c r="U14" s="68">
        <f ca="1">IFERROR(__xludf.DUMMYFUNCTION("""COMPUTED_VALUE"""),43110.6458333333)</f>
        <v>43110.645833333299</v>
      </c>
      <c r="V14" s="6">
        <f ca="1">IFERROR(__xludf.DUMMYFUNCTION("""COMPUTED_VALUE"""),2499.75)</f>
        <v>2499.75</v>
      </c>
      <c r="Z14" s="6" t="str">
        <f t="shared" ca="1" si="9"/>
        <v>20181</v>
      </c>
      <c r="AA14" s="6">
        <f t="shared" ca="1" si="10"/>
        <v>2018</v>
      </c>
      <c r="AB14" s="6">
        <f t="shared" ca="1" si="11"/>
        <v>1</v>
      </c>
      <c r="AC14" s="68">
        <f ca="1">IFERROR(__xludf.DUMMYFUNCTION("""COMPUTED_VALUE"""),43105.9986111111)</f>
        <v>43105.998611111099</v>
      </c>
      <c r="AD14" s="6">
        <f ca="1">IFERROR(__xludf.DUMMYFUNCTION("""COMPUTED_VALUE"""),1060.09)</f>
        <v>1060.0899999999999</v>
      </c>
      <c r="AH14" s="6" t="str">
        <f t="shared" ca="1" si="12"/>
        <v>20181</v>
      </c>
      <c r="AI14" s="6">
        <f t="shared" ca="1" si="13"/>
        <v>2018</v>
      </c>
      <c r="AJ14" s="6">
        <f t="shared" ca="1" si="14"/>
        <v>1</v>
      </c>
      <c r="AK14" s="68">
        <f ca="1">IFERROR(__xludf.DUMMYFUNCTION("""COMPUTED_VALUE"""),43105.9986111111)</f>
        <v>43105.998611111099</v>
      </c>
      <c r="AL14" s="6">
        <f ca="1">IFERROR(__xludf.DUMMYFUNCTION("""COMPUTED_VALUE"""),16951.88)</f>
        <v>16951.88</v>
      </c>
      <c r="AP14" s="6" t="str">
        <f t="shared" ca="1" si="15"/>
        <v>20181</v>
      </c>
      <c r="AQ14" s="6">
        <f t="shared" ca="1" si="16"/>
        <v>2018</v>
      </c>
      <c r="AR14" s="6">
        <f t="shared" ca="1" si="17"/>
        <v>1</v>
      </c>
      <c r="AS14" s="68">
        <f ca="1">IFERROR(__xludf.DUMMYFUNCTION("""COMPUTED_VALUE"""),43110.9986111111)</f>
        <v>43110.998611111099</v>
      </c>
      <c r="AT14" s="6">
        <f ca="1">IFERROR(__xludf.DUMMYFUNCTION("""COMPUTED_VALUE"""),1319.3)</f>
        <v>1319.3</v>
      </c>
    </row>
    <row r="15" spans="2:47" x14ac:dyDescent="0.35">
      <c r="B15" s="6" t="str">
        <f t="shared" ca="1" si="0"/>
        <v>20181</v>
      </c>
      <c r="C15" s="6">
        <f t="shared" ca="1" si="1"/>
        <v>2018</v>
      </c>
      <c r="D15" s="6">
        <f t="shared" ca="1" si="2"/>
        <v>1</v>
      </c>
      <c r="E15" s="68">
        <f ca="1">IFERROR(__xludf.DUMMYFUNCTION("""COMPUTED_VALUE"""),43111.6666666666)</f>
        <v>43111.666666666599</v>
      </c>
      <c r="F15" s="6">
        <f ca="1">IFERROR(__xludf.DUMMYFUNCTION("""COMPUTED_VALUE"""),2767.56)</f>
        <v>2767.56</v>
      </c>
      <c r="J15" s="6" t="str">
        <f t="shared" ca="1" si="3"/>
        <v>20181</v>
      </c>
      <c r="K15" s="6">
        <f t="shared" ca="1" si="4"/>
        <v>2018</v>
      </c>
      <c r="L15" s="6">
        <f t="shared" ca="1" si="5"/>
        <v>1</v>
      </c>
      <c r="M15" s="68">
        <f ca="1">IFERROR(__xludf.DUMMYFUNCTION("""COMPUTED_VALUE"""),43111.6666666666)</f>
        <v>43111.666666666599</v>
      </c>
      <c r="N15" s="6">
        <f ca="1">IFERROR(__xludf.DUMMYFUNCTION("""COMPUTED_VALUE"""),7211.78)</f>
        <v>7211.78</v>
      </c>
      <c r="R15" s="6" t="str">
        <f t="shared" ca="1" si="6"/>
        <v>20181</v>
      </c>
      <c r="S15" s="6">
        <f t="shared" ca="1" si="7"/>
        <v>2018</v>
      </c>
      <c r="T15" s="6">
        <f t="shared" ca="1" si="8"/>
        <v>1</v>
      </c>
      <c r="U15" s="68">
        <f ca="1">IFERROR(__xludf.DUMMYFUNCTION("""COMPUTED_VALUE"""),43111.6458333333)</f>
        <v>43111.645833333299</v>
      </c>
      <c r="V15" s="6">
        <f ca="1">IFERROR(__xludf.DUMMYFUNCTION("""COMPUTED_VALUE"""),2487.91)</f>
        <v>2487.91</v>
      </c>
      <c r="Z15" s="6" t="str">
        <f t="shared" ca="1" si="9"/>
        <v>20181</v>
      </c>
      <c r="AA15" s="6">
        <f t="shared" ca="1" si="10"/>
        <v>2018</v>
      </c>
      <c r="AB15" s="6">
        <f t="shared" ca="1" si="11"/>
        <v>1</v>
      </c>
      <c r="AC15" s="68">
        <f ca="1">IFERROR(__xludf.DUMMYFUNCTION("""COMPUTED_VALUE"""),43107.9986111111)</f>
        <v>43107.998611111099</v>
      </c>
      <c r="AD15" s="6">
        <f ca="1">IFERROR(__xludf.DUMMYFUNCTION("""COMPUTED_VALUE"""),1060.5)</f>
        <v>1060.5</v>
      </c>
      <c r="AH15" s="6" t="str">
        <f t="shared" ca="1" si="12"/>
        <v>20181</v>
      </c>
      <c r="AI15" s="6">
        <f t="shared" ca="1" si="13"/>
        <v>2018</v>
      </c>
      <c r="AJ15" s="6">
        <f t="shared" ca="1" si="14"/>
        <v>1</v>
      </c>
      <c r="AK15" s="68">
        <f ca="1">IFERROR(__xludf.DUMMYFUNCTION("""COMPUTED_VALUE"""),43106.9986111111)</f>
        <v>43106.998611111099</v>
      </c>
      <c r="AL15" s="6">
        <f ca="1">IFERROR(__xludf.DUMMYFUNCTION("""COMPUTED_VALUE"""),17003.21)</f>
        <v>17003.21</v>
      </c>
      <c r="AP15" s="6" t="str">
        <f t="shared" ca="1" si="15"/>
        <v>20181</v>
      </c>
      <c r="AQ15" s="6">
        <f t="shared" ca="1" si="16"/>
        <v>2018</v>
      </c>
      <c r="AR15" s="6">
        <f t="shared" ca="1" si="17"/>
        <v>1</v>
      </c>
      <c r="AS15" s="68">
        <f ca="1">IFERROR(__xludf.DUMMYFUNCTION("""COMPUTED_VALUE"""),43111.9986111111)</f>
        <v>43111.998611111099</v>
      </c>
      <c r="AT15" s="6">
        <f ca="1">IFERROR(__xludf.DUMMYFUNCTION("""COMPUTED_VALUE"""),1322.5)</f>
        <v>1322.5</v>
      </c>
    </row>
    <row r="16" spans="2:47" x14ac:dyDescent="0.35">
      <c r="B16" s="6" t="str">
        <f t="shared" ca="1" si="0"/>
        <v>20181</v>
      </c>
      <c r="C16" s="6">
        <f t="shared" ca="1" si="1"/>
        <v>2018</v>
      </c>
      <c r="D16" s="6">
        <f t="shared" ca="1" si="2"/>
        <v>1</v>
      </c>
      <c r="E16" s="68">
        <f ca="1">IFERROR(__xludf.DUMMYFUNCTION("""COMPUTED_VALUE"""),43112.6666666666)</f>
        <v>43112.666666666599</v>
      </c>
      <c r="F16" s="6">
        <f ca="1">IFERROR(__xludf.DUMMYFUNCTION("""COMPUTED_VALUE"""),2786.24)</f>
        <v>2786.24</v>
      </c>
      <c r="J16" s="6" t="str">
        <f t="shared" ca="1" si="3"/>
        <v>20181</v>
      </c>
      <c r="K16" s="6">
        <f t="shared" ca="1" si="4"/>
        <v>2018</v>
      </c>
      <c r="L16" s="6">
        <f t="shared" ca="1" si="5"/>
        <v>1</v>
      </c>
      <c r="M16" s="68">
        <f ca="1">IFERROR(__xludf.DUMMYFUNCTION("""COMPUTED_VALUE"""),43112.6666666666)</f>
        <v>43112.666666666599</v>
      </c>
      <c r="N16" s="6">
        <f ca="1">IFERROR(__xludf.DUMMYFUNCTION("""COMPUTED_VALUE"""),7261.06)</f>
        <v>7261.06</v>
      </c>
      <c r="R16" s="6" t="str">
        <f t="shared" ca="1" si="6"/>
        <v>20181</v>
      </c>
      <c r="S16" s="6">
        <f t="shared" ca="1" si="7"/>
        <v>2018</v>
      </c>
      <c r="T16" s="6">
        <f t="shared" ca="1" si="8"/>
        <v>1</v>
      </c>
      <c r="U16" s="68">
        <f ca="1">IFERROR(__xludf.DUMMYFUNCTION("""COMPUTED_VALUE"""),43112.6458333333)</f>
        <v>43112.645833333299</v>
      </c>
      <c r="V16" s="6">
        <f ca="1">IFERROR(__xludf.DUMMYFUNCTION("""COMPUTED_VALUE"""),2496.42)</f>
        <v>2496.42</v>
      </c>
      <c r="Z16" s="6" t="str">
        <f t="shared" ca="1" si="9"/>
        <v>20181</v>
      </c>
      <c r="AA16" s="6">
        <f t="shared" ca="1" si="10"/>
        <v>2018</v>
      </c>
      <c r="AB16" s="6">
        <f t="shared" ca="1" si="11"/>
        <v>1</v>
      </c>
      <c r="AC16" s="68">
        <f ca="1">IFERROR(__xludf.DUMMYFUNCTION("""COMPUTED_VALUE"""),43108.9986111111)</f>
        <v>43108.998611111099</v>
      </c>
      <c r="AD16" s="6">
        <f ca="1">IFERROR(__xludf.DUMMYFUNCTION("""COMPUTED_VALUE"""),1067.69)</f>
        <v>1067.69</v>
      </c>
      <c r="AH16" s="6" t="str">
        <f t="shared" ca="1" si="12"/>
        <v>20181</v>
      </c>
      <c r="AI16" s="6">
        <f t="shared" ca="1" si="13"/>
        <v>2018</v>
      </c>
      <c r="AJ16" s="6">
        <f t="shared" ca="1" si="14"/>
        <v>1</v>
      </c>
      <c r="AK16" s="68">
        <f ca="1">IFERROR(__xludf.DUMMYFUNCTION("""COMPUTED_VALUE"""),43107.9986111111)</f>
        <v>43107.998611111099</v>
      </c>
      <c r="AL16" s="6">
        <f ca="1">IFERROR(__xludf.DUMMYFUNCTION("""COMPUTED_VALUE"""),16035.62)</f>
        <v>16035.62</v>
      </c>
      <c r="AP16" s="6" t="str">
        <f t="shared" ca="1" si="15"/>
        <v>20181</v>
      </c>
      <c r="AQ16" s="6">
        <f t="shared" ca="1" si="16"/>
        <v>2018</v>
      </c>
      <c r="AR16" s="6">
        <f t="shared" ca="1" si="17"/>
        <v>1</v>
      </c>
      <c r="AS16" s="68">
        <f ca="1">IFERROR(__xludf.DUMMYFUNCTION("""COMPUTED_VALUE"""),43112.9986111111)</f>
        <v>43112.998611111099</v>
      </c>
      <c r="AT16" s="6">
        <f ca="1">IFERROR(__xludf.DUMMYFUNCTION("""COMPUTED_VALUE"""),1334.9)</f>
        <v>1334.9</v>
      </c>
    </row>
    <row r="17" spans="2:46" x14ac:dyDescent="0.35">
      <c r="B17" s="6" t="str">
        <f t="shared" ca="1" si="0"/>
        <v>20181</v>
      </c>
      <c r="C17" s="6">
        <f t="shared" ca="1" si="1"/>
        <v>2018</v>
      </c>
      <c r="D17" s="6">
        <f t="shared" ca="1" si="2"/>
        <v>1</v>
      </c>
      <c r="E17" s="68">
        <f ca="1">IFERROR(__xludf.DUMMYFUNCTION("""COMPUTED_VALUE"""),43116.6666666666)</f>
        <v>43116.666666666599</v>
      </c>
      <c r="F17" s="6">
        <f ca="1">IFERROR(__xludf.DUMMYFUNCTION("""COMPUTED_VALUE"""),2776.42)</f>
        <v>2776.42</v>
      </c>
      <c r="J17" s="6" t="str">
        <f t="shared" ca="1" si="3"/>
        <v>20181</v>
      </c>
      <c r="K17" s="6">
        <f t="shared" ca="1" si="4"/>
        <v>2018</v>
      </c>
      <c r="L17" s="6">
        <f t="shared" ca="1" si="5"/>
        <v>1</v>
      </c>
      <c r="M17" s="68">
        <f ca="1">IFERROR(__xludf.DUMMYFUNCTION("""COMPUTED_VALUE"""),43116.6666666666)</f>
        <v>43116.666666666599</v>
      </c>
      <c r="N17" s="6">
        <f ca="1">IFERROR(__xludf.DUMMYFUNCTION("""COMPUTED_VALUE"""),7223.69)</f>
        <v>7223.69</v>
      </c>
      <c r="R17" s="6" t="str">
        <f t="shared" ca="1" si="6"/>
        <v>20181</v>
      </c>
      <c r="S17" s="6">
        <f t="shared" ca="1" si="7"/>
        <v>2018</v>
      </c>
      <c r="T17" s="6">
        <f t="shared" ca="1" si="8"/>
        <v>1</v>
      </c>
      <c r="U17" s="68">
        <f ca="1">IFERROR(__xludf.DUMMYFUNCTION("""COMPUTED_VALUE"""),43115.6458333333)</f>
        <v>43115.645833333299</v>
      </c>
      <c r="V17" s="6">
        <f ca="1">IFERROR(__xludf.DUMMYFUNCTION("""COMPUTED_VALUE"""),2503.73)</f>
        <v>2503.73</v>
      </c>
      <c r="Z17" s="6" t="str">
        <f t="shared" ca="1" si="9"/>
        <v>20181</v>
      </c>
      <c r="AA17" s="6">
        <f t="shared" ca="1" si="10"/>
        <v>2018</v>
      </c>
      <c r="AB17" s="6">
        <f t="shared" ca="1" si="11"/>
        <v>1</v>
      </c>
      <c r="AC17" s="68">
        <f ca="1">IFERROR(__xludf.DUMMYFUNCTION("""COMPUTED_VALUE"""),43109.9986111111)</f>
        <v>43109.998611111099</v>
      </c>
      <c r="AD17" s="6">
        <f ca="1">IFERROR(__xludf.DUMMYFUNCTION("""COMPUTED_VALUE"""),1071.74)</f>
        <v>1071.74</v>
      </c>
      <c r="AH17" s="6" t="str">
        <f t="shared" ca="1" si="12"/>
        <v>20181</v>
      </c>
      <c r="AI17" s="6">
        <f t="shared" ca="1" si="13"/>
        <v>2018</v>
      </c>
      <c r="AJ17" s="6">
        <f t="shared" ca="1" si="14"/>
        <v>1</v>
      </c>
      <c r="AK17" s="68">
        <f ca="1">IFERROR(__xludf.DUMMYFUNCTION("""COMPUTED_VALUE"""),43108.9986111111)</f>
        <v>43108.998611111099</v>
      </c>
      <c r="AL17" s="6">
        <f ca="1">IFERROR(__xludf.DUMMYFUNCTION("""COMPUTED_VALUE"""),14918.6)</f>
        <v>14918.6</v>
      </c>
      <c r="AP17" s="6" t="str">
        <f t="shared" ca="1" si="15"/>
        <v>20181</v>
      </c>
      <c r="AQ17" s="6">
        <f t="shared" ca="1" si="16"/>
        <v>2018</v>
      </c>
      <c r="AR17" s="6">
        <f t="shared" ca="1" si="17"/>
        <v>1</v>
      </c>
      <c r="AS17" s="68">
        <f ca="1">IFERROR(__xludf.DUMMYFUNCTION("""COMPUTED_VALUE"""),43116.9986111111)</f>
        <v>43116.998611111099</v>
      </c>
      <c r="AT17" s="6">
        <f ca="1">IFERROR(__xludf.DUMMYFUNCTION("""COMPUTED_VALUE"""),1337.1)</f>
        <v>1337.1</v>
      </c>
    </row>
    <row r="18" spans="2:46" x14ac:dyDescent="0.35">
      <c r="B18" s="6" t="str">
        <f t="shared" ca="1" si="0"/>
        <v>20181</v>
      </c>
      <c r="C18" s="6">
        <f t="shared" ca="1" si="1"/>
        <v>2018</v>
      </c>
      <c r="D18" s="6">
        <f t="shared" ca="1" si="2"/>
        <v>1</v>
      </c>
      <c r="E18" s="68">
        <f ca="1">IFERROR(__xludf.DUMMYFUNCTION("""COMPUTED_VALUE"""),43117.6666666666)</f>
        <v>43117.666666666599</v>
      </c>
      <c r="F18" s="6">
        <f ca="1">IFERROR(__xludf.DUMMYFUNCTION("""COMPUTED_VALUE"""),2802.56)</f>
        <v>2802.56</v>
      </c>
      <c r="J18" s="6" t="str">
        <f t="shared" ca="1" si="3"/>
        <v>20181</v>
      </c>
      <c r="K18" s="6">
        <f t="shared" ca="1" si="4"/>
        <v>2018</v>
      </c>
      <c r="L18" s="6">
        <f t="shared" ca="1" si="5"/>
        <v>1</v>
      </c>
      <c r="M18" s="68">
        <f ca="1">IFERROR(__xludf.DUMMYFUNCTION("""COMPUTED_VALUE"""),43117.6666666666)</f>
        <v>43117.666666666599</v>
      </c>
      <c r="N18" s="6">
        <f ca="1">IFERROR(__xludf.DUMMYFUNCTION("""COMPUTED_VALUE"""),7298.28)</f>
        <v>7298.28</v>
      </c>
      <c r="R18" s="6" t="str">
        <f t="shared" ca="1" si="6"/>
        <v>20181</v>
      </c>
      <c r="S18" s="6">
        <f t="shared" ca="1" si="7"/>
        <v>2018</v>
      </c>
      <c r="T18" s="6">
        <f t="shared" ca="1" si="8"/>
        <v>1</v>
      </c>
      <c r="U18" s="68">
        <f ca="1">IFERROR(__xludf.DUMMYFUNCTION("""COMPUTED_VALUE"""),43116.6458333333)</f>
        <v>43116.645833333299</v>
      </c>
      <c r="V18" s="6">
        <f ca="1">IFERROR(__xludf.DUMMYFUNCTION("""COMPUTED_VALUE"""),2521.74)</f>
        <v>2521.7399999999998</v>
      </c>
      <c r="Z18" s="6" t="str">
        <f t="shared" ca="1" si="9"/>
        <v>20181</v>
      </c>
      <c r="AA18" s="6">
        <f t="shared" ca="1" si="10"/>
        <v>2018</v>
      </c>
      <c r="AB18" s="6">
        <f t="shared" ca="1" si="11"/>
        <v>1</v>
      </c>
      <c r="AC18" s="68">
        <f ca="1">IFERROR(__xludf.DUMMYFUNCTION("""COMPUTED_VALUE"""),43110.9986111111)</f>
        <v>43110.998611111099</v>
      </c>
      <c r="AD18" s="6">
        <f ca="1">IFERROR(__xludf.DUMMYFUNCTION("""COMPUTED_VALUE"""),1069.67)</f>
        <v>1069.67</v>
      </c>
      <c r="AH18" s="6" t="str">
        <f t="shared" ca="1" si="12"/>
        <v>20181</v>
      </c>
      <c r="AI18" s="6">
        <f t="shared" ca="1" si="13"/>
        <v>2018</v>
      </c>
      <c r="AJ18" s="6">
        <f t="shared" ca="1" si="14"/>
        <v>1</v>
      </c>
      <c r="AK18" s="68">
        <f ca="1">IFERROR(__xludf.DUMMYFUNCTION("""COMPUTED_VALUE"""),43109.9986111111)</f>
        <v>43109.998611111099</v>
      </c>
      <c r="AL18" s="6">
        <f ca="1">IFERROR(__xludf.DUMMYFUNCTION("""COMPUTED_VALUE"""),14542.96)</f>
        <v>14542.96</v>
      </c>
      <c r="AP18" s="6" t="str">
        <f t="shared" ca="1" si="15"/>
        <v>20181</v>
      </c>
      <c r="AQ18" s="6">
        <f t="shared" ca="1" si="16"/>
        <v>2018</v>
      </c>
      <c r="AR18" s="6">
        <f t="shared" ca="1" si="17"/>
        <v>1</v>
      </c>
      <c r="AS18" s="68">
        <f ca="1">IFERROR(__xludf.DUMMYFUNCTION("""COMPUTED_VALUE"""),43117.9986111111)</f>
        <v>43117.998611111099</v>
      </c>
      <c r="AT18" s="6">
        <f ca="1">IFERROR(__xludf.DUMMYFUNCTION("""COMPUTED_VALUE"""),1339.2)</f>
        <v>1339.2</v>
      </c>
    </row>
    <row r="19" spans="2:46" x14ac:dyDescent="0.35">
      <c r="B19" s="6" t="str">
        <f t="shared" ca="1" si="0"/>
        <v>20181</v>
      </c>
      <c r="C19" s="6">
        <f t="shared" ca="1" si="1"/>
        <v>2018</v>
      </c>
      <c r="D19" s="6">
        <f t="shared" ca="1" si="2"/>
        <v>1</v>
      </c>
      <c r="E19" s="68">
        <f ca="1">IFERROR(__xludf.DUMMYFUNCTION("""COMPUTED_VALUE"""),43118.6666666666)</f>
        <v>43118.666666666599</v>
      </c>
      <c r="F19" s="6">
        <f ca="1">IFERROR(__xludf.DUMMYFUNCTION("""COMPUTED_VALUE"""),2798.03)</f>
        <v>2798.03</v>
      </c>
      <c r="J19" s="6" t="str">
        <f t="shared" ca="1" si="3"/>
        <v>20181</v>
      </c>
      <c r="K19" s="6">
        <f t="shared" ca="1" si="4"/>
        <v>2018</v>
      </c>
      <c r="L19" s="6">
        <f t="shared" ca="1" si="5"/>
        <v>1</v>
      </c>
      <c r="M19" s="68">
        <f ca="1">IFERROR(__xludf.DUMMYFUNCTION("""COMPUTED_VALUE"""),43118.6666666666)</f>
        <v>43118.666666666599</v>
      </c>
      <c r="N19" s="6">
        <f ca="1">IFERROR(__xludf.DUMMYFUNCTION("""COMPUTED_VALUE"""),7296.05)</f>
        <v>7296.05</v>
      </c>
      <c r="R19" s="6" t="str">
        <f t="shared" ca="1" si="6"/>
        <v>20181</v>
      </c>
      <c r="S19" s="6">
        <f t="shared" ca="1" si="7"/>
        <v>2018</v>
      </c>
      <c r="T19" s="6">
        <f t="shared" ca="1" si="8"/>
        <v>1</v>
      </c>
      <c r="U19" s="68">
        <f ca="1">IFERROR(__xludf.DUMMYFUNCTION("""COMPUTED_VALUE"""),43117.6458333333)</f>
        <v>43117.645833333299</v>
      </c>
      <c r="V19" s="6">
        <f ca="1">IFERROR(__xludf.DUMMYFUNCTION("""COMPUTED_VALUE"""),2515.43)</f>
        <v>2515.4299999999998</v>
      </c>
      <c r="Z19" s="6" t="str">
        <f t="shared" ca="1" si="9"/>
        <v>20181</v>
      </c>
      <c r="AA19" s="6">
        <f t="shared" ca="1" si="10"/>
        <v>2018</v>
      </c>
      <c r="AB19" s="6">
        <f t="shared" ca="1" si="11"/>
        <v>1</v>
      </c>
      <c r="AC19" s="68">
        <f ca="1">IFERROR(__xludf.DUMMYFUNCTION("""COMPUTED_VALUE"""),43111.9986111111)</f>
        <v>43111.998611111099</v>
      </c>
      <c r="AD19" s="6">
        <f ca="1">IFERROR(__xludf.DUMMYFUNCTION("""COMPUTED_VALUE"""),1065.14)</f>
        <v>1065.1400000000001</v>
      </c>
      <c r="AH19" s="6" t="str">
        <f t="shared" ca="1" si="12"/>
        <v>20181</v>
      </c>
      <c r="AI19" s="6">
        <f t="shared" ca="1" si="13"/>
        <v>2018</v>
      </c>
      <c r="AJ19" s="6">
        <f t="shared" ca="1" si="14"/>
        <v>1</v>
      </c>
      <c r="AK19" s="68">
        <f ca="1">IFERROR(__xludf.DUMMYFUNCTION("""COMPUTED_VALUE"""),43110.9986111111)</f>
        <v>43110.998611111099</v>
      </c>
      <c r="AL19" s="6">
        <f ca="1">IFERROR(__xludf.DUMMYFUNCTION("""COMPUTED_VALUE"""),14493.9)</f>
        <v>14493.9</v>
      </c>
      <c r="AP19" s="6" t="str">
        <f t="shared" ca="1" si="15"/>
        <v>20181</v>
      </c>
      <c r="AQ19" s="6">
        <f t="shared" ca="1" si="16"/>
        <v>2018</v>
      </c>
      <c r="AR19" s="6">
        <f t="shared" ca="1" si="17"/>
        <v>1</v>
      </c>
      <c r="AS19" s="68">
        <f ca="1">IFERROR(__xludf.DUMMYFUNCTION("""COMPUTED_VALUE"""),43118.9986111111)</f>
        <v>43118.998611111099</v>
      </c>
      <c r="AT19" s="6">
        <f ca="1">IFERROR(__xludf.DUMMYFUNCTION("""COMPUTED_VALUE"""),1327.2)</f>
        <v>1327.2</v>
      </c>
    </row>
    <row r="20" spans="2:46" x14ac:dyDescent="0.35">
      <c r="B20" s="6" t="str">
        <f t="shared" ca="1" si="0"/>
        <v>20181</v>
      </c>
      <c r="C20" s="6">
        <f t="shared" ca="1" si="1"/>
        <v>2018</v>
      </c>
      <c r="D20" s="6">
        <f t="shared" ca="1" si="2"/>
        <v>1</v>
      </c>
      <c r="E20" s="68">
        <f ca="1">IFERROR(__xludf.DUMMYFUNCTION("""COMPUTED_VALUE"""),43119.6666666666)</f>
        <v>43119.666666666599</v>
      </c>
      <c r="F20" s="6">
        <f ca="1">IFERROR(__xludf.DUMMYFUNCTION("""COMPUTED_VALUE"""),2810.3)</f>
        <v>2810.3</v>
      </c>
      <c r="J20" s="6" t="str">
        <f t="shared" ca="1" si="3"/>
        <v>20181</v>
      </c>
      <c r="K20" s="6">
        <f t="shared" ca="1" si="4"/>
        <v>2018</v>
      </c>
      <c r="L20" s="6">
        <f t="shared" ca="1" si="5"/>
        <v>1</v>
      </c>
      <c r="M20" s="68">
        <f ca="1">IFERROR(__xludf.DUMMYFUNCTION("""COMPUTED_VALUE"""),43119.6666666666)</f>
        <v>43119.666666666599</v>
      </c>
      <c r="N20" s="6">
        <f ca="1">IFERROR(__xludf.DUMMYFUNCTION("""COMPUTED_VALUE"""),7336.38)</f>
        <v>7336.38</v>
      </c>
      <c r="R20" s="6" t="str">
        <f t="shared" ca="1" si="6"/>
        <v>20181</v>
      </c>
      <c r="S20" s="6">
        <f t="shared" ca="1" si="7"/>
        <v>2018</v>
      </c>
      <c r="T20" s="6">
        <f t="shared" ca="1" si="8"/>
        <v>1</v>
      </c>
      <c r="U20" s="68">
        <f ca="1">IFERROR(__xludf.DUMMYFUNCTION("""COMPUTED_VALUE"""),43118.6458333333)</f>
        <v>43118.645833333299</v>
      </c>
      <c r="V20" s="6">
        <f ca="1">IFERROR(__xludf.DUMMYFUNCTION("""COMPUTED_VALUE"""),2515.81)</f>
        <v>2515.81</v>
      </c>
      <c r="Z20" s="6" t="str">
        <f t="shared" ca="1" si="9"/>
        <v>20181</v>
      </c>
      <c r="AA20" s="6">
        <f t="shared" ca="1" si="10"/>
        <v>2018</v>
      </c>
      <c r="AB20" s="6">
        <f t="shared" ca="1" si="11"/>
        <v>1</v>
      </c>
      <c r="AC20" s="68">
        <f ca="1">IFERROR(__xludf.DUMMYFUNCTION("""COMPUTED_VALUE"""),43112.9986111111)</f>
        <v>43112.998611111099</v>
      </c>
      <c r="AD20" s="6">
        <f ca="1">IFERROR(__xludf.DUMMYFUNCTION("""COMPUTED_VALUE"""),1058)</f>
        <v>1058</v>
      </c>
      <c r="AH20" s="6" t="str">
        <f t="shared" ca="1" si="12"/>
        <v>20181</v>
      </c>
      <c r="AI20" s="6">
        <f t="shared" ca="1" si="13"/>
        <v>2018</v>
      </c>
      <c r="AJ20" s="6">
        <f t="shared" ca="1" si="14"/>
        <v>1</v>
      </c>
      <c r="AK20" s="68">
        <f ca="1">IFERROR(__xludf.DUMMYFUNCTION("""COMPUTED_VALUE"""),43111.9986111111)</f>
        <v>43111.998611111099</v>
      </c>
      <c r="AL20" s="6">
        <f ca="1">IFERROR(__xludf.DUMMYFUNCTION("""COMPUTED_VALUE"""),13472.77)</f>
        <v>13472.77</v>
      </c>
      <c r="AP20" s="6" t="str">
        <f t="shared" ca="1" si="15"/>
        <v>20181</v>
      </c>
      <c r="AQ20" s="6">
        <f t="shared" ca="1" si="16"/>
        <v>2018</v>
      </c>
      <c r="AR20" s="6">
        <f t="shared" ca="1" si="17"/>
        <v>1</v>
      </c>
      <c r="AS20" s="68">
        <f ca="1">IFERROR(__xludf.DUMMYFUNCTION("""COMPUTED_VALUE"""),43119.9986111111)</f>
        <v>43119.998611111099</v>
      </c>
      <c r="AT20" s="6">
        <f ca="1">IFERROR(__xludf.DUMMYFUNCTION("""COMPUTED_VALUE"""),1331.1)</f>
        <v>1331.1</v>
      </c>
    </row>
    <row r="21" spans="2:46" x14ac:dyDescent="0.35">
      <c r="B21" s="6" t="str">
        <f t="shared" ca="1" si="0"/>
        <v>20181</v>
      </c>
      <c r="C21" s="6">
        <f t="shared" ca="1" si="1"/>
        <v>2018</v>
      </c>
      <c r="D21" s="6">
        <f t="shared" ca="1" si="2"/>
        <v>1</v>
      </c>
      <c r="E21" s="68">
        <f ca="1">IFERROR(__xludf.DUMMYFUNCTION("""COMPUTED_VALUE"""),43122.6666666666)</f>
        <v>43122.666666666599</v>
      </c>
      <c r="F21" s="6">
        <f ca="1">IFERROR(__xludf.DUMMYFUNCTION("""COMPUTED_VALUE"""),2832.97)</f>
        <v>2832.97</v>
      </c>
      <c r="J21" s="6" t="str">
        <f t="shared" ca="1" si="3"/>
        <v>20181</v>
      </c>
      <c r="K21" s="6">
        <f t="shared" ca="1" si="4"/>
        <v>2018</v>
      </c>
      <c r="L21" s="6">
        <f t="shared" ca="1" si="5"/>
        <v>1</v>
      </c>
      <c r="M21" s="68">
        <f ca="1">IFERROR(__xludf.DUMMYFUNCTION("""COMPUTED_VALUE"""),43122.6666666666)</f>
        <v>43122.666666666599</v>
      </c>
      <c r="N21" s="6">
        <f ca="1">IFERROR(__xludf.DUMMYFUNCTION("""COMPUTED_VALUE"""),7408.03)</f>
        <v>7408.03</v>
      </c>
      <c r="R21" s="6" t="str">
        <f t="shared" ca="1" si="6"/>
        <v>20181</v>
      </c>
      <c r="S21" s="6">
        <f t="shared" ca="1" si="7"/>
        <v>2018</v>
      </c>
      <c r="T21" s="6">
        <f t="shared" ca="1" si="8"/>
        <v>1</v>
      </c>
      <c r="U21" s="68">
        <f ca="1">IFERROR(__xludf.DUMMYFUNCTION("""COMPUTED_VALUE"""),43119.6458333333)</f>
        <v>43119.645833333299</v>
      </c>
      <c r="V21" s="6">
        <f ca="1">IFERROR(__xludf.DUMMYFUNCTION("""COMPUTED_VALUE"""),2520.26)</f>
        <v>2520.2600000000002</v>
      </c>
      <c r="Z21" s="6" t="str">
        <f t="shared" ca="1" si="9"/>
        <v>20181</v>
      </c>
      <c r="AA21" s="6">
        <f t="shared" ca="1" si="10"/>
        <v>2018</v>
      </c>
      <c r="AB21" s="6">
        <f t="shared" ca="1" si="11"/>
        <v>1</v>
      </c>
      <c r="AC21" s="68">
        <f ca="1">IFERROR(__xludf.DUMMYFUNCTION("""COMPUTED_VALUE"""),43113.9986111111)</f>
        <v>43113.998611111099</v>
      </c>
      <c r="AD21" s="6">
        <f ca="1">IFERROR(__xludf.DUMMYFUNCTION("""COMPUTED_VALUE"""),1057.6)</f>
        <v>1057.5999999999999</v>
      </c>
      <c r="AH21" s="6" t="str">
        <f t="shared" ca="1" si="12"/>
        <v>20181</v>
      </c>
      <c r="AI21" s="6">
        <f t="shared" ca="1" si="13"/>
        <v>2018</v>
      </c>
      <c r="AJ21" s="6">
        <f t="shared" ca="1" si="14"/>
        <v>1</v>
      </c>
      <c r="AK21" s="68">
        <f ca="1">IFERROR(__xludf.DUMMYFUNCTION("""COMPUTED_VALUE"""),43112.9986111111)</f>
        <v>43112.998611111099</v>
      </c>
      <c r="AL21" s="6">
        <f ca="1">IFERROR(__xludf.DUMMYFUNCTION("""COMPUTED_VALUE"""),13723.09)</f>
        <v>13723.09</v>
      </c>
      <c r="AP21" s="6" t="str">
        <f t="shared" ca="1" si="15"/>
        <v>20181</v>
      </c>
      <c r="AQ21" s="6">
        <f t="shared" ca="1" si="16"/>
        <v>2018</v>
      </c>
      <c r="AR21" s="6">
        <f t="shared" ca="1" si="17"/>
        <v>1</v>
      </c>
      <c r="AS21" s="68">
        <f ca="1">IFERROR(__xludf.DUMMYFUNCTION("""COMPUTED_VALUE"""),43122.9986111111)</f>
        <v>43122.998611111099</v>
      </c>
      <c r="AT21" s="6">
        <f ca="1">IFERROR(__xludf.DUMMYFUNCTION("""COMPUTED_VALUE"""),1331.9)</f>
        <v>1331.9</v>
      </c>
    </row>
    <row r="22" spans="2:46" x14ac:dyDescent="0.35">
      <c r="B22" s="6" t="str">
        <f t="shared" ca="1" si="0"/>
        <v>20181</v>
      </c>
      <c r="C22" s="6">
        <f t="shared" ca="1" si="1"/>
        <v>2018</v>
      </c>
      <c r="D22" s="6">
        <f t="shared" ca="1" si="2"/>
        <v>1</v>
      </c>
      <c r="E22" s="68">
        <f ca="1">IFERROR(__xludf.DUMMYFUNCTION("""COMPUTED_VALUE"""),43123.6666666666)</f>
        <v>43123.666666666599</v>
      </c>
      <c r="F22" s="6">
        <f ca="1">IFERROR(__xludf.DUMMYFUNCTION("""COMPUTED_VALUE"""),2839.13)</f>
        <v>2839.13</v>
      </c>
      <c r="J22" s="6" t="str">
        <f t="shared" ca="1" si="3"/>
        <v>20181</v>
      </c>
      <c r="K22" s="6">
        <f t="shared" ca="1" si="4"/>
        <v>2018</v>
      </c>
      <c r="L22" s="6">
        <f t="shared" ca="1" si="5"/>
        <v>1</v>
      </c>
      <c r="M22" s="68">
        <f ca="1">IFERROR(__xludf.DUMMYFUNCTION("""COMPUTED_VALUE"""),43123.6666666666)</f>
        <v>43123.666666666599</v>
      </c>
      <c r="N22" s="6">
        <f ca="1">IFERROR(__xludf.DUMMYFUNCTION("""COMPUTED_VALUE"""),7460.29)</f>
        <v>7460.29</v>
      </c>
      <c r="R22" s="6" t="str">
        <f t="shared" ca="1" si="6"/>
        <v>20181</v>
      </c>
      <c r="S22" s="6">
        <f t="shared" ca="1" si="7"/>
        <v>2018</v>
      </c>
      <c r="T22" s="6">
        <f t="shared" ca="1" si="8"/>
        <v>1</v>
      </c>
      <c r="U22" s="68">
        <f ca="1">IFERROR(__xludf.DUMMYFUNCTION("""COMPUTED_VALUE"""),43122.6458333333)</f>
        <v>43122.645833333299</v>
      </c>
      <c r="V22" s="6">
        <f ca="1">IFERROR(__xludf.DUMMYFUNCTION("""COMPUTED_VALUE"""),2502.11)</f>
        <v>2502.11</v>
      </c>
      <c r="Z22" s="6" t="str">
        <f t="shared" ca="1" si="9"/>
        <v>20181</v>
      </c>
      <c r="AA22" s="6">
        <f t="shared" ca="1" si="10"/>
        <v>2018</v>
      </c>
      <c r="AB22" s="6">
        <f t="shared" ca="1" si="11"/>
        <v>1</v>
      </c>
      <c r="AC22" s="68">
        <f ca="1">IFERROR(__xludf.DUMMYFUNCTION("""COMPUTED_VALUE"""),43114.9986111111)</f>
        <v>43114.998611111099</v>
      </c>
      <c r="AD22" s="6">
        <f ca="1">IFERROR(__xludf.DUMMYFUNCTION("""COMPUTED_VALUE"""),1055.8)</f>
        <v>1055.8</v>
      </c>
      <c r="AH22" s="6" t="str">
        <f t="shared" ca="1" si="12"/>
        <v>20181</v>
      </c>
      <c r="AI22" s="6">
        <f t="shared" ca="1" si="13"/>
        <v>2018</v>
      </c>
      <c r="AJ22" s="6">
        <f t="shared" ca="1" si="14"/>
        <v>1</v>
      </c>
      <c r="AK22" s="68">
        <f ca="1">IFERROR(__xludf.DUMMYFUNCTION("""COMPUTED_VALUE"""),43113.9986111111)</f>
        <v>43113.998611111099</v>
      </c>
      <c r="AL22" s="6">
        <f ca="1">IFERROR(__xludf.DUMMYFUNCTION("""COMPUTED_VALUE"""),14264.42)</f>
        <v>14264.42</v>
      </c>
      <c r="AP22" s="6" t="str">
        <f t="shared" ca="1" si="15"/>
        <v>20181</v>
      </c>
      <c r="AQ22" s="6">
        <f t="shared" ca="1" si="16"/>
        <v>2018</v>
      </c>
      <c r="AR22" s="6">
        <f t="shared" ca="1" si="17"/>
        <v>1</v>
      </c>
      <c r="AS22" s="68">
        <f ca="1">IFERROR(__xludf.DUMMYFUNCTION("""COMPUTED_VALUE"""),43123.9986111111)</f>
        <v>43123.998611111099</v>
      </c>
      <c r="AT22" s="6">
        <f ca="1">IFERROR(__xludf.DUMMYFUNCTION("""COMPUTED_VALUE"""),1336.7)</f>
        <v>1336.7</v>
      </c>
    </row>
    <row r="23" spans="2:46" x14ac:dyDescent="0.35">
      <c r="B23" s="6" t="str">
        <f t="shared" ca="1" si="0"/>
        <v>20181</v>
      </c>
      <c r="C23" s="6">
        <f t="shared" ca="1" si="1"/>
        <v>2018</v>
      </c>
      <c r="D23" s="6">
        <f t="shared" ca="1" si="2"/>
        <v>1</v>
      </c>
      <c r="E23" s="68">
        <f ca="1">IFERROR(__xludf.DUMMYFUNCTION("""COMPUTED_VALUE"""),43124.6666666666)</f>
        <v>43124.666666666599</v>
      </c>
      <c r="F23" s="6">
        <f ca="1">IFERROR(__xludf.DUMMYFUNCTION("""COMPUTED_VALUE"""),2837.54)</f>
        <v>2837.54</v>
      </c>
      <c r="J23" s="6" t="str">
        <f t="shared" ca="1" si="3"/>
        <v>20181</v>
      </c>
      <c r="K23" s="6">
        <f t="shared" ca="1" si="4"/>
        <v>2018</v>
      </c>
      <c r="L23" s="6">
        <f t="shared" ca="1" si="5"/>
        <v>1</v>
      </c>
      <c r="M23" s="68">
        <f ca="1">IFERROR(__xludf.DUMMYFUNCTION("""COMPUTED_VALUE"""),43124.6666666666)</f>
        <v>43124.666666666599</v>
      </c>
      <c r="N23" s="6">
        <f ca="1">IFERROR(__xludf.DUMMYFUNCTION("""COMPUTED_VALUE"""),7415.06)</f>
        <v>7415.06</v>
      </c>
      <c r="R23" s="6" t="str">
        <f t="shared" ca="1" si="6"/>
        <v>20181</v>
      </c>
      <c r="S23" s="6">
        <f t="shared" ca="1" si="7"/>
        <v>2018</v>
      </c>
      <c r="T23" s="6">
        <f t="shared" ca="1" si="8"/>
        <v>1</v>
      </c>
      <c r="U23" s="68">
        <f ca="1">IFERROR(__xludf.DUMMYFUNCTION("""COMPUTED_VALUE"""),43123.6458333333)</f>
        <v>43123.645833333299</v>
      </c>
      <c r="V23" s="6">
        <f ca="1">IFERROR(__xludf.DUMMYFUNCTION("""COMPUTED_VALUE"""),2536.6)</f>
        <v>2536.6</v>
      </c>
      <c r="Z23" s="6" t="str">
        <f t="shared" ca="1" si="9"/>
        <v>20181</v>
      </c>
      <c r="AA23" s="6">
        <f t="shared" ca="1" si="10"/>
        <v>2018</v>
      </c>
      <c r="AB23" s="6">
        <f t="shared" ca="1" si="11"/>
        <v>1</v>
      </c>
      <c r="AC23" s="68">
        <f ca="1">IFERROR(__xludf.DUMMYFUNCTION("""COMPUTED_VALUE"""),43115.9986111111)</f>
        <v>43115.998611111099</v>
      </c>
      <c r="AD23" s="6">
        <f ca="1">IFERROR(__xludf.DUMMYFUNCTION("""COMPUTED_VALUE"""),1061.82)</f>
        <v>1061.82</v>
      </c>
      <c r="AH23" s="6" t="str">
        <f t="shared" ca="1" si="12"/>
        <v>20181</v>
      </c>
      <c r="AI23" s="6">
        <f t="shared" ca="1" si="13"/>
        <v>2018</v>
      </c>
      <c r="AJ23" s="6">
        <f t="shared" ca="1" si="14"/>
        <v>1</v>
      </c>
      <c r="AK23" s="68">
        <f ca="1">IFERROR(__xludf.DUMMYFUNCTION("""COMPUTED_VALUE"""),43114.9986111111)</f>
        <v>43114.998611111099</v>
      </c>
      <c r="AL23" s="6">
        <f ca="1">IFERROR(__xludf.DUMMYFUNCTION("""COMPUTED_VALUE"""),13719.8)</f>
        <v>13719.8</v>
      </c>
      <c r="AP23" s="6" t="str">
        <f t="shared" ca="1" si="15"/>
        <v>20181</v>
      </c>
      <c r="AQ23" s="6">
        <f t="shared" ca="1" si="16"/>
        <v>2018</v>
      </c>
      <c r="AR23" s="6">
        <f t="shared" ca="1" si="17"/>
        <v>1</v>
      </c>
      <c r="AS23" s="68">
        <f ca="1">IFERROR(__xludf.DUMMYFUNCTION("""COMPUTED_VALUE"""),43124.9986111111)</f>
        <v>43124.998611111099</v>
      </c>
      <c r="AT23" s="6">
        <f ca="1">IFERROR(__xludf.DUMMYFUNCTION("""COMPUTED_VALUE"""),1361.4)</f>
        <v>1361.4</v>
      </c>
    </row>
    <row r="24" spans="2:46" x14ac:dyDescent="0.35">
      <c r="B24" s="6" t="str">
        <f t="shared" ca="1" si="0"/>
        <v>20181</v>
      </c>
      <c r="C24" s="6">
        <f t="shared" ca="1" si="1"/>
        <v>2018</v>
      </c>
      <c r="D24" s="6">
        <f t="shared" ca="1" si="2"/>
        <v>1</v>
      </c>
      <c r="E24" s="68">
        <f ca="1">IFERROR(__xludf.DUMMYFUNCTION("""COMPUTED_VALUE"""),43125.6666666666)</f>
        <v>43125.666666666599</v>
      </c>
      <c r="F24" s="6">
        <f ca="1">IFERROR(__xludf.DUMMYFUNCTION("""COMPUTED_VALUE"""),2839.25)</f>
        <v>2839.25</v>
      </c>
      <c r="J24" s="6" t="str">
        <f t="shared" ca="1" si="3"/>
        <v>20181</v>
      </c>
      <c r="K24" s="6">
        <f t="shared" ca="1" si="4"/>
        <v>2018</v>
      </c>
      <c r="L24" s="6">
        <f t="shared" ca="1" si="5"/>
        <v>1</v>
      </c>
      <c r="M24" s="68">
        <f ca="1">IFERROR(__xludf.DUMMYFUNCTION("""COMPUTED_VALUE"""),43125.6666666666)</f>
        <v>43125.666666666599</v>
      </c>
      <c r="N24" s="6">
        <f ca="1">IFERROR(__xludf.DUMMYFUNCTION("""COMPUTED_VALUE"""),7411.16)</f>
        <v>7411.16</v>
      </c>
      <c r="R24" s="6" t="str">
        <f t="shared" ca="1" si="6"/>
        <v>20181</v>
      </c>
      <c r="S24" s="6">
        <f t="shared" ca="1" si="7"/>
        <v>2018</v>
      </c>
      <c r="T24" s="6">
        <f t="shared" ca="1" si="8"/>
        <v>1</v>
      </c>
      <c r="U24" s="68">
        <f ca="1">IFERROR(__xludf.DUMMYFUNCTION("""COMPUTED_VALUE"""),43124.6458333333)</f>
        <v>43124.645833333299</v>
      </c>
      <c r="V24" s="6">
        <f ca="1">IFERROR(__xludf.DUMMYFUNCTION("""COMPUTED_VALUE"""),2538)</f>
        <v>2538</v>
      </c>
      <c r="Z24" s="6" t="str">
        <f t="shared" ca="1" si="9"/>
        <v>20181</v>
      </c>
      <c r="AA24" s="6">
        <f t="shared" ca="1" si="10"/>
        <v>2018</v>
      </c>
      <c r="AB24" s="6">
        <f t="shared" ca="1" si="11"/>
        <v>1</v>
      </c>
      <c r="AC24" s="68">
        <f ca="1">IFERROR(__xludf.DUMMYFUNCTION("""COMPUTED_VALUE"""),43116.9986111111)</f>
        <v>43116.998611111099</v>
      </c>
      <c r="AD24" s="6">
        <f ca="1">IFERROR(__xludf.DUMMYFUNCTION("""COMPUTED_VALUE"""),1062.46)</f>
        <v>1062.46</v>
      </c>
      <c r="AH24" s="6" t="str">
        <f t="shared" ca="1" si="12"/>
        <v>20181</v>
      </c>
      <c r="AI24" s="6">
        <f t="shared" ca="1" si="13"/>
        <v>2018</v>
      </c>
      <c r="AJ24" s="6">
        <f t="shared" ca="1" si="14"/>
        <v>1</v>
      </c>
      <c r="AK24" s="68">
        <f ca="1">IFERROR(__xludf.DUMMYFUNCTION("""COMPUTED_VALUE"""),43115.9986111111)</f>
        <v>43115.998611111099</v>
      </c>
      <c r="AL24" s="6">
        <f ca="1">IFERROR(__xludf.DUMMYFUNCTION("""COMPUTED_VALUE"""),13907.34)</f>
        <v>13907.34</v>
      </c>
      <c r="AP24" s="6" t="str">
        <f t="shared" ca="1" si="15"/>
        <v>20181</v>
      </c>
      <c r="AQ24" s="6">
        <f t="shared" ca="1" si="16"/>
        <v>2018</v>
      </c>
      <c r="AR24" s="6">
        <f t="shared" ca="1" si="17"/>
        <v>1</v>
      </c>
      <c r="AS24" s="68">
        <f ca="1">IFERROR(__xludf.DUMMYFUNCTION("""COMPUTED_VALUE"""),43125.9986111111)</f>
        <v>43125.998611111099</v>
      </c>
      <c r="AT24" s="6">
        <f ca="1">IFERROR(__xludf.DUMMYFUNCTION("""COMPUTED_VALUE"""),1368)</f>
        <v>1368</v>
      </c>
    </row>
    <row r="25" spans="2:46" x14ac:dyDescent="0.35">
      <c r="B25" s="6" t="str">
        <f t="shared" ca="1" si="0"/>
        <v>20181</v>
      </c>
      <c r="C25" s="6">
        <f t="shared" ca="1" si="1"/>
        <v>2018</v>
      </c>
      <c r="D25" s="6">
        <f t="shared" ca="1" si="2"/>
        <v>1</v>
      </c>
      <c r="E25" s="68">
        <f ca="1">IFERROR(__xludf.DUMMYFUNCTION("""COMPUTED_VALUE"""),43126.6666666666)</f>
        <v>43126.666666666599</v>
      </c>
      <c r="F25" s="6">
        <f ca="1">IFERROR(__xludf.DUMMYFUNCTION("""COMPUTED_VALUE"""),2872.87)</f>
        <v>2872.87</v>
      </c>
      <c r="J25" s="6" t="str">
        <f t="shared" ca="1" si="3"/>
        <v>20181</v>
      </c>
      <c r="K25" s="6">
        <f t="shared" ca="1" si="4"/>
        <v>2018</v>
      </c>
      <c r="L25" s="6">
        <f t="shared" ca="1" si="5"/>
        <v>1</v>
      </c>
      <c r="M25" s="68">
        <f ca="1">IFERROR(__xludf.DUMMYFUNCTION("""COMPUTED_VALUE"""),43126.6666666666)</f>
        <v>43126.666666666599</v>
      </c>
      <c r="N25" s="6">
        <f ca="1">IFERROR(__xludf.DUMMYFUNCTION("""COMPUTED_VALUE"""),7505.77)</f>
        <v>7505.77</v>
      </c>
      <c r="R25" s="6" t="str">
        <f t="shared" ca="1" si="6"/>
        <v>20181</v>
      </c>
      <c r="S25" s="6">
        <f t="shared" ca="1" si="7"/>
        <v>2018</v>
      </c>
      <c r="T25" s="6">
        <f t="shared" ca="1" si="8"/>
        <v>1</v>
      </c>
      <c r="U25" s="68">
        <f ca="1">IFERROR(__xludf.DUMMYFUNCTION("""COMPUTED_VALUE"""),43125.6458333333)</f>
        <v>43125.645833333299</v>
      </c>
      <c r="V25" s="6">
        <f ca="1">IFERROR(__xludf.DUMMYFUNCTION("""COMPUTED_VALUE"""),2562.23)</f>
        <v>2562.23</v>
      </c>
      <c r="Z25" s="6" t="str">
        <f t="shared" ca="1" si="9"/>
        <v>20181</v>
      </c>
      <c r="AA25" s="6">
        <f t="shared" ca="1" si="10"/>
        <v>2018</v>
      </c>
      <c r="AB25" s="6">
        <f t="shared" ca="1" si="11"/>
        <v>1</v>
      </c>
      <c r="AC25" s="68">
        <f ca="1">IFERROR(__xludf.DUMMYFUNCTION("""COMPUTED_VALUE"""),43117.9986111111)</f>
        <v>43117.998611111099</v>
      </c>
      <c r="AD25" s="6">
        <f ca="1">IFERROR(__xludf.DUMMYFUNCTION("""COMPUTED_VALUE"""),1066.56)</f>
        <v>1066.56</v>
      </c>
      <c r="AH25" s="6" t="str">
        <f t="shared" ca="1" si="12"/>
        <v>20181</v>
      </c>
      <c r="AI25" s="6">
        <f t="shared" ca="1" si="13"/>
        <v>2018</v>
      </c>
      <c r="AJ25" s="6">
        <f t="shared" ca="1" si="14"/>
        <v>1</v>
      </c>
      <c r="AK25" s="68">
        <f ca="1">IFERROR(__xludf.DUMMYFUNCTION("""COMPUTED_VALUE"""),43116.9986111111)</f>
        <v>43116.998611111099</v>
      </c>
      <c r="AL25" s="6">
        <f ca="1">IFERROR(__xludf.DUMMYFUNCTION("""COMPUTED_VALUE"""),10635.83)</f>
        <v>10635.83</v>
      </c>
      <c r="AP25" s="6" t="str">
        <f t="shared" ca="1" si="15"/>
        <v>20181</v>
      </c>
      <c r="AQ25" s="6">
        <f t="shared" ca="1" si="16"/>
        <v>2018</v>
      </c>
      <c r="AR25" s="6">
        <f t="shared" ca="1" si="17"/>
        <v>1</v>
      </c>
      <c r="AS25" s="68">
        <f ca="1">IFERROR(__xludf.DUMMYFUNCTION("""COMPUTED_VALUE"""),43126.9986111111)</f>
        <v>43126.998611111099</v>
      </c>
      <c r="AT25" s="6">
        <f ca="1">IFERROR(__xludf.DUMMYFUNCTION("""COMPUTED_VALUE"""),1357.2)</f>
        <v>1357.2</v>
      </c>
    </row>
    <row r="26" spans="2:46" x14ac:dyDescent="0.35">
      <c r="B26" s="6" t="str">
        <f t="shared" ca="1" si="0"/>
        <v>20181</v>
      </c>
      <c r="C26" s="6">
        <f t="shared" ca="1" si="1"/>
        <v>2018</v>
      </c>
      <c r="D26" s="6">
        <f t="shared" ca="1" si="2"/>
        <v>1</v>
      </c>
      <c r="E26" s="68">
        <f ca="1">IFERROR(__xludf.DUMMYFUNCTION("""COMPUTED_VALUE"""),43129.6666666666)</f>
        <v>43129.666666666599</v>
      </c>
      <c r="F26" s="6">
        <f ca="1">IFERROR(__xludf.DUMMYFUNCTION("""COMPUTED_VALUE"""),2853.53)</f>
        <v>2853.53</v>
      </c>
      <c r="J26" s="6" t="str">
        <f t="shared" ca="1" si="3"/>
        <v>20181</v>
      </c>
      <c r="K26" s="6">
        <f t="shared" ca="1" si="4"/>
        <v>2018</v>
      </c>
      <c r="L26" s="6">
        <f t="shared" ca="1" si="5"/>
        <v>1</v>
      </c>
      <c r="M26" s="68">
        <f ca="1">IFERROR(__xludf.DUMMYFUNCTION("""COMPUTED_VALUE"""),43129.6666666666)</f>
        <v>43129.666666666599</v>
      </c>
      <c r="N26" s="6">
        <f ca="1">IFERROR(__xludf.DUMMYFUNCTION("""COMPUTED_VALUE"""),7466.51)</f>
        <v>7466.51</v>
      </c>
      <c r="R26" s="6" t="str">
        <f t="shared" ca="1" si="6"/>
        <v>20181</v>
      </c>
      <c r="S26" s="6">
        <f t="shared" ca="1" si="7"/>
        <v>2018</v>
      </c>
      <c r="T26" s="6">
        <f t="shared" ca="1" si="8"/>
        <v>1</v>
      </c>
      <c r="U26" s="68">
        <f ca="1">IFERROR(__xludf.DUMMYFUNCTION("""COMPUTED_VALUE"""),43126.6458333333)</f>
        <v>43126.645833333299</v>
      </c>
      <c r="V26" s="6">
        <f ca="1">IFERROR(__xludf.DUMMYFUNCTION("""COMPUTED_VALUE"""),2574.76)</f>
        <v>2574.7600000000002</v>
      </c>
      <c r="Z26" s="6" t="str">
        <f t="shared" ca="1" si="9"/>
        <v>20181</v>
      </c>
      <c r="AA26" s="6">
        <f t="shared" ca="1" si="10"/>
        <v>2018</v>
      </c>
      <c r="AB26" s="6">
        <f t="shared" ca="1" si="11"/>
        <v>1</v>
      </c>
      <c r="AC26" s="68">
        <f ca="1">IFERROR(__xludf.DUMMYFUNCTION("""COMPUTED_VALUE"""),43118.9986111111)</f>
        <v>43118.998611111099</v>
      </c>
      <c r="AD26" s="6">
        <f ca="1">IFERROR(__xludf.DUMMYFUNCTION("""COMPUTED_VALUE"""),1069.69)</f>
        <v>1069.69</v>
      </c>
      <c r="AH26" s="6" t="str">
        <f t="shared" ca="1" si="12"/>
        <v>20181</v>
      </c>
      <c r="AI26" s="6">
        <f t="shared" ca="1" si="13"/>
        <v>2018</v>
      </c>
      <c r="AJ26" s="6">
        <f t="shared" ca="1" si="14"/>
        <v>1</v>
      </c>
      <c r="AK26" s="68">
        <f ca="1">IFERROR(__xludf.DUMMYFUNCTION("""COMPUTED_VALUE"""),43117.9986111111)</f>
        <v>43117.998611111099</v>
      </c>
      <c r="AL26" s="6">
        <f ca="1">IFERROR(__xludf.DUMMYFUNCTION("""COMPUTED_VALUE"""),11361.94)</f>
        <v>11361.94</v>
      </c>
      <c r="AP26" s="6" t="str">
        <f t="shared" ca="1" si="15"/>
        <v>20181</v>
      </c>
      <c r="AQ26" s="6">
        <f t="shared" ca="1" si="16"/>
        <v>2018</v>
      </c>
      <c r="AR26" s="6">
        <f t="shared" ca="1" si="17"/>
        <v>1</v>
      </c>
      <c r="AS26" s="68">
        <f ca="1">IFERROR(__xludf.DUMMYFUNCTION("""COMPUTED_VALUE"""),43129.9986111111)</f>
        <v>43129.998611111099</v>
      </c>
      <c r="AT26" s="6">
        <f ca="1">IFERROR(__xludf.DUMMYFUNCTION("""COMPUTED_VALUE"""),1345.1)</f>
        <v>1345.1</v>
      </c>
    </row>
    <row r="27" spans="2:46" x14ac:dyDescent="0.35">
      <c r="B27" s="6" t="str">
        <f t="shared" ca="1" si="0"/>
        <v>20181</v>
      </c>
      <c r="C27" s="6">
        <f t="shared" ca="1" si="1"/>
        <v>2018</v>
      </c>
      <c r="D27" s="6">
        <f t="shared" ca="1" si="2"/>
        <v>1</v>
      </c>
      <c r="E27" s="68">
        <f ca="1">IFERROR(__xludf.DUMMYFUNCTION("""COMPUTED_VALUE"""),43130.6666666666)</f>
        <v>43130.666666666599</v>
      </c>
      <c r="F27" s="6">
        <f ca="1">IFERROR(__xludf.DUMMYFUNCTION("""COMPUTED_VALUE"""),2822.43)</f>
        <v>2822.43</v>
      </c>
      <c r="J27" s="6" t="str">
        <f t="shared" ca="1" si="3"/>
        <v>20181</v>
      </c>
      <c r="K27" s="6">
        <f t="shared" ca="1" si="4"/>
        <v>2018</v>
      </c>
      <c r="L27" s="6">
        <f t="shared" ca="1" si="5"/>
        <v>1</v>
      </c>
      <c r="M27" s="68">
        <f ca="1">IFERROR(__xludf.DUMMYFUNCTION("""COMPUTED_VALUE"""),43130.6666666666)</f>
        <v>43130.666666666599</v>
      </c>
      <c r="N27" s="6">
        <f ca="1">IFERROR(__xludf.DUMMYFUNCTION("""COMPUTED_VALUE"""),7402.48)</f>
        <v>7402.48</v>
      </c>
      <c r="R27" s="6" t="str">
        <f t="shared" ca="1" si="6"/>
        <v>20181</v>
      </c>
      <c r="S27" s="6">
        <f t="shared" ca="1" si="7"/>
        <v>2018</v>
      </c>
      <c r="T27" s="6">
        <f t="shared" ca="1" si="8"/>
        <v>1</v>
      </c>
      <c r="U27" s="68">
        <f ca="1">IFERROR(__xludf.DUMMYFUNCTION("""COMPUTED_VALUE"""),43129.6458333333)</f>
        <v>43129.645833333299</v>
      </c>
      <c r="V27" s="6">
        <f ca="1">IFERROR(__xludf.DUMMYFUNCTION("""COMPUTED_VALUE"""),2598.19)</f>
        <v>2598.19</v>
      </c>
      <c r="Z27" s="6" t="str">
        <f t="shared" ca="1" si="9"/>
        <v>20181</v>
      </c>
      <c r="AA27" s="6">
        <f t="shared" ca="1" si="10"/>
        <v>2018</v>
      </c>
      <c r="AB27" s="6">
        <f t="shared" ca="1" si="11"/>
        <v>1</v>
      </c>
      <c r="AC27" s="68">
        <f ca="1">IFERROR(__xludf.DUMMYFUNCTION("""COMPUTED_VALUE"""),43119.9986111111)</f>
        <v>43119.998611111099</v>
      </c>
      <c r="AD27" s="6">
        <f ca="1">IFERROR(__xludf.DUMMYFUNCTION("""COMPUTED_VALUE"""),1065.67)</f>
        <v>1065.67</v>
      </c>
      <c r="AH27" s="6" t="str">
        <f t="shared" ca="1" si="12"/>
        <v>20181</v>
      </c>
      <c r="AI27" s="6">
        <f t="shared" ca="1" si="13"/>
        <v>2018</v>
      </c>
      <c r="AJ27" s="6">
        <f t="shared" ca="1" si="14"/>
        <v>1</v>
      </c>
      <c r="AK27" s="68">
        <f ca="1">IFERROR(__xludf.DUMMYFUNCTION("""COMPUTED_VALUE"""),43118.9986111111)</f>
        <v>43118.998611111099</v>
      </c>
      <c r="AL27" s="6">
        <f ca="1">IFERROR(__xludf.DUMMYFUNCTION("""COMPUTED_VALUE"""),11503.82)</f>
        <v>11503.82</v>
      </c>
      <c r="AP27" s="6" t="str">
        <f t="shared" ca="1" si="15"/>
        <v>20181</v>
      </c>
      <c r="AQ27" s="6">
        <f t="shared" ca="1" si="16"/>
        <v>2018</v>
      </c>
      <c r="AR27" s="6">
        <f t="shared" ca="1" si="17"/>
        <v>1</v>
      </c>
      <c r="AS27" s="68">
        <f ca="1">IFERROR(__xludf.DUMMYFUNCTION("""COMPUTED_VALUE"""),43130.9986111111)</f>
        <v>43130.998611111099</v>
      </c>
      <c r="AT27" s="6">
        <f ca="1">IFERROR(__xludf.DUMMYFUNCTION("""COMPUTED_VALUE"""),1340)</f>
        <v>1340</v>
      </c>
    </row>
    <row r="28" spans="2:46" x14ac:dyDescent="0.35">
      <c r="B28" s="6" t="str">
        <f t="shared" ca="1" si="0"/>
        <v>20181</v>
      </c>
      <c r="C28" s="6">
        <f t="shared" ca="1" si="1"/>
        <v>2018</v>
      </c>
      <c r="D28" s="6">
        <f t="shared" ca="1" si="2"/>
        <v>1</v>
      </c>
      <c r="E28" s="68">
        <f ca="1">IFERROR(__xludf.DUMMYFUNCTION("""COMPUTED_VALUE"""),43131.6666666666)</f>
        <v>43131.666666666599</v>
      </c>
      <c r="F28" s="6">
        <f ca="1">IFERROR(__xludf.DUMMYFUNCTION("""COMPUTED_VALUE"""),2823.81)</f>
        <v>2823.81</v>
      </c>
      <c r="J28" s="6" t="str">
        <f t="shared" ca="1" si="3"/>
        <v>20181</v>
      </c>
      <c r="K28" s="6">
        <f t="shared" ca="1" si="4"/>
        <v>2018</v>
      </c>
      <c r="L28" s="6">
        <f t="shared" ca="1" si="5"/>
        <v>1</v>
      </c>
      <c r="M28" s="68">
        <f ca="1">IFERROR(__xludf.DUMMYFUNCTION("""COMPUTED_VALUE"""),43131.6666666666)</f>
        <v>43131.666666666599</v>
      </c>
      <c r="N28" s="6">
        <f ca="1">IFERROR(__xludf.DUMMYFUNCTION("""COMPUTED_VALUE"""),7411.48)</f>
        <v>7411.48</v>
      </c>
      <c r="R28" s="6" t="str">
        <f t="shared" ca="1" si="6"/>
        <v>20181</v>
      </c>
      <c r="S28" s="6">
        <f t="shared" ca="1" si="7"/>
        <v>2018</v>
      </c>
      <c r="T28" s="6">
        <f t="shared" ca="1" si="8"/>
        <v>1</v>
      </c>
      <c r="U28" s="68">
        <f ca="1">IFERROR(__xludf.DUMMYFUNCTION("""COMPUTED_VALUE"""),43130.6458333333)</f>
        <v>43130.645833333299</v>
      </c>
      <c r="V28" s="6">
        <f ca="1">IFERROR(__xludf.DUMMYFUNCTION("""COMPUTED_VALUE"""),2567.74)</f>
        <v>2567.7399999999998</v>
      </c>
      <c r="Z28" s="6" t="str">
        <f t="shared" ca="1" si="9"/>
        <v>20181</v>
      </c>
      <c r="AA28" s="6">
        <f t="shared" ca="1" si="10"/>
        <v>2018</v>
      </c>
      <c r="AB28" s="6">
        <f t="shared" ca="1" si="11"/>
        <v>1</v>
      </c>
      <c r="AC28" s="68">
        <f ca="1">IFERROR(__xludf.DUMMYFUNCTION("""COMPUTED_VALUE"""),43120.9986111111)</f>
        <v>43120.998611111099</v>
      </c>
      <c r="AD28" s="6">
        <f ca="1">IFERROR(__xludf.DUMMYFUNCTION("""COMPUTED_VALUE"""),1065.67)</f>
        <v>1065.67</v>
      </c>
      <c r="AH28" s="6" t="str">
        <f t="shared" ca="1" si="12"/>
        <v>20181</v>
      </c>
      <c r="AI28" s="6">
        <f t="shared" ca="1" si="13"/>
        <v>2018</v>
      </c>
      <c r="AJ28" s="6">
        <f t="shared" ca="1" si="14"/>
        <v>1</v>
      </c>
      <c r="AK28" s="68">
        <f ca="1">IFERROR(__xludf.DUMMYFUNCTION("""COMPUTED_VALUE"""),43119.9986111111)</f>
        <v>43119.998611111099</v>
      </c>
      <c r="AL28" s="6">
        <f ca="1">IFERROR(__xludf.DUMMYFUNCTION("""COMPUTED_VALUE"""),11326.22)</f>
        <v>11326.22</v>
      </c>
      <c r="AP28" s="6" t="str">
        <f t="shared" ca="1" si="15"/>
        <v>20181</v>
      </c>
      <c r="AQ28" s="6">
        <f t="shared" ca="1" si="16"/>
        <v>2018</v>
      </c>
      <c r="AR28" s="6">
        <f t="shared" ca="1" si="17"/>
        <v>1</v>
      </c>
      <c r="AS28" s="68">
        <f ca="1">IFERROR(__xludf.DUMMYFUNCTION("""COMPUTED_VALUE"""),43131.9986111111)</f>
        <v>43131.998611111099</v>
      </c>
      <c r="AT28" s="6">
        <f ca="1">IFERROR(__xludf.DUMMYFUNCTION("""COMPUTED_VALUE"""),1343.1)</f>
        <v>1343.1</v>
      </c>
    </row>
    <row r="29" spans="2:46" x14ac:dyDescent="0.35">
      <c r="B29" s="6" t="str">
        <f t="shared" ca="1" si="0"/>
        <v>20182</v>
      </c>
      <c r="C29" s="6">
        <f t="shared" ca="1" si="1"/>
        <v>2018</v>
      </c>
      <c r="D29" s="6">
        <f t="shared" ca="1" si="2"/>
        <v>2</v>
      </c>
      <c r="E29" s="68">
        <f ca="1">IFERROR(__xludf.DUMMYFUNCTION("""COMPUTED_VALUE"""),43132.6666666666)</f>
        <v>43132.666666666599</v>
      </c>
      <c r="F29" s="6">
        <f ca="1">IFERROR(__xludf.DUMMYFUNCTION("""COMPUTED_VALUE"""),2821.98)</f>
        <v>2821.98</v>
      </c>
      <c r="J29" s="6" t="str">
        <f t="shared" ca="1" si="3"/>
        <v>20182</v>
      </c>
      <c r="K29" s="6">
        <f t="shared" ca="1" si="4"/>
        <v>2018</v>
      </c>
      <c r="L29" s="6">
        <f t="shared" ca="1" si="5"/>
        <v>2</v>
      </c>
      <c r="M29" s="68">
        <f ca="1">IFERROR(__xludf.DUMMYFUNCTION("""COMPUTED_VALUE"""),43132.6666666666)</f>
        <v>43132.666666666599</v>
      </c>
      <c r="N29" s="6">
        <f ca="1">IFERROR(__xludf.DUMMYFUNCTION("""COMPUTED_VALUE"""),7385.86)</f>
        <v>7385.86</v>
      </c>
      <c r="R29" s="6" t="str">
        <f t="shared" ca="1" si="6"/>
        <v>20181</v>
      </c>
      <c r="S29" s="6">
        <f t="shared" ca="1" si="7"/>
        <v>2018</v>
      </c>
      <c r="T29" s="6">
        <f t="shared" ca="1" si="8"/>
        <v>1</v>
      </c>
      <c r="U29" s="68">
        <f ca="1">IFERROR(__xludf.DUMMYFUNCTION("""COMPUTED_VALUE"""),43131.6458333333)</f>
        <v>43131.645833333299</v>
      </c>
      <c r="V29" s="6">
        <f ca="1">IFERROR(__xludf.DUMMYFUNCTION("""COMPUTED_VALUE"""),2566.46)</f>
        <v>2566.46</v>
      </c>
      <c r="Z29" s="6" t="str">
        <f t="shared" ca="1" si="9"/>
        <v>20181</v>
      </c>
      <c r="AA29" s="6">
        <f t="shared" ca="1" si="10"/>
        <v>2018</v>
      </c>
      <c r="AB29" s="6">
        <f t="shared" ca="1" si="11"/>
        <v>1</v>
      </c>
      <c r="AC29" s="68">
        <f ca="1">IFERROR(__xludf.DUMMYFUNCTION("""COMPUTED_VALUE"""),43121.9986111111)</f>
        <v>43121.998611111099</v>
      </c>
      <c r="AD29" s="6">
        <f ca="1">IFERROR(__xludf.DUMMYFUNCTION("""COMPUTED_VALUE"""),1066.36)</f>
        <v>1066.3599999999999</v>
      </c>
      <c r="AH29" s="6" t="str">
        <f t="shared" ca="1" si="12"/>
        <v>20181</v>
      </c>
      <c r="AI29" s="6">
        <f t="shared" ca="1" si="13"/>
        <v>2018</v>
      </c>
      <c r="AJ29" s="6">
        <f t="shared" ca="1" si="14"/>
        <v>1</v>
      </c>
      <c r="AK29" s="68">
        <f ca="1">IFERROR(__xludf.DUMMYFUNCTION("""COMPUTED_VALUE"""),43120.9986111111)</f>
        <v>43120.998611111099</v>
      </c>
      <c r="AL29" s="6">
        <f ca="1">IFERROR(__xludf.DUMMYFUNCTION("""COMPUTED_VALUE"""),12359.81)</f>
        <v>12359.81</v>
      </c>
      <c r="AP29" s="6" t="str">
        <f t="shared" ca="1" si="15"/>
        <v>20182</v>
      </c>
      <c r="AQ29" s="6">
        <f t="shared" ca="1" si="16"/>
        <v>2018</v>
      </c>
      <c r="AR29" s="6">
        <f t="shared" ca="1" si="17"/>
        <v>2</v>
      </c>
      <c r="AS29" s="68">
        <f ca="1">IFERROR(__xludf.DUMMYFUNCTION("""COMPUTED_VALUE"""),43132.9986111111)</f>
        <v>43132.998611111099</v>
      </c>
      <c r="AT29" s="6">
        <f ca="1">IFERROR(__xludf.DUMMYFUNCTION("""COMPUTED_VALUE"""),1347.9)</f>
        <v>1347.9</v>
      </c>
    </row>
    <row r="30" spans="2:46" x14ac:dyDescent="0.35">
      <c r="B30" s="6" t="str">
        <f t="shared" ca="1" si="0"/>
        <v>20182</v>
      </c>
      <c r="C30" s="6">
        <f t="shared" ca="1" si="1"/>
        <v>2018</v>
      </c>
      <c r="D30" s="6">
        <f t="shared" ca="1" si="2"/>
        <v>2</v>
      </c>
      <c r="E30" s="68">
        <f ca="1">IFERROR(__xludf.DUMMYFUNCTION("""COMPUTED_VALUE"""),43133.6666666666)</f>
        <v>43133.666666666599</v>
      </c>
      <c r="F30" s="6">
        <f ca="1">IFERROR(__xludf.DUMMYFUNCTION("""COMPUTED_VALUE"""),2762.13)</f>
        <v>2762.13</v>
      </c>
      <c r="J30" s="6" t="str">
        <f t="shared" ca="1" si="3"/>
        <v>20182</v>
      </c>
      <c r="K30" s="6">
        <f t="shared" ca="1" si="4"/>
        <v>2018</v>
      </c>
      <c r="L30" s="6">
        <f t="shared" ca="1" si="5"/>
        <v>2</v>
      </c>
      <c r="M30" s="68">
        <f ca="1">IFERROR(__xludf.DUMMYFUNCTION("""COMPUTED_VALUE"""),43133.6666666666)</f>
        <v>43133.666666666599</v>
      </c>
      <c r="N30" s="6">
        <f ca="1">IFERROR(__xludf.DUMMYFUNCTION("""COMPUTED_VALUE"""),7240.95)</f>
        <v>7240.95</v>
      </c>
      <c r="R30" s="6" t="str">
        <f t="shared" ca="1" si="6"/>
        <v>20182</v>
      </c>
      <c r="S30" s="6">
        <f t="shared" ca="1" si="7"/>
        <v>2018</v>
      </c>
      <c r="T30" s="6">
        <f t="shared" ca="1" si="8"/>
        <v>2</v>
      </c>
      <c r="U30" s="68">
        <f ca="1">IFERROR(__xludf.DUMMYFUNCTION("""COMPUTED_VALUE"""),43132.6458333333)</f>
        <v>43132.645833333299</v>
      </c>
      <c r="V30" s="6">
        <f ca="1">IFERROR(__xludf.DUMMYFUNCTION("""COMPUTED_VALUE"""),2568.54)</f>
        <v>2568.54</v>
      </c>
      <c r="Z30" s="6" t="str">
        <f t="shared" ca="1" si="9"/>
        <v>20181</v>
      </c>
      <c r="AA30" s="6">
        <f t="shared" ca="1" si="10"/>
        <v>2018</v>
      </c>
      <c r="AB30" s="6">
        <f t="shared" ca="1" si="11"/>
        <v>1</v>
      </c>
      <c r="AC30" s="68">
        <f ca="1">IFERROR(__xludf.DUMMYFUNCTION("""COMPUTED_VALUE"""),43122.9986111111)</f>
        <v>43122.998611111099</v>
      </c>
      <c r="AD30" s="6">
        <f ca="1">IFERROR(__xludf.DUMMYFUNCTION("""COMPUTED_VALUE"""),1068.81)</f>
        <v>1068.81</v>
      </c>
      <c r="AH30" s="6" t="str">
        <f t="shared" ca="1" si="12"/>
        <v>20181</v>
      </c>
      <c r="AI30" s="6">
        <f t="shared" ca="1" si="13"/>
        <v>2018</v>
      </c>
      <c r="AJ30" s="6">
        <f t="shared" ca="1" si="14"/>
        <v>1</v>
      </c>
      <c r="AK30" s="68">
        <f ca="1">IFERROR(__xludf.DUMMYFUNCTION("""COMPUTED_VALUE"""),43121.9986111111)</f>
        <v>43121.998611111099</v>
      </c>
      <c r="AL30" s="6">
        <f ca="1">IFERROR(__xludf.DUMMYFUNCTION("""COMPUTED_VALUE"""),11701.95)</f>
        <v>11701.95</v>
      </c>
      <c r="AP30" s="6" t="str">
        <f t="shared" ca="1" si="15"/>
        <v>20182</v>
      </c>
      <c r="AQ30" s="6">
        <f t="shared" ca="1" si="16"/>
        <v>2018</v>
      </c>
      <c r="AR30" s="6">
        <f t="shared" ca="1" si="17"/>
        <v>2</v>
      </c>
      <c r="AS30" s="68">
        <f ca="1">IFERROR(__xludf.DUMMYFUNCTION("""COMPUTED_VALUE"""),43133.9986111111)</f>
        <v>43133.998611111099</v>
      </c>
      <c r="AT30" s="6">
        <f ca="1">IFERROR(__xludf.DUMMYFUNCTION("""COMPUTED_VALUE"""),1337.3)</f>
        <v>1337.3</v>
      </c>
    </row>
    <row r="31" spans="2:46" x14ac:dyDescent="0.35">
      <c r="B31" s="6" t="str">
        <f t="shared" ca="1" si="0"/>
        <v>20182</v>
      </c>
      <c r="C31" s="6">
        <f t="shared" ca="1" si="1"/>
        <v>2018</v>
      </c>
      <c r="D31" s="6">
        <f t="shared" ca="1" si="2"/>
        <v>2</v>
      </c>
      <c r="E31" s="68">
        <f ca="1">IFERROR(__xludf.DUMMYFUNCTION("""COMPUTED_VALUE"""),43136.6666666666)</f>
        <v>43136.666666666599</v>
      </c>
      <c r="F31" s="6">
        <f ca="1">IFERROR(__xludf.DUMMYFUNCTION("""COMPUTED_VALUE"""),2648.94)</f>
        <v>2648.94</v>
      </c>
      <c r="J31" s="6" t="str">
        <f t="shared" ca="1" si="3"/>
        <v>20182</v>
      </c>
      <c r="K31" s="6">
        <f t="shared" ca="1" si="4"/>
        <v>2018</v>
      </c>
      <c r="L31" s="6">
        <f t="shared" ca="1" si="5"/>
        <v>2</v>
      </c>
      <c r="M31" s="68">
        <f ca="1">IFERROR(__xludf.DUMMYFUNCTION("""COMPUTED_VALUE"""),43136.6666666666)</f>
        <v>43136.666666666599</v>
      </c>
      <c r="N31" s="6">
        <f ca="1">IFERROR(__xludf.DUMMYFUNCTION("""COMPUTED_VALUE"""),6967.53)</f>
        <v>6967.53</v>
      </c>
      <c r="R31" s="6" t="str">
        <f t="shared" ca="1" si="6"/>
        <v>20182</v>
      </c>
      <c r="S31" s="6">
        <f t="shared" ca="1" si="7"/>
        <v>2018</v>
      </c>
      <c r="T31" s="6">
        <f t="shared" ca="1" si="8"/>
        <v>2</v>
      </c>
      <c r="U31" s="68">
        <f ca="1">IFERROR(__xludf.DUMMYFUNCTION("""COMPUTED_VALUE"""),43133.6458333333)</f>
        <v>43133.645833333299</v>
      </c>
      <c r="V31" s="6">
        <f ca="1">IFERROR(__xludf.DUMMYFUNCTION("""COMPUTED_VALUE"""),2525.39)</f>
        <v>2525.39</v>
      </c>
      <c r="Z31" s="6" t="str">
        <f t="shared" ca="1" si="9"/>
        <v>20181</v>
      </c>
      <c r="AA31" s="6">
        <f t="shared" ca="1" si="10"/>
        <v>2018</v>
      </c>
      <c r="AB31" s="6">
        <f t="shared" ca="1" si="11"/>
        <v>1</v>
      </c>
      <c r="AC31" s="68">
        <f ca="1">IFERROR(__xludf.DUMMYFUNCTION("""COMPUTED_VALUE"""),43123.9986111111)</f>
        <v>43123.998611111099</v>
      </c>
      <c r="AD31" s="6">
        <f ca="1">IFERROR(__xludf.DUMMYFUNCTION("""COMPUTED_VALUE"""),1072.76)</f>
        <v>1072.76</v>
      </c>
      <c r="AH31" s="6" t="str">
        <f t="shared" ca="1" si="12"/>
        <v>20181</v>
      </c>
      <c r="AI31" s="6">
        <f t="shared" ca="1" si="13"/>
        <v>2018</v>
      </c>
      <c r="AJ31" s="6">
        <f t="shared" ca="1" si="14"/>
        <v>1</v>
      </c>
      <c r="AK31" s="68">
        <f ca="1">IFERROR(__xludf.DUMMYFUNCTION("""COMPUTED_VALUE"""),43122.9986111111)</f>
        <v>43122.998611111099</v>
      </c>
      <c r="AL31" s="6">
        <f ca="1">IFERROR(__xludf.DUMMYFUNCTION("""COMPUTED_VALUE"""),10337.14)</f>
        <v>10337.14</v>
      </c>
      <c r="AP31" s="6" t="str">
        <f t="shared" ca="1" si="15"/>
        <v>20182</v>
      </c>
      <c r="AQ31" s="6">
        <f t="shared" ca="1" si="16"/>
        <v>2018</v>
      </c>
      <c r="AR31" s="6">
        <f t="shared" ca="1" si="17"/>
        <v>2</v>
      </c>
      <c r="AS31" s="68">
        <f ca="1">IFERROR(__xludf.DUMMYFUNCTION("""COMPUTED_VALUE"""),43136.9986111111)</f>
        <v>43136.998611111099</v>
      </c>
      <c r="AT31" s="6">
        <f ca="1">IFERROR(__xludf.DUMMYFUNCTION("""COMPUTED_VALUE"""),1336.5)</f>
        <v>1336.5</v>
      </c>
    </row>
    <row r="32" spans="2:46" x14ac:dyDescent="0.35">
      <c r="B32" s="6" t="str">
        <f t="shared" ca="1" si="0"/>
        <v>20182</v>
      </c>
      <c r="C32" s="6">
        <f t="shared" ca="1" si="1"/>
        <v>2018</v>
      </c>
      <c r="D32" s="6">
        <f t="shared" ca="1" si="2"/>
        <v>2</v>
      </c>
      <c r="E32" s="68">
        <f ca="1">IFERROR(__xludf.DUMMYFUNCTION("""COMPUTED_VALUE"""),43137.6666666666)</f>
        <v>43137.666666666599</v>
      </c>
      <c r="F32" s="6">
        <f ca="1">IFERROR(__xludf.DUMMYFUNCTION("""COMPUTED_VALUE"""),2695.14)</f>
        <v>2695.14</v>
      </c>
      <c r="J32" s="6" t="str">
        <f t="shared" ca="1" si="3"/>
        <v>20182</v>
      </c>
      <c r="K32" s="6">
        <f t="shared" ca="1" si="4"/>
        <v>2018</v>
      </c>
      <c r="L32" s="6">
        <f t="shared" ca="1" si="5"/>
        <v>2</v>
      </c>
      <c r="M32" s="68">
        <f ca="1">IFERROR(__xludf.DUMMYFUNCTION("""COMPUTED_VALUE"""),43137.6666666666)</f>
        <v>43137.666666666599</v>
      </c>
      <c r="N32" s="6">
        <f ca="1">IFERROR(__xludf.DUMMYFUNCTION("""COMPUTED_VALUE"""),7115.88)</f>
        <v>7115.88</v>
      </c>
      <c r="R32" s="6" t="str">
        <f t="shared" ca="1" si="6"/>
        <v>20182</v>
      </c>
      <c r="S32" s="6">
        <f t="shared" ca="1" si="7"/>
        <v>2018</v>
      </c>
      <c r="T32" s="6">
        <f t="shared" ca="1" si="8"/>
        <v>2</v>
      </c>
      <c r="U32" s="68">
        <f ca="1">IFERROR(__xludf.DUMMYFUNCTION("""COMPUTED_VALUE"""),43136.6458333333)</f>
        <v>43136.645833333299</v>
      </c>
      <c r="V32" s="6">
        <f ca="1">IFERROR(__xludf.DUMMYFUNCTION("""COMPUTED_VALUE"""),2491.75)</f>
        <v>2491.75</v>
      </c>
      <c r="Z32" s="6" t="str">
        <f t="shared" ca="1" si="9"/>
        <v>20181</v>
      </c>
      <c r="AA32" s="6">
        <f t="shared" ca="1" si="10"/>
        <v>2018</v>
      </c>
      <c r="AB32" s="6">
        <f t="shared" ca="1" si="11"/>
        <v>1</v>
      </c>
      <c r="AC32" s="68">
        <f ca="1">IFERROR(__xludf.DUMMYFUNCTION("""COMPUTED_VALUE"""),43124.9986111111)</f>
        <v>43124.998611111099</v>
      </c>
      <c r="AD32" s="6">
        <f ca="1">IFERROR(__xludf.DUMMYFUNCTION("""COMPUTED_VALUE"""),1064.4)</f>
        <v>1064.4000000000001</v>
      </c>
      <c r="AH32" s="6" t="str">
        <f t="shared" ca="1" si="12"/>
        <v>20181</v>
      </c>
      <c r="AI32" s="6">
        <f t="shared" ca="1" si="13"/>
        <v>2018</v>
      </c>
      <c r="AJ32" s="6">
        <f t="shared" ca="1" si="14"/>
        <v>1</v>
      </c>
      <c r="AK32" s="68">
        <f ca="1">IFERROR(__xludf.DUMMYFUNCTION("""COMPUTED_VALUE"""),43123.9986111111)</f>
        <v>43123.998611111099</v>
      </c>
      <c r="AL32" s="6">
        <f ca="1">IFERROR(__xludf.DUMMYFUNCTION("""COMPUTED_VALUE"""),10996.54)</f>
        <v>10996.54</v>
      </c>
      <c r="AP32" s="6" t="str">
        <f t="shared" ca="1" si="15"/>
        <v>20182</v>
      </c>
      <c r="AQ32" s="6">
        <f t="shared" ca="1" si="16"/>
        <v>2018</v>
      </c>
      <c r="AR32" s="6">
        <f t="shared" ca="1" si="17"/>
        <v>2</v>
      </c>
      <c r="AS32" s="68">
        <f ca="1">IFERROR(__xludf.DUMMYFUNCTION("""COMPUTED_VALUE"""),43137.9986111111)</f>
        <v>43137.998611111099</v>
      </c>
      <c r="AT32" s="6">
        <f ca="1">IFERROR(__xludf.DUMMYFUNCTION("""COMPUTED_VALUE"""),1329.5)</f>
        <v>1329.5</v>
      </c>
    </row>
    <row r="33" spans="2:46" x14ac:dyDescent="0.35">
      <c r="B33" s="6" t="str">
        <f t="shared" ca="1" si="0"/>
        <v>20182</v>
      </c>
      <c r="C33" s="6">
        <f t="shared" ca="1" si="1"/>
        <v>2018</v>
      </c>
      <c r="D33" s="6">
        <f t="shared" ca="1" si="2"/>
        <v>2</v>
      </c>
      <c r="E33" s="68">
        <f ca="1">IFERROR(__xludf.DUMMYFUNCTION("""COMPUTED_VALUE"""),43138.6666666666)</f>
        <v>43138.666666666599</v>
      </c>
      <c r="F33" s="6">
        <f ca="1">IFERROR(__xludf.DUMMYFUNCTION("""COMPUTED_VALUE"""),2681.66)</f>
        <v>2681.66</v>
      </c>
      <c r="J33" s="6" t="str">
        <f t="shared" ca="1" si="3"/>
        <v>20182</v>
      </c>
      <c r="K33" s="6">
        <f t="shared" ca="1" si="4"/>
        <v>2018</v>
      </c>
      <c r="L33" s="6">
        <f t="shared" ca="1" si="5"/>
        <v>2</v>
      </c>
      <c r="M33" s="68">
        <f ca="1">IFERROR(__xludf.DUMMYFUNCTION("""COMPUTED_VALUE"""),43138.6666666666)</f>
        <v>43138.666666666599</v>
      </c>
      <c r="N33" s="6">
        <f ca="1">IFERROR(__xludf.DUMMYFUNCTION("""COMPUTED_VALUE"""),7051.98)</f>
        <v>7051.98</v>
      </c>
      <c r="R33" s="6" t="str">
        <f t="shared" ca="1" si="6"/>
        <v>20182</v>
      </c>
      <c r="S33" s="6">
        <f t="shared" ca="1" si="7"/>
        <v>2018</v>
      </c>
      <c r="T33" s="6">
        <f t="shared" ca="1" si="8"/>
        <v>2</v>
      </c>
      <c r="U33" s="68">
        <f ca="1">IFERROR(__xludf.DUMMYFUNCTION("""COMPUTED_VALUE"""),43137.6458333333)</f>
        <v>43137.645833333299</v>
      </c>
      <c r="V33" s="6">
        <f ca="1">IFERROR(__xludf.DUMMYFUNCTION("""COMPUTED_VALUE"""),2453.31)</f>
        <v>2453.31</v>
      </c>
      <c r="Z33" s="6" t="str">
        <f t="shared" ca="1" si="9"/>
        <v>20181</v>
      </c>
      <c r="AA33" s="6">
        <f t="shared" ca="1" si="10"/>
        <v>2018</v>
      </c>
      <c r="AB33" s="6">
        <f t="shared" ca="1" si="11"/>
        <v>1</v>
      </c>
      <c r="AC33" s="68">
        <f ca="1">IFERROR(__xludf.DUMMYFUNCTION("""COMPUTED_VALUE"""),43125.9986111111)</f>
        <v>43125.998611111099</v>
      </c>
      <c r="AD33" s="6">
        <f ca="1">IFERROR(__xludf.DUMMYFUNCTION("""COMPUTED_VALUE"""),1064.89)</f>
        <v>1064.8900000000001</v>
      </c>
      <c r="AH33" s="6" t="str">
        <f t="shared" ca="1" si="12"/>
        <v>20181</v>
      </c>
      <c r="AI33" s="6">
        <f t="shared" ca="1" si="13"/>
        <v>2018</v>
      </c>
      <c r="AJ33" s="6">
        <f t="shared" ca="1" si="14"/>
        <v>1</v>
      </c>
      <c r="AK33" s="68">
        <f ca="1">IFERROR(__xludf.DUMMYFUNCTION("""COMPUTED_VALUE"""),43124.9986111111)</f>
        <v>43124.998611111099</v>
      </c>
      <c r="AL33" s="6">
        <f ca="1">IFERROR(__xludf.DUMMYFUNCTION("""COMPUTED_VALUE"""),11219.58)</f>
        <v>11219.58</v>
      </c>
      <c r="AP33" s="6" t="str">
        <f t="shared" ca="1" si="15"/>
        <v>20182</v>
      </c>
      <c r="AQ33" s="6">
        <f t="shared" ca="1" si="16"/>
        <v>2018</v>
      </c>
      <c r="AR33" s="6">
        <f t="shared" ca="1" si="17"/>
        <v>2</v>
      </c>
      <c r="AS33" s="68">
        <f ca="1">IFERROR(__xludf.DUMMYFUNCTION("""COMPUTED_VALUE"""),43138.9986111111)</f>
        <v>43138.998611111099</v>
      </c>
      <c r="AT33" s="6">
        <f ca="1">IFERROR(__xludf.DUMMYFUNCTION("""COMPUTED_VALUE"""),1314.6)</f>
        <v>1314.6</v>
      </c>
    </row>
    <row r="34" spans="2:46" x14ac:dyDescent="0.35">
      <c r="B34" s="6" t="str">
        <f t="shared" ca="1" si="0"/>
        <v>20182</v>
      </c>
      <c r="C34" s="6">
        <f t="shared" ca="1" si="1"/>
        <v>2018</v>
      </c>
      <c r="D34" s="6">
        <f t="shared" ca="1" si="2"/>
        <v>2</v>
      </c>
      <c r="E34" s="68">
        <f ca="1">IFERROR(__xludf.DUMMYFUNCTION("""COMPUTED_VALUE"""),43139.6666666666)</f>
        <v>43139.666666666599</v>
      </c>
      <c r="F34" s="6">
        <f ca="1">IFERROR(__xludf.DUMMYFUNCTION("""COMPUTED_VALUE"""),2581)</f>
        <v>2581</v>
      </c>
      <c r="J34" s="6" t="str">
        <f t="shared" ca="1" si="3"/>
        <v>20182</v>
      </c>
      <c r="K34" s="6">
        <f t="shared" ca="1" si="4"/>
        <v>2018</v>
      </c>
      <c r="L34" s="6">
        <f t="shared" ca="1" si="5"/>
        <v>2</v>
      </c>
      <c r="M34" s="68">
        <f ca="1">IFERROR(__xludf.DUMMYFUNCTION("""COMPUTED_VALUE"""),43139.6666666666)</f>
        <v>43139.666666666599</v>
      </c>
      <c r="N34" s="6">
        <f ca="1">IFERROR(__xludf.DUMMYFUNCTION("""COMPUTED_VALUE"""),6777.16)</f>
        <v>6777.16</v>
      </c>
      <c r="R34" s="6" t="str">
        <f t="shared" ca="1" si="6"/>
        <v>20182</v>
      </c>
      <c r="S34" s="6">
        <f t="shared" ca="1" si="7"/>
        <v>2018</v>
      </c>
      <c r="T34" s="6">
        <f t="shared" ca="1" si="8"/>
        <v>2</v>
      </c>
      <c r="U34" s="68">
        <f ca="1">IFERROR(__xludf.DUMMYFUNCTION("""COMPUTED_VALUE"""),43138.6458333333)</f>
        <v>43138.645833333299</v>
      </c>
      <c r="V34" s="6">
        <f ca="1">IFERROR(__xludf.DUMMYFUNCTION("""COMPUTED_VALUE"""),2396.56)</f>
        <v>2396.56</v>
      </c>
      <c r="Z34" s="6" t="str">
        <f t="shared" ca="1" si="9"/>
        <v>20181</v>
      </c>
      <c r="AA34" s="6">
        <f t="shared" ca="1" si="10"/>
        <v>2018</v>
      </c>
      <c r="AB34" s="6">
        <f t="shared" ca="1" si="11"/>
        <v>1</v>
      </c>
      <c r="AC34" s="68">
        <f ca="1">IFERROR(__xludf.DUMMYFUNCTION("""COMPUTED_VALUE"""),43126.9986111111)</f>
        <v>43126.998611111099</v>
      </c>
      <c r="AD34" s="6">
        <f ca="1">IFERROR(__xludf.DUMMYFUNCTION("""COMPUTED_VALUE"""),1063.5)</f>
        <v>1063.5</v>
      </c>
      <c r="AH34" s="6" t="str">
        <f t="shared" ca="1" si="12"/>
        <v>20181</v>
      </c>
      <c r="AI34" s="6">
        <f t="shared" ca="1" si="13"/>
        <v>2018</v>
      </c>
      <c r="AJ34" s="6">
        <f t="shared" ca="1" si="14"/>
        <v>1</v>
      </c>
      <c r="AK34" s="68">
        <f ca="1">IFERROR(__xludf.DUMMYFUNCTION("""COMPUTED_VALUE"""),43125.9986111111)</f>
        <v>43125.998611111099</v>
      </c>
      <c r="AL34" s="6">
        <f ca="1">IFERROR(__xludf.DUMMYFUNCTION("""COMPUTED_VALUE"""),11249.85)</f>
        <v>11249.85</v>
      </c>
      <c r="AP34" s="6" t="str">
        <f t="shared" ca="1" si="15"/>
        <v>20182</v>
      </c>
      <c r="AQ34" s="6">
        <f t="shared" ca="1" si="16"/>
        <v>2018</v>
      </c>
      <c r="AR34" s="6">
        <f t="shared" ca="1" si="17"/>
        <v>2</v>
      </c>
      <c r="AS34" s="68">
        <f ca="1">IFERROR(__xludf.DUMMYFUNCTION("""COMPUTED_VALUE"""),43139.9986111111)</f>
        <v>43139.998611111099</v>
      </c>
      <c r="AT34" s="6">
        <f ca="1">IFERROR(__xludf.DUMMYFUNCTION("""COMPUTED_VALUE"""),1319)</f>
        <v>1319</v>
      </c>
    </row>
    <row r="35" spans="2:46" x14ac:dyDescent="0.35">
      <c r="B35" s="6" t="str">
        <f t="shared" ca="1" si="0"/>
        <v>20182</v>
      </c>
      <c r="C35" s="6">
        <f t="shared" ca="1" si="1"/>
        <v>2018</v>
      </c>
      <c r="D35" s="6">
        <f t="shared" ca="1" si="2"/>
        <v>2</v>
      </c>
      <c r="E35" s="68">
        <f ca="1">IFERROR(__xludf.DUMMYFUNCTION("""COMPUTED_VALUE"""),43140.6666666666)</f>
        <v>43140.666666666599</v>
      </c>
      <c r="F35" s="6">
        <f ca="1">IFERROR(__xludf.DUMMYFUNCTION("""COMPUTED_VALUE"""),2619.55)</f>
        <v>2619.5500000000002</v>
      </c>
      <c r="J35" s="6" t="str">
        <f t="shared" ca="1" si="3"/>
        <v>20182</v>
      </c>
      <c r="K35" s="6">
        <f t="shared" ca="1" si="4"/>
        <v>2018</v>
      </c>
      <c r="L35" s="6">
        <f t="shared" ca="1" si="5"/>
        <v>2</v>
      </c>
      <c r="M35" s="68">
        <f ca="1">IFERROR(__xludf.DUMMYFUNCTION("""COMPUTED_VALUE"""),43140.6666666666)</f>
        <v>43140.666666666599</v>
      </c>
      <c r="N35" s="6">
        <f ca="1">IFERROR(__xludf.DUMMYFUNCTION("""COMPUTED_VALUE"""),6874.49)</f>
        <v>6874.49</v>
      </c>
      <c r="R35" s="6" t="str">
        <f t="shared" ca="1" si="6"/>
        <v>20182</v>
      </c>
      <c r="S35" s="6">
        <f t="shared" ca="1" si="7"/>
        <v>2018</v>
      </c>
      <c r="T35" s="6">
        <f t="shared" ca="1" si="8"/>
        <v>2</v>
      </c>
      <c r="U35" s="68">
        <f ca="1">IFERROR(__xludf.DUMMYFUNCTION("""COMPUTED_VALUE"""),43139.6458333333)</f>
        <v>43139.645833333299</v>
      </c>
      <c r="V35" s="6">
        <f ca="1">IFERROR(__xludf.DUMMYFUNCTION("""COMPUTED_VALUE"""),2407.62)</f>
        <v>2407.62</v>
      </c>
      <c r="Z35" s="6" t="str">
        <f t="shared" ca="1" si="9"/>
        <v>20181</v>
      </c>
      <c r="AA35" s="6">
        <f t="shared" ca="1" si="10"/>
        <v>2018</v>
      </c>
      <c r="AB35" s="6">
        <f t="shared" ca="1" si="11"/>
        <v>1</v>
      </c>
      <c r="AC35" s="68">
        <f ca="1">IFERROR(__xludf.DUMMYFUNCTION("""COMPUTED_VALUE"""),43128.9986111111)</f>
        <v>43128.998611111099</v>
      </c>
      <c r="AD35" s="6">
        <f ca="1">IFERROR(__xludf.DUMMYFUNCTION("""COMPUTED_VALUE"""),1063.13)</f>
        <v>1063.1300000000001</v>
      </c>
      <c r="AH35" s="6" t="str">
        <f t="shared" ca="1" si="12"/>
        <v>20181</v>
      </c>
      <c r="AI35" s="6">
        <f t="shared" ca="1" si="13"/>
        <v>2018</v>
      </c>
      <c r="AJ35" s="6">
        <f t="shared" ca="1" si="14"/>
        <v>1</v>
      </c>
      <c r="AK35" s="68">
        <f ca="1">IFERROR(__xludf.DUMMYFUNCTION("""COMPUTED_VALUE"""),43126.9986111111)</f>
        <v>43126.998611111099</v>
      </c>
      <c r="AL35" s="6">
        <f ca="1">IFERROR(__xludf.DUMMYFUNCTION("""COMPUTED_VALUE"""),10880.7)</f>
        <v>10880.7</v>
      </c>
      <c r="AP35" s="6" t="str">
        <f t="shared" ca="1" si="15"/>
        <v>20182</v>
      </c>
      <c r="AQ35" s="6">
        <f t="shared" ca="1" si="16"/>
        <v>2018</v>
      </c>
      <c r="AR35" s="6">
        <f t="shared" ca="1" si="17"/>
        <v>2</v>
      </c>
      <c r="AS35" s="68">
        <f ca="1">IFERROR(__xludf.DUMMYFUNCTION("""COMPUTED_VALUE"""),43140.9986111111)</f>
        <v>43140.998611111099</v>
      </c>
      <c r="AT35" s="6">
        <f ca="1">IFERROR(__xludf.DUMMYFUNCTION("""COMPUTED_VALUE"""),1315.7)</f>
        <v>1315.7</v>
      </c>
    </row>
    <row r="36" spans="2:46" x14ac:dyDescent="0.35">
      <c r="B36" s="6" t="str">
        <f t="shared" ca="1" si="0"/>
        <v>20182</v>
      </c>
      <c r="C36" s="6">
        <f t="shared" ca="1" si="1"/>
        <v>2018</v>
      </c>
      <c r="D36" s="6">
        <f t="shared" ca="1" si="2"/>
        <v>2</v>
      </c>
      <c r="E36" s="68">
        <f ca="1">IFERROR(__xludf.DUMMYFUNCTION("""COMPUTED_VALUE"""),43143.6666666666)</f>
        <v>43143.666666666599</v>
      </c>
      <c r="F36" s="6">
        <f ca="1">IFERROR(__xludf.DUMMYFUNCTION("""COMPUTED_VALUE"""),2656)</f>
        <v>2656</v>
      </c>
      <c r="J36" s="6" t="str">
        <f t="shared" ca="1" si="3"/>
        <v>20182</v>
      </c>
      <c r="K36" s="6">
        <f t="shared" ca="1" si="4"/>
        <v>2018</v>
      </c>
      <c r="L36" s="6">
        <f t="shared" ca="1" si="5"/>
        <v>2</v>
      </c>
      <c r="M36" s="68">
        <f ca="1">IFERROR(__xludf.DUMMYFUNCTION("""COMPUTED_VALUE"""),43143.6666666666)</f>
        <v>43143.666666666599</v>
      </c>
      <c r="N36" s="6">
        <f ca="1">IFERROR(__xludf.DUMMYFUNCTION("""COMPUTED_VALUE"""),6981.96)</f>
        <v>6981.96</v>
      </c>
      <c r="R36" s="6" t="str">
        <f t="shared" ca="1" si="6"/>
        <v>20182</v>
      </c>
      <c r="S36" s="6">
        <f t="shared" ca="1" si="7"/>
        <v>2018</v>
      </c>
      <c r="T36" s="6">
        <f t="shared" ca="1" si="8"/>
        <v>2</v>
      </c>
      <c r="U36" s="68">
        <f ca="1">IFERROR(__xludf.DUMMYFUNCTION("""COMPUTED_VALUE"""),43140.6458333333)</f>
        <v>43140.645833333299</v>
      </c>
      <c r="V36" s="6">
        <f ca="1">IFERROR(__xludf.DUMMYFUNCTION("""COMPUTED_VALUE"""),2363.77)</f>
        <v>2363.77</v>
      </c>
      <c r="Z36" s="6" t="str">
        <f t="shared" ca="1" si="9"/>
        <v>20181</v>
      </c>
      <c r="AA36" s="6">
        <f t="shared" ca="1" si="10"/>
        <v>2018</v>
      </c>
      <c r="AB36" s="6">
        <f t="shared" ca="1" si="11"/>
        <v>1</v>
      </c>
      <c r="AC36" s="68">
        <f ca="1">IFERROR(__xludf.DUMMYFUNCTION("""COMPUTED_VALUE"""),43129.9986111111)</f>
        <v>43129.998611111099</v>
      </c>
      <c r="AD36" s="6">
        <f ca="1">IFERROR(__xludf.DUMMYFUNCTION("""COMPUTED_VALUE"""),1069.79)</f>
        <v>1069.79</v>
      </c>
      <c r="AH36" s="6" t="str">
        <f t="shared" ca="1" si="12"/>
        <v>20181</v>
      </c>
      <c r="AI36" s="6">
        <f t="shared" ca="1" si="13"/>
        <v>2018</v>
      </c>
      <c r="AJ36" s="6">
        <f t="shared" ca="1" si="14"/>
        <v>1</v>
      </c>
      <c r="AK36" s="68">
        <f ca="1">IFERROR(__xludf.DUMMYFUNCTION("""COMPUTED_VALUE"""),43127.9986111111)</f>
        <v>43127.998611111099</v>
      </c>
      <c r="AL36" s="6">
        <f ca="1">IFERROR(__xludf.DUMMYFUNCTION("""COMPUTED_VALUE"""),11470.12)</f>
        <v>11470.12</v>
      </c>
      <c r="AP36" s="6" t="str">
        <f t="shared" ca="1" si="15"/>
        <v>20182</v>
      </c>
      <c r="AQ36" s="6">
        <f t="shared" ca="1" si="16"/>
        <v>2018</v>
      </c>
      <c r="AR36" s="6">
        <f t="shared" ca="1" si="17"/>
        <v>2</v>
      </c>
      <c r="AS36" s="68">
        <f ca="1">IFERROR(__xludf.DUMMYFUNCTION("""COMPUTED_VALUE"""),43143.9986111111)</f>
        <v>43143.998611111099</v>
      </c>
      <c r="AT36" s="6">
        <f ca="1">IFERROR(__xludf.DUMMYFUNCTION("""COMPUTED_VALUE"""),1326.4)</f>
        <v>1326.4</v>
      </c>
    </row>
    <row r="37" spans="2:46" x14ac:dyDescent="0.35">
      <c r="B37" s="6" t="str">
        <f t="shared" ca="1" si="0"/>
        <v>20182</v>
      </c>
      <c r="C37" s="6">
        <f t="shared" ca="1" si="1"/>
        <v>2018</v>
      </c>
      <c r="D37" s="6">
        <f t="shared" ca="1" si="2"/>
        <v>2</v>
      </c>
      <c r="E37" s="68">
        <f ca="1">IFERROR(__xludf.DUMMYFUNCTION("""COMPUTED_VALUE"""),43144.6666666666)</f>
        <v>43144.666666666599</v>
      </c>
      <c r="F37" s="6">
        <f ca="1">IFERROR(__xludf.DUMMYFUNCTION("""COMPUTED_VALUE"""),2662.94)</f>
        <v>2662.94</v>
      </c>
      <c r="J37" s="6" t="str">
        <f t="shared" ca="1" si="3"/>
        <v>20182</v>
      </c>
      <c r="K37" s="6">
        <f t="shared" ca="1" si="4"/>
        <v>2018</v>
      </c>
      <c r="L37" s="6">
        <f t="shared" ca="1" si="5"/>
        <v>2</v>
      </c>
      <c r="M37" s="68">
        <f ca="1">IFERROR(__xludf.DUMMYFUNCTION("""COMPUTED_VALUE"""),43144.6666666666)</f>
        <v>43144.666666666599</v>
      </c>
      <c r="N37" s="6">
        <f ca="1">IFERROR(__xludf.DUMMYFUNCTION("""COMPUTED_VALUE"""),7013.51)</f>
        <v>7013.51</v>
      </c>
      <c r="R37" s="6" t="str">
        <f t="shared" ca="1" si="6"/>
        <v>20182</v>
      </c>
      <c r="S37" s="6">
        <f t="shared" ca="1" si="7"/>
        <v>2018</v>
      </c>
      <c r="T37" s="6">
        <f t="shared" ca="1" si="8"/>
        <v>2</v>
      </c>
      <c r="U37" s="68">
        <f ca="1">IFERROR(__xludf.DUMMYFUNCTION("""COMPUTED_VALUE"""),43143.6458333333)</f>
        <v>43143.645833333299</v>
      </c>
      <c r="V37" s="6">
        <f ca="1">IFERROR(__xludf.DUMMYFUNCTION("""COMPUTED_VALUE"""),2385.38)</f>
        <v>2385.38</v>
      </c>
      <c r="Z37" s="6" t="str">
        <f t="shared" ca="1" si="9"/>
        <v>20181</v>
      </c>
      <c r="AA37" s="6">
        <f t="shared" ca="1" si="10"/>
        <v>2018</v>
      </c>
      <c r="AB37" s="6">
        <f t="shared" ca="1" si="11"/>
        <v>1</v>
      </c>
      <c r="AC37" s="68">
        <f ca="1">IFERROR(__xludf.DUMMYFUNCTION("""COMPUTED_VALUE"""),43130.9986111111)</f>
        <v>43130.998611111099</v>
      </c>
      <c r="AD37" s="6">
        <f ca="1">IFERROR(__xludf.DUMMYFUNCTION("""COMPUTED_VALUE"""),1072.54)</f>
        <v>1072.54</v>
      </c>
      <c r="AH37" s="6" t="str">
        <f t="shared" ca="1" si="12"/>
        <v>20181</v>
      </c>
      <c r="AI37" s="6">
        <f t="shared" ca="1" si="13"/>
        <v>2018</v>
      </c>
      <c r="AJ37" s="6">
        <f t="shared" ca="1" si="14"/>
        <v>1</v>
      </c>
      <c r="AK37" s="68">
        <f ca="1">IFERROR(__xludf.DUMMYFUNCTION("""COMPUTED_VALUE"""),43128.9986111111)</f>
        <v>43128.998611111099</v>
      </c>
      <c r="AL37" s="6">
        <f ca="1">IFERROR(__xludf.DUMMYFUNCTION("""COMPUTED_VALUE"""),11755.98)</f>
        <v>11755.98</v>
      </c>
      <c r="AP37" s="6" t="str">
        <f t="shared" ca="1" si="15"/>
        <v>20182</v>
      </c>
      <c r="AQ37" s="6">
        <f t="shared" ca="1" si="16"/>
        <v>2018</v>
      </c>
      <c r="AR37" s="6">
        <f t="shared" ca="1" si="17"/>
        <v>2</v>
      </c>
      <c r="AS37" s="68">
        <f ca="1">IFERROR(__xludf.DUMMYFUNCTION("""COMPUTED_VALUE"""),43144.9986111111)</f>
        <v>43144.998611111099</v>
      </c>
      <c r="AT37" s="6">
        <f ca="1">IFERROR(__xludf.DUMMYFUNCTION("""COMPUTED_VALUE"""),1330.4)</f>
        <v>1330.4</v>
      </c>
    </row>
    <row r="38" spans="2:46" x14ac:dyDescent="0.35">
      <c r="B38" s="6" t="str">
        <f t="shared" ca="1" si="0"/>
        <v>20182</v>
      </c>
      <c r="C38" s="6">
        <f t="shared" ca="1" si="1"/>
        <v>2018</v>
      </c>
      <c r="D38" s="6">
        <f t="shared" ca="1" si="2"/>
        <v>2</v>
      </c>
      <c r="E38" s="68">
        <f ca="1">IFERROR(__xludf.DUMMYFUNCTION("""COMPUTED_VALUE"""),43145.6666666666)</f>
        <v>43145.666666666599</v>
      </c>
      <c r="F38" s="6">
        <f ca="1">IFERROR(__xludf.DUMMYFUNCTION("""COMPUTED_VALUE"""),2698.63)</f>
        <v>2698.63</v>
      </c>
      <c r="J38" s="6" t="str">
        <f t="shared" ca="1" si="3"/>
        <v>20182</v>
      </c>
      <c r="K38" s="6">
        <f t="shared" ca="1" si="4"/>
        <v>2018</v>
      </c>
      <c r="L38" s="6">
        <f t="shared" ca="1" si="5"/>
        <v>2</v>
      </c>
      <c r="M38" s="68">
        <f ca="1">IFERROR(__xludf.DUMMYFUNCTION("""COMPUTED_VALUE"""),43145.6666666666)</f>
        <v>43145.666666666599</v>
      </c>
      <c r="N38" s="6">
        <f ca="1">IFERROR(__xludf.DUMMYFUNCTION("""COMPUTED_VALUE"""),7143.62)</f>
        <v>7143.62</v>
      </c>
      <c r="R38" s="6" t="str">
        <f t="shared" ca="1" si="6"/>
        <v>20182</v>
      </c>
      <c r="S38" s="6">
        <f t="shared" ca="1" si="7"/>
        <v>2018</v>
      </c>
      <c r="T38" s="6">
        <f t="shared" ca="1" si="8"/>
        <v>2</v>
      </c>
      <c r="U38" s="68">
        <f ca="1">IFERROR(__xludf.DUMMYFUNCTION("""COMPUTED_VALUE"""),43144.6458333333)</f>
        <v>43144.645833333299</v>
      </c>
      <c r="V38" s="6">
        <f ca="1">IFERROR(__xludf.DUMMYFUNCTION("""COMPUTED_VALUE"""),2395.19)</f>
        <v>2395.19</v>
      </c>
      <c r="Z38" s="6" t="str">
        <f t="shared" ca="1" si="9"/>
        <v>20181</v>
      </c>
      <c r="AA38" s="6">
        <f t="shared" ca="1" si="10"/>
        <v>2018</v>
      </c>
      <c r="AB38" s="6">
        <f t="shared" ca="1" si="11"/>
        <v>1</v>
      </c>
      <c r="AC38" s="68">
        <f ca="1">IFERROR(__xludf.DUMMYFUNCTION("""COMPUTED_VALUE"""),43131.9986111111)</f>
        <v>43131.998611111099</v>
      </c>
      <c r="AD38" s="6">
        <f ca="1">IFERROR(__xludf.DUMMYFUNCTION("""COMPUTED_VALUE"""),1069.02)</f>
        <v>1069.02</v>
      </c>
      <c r="AH38" s="6" t="str">
        <f t="shared" ca="1" si="12"/>
        <v>20181</v>
      </c>
      <c r="AI38" s="6">
        <f t="shared" ca="1" si="13"/>
        <v>2018</v>
      </c>
      <c r="AJ38" s="6">
        <f t="shared" ca="1" si="14"/>
        <v>1</v>
      </c>
      <c r="AK38" s="68">
        <f ca="1">IFERROR(__xludf.DUMMYFUNCTION("""COMPUTED_VALUE"""),43129.9986111111)</f>
        <v>43129.998611111099</v>
      </c>
      <c r="AL38" s="6">
        <f ca="1">IFERROR(__xludf.DUMMYFUNCTION("""COMPUTED_VALUE"""),11261.01)</f>
        <v>11261.01</v>
      </c>
      <c r="AP38" s="6" t="str">
        <f t="shared" ca="1" si="15"/>
        <v>20182</v>
      </c>
      <c r="AQ38" s="6">
        <f t="shared" ca="1" si="16"/>
        <v>2018</v>
      </c>
      <c r="AR38" s="6">
        <f t="shared" ca="1" si="17"/>
        <v>2</v>
      </c>
      <c r="AS38" s="68">
        <f ca="1">IFERROR(__xludf.DUMMYFUNCTION("""COMPUTED_VALUE"""),43145.9986111111)</f>
        <v>43145.998611111099</v>
      </c>
      <c r="AT38" s="6">
        <f ca="1">IFERROR(__xludf.DUMMYFUNCTION("""COMPUTED_VALUE"""),1358)</f>
        <v>1358</v>
      </c>
    </row>
    <row r="39" spans="2:46" x14ac:dyDescent="0.35">
      <c r="B39" s="6" t="str">
        <f t="shared" ca="1" si="0"/>
        <v>20182</v>
      </c>
      <c r="C39" s="6">
        <f t="shared" ca="1" si="1"/>
        <v>2018</v>
      </c>
      <c r="D39" s="6">
        <f t="shared" ca="1" si="2"/>
        <v>2</v>
      </c>
      <c r="E39" s="68">
        <f ca="1">IFERROR(__xludf.DUMMYFUNCTION("""COMPUTED_VALUE"""),43146.6666666666)</f>
        <v>43146.666666666599</v>
      </c>
      <c r="F39" s="6">
        <f ca="1">IFERROR(__xludf.DUMMYFUNCTION("""COMPUTED_VALUE"""),2731.2)</f>
        <v>2731.2</v>
      </c>
      <c r="J39" s="6" t="str">
        <f t="shared" ca="1" si="3"/>
        <v>20182</v>
      </c>
      <c r="K39" s="6">
        <f t="shared" ca="1" si="4"/>
        <v>2018</v>
      </c>
      <c r="L39" s="6">
        <f t="shared" ca="1" si="5"/>
        <v>2</v>
      </c>
      <c r="M39" s="68">
        <f ca="1">IFERROR(__xludf.DUMMYFUNCTION("""COMPUTED_VALUE"""),43146.6666666666)</f>
        <v>43146.666666666599</v>
      </c>
      <c r="N39" s="6">
        <f ca="1">IFERROR(__xludf.DUMMYFUNCTION("""COMPUTED_VALUE"""),7256.43)</f>
        <v>7256.43</v>
      </c>
      <c r="R39" s="6" t="str">
        <f t="shared" ca="1" si="6"/>
        <v>20182</v>
      </c>
      <c r="S39" s="6">
        <f t="shared" ca="1" si="7"/>
        <v>2018</v>
      </c>
      <c r="T39" s="6">
        <f t="shared" ca="1" si="8"/>
        <v>2</v>
      </c>
      <c r="U39" s="68">
        <f ca="1">IFERROR(__xludf.DUMMYFUNCTION("""COMPUTED_VALUE"""),43145.6458333333)</f>
        <v>43145.645833333299</v>
      </c>
      <c r="V39" s="6">
        <f ca="1">IFERROR(__xludf.DUMMYFUNCTION("""COMPUTED_VALUE"""),2421.83)</f>
        <v>2421.83</v>
      </c>
      <c r="Z39" s="6" t="str">
        <f t="shared" ca="1" si="9"/>
        <v>20182</v>
      </c>
      <c r="AA39" s="6">
        <f t="shared" ca="1" si="10"/>
        <v>2018</v>
      </c>
      <c r="AB39" s="6">
        <f t="shared" ca="1" si="11"/>
        <v>2</v>
      </c>
      <c r="AC39" s="68">
        <f ca="1">IFERROR(__xludf.DUMMYFUNCTION("""COMPUTED_VALUE"""),43132.9986111111)</f>
        <v>43132.998611111099</v>
      </c>
      <c r="AD39" s="6">
        <f ca="1">IFERROR(__xludf.DUMMYFUNCTION("""COMPUTED_VALUE"""),1071.18)</f>
        <v>1071.18</v>
      </c>
      <c r="AH39" s="6" t="str">
        <f t="shared" ca="1" si="12"/>
        <v>20181</v>
      </c>
      <c r="AI39" s="6">
        <f t="shared" ca="1" si="13"/>
        <v>2018</v>
      </c>
      <c r="AJ39" s="6">
        <f t="shared" ca="1" si="14"/>
        <v>1</v>
      </c>
      <c r="AK39" s="68">
        <f ca="1">IFERROR(__xludf.DUMMYFUNCTION("""COMPUTED_VALUE"""),43130.9986111111)</f>
        <v>43130.998611111099</v>
      </c>
      <c r="AL39" s="6">
        <f ca="1">IFERROR(__xludf.DUMMYFUNCTION("""COMPUTED_VALUE"""),10161.86)</f>
        <v>10161.86</v>
      </c>
      <c r="AP39" s="6" t="str">
        <f t="shared" ca="1" si="15"/>
        <v>20182</v>
      </c>
      <c r="AQ39" s="6">
        <f t="shared" ca="1" si="16"/>
        <v>2018</v>
      </c>
      <c r="AR39" s="6">
        <f t="shared" ca="1" si="17"/>
        <v>2</v>
      </c>
      <c r="AS39" s="68">
        <f ca="1">IFERROR(__xludf.DUMMYFUNCTION("""COMPUTED_VALUE"""),43146.9986111111)</f>
        <v>43146.998611111099</v>
      </c>
      <c r="AT39" s="6">
        <f ca="1">IFERROR(__xludf.DUMMYFUNCTION("""COMPUTED_VALUE"""),1355.3)</f>
        <v>1355.3</v>
      </c>
    </row>
    <row r="40" spans="2:46" x14ac:dyDescent="0.35">
      <c r="B40" s="6" t="str">
        <f t="shared" ca="1" si="0"/>
        <v>20182</v>
      </c>
      <c r="C40" s="6">
        <f t="shared" ca="1" si="1"/>
        <v>2018</v>
      </c>
      <c r="D40" s="6">
        <f t="shared" ca="1" si="2"/>
        <v>2</v>
      </c>
      <c r="E40" s="68">
        <f ca="1">IFERROR(__xludf.DUMMYFUNCTION("""COMPUTED_VALUE"""),43147.6666666666)</f>
        <v>43147.666666666599</v>
      </c>
      <c r="F40" s="6">
        <f ca="1">IFERROR(__xludf.DUMMYFUNCTION("""COMPUTED_VALUE"""),2732.22)</f>
        <v>2732.22</v>
      </c>
      <c r="J40" s="6" t="str">
        <f t="shared" ca="1" si="3"/>
        <v>20182</v>
      </c>
      <c r="K40" s="6">
        <f t="shared" ca="1" si="4"/>
        <v>2018</v>
      </c>
      <c r="L40" s="6">
        <f t="shared" ca="1" si="5"/>
        <v>2</v>
      </c>
      <c r="M40" s="68">
        <f ca="1">IFERROR(__xludf.DUMMYFUNCTION("""COMPUTED_VALUE"""),43147.6666666666)</f>
        <v>43147.666666666599</v>
      </c>
      <c r="N40" s="6">
        <f ca="1">IFERROR(__xludf.DUMMYFUNCTION("""COMPUTED_VALUE"""),7239.47)</f>
        <v>7239.47</v>
      </c>
      <c r="R40" s="6" t="str">
        <f t="shared" ca="1" si="6"/>
        <v>20182</v>
      </c>
      <c r="S40" s="6">
        <f t="shared" ca="1" si="7"/>
        <v>2018</v>
      </c>
      <c r="T40" s="6">
        <f t="shared" ca="1" si="8"/>
        <v>2</v>
      </c>
      <c r="U40" s="68">
        <f ca="1">IFERROR(__xludf.DUMMYFUNCTION("""COMPUTED_VALUE"""),43150.6458333333)</f>
        <v>43150.645833333299</v>
      </c>
      <c r="V40" s="6">
        <f ca="1">IFERROR(__xludf.DUMMYFUNCTION("""COMPUTED_VALUE"""),2442.82)</f>
        <v>2442.8200000000002</v>
      </c>
      <c r="Z40" s="6" t="str">
        <f t="shared" ca="1" si="9"/>
        <v>20182</v>
      </c>
      <c r="AA40" s="6">
        <f t="shared" ca="1" si="10"/>
        <v>2018</v>
      </c>
      <c r="AB40" s="6">
        <f t="shared" ca="1" si="11"/>
        <v>2</v>
      </c>
      <c r="AC40" s="68">
        <f ca="1">IFERROR(__xludf.DUMMYFUNCTION("""COMPUTED_VALUE"""),43133.9986111111)</f>
        <v>43133.998611111099</v>
      </c>
      <c r="AD40" s="6">
        <f ca="1">IFERROR(__xludf.DUMMYFUNCTION("""COMPUTED_VALUE"""),1089)</f>
        <v>1089</v>
      </c>
      <c r="AH40" s="6" t="str">
        <f t="shared" ca="1" si="12"/>
        <v>20181</v>
      </c>
      <c r="AI40" s="6">
        <f t="shared" ca="1" si="13"/>
        <v>2018</v>
      </c>
      <c r="AJ40" s="6">
        <f t="shared" ca="1" si="14"/>
        <v>1</v>
      </c>
      <c r="AK40" s="68">
        <f ca="1">IFERROR(__xludf.DUMMYFUNCTION("""COMPUTED_VALUE"""),43131.9986111111)</f>
        <v>43131.998611111099</v>
      </c>
      <c r="AL40" s="6">
        <f ca="1">IFERROR(__xludf.DUMMYFUNCTION("""COMPUTED_VALUE"""),10022.51)</f>
        <v>10022.51</v>
      </c>
      <c r="AP40" s="6" t="str">
        <f t="shared" ca="1" si="15"/>
        <v>20182</v>
      </c>
      <c r="AQ40" s="6">
        <f t="shared" ca="1" si="16"/>
        <v>2018</v>
      </c>
      <c r="AR40" s="6">
        <f t="shared" ca="1" si="17"/>
        <v>2</v>
      </c>
      <c r="AS40" s="68">
        <f ca="1">IFERROR(__xludf.DUMMYFUNCTION("""COMPUTED_VALUE"""),43147.9986111111)</f>
        <v>43147.998611111099</v>
      </c>
      <c r="AT40" s="6">
        <f ca="1">IFERROR(__xludf.DUMMYFUNCTION("""COMPUTED_VALUE"""),1356.2)</f>
        <v>1356.2</v>
      </c>
    </row>
    <row r="41" spans="2:46" x14ac:dyDescent="0.35">
      <c r="B41" s="6" t="str">
        <f t="shared" ca="1" si="0"/>
        <v>20182</v>
      </c>
      <c r="C41" s="6">
        <f t="shared" ca="1" si="1"/>
        <v>2018</v>
      </c>
      <c r="D41" s="6">
        <f t="shared" ca="1" si="2"/>
        <v>2</v>
      </c>
      <c r="E41" s="68">
        <f ca="1">IFERROR(__xludf.DUMMYFUNCTION("""COMPUTED_VALUE"""),43151.6666666666)</f>
        <v>43151.666666666599</v>
      </c>
      <c r="F41" s="6">
        <f ca="1">IFERROR(__xludf.DUMMYFUNCTION("""COMPUTED_VALUE"""),2716.26)</f>
        <v>2716.26</v>
      </c>
      <c r="J41" s="6" t="str">
        <f t="shared" ca="1" si="3"/>
        <v>20182</v>
      </c>
      <c r="K41" s="6">
        <f t="shared" ca="1" si="4"/>
        <v>2018</v>
      </c>
      <c r="L41" s="6">
        <f t="shared" ca="1" si="5"/>
        <v>2</v>
      </c>
      <c r="M41" s="68">
        <f ca="1">IFERROR(__xludf.DUMMYFUNCTION("""COMPUTED_VALUE"""),43151.6666666666)</f>
        <v>43151.666666666599</v>
      </c>
      <c r="N41" s="6">
        <f ca="1">IFERROR(__xludf.DUMMYFUNCTION("""COMPUTED_VALUE"""),7234.31)</f>
        <v>7234.31</v>
      </c>
      <c r="R41" s="6" t="str">
        <f t="shared" ca="1" si="6"/>
        <v>20182</v>
      </c>
      <c r="S41" s="6">
        <f t="shared" ca="1" si="7"/>
        <v>2018</v>
      </c>
      <c r="T41" s="6">
        <f t="shared" ca="1" si="8"/>
        <v>2</v>
      </c>
      <c r="U41" s="68">
        <f ca="1">IFERROR(__xludf.DUMMYFUNCTION("""COMPUTED_VALUE"""),43151.6458333333)</f>
        <v>43151.645833333299</v>
      </c>
      <c r="V41" s="6">
        <f ca="1">IFERROR(__xludf.DUMMYFUNCTION("""COMPUTED_VALUE"""),2415.12)</f>
        <v>2415.12</v>
      </c>
      <c r="Z41" s="6" t="str">
        <f t="shared" ca="1" si="9"/>
        <v>20182</v>
      </c>
      <c r="AA41" s="6">
        <f t="shared" ca="1" si="10"/>
        <v>2018</v>
      </c>
      <c r="AB41" s="6">
        <f t="shared" ca="1" si="11"/>
        <v>2</v>
      </c>
      <c r="AC41" s="68">
        <f ca="1">IFERROR(__xludf.DUMMYFUNCTION("""COMPUTED_VALUE"""),43134.9986111111)</f>
        <v>43134.998611111099</v>
      </c>
      <c r="AD41" s="6">
        <f ca="1">IFERROR(__xludf.DUMMYFUNCTION("""COMPUTED_VALUE"""),1089)</f>
        <v>1089</v>
      </c>
      <c r="AH41" s="6" t="str">
        <f t="shared" ca="1" si="12"/>
        <v>20182</v>
      </c>
      <c r="AI41" s="6">
        <f t="shared" ca="1" si="13"/>
        <v>2018</v>
      </c>
      <c r="AJ41" s="6">
        <f t="shared" ca="1" si="14"/>
        <v>2</v>
      </c>
      <c r="AK41" s="68">
        <f ca="1">IFERROR(__xludf.DUMMYFUNCTION("""COMPUTED_VALUE"""),43132.9986111111)</f>
        <v>43132.998611111099</v>
      </c>
      <c r="AL41" s="6">
        <f ca="1">IFERROR(__xludf.DUMMYFUNCTION("""COMPUTED_VALUE"""),9192.56)</f>
        <v>9192.56</v>
      </c>
      <c r="AP41" s="6" t="str">
        <f t="shared" ca="1" si="15"/>
        <v>20182</v>
      </c>
      <c r="AQ41" s="6">
        <f t="shared" ca="1" si="16"/>
        <v>2018</v>
      </c>
      <c r="AR41" s="6">
        <f t="shared" ca="1" si="17"/>
        <v>2</v>
      </c>
      <c r="AS41" s="68">
        <f ca="1">IFERROR(__xludf.DUMMYFUNCTION("""COMPUTED_VALUE"""),43151.9986111111)</f>
        <v>43151.998611111099</v>
      </c>
      <c r="AT41" s="6">
        <f ca="1">IFERROR(__xludf.DUMMYFUNCTION("""COMPUTED_VALUE"""),1331.2)</f>
        <v>1331.2</v>
      </c>
    </row>
    <row r="42" spans="2:46" x14ac:dyDescent="0.35">
      <c r="B42" s="6" t="str">
        <f t="shared" ca="1" si="0"/>
        <v>20182</v>
      </c>
      <c r="C42" s="6">
        <f t="shared" ca="1" si="1"/>
        <v>2018</v>
      </c>
      <c r="D42" s="6">
        <f t="shared" ca="1" si="2"/>
        <v>2</v>
      </c>
      <c r="E42" s="68">
        <f ca="1">IFERROR(__xludf.DUMMYFUNCTION("""COMPUTED_VALUE"""),43152.6666666666)</f>
        <v>43152.666666666599</v>
      </c>
      <c r="F42" s="6">
        <f ca="1">IFERROR(__xludf.DUMMYFUNCTION("""COMPUTED_VALUE"""),2701.33)</f>
        <v>2701.33</v>
      </c>
      <c r="J42" s="6" t="str">
        <f t="shared" ca="1" si="3"/>
        <v>20182</v>
      </c>
      <c r="K42" s="6">
        <f t="shared" ca="1" si="4"/>
        <v>2018</v>
      </c>
      <c r="L42" s="6">
        <f t="shared" ca="1" si="5"/>
        <v>2</v>
      </c>
      <c r="M42" s="68">
        <f ca="1">IFERROR(__xludf.DUMMYFUNCTION("""COMPUTED_VALUE"""),43152.6666666666)</f>
        <v>43152.666666666599</v>
      </c>
      <c r="N42" s="6">
        <f ca="1">IFERROR(__xludf.DUMMYFUNCTION("""COMPUTED_VALUE"""),7218.23)</f>
        <v>7218.23</v>
      </c>
      <c r="R42" s="6" t="str">
        <f t="shared" ca="1" si="6"/>
        <v>20182</v>
      </c>
      <c r="S42" s="6">
        <f t="shared" ca="1" si="7"/>
        <v>2018</v>
      </c>
      <c r="T42" s="6">
        <f t="shared" ca="1" si="8"/>
        <v>2</v>
      </c>
      <c r="U42" s="68">
        <f ca="1">IFERROR(__xludf.DUMMYFUNCTION("""COMPUTED_VALUE"""),43152.6458333333)</f>
        <v>43152.645833333299</v>
      </c>
      <c r="V42" s="6">
        <f ca="1">IFERROR(__xludf.DUMMYFUNCTION("""COMPUTED_VALUE"""),2429.65)</f>
        <v>2429.65</v>
      </c>
      <c r="Z42" s="6" t="str">
        <f t="shared" ca="1" si="9"/>
        <v>20182</v>
      </c>
      <c r="AA42" s="6">
        <f t="shared" ca="1" si="10"/>
        <v>2018</v>
      </c>
      <c r="AB42" s="6">
        <f t="shared" ca="1" si="11"/>
        <v>2</v>
      </c>
      <c r="AC42" s="68">
        <f ca="1">IFERROR(__xludf.DUMMYFUNCTION("""COMPUTED_VALUE"""),43135.9986111111)</f>
        <v>43135.998611111099</v>
      </c>
      <c r="AD42" s="6">
        <f ca="1">IFERROR(__xludf.DUMMYFUNCTION("""COMPUTED_VALUE"""),1090.01)</f>
        <v>1090.01</v>
      </c>
      <c r="AH42" s="6" t="str">
        <f t="shared" ca="1" si="12"/>
        <v>20182</v>
      </c>
      <c r="AI42" s="6">
        <f t="shared" ca="1" si="13"/>
        <v>2018</v>
      </c>
      <c r="AJ42" s="6">
        <f t="shared" ca="1" si="14"/>
        <v>2</v>
      </c>
      <c r="AK42" s="68">
        <f ca="1">IFERROR(__xludf.DUMMYFUNCTION("""COMPUTED_VALUE"""),43133.9986111111)</f>
        <v>43133.998611111099</v>
      </c>
      <c r="AL42" s="6">
        <f ca="1">IFERROR(__xludf.DUMMYFUNCTION("""COMPUTED_VALUE"""),8595.03)</f>
        <v>8595.0300000000007</v>
      </c>
      <c r="AP42" s="6" t="str">
        <f t="shared" ca="1" si="15"/>
        <v>20182</v>
      </c>
      <c r="AQ42" s="6">
        <f t="shared" ca="1" si="16"/>
        <v>2018</v>
      </c>
      <c r="AR42" s="6">
        <f t="shared" ca="1" si="17"/>
        <v>2</v>
      </c>
      <c r="AS42" s="68">
        <f ca="1">IFERROR(__xludf.DUMMYFUNCTION("""COMPUTED_VALUE"""),43152.9986111111)</f>
        <v>43152.998611111099</v>
      </c>
      <c r="AT42" s="6">
        <f ca="1">IFERROR(__xludf.DUMMYFUNCTION("""COMPUTED_VALUE"""),1332.1)</f>
        <v>1332.1</v>
      </c>
    </row>
    <row r="43" spans="2:46" x14ac:dyDescent="0.35">
      <c r="B43" s="6" t="str">
        <f t="shared" ca="1" si="0"/>
        <v>20182</v>
      </c>
      <c r="C43" s="6">
        <f t="shared" ca="1" si="1"/>
        <v>2018</v>
      </c>
      <c r="D43" s="6">
        <f t="shared" ca="1" si="2"/>
        <v>2</v>
      </c>
      <c r="E43" s="68">
        <f ca="1">IFERROR(__xludf.DUMMYFUNCTION("""COMPUTED_VALUE"""),43153.6666666666)</f>
        <v>43153.666666666599</v>
      </c>
      <c r="F43" s="6">
        <f ca="1">IFERROR(__xludf.DUMMYFUNCTION("""COMPUTED_VALUE"""),2703.96)</f>
        <v>2703.96</v>
      </c>
      <c r="J43" s="6" t="str">
        <f t="shared" ca="1" si="3"/>
        <v>20182</v>
      </c>
      <c r="K43" s="6">
        <f t="shared" ca="1" si="4"/>
        <v>2018</v>
      </c>
      <c r="L43" s="6">
        <f t="shared" ca="1" si="5"/>
        <v>2</v>
      </c>
      <c r="M43" s="68">
        <f ca="1">IFERROR(__xludf.DUMMYFUNCTION("""COMPUTED_VALUE"""),43153.6666666666)</f>
        <v>43153.666666666599</v>
      </c>
      <c r="N43" s="6">
        <f ca="1">IFERROR(__xludf.DUMMYFUNCTION("""COMPUTED_VALUE"""),7210.09)</f>
        <v>7210.09</v>
      </c>
      <c r="R43" s="6" t="str">
        <f t="shared" ca="1" si="6"/>
        <v>20182</v>
      </c>
      <c r="S43" s="6">
        <f t="shared" ca="1" si="7"/>
        <v>2018</v>
      </c>
      <c r="T43" s="6">
        <f t="shared" ca="1" si="8"/>
        <v>2</v>
      </c>
      <c r="U43" s="68">
        <f ca="1">IFERROR(__xludf.DUMMYFUNCTION("""COMPUTED_VALUE"""),43153.6458333333)</f>
        <v>43153.645833333299</v>
      </c>
      <c r="V43" s="6">
        <f ca="1">IFERROR(__xludf.DUMMYFUNCTION("""COMPUTED_VALUE"""),2414.28)</f>
        <v>2414.2800000000002</v>
      </c>
      <c r="Z43" s="6" t="str">
        <f t="shared" ca="1" si="9"/>
        <v>20182</v>
      </c>
      <c r="AA43" s="6">
        <f t="shared" ca="1" si="10"/>
        <v>2018</v>
      </c>
      <c r="AB43" s="6">
        <f t="shared" ca="1" si="11"/>
        <v>2</v>
      </c>
      <c r="AC43" s="68">
        <f ca="1">IFERROR(__xludf.DUMMYFUNCTION("""COMPUTED_VALUE"""),43136.9986111111)</f>
        <v>43136.998611111099</v>
      </c>
      <c r="AD43" s="6">
        <f ca="1">IFERROR(__xludf.DUMMYFUNCTION("""COMPUTED_VALUE"""),1093.3)</f>
        <v>1093.3</v>
      </c>
      <c r="AH43" s="6" t="str">
        <f t="shared" ca="1" si="12"/>
        <v>20182</v>
      </c>
      <c r="AI43" s="6">
        <f t="shared" ca="1" si="13"/>
        <v>2018</v>
      </c>
      <c r="AJ43" s="6">
        <f t="shared" ca="1" si="14"/>
        <v>2</v>
      </c>
      <c r="AK43" s="68">
        <f ca="1">IFERROR(__xludf.DUMMYFUNCTION("""COMPUTED_VALUE"""),43134.9986111111)</f>
        <v>43134.998611111099</v>
      </c>
      <c r="AL43" s="6">
        <f ca="1">IFERROR(__xludf.DUMMYFUNCTION("""COMPUTED_VALUE"""),9085.82)</f>
        <v>9085.82</v>
      </c>
      <c r="AP43" s="6" t="str">
        <f t="shared" ca="1" si="15"/>
        <v>20182</v>
      </c>
      <c r="AQ43" s="6">
        <f t="shared" ca="1" si="16"/>
        <v>2018</v>
      </c>
      <c r="AR43" s="6">
        <f t="shared" ca="1" si="17"/>
        <v>2</v>
      </c>
      <c r="AS43" s="68">
        <f ca="1">IFERROR(__xludf.DUMMYFUNCTION("""COMPUTED_VALUE"""),43153.9986111111)</f>
        <v>43153.998611111099</v>
      </c>
      <c r="AT43" s="6">
        <f ca="1">IFERROR(__xludf.DUMMYFUNCTION("""COMPUTED_VALUE"""),1332.7)</f>
        <v>1332.7</v>
      </c>
    </row>
    <row r="44" spans="2:46" x14ac:dyDescent="0.35">
      <c r="B44" s="6" t="str">
        <f t="shared" ca="1" si="0"/>
        <v>20182</v>
      </c>
      <c r="C44" s="6">
        <f t="shared" ca="1" si="1"/>
        <v>2018</v>
      </c>
      <c r="D44" s="6">
        <f t="shared" ca="1" si="2"/>
        <v>2</v>
      </c>
      <c r="E44" s="68">
        <f ca="1">IFERROR(__xludf.DUMMYFUNCTION("""COMPUTED_VALUE"""),43154.6666666666)</f>
        <v>43154.666666666599</v>
      </c>
      <c r="F44" s="6">
        <f ca="1">IFERROR(__xludf.DUMMYFUNCTION("""COMPUTED_VALUE"""),2747.3)</f>
        <v>2747.3</v>
      </c>
      <c r="J44" s="6" t="str">
        <f t="shared" ca="1" si="3"/>
        <v>20182</v>
      </c>
      <c r="K44" s="6">
        <f t="shared" ca="1" si="4"/>
        <v>2018</v>
      </c>
      <c r="L44" s="6">
        <f t="shared" ca="1" si="5"/>
        <v>2</v>
      </c>
      <c r="M44" s="68">
        <f ca="1">IFERROR(__xludf.DUMMYFUNCTION("""COMPUTED_VALUE"""),43154.6666666666)</f>
        <v>43154.666666666599</v>
      </c>
      <c r="N44" s="6">
        <f ca="1">IFERROR(__xludf.DUMMYFUNCTION("""COMPUTED_VALUE"""),7337.39)</f>
        <v>7337.39</v>
      </c>
      <c r="R44" s="6" t="str">
        <f t="shared" ca="1" si="6"/>
        <v>20182</v>
      </c>
      <c r="S44" s="6">
        <f t="shared" ca="1" si="7"/>
        <v>2018</v>
      </c>
      <c r="T44" s="6">
        <f t="shared" ca="1" si="8"/>
        <v>2</v>
      </c>
      <c r="U44" s="68">
        <f ca="1">IFERROR(__xludf.DUMMYFUNCTION("""COMPUTED_VALUE"""),43154.6458333333)</f>
        <v>43154.645833333299</v>
      </c>
      <c r="V44" s="6">
        <f ca="1">IFERROR(__xludf.DUMMYFUNCTION("""COMPUTED_VALUE"""),2451.52)</f>
        <v>2451.52</v>
      </c>
      <c r="Z44" s="6" t="str">
        <f t="shared" ca="1" si="9"/>
        <v>20182</v>
      </c>
      <c r="AA44" s="6">
        <f t="shared" ca="1" si="10"/>
        <v>2018</v>
      </c>
      <c r="AB44" s="6">
        <f t="shared" ca="1" si="11"/>
        <v>2</v>
      </c>
      <c r="AC44" s="68">
        <f ca="1">IFERROR(__xludf.DUMMYFUNCTION("""COMPUTED_VALUE"""),43137.9986111111)</f>
        <v>43137.998611111099</v>
      </c>
      <c r="AD44" s="6">
        <f ca="1">IFERROR(__xludf.DUMMYFUNCTION("""COMPUTED_VALUE"""),1079.26)</f>
        <v>1079.26</v>
      </c>
      <c r="AH44" s="6" t="str">
        <f t="shared" ca="1" si="12"/>
        <v>20182</v>
      </c>
      <c r="AI44" s="6">
        <f t="shared" ca="1" si="13"/>
        <v>2018</v>
      </c>
      <c r="AJ44" s="6">
        <f t="shared" ca="1" si="14"/>
        <v>2</v>
      </c>
      <c r="AK44" s="68">
        <f ca="1">IFERROR(__xludf.DUMMYFUNCTION("""COMPUTED_VALUE"""),43135.9986111111)</f>
        <v>43135.998611111099</v>
      </c>
      <c r="AL44" s="6">
        <f ca="1">IFERROR(__xludf.DUMMYFUNCTION("""COMPUTED_VALUE"""),8250.71)</f>
        <v>8250.7099999999991</v>
      </c>
      <c r="AP44" s="6" t="str">
        <f t="shared" ca="1" si="15"/>
        <v>20182</v>
      </c>
      <c r="AQ44" s="6">
        <f t="shared" ca="1" si="16"/>
        <v>2018</v>
      </c>
      <c r="AR44" s="6">
        <f t="shared" ca="1" si="17"/>
        <v>2</v>
      </c>
      <c r="AS44" s="68">
        <f ca="1">IFERROR(__xludf.DUMMYFUNCTION("""COMPUTED_VALUE"""),43154.9986111111)</f>
        <v>43154.998611111099</v>
      </c>
      <c r="AT44" s="6">
        <f ca="1">IFERROR(__xludf.DUMMYFUNCTION("""COMPUTED_VALUE"""),1330.3)</f>
        <v>1330.3</v>
      </c>
    </row>
    <row r="45" spans="2:46" x14ac:dyDescent="0.35">
      <c r="B45" s="6" t="str">
        <f t="shared" ca="1" si="0"/>
        <v>20182</v>
      </c>
      <c r="C45" s="6">
        <f t="shared" ca="1" si="1"/>
        <v>2018</v>
      </c>
      <c r="D45" s="6">
        <f t="shared" ca="1" si="2"/>
        <v>2</v>
      </c>
      <c r="E45" s="68">
        <f ca="1">IFERROR(__xludf.DUMMYFUNCTION("""COMPUTED_VALUE"""),43157.6666666666)</f>
        <v>43157.666666666599</v>
      </c>
      <c r="F45" s="6">
        <f ca="1">IFERROR(__xludf.DUMMYFUNCTION("""COMPUTED_VALUE"""),2779.6)</f>
        <v>2779.6</v>
      </c>
      <c r="J45" s="6" t="str">
        <f t="shared" ca="1" si="3"/>
        <v>20182</v>
      </c>
      <c r="K45" s="6">
        <f t="shared" ca="1" si="4"/>
        <v>2018</v>
      </c>
      <c r="L45" s="6">
        <f t="shared" ca="1" si="5"/>
        <v>2</v>
      </c>
      <c r="M45" s="68">
        <f ca="1">IFERROR(__xludf.DUMMYFUNCTION("""COMPUTED_VALUE"""),43157.6666666666)</f>
        <v>43157.666666666599</v>
      </c>
      <c r="N45" s="6">
        <f ca="1">IFERROR(__xludf.DUMMYFUNCTION("""COMPUTED_VALUE"""),7421.46)</f>
        <v>7421.46</v>
      </c>
      <c r="R45" s="6" t="str">
        <f t="shared" ca="1" si="6"/>
        <v>20182</v>
      </c>
      <c r="S45" s="6">
        <f t="shared" ca="1" si="7"/>
        <v>2018</v>
      </c>
      <c r="T45" s="6">
        <f t="shared" ca="1" si="8"/>
        <v>2</v>
      </c>
      <c r="U45" s="68">
        <f ca="1">IFERROR(__xludf.DUMMYFUNCTION("""COMPUTED_VALUE"""),43157.6458333333)</f>
        <v>43157.645833333299</v>
      </c>
      <c r="V45" s="6">
        <f ca="1">IFERROR(__xludf.DUMMYFUNCTION("""COMPUTED_VALUE"""),2457.65)</f>
        <v>2457.65</v>
      </c>
      <c r="Z45" s="6" t="str">
        <f t="shared" ca="1" si="9"/>
        <v>20182</v>
      </c>
      <c r="AA45" s="6">
        <f t="shared" ca="1" si="10"/>
        <v>2018</v>
      </c>
      <c r="AB45" s="6">
        <f t="shared" ca="1" si="11"/>
        <v>2</v>
      </c>
      <c r="AC45" s="68">
        <f ca="1">IFERROR(__xludf.DUMMYFUNCTION("""COMPUTED_VALUE"""),43138.9986111111)</f>
        <v>43138.998611111099</v>
      </c>
      <c r="AD45" s="6">
        <f ca="1">IFERROR(__xludf.DUMMYFUNCTION("""COMPUTED_VALUE"""),1089.42)</f>
        <v>1089.42</v>
      </c>
      <c r="AH45" s="6" t="str">
        <f t="shared" ca="1" si="12"/>
        <v>20182</v>
      </c>
      <c r="AI45" s="6">
        <f t="shared" ca="1" si="13"/>
        <v>2018</v>
      </c>
      <c r="AJ45" s="6">
        <f t="shared" ca="1" si="14"/>
        <v>2</v>
      </c>
      <c r="AK45" s="68">
        <f ca="1">IFERROR(__xludf.DUMMYFUNCTION("""COMPUTED_VALUE"""),43136.9986111111)</f>
        <v>43136.998611111099</v>
      </c>
      <c r="AL45" s="6">
        <f ca="1">IFERROR(__xludf.DUMMYFUNCTION("""COMPUTED_VALUE"""),7164.72)</f>
        <v>7164.72</v>
      </c>
      <c r="AP45" s="6" t="str">
        <f t="shared" ca="1" si="15"/>
        <v>20182</v>
      </c>
      <c r="AQ45" s="6">
        <f t="shared" ca="1" si="16"/>
        <v>2018</v>
      </c>
      <c r="AR45" s="6">
        <f t="shared" ca="1" si="17"/>
        <v>2</v>
      </c>
      <c r="AS45" s="68">
        <f ca="1">IFERROR(__xludf.DUMMYFUNCTION("""COMPUTED_VALUE"""),43157.9986111111)</f>
        <v>43157.998611111099</v>
      </c>
      <c r="AT45" s="6">
        <f ca="1">IFERROR(__xludf.DUMMYFUNCTION("""COMPUTED_VALUE"""),1332.8)</f>
        <v>1332.8</v>
      </c>
    </row>
    <row r="46" spans="2:46" x14ac:dyDescent="0.35">
      <c r="B46" s="6" t="str">
        <f t="shared" ca="1" si="0"/>
        <v>20182</v>
      </c>
      <c r="C46" s="6">
        <f t="shared" ca="1" si="1"/>
        <v>2018</v>
      </c>
      <c r="D46" s="6">
        <f t="shared" ca="1" si="2"/>
        <v>2</v>
      </c>
      <c r="E46" s="68">
        <f ca="1">IFERROR(__xludf.DUMMYFUNCTION("""COMPUTED_VALUE"""),43158.6666666666)</f>
        <v>43158.666666666599</v>
      </c>
      <c r="F46" s="6">
        <f ca="1">IFERROR(__xludf.DUMMYFUNCTION("""COMPUTED_VALUE"""),2744.28)</f>
        <v>2744.28</v>
      </c>
      <c r="J46" s="6" t="str">
        <f t="shared" ca="1" si="3"/>
        <v>20182</v>
      </c>
      <c r="K46" s="6">
        <f t="shared" ca="1" si="4"/>
        <v>2018</v>
      </c>
      <c r="L46" s="6">
        <f t="shared" ca="1" si="5"/>
        <v>2</v>
      </c>
      <c r="M46" s="68">
        <f ca="1">IFERROR(__xludf.DUMMYFUNCTION("""COMPUTED_VALUE"""),43158.6666666666)</f>
        <v>43158.666666666599</v>
      </c>
      <c r="N46" s="6">
        <f ca="1">IFERROR(__xludf.DUMMYFUNCTION("""COMPUTED_VALUE"""),7330.35)</f>
        <v>7330.35</v>
      </c>
      <c r="R46" s="6" t="str">
        <f t="shared" ca="1" si="6"/>
        <v>20182</v>
      </c>
      <c r="S46" s="6">
        <f t="shared" ca="1" si="7"/>
        <v>2018</v>
      </c>
      <c r="T46" s="6">
        <f t="shared" ca="1" si="8"/>
        <v>2</v>
      </c>
      <c r="U46" s="68">
        <f ca="1">IFERROR(__xludf.DUMMYFUNCTION("""COMPUTED_VALUE"""),43158.6458333333)</f>
        <v>43158.645833333299</v>
      </c>
      <c r="V46" s="6">
        <f ca="1">IFERROR(__xludf.DUMMYFUNCTION("""COMPUTED_VALUE"""),2456.14)</f>
        <v>2456.14</v>
      </c>
      <c r="Z46" s="6" t="str">
        <f t="shared" ca="1" si="9"/>
        <v>20182</v>
      </c>
      <c r="AA46" s="6">
        <f t="shared" ca="1" si="10"/>
        <v>2018</v>
      </c>
      <c r="AB46" s="6">
        <f t="shared" ca="1" si="11"/>
        <v>2</v>
      </c>
      <c r="AC46" s="68">
        <f ca="1">IFERROR(__xludf.DUMMYFUNCTION("""COMPUTED_VALUE"""),43139.9986111111)</f>
        <v>43139.998611111099</v>
      </c>
      <c r="AD46" s="6">
        <f ca="1">IFERROR(__xludf.DUMMYFUNCTION("""COMPUTED_VALUE"""),1095.86)</f>
        <v>1095.8599999999999</v>
      </c>
      <c r="AH46" s="6" t="str">
        <f t="shared" ca="1" si="12"/>
        <v>20182</v>
      </c>
      <c r="AI46" s="6">
        <f t="shared" ca="1" si="13"/>
        <v>2018</v>
      </c>
      <c r="AJ46" s="6">
        <f t="shared" ca="1" si="14"/>
        <v>2</v>
      </c>
      <c r="AK46" s="68">
        <f ca="1">IFERROR(__xludf.DUMMYFUNCTION("""COMPUTED_VALUE"""),43137.9986111111)</f>
        <v>43137.998611111099</v>
      </c>
      <c r="AL46" s="6">
        <f ca="1">IFERROR(__xludf.DUMMYFUNCTION("""COMPUTED_VALUE"""),7773.81)</f>
        <v>7773.81</v>
      </c>
      <c r="AP46" s="6" t="str">
        <f t="shared" ca="1" si="15"/>
        <v>20182</v>
      </c>
      <c r="AQ46" s="6">
        <f t="shared" ca="1" si="16"/>
        <v>2018</v>
      </c>
      <c r="AR46" s="6">
        <f t="shared" ca="1" si="17"/>
        <v>2</v>
      </c>
      <c r="AS46" s="68">
        <f ca="1">IFERROR(__xludf.DUMMYFUNCTION("""COMPUTED_VALUE"""),43158.9986111111)</f>
        <v>43158.998611111099</v>
      </c>
      <c r="AT46" s="6">
        <f ca="1">IFERROR(__xludf.DUMMYFUNCTION("""COMPUTED_VALUE"""),1318.6)</f>
        <v>1318.6</v>
      </c>
    </row>
    <row r="47" spans="2:46" x14ac:dyDescent="0.35">
      <c r="B47" s="6" t="str">
        <f t="shared" ca="1" si="0"/>
        <v>20182</v>
      </c>
      <c r="C47" s="6">
        <f t="shared" ca="1" si="1"/>
        <v>2018</v>
      </c>
      <c r="D47" s="6">
        <f t="shared" ca="1" si="2"/>
        <v>2</v>
      </c>
      <c r="E47" s="68">
        <f ca="1">IFERROR(__xludf.DUMMYFUNCTION("""COMPUTED_VALUE"""),43159.6666666666)</f>
        <v>43159.666666666599</v>
      </c>
      <c r="F47" s="6">
        <f ca="1">IFERROR(__xludf.DUMMYFUNCTION("""COMPUTED_VALUE"""),2713.83)</f>
        <v>2713.83</v>
      </c>
      <c r="J47" s="6" t="str">
        <f t="shared" ca="1" si="3"/>
        <v>20182</v>
      </c>
      <c r="K47" s="6">
        <f t="shared" ca="1" si="4"/>
        <v>2018</v>
      </c>
      <c r="L47" s="6">
        <f t="shared" ca="1" si="5"/>
        <v>2</v>
      </c>
      <c r="M47" s="68">
        <f ca="1">IFERROR(__xludf.DUMMYFUNCTION("""COMPUTED_VALUE"""),43159.6666666666)</f>
        <v>43159.666666666599</v>
      </c>
      <c r="N47" s="6">
        <f ca="1">IFERROR(__xludf.DUMMYFUNCTION("""COMPUTED_VALUE"""),7273.01)</f>
        <v>7273.01</v>
      </c>
      <c r="R47" s="6" t="str">
        <f t="shared" ca="1" si="6"/>
        <v>20182</v>
      </c>
      <c r="S47" s="6">
        <f t="shared" ca="1" si="7"/>
        <v>2018</v>
      </c>
      <c r="T47" s="6">
        <f t="shared" ca="1" si="8"/>
        <v>2</v>
      </c>
      <c r="U47" s="68">
        <f ca="1">IFERROR(__xludf.DUMMYFUNCTION("""COMPUTED_VALUE"""),43159.6458333333)</f>
        <v>43159.645833333299</v>
      </c>
      <c r="V47" s="6">
        <f ca="1">IFERROR(__xludf.DUMMYFUNCTION("""COMPUTED_VALUE"""),2427.36)</f>
        <v>2427.36</v>
      </c>
      <c r="Z47" s="6" t="str">
        <f t="shared" ca="1" si="9"/>
        <v>20182</v>
      </c>
      <c r="AA47" s="6">
        <f t="shared" ca="1" si="10"/>
        <v>2018</v>
      </c>
      <c r="AB47" s="6">
        <f t="shared" ca="1" si="11"/>
        <v>2</v>
      </c>
      <c r="AC47" s="68">
        <f ca="1">IFERROR(__xludf.DUMMYFUNCTION("""COMPUTED_VALUE"""),43140.9986111111)</f>
        <v>43140.998611111099</v>
      </c>
      <c r="AD47" s="6">
        <f ca="1">IFERROR(__xludf.DUMMYFUNCTION("""COMPUTED_VALUE"""),1083.25)</f>
        <v>1083.25</v>
      </c>
      <c r="AH47" s="6" t="str">
        <f t="shared" ca="1" si="12"/>
        <v>20182</v>
      </c>
      <c r="AI47" s="6">
        <f t="shared" ca="1" si="13"/>
        <v>2018</v>
      </c>
      <c r="AJ47" s="6">
        <f t="shared" ca="1" si="14"/>
        <v>2</v>
      </c>
      <c r="AK47" s="68">
        <f ca="1">IFERROR(__xludf.DUMMYFUNCTION("""COMPUTED_VALUE"""),43138.9986111111)</f>
        <v>43138.998611111099</v>
      </c>
      <c r="AL47" s="6">
        <f ca="1">IFERROR(__xludf.DUMMYFUNCTION("""COMPUTED_VALUE"""),8093.58)</f>
        <v>8093.58</v>
      </c>
      <c r="AP47" s="6" t="str">
        <f t="shared" ca="1" si="15"/>
        <v>20182</v>
      </c>
      <c r="AQ47" s="6">
        <f t="shared" ca="1" si="16"/>
        <v>2018</v>
      </c>
      <c r="AR47" s="6">
        <f t="shared" ca="1" si="17"/>
        <v>2</v>
      </c>
      <c r="AS47" s="68">
        <f ca="1">IFERROR(__xludf.DUMMYFUNCTION("""COMPUTED_VALUE"""),43159.9986111111)</f>
        <v>43159.998611111099</v>
      </c>
      <c r="AT47" s="6">
        <f ca="1">IFERROR(__xludf.DUMMYFUNCTION("""COMPUTED_VALUE"""),1317.9)</f>
        <v>1317.9</v>
      </c>
    </row>
    <row r="48" spans="2:46" x14ac:dyDescent="0.35">
      <c r="B48" s="6" t="str">
        <f t="shared" ca="1" si="0"/>
        <v>20183</v>
      </c>
      <c r="C48" s="6">
        <f t="shared" ca="1" si="1"/>
        <v>2018</v>
      </c>
      <c r="D48" s="6">
        <f t="shared" ca="1" si="2"/>
        <v>3</v>
      </c>
      <c r="E48" s="68">
        <f ca="1">IFERROR(__xludf.DUMMYFUNCTION("""COMPUTED_VALUE"""),43160.6666666666)</f>
        <v>43160.666666666599</v>
      </c>
      <c r="F48" s="6">
        <f ca="1">IFERROR(__xludf.DUMMYFUNCTION("""COMPUTED_VALUE"""),2677.67)</f>
        <v>2677.67</v>
      </c>
      <c r="J48" s="6" t="str">
        <f t="shared" ca="1" si="3"/>
        <v>20183</v>
      </c>
      <c r="K48" s="6">
        <f t="shared" ca="1" si="4"/>
        <v>2018</v>
      </c>
      <c r="L48" s="6">
        <f t="shared" ca="1" si="5"/>
        <v>3</v>
      </c>
      <c r="M48" s="68">
        <f ca="1">IFERROR(__xludf.DUMMYFUNCTION("""COMPUTED_VALUE"""),43160.6666666666)</f>
        <v>43160.666666666599</v>
      </c>
      <c r="N48" s="6">
        <f ca="1">IFERROR(__xludf.DUMMYFUNCTION("""COMPUTED_VALUE"""),7180.56)</f>
        <v>7180.56</v>
      </c>
      <c r="R48" s="6" t="str">
        <f t="shared" ca="1" si="6"/>
        <v>20183</v>
      </c>
      <c r="S48" s="6">
        <f t="shared" ca="1" si="7"/>
        <v>2018</v>
      </c>
      <c r="T48" s="6">
        <f t="shared" ca="1" si="8"/>
        <v>3</v>
      </c>
      <c r="U48" s="68">
        <f ca="1">IFERROR(__xludf.DUMMYFUNCTION("""COMPUTED_VALUE"""),43161.6458333333)</f>
        <v>43161.645833333299</v>
      </c>
      <c r="V48" s="6">
        <f ca="1">IFERROR(__xludf.DUMMYFUNCTION("""COMPUTED_VALUE"""),2402.16)</f>
        <v>2402.16</v>
      </c>
      <c r="Z48" s="6" t="str">
        <f t="shared" ca="1" si="9"/>
        <v>20182</v>
      </c>
      <c r="AA48" s="6">
        <f t="shared" ca="1" si="10"/>
        <v>2018</v>
      </c>
      <c r="AB48" s="6">
        <f t="shared" ca="1" si="11"/>
        <v>2</v>
      </c>
      <c r="AC48" s="68">
        <f ca="1">IFERROR(__xludf.DUMMYFUNCTION("""COMPUTED_VALUE"""),43141.9986111111)</f>
        <v>43141.998611111099</v>
      </c>
      <c r="AD48" s="6">
        <f ca="1">IFERROR(__xludf.DUMMYFUNCTION("""COMPUTED_VALUE"""),1083.25)</f>
        <v>1083.25</v>
      </c>
      <c r="AH48" s="6" t="str">
        <f t="shared" ca="1" si="12"/>
        <v>20182</v>
      </c>
      <c r="AI48" s="6">
        <f t="shared" ca="1" si="13"/>
        <v>2018</v>
      </c>
      <c r="AJ48" s="6">
        <f t="shared" ca="1" si="14"/>
        <v>2</v>
      </c>
      <c r="AK48" s="68">
        <f ca="1">IFERROR(__xludf.DUMMYFUNCTION("""COMPUTED_VALUE"""),43139.9986111111)</f>
        <v>43139.998611111099</v>
      </c>
      <c r="AL48" s="6">
        <f ca="1">IFERROR(__xludf.DUMMYFUNCTION("""COMPUTED_VALUE"""),8188)</f>
        <v>8188</v>
      </c>
      <c r="AP48" s="6" t="str">
        <f t="shared" ca="1" si="15"/>
        <v>20183</v>
      </c>
      <c r="AQ48" s="6">
        <f t="shared" ca="1" si="16"/>
        <v>2018</v>
      </c>
      <c r="AR48" s="6">
        <f t="shared" ca="1" si="17"/>
        <v>3</v>
      </c>
      <c r="AS48" s="68">
        <f ca="1">IFERROR(__xludf.DUMMYFUNCTION("""COMPUTED_VALUE"""),43160.9986111111)</f>
        <v>43160.998611111099</v>
      </c>
      <c r="AT48" s="6">
        <f ca="1">IFERROR(__xludf.DUMMYFUNCTION("""COMPUTED_VALUE"""),1305.2)</f>
        <v>1305.2</v>
      </c>
    </row>
    <row r="49" spans="2:46" x14ac:dyDescent="0.35">
      <c r="B49" s="6" t="str">
        <f t="shared" ca="1" si="0"/>
        <v>20183</v>
      </c>
      <c r="C49" s="6">
        <f t="shared" ca="1" si="1"/>
        <v>2018</v>
      </c>
      <c r="D49" s="6">
        <f t="shared" ca="1" si="2"/>
        <v>3</v>
      </c>
      <c r="E49" s="68">
        <f ca="1">IFERROR(__xludf.DUMMYFUNCTION("""COMPUTED_VALUE"""),43161.6666666666)</f>
        <v>43161.666666666599</v>
      </c>
      <c r="F49" s="6">
        <f ca="1">IFERROR(__xludf.DUMMYFUNCTION("""COMPUTED_VALUE"""),2691.25)</f>
        <v>2691.25</v>
      </c>
      <c r="J49" s="6" t="str">
        <f t="shared" ca="1" si="3"/>
        <v>20183</v>
      </c>
      <c r="K49" s="6">
        <f t="shared" ca="1" si="4"/>
        <v>2018</v>
      </c>
      <c r="L49" s="6">
        <f t="shared" ca="1" si="5"/>
        <v>3</v>
      </c>
      <c r="M49" s="68">
        <f ca="1">IFERROR(__xludf.DUMMYFUNCTION("""COMPUTED_VALUE"""),43161.6666666666)</f>
        <v>43161.666666666599</v>
      </c>
      <c r="N49" s="6">
        <f ca="1">IFERROR(__xludf.DUMMYFUNCTION("""COMPUTED_VALUE"""),7257.87)</f>
        <v>7257.87</v>
      </c>
      <c r="R49" s="6" t="str">
        <f t="shared" ca="1" si="6"/>
        <v>20183</v>
      </c>
      <c r="S49" s="6">
        <f t="shared" ca="1" si="7"/>
        <v>2018</v>
      </c>
      <c r="T49" s="6">
        <f t="shared" ca="1" si="8"/>
        <v>3</v>
      </c>
      <c r="U49" s="68">
        <f ca="1">IFERROR(__xludf.DUMMYFUNCTION("""COMPUTED_VALUE"""),43164.6458333333)</f>
        <v>43164.645833333299</v>
      </c>
      <c r="V49" s="6">
        <f ca="1">IFERROR(__xludf.DUMMYFUNCTION("""COMPUTED_VALUE"""),2375.06)</f>
        <v>2375.06</v>
      </c>
      <c r="Z49" s="6" t="str">
        <f t="shared" ca="1" si="9"/>
        <v>20182</v>
      </c>
      <c r="AA49" s="6">
        <f t="shared" ca="1" si="10"/>
        <v>2018</v>
      </c>
      <c r="AB49" s="6">
        <f t="shared" ca="1" si="11"/>
        <v>2</v>
      </c>
      <c r="AC49" s="68">
        <f ca="1">IFERROR(__xludf.DUMMYFUNCTION("""COMPUTED_VALUE"""),43142.9986111111)</f>
        <v>43142.998611111099</v>
      </c>
      <c r="AD49" s="6">
        <f ca="1">IFERROR(__xludf.DUMMYFUNCTION("""COMPUTED_VALUE"""),1083.17)</f>
        <v>1083.17</v>
      </c>
      <c r="AH49" s="6" t="str">
        <f t="shared" ca="1" si="12"/>
        <v>20182</v>
      </c>
      <c r="AI49" s="6">
        <f t="shared" ca="1" si="13"/>
        <v>2018</v>
      </c>
      <c r="AJ49" s="6">
        <f t="shared" ca="1" si="14"/>
        <v>2</v>
      </c>
      <c r="AK49" s="68">
        <f ca="1">IFERROR(__xludf.DUMMYFUNCTION("""COMPUTED_VALUE"""),43140.9986111111)</f>
        <v>43140.998611111099</v>
      </c>
      <c r="AL49" s="6">
        <f ca="1">IFERROR(__xludf.DUMMYFUNCTION("""COMPUTED_VALUE"""),8549.94)</f>
        <v>8549.94</v>
      </c>
      <c r="AP49" s="6" t="str">
        <f t="shared" ca="1" si="15"/>
        <v>20183</v>
      </c>
      <c r="AQ49" s="6">
        <f t="shared" ca="1" si="16"/>
        <v>2018</v>
      </c>
      <c r="AR49" s="6">
        <f t="shared" ca="1" si="17"/>
        <v>3</v>
      </c>
      <c r="AS49" s="68">
        <f ca="1">IFERROR(__xludf.DUMMYFUNCTION("""COMPUTED_VALUE"""),43161.9986111111)</f>
        <v>43161.998611111099</v>
      </c>
      <c r="AT49" s="6">
        <f ca="1">IFERROR(__xludf.DUMMYFUNCTION("""COMPUTED_VALUE"""),1323.4)</f>
        <v>1323.4</v>
      </c>
    </row>
    <row r="50" spans="2:46" x14ac:dyDescent="0.35">
      <c r="B50" s="6" t="str">
        <f t="shared" ca="1" si="0"/>
        <v>20183</v>
      </c>
      <c r="C50" s="6">
        <f t="shared" ca="1" si="1"/>
        <v>2018</v>
      </c>
      <c r="D50" s="6">
        <f t="shared" ca="1" si="2"/>
        <v>3</v>
      </c>
      <c r="E50" s="68">
        <f ca="1">IFERROR(__xludf.DUMMYFUNCTION("""COMPUTED_VALUE"""),43164.6666666666)</f>
        <v>43164.666666666599</v>
      </c>
      <c r="F50" s="6">
        <f ca="1">IFERROR(__xludf.DUMMYFUNCTION("""COMPUTED_VALUE"""),2720.94)</f>
        <v>2720.94</v>
      </c>
      <c r="J50" s="6" t="str">
        <f t="shared" ca="1" si="3"/>
        <v>20183</v>
      </c>
      <c r="K50" s="6">
        <f t="shared" ca="1" si="4"/>
        <v>2018</v>
      </c>
      <c r="L50" s="6">
        <f t="shared" ca="1" si="5"/>
        <v>3</v>
      </c>
      <c r="M50" s="68">
        <f ca="1">IFERROR(__xludf.DUMMYFUNCTION("""COMPUTED_VALUE"""),43164.6666666666)</f>
        <v>43164.666666666599</v>
      </c>
      <c r="N50" s="6">
        <f ca="1">IFERROR(__xludf.DUMMYFUNCTION("""COMPUTED_VALUE"""),7330.71)</f>
        <v>7330.71</v>
      </c>
      <c r="R50" s="6" t="str">
        <f t="shared" ca="1" si="6"/>
        <v>20183</v>
      </c>
      <c r="S50" s="6">
        <f t="shared" ca="1" si="7"/>
        <v>2018</v>
      </c>
      <c r="T50" s="6">
        <f t="shared" ca="1" si="8"/>
        <v>3</v>
      </c>
      <c r="U50" s="68">
        <f ca="1">IFERROR(__xludf.DUMMYFUNCTION("""COMPUTED_VALUE"""),43165.6458333333)</f>
        <v>43165.645833333299</v>
      </c>
      <c r="V50" s="6">
        <f ca="1">IFERROR(__xludf.DUMMYFUNCTION("""COMPUTED_VALUE"""),2411.41)</f>
        <v>2411.41</v>
      </c>
      <c r="Z50" s="6" t="str">
        <f t="shared" ca="1" si="9"/>
        <v>20182</v>
      </c>
      <c r="AA50" s="6">
        <f t="shared" ca="1" si="10"/>
        <v>2018</v>
      </c>
      <c r="AB50" s="6">
        <f t="shared" ca="1" si="11"/>
        <v>2</v>
      </c>
      <c r="AC50" s="68">
        <f ca="1">IFERROR(__xludf.DUMMYFUNCTION("""COMPUTED_VALUE"""),43143.9986111111)</f>
        <v>43143.998611111099</v>
      </c>
      <c r="AD50" s="6">
        <f ca="1">IFERROR(__xludf.DUMMYFUNCTION("""COMPUTED_VALUE"""),1082.61)</f>
        <v>1082.6099999999999</v>
      </c>
      <c r="AH50" s="6" t="str">
        <f t="shared" ca="1" si="12"/>
        <v>20182</v>
      </c>
      <c r="AI50" s="6">
        <f t="shared" ca="1" si="13"/>
        <v>2018</v>
      </c>
      <c r="AJ50" s="6">
        <f t="shared" ca="1" si="14"/>
        <v>2</v>
      </c>
      <c r="AK50" s="68">
        <f ca="1">IFERROR(__xludf.DUMMYFUNCTION("""COMPUTED_VALUE"""),43141.9986111111)</f>
        <v>43141.998611111099</v>
      </c>
      <c r="AL50" s="6">
        <f ca="1">IFERROR(__xludf.DUMMYFUNCTION("""COMPUTED_VALUE"""),8410.13)</f>
        <v>8410.1299999999992</v>
      </c>
      <c r="AP50" s="6" t="str">
        <f t="shared" ca="1" si="15"/>
        <v>20183</v>
      </c>
      <c r="AQ50" s="6">
        <f t="shared" ca="1" si="16"/>
        <v>2018</v>
      </c>
      <c r="AR50" s="6">
        <f t="shared" ca="1" si="17"/>
        <v>3</v>
      </c>
      <c r="AS50" s="68">
        <f ca="1">IFERROR(__xludf.DUMMYFUNCTION("""COMPUTED_VALUE"""),43164.9986111111)</f>
        <v>43164.998611111099</v>
      </c>
      <c r="AT50" s="6">
        <f ca="1">IFERROR(__xludf.DUMMYFUNCTION("""COMPUTED_VALUE"""),1319.9)</f>
        <v>1319.9</v>
      </c>
    </row>
    <row r="51" spans="2:46" x14ac:dyDescent="0.35">
      <c r="B51" s="6" t="str">
        <f t="shared" ca="1" si="0"/>
        <v>20183</v>
      </c>
      <c r="C51" s="6">
        <f t="shared" ca="1" si="1"/>
        <v>2018</v>
      </c>
      <c r="D51" s="6">
        <f t="shared" ca="1" si="2"/>
        <v>3</v>
      </c>
      <c r="E51" s="68">
        <f ca="1">IFERROR(__xludf.DUMMYFUNCTION("""COMPUTED_VALUE"""),43165.6666666666)</f>
        <v>43165.666666666599</v>
      </c>
      <c r="F51" s="6">
        <f ca="1">IFERROR(__xludf.DUMMYFUNCTION("""COMPUTED_VALUE"""),2728.12)</f>
        <v>2728.12</v>
      </c>
      <c r="J51" s="6" t="str">
        <f t="shared" ca="1" si="3"/>
        <v>20183</v>
      </c>
      <c r="K51" s="6">
        <f t="shared" ca="1" si="4"/>
        <v>2018</v>
      </c>
      <c r="L51" s="6">
        <f t="shared" ca="1" si="5"/>
        <v>3</v>
      </c>
      <c r="M51" s="68">
        <f ca="1">IFERROR(__xludf.DUMMYFUNCTION("""COMPUTED_VALUE"""),43165.6666666666)</f>
        <v>43165.666666666599</v>
      </c>
      <c r="N51" s="6">
        <f ca="1">IFERROR(__xludf.DUMMYFUNCTION("""COMPUTED_VALUE"""),7372.01)</f>
        <v>7372.01</v>
      </c>
      <c r="R51" s="6" t="str">
        <f t="shared" ca="1" si="6"/>
        <v>20183</v>
      </c>
      <c r="S51" s="6">
        <f t="shared" ca="1" si="7"/>
        <v>2018</v>
      </c>
      <c r="T51" s="6">
        <f t="shared" ca="1" si="8"/>
        <v>3</v>
      </c>
      <c r="U51" s="68">
        <f ca="1">IFERROR(__xludf.DUMMYFUNCTION("""COMPUTED_VALUE"""),43167.6458333333)</f>
        <v>43167.645833333299</v>
      </c>
      <c r="V51" s="6">
        <f ca="1">IFERROR(__xludf.DUMMYFUNCTION("""COMPUTED_VALUE"""),2433.08)</f>
        <v>2433.08</v>
      </c>
      <c r="Z51" s="6" t="str">
        <f t="shared" ca="1" si="9"/>
        <v>20182</v>
      </c>
      <c r="AA51" s="6">
        <f t="shared" ca="1" si="10"/>
        <v>2018</v>
      </c>
      <c r="AB51" s="6">
        <f t="shared" ca="1" si="11"/>
        <v>2</v>
      </c>
      <c r="AC51" s="68">
        <f ca="1">IFERROR(__xludf.DUMMYFUNCTION("""COMPUTED_VALUE"""),43144.9986111111)</f>
        <v>43144.998611111099</v>
      </c>
      <c r="AD51" s="6">
        <f ca="1">IFERROR(__xludf.DUMMYFUNCTION("""COMPUTED_VALUE"""),1083.77)</f>
        <v>1083.77</v>
      </c>
      <c r="AH51" s="6" t="str">
        <f t="shared" ca="1" si="12"/>
        <v>20182</v>
      </c>
      <c r="AI51" s="6">
        <f t="shared" ca="1" si="13"/>
        <v>2018</v>
      </c>
      <c r="AJ51" s="6">
        <f t="shared" ca="1" si="14"/>
        <v>2</v>
      </c>
      <c r="AK51" s="68">
        <f ca="1">IFERROR(__xludf.DUMMYFUNCTION("""COMPUTED_VALUE"""),43142.9986111111)</f>
        <v>43142.998611111099</v>
      </c>
      <c r="AL51" s="6">
        <f ca="1">IFERROR(__xludf.DUMMYFUNCTION("""COMPUTED_VALUE"""),8224.54)</f>
        <v>8224.5400000000009</v>
      </c>
      <c r="AP51" s="6" t="str">
        <f t="shared" ca="1" si="15"/>
        <v>20183</v>
      </c>
      <c r="AQ51" s="6">
        <f t="shared" ca="1" si="16"/>
        <v>2018</v>
      </c>
      <c r="AR51" s="6">
        <f t="shared" ca="1" si="17"/>
        <v>3</v>
      </c>
      <c r="AS51" s="68">
        <f ca="1">IFERROR(__xludf.DUMMYFUNCTION("""COMPUTED_VALUE"""),43165.9986111111)</f>
        <v>43165.998611111099</v>
      </c>
      <c r="AT51" s="6">
        <f ca="1">IFERROR(__xludf.DUMMYFUNCTION("""COMPUTED_VALUE"""),1335.2)</f>
        <v>1335.2</v>
      </c>
    </row>
    <row r="52" spans="2:46" x14ac:dyDescent="0.35">
      <c r="B52" s="6" t="str">
        <f t="shared" ca="1" si="0"/>
        <v>20183</v>
      </c>
      <c r="C52" s="6">
        <f t="shared" ca="1" si="1"/>
        <v>2018</v>
      </c>
      <c r="D52" s="6">
        <f t="shared" ca="1" si="2"/>
        <v>3</v>
      </c>
      <c r="E52" s="68">
        <f ca="1">IFERROR(__xludf.DUMMYFUNCTION("""COMPUTED_VALUE"""),43166.6666666666)</f>
        <v>43166.666666666599</v>
      </c>
      <c r="F52" s="6">
        <f ca="1">IFERROR(__xludf.DUMMYFUNCTION("""COMPUTED_VALUE"""),2726.8)</f>
        <v>2726.8</v>
      </c>
      <c r="J52" s="6" t="str">
        <f t="shared" ca="1" si="3"/>
        <v>20183</v>
      </c>
      <c r="K52" s="6">
        <f t="shared" ca="1" si="4"/>
        <v>2018</v>
      </c>
      <c r="L52" s="6">
        <f t="shared" ca="1" si="5"/>
        <v>3</v>
      </c>
      <c r="M52" s="68">
        <f ca="1">IFERROR(__xludf.DUMMYFUNCTION("""COMPUTED_VALUE"""),43166.6666666666)</f>
        <v>43166.666666666599</v>
      </c>
      <c r="N52" s="6">
        <f ca="1">IFERROR(__xludf.DUMMYFUNCTION("""COMPUTED_VALUE"""),7396.65)</f>
        <v>7396.65</v>
      </c>
      <c r="R52" s="6" t="str">
        <f t="shared" ca="1" si="6"/>
        <v>20183</v>
      </c>
      <c r="S52" s="6">
        <f t="shared" ca="1" si="7"/>
        <v>2018</v>
      </c>
      <c r="T52" s="6">
        <f t="shared" ca="1" si="8"/>
        <v>3</v>
      </c>
      <c r="U52" s="68">
        <f ca="1">IFERROR(__xludf.DUMMYFUNCTION("""COMPUTED_VALUE"""),43168.6458333333)</f>
        <v>43168.645833333299</v>
      </c>
      <c r="V52" s="6">
        <f ca="1">IFERROR(__xludf.DUMMYFUNCTION("""COMPUTED_VALUE"""),2459.45)</f>
        <v>2459.4499999999998</v>
      </c>
      <c r="Z52" s="6" t="str">
        <f t="shared" ca="1" si="9"/>
        <v>20182</v>
      </c>
      <c r="AA52" s="6">
        <f t="shared" ca="1" si="10"/>
        <v>2018</v>
      </c>
      <c r="AB52" s="6">
        <f t="shared" ca="1" si="11"/>
        <v>2</v>
      </c>
      <c r="AC52" s="68">
        <f ca="1">IFERROR(__xludf.DUMMYFUNCTION("""COMPUTED_VALUE"""),43145.9986111111)</f>
        <v>43145.998611111099</v>
      </c>
      <c r="AD52" s="6">
        <f ca="1">IFERROR(__xludf.DUMMYFUNCTION("""COMPUTED_VALUE"""),1070.01)</f>
        <v>1070.01</v>
      </c>
      <c r="AH52" s="6" t="str">
        <f t="shared" ca="1" si="12"/>
        <v>20182</v>
      </c>
      <c r="AI52" s="6">
        <f t="shared" ca="1" si="13"/>
        <v>2018</v>
      </c>
      <c r="AJ52" s="6">
        <f t="shared" ca="1" si="14"/>
        <v>2</v>
      </c>
      <c r="AK52" s="68">
        <f ca="1">IFERROR(__xludf.DUMMYFUNCTION("""COMPUTED_VALUE"""),43143.9986111111)</f>
        <v>43143.998611111099</v>
      </c>
      <c r="AL52" s="6">
        <f ca="1">IFERROR(__xludf.DUMMYFUNCTION("""COMPUTED_VALUE"""),8835.65)</f>
        <v>8835.65</v>
      </c>
      <c r="AP52" s="6" t="str">
        <f t="shared" ca="1" si="15"/>
        <v>20183</v>
      </c>
      <c r="AQ52" s="6">
        <f t="shared" ca="1" si="16"/>
        <v>2018</v>
      </c>
      <c r="AR52" s="6">
        <f t="shared" ca="1" si="17"/>
        <v>3</v>
      </c>
      <c r="AS52" s="68">
        <f ca="1">IFERROR(__xludf.DUMMYFUNCTION("""COMPUTED_VALUE"""),43166.9986111111)</f>
        <v>43166.998611111099</v>
      </c>
      <c r="AT52" s="6">
        <f ca="1">IFERROR(__xludf.DUMMYFUNCTION("""COMPUTED_VALUE"""),1327.6)</f>
        <v>1327.6</v>
      </c>
    </row>
    <row r="53" spans="2:46" x14ac:dyDescent="0.35">
      <c r="B53" s="6" t="str">
        <f t="shared" ca="1" si="0"/>
        <v>20183</v>
      </c>
      <c r="C53" s="6">
        <f t="shared" ca="1" si="1"/>
        <v>2018</v>
      </c>
      <c r="D53" s="6">
        <f t="shared" ca="1" si="2"/>
        <v>3</v>
      </c>
      <c r="E53" s="68">
        <f ca="1">IFERROR(__xludf.DUMMYFUNCTION("""COMPUTED_VALUE"""),43167.6666666666)</f>
        <v>43167.666666666599</v>
      </c>
      <c r="F53" s="6">
        <f ca="1">IFERROR(__xludf.DUMMYFUNCTION("""COMPUTED_VALUE"""),2738.97)</f>
        <v>2738.97</v>
      </c>
      <c r="J53" s="6" t="str">
        <f t="shared" ca="1" si="3"/>
        <v>20183</v>
      </c>
      <c r="K53" s="6">
        <f t="shared" ca="1" si="4"/>
        <v>2018</v>
      </c>
      <c r="L53" s="6">
        <f t="shared" ca="1" si="5"/>
        <v>3</v>
      </c>
      <c r="M53" s="68">
        <f ca="1">IFERROR(__xludf.DUMMYFUNCTION("""COMPUTED_VALUE"""),43167.6666666666)</f>
        <v>43167.666666666599</v>
      </c>
      <c r="N53" s="6">
        <f ca="1">IFERROR(__xludf.DUMMYFUNCTION("""COMPUTED_VALUE"""),7427.95)</f>
        <v>7427.95</v>
      </c>
      <c r="R53" s="6" t="str">
        <f t="shared" ca="1" si="6"/>
        <v>20183</v>
      </c>
      <c r="S53" s="6">
        <f t="shared" ca="1" si="7"/>
        <v>2018</v>
      </c>
      <c r="T53" s="6">
        <f t="shared" ca="1" si="8"/>
        <v>3</v>
      </c>
      <c r="U53" s="68">
        <f ca="1">IFERROR(__xludf.DUMMYFUNCTION("""COMPUTED_VALUE"""),43171.6458333333)</f>
        <v>43171.645833333299</v>
      </c>
      <c r="V53" s="6">
        <f ca="1">IFERROR(__xludf.DUMMYFUNCTION("""COMPUTED_VALUE"""),2484.12)</f>
        <v>2484.12</v>
      </c>
      <c r="Z53" s="6" t="str">
        <f t="shared" ca="1" si="9"/>
        <v>20182</v>
      </c>
      <c r="AA53" s="6">
        <f t="shared" ca="1" si="10"/>
        <v>2018</v>
      </c>
      <c r="AB53" s="6">
        <f t="shared" ca="1" si="11"/>
        <v>2</v>
      </c>
      <c r="AC53" s="68">
        <f ca="1">IFERROR(__xludf.DUMMYFUNCTION("""COMPUTED_VALUE"""),43146.9986111111)</f>
        <v>43146.998611111099</v>
      </c>
      <c r="AD53" s="6">
        <f ca="1">IFERROR(__xludf.DUMMYFUNCTION("""COMPUTED_VALUE"""),1063.07)</f>
        <v>1063.07</v>
      </c>
      <c r="AH53" s="6" t="str">
        <f t="shared" ca="1" si="12"/>
        <v>20182</v>
      </c>
      <c r="AI53" s="6">
        <f t="shared" ca="1" si="13"/>
        <v>2018</v>
      </c>
      <c r="AJ53" s="6">
        <f t="shared" ca="1" si="14"/>
        <v>2</v>
      </c>
      <c r="AK53" s="68">
        <f ca="1">IFERROR(__xludf.DUMMYFUNCTION("""COMPUTED_VALUE"""),43144.9986111111)</f>
        <v>43144.998611111099</v>
      </c>
      <c r="AL53" s="6">
        <f ca="1">IFERROR(__xludf.DUMMYFUNCTION("""COMPUTED_VALUE"""),8557.84)</f>
        <v>8557.84</v>
      </c>
      <c r="AP53" s="6" t="str">
        <f t="shared" ca="1" si="15"/>
        <v>20183</v>
      </c>
      <c r="AQ53" s="6">
        <f t="shared" ca="1" si="16"/>
        <v>2018</v>
      </c>
      <c r="AR53" s="6">
        <f t="shared" ca="1" si="17"/>
        <v>3</v>
      </c>
      <c r="AS53" s="68">
        <f ca="1">IFERROR(__xludf.DUMMYFUNCTION("""COMPUTED_VALUE"""),43167.9986111111)</f>
        <v>43167.998611111099</v>
      </c>
      <c r="AT53" s="6">
        <f ca="1">IFERROR(__xludf.DUMMYFUNCTION("""COMPUTED_VALUE"""),1321.7)</f>
        <v>1321.7</v>
      </c>
    </row>
    <row r="54" spans="2:46" x14ac:dyDescent="0.35">
      <c r="B54" s="6" t="str">
        <f t="shared" ca="1" si="0"/>
        <v>20183</v>
      </c>
      <c r="C54" s="6">
        <f t="shared" ca="1" si="1"/>
        <v>2018</v>
      </c>
      <c r="D54" s="6">
        <f t="shared" ca="1" si="2"/>
        <v>3</v>
      </c>
      <c r="E54" s="68">
        <f ca="1">IFERROR(__xludf.DUMMYFUNCTION("""COMPUTED_VALUE"""),43168.6666666666)</f>
        <v>43168.666666666599</v>
      </c>
      <c r="F54" s="6">
        <f ca="1">IFERROR(__xludf.DUMMYFUNCTION("""COMPUTED_VALUE"""),2786.57)</f>
        <v>2786.57</v>
      </c>
      <c r="J54" s="6" t="str">
        <f t="shared" ca="1" si="3"/>
        <v>20183</v>
      </c>
      <c r="K54" s="6">
        <f t="shared" ca="1" si="4"/>
        <v>2018</v>
      </c>
      <c r="L54" s="6">
        <f t="shared" ca="1" si="5"/>
        <v>3</v>
      </c>
      <c r="M54" s="68">
        <f ca="1">IFERROR(__xludf.DUMMYFUNCTION("""COMPUTED_VALUE"""),43168.6666666666)</f>
        <v>43168.666666666599</v>
      </c>
      <c r="N54" s="6">
        <f ca="1">IFERROR(__xludf.DUMMYFUNCTION("""COMPUTED_VALUE"""),7560.81)</f>
        <v>7560.81</v>
      </c>
      <c r="R54" s="6" t="str">
        <f t="shared" ca="1" si="6"/>
        <v>20183</v>
      </c>
      <c r="S54" s="6">
        <f t="shared" ca="1" si="7"/>
        <v>2018</v>
      </c>
      <c r="T54" s="6">
        <f t="shared" ca="1" si="8"/>
        <v>3</v>
      </c>
      <c r="U54" s="68">
        <f ca="1">IFERROR(__xludf.DUMMYFUNCTION("""COMPUTED_VALUE"""),43172.6458333333)</f>
        <v>43172.645833333299</v>
      </c>
      <c r="V54" s="6">
        <f ca="1">IFERROR(__xludf.DUMMYFUNCTION("""COMPUTED_VALUE"""),2494.49)</f>
        <v>2494.4899999999998</v>
      </c>
      <c r="Z54" s="6" t="str">
        <f t="shared" ca="1" si="9"/>
        <v>20182</v>
      </c>
      <c r="AA54" s="6">
        <f t="shared" ca="1" si="10"/>
        <v>2018</v>
      </c>
      <c r="AB54" s="6">
        <f t="shared" ca="1" si="11"/>
        <v>2</v>
      </c>
      <c r="AC54" s="68">
        <f ca="1">IFERROR(__xludf.DUMMYFUNCTION("""COMPUTED_VALUE"""),43147.9986111111)</f>
        <v>43147.998611111099</v>
      </c>
      <c r="AD54" s="6">
        <f ca="1">IFERROR(__xludf.DUMMYFUNCTION("""COMPUTED_VALUE"""),1065.6)</f>
        <v>1065.5999999999999</v>
      </c>
      <c r="AH54" s="6" t="str">
        <f t="shared" ca="1" si="12"/>
        <v>20182</v>
      </c>
      <c r="AI54" s="6">
        <f t="shared" ca="1" si="13"/>
        <v>2018</v>
      </c>
      <c r="AJ54" s="6">
        <f t="shared" ca="1" si="14"/>
        <v>2</v>
      </c>
      <c r="AK54" s="68">
        <f ca="1">IFERROR(__xludf.DUMMYFUNCTION("""COMPUTED_VALUE"""),43145.9986111111)</f>
        <v>43145.998611111099</v>
      </c>
      <c r="AL54" s="6">
        <f ca="1">IFERROR(__xludf.DUMMYFUNCTION("""COMPUTED_VALUE"""),9285.3)</f>
        <v>9285.2999999999993</v>
      </c>
      <c r="AP54" s="6" t="str">
        <f t="shared" ca="1" si="15"/>
        <v>20183</v>
      </c>
      <c r="AQ54" s="6">
        <f t="shared" ca="1" si="16"/>
        <v>2018</v>
      </c>
      <c r="AR54" s="6">
        <f t="shared" ca="1" si="17"/>
        <v>3</v>
      </c>
      <c r="AS54" s="68">
        <f ca="1">IFERROR(__xludf.DUMMYFUNCTION("""COMPUTED_VALUE"""),43168.9986111111)</f>
        <v>43168.998611111099</v>
      </c>
      <c r="AT54" s="6">
        <f ca="1">IFERROR(__xludf.DUMMYFUNCTION("""COMPUTED_VALUE"""),1324)</f>
        <v>1324</v>
      </c>
    </row>
    <row r="55" spans="2:46" x14ac:dyDescent="0.35">
      <c r="B55" s="6" t="str">
        <f t="shared" ca="1" si="0"/>
        <v>20183</v>
      </c>
      <c r="C55" s="6">
        <f t="shared" ca="1" si="1"/>
        <v>2018</v>
      </c>
      <c r="D55" s="6">
        <f t="shared" ca="1" si="2"/>
        <v>3</v>
      </c>
      <c r="E55" s="68">
        <f ca="1">IFERROR(__xludf.DUMMYFUNCTION("""COMPUTED_VALUE"""),43171.6666666666)</f>
        <v>43171.666666666599</v>
      </c>
      <c r="F55" s="6">
        <f ca="1">IFERROR(__xludf.DUMMYFUNCTION("""COMPUTED_VALUE"""),2783.02)</f>
        <v>2783.02</v>
      </c>
      <c r="J55" s="6" t="str">
        <f t="shared" ca="1" si="3"/>
        <v>20183</v>
      </c>
      <c r="K55" s="6">
        <f t="shared" ca="1" si="4"/>
        <v>2018</v>
      </c>
      <c r="L55" s="6">
        <f t="shared" ca="1" si="5"/>
        <v>3</v>
      </c>
      <c r="M55" s="68">
        <f ca="1">IFERROR(__xludf.DUMMYFUNCTION("""COMPUTED_VALUE"""),43171.6666666666)</f>
        <v>43171.666666666599</v>
      </c>
      <c r="N55" s="6">
        <f ca="1">IFERROR(__xludf.DUMMYFUNCTION("""COMPUTED_VALUE"""),7588.33)</f>
        <v>7588.33</v>
      </c>
      <c r="R55" s="6" t="str">
        <f t="shared" ca="1" si="6"/>
        <v>20183</v>
      </c>
      <c r="S55" s="6">
        <f t="shared" ca="1" si="7"/>
        <v>2018</v>
      </c>
      <c r="T55" s="6">
        <f t="shared" ca="1" si="8"/>
        <v>3</v>
      </c>
      <c r="U55" s="68">
        <f ca="1">IFERROR(__xludf.DUMMYFUNCTION("""COMPUTED_VALUE"""),43173.6458333333)</f>
        <v>43173.645833333299</v>
      </c>
      <c r="V55" s="6">
        <f ca="1">IFERROR(__xludf.DUMMYFUNCTION("""COMPUTED_VALUE"""),2486.08)</f>
        <v>2486.08</v>
      </c>
      <c r="Z55" s="6" t="str">
        <f t="shared" ca="1" si="9"/>
        <v>20182</v>
      </c>
      <c r="AA55" s="6">
        <f t="shared" ca="1" si="10"/>
        <v>2018</v>
      </c>
      <c r="AB55" s="6">
        <f t="shared" ca="1" si="11"/>
        <v>2</v>
      </c>
      <c r="AC55" s="68">
        <f ca="1">IFERROR(__xludf.DUMMYFUNCTION("""COMPUTED_VALUE"""),43148.9986111111)</f>
        <v>43148.998611111099</v>
      </c>
      <c r="AD55" s="6">
        <f ca="1">IFERROR(__xludf.DUMMYFUNCTION("""COMPUTED_VALUE"""),1065.6)</f>
        <v>1065.5999999999999</v>
      </c>
      <c r="AH55" s="6" t="str">
        <f t="shared" ca="1" si="12"/>
        <v>20182</v>
      </c>
      <c r="AI55" s="6">
        <f t="shared" ca="1" si="13"/>
        <v>2018</v>
      </c>
      <c r="AJ55" s="6">
        <f t="shared" ca="1" si="14"/>
        <v>2</v>
      </c>
      <c r="AK55" s="68">
        <f ca="1">IFERROR(__xludf.DUMMYFUNCTION("""COMPUTED_VALUE"""),43146.9986111111)</f>
        <v>43146.998611111099</v>
      </c>
      <c r="AL55" s="6">
        <f ca="1">IFERROR(__xludf.DUMMYFUNCTION("""COMPUTED_VALUE"""),9875.07)</f>
        <v>9875.07</v>
      </c>
      <c r="AP55" s="6" t="str">
        <f t="shared" ca="1" si="15"/>
        <v>20183</v>
      </c>
      <c r="AQ55" s="6">
        <f t="shared" ca="1" si="16"/>
        <v>2018</v>
      </c>
      <c r="AR55" s="6">
        <f t="shared" ca="1" si="17"/>
        <v>3</v>
      </c>
      <c r="AS55" s="68">
        <f ca="1">IFERROR(__xludf.DUMMYFUNCTION("""COMPUTED_VALUE"""),43171.9986111111)</f>
        <v>43171.998611111099</v>
      </c>
      <c r="AT55" s="6">
        <f ca="1">IFERROR(__xludf.DUMMYFUNCTION("""COMPUTED_VALUE"""),1320.8)</f>
        <v>1320.8</v>
      </c>
    </row>
    <row r="56" spans="2:46" x14ac:dyDescent="0.35">
      <c r="B56" s="6" t="str">
        <f t="shared" ca="1" si="0"/>
        <v>20183</v>
      </c>
      <c r="C56" s="6">
        <f t="shared" ca="1" si="1"/>
        <v>2018</v>
      </c>
      <c r="D56" s="6">
        <f t="shared" ca="1" si="2"/>
        <v>3</v>
      </c>
      <c r="E56" s="68">
        <f ca="1">IFERROR(__xludf.DUMMYFUNCTION("""COMPUTED_VALUE"""),43172.6666666666)</f>
        <v>43172.666666666599</v>
      </c>
      <c r="F56" s="6">
        <f ca="1">IFERROR(__xludf.DUMMYFUNCTION("""COMPUTED_VALUE"""),2765.31)</f>
        <v>2765.31</v>
      </c>
      <c r="J56" s="6" t="str">
        <f t="shared" ca="1" si="3"/>
        <v>20183</v>
      </c>
      <c r="K56" s="6">
        <f t="shared" ca="1" si="4"/>
        <v>2018</v>
      </c>
      <c r="L56" s="6">
        <f t="shared" ca="1" si="5"/>
        <v>3</v>
      </c>
      <c r="M56" s="68">
        <f ca="1">IFERROR(__xludf.DUMMYFUNCTION("""COMPUTED_VALUE"""),43172.6666666666)</f>
        <v>43172.666666666599</v>
      </c>
      <c r="N56" s="6">
        <f ca="1">IFERROR(__xludf.DUMMYFUNCTION("""COMPUTED_VALUE"""),7511.01)</f>
        <v>7511.01</v>
      </c>
      <c r="R56" s="6" t="str">
        <f t="shared" ca="1" si="6"/>
        <v>20183</v>
      </c>
      <c r="S56" s="6">
        <f t="shared" ca="1" si="7"/>
        <v>2018</v>
      </c>
      <c r="T56" s="6">
        <f t="shared" ca="1" si="8"/>
        <v>3</v>
      </c>
      <c r="U56" s="68">
        <f ca="1">IFERROR(__xludf.DUMMYFUNCTION("""COMPUTED_VALUE"""),43174.6458333333)</f>
        <v>43174.645833333299</v>
      </c>
      <c r="V56" s="6">
        <f ca="1">IFERROR(__xludf.DUMMYFUNCTION("""COMPUTED_VALUE"""),2492.38)</f>
        <v>2492.38</v>
      </c>
      <c r="Z56" s="6" t="str">
        <f t="shared" ca="1" si="9"/>
        <v>20182</v>
      </c>
      <c r="AA56" s="6">
        <f t="shared" ca="1" si="10"/>
        <v>2018</v>
      </c>
      <c r="AB56" s="6">
        <f t="shared" ca="1" si="11"/>
        <v>2</v>
      </c>
      <c r="AC56" s="68">
        <f ca="1">IFERROR(__xludf.DUMMYFUNCTION("""COMPUTED_VALUE"""),43149.9986111111)</f>
        <v>43149.998611111099</v>
      </c>
      <c r="AD56" s="6">
        <f ca="1">IFERROR(__xludf.DUMMYFUNCTION("""COMPUTED_VALUE"""),1065.63)</f>
        <v>1065.6300000000001</v>
      </c>
      <c r="AH56" s="6" t="str">
        <f t="shared" ca="1" si="12"/>
        <v>20182</v>
      </c>
      <c r="AI56" s="6">
        <f t="shared" ca="1" si="13"/>
        <v>2018</v>
      </c>
      <c r="AJ56" s="6">
        <f t="shared" ca="1" si="14"/>
        <v>2</v>
      </c>
      <c r="AK56" s="68">
        <f ca="1">IFERROR(__xludf.DUMMYFUNCTION("""COMPUTED_VALUE"""),43147.9986111111)</f>
        <v>43147.998611111099</v>
      </c>
      <c r="AL56" s="6">
        <f ca="1">IFERROR(__xludf.DUMMYFUNCTION("""COMPUTED_VALUE"""),10081.91)</f>
        <v>10081.91</v>
      </c>
      <c r="AP56" s="6" t="str">
        <f t="shared" ca="1" si="15"/>
        <v>20183</v>
      </c>
      <c r="AQ56" s="6">
        <f t="shared" ca="1" si="16"/>
        <v>2018</v>
      </c>
      <c r="AR56" s="6">
        <f t="shared" ca="1" si="17"/>
        <v>3</v>
      </c>
      <c r="AS56" s="68">
        <f ca="1">IFERROR(__xludf.DUMMYFUNCTION("""COMPUTED_VALUE"""),43172.9986111111)</f>
        <v>43172.998611111099</v>
      </c>
      <c r="AT56" s="6">
        <f ca="1">IFERROR(__xludf.DUMMYFUNCTION("""COMPUTED_VALUE"""),1327.1)</f>
        <v>1327.1</v>
      </c>
    </row>
    <row r="57" spans="2:46" x14ac:dyDescent="0.35">
      <c r="B57" s="6" t="str">
        <f t="shared" ca="1" si="0"/>
        <v>20183</v>
      </c>
      <c r="C57" s="6">
        <f t="shared" ca="1" si="1"/>
        <v>2018</v>
      </c>
      <c r="D57" s="6">
        <f t="shared" ca="1" si="2"/>
        <v>3</v>
      </c>
      <c r="E57" s="68">
        <f ca="1">IFERROR(__xludf.DUMMYFUNCTION("""COMPUTED_VALUE"""),43173.6666666666)</f>
        <v>43173.666666666599</v>
      </c>
      <c r="F57" s="6">
        <f ca="1">IFERROR(__xludf.DUMMYFUNCTION("""COMPUTED_VALUE"""),2749.48)</f>
        <v>2749.48</v>
      </c>
      <c r="J57" s="6" t="str">
        <f t="shared" ca="1" si="3"/>
        <v>20183</v>
      </c>
      <c r="K57" s="6">
        <f t="shared" ca="1" si="4"/>
        <v>2018</v>
      </c>
      <c r="L57" s="6">
        <f t="shared" ca="1" si="5"/>
        <v>3</v>
      </c>
      <c r="M57" s="68">
        <f ca="1">IFERROR(__xludf.DUMMYFUNCTION("""COMPUTED_VALUE"""),43173.6666666666)</f>
        <v>43173.666666666599</v>
      </c>
      <c r="N57" s="6">
        <f ca="1">IFERROR(__xludf.DUMMYFUNCTION("""COMPUTED_VALUE"""),7496.81)</f>
        <v>7496.81</v>
      </c>
      <c r="R57" s="6" t="str">
        <f t="shared" ca="1" si="6"/>
        <v>20183</v>
      </c>
      <c r="S57" s="6">
        <f t="shared" ca="1" si="7"/>
        <v>2018</v>
      </c>
      <c r="T57" s="6">
        <f t="shared" ca="1" si="8"/>
        <v>3</v>
      </c>
      <c r="U57" s="68">
        <f ca="1">IFERROR(__xludf.DUMMYFUNCTION("""COMPUTED_VALUE"""),43175.6458333333)</f>
        <v>43175.645833333299</v>
      </c>
      <c r="V57" s="6">
        <f ca="1">IFERROR(__xludf.DUMMYFUNCTION("""COMPUTED_VALUE"""),2493.97)</f>
        <v>2493.9699999999998</v>
      </c>
      <c r="Z57" s="6" t="str">
        <f t="shared" ca="1" si="9"/>
        <v>20182</v>
      </c>
      <c r="AA57" s="6">
        <f t="shared" ca="1" si="10"/>
        <v>2018</v>
      </c>
      <c r="AB57" s="6">
        <f t="shared" ca="1" si="11"/>
        <v>2</v>
      </c>
      <c r="AC57" s="68">
        <f ca="1">IFERROR(__xludf.DUMMYFUNCTION("""COMPUTED_VALUE"""),43150.9986111111)</f>
        <v>43150.998611111099</v>
      </c>
      <c r="AD57" s="6">
        <f ca="1">IFERROR(__xludf.DUMMYFUNCTION("""COMPUTED_VALUE"""),1066.71)</f>
        <v>1066.71</v>
      </c>
      <c r="AH57" s="6" t="str">
        <f t="shared" ca="1" si="12"/>
        <v>20182</v>
      </c>
      <c r="AI57" s="6">
        <f t="shared" ca="1" si="13"/>
        <v>2018</v>
      </c>
      <c r="AJ57" s="6">
        <f t="shared" ca="1" si="14"/>
        <v>2</v>
      </c>
      <c r="AK57" s="68">
        <f ca="1">IFERROR(__xludf.DUMMYFUNCTION("""COMPUTED_VALUE"""),43148.9986111111)</f>
        <v>43148.998611111099</v>
      </c>
      <c r="AL57" s="6">
        <f ca="1">IFERROR(__xludf.DUMMYFUNCTION("""COMPUTED_VALUE"""),11128.61)</f>
        <v>11128.61</v>
      </c>
      <c r="AP57" s="6" t="str">
        <f t="shared" ca="1" si="15"/>
        <v>20183</v>
      </c>
      <c r="AQ57" s="6">
        <f t="shared" ca="1" si="16"/>
        <v>2018</v>
      </c>
      <c r="AR57" s="6">
        <f t="shared" ca="1" si="17"/>
        <v>3</v>
      </c>
      <c r="AS57" s="68">
        <f ca="1">IFERROR(__xludf.DUMMYFUNCTION("""COMPUTED_VALUE"""),43173.9986111111)</f>
        <v>43173.998611111099</v>
      </c>
      <c r="AT57" s="6">
        <f ca="1">IFERROR(__xludf.DUMMYFUNCTION("""COMPUTED_VALUE"""),1325.6)</f>
        <v>1325.6</v>
      </c>
    </row>
    <row r="58" spans="2:46" x14ac:dyDescent="0.35">
      <c r="B58" s="6" t="str">
        <f t="shared" ca="1" si="0"/>
        <v>20183</v>
      </c>
      <c r="C58" s="6">
        <f t="shared" ca="1" si="1"/>
        <v>2018</v>
      </c>
      <c r="D58" s="6">
        <f t="shared" ca="1" si="2"/>
        <v>3</v>
      </c>
      <c r="E58" s="68">
        <f ca="1">IFERROR(__xludf.DUMMYFUNCTION("""COMPUTED_VALUE"""),43174.6666666666)</f>
        <v>43174.666666666599</v>
      </c>
      <c r="F58" s="6">
        <f ca="1">IFERROR(__xludf.DUMMYFUNCTION("""COMPUTED_VALUE"""),2747.33)</f>
        <v>2747.33</v>
      </c>
      <c r="J58" s="6" t="str">
        <f t="shared" ca="1" si="3"/>
        <v>20183</v>
      </c>
      <c r="K58" s="6">
        <f t="shared" ca="1" si="4"/>
        <v>2018</v>
      </c>
      <c r="L58" s="6">
        <f t="shared" ca="1" si="5"/>
        <v>3</v>
      </c>
      <c r="M58" s="68">
        <f ca="1">IFERROR(__xludf.DUMMYFUNCTION("""COMPUTED_VALUE"""),43174.6666666666)</f>
        <v>43174.666666666599</v>
      </c>
      <c r="N58" s="6">
        <f ca="1">IFERROR(__xludf.DUMMYFUNCTION("""COMPUTED_VALUE"""),7481.74)</f>
        <v>7481.74</v>
      </c>
      <c r="R58" s="6" t="str">
        <f t="shared" ca="1" si="6"/>
        <v>20183</v>
      </c>
      <c r="S58" s="6">
        <f t="shared" ca="1" si="7"/>
        <v>2018</v>
      </c>
      <c r="T58" s="6">
        <f t="shared" ca="1" si="8"/>
        <v>3</v>
      </c>
      <c r="U58" s="68">
        <f ca="1">IFERROR(__xludf.DUMMYFUNCTION("""COMPUTED_VALUE"""),43178.6458333333)</f>
        <v>43178.645833333299</v>
      </c>
      <c r="V58" s="6">
        <f ca="1">IFERROR(__xludf.DUMMYFUNCTION("""COMPUTED_VALUE"""),2475.03)</f>
        <v>2475.0300000000002</v>
      </c>
      <c r="Z58" s="6" t="str">
        <f t="shared" ca="1" si="9"/>
        <v>20182</v>
      </c>
      <c r="AA58" s="6">
        <f t="shared" ca="1" si="10"/>
        <v>2018</v>
      </c>
      <c r="AB58" s="6">
        <f t="shared" ca="1" si="11"/>
        <v>2</v>
      </c>
      <c r="AC58" s="68">
        <f ca="1">IFERROR(__xludf.DUMMYFUNCTION("""COMPUTED_VALUE"""),43151.9986111111)</f>
        <v>43151.998611111099</v>
      </c>
      <c r="AD58" s="6">
        <f ca="1">IFERROR(__xludf.DUMMYFUNCTION("""COMPUTED_VALUE"""),1072.54)</f>
        <v>1072.54</v>
      </c>
      <c r="AH58" s="6" t="str">
        <f t="shared" ca="1" si="12"/>
        <v>20182</v>
      </c>
      <c r="AI58" s="6">
        <f t="shared" ca="1" si="13"/>
        <v>2018</v>
      </c>
      <c r="AJ58" s="6">
        <f t="shared" ca="1" si="14"/>
        <v>2</v>
      </c>
      <c r="AK58" s="68">
        <f ca="1">IFERROR(__xludf.DUMMYFUNCTION("""COMPUTED_VALUE"""),43149.9986111111)</f>
        <v>43149.998611111099</v>
      </c>
      <c r="AL58" s="6">
        <f ca="1">IFERROR(__xludf.DUMMYFUNCTION("""COMPUTED_VALUE"""),10445.96)</f>
        <v>10445.959999999999</v>
      </c>
      <c r="AP58" s="6" t="str">
        <f t="shared" ca="1" si="15"/>
        <v>20183</v>
      </c>
      <c r="AQ58" s="6">
        <f t="shared" ca="1" si="16"/>
        <v>2018</v>
      </c>
      <c r="AR58" s="6">
        <f t="shared" ca="1" si="17"/>
        <v>3</v>
      </c>
      <c r="AS58" s="68">
        <f ca="1">IFERROR(__xludf.DUMMYFUNCTION("""COMPUTED_VALUE"""),43174.9986111111)</f>
        <v>43174.998611111099</v>
      </c>
      <c r="AT58" s="6">
        <f ca="1">IFERROR(__xludf.DUMMYFUNCTION("""COMPUTED_VALUE"""),1317.8)</f>
        <v>1317.8</v>
      </c>
    </row>
    <row r="59" spans="2:46" x14ac:dyDescent="0.35">
      <c r="B59" s="6" t="str">
        <f t="shared" ca="1" si="0"/>
        <v>20183</v>
      </c>
      <c r="C59" s="6">
        <f t="shared" ca="1" si="1"/>
        <v>2018</v>
      </c>
      <c r="D59" s="6">
        <f t="shared" ca="1" si="2"/>
        <v>3</v>
      </c>
      <c r="E59" s="68">
        <f ca="1">IFERROR(__xludf.DUMMYFUNCTION("""COMPUTED_VALUE"""),43175.6666666666)</f>
        <v>43175.666666666599</v>
      </c>
      <c r="F59" s="6">
        <f ca="1">IFERROR(__xludf.DUMMYFUNCTION("""COMPUTED_VALUE"""),2752.01)</f>
        <v>2752.01</v>
      </c>
      <c r="J59" s="6" t="str">
        <f t="shared" ca="1" si="3"/>
        <v>20183</v>
      </c>
      <c r="K59" s="6">
        <f t="shared" ca="1" si="4"/>
        <v>2018</v>
      </c>
      <c r="L59" s="6">
        <f t="shared" ca="1" si="5"/>
        <v>3</v>
      </c>
      <c r="M59" s="68">
        <f ca="1">IFERROR(__xludf.DUMMYFUNCTION("""COMPUTED_VALUE"""),43175.6666666666)</f>
        <v>43175.666666666599</v>
      </c>
      <c r="N59" s="6">
        <f ca="1">IFERROR(__xludf.DUMMYFUNCTION("""COMPUTED_VALUE"""),7481.99)</f>
        <v>7481.99</v>
      </c>
      <c r="R59" s="6" t="str">
        <f t="shared" ca="1" si="6"/>
        <v>20183</v>
      </c>
      <c r="S59" s="6">
        <f t="shared" ca="1" si="7"/>
        <v>2018</v>
      </c>
      <c r="T59" s="6">
        <f t="shared" ca="1" si="8"/>
        <v>3</v>
      </c>
      <c r="U59" s="68">
        <f ca="1">IFERROR(__xludf.DUMMYFUNCTION("""COMPUTED_VALUE"""),43179.6458333333)</f>
        <v>43179.645833333299</v>
      </c>
      <c r="V59" s="6">
        <f ca="1">IFERROR(__xludf.DUMMYFUNCTION("""COMPUTED_VALUE"""),2485.52)</f>
        <v>2485.52</v>
      </c>
      <c r="Z59" s="6" t="str">
        <f t="shared" ca="1" si="9"/>
        <v>20182</v>
      </c>
      <c r="AA59" s="6">
        <f t="shared" ca="1" si="10"/>
        <v>2018</v>
      </c>
      <c r="AB59" s="6">
        <f t="shared" ca="1" si="11"/>
        <v>2</v>
      </c>
      <c r="AC59" s="68">
        <f ca="1">IFERROR(__xludf.DUMMYFUNCTION("""COMPUTED_VALUE"""),43152.9986111111)</f>
        <v>43152.998611111099</v>
      </c>
      <c r="AD59" s="6">
        <f ca="1">IFERROR(__xludf.DUMMYFUNCTION("""COMPUTED_VALUE"""),1074.86)</f>
        <v>1074.8599999999999</v>
      </c>
      <c r="AH59" s="6" t="str">
        <f t="shared" ca="1" si="12"/>
        <v>20182</v>
      </c>
      <c r="AI59" s="6">
        <f t="shared" ca="1" si="13"/>
        <v>2018</v>
      </c>
      <c r="AJ59" s="6">
        <f t="shared" ca="1" si="14"/>
        <v>2</v>
      </c>
      <c r="AK59" s="68">
        <f ca="1">IFERROR(__xludf.DUMMYFUNCTION("""COMPUTED_VALUE"""),43150.9986111111)</f>
        <v>43150.998611111099</v>
      </c>
      <c r="AL59" s="6">
        <f ca="1">IFERROR(__xludf.DUMMYFUNCTION("""COMPUTED_VALUE"""),11432.59)</f>
        <v>11432.59</v>
      </c>
      <c r="AP59" s="6" t="str">
        <f t="shared" ca="1" si="15"/>
        <v>20183</v>
      </c>
      <c r="AQ59" s="6">
        <f t="shared" ca="1" si="16"/>
        <v>2018</v>
      </c>
      <c r="AR59" s="6">
        <f t="shared" ca="1" si="17"/>
        <v>3</v>
      </c>
      <c r="AS59" s="68">
        <f ca="1">IFERROR(__xludf.DUMMYFUNCTION("""COMPUTED_VALUE"""),43175.9986111111)</f>
        <v>43175.998611111099</v>
      </c>
      <c r="AT59" s="6">
        <f ca="1">IFERROR(__xludf.DUMMYFUNCTION("""COMPUTED_VALUE"""),1312.3)</f>
        <v>1312.3</v>
      </c>
    </row>
    <row r="60" spans="2:46" x14ac:dyDescent="0.35">
      <c r="B60" s="6" t="str">
        <f t="shared" ca="1" si="0"/>
        <v>20183</v>
      </c>
      <c r="C60" s="6">
        <f t="shared" ca="1" si="1"/>
        <v>2018</v>
      </c>
      <c r="D60" s="6">
        <f t="shared" ca="1" si="2"/>
        <v>3</v>
      </c>
      <c r="E60" s="68">
        <f ca="1">IFERROR(__xludf.DUMMYFUNCTION("""COMPUTED_VALUE"""),43178.6666666666)</f>
        <v>43178.666666666599</v>
      </c>
      <c r="F60" s="6">
        <f ca="1">IFERROR(__xludf.DUMMYFUNCTION("""COMPUTED_VALUE"""),2712.92)</f>
        <v>2712.92</v>
      </c>
      <c r="J60" s="6" t="str">
        <f t="shared" ca="1" si="3"/>
        <v>20183</v>
      </c>
      <c r="K60" s="6">
        <f t="shared" ca="1" si="4"/>
        <v>2018</v>
      </c>
      <c r="L60" s="6">
        <f t="shared" ca="1" si="5"/>
        <v>3</v>
      </c>
      <c r="M60" s="68">
        <f ca="1">IFERROR(__xludf.DUMMYFUNCTION("""COMPUTED_VALUE"""),43178.6666666666)</f>
        <v>43178.666666666599</v>
      </c>
      <c r="N60" s="6">
        <f ca="1">IFERROR(__xludf.DUMMYFUNCTION("""COMPUTED_VALUE"""),7344.24)</f>
        <v>7344.24</v>
      </c>
      <c r="R60" s="6" t="str">
        <f t="shared" ca="1" si="6"/>
        <v>20183</v>
      </c>
      <c r="S60" s="6">
        <f t="shared" ca="1" si="7"/>
        <v>2018</v>
      </c>
      <c r="T60" s="6">
        <f t="shared" ca="1" si="8"/>
        <v>3</v>
      </c>
      <c r="U60" s="68">
        <f ca="1">IFERROR(__xludf.DUMMYFUNCTION("""COMPUTED_VALUE"""),43180.6458333333)</f>
        <v>43180.645833333299</v>
      </c>
      <c r="V60" s="6">
        <f ca="1">IFERROR(__xludf.DUMMYFUNCTION("""COMPUTED_VALUE"""),2484.97)</f>
        <v>2484.9699999999998</v>
      </c>
      <c r="Z60" s="6" t="str">
        <f t="shared" ca="1" si="9"/>
        <v>20182</v>
      </c>
      <c r="AA60" s="6">
        <f t="shared" ca="1" si="10"/>
        <v>2018</v>
      </c>
      <c r="AB60" s="6">
        <f t="shared" ca="1" si="11"/>
        <v>2</v>
      </c>
      <c r="AC60" s="68">
        <f ca="1">IFERROR(__xludf.DUMMYFUNCTION("""COMPUTED_VALUE"""),43153.9986111111)</f>
        <v>43153.998611111099</v>
      </c>
      <c r="AD60" s="6">
        <f ca="1">IFERROR(__xludf.DUMMYFUNCTION("""COMPUTED_VALUE"""),1080.08)</f>
        <v>1080.08</v>
      </c>
      <c r="AH60" s="6" t="str">
        <f t="shared" ca="1" si="12"/>
        <v>20182</v>
      </c>
      <c r="AI60" s="6">
        <f t="shared" ca="1" si="13"/>
        <v>2018</v>
      </c>
      <c r="AJ60" s="6">
        <f t="shared" ca="1" si="14"/>
        <v>2</v>
      </c>
      <c r="AK60" s="68">
        <f ca="1">IFERROR(__xludf.DUMMYFUNCTION("""COMPUTED_VALUE"""),43151.9986111111)</f>
        <v>43151.998611111099</v>
      </c>
      <c r="AL60" s="6">
        <f ca="1">IFERROR(__xludf.DUMMYFUNCTION("""COMPUTED_VALUE"""),11698.86)</f>
        <v>11698.86</v>
      </c>
      <c r="AP60" s="6" t="str">
        <f t="shared" ca="1" si="15"/>
        <v>20183</v>
      </c>
      <c r="AQ60" s="6">
        <f t="shared" ca="1" si="16"/>
        <v>2018</v>
      </c>
      <c r="AR60" s="6">
        <f t="shared" ca="1" si="17"/>
        <v>3</v>
      </c>
      <c r="AS60" s="68">
        <f ca="1">IFERROR(__xludf.DUMMYFUNCTION("""COMPUTED_VALUE"""),43178.9986111111)</f>
        <v>43178.998611111099</v>
      </c>
      <c r="AT60" s="6">
        <f ca="1">IFERROR(__xludf.DUMMYFUNCTION("""COMPUTED_VALUE"""),1317.8)</f>
        <v>1317.8</v>
      </c>
    </row>
    <row r="61" spans="2:46" x14ac:dyDescent="0.35">
      <c r="B61" s="6" t="str">
        <f t="shared" ca="1" si="0"/>
        <v>20183</v>
      </c>
      <c r="C61" s="6">
        <f t="shared" ca="1" si="1"/>
        <v>2018</v>
      </c>
      <c r="D61" s="6">
        <f t="shared" ca="1" si="2"/>
        <v>3</v>
      </c>
      <c r="E61" s="68">
        <f ca="1">IFERROR(__xludf.DUMMYFUNCTION("""COMPUTED_VALUE"""),43179.6666666666)</f>
        <v>43179.666666666599</v>
      </c>
      <c r="F61" s="6">
        <f ca="1">IFERROR(__xludf.DUMMYFUNCTION("""COMPUTED_VALUE"""),2716.94)</f>
        <v>2716.94</v>
      </c>
      <c r="J61" s="6" t="str">
        <f t="shared" ca="1" si="3"/>
        <v>20183</v>
      </c>
      <c r="K61" s="6">
        <f t="shared" ca="1" si="4"/>
        <v>2018</v>
      </c>
      <c r="L61" s="6">
        <f t="shared" ca="1" si="5"/>
        <v>3</v>
      </c>
      <c r="M61" s="68">
        <f ca="1">IFERROR(__xludf.DUMMYFUNCTION("""COMPUTED_VALUE"""),43179.6666666666)</f>
        <v>43179.666666666599</v>
      </c>
      <c r="N61" s="6">
        <f ca="1">IFERROR(__xludf.DUMMYFUNCTION("""COMPUTED_VALUE"""),7364.3)</f>
        <v>7364.3</v>
      </c>
      <c r="R61" s="6" t="str">
        <f t="shared" ca="1" si="6"/>
        <v>20183</v>
      </c>
      <c r="S61" s="6">
        <f t="shared" ca="1" si="7"/>
        <v>2018</v>
      </c>
      <c r="T61" s="6">
        <f t="shared" ca="1" si="8"/>
        <v>3</v>
      </c>
      <c r="U61" s="68">
        <f ca="1">IFERROR(__xludf.DUMMYFUNCTION("""COMPUTED_VALUE"""),43181.6458333333)</f>
        <v>43181.645833333299</v>
      </c>
      <c r="V61" s="6">
        <f ca="1">IFERROR(__xludf.DUMMYFUNCTION("""COMPUTED_VALUE"""),2496.02)</f>
        <v>2496.02</v>
      </c>
      <c r="Z61" s="6" t="str">
        <f t="shared" ca="1" si="9"/>
        <v>20182</v>
      </c>
      <c r="AA61" s="6">
        <f t="shared" ca="1" si="10"/>
        <v>2018</v>
      </c>
      <c r="AB61" s="6">
        <f t="shared" ca="1" si="11"/>
        <v>2</v>
      </c>
      <c r="AC61" s="68">
        <f ca="1">IFERROR(__xludf.DUMMYFUNCTION("""COMPUTED_VALUE"""),43154.9986111111)</f>
        <v>43154.998611111099</v>
      </c>
      <c r="AD61" s="6">
        <f ca="1">IFERROR(__xludf.DUMMYFUNCTION("""COMPUTED_VALUE"""),1075.85)</f>
        <v>1075.8499999999999</v>
      </c>
      <c r="AH61" s="6" t="str">
        <f t="shared" ca="1" si="12"/>
        <v>20182</v>
      </c>
      <c r="AI61" s="6">
        <f t="shared" ca="1" si="13"/>
        <v>2018</v>
      </c>
      <c r="AJ61" s="6">
        <f t="shared" ca="1" si="14"/>
        <v>2</v>
      </c>
      <c r="AK61" s="68">
        <f ca="1">IFERROR(__xludf.DUMMYFUNCTION("""COMPUTED_VALUE"""),43152.9986111111)</f>
        <v>43152.998611111099</v>
      </c>
      <c r="AL61" s="6">
        <f ca="1">IFERROR(__xludf.DUMMYFUNCTION("""COMPUTED_VALUE"""),10281.63)</f>
        <v>10281.629999999999</v>
      </c>
      <c r="AP61" s="6" t="str">
        <f t="shared" ca="1" si="15"/>
        <v>20183</v>
      </c>
      <c r="AQ61" s="6">
        <f t="shared" ca="1" si="16"/>
        <v>2018</v>
      </c>
      <c r="AR61" s="6">
        <f t="shared" ca="1" si="17"/>
        <v>3</v>
      </c>
      <c r="AS61" s="68">
        <f ca="1">IFERROR(__xludf.DUMMYFUNCTION("""COMPUTED_VALUE"""),43179.9986111111)</f>
        <v>43179.998611111099</v>
      </c>
      <c r="AT61" s="6">
        <f ca="1">IFERROR(__xludf.DUMMYFUNCTION("""COMPUTED_VALUE"""),1311.9)</f>
        <v>1311.9</v>
      </c>
    </row>
    <row r="62" spans="2:46" x14ac:dyDescent="0.35">
      <c r="B62" s="6" t="str">
        <f t="shared" ca="1" si="0"/>
        <v>20183</v>
      </c>
      <c r="C62" s="6">
        <f t="shared" ca="1" si="1"/>
        <v>2018</v>
      </c>
      <c r="D62" s="6">
        <f t="shared" ca="1" si="2"/>
        <v>3</v>
      </c>
      <c r="E62" s="68">
        <f ca="1">IFERROR(__xludf.DUMMYFUNCTION("""COMPUTED_VALUE"""),43180.6666666666)</f>
        <v>43180.666666666599</v>
      </c>
      <c r="F62" s="6">
        <f ca="1">IFERROR(__xludf.DUMMYFUNCTION("""COMPUTED_VALUE"""),2711.93)</f>
        <v>2711.93</v>
      </c>
      <c r="J62" s="6" t="str">
        <f t="shared" ca="1" si="3"/>
        <v>20183</v>
      </c>
      <c r="K62" s="6">
        <f t="shared" ca="1" si="4"/>
        <v>2018</v>
      </c>
      <c r="L62" s="6">
        <f t="shared" ca="1" si="5"/>
        <v>3</v>
      </c>
      <c r="M62" s="68">
        <f ca="1">IFERROR(__xludf.DUMMYFUNCTION("""COMPUTED_VALUE"""),43180.6666666666)</f>
        <v>43180.666666666599</v>
      </c>
      <c r="N62" s="6">
        <f ca="1">IFERROR(__xludf.DUMMYFUNCTION("""COMPUTED_VALUE"""),7345.29)</f>
        <v>7345.29</v>
      </c>
      <c r="R62" s="6" t="str">
        <f t="shared" ca="1" si="6"/>
        <v>20183</v>
      </c>
      <c r="S62" s="6">
        <f t="shared" ca="1" si="7"/>
        <v>2018</v>
      </c>
      <c r="T62" s="6">
        <f t="shared" ca="1" si="8"/>
        <v>3</v>
      </c>
      <c r="U62" s="68">
        <f ca="1">IFERROR(__xludf.DUMMYFUNCTION("""COMPUTED_VALUE"""),43182.6458333333)</f>
        <v>43182.645833333299</v>
      </c>
      <c r="V62" s="6">
        <f ca="1">IFERROR(__xludf.DUMMYFUNCTION("""COMPUTED_VALUE"""),2416.76)</f>
        <v>2416.7600000000002</v>
      </c>
      <c r="Z62" s="6" t="str">
        <f t="shared" ca="1" si="9"/>
        <v>20182</v>
      </c>
      <c r="AA62" s="6">
        <f t="shared" ca="1" si="10"/>
        <v>2018</v>
      </c>
      <c r="AB62" s="6">
        <f t="shared" ca="1" si="11"/>
        <v>2</v>
      </c>
      <c r="AC62" s="68">
        <f ca="1">IFERROR(__xludf.DUMMYFUNCTION("""COMPUTED_VALUE"""),43155.9986111111)</f>
        <v>43155.998611111099</v>
      </c>
      <c r="AD62" s="6">
        <f ca="1">IFERROR(__xludf.DUMMYFUNCTION("""COMPUTED_VALUE"""),1075)</f>
        <v>1075</v>
      </c>
      <c r="AH62" s="6" t="str">
        <f t="shared" ca="1" si="12"/>
        <v>20182</v>
      </c>
      <c r="AI62" s="6">
        <f t="shared" ca="1" si="13"/>
        <v>2018</v>
      </c>
      <c r="AJ62" s="6">
        <f t="shared" ca="1" si="14"/>
        <v>2</v>
      </c>
      <c r="AK62" s="68">
        <f ca="1">IFERROR(__xludf.DUMMYFUNCTION("""COMPUTED_VALUE"""),43153.9986111111)</f>
        <v>43153.998611111099</v>
      </c>
      <c r="AL62" s="6">
        <f ca="1">IFERROR(__xludf.DUMMYFUNCTION("""COMPUTED_VALUE"""),9909.06)</f>
        <v>9909.06</v>
      </c>
      <c r="AP62" s="6" t="str">
        <f t="shared" ca="1" si="15"/>
        <v>20183</v>
      </c>
      <c r="AQ62" s="6">
        <f t="shared" ca="1" si="16"/>
        <v>2018</v>
      </c>
      <c r="AR62" s="6">
        <f t="shared" ca="1" si="17"/>
        <v>3</v>
      </c>
      <c r="AS62" s="68">
        <f ca="1">IFERROR(__xludf.DUMMYFUNCTION("""COMPUTED_VALUE"""),43180.9986111111)</f>
        <v>43180.998611111099</v>
      </c>
      <c r="AT62" s="6">
        <f ca="1">IFERROR(__xludf.DUMMYFUNCTION("""COMPUTED_VALUE"""),1321.5)</f>
        <v>1321.5</v>
      </c>
    </row>
    <row r="63" spans="2:46" x14ac:dyDescent="0.35">
      <c r="B63" s="6" t="str">
        <f t="shared" ca="1" si="0"/>
        <v>20183</v>
      </c>
      <c r="C63" s="6">
        <f t="shared" ca="1" si="1"/>
        <v>2018</v>
      </c>
      <c r="D63" s="6">
        <f t="shared" ca="1" si="2"/>
        <v>3</v>
      </c>
      <c r="E63" s="68">
        <f ca="1">IFERROR(__xludf.DUMMYFUNCTION("""COMPUTED_VALUE"""),43181.6666666666)</f>
        <v>43181.666666666599</v>
      </c>
      <c r="F63" s="6">
        <f ca="1">IFERROR(__xludf.DUMMYFUNCTION("""COMPUTED_VALUE"""),2643.69)</f>
        <v>2643.69</v>
      </c>
      <c r="J63" s="6" t="str">
        <f t="shared" ca="1" si="3"/>
        <v>20183</v>
      </c>
      <c r="K63" s="6">
        <f t="shared" ca="1" si="4"/>
        <v>2018</v>
      </c>
      <c r="L63" s="6">
        <f t="shared" ca="1" si="5"/>
        <v>3</v>
      </c>
      <c r="M63" s="68">
        <f ca="1">IFERROR(__xludf.DUMMYFUNCTION("""COMPUTED_VALUE"""),43181.6666666666)</f>
        <v>43181.666666666599</v>
      </c>
      <c r="N63" s="6">
        <f ca="1">IFERROR(__xludf.DUMMYFUNCTION("""COMPUTED_VALUE"""),7166.68)</f>
        <v>7166.68</v>
      </c>
      <c r="R63" s="6" t="str">
        <f t="shared" ca="1" si="6"/>
        <v>20183</v>
      </c>
      <c r="S63" s="6">
        <f t="shared" ca="1" si="7"/>
        <v>2018</v>
      </c>
      <c r="T63" s="6">
        <f t="shared" ca="1" si="8"/>
        <v>3</v>
      </c>
      <c r="U63" s="68">
        <f ca="1">IFERROR(__xludf.DUMMYFUNCTION("""COMPUTED_VALUE"""),43185.6458333333)</f>
        <v>43185.645833333299</v>
      </c>
      <c r="V63" s="6">
        <f ca="1">IFERROR(__xludf.DUMMYFUNCTION("""COMPUTED_VALUE"""),2437.08)</f>
        <v>2437.08</v>
      </c>
      <c r="Z63" s="6" t="str">
        <f t="shared" ca="1" si="9"/>
        <v>20182</v>
      </c>
      <c r="AA63" s="6">
        <f t="shared" ca="1" si="10"/>
        <v>2018</v>
      </c>
      <c r="AB63" s="6">
        <f t="shared" ca="1" si="11"/>
        <v>2</v>
      </c>
      <c r="AC63" s="68">
        <f ca="1">IFERROR(__xludf.DUMMYFUNCTION("""COMPUTED_VALUE"""),43156.9986111111)</f>
        <v>43156.998611111099</v>
      </c>
      <c r="AD63" s="6">
        <f ca="1">IFERROR(__xludf.DUMMYFUNCTION("""COMPUTED_VALUE"""),1075)</f>
        <v>1075</v>
      </c>
      <c r="AH63" s="6" t="str">
        <f t="shared" ca="1" si="12"/>
        <v>20182</v>
      </c>
      <c r="AI63" s="6">
        <f t="shared" ca="1" si="13"/>
        <v>2018</v>
      </c>
      <c r="AJ63" s="6">
        <f t="shared" ca="1" si="14"/>
        <v>2</v>
      </c>
      <c r="AK63" s="68">
        <f ca="1">IFERROR(__xludf.DUMMYFUNCTION("""COMPUTED_VALUE"""),43154.9986111111)</f>
        <v>43154.998611111099</v>
      </c>
      <c r="AL63" s="6">
        <f ca="1">IFERROR(__xludf.DUMMYFUNCTION("""COMPUTED_VALUE"""),10046.8)</f>
        <v>10046.799999999999</v>
      </c>
      <c r="AP63" s="6" t="str">
        <f t="shared" ca="1" si="15"/>
        <v>20183</v>
      </c>
      <c r="AQ63" s="6">
        <f t="shared" ca="1" si="16"/>
        <v>2018</v>
      </c>
      <c r="AR63" s="6">
        <f t="shared" ca="1" si="17"/>
        <v>3</v>
      </c>
      <c r="AS63" s="68">
        <f ca="1">IFERROR(__xludf.DUMMYFUNCTION("""COMPUTED_VALUE"""),43181.9986111111)</f>
        <v>43181.998611111099</v>
      </c>
      <c r="AT63" s="6">
        <f ca="1">IFERROR(__xludf.DUMMYFUNCTION("""COMPUTED_VALUE"""),1333.2)</f>
        <v>1333.2</v>
      </c>
    </row>
    <row r="64" spans="2:46" x14ac:dyDescent="0.35">
      <c r="B64" s="6" t="str">
        <f t="shared" ca="1" si="0"/>
        <v>20183</v>
      </c>
      <c r="C64" s="6">
        <f t="shared" ca="1" si="1"/>
        <v>2018</v>
      </c>
      <c r="D64" s="6">
        <f t="shared" ca="1" si="2"/>
        <v>3</v>
      </c>
      <c r="E64" s="68">
        <f ca="1">IFERROR(__xludf.DUMMYFUNCTION("""COMPUTED_VALUE"""),43182.6666666666)</f>
        <v>43182.666666666599</v>
      </c>
      <c r="F64" s="6">
        <f ca="1">IFERROR(__xludf.DUMMYFUNCTION("""COMPUTED_VALUE"""),2588.26)</f>
        <v>2588.2600000000002</v>
      </c>
      <c r="J64" s="6" t="str">
        <f t="shared" ca="1" si="3"/>
        <v>20183</v>
      </c>
      <c r="K64" s="6">
        <f t="shared" ca="1" si="4"/>
        <v>2018</v>
      </c>
      <c r="L64" s="6">
        <f t="shared" ca="1" si="5"/>
        <v>3</v>
      </c>
      <c r="M64" s="68">
        <f ca="1">IFERROR(__xludf.DUMMYFUNCTION("""COMPUTED_VALUE"""),43182.6666666666)</f>
        <v>43182.666666666599</v>
      </c>
      <c r="N64" s="6">
        <f ca="1">IFERROR(__xludf.DUMMYFUNCTION("""COMPUTED_VALUE"""),6992.67)</f>
        <v>6992.67</v>
      </c>
      <c r="R64" s="6" t="str">
        <f t="shared" ca="1" si="6"/>
        <v>20183</v>
      </c>
      <c r="S64" s="6">
        <f t="shared" ca="1" si="7"/>
        <v>2018</v>
      </c>
      <c r="T64" s="6">
        <f t="shared" ca="1" si="8"/>
        <v>3</v>
      </c>
      <c r="U64" s="68">
        <f ca="1">IFERROR(__xludf.DUMMYFUNCTION("""COMPUTED_VALUE"""),43186.6458333333)</f>
        <v>43186.645833333299</v>
      </c>
      <c r="V64" s="6">
        <f ca="1">IFERROR(__xludf.DUMMYFUNCTION("""COMPUTED_VALUE"""),2452.06)</f>
        <v>2452.06</v>
      </c>
      <c r="Z64" s="6" t="str">
        <f t="shared" ca="1" si="9"/>
        <v>20182</v>
      </c>
      <c r="AA64" s="6">
        <f t="shared" ca="1" si="10"/>
        <v>2018</v>
      </c>
      <c r="AB64" s="6">
        <f t="shared" ca="1" si="11"/>
        <v>2</v>
      </c>
      <c r="AC64" s="68">
        <f ca="1">IFERROR(__xludf.DUMMYFUNCTION("""COMPUTED_VALUE"""),43157.9986111111)</f>
        <v>43157.998611111099</v>
      </c>
      <c r="AD64" s="6">
        <f ca="1">IFERROR(__xludf.DUMMYFUNCTION("""COMPUTED_VALUE"""),1069.7)</f>
        <v>1069.7</v>
      </c>
      <c r="AH64" s="6" t="str">
        <f t="shared" ca="1" si="12"/>
        <v>20182</v>
      </c>
      <c r="AI64" s="6">
        <f t="shared" ca="1" si="13"/>
        <v>2018</v>
      </c>
      <c r="AJ64" s="6">
        <f t="shared" ca="1" si="14"/>
        <v>2</v>
      </c>
      <c r="AK64" s="68">
        <f ca="1">IFERROR(__xludf.DUMMYFUNCTION("""COMPUTED_VALUE"""),43155.9986111111)</f>
        <v>43155.998611111099</v>
      </c>
      <c r="AL64" s="6">
        <f ca="1">IFERROR(__xludf.DUMMYFUNCTION("""COMPUTED_VALUE"""),9971.015)</f>
        <v>9971.0149999999994</v>
      </c>
      <c r="AP64" s="6" t="str">
        <f t="shared" ca="1" si="15"/>
        <v>20183</v>
      </c>
      <c r="AQ64" s="6">
        <f t="shared" ca="1" si="16"/>
        <v>2018</v>
      </c>
      <c r="AR64" s="6">
        <f t="shared" ca="1" si="17"/>
        <v>3</v>
      </c>
      <c r="AS64" s="68">
        <f ca="1">IFERROR(__xludf.DUMMYFUNCTION("""COMPUTED_VALUE"""),43182.9986111111)</f>
        <v>43182.998611111099</v>
      </c>
      <c r="AT64" s="6">
        <f ca="1">IFERROR(__xludf.DUMMYFUNCTION("""COMPUTED_VALUE"""),1355.7)</f>
        <v>1355.7</v>
      </c>
    </row>
    <row r="65" spans="2:46" x14ac:dyDescent="0.35">
      <c r="B65" s="6" t="str">
        <f t="shared" ca="1" si="0"/>
        <v>20183</v>
      </c>
      <c r="C65" s="6">
        <f t="shared" ca="1" si="1"/>
        <v>2018</v>
      </c>
      <c r="D65" s="6">
        <f t="shared" ca="1" si="2"/>
        <v>3</v>
      </c>
      <c r="E65" s="68">
        <f ca="1">IFERROR(__xludf.DUMMYFUNCTION("""COMPUTED_VALUE"""),43185.6666666666)</f>
        <v>43185.666666666599</v>
      </c>
      <c r="F65" s="6">
        <f ca="1">IFERROR(__xludf.DUMMYFUNCTION("""COMPUTED_VALUE"""),2658.55)</f>
        <v>2658.55</v>
      </c>
      <c r="J65" s="6" t="str">
        <f t="shared" ca="1" si="3"/>
        <v>20183</v>
      </c>
      <c r="K65" s="6">
        <f t="shared" ca="1" si="4"/>
        <v>2018</v>
      </c>
      <c r="L65" s="6">
        <f t="shared" ca="1" si="5"/>
        <v>3</v>
      </c>
      <c r="M65" s="68">
        <f ca="1">IFERROR(__xludf.DUMMYFUNCTION("""COMPUTED_VALUE"""),43185.6666666666)</f>
        <v>43185.666666666599</v>
      </c>
      <c r="N65" s="6">
        <f ca="1">IFERROR(__xludf.DUMMYFUNCTION("""COMPUTED_VALUE"""),7220.54)</f>
        <v>7220.54</v>
      </c>
      <c r="R65" s="6" t="str">
        <f t="shared" ca="1" si="6"/>
        <v>20183</v>
      </c>
      <c r="S65" s="6">
        <f t="shared" ca="1" si="7"/>
        <v>2018</v>
      </c>
      <c r="T65" s="6">
        <f t="shared" ca="1" si="8"/>
        <v>3</v>
      </c>
      <c r="U65" s="68">
        <f ca="1">IFERROR(__xludf.DUMMYFUNCTION("""COMPUTED_VALUE"""),43187.6458333333)</f>
        <v>43187.645833333299</v>
      </c>
      <c r="V65" s="6">
        <f ca="1">IFERROR(__xludf.DUMMYFUNCTION("""COMPUTED_VALUE"""),2419.29)</f>
        <v>2419.29</v>
      </c>
      <c r="Z65" s="6" t="str">
        <f t="shared" ca="1" si="9"/>
        <v>20182</v>
      </c>
      <c r="AA65" s="6">
        <f t="shared" ca="1" si="10"/>
        <v>2018</v>
      </c>
      <c r="AB65" s="6">
        <f t="shared" ca="1" si="11"/>
        <v>2</v>
      </c>
      <c r="AC65" s="68">
        <f ca="1">IFERROR(__xludf.DUMMYFUNCTION("""COMPUTED_VALUE"""),43158.9986111111)</f>
        <v>43158.998611111099</v>
      </c>
      <c r="AD65" s="6">
        <f ca="1">IFERROR(__xludf.DUMMYFUNCTION("""COMPUTED_VALUE"""),1079.39)</f>
        <v>1079.3900000000001</v>
      </c>
      <c r="AH65" s="6" t="str">
        <f t="shared" ca="1" si="12"/>
        <v>20182</v>
      </c>
      <c r="AI65" s="6">
        <f t="shared" ca="1" si="13"/>
        <v>2018</v>
      </c>
      <c r="AJ65" s="6">
        <f t="shared" ca="1" si="14"/>
        <v>2</v>
      </c>
      <c r="AK65" s="68">
        <f ca="1">IFERROR(__xludf.DUMMYFUNCTION("""COMPUTED_VALUE"""),43156.9986111111)</f>
        <v>43156.998611111099</v>
      </c>
      <c r="AL65" s="6">
        <f ca="1">IFERROR(__xludf.DUMMYFUNCTION("""COMPUTED_VALUE"""),9585.58)</f>
        <v>9585.58</v>
      </c>
      <c r="AP65" s="6" t="str">
        <f t="shared" ca="1" si="15"/>
        <v>20183</v>
      </c>
      <c r="AQ65" s="6">
        <f t="shared" ca="1" si="16"/>
        <v>2018</v>
      </c>
      <c r="AR65" s="6">
        <f t="shared" ca="1" si="17"/>
        <v>3</v>
      </c>
      <c r="AS65" s="68">
        <f ca="1">IFERROR(__xludf.DUMMYFUNCTION("""COMPUTED_VALUE"""),43185.9986111111)</f>
        <v>43185.998611111099</v>
      </c>
      <c r="AT65" s="6">
        <f ca="1">IFERROR(__xludf.DUMMYFUNCTION("""COMPUTED_VALUE"""),1360.9)</f>
        <v>1360.9</v>
      </c>
    </row>
    <row r="66" spans="2:46" x14ac:dyDescent="0.35">
      <c r="B66" s="6" t="str">
        <f t="shared" ca="1" si="0"/>
        <v>20183</v>
      </c>
      <c r="C66" s="6">
        <f t="shared" ca="1" si="1"/>
        <v>2018</v>
      </c>
      <c r="D66" s="6">
        <f t="shared" ca="1" si="2"/>
        <v>3</v>
      </c>
      <c r="E66" s="68">
        <f ca="1">IFERROR(__xludf.DUMMYFUNCTION("""COMPUTED_VALUE"""),43186.6666666666)</f>
        <v>43186.666666666599</v>
      </c>
      <c r="F66" s="6">
        <f ca="1">IFERROR(__xludf.DUMMYFUNCTION("""COMPUTED_VALUE"""),2612.62)</f>
        <v>2612.62</v>
      </c>
      <c r="J66" s="6" t="str">
        <f t="shared" ca="1" si="3"/>
        <v>20183</v>
      </c>
      <c r="K66" s="6">
        <f t="shared" ca="1" si="4"/>
        <v>2018</v>
      </c>
      <c r="L66" s="6">
        <f t="shared" ca="1" si="5"/>
        <v>3</v>
      </c>
      <c r="M66" s="68">
        <f ca="1">IFERROR(__xludf.DUMMYFUNCTION("""COMPUTED_VALUE"""),43186.6666666666)</f>
        <v>43186.666666666599</v>
      </c>
      <c r="N66" s="6">
        <f ca="1">IFERROR(__xludf.DUMMYFUNCTION("""COMPUTED_VALUE"""),7008.81)</f>
        <v>7008.81</v>
      </c>
      <c r="R66" s="6" t="str">
        <f t="shared" ca="1" si="6"/>
        <v>20183</v>
      </c>
      <c r="S66" s="6">
        <f t="shared" ca="1" si="7"/>
        <v>2018</v>
      </c>
      <c r="T66" s="6">
        <f t="shared" ca="1" si="8"/>
        <v>3</v>
      </c>
      <c r="U66" s="68">
        <f ca="1">IFERROR(__xludf.DUMMYFUNCTION("""COMPUTED_VALUE"""),43188.6458333333)</f>
        <v>43188.645833333299</v>
      </c>
      <c r="V66" s="6">
        <f ca="1">IFERROR(__xludf.DUMMYFUNCTION("""COMPUTED_VALUE"""),2436.37)</f>
        <v>2436.37</v>
      </c>
      <c r="Z66" s="6" t="str">
        <f t="shared" ca="1" si="9"/>
        <v>20182</v>
      </c>
      <c r="AA66" s="6">
        <f t="shared" ca="1" si="10"/>
        <v>2018</v>
      </c>
      <c r="AB66" s="6">
        <f t="shared" ca="1" si="11"/>
        <v>2</v>
      </c>
      <c r="AC66" s="68">
        <f ca="1">IFERROR(__xludf.DUMMYFUNCTION("""COMPUTED_VALUE"""),43159.9986111111)</f>
        <v>43159.998611111099</v>
      </c>
      <c r="AD66" s="6">
        <f ca="1">IFERROR(__xludf.DUMMYFUNCTION("""COMPUTED_VALUE"""),1085.35)</f>
        <v>1085.3499999999999</v>
      </c>
      <c r="AH66" s="6" t="str">
        <f t="shared" ca="1" si="12"/>
        <v>20182</v>
      </c>
      <c r="AI66" s="6">
        <f t="shared" ca="1" si="13"/>
        <v>2018</v>
      </c>
      <c r="AJ66" s="6">
        <f t="shared" ca="1" si="14"/>
        <v>2</v>
      </c>
      <c r="AK66" s="68">
        <f ca="1">IFERROR(__xludf.DUMMYFUNCTION("""COMPUTED_VALUE"""),43157.9986111111)</f>
        <v>43157.998611111099</v>
      </c>
      <c r="AL66" s="6">
        <f ca="1">IFERROR(__xludf.DUMMYFUNCTION("""COMPUTED_VALUE"""),10380.65)</f>
        <v>10380.65</v>
      </c>
      <c r="AP66" s="6" t="str">
        <f t="shared" ca="1" si="15"/>
        <v>20183</v>
      </c>
      <c r="AQ66" s="6">
        <f t="shared" ca="1" si="16"/>
        <v>2018</v>
      </c>
      <c r="AR66" s="6">
        <f t="shared" ca="1" si="17"/>
        <v>3</v>
      </c>
      <c r="AS66" s="68">
        <f ca="1">IFERROR(__xludf.DUMMYFUNCTION("""COMPUTED_VALUE"""),43186.9986111111)</f>
        <v>43186.998611111099</v>
      </c>
      <c r="AT66" s="6">
        <f ca="1">IFERROR(__xludf.DUMMYFUNCTION("""COMPUTED_VALUE"""),1347.9)</f>
        <v>1347.9</v>
      </c>
    </row>
    <row r="67" spans="2:46" x14ac:dyDescent="0.35">
      <c r="B67" s="6" t="str">
        <f t="shared" ca="1" si="0"/>
        <v>20183</v>
      </c>
      <c r="C67" s="6">
        <f t="shared" ca="1" si="1"/>
        <v>2018</v>
      </c>
      <c r="D67" s="6">
        <f t="shared" ca="1" si="2"/>
        <v>3</v>
      </c>
      <c r="E67" s="68">
        <f ca="1">IFERROR(__xludf.DUMMYFUNCTION("""COMPUTED_VALUE"""),43187.6666666666)</f>
        <v>43187.666666666599</v>
      </c>
      <c r="F67" s="6">
        <f ca="1">IFERROR(__xludf.DUMMYFUNCTION("""COMPUTED_VALUE"""),2605)</f>
        <v>2605</v>
      </c>
      <c r="J67" s="6" t="str">
        <f t="shared" ca="1" si="3"/>
        <v>20183</v>
      </c>
      <c r="K67" s="6">
        <f t="shared" ca="1" si="4"/>
        <v>2018</v>
      </c>
      <c r="L67" s="6">
        <f t="shared" ca="1" si="5"/>
        <v>3</v>
      </c>
      <c r="M67" s="68">
        <f ca="1">IFERROR(__xludf.DUMMYFUNCTION("""COMPUTED_VALUE"""),43187.6666666666)</f>
        <v>43187.666666666599</v>
      </c>
      <c r="N67" s="6">
        <f ca="1">IFERROR(__xludf.DUMMYFUNCTION("""COMPUTED_VALUE"""),6949.23)</f>
        <v>6949.23</v>
      </c>
      <c r="R67" s="6" t="str">
        <f t="shared" ca="1" si="6"/>
        <v>20183</v>
      </c>
      <c r="S67" s="6">
        <f t="shared" ca="1" si="7"/>
        <v>2018</v>
      </c>
      <c r="T67" s="6">
        <f t="shared" ca="1" si="8"/>
        <v>3</v>
      </c>
      <c r="U67" s="68">
        <f ca="1">IFERROR(__xludf.DUMMYFUNCTION("""COMPUTED_VALUE"""),43189.6458333333)</f>
        <v>43189.645833333299</v>
      </c>
      <c r="V67" s="6">
        <f ca="1">IFERROR(__xludf.DUMMYFUNCTION("""COMPUTED_VALUE"""),2445.85)</f>
        <v>2445.85</v>
      </c>
      <c r="Z67" s="6" t="str">
        <f t="shared" ca="1" si="9"/>
        <v>20183</v>
      </c>
      <c r="AA67" s="6">
        <f t="shared" ca="1" si="10"/>
        <v>2018</v>
      </c>
      <c r="AB67" s="6">
        <f t="shared" ca="1" si="11"/>
        <v>3</v>
      </c>
      <c r="AC67" s="68">
        <f ca="1">IFERROR(__xludf.DUMMYFUNCTION("""COMPUTED_VALUE"""),43160.9986111111)</f>
        <v>43160.998611111099</v>
      </c>
      <c r="AD67" s="6">
        <f ca="1">IFERROR(__xludf.DUMMYFUNCTION("""COMPUTED_VALUE"""),1081.95)</f>
        <v>1081.95</v>
      </c>
      <c r="AH67" s="6" t="str">
        <f t="shared" ca="1" si="12"/>
        <v>20182</v>
      </c>
      <c r="AI67" s="6">
        <f t="shared" ca="1" si="13"/>
        <v>2018</v>
      </c>
      <c r="AJ67" s="6">
        <f t="shared" ca="1" si="14"/>
        <v>2</v>
      </c>
      <c r="AK67" s="68">
        <f ca="1">IFERROR(__xludf.DUMMYFUNCTION("""COMPUTED_VALUE"""),43158.9986111111)</f>
        <v>43158.998611111099</v>
      </c>
      <c r="AL67" s="6">
        <f ca="1">IFERROR(__xludf.DUMMYFUNCTION("""COMPUTED_VALUE"""),10763.49)</f>
        <v>10763.49</v>
      </c>
      <c r="AP67" s="6" t="str">
        <f t="shared" ca="1" si="15"/>
        <v>20183</v>
      </c>
      <c r="AQ67" s="6">
        <f t="shared" ca="1" si="16"/>
        <v>2018</v>
      </c>
      <c r="AR67" s="6">
        <f t="shared" ca="1" si="17"/>
        <v>3</v>
      </c>
      <c r="AS67" s="68">
        <f ca="1">IFERROR(__xludf.DUMMYFUNCTION("""COMPUTED_VALUE"""),43187.9986111111)</f>
        <v>43187.998611111099</v>
      </c>
      <c r="AT67" s="6">
        <f ca="1">IFERROR(__xludf.DUMMYFUNCTION("""COMPUTED_VALUE"""),1330)</f>
        <v>1330</v>
      </c>
    </row>
    <row r="68" spans="2:46" x14ac:dyDescent="0.35">
      <c r="B68" s="6" t="str">
        <f t="shared" ca="1" si="0"/>
        <v>20183</v>
      </c>
      <c r="C68" s="6">
        <f t="shared" ca="1" si="1"/>
        <v>2018</v>
      </c>
      <c r="D68" s="6">
        <f t="shared" ca="1" si="2"/>
        <v>3</v>
      </c>
      <c r="E68" s="68">
        <f ca="1">IFERROR(__xludf.DUMMYFUNCTION("""COMPUTED_VALUE"""),43188.6666666666)</f>
        <v>43188.666666666599</v>
      </c>
      <c r="F68" s="6">
        <f ca="1">IFERROR(__xludf.DUMMYFUNCTION("""COMPUTED_VALUE"""),2640.87)</f>
        <v>2640.87</v>
      </c>
      <c r="J68" s="6" t="str">
        <f t="shared" ca="1" si="3"/>
        <v>20183</v>
      </c>
      <c r="K68" s="6">
        <f t="shared" ca="1" si="4"/>
        <v>2018</v>
      </c>
      <c r="L68" s="6">
        <f t="shared" ca="1" si="5"/>
        <v>3</v>
      </c>
      <c r="M68" s="68">
        <f ca="1">IFERROR(__xludf.DUMMYFUNCTION("""COMPUTED_VALUE"""),43188.6666666666)</f>
        <v>43188.666666666599</v>
      </c>
      <c r="N68" s="6">
        <f ca="1">IFERROR(__xludf.DUMMYFUNCTION("""COMPUTED_VALUE"""),7063.45)</f>
        <v>7063.45</v>
      </c>
      <c r="R68" s="6" t="str">
        <f t="shared" ca="1" si="6"/>
        <v>20184</v>
      </c>
      <c r="S68" s="6">
        <f t="shared" ca="1" si="7"/>
        <v>2018</v>
      </c>
      <c r="T68" s="6">
        <f t="shared" ca="1" si="8"/>
        <v>4</v>
      </c>
      <c r="U68" s="68">
        <f ca="1">IFERROR(__xludf.DUMMYFUNCTION("""COMPUTED_VALUE"""),43192.6458333333)</f>
        <v>43192.645833333299</v>
      </c>
      <c r="V68" s="6">
        <f ca="1">IFERROR(__xludf.DUMMYFUNCTION("""COMPUTED_VALUE"""),2444.16)</f>
        <v>2444.16</v>
      </c>
      <c r="Z68" s="6" t="str">
        <f t="shared" ca="1" si="9"/>
        <v>20183</v>
      </c>
      <c r="AA68" s="6">
        <f t="shared" ca="1" si="10"/>
        <v>2018</v>
      </c>
      <c r="AB68" s="6">
        <f t="shared" ca="1" si="11"/>
        <v>3</v>
      </c>
      <c r="AC68" s="68">
        <f ca="1">IFERROR(__xludf.DUMMYFUNCTION("""COMPUTED_VALUE"""),43161.9986111111)</f>
        <v>43161.998611111099</v>
      </c>
      <c r="AD68" s="6">
        <f ca="1">IFERROR(__xludf.DUMMYFUNCTION("""COMPUTED_VALUE"""),1078.43)</f>
        <v>1078.43</v>
      </c>
      <c r="AH68" s="6" t="str">
        <f t="shared" ca="1" si="12"/>
        <v>20182</v>
      </c>
      <c r="AI68" s="6">
        <f t="shared" ca="1" si="13"/>
        <v>2018</v>
      </c>
      <c r="AJ68" s="6">
        <f t="shared" ca="1" si="14"/>
        <v>2</v>
      </c>
      <c r="AK68" s="68">
        <f ca="1">IFERROR(__xludf.DUMMYFUNCTION("""COMPUTED_VALUE"""),43159.9986111111)</f>
        <v>43159.998611111099</v>
      </c>
      <c r="AL68" s="6">
        <f ca="1">IFERROR(__xludf.DUMMYFUNCTION("""COMPUTED_VALUE"""),10542.55)</f>
        <v>10542.55</v>
      </c>
      <c r="AP68" s="6" t="str">
        <f t="shared" ca="1" si="15"/>
        <v>20183</v>
      </c>
      <c r="AQ68" s="6">
        <f t="shared" ca="1" si="16"/>
        <v>2018</v>
      </c>
      <c r="AR68" s="6">
        <f t="shared" ca="1" si="17"/>
        <v>3</v>
      </c>
      <c r="AS68" s="68">
        <f ca="1">IFERROR(__xludf.DUMMYFUNCTION("""COMPUTED_VALUE"""),43188.9986111111)</f>
        <v>43188.998611111099</v>
      </c>
      <c r="AT68" s="6">
        <f ca="1">IFERROR(__xludf.DUMMYFUNCTION("""COMPUTED_VALUE"""),1327.3)</f>
        <v>1327.3</v>
      </c>
    </row>
    <row r="69" spans="2:46" x14ac:dyDescent="0.35">
      <c r="B69" s="6" t="str">
        <f t="shared" ca="1" si="0"/>
        <v>20184</v>
      </c>
      <c r="C69" s="6">
        <f t="shared" ca="1" si="1"/>
        <v>2018</v>
      </c>
      <c r="D69" s="6">
        <f t="shared" ca="1" si="2"/>
        <v>4</v>
      </c>
      <c r="E69" s="68">
        <f ca="1">IFERROR(__xludf.DUMMYFUNCTION("""COMPUTED_VALUE"""),43192.6666666666)</f>
        <v>43192.666666666599</v>
      </c>
      <c r="F69" s="6">
        <f ca="1">IFERROR(__xludf.DUMMYFUNCTION("""COMPUTED_VALUE"""),2581.88)</f>
        <v>2581.88</v>
      </c>
      <c r="J69" s="6" t="str">
        <f t="shared" ca="1" si="3"/>
        <v>20184</v>
      </c>
      <c r="K69" s="6">
        <f t="shared" ca="1" si="4"/>
        <v>2018</v>
      </c>
      <c r="L69" s="6">
        <f t="shared" ca="1" si="5"/>
        <v>4</v>
      </c>
      <c r="M69" s="68">
        <f ca="1">IFERROR(__xludf.DUMMYFUNCTION("""COMPUTED_VALUE"""),43192.6666666666)</f>
        <v>43192.666666666599</v>
      </c>
      <c r="N69" s="6">
        <f ca="1">IFERROR(__xludf.DUMMYFUNCTION("""COMPUTED_VALUE"""),6870.12)</f>
        <v>6870.12</v>
      </c>
      <c r="R69" s="6" t="str">
        <f t="shared" ca="1" si="6"/>
        <v>20184</v>
      </c>
      <c r="S69" s="6">
        <f t="shared" ca="1" si="7"/>
        <v>2018</v>
      </c>
      <c r="T69" s="6">
        <f t="shared" ca="1" si="8"/>
        <v>4</v>
      </c>
      <c r="U69" s="68">
        <f ca="1">IFERROR(__xludf.DUMMYFUNCTION("""COMPUTED_VALUE"""),43193.6458333333)</f>
        <v>43193.645833333299</v>
      </c>
      <c r="V69" s="6">
        <f ca="1">IFERROR(__xludf.DUMMYFUNCTION("""COMPUTED_VALUE"""),2442.43)</f>
        <v>2442.4299999999998</v>
      </c>
      <c r="Z69" s="6" t="str">
        <f t="shared" ca="1" si="9"/>
        <v>20183</v>
      </c>
      <c r="AA69" s="6">
        <f t="shared" ca="1" si="10"/>
        <v>2018</v>
      </c>
      <c r="AB69" s="6">
        <f t="shared" ca="1" si="11"/>
        <v>3</v>
      </c>
      <c r="AC69" s="68">
        <f ca="1">IFERROR(__xludf.DUMMYFUNCTION("""COMPUTED_VALUE"""),43162.9986111111)</f>
        <v>43162.998611111099</v>
      </c>
      <c r="AD69" s="6">
        <f ca="1">IFERROR(__xludf.DUMMYFUNCTION("""COMPUTED_VALUE"""),1078.43)</f>
        <v>1078.43</v>
      </c>
      <c r="AH69" s="6" t="str">
        <f t="shared" ca="1" si="12"/>
        <v>20183</v>
      </c>
      <c r="AI69" s="6">
        <f t="shared" ca="1" si="13"/>
        <v>2018</v>
      </c>
      <c r="AJ69" s="6">
        <f t="shared" ca="1" si="14"/>
        <v>3</v>
      </c>
      <c r="AK69" s="68">
        <f ca="1">IFERROR(__xludf.DUMMYFUNCTION("""COMPUTED_VALUE"""),43160.9986111111)</f>
        <v>43160.998611111099</v>
      </c>
      <c r="AL69" s="6">
        <f ca="1">IFERROR(__xludf.DUMMYFUNCTION("""COMPUTED_VALUE"""),10940.69)</f>
        <v>10940.69</v>
      </c>
      <c r="AP69" s="6" t="str">
        <f t="shared" ca="1" si="15"/>
        <v>20184</v>
      </c>
      <c r="AQ69" s="6">
        <f t="shared" ca="1" si="16"/>
        <v>2018</v>
      </c>
      <c r="AR69" s="6">
        <f t="shared" ca="1" si="17"/>
        <v>4</v>
      </c>
      <c r="AS69" s="68">
        <f ca="1">IFERROR(__xludf.DUMMYFUNCTION("""COMPUTED_VALUE"""),43192.9986111111)</f>
        <v>43192.998611111099</v>
      </c>
      <c r="AT69" s="6">
        <f ca="1">IFERROR(__xludf.DUMMYFUNCTION("""COMPUTED_VALUE"""),1346.9)</f>
        <v>1346.9</v>
      </c>
    </row>
    <row r="70" spans="2:46" x14ac:dyDescent="0.35">
      <c r="B70" s="6" t="str">
        <f t="shared" ca="1" si="0"/>
        <v>20184</v>
      </c>
      <c r="C70" s="6">
        <f t="shared" ca="1" si="1"/>
        <v>2018</v>
      </c>
      <c r="D70" s="6">
        <f t="shared" ca="1" si="2"/>
        <v>4</v>
      </c>
      <c r="E70" s="68">
        <f ca="1">IFERROR(__xludf.DUMMYFUNCTION("""COMPUTED_VALUE"""),43193.6666666666)</f>
        <v>43193.666666666599</v>
      </c>
      <c r="F70" s="6">
        <f ca="1">IFERROR(__xludf.DUMMYFUNCTION("""COMPUTED_VALUE"""),2614.45)</f>
        <v>2614.4499999999998</v>
      </c>
      <c r="J70" s="6" t="str">
        <f t="shared" ca="1" si="3"/>
        <v>20184</v>
      </c>
      <c r="K70" s="6">
        <f t="shared" ca="1" si="4"/>
        <v>2018</v>
      </c>
      <c r="L70" s="6">
        <f t="shared" ca="1" si="5"/>
        <v>4</v>
      </c>
      <c r="M70" s="68">
        <f ca="1">IFERROR(__xludf.DUMMYFUNCTION("""COMPUTED_VALUE"""),43193.6666666666)</f>
        <v>43193.666666666599</v>
      </c>
      <c r="N70" s="6">
        <f ca="1">IFERROR(__xludf.DUMMYFUNCTION("""COMPUTED_VALUE"""),6941.28)</f>
        <v>6941.28</v>
      </c>
      <c r="R70" s="6" t="str">
        <f t="shared" ca="1" si="6"/>
        <v>20184</v>
      </c>
      <c r="S70" s="6">
        <f t="shared" ca="1" si="7"/>
        <v>2018</v>
      </c>
      <c r="T70" s="6">
        <f t="shared" ca="1" si="8"/>
        <v>4</v>
      </c>
      <c r="U70" s="68">
        <f ca="1">IFERROR(__xludf.DUMMYFUNCTION("""COMPUTED_VALUE"""),43194.6458333333)</f>
        <v>43194.645833333299</v>
      </c>
      <c r="V70" s="6">
        <f ca="1">IFERROR(__xludf.DUMMYFUNCTION("""COMPUTED_VALUE"""),2408.06)</f>
        <v>2408.06</v>
      </c>
      <c r="Z70" s="6" t="str">
        <f t="shared" ca="1" si="9"/>
        <v>20183</v>
      </c>
      <c r="AA70" s="6">
        <f t="shared" ca="1" si="10"/>
        <v>2018</v>
      </c>
      <c r="AB70" s="6">
        <f t="shared" ca="1" si="11"/>
        <v>3</v>
      </c>
      <c r="AC70" s="68">
        <f ca="1">IFERROR(__xludf.DUMMYFUNCTION("""COMPUTED_VALUE"""),43163.9986111111)</f>
        <v>43163.998611111099</v>
      </c>
      <c r="AD70" s="6">
        <f ca="1">IFERROR(__xludf.DUMMYFUNCTION("""COMPUTED_VALUE"""),1079.21)</f>
        <v>1079.21</v>
      </c>
      <c r="AH70" s="6" t="str">
        <f t="shared" ca="1" si="12"/>
        <v>20183</v>
      </c>
      <c r="AI70" s="6">
        <f t="shared" ca="1" si="13"/>
        <v>2018</v>
      </c>
      <c r="AJ70" s="6">
        <f t="shared" ca="1" si="14"/>
        <v>3</v>
      </c>
      <c r="AK70" s="68">
        <f ca="1">IFERROR(__xludf.DUMMYFUNCTION("""COMPUTED_VALUE"""),43161.9986111111)</f>
        <v>43161.998611111099</v>
      </c>
      <c r="AL70" s="6">
        <f ca="1">IFERROR(__xludf.DUMMYFUNCTION("""COMPUTED_VALUE"""),11038.1)</f>
        <v>11038.1</v>
      </c>
      <c r="AP70" s="6" t="str">
        <f t="shared" ca="1" si="15"/>
        <v>20184</v>
      </c>
      <c r="AQ70" s="6">
        <f t="shared" ca="1" si="16"/>
        <v>2018</v>
      </c>
      <c r="AR70" s="6">
        <f t="shared" ca="1" si="17"/>
        <v>4</v>
      </c>
      <c r="AS70" s="68">
        <f ca="1">IFERROR(__xludf.DUMMYFUNCTION("""COMPUTED_VALUE"""),43193.9986111111)</f>
        <v>43193.998611111099</v>
      </c>
      <c r="AT70" s="6">
        <f ca="1">IFERROR(__xludf.DUMMYFUNCTION("""COMPUTED_VALUE"""),1337.3)</f>
        <v>1337.3</v>
      </c>
    </row>
    <row r="71" spans="2:46" x14ac:dyDescent="0.35">
      <c r="B71" s="6" t="str">
        <f t="shared" ref="B71:B134" ca="1" si="18">C71&amp;D71</f>
        <v>20184</v>
      </c>
      <c r="C71" s="6">
        <f t="shared" ref="C71:C134" ca="1" si="19">YEAR(E71)</f>
        <v>2018</v>
      </c>
      <c r="D71" s="6">
        <f t="shared" ref="D71:D134" ca="1" si="20">MONTH(E71)</f>
        <v>4</v>
      </c>
      <c r="E71" s="68">
        <f ca="1">IFERROR(__xludf.DUMMYFUNCTION("""COMPUTED_VALUE"""),43194.6666666666)</f>
        <v>43194.666666666599</v>
      </c>
      <c r="F71" s="6">
        <f ca="1">IFERROR(__xludf.DUMMYFUNCTION("""COMPUTED_VALUE"""),2644.69)</f>
        <v>2644.69</v>
      </c>
      <c r="J71" s="6" t="str">
        <f t="shared" ref="J71:J134" ca="1" si="21">K71&amp;L71</f>
        <v>20184</v>
      </c>
      <c r="K71" s="6">
        <f t="shared" ref="K71:K134" ca="1" si="22">YEAR(M71)</f>
        <v>2018</v>
      </c>
      <c r="L71" s="6">
        <f t="shared" ref="L71:L134" ca="1" si="23">MONTH(M71)</f>
        <v>4</v>
      </c>
      <c r="M71" s="68">
        <f ca="1">IFERROR(__xludf.DUMMYFUNCTION("""COMPUTED_VALUE"""),43194.6666666666)</f>
        <v>43194.666666666599</v>
      </c>
      <c r="N71" s="6">
        <f ca="1">IFERROR(__xludf.DUMMYFUNCTION("""COMPUTED_VALUE"""),7042.11)</f>
        <v>7042.11</v>
      </c>
      <c r="R71" s="6" t="str">
        <f t="shared" ref="R71:R134" ca="1" si="24">S71&amp;T71</f>
        <v>20184</v>
      </c>
      <c r="S71" s="6">
        <f t="shared" ref="S71:S134" ca="1" si="25">YEAR(U71)</f>
        <v>2018</v>
      </c>
      <c r="T71" s="6">
        <f t="shared" ref="T71:T134" ca="1" si="26">MONTH(U71)</f>
        <v>4</v>
      </c>
      <c r="U71" s="68">
        <f ca="1">IFERROR(__xludf.DUMMYFUNCTION("""COMPUTED_VALUE"""),43195.6458333333)</f>
        <v>43195.645833333299</v>
      </c>
      <c r="V71" s="6">
        <f ca="1">IFERROR(__xludf.DUMMYFUNCTION("""COMPUTED_VALUE"""),2437.52)</f>
        <v>2437.52</v>
      </c>
      <c r="Z71" s="6" t="str">
        <f t="shared" ref="Z71:Z134" ca="1" si="27">AA71&amp;AB71</f>
        <v>20183</v>
      </c>
      <c r="AA71" s="6">
        <f t="shared" ref="AA71:AA134" ca="1" si="28">YEAR(AC71)</f>
        <v>2018</v>
      </c>
      <c r="AB71" s="6">
        <f t="shared" ref="AB71:AB134" ca="1" si="29">MONTH(AC71)</f>
        <v>3</v>
      </c>
      <c r="AC71" s="68">
        <f ca="1">IFERROR(__xludf.DUMMYFUNCTION("""COMPUTED_VALUE"""),43164.9986111111)</f>
        <v>43164.998611111099</v>
      </c>
      <c r="AD71" s="6">
        <f ca="1">IFERROR(__xludf.DUMMYFUNCTION("""COMPUTED_VALUE"""),1076.66)</f>
        <v>1076.6600000000001</v>
      </c>
      <c r="AH71" s="6" t="str">
        <f t="shared" ref="AH71:AH134" ca="1" si="30">AI71&amp;AJ71</f>
        <v>20183</v>
      </c>
      <c r="AI71" s="6">
        <f t="shared" ref="AI71:AI134" ca="1" si="31">YEAR(AK71)</f>
        <v>2018</v>
      </c>
      <c r="AJ71" s="6">
        <f t="shared" ref="AJ71:AJ134" ca="1" si="32">MONTH(AK71)</f>
        <v>3</v>
      </c>
      <c r="AK71" s="68">
        <f ca="1">IFERROR(__xludf.DUMMYFUNCTION("""COMPUTED_VALUE"""),43162.9986111111)</f>
        <v>43162.998611111099</v>
      </c>
      <c r="AL71" s="6">
        <f ca="1">IFERROR(__xludf.DUMMYFUNCTION("""COMPUTED_VALUE"""),11360.78)</f>
        <v>11360.78</v>
      </c>
      <c r="AP71" s="6" t="str">
        <f t="shared" ref="AP71:AP134" ca="1" si="33">AQ71&amp;AR71</f>
        <v>20184</v>
      </c>
      <c r="AQ71" s="6">
        <f t="shared" ref="AQ71:AQ134" ca="1" si="34">YEAR(AS71)</f>
        <v>2018</v>
      </c>
      <c r="AR71" s="6">
        <f t="shared" ref="AR71:AR134" ca="1" si="35">MONTH(AS71)</f>
        <v>4</v>
      </c>
      <c r="AS71" s="68">
        <f ca="1">IFERROR(__xludf.DUMMYFUNCTION("""COMPUTED_VALUE"""),43194.9986111111)</f>
        <v>43194.998611111099</v>
      </c>
      <c r="AT71" s="6">
        <f ca="1">IFERROR(__xludf.DUMMYFUNCTION("""COMPUTED_VALUE"""),1340.2)</f>
        <v>1340.2</v>
      </c>
    </row>
    <row r="72" spans="2:46" x14ac:dyDescent="0.35">
      <c r="B72" s="6" t="str">
        <f t="shared" ca="1" si="18"/>
        <v>20184</v>
      </c>
      <c r="C72" s="6">
        <f t="shared" ca="1" si="19"/>
        <v>2018</v>
      </c>
      <c r="D72" s="6">
        <f t="shared" ca="1" si="20"/>
        <v>4</v>
      </c>
      <c r="E72" s="68">
        <f ca="1">IFERROR(__xludf.DUMMYFUNCTION("""COMPUTED_VALUE"""),43195.6666666666)</f>
        <v>43195.666666666599</v>
      </c>
      <c r="F72" s="6">
        <f ca="1">IFERROR(__xludf.DUMMYFUNCTION("""COMPUTED_VALUE"""),2662.84)</f>
        <v>2662.84</v>
      </c>
      <c r="J72" s="6" t="str">
        <f t="shared" ca="1" si="21"/>
        <v>20184</v>
      </c>
      <c r="K72" s="6">
        <f t="shared" ca="1" si="22"/>
        <v>2018</v>
      </c>
      <c r="L72" s="6">
        <f t="shared" ca="1" si="23"/>
        <v>4</v>
      </c>
      <c r="M72" s="68">
        <f ca="1">IFERROR(__xludf.DUMMYFUNCTION("""COMPUTED_VALUE"""),43195.6666666666)</f>
        <v>43195.666666666599</v>
      </c>
      <c r="N72" s="6">
        <f ca="1">IFERROR(__xludf.DUMMYFUNCTION("""COMPUTED_VALUE"""),7076.55)</f>
        <v>7076.55</v>
      </c>
      <c r="R72" s="6" t="str">
        <f t="shared" ca="1" si="24"/>
        <v>20184</v>
      </c>
      <c r="S72" s="6">
        <f t="shared" ca="1" si="25"/>
        <v>2018</v>
      </c>
      <c r="T72" s="6">
        <f t="shared" ca="1" si="26"/>
        <v>4</v>
      </c>
      <c r="U72" s="68">
        <f ca="1">IFERROR(__xludf.DUMMYFUNCTION("""COMPUTED_VALUE"""),43196.6458333333)</f>
        <v>43196.645833333299</v>
      </c>
      <c r="V72" s="6">
        <f ca="1">IFERROR(__xludf.DUMMYFUNCTION("""COMPUTED_VALUE"""),2429.58)</f>
        <v>2429.58</v>
      </c>
      <c r="Z72" s="6" t="str">
        <f t="shared" ca="1" si="27"/>
        <v>20183</v>
      </c>
      <c r="AA72" s="6">
        <f t="shared" ca="1" si="28"/>
        <v>2018</v>
      </c>
      <c r="AB72" s="6">
        <f t="shared" ca="1" si="29"/>
        <v>3</v>
      </c>
      <c r="AC72" s="68">
        <f ca="1">IFERROR(__xludf.DUMMYFUNCTION("""COMPUTED_VALUE"""),43165.9986111111)</f>
        <v>43165.998611111099</v>
      </c>
      <c r="AD72" s="6">
        <f ca="1">IFERROR(__xludf.DUMMYFUNCTION("""COMPUTED_VALUE"""),1063.16)</f>
        <v>1063.1600000000001</v>
      </c>
      <c r="AH72" s="6" t="str">
        <f t="shared" ca="1" si="30"/>
        <v>20183</v>
      </c>
      <c r="AI72" s="6">
        <f t="shared" ca="1" si="31"/>
        <v>2018</v>
      </c>
      <c r="AJ72" s="6">
        <f t="shared" ca="1" si="32"/>
        <v>3</v>
      </c>
      <c r="AK72" s="68">
        <f ca="1">IFERROR(__xludf.DUMMYFUNCTION("""COMPUTED_VALUE"""),43163.9986111111)</f>
        <v>43163.998611111099</v>
      </c>
      <c r="AL72" s="6">
        <f ca="1">IFERROR(__xludf.DUMMYFUNCTION("""COMPUTED_VALUE"""),11470.49)</f>
        <v>11470.49</v>
      </c>
      <c r="AP72" s="6" t="str">
        <f t="shared" ca="1" si="33"/>
        <v>20184</v>
      </c>
      <c r="AQ72" s="6">
        <f t="shared" ca="1" si="34"/>
        <v>2018</v>
      </c>
      <c r="AR72" s="6">
        <f t="shared" ca="1" si="35"/>
        <v>4</v>
      </c>
      <c r="AS72" s="68">
        <f ca="1">IFERROR(__xludf.DUMMYFUNCTION("""COMPUTED_VALUE"""),43195.9986111111)</f>
        <v>43195.998611111099</v>
      </c>
      <c r="AT72" s="6">
        <f ca="1">IFERROR(__xludf.DUMMYFUNCTION("""COMPUTED_VALUE"""),1328.5)</f>
        <v>1328.5</v>
      </c>
    </row>
    <row r="73" spans="2:46" x14ac:dyDescent="0.35">
      <c r="B73" s="6" t="str">
        <f t="shared" ca="1" si="18"/>
        <v>20184</v>
      </c>
      <c r="C73" s="6">
        <f t="shared" ca="1" si="19"/>
        <v>2018</v>
      </c>
      <c r="D73" s="6">
        <f t="shared" ca="1" si="20"/>
        <v>4</v>
      </c>
      <c r="E73" s="68">
        <f ca="1">IFERROR(__xludf.DUMMYFUNCTION("""COMPUTED_VALUE"""),43196.6666666666)</f>
        <v>43196.666666666599</v>
      </c>
      <c r="F73" s="6">
        <f ca="1">IFERROR(__xludf.DUMMYFUNCTION("""COMPUTED_VALUE"""),2604.47)</f>
        <v>2604.4699999999998</v>
      </c>
      <c r="J73" s="6" t="str">
        <f t="shared" ca="1" si="21"/>
        <v>20184</v>
      </c>
      <c r="K73" s="6">
        <f t="shared" ca="1" si="22"/>
        <v>2018</v>
      </c>
      <c r="L73" s="6">
        <f t="shared" ca="1" si="23"/>
        <v>4</v>
      </c>
      <c r="M73" s="68">
        <f ca="1">IFERROR(__xludf.DUMMYFUNCTION("""COMPUTED_VALUE"""),43196.6666666666)</f>
        <v>43196.666666666599</v>
      </c>
      <c r="N73" s="6">
        <f ca="1">IFERROR(__xludf.DUMMYFUNCTION("""COMPUTED_VALUE"""),6915.11)</f>
        <v>6915.11</v>
      </c>
      <c r="R73" s="6" t="str">
        <f t="shared" ca="1" si="24"/>
        <v>20184</v>
      </c>
      <c r="S73" s="6">
        <f t="shared" ca="1" si="25"/>
        <v>2018</v>
      </c>
      <c r="T73" s="6">
        <f t="shared" ca="1" si="26"/>
        <v>4</v>
      </c>
      <c r="U73" s="68">
        <f ca="1">IFERROR(__xludf.DUMMYFUNCTION("""COMPUTED_VALUE"""),43199.6458333333)</f>
        <v>43199.645833333299</v>
      </c>
      <c r="V73" s="6">
        <f ca="1">IFERROR(__xludf.DUMMYFUNCTION("""COMPUTED_VALUE"""),2444.08)</f>
        <v>2444.08</v>
      </c>
      <c r="Z73" s="6" t="str">
        <f t="shared" ca="1" si="27"/>
        <v>20183</v>
      </c>
      <c r="AA73" s="6">
        <f t="shared" ca="1" si="28"/>
        <v>2018</v>
      </c>
      <c r="AB73" s="6">
        <f t="shared" ca="1" si="29"/>
        <v>3</v>
      </c>
      <c r="AC73" s="68">
        <f ca="1">IFERROR(__xludf.DUMMYFUNCTION("""COMPUTED_VALUE"""),43166.9986111111)</f>
        <v>43166.998611111099</v>
      </c>
      <c r="AD73" s="6">
        <f ca="1">IFERROR(__xludf.DUMMYFUNCTION("""COMPUTED_VALUE"""),1066.15)</f>
        <v>1066.1500000000001</v>
      </c>
      <c r="AH73" s="6" t="str">
        <f t="shared" ca="1" si="30"/>
        <v>20183</v>
      </c>
      <c r="AI73" s="6">
        <f t="shared" ca="1" si="31"/>
        <v>2018</v>
      </c>
      <c r="AJ73" s="6">
        <f t="shared" ca="1" si="32"/>
        <v>3</v>
      </c>
      <c r="AK73" s="68">
        <f ca="1">IFERROR(__xludf.DUMMYFUNCTION("""COMPUTED_VALUE"""),43164.9986111111)</f>
        <v>43164.998611111099</v>
      </c>
      <c r="AL73" s="6">
        <f ca="1">IFERROR(__xludf.DUMMYFUNCTION("""COMPUTED_VALUE"""),11569.98)</f>
        <v>11569.98</v>
      </c>
      <c r="AP73" s="6" t="str">
        <f t="shared" ca="1" si="33"/>
        <v>20184</v>
      </c>
      <c r="AQ73" s="6">
        <f t="shared" ca="1" si="34"/>
        <v>2018</v>
      </c>
      <c r="AR73" s="6">
        <f t="shared" ca="1" si="35"/>
        <v>4</v>
      </c>
      <c r="AS73" s="68">
        <f ca="1">IFERROR(__xludf.DUMMYFUNCTION("""COMPUTED_VALUE"""),43196.9986111111)</f>
        <v>43196.998611111099</v>
      </c>
      <c r="AT73" s="6">
        <f ca="1">IFERROR(__xludf.DUMMYFUNCTION("""COMPUTED_VALUE"""),1336.1)</f>
        <v>1336.1</v>
      </c>
    </row>
    <row r="74" spans="2:46" x14ac:dyDescent="0.35">
      <c r="B74" s="6" t="str">
        <f t="shared" ca="1" si="18"/>
        <v>20184</v>
      </c>
      <c r="C74" s="6">
        <f t="shared" ca="1" si="19"/>
        <v>2018</v>
      </c>
      <c r="D74" s="6">
        <f t="shared" ca="1" si="20"/>
        <v>4</v>
      </c>
      <c r="E74" s="68">
        <f ca="1">IFERROR(__xludf.DUMMYFUNCTION("""COMPUTED_VALUE"""),43199.6666666666)</f>
        <v>43199.666666666599</v>
      </c>
      <c r="F74" s="6">
        <f ca="1">IFERROR(__xludf.DUMMYFUNCTION("""COMPUTED_VALUE"""),2613.16)</f>
        <v>2613.16</v>
      </c>
      <c r="J74" s="6" t="str">
        <f t="shared" ca="1" si="21"/>
        <v>20184</v>
      </c>
      <c r="K74" s="6">
        <f t="shared" ca="1" si="22"/>
        <v>2018</v>
      </c>
      <c r="L74" s="6">
        <f t="shared" ca="1" si="23"/>
        <v>4</v>
      </c>
      <c r="M74" s="68">
        <f ca="1">IFERROR(__xludf.DUMMYFUNCTION("""COMPUTED_VALUE"""),43199.6666666666)</f>
        <v>43199.666666666599</v>
      </c>
      <c r="N74" s="6">
        <f ca="1">IFERROR(__xludf.DUMMYFUNCTION("""COMPUTED_VALUE"""),6950.34)</f>
        <v>6950.34</v>
      </c>
      <c r="R74" s="6" t="str">
        <f t="shared" ca="1" si="24"/>
        <v>20184</v>
      </c>
      <c r="S74" s="6">
        <f t="shared" ca="1" si="25"/>
        <v>2018</v>
      </c>
      <c r="T74" s="6">
        <f t="shared" ca="1" si="26"/>
        <v>4</v>
      </c>
      <c r="U74" s="68">
        <f ca="1">IFERROR(__xludf.DUMMYFUNCTION("""COMPUTED_VALUE"""),43200.6458333333)</f>
        <v>43200.645833333299</v>
      </c>
      <c r="V74" s="6">
        <f ca="1">IFERROR(__xludf.DUMMYFUNCTION("""COMPUTED_VALUE"""),2450.74)</f>
        <v>2450.7399999999998</v>
      </c>
      <c r="Z74" s="6" t="str">
        <f t="shared" ca="1" si="27"/>
        <v>20183</v>
      </c>
      <c r="AA74" s="6">
        <f t="shared" ca="1" si="28"/>
        <v>2018</v>
      </c>
      <c r="AB74" s="6">
        <f t="shared" ca="1" si="29"/>
        <v>3</v>
      </c>
      <c r="AC74" s="68">
        <f ca="1">IFERROR(__xludf.DUMMYFUNCTION("""COMPUTED_VALUE"""),43167.9986111111)</f>
        <v>43167.998611111099</v>
      </c>
      <c r="AD74" s="6">
        <f ca="1">IFERROR(__xludf.DUMMYFUNCTION("""COMPUTED_VALUE"""),1073.46)</f>
        <v>1073.46</v>
      </c>
      <c r="AH74" s="6" t="str">
        <f t="shared" ca="1" si="30"/>
        <v>20183</v>
      </c>
      <c r="AI74" s="6">
        <f t="shared" ca="1" si="31"/>
        <v>2018</v>
      </c>
      <c r="AJ74" s="6">
        <f t="shared" ca="1" si="32"/>
        <v>3</v>
      </c>
      <c r="AK74" s="68">
        <f ca="1">IFERROR(__xludf.DUMMYFUNCTION("""COMPUTED_VALUE"""),43165.9986111111)</f>
        <v>43165.998611111099</v>
      </c>
      <c r="AL74" s="6">
        <f ca="1">IFERROR(__xludf.DUMMYFUNCTION("""COMPUTED_VALUE"""),10787.04)</f>
        <v>10787.04</v>
      </c>
      <c r="AP74" s="6" t="str">
        <f t="shared" ca="1" si="33"/>
        <v>20184</v>
      </c>
      <c r="AQ74" s="6">
        <f t="shared" ca="1" si="34"/>
        <v>2018</v>
      </c>
      <c r="AR74" s="6">
        <f t="shared" ca="1" si="35"/>
        <v>4</v>
      </c>
      <c r="AS74" s="68">
        <f ca="1">IFERROR(__xludf.DUMMYFUNCTION("""COMPUTED_VALUE"""),43199.9986111111)</f>
        <v>43199.998611111099</v>
      </c>
      <c r="AT74" s="6">
        <f ca="1">IFERROR(__xludf.DUMMYFUNCTION("""COMPUTED_VALUE"""),1340.1)</f>
        <v>1340.1</v>
      </c>
    </row>
    <row r="75" spans="2:46" x14ac:dyDescent="0.35">
      <c r="B75" s="6" t="str">
        <f t="shared" ca="1" si="18"/>
        <v>20184</v>
      </c>
      <c r="C75" s="6">
        <f t="shared" ca="1" si="19"/>
        <v>2018</v>
      </c>
      <c r="D75" s="6">
        <f t="shared" ca="1" si="20"/>
        <v>4</v>
      </c>
      <c r="E75" s="68">
        <f ca="1">IFERROR(__xludf.DUMMYFUNCTION("""COMPUTED_VALUE"""),43200.6666666666)</f>
        <v>43200.666666666599</v>
      </c>
      <c r="F75" s="6">
        <f ca="1">IFERROR(__xludf.DUMMYFUNCTION("""COMPUTED_VALUE"""),2656.87)</f>
        <v>2656.87</v>
      </c>
      <c r="J75" s="6" t="str">
        <f t="shared" ca="1" si="21"/>
        <v>20184</v>
      </c>
      <c r="K75" s="6">
        <f t="shared" ca="1" si="22"/>
        <v>2018</v>
      </c>
      <c r="L75" s="6">
        <f t="shared" ca="1" si="23"/>
        <v>4</v>
      </c>
      <c r="M75" s="68">
        <f ca="1">IFERROR(__xludf.DUMMYFUNCTION("""COMPUTED_VALUE"""),43200.6666666666)</f>
        <v>43200.666666666599</v>
      </c>
      <c r="N75" s="6">
        <f ca="1">IFERROR(__xludf.DUMMYFUNCTION("""COMPUTED_VALUE"""),7094.3)</f>
        <v>7094.3</v>
      </c>
      <c r="R75" s="6" t="str">
        <f t="shared" ca="1" si="24"/>
        <v>20184</v>
      </c>
      <c r="S75" s="6">
        <f t="shared" ca="1" si="25"/>
        <v>2018</v>
      </c>
      <c r="T75" s="6">
        <f t="shared" ca="1" si="26"/>
        <v>4</v>
      </c>
      <c r="U75" s="68">
        <f ca="1">IFERROR(__xludf.DUMMYFUNCTION("""COMPUTED_VALUE"""),43201.6458333333)</f>
        <v>43201.645833333299</v>
      </c>
      <c r="V75" s="6">
        <f ca="1">IFERROR(__xludf.DUMMYFUNCTION("""COMPUTED_VALUE"""),2444.22)</f>
        <v>2444.2199999999998</v>
      </c>
      <c r="Z75" s="6" t="str">
        <f t="shared" ca="1" si="27"/>
        <v>20183</v>
      </c>
      <c r="AA75" s="6">
        <f t="shared" ca="1" si="28"/>
        <v>2018</v>
      </c>
      <c r="AB75" s="6">
        <f t="shared" ca="1" si="29"/>
        <v>3</v>
      </c>
      <c r="AC75" s="68">
        <f ca="1">IFERROR(__xludf.DUMMYFUNCTION("""COMPUTED_VALUE"""),43168.9986111111)</f>
        <v>43168.998611111099</v>
      </c>
      <c r="AD75" s="6">
        <f ca="1">IFERROR(__xludf.DUMMYFUNCTION("""COMPUTED_VALUE"""),1064)</f>
        <v>1064</v>
      </c>
      <c r="AH75" s="6" t="str">
        <f t="shared" ca="1" si="30"/>
        <v>20183</v>
      </c>
      <c r="AI75" s="6">
        <f t="shared" ca="1" si="31"/>
        <v>2018</v>
      </c>
      <c r="AJ75" s="6">
        <f t="shared" ca="1" si="32"/>
        <v>3</v>
      </c>
      <c r="AK75" s="68">
        <f ca="1">IFERROR(__xludf.DUMMYFUNCTION("""COMPUTED_VALUE"""),43166.9986111111)</f>
        <v>43166.998611111099</v>
      </c>
      <c r="AL75" s="6">
        <f ca="1">IFERROR(__xludf.DUMMYFUNCTION("""COMPUTED_VALUE"""),9946.18)</f>
        <v>9946.18</v>
      </c>
      <c r="AP75" s="6" t="str">
        <f t="shared" ca="1" si="33"/>
        <v>20184</v>
      </c>
      <c r="AQ75" s="6">
        <f t="shared" ca="1" si="34"/>
        <v>2018</v>
      </c>
      <c r="AR75" s="6">
        <f t="shared" ca="1" si="35"/>
        <v>4</v>
      </c>
      <c r="AS75" s="68">
        <f ca="1">IFERROR(__xludf.DUMMYFUNCTION("""COMPUTED_VALUE"""),43200.9986111111)</f>
        <v>43200.998611111099</v>
      </c>
      <c r="AT75" s="6">
        <f ca="1">IFERROR(__xludf.DUMMYFUNCTION("""COMPUTED_VALUE"""),1345.9)</f>
        <v>1345.9</v>
      </c>
    </row>
    <row r="76" spans="2:46" x14ac:dyDescent="0.35">
      <c r="B76" s="6" t="str">
        <f t="shared" ca="1" si="18"/>
        <v>20184</v>
      </c>
      <c r="C76" s="6">
        <f t="shared" ca="1" si="19"/>
        <v>2018</v>
      </c>
      <c r="D76" s="6">
        <f t="shared" ca="1" si="20"/>
        <v>4</v>
      </c>
      <c r="E76" s="68">
        <f ca="1">IFERROR(__xludf.DUMMYFUNCTION("""COMPUTED_VALUE"""),43201.6666666666)</f>
        <v>43201.666666666599</v>
      </c>
      <c r="F76" s="6">
        <f ca="1">IFERROR(__xludf.DUMMYFUNCTION("""COMPUTED_VALUE"""),2642.19)</f>
        <v>2642.19</v>
      </c>
      <c r="J76" s="6" t="str">
        <f t="shared" ca="1" si="21"/>
        <v>20184</v>
      </c>
      <c r="K76" s="6">
        <f t="shared" ca="1" si="22"/>
        <v>2018</v>
      </c>
      <c r="L76" s="6">
        <f t="shared" ca="1" si="23"/>
        <v>4</v>
      </c>
      <c r="M76" s="68">
        <f ca="1">IFERROR(__xludf.DUMMYFUNCTION("""COMPUTED_VALUE"""),43201.6666666666)</f>
        <v>43201.666666666599</v>
      </c>
      <c r="N76" s="6">
        <f ca="1">IFERROR(__xludf.DUMMYFUNCTION("""COMPUTED_VALUE"""),7069.03)</f>
        <v>7069.03</v>
      </c>
      <c r="R76" s="6" t="str">
        <f t="shared" ca="1" si="24"/>
        <v>20184</v>
      </c>
      <c r="S76" s="6">
        <f t="shared" ca="1" si="25"/>
        <v>2018</v>
      </c>
      <c r="T76" s="6">
        <f t="shared" ca="1" si="26"/>
        <v>4</v>
      </c>
      <c r="U76" s="68">
        <f ca="1">IFERROR(__xludf.DUMMYFUNCTION("""COMPUTED_VALUE"""),43202.6458333333)</f>
        <v>43202.645833333299</v>
      </c>
      <c r="V76" s="6">
        <f ca="1">IFERROR(__xludf.DUMMYFUNCTION("""COMPUTED_VALUE"""),2442.71)</f>
        <v>2442.71</v>
      </c>
      <c r="Z76" s="6" t="str">
        <f t="shared" ca="1" si="27"/>
        <v>20183</v>
      </c>
      <c r="AA76" s="6">
        <f t="shared" ca="1" si="28"/>
        <v>2018</v>
      </c>
      <c r="AB76" s="6">
        <f t="shared" ca="1" si="29"/>
        <v>3</v>
      </c>
      <c r="AC76" s="68">
        <f ca="1">IFERROR(__xludf.DUMMYFUNCTION("""COMPUTED_VALUE"""),43170.9986111111)</f>
        <v>43170.998611111099</v>
      </c>
      <c r="AD76" s="6">
        <f ca="1">IFERROR(__xludf.DUMMYFUNCTION("""COMPUTED_VALUE"""),1064.05)</f>
        <v>1064.05</v>
      </c>
      <c r="AH76" s="6" t="str">
        <f t="shared" ca="1" si="30"/>
        <v>20183</v>
      </c>
      <c r="AI76" s="6">
        <f t="shared" ca="1" si="31"/>
        <v>2018</v>
      </c>
      <c r="AJ76" s="6">
        <f t="shared" ca="1" si="32"/>
        <v>3</v>
      </c>
      <c r="AK76" s="68">
        <f ca="1">IFERROR(__xludf.DUMMYFUNCTION("""COMPUTED_VALUE"""),43167.9986111111)</f>
        <v>43167.998611111099</v>
      </c>
      <c r="AL76" s="6">
        <f ca="1">IFERROR(__xludf.DUMMYFUNCTION("""COMPUTED_VALUE"""),9333.84)</f>
        <v>9333.84</v>
      </c>
      <c r="AP76" s="6" t="str">
        <f t="shared" ca="1" si="33"/>
        <v>20184</v>
      </c>
      <c r="AQ76" s="6">
        <f t="shared" ca="1" si="34"/>
        <v>2018</v>
      </c>
      <c r="AR76" s="6">
        <f t="shared" ca="1" si="35"/>
        <v>4</v>
      </c>
      <c r="AS76" s="68">
        <f ca="1">IFERROR(__xludf.DUMMYFUNCTION("""COMPUTED_VALUE"""),43201.9986111111)</f>
        <v>43201.998611111099</v>
      </c>
      <c r="AT76" s="6">
        <f ca="1">IFERROR(__xludf.DUMMYFUNCTION("""COMPUTED_VALUE"""),1360)</f>
        <v>1360</v>
      </c>
    </row>
    <row r="77" spans="2:46" x14ac:dyDescent="0.35">
      <c r="B77" s="6" t="str">
        <f t="shared" ca="1" si="18"/>
        <v>20184</v>
      </c>
      <c r="C77" s="6">
        <f t="shared" ca="1" si="19"/>
        <v>2018</v>
      </c>
      <c r="D77" s="6">
        <f t="shared" ca="1" si="20"/>
        <v>4</v>
      </c>
      <c r="E77" s="68">
        <f ca="1">IFERROR(__xludf.DUMMYFUNCTION("""COMPUTED_VALUE"""),43202.6666666666)</f>
        <v>43202.666666666599</v>
      </c>
      <c r="F77" s="6">
        <f ca="1">IFERROR(__xludf.DUMMYFUNCTION("""COMPUTED_VALUE"""),2663.99)</f>
        <v>2663.99</v>
      </c>
      <c r="J77" s="6" t="str">
        <f t="shared" ca="1" si="21"/>
        <v>20184</v>
      </c>
      <c r="K77" s="6">
        <f t="shared" ca="1" si="22"/>
        <v>2018</v>
      </c>
      <c r="L77" s="6">
        <f t="shared" ca="1" si="23"/>
        <v>4</v>
      </c>
      <c r="M77" s="68">
        <f ca="1">IFERROR(__xludf.DUMMYFUNCTION("""COMPUTED_VALUE"""),43202.6666666666)</f>
        <v>43202.666666666599</v>
      </c>
      <c r="N77" s="6">
        <f ca="1">IFERROR(__xludf.DUMMYFUNCTION("""COMPUTED_VALUE"""),7140.25)</f>
        <v>7140.25</v>
      </c>
      <c r="R77" s="6" t="str">
        <f t="shared" ca="1" si="24"/>
        <v>20184</v>
      </c>
      <c r="S77" s="6">
        <f t="shared" ca="1" si="25"/>
        <v>2018</v>
      </c>
      <c r="T77" s="6">
        <f t="shared" ca="1" si="26"/>
        <v>4</v>
      </c>
      <c r="U77" s="68">
        <f ca="1">IFERROR(__xludf.DUMMYFUNCTION("""COMPUTED_VALUE"""),43203.6458333333)</f>
        <v>43203.645833333299</v>
      </c>
      <c r="V77" s="6">
        <f ca="1">IFERROR(__xludf.DUMMYFUNCTION("""COMPUTED_VALUE"""),2455.07)</f>
        <v>2455.0700000000002</v>
      </c>
      <c r="Z77" s="6" t="str">
        <f t="shared" ca="1" si="27"/>
        <v>20183</v>
      </c>
      <c r="AA77" s="6">
        <f t="shared" ca="1" si="28"/>
        <v>2018</v>
      </c>
      <c r="AB77" s="6">
        <f t="shared" ca="1" si="29"/>
        <v>3</v>
      </c>
      <c r="AC77" s="68">
        <f ca="1">IFERROR(__xludf.DUMMYFUNCTION("""COMPUTED_VALUE"""),43171.9986111111)</f>
        <v>43171.998611111099</v>
      </c>
      <c r="AD77" s="6">
        <f ca="1">IFERROR(__xludf.DUMMYFUNCTION("""COMPUTED_VALUE"""),1063.86)</f>
        <v>1063.8599999999999</v>
      </c>
      <c r="AH77" s="6" t="str">
        <f t="shared" ca="1" si="30"/>
        <v>20183</v>
      </c>
      <c r="AI77" s="6">
        <f t="shared" ca="1" si="31"/>
        <v>2018</v>
      </c>
      <c r="AJ77" s="6">
        <f t="shared" ca="1" si="32"/>
        <v>3</v>
      </c>
      <c r="AK77" s="68">
        <f ca="1">IFERROR(__xludf.DUMMYFUNCTION("""COMPUTED_VALUE"""),43168.9986111111)</f>
        <v>43168.998611111099</v>
      </c>
      <c r="AL77" s="6">
        <f ca="1">IFERROR(__xludf.DUMMYFUNCTION("""COMPUTED_VALUE"""),9006.66)</f>
        <v>9006.66</v>
      </c>
      <c r="AP77" s="6" t="str">
        <f t="shared" ca="1" si="33"/>
        <v>20184</v>
      </c>
      <c r="AQ77" s="6">
        <f t="shared" ca="1" si="34"/>
        <v>2018</v>
      </c>
      <c r="AR77" s="6">
        <f t="shared" ca="1" si="35"/>
        <v>4</v>
      </c>
      <c r="AS77" s="68">
        <f ca="1">IFERROR(__xludf.DUMMYFUNCTION("""COMPUTED_VALUE"""),43202.9986111111)</f>
        <v>43202.998611111099</v>
      </c>
      <c r="AT77" s="6">
        <f ca="1">IFERROR(__xludf.DUMMYFUNCTION("""COMPUTED_VALUE"""),1341.9)</f>
        <v>1341.9</v>
      </c>
    </row>
    <row r="78" spans="2:46" x14ac:dyDescent="0.35">
      <c r="B78" s="6" t="str">
        <f t="shared" ca="1" si="18"/>
        <v>20184</v>
      </c>
      <c r="C78" s="6">
        <f t="shared" ca="1" si="19"/>
        <v>2018</v>
      </c>
      <c r="D78" s="6">
        <f t="shared" ca="1" si="20"/>
        <v>4</v>
      </c>
      <c r="E78" s="68">
        <f ca="1">IFERROR(__xludf.DUMMYFUNCTION("""COMPUTED_VALUE"""),43203.6666666666)</f>
        <v>43203.666666666599</v>
      </c>
      <c r="F78" s="6">
        <f ca="1">IFERROR(__xludf.DUMMYFUNCTION("""COMPUTED_VALUE"""),2656.3)</f>
        <v>2656.3</v>
      </c>
      <c r="J78" s="6" t="str">
        <f t="shared" ca="1" si="21"/>
        <v>20184</v>
      </c>
      <c r="K78" s="6">
        <f t="shared" ca="1" si="22"/>
        <v>2018</v>
      </c>
      <c r="L78" s="6">
        <f t="shared" ca="1" si="23"/>
        <v>4</v>
      </c>
      <c r="M78" s="68">
        <f ca="1">IFERROR(__xludf.DUMMYFUNCTION("""COMPUTED_VALUE"""),43203.6666666666)</f>
        <v>43203.666666666599</v>
      </c>
      <c r="N78" s="6">
        <f ca="1">IFERROR(__xludf.DUMMYFUNCTION("""COMPUTED_VALUE"""),7106.65)</f>
        <v>7106.65</v>
      </c>
      <c r="R78" s="6" t="str">
        <f t="shared" ca="1" si="24"/>
        <v>20184</v>
      </c>
      <c r="S78" s="6">
        <f t="shared" ca="1" si="25"/>
        <v>2018</v>
      </c>
      <c r="T78" s="6">
        <f t="shared" ca="1" si="26"/>
        <v>4</v>
      </c>
      <c r="U78" s="68">
        <f ca="1">IFERROR(__xludf.DUMMYFUNCTION("""COMPUTED_VALUE"""),43206.6458333333)</f>
        <v>43206.645833333299</v>
      </c>
      <c r="V78" s="6">
        <f ca="1">IFERROR(__xludf.DUMMYFUNCTION("""COMPUTED_VALUE"""),2457.49)</f>
        <v>2457.4899999999998</v>
      </c>
      <c r="Z78" s="6" t="str">
        <f t="shared" ca="1" si="27"/>
        <v>20183</v>
      </c>
      <c r="AA78" s="6">
        <f t="shared" ca="1" si="28"/>
        <v>2018</v>
      </c>
      <c r="AB78" s="6">
        <f t="shared" ca="1" si="29"/>
        <v>3</v>
      </c>
      <c r="AC78" s="68">
        <f ca="1">IFERROR(__xludf.DUMMYFUNCTION("""COMPUTED_VALUE"""),43172.9986111111)</f>
        <v>43172.998611111099</v>
      </c>
      <c r="AD78" s="6">
        <f ca="1">IFERROR(__xludf.DUMMYFUNCTION("""COMPUTED_VALUE"""),1066.4)</f>
        <v>1066.4000000000001</v>
      </c>
      <c r="AH78" s="6" t="str">
        <f t="shared" ca="1" si="30"/>
        <v>20183</v>
      </c>
      <c r="AI78" s="6">
        <f t="shared" ca="1" si="31"/>
        <v>2018</v>
      </c>
      <c r="AJ78" s="6">
        <f t="shared" ca="1" si="32"/>
        <v>3</v>
      </c>
      <c r="AK78" s="68">
        <f ca="1">IFERROR(__xludf.DUMMYFUNCTION("""COMPUTED_VALUE"""),43169.9986111111)</f>
        <v>43169.998611111099</v>
      </c>
      <c r="AL78" s="6">
        <f ca="1">IFERROR(__xludf.DUMMYFUNCTION("""COMPUTED_VALUE"""),8515.73)</f>
        <v>8515.73</v>
      </c>
      <c r="AP78" s="6" t="str">
        <f t="shared" ca="1" si="33"/>
        <v>20184</v>
      </c>
      <c r="AQ78" s="6">
        <f t="shared" ca="1" si="34"/>
        <v>2018</v>
      </c>
      <c r="AR78" s="6">
        <f t="shared" ca="1" si="35"/>
        <v>4</v>
      </c>
      <c r="AS78" s="68">
        <f ca="1">IFERROR(__xludf.DUMMYFUNCTION("""COMPUTED_VALUE"""),43203.9986111111)</f>
        <v>43203.998611111099</v>
      </c>
      <c r="AT78" s="6">
        <f ca="1">IFERROR(__xludf.DUMMYFUNCTION("""COMPUTED_VALUE"""),1347.9)</f>
        <v>1347.9</v>
      </c>
    </row>
    <row r="79" spans="2:46" x14ac:dyDescent="0.35">
      <c r="B79" s="6" t="str">
        <f t="shared" ca="1" si="18"/>
        <v>20184</v>
      </c>
      <c r="C79" s="6">
        <f t="shared" ca="1" si="19"/>
        <v>2018</v>
      </c>
      <c r="D79" s="6">
        <f t="shared" ca="1" si="20"/>
        <v>4</v>
      </c>
      <c r="E79" s="68">
        <f ca="1">IFERROR(__xludf.DUMMYFUNCTION("""COMPUTED_VALUE"""),43206.6666666666)</f>
        <v>43206.666666666599</v>
      </c>
      <c r="F79" s="6">
        <f ca="1">IFERROR(__xludf.DUMMYFUNCTION("""COMPUTED_VALUE"""),2677.84)</f>
        <v>2677.84</v>
      </c>
      <c r="J79" s="6" t="str">
        <f t="shared" ca="1" si="21"/>
        <v>20184</v>
      </c>
      <c r="K79" s="6">
        <f t="shared" ca="1" si="22"/>
        <v>2018</v>
      </c>
      <c r="L79" s="6">
        <f t="shared" ca="1" si="23"/>
        <v>4</v>
      </c>
      <c r="M79" s="68">
        <f ca="1">IFERROR(__xludf.DUMMYFUNCTION("""COMPUTED_VALUE"""),43206.6666666666)</f>
        <v>43206.666666666599</v>
      </c>
      <c r="N79" s="6">
        <f ca="1">IFERROR(__xludf.DUMMYFUNCTION("""COMPUTED_VALUE"""),7156.29)</f>
        <v>7156.29</v>
      </c>
      <c r="R79" s="6" t="str">
        <f t="shared" ca="1" si="24"/>
        <v>20184</v>
      </c>
      <c r="S79" s="6">
        <f t="shared" ca="1" si="25"/>
        <v>2018</v>
      </c>
      <c r="T79" s="6">
        <f t="shared" ca="1" si="26"/>
        <v>4</v>
      </c>
      <c r="U79" s="68">
        <f ca="1">IFERROR(__xludf.DUMMYFUNCTION("""COMPUTED_VALUE"""),43207.6458333333)</f>
        <v>43207.645833333299</v>
      </c>
      <c r="V79" s="6">
        <f ca="1">IFERROR(__xludf.DUMMYFUNCTION("""COMPUTED_VALUE"""),2453.77)</f>
        <v>2453.77</v>
      </c>
      <c r="Z79" s="6" t="str">
        <f t="shared" ca="1" si="27"/>
        <v>20183</v>
      </c>
      <c r="AA79" s="6">
        <f t="shared" ca="1" si="28"/>
        <v>2018</v>
      </c>
      <c r="AB79" s="6">
        <f t="shared" ca="1" si="29"/>
        <v>3</v>
      </c>
      <c r="AC79" s="68">
        <f ca="1">IFERROR(__xludf.DUMMYFUNCTION("""COMPUTED_VALUE"""),43173.9986111111)</f>
        <v>43173.998611111099</v>
      </c>
      <c r="AD79" s="6">
        <f ca="1">IFERROR(__xludf.DUMMYFUNCTION("""COMPUTED_VALUE"""),1062.55)</f>
        <v>1062.55</v>
      </c>
      <c r="AH79" s="6" t="str">
        <f t="shared" ca="1" si="30"/>
        <v>20183</v>
      </c>
      <c r="AI79" s="6">
        <f t="shared" ca="1" si="31"/>
        <v>2018</v>
      </c>
      <c r="AJ79" s="6">
        <f t="shared" ca="1" si="32"/>
        <v>3</v>
      </c>
      <c r="AK79" s="68">
        <f ca="1">IFERROR(__xludf.DUMMYFUNCTION("""COMPUTED_VALUE"""),43170.9986111111)</f>
        <v>43170.998611111099</v>
      </c>
      <c r="AL79" s="6">
        <f ca="1">IFERROR(__xludf.DUMMYFUNCTION("""COMPUTED_VALUE"""),9519.76)</f>
        <v>9519.76</v>
      </c>
      <c r="AP79" s="6" t="str">
        <f t="shared" ca="1" si="33"/>
        <v>20184</v>
      </c>
      <c r="AQ79" s="6">
        <f t="shared" ca="1" si="34"/>
        <v>2018</v>
      </c>
      <c r="AR79" s="6">
        <f t="shared" ca="1" si="35"/>
        <v>4</v>
      </c>
      <c r="AS79" s="68">
        <f ca="1">IFERROR(__xludf.DUMMYFUNCTION("""COMPUTED_VALUE"""),43206.9986111111)</f>
        <v>43206.998611111099</v>
      </c>
      <c r="AT79" s="6">
        <f ca="1">IFERROR(__xludf.DUMMYFUNCTION("""COMPUTED_VALUE"""),1350.7)</f>
        <v>1350.7</v>
      </c>
    </row>
    <row r="80" spans="2:46" x14ac:dyDescent="0.35">
      <c r="B80" s="6" t="str">
        <f t="shared" ca="1" si="18"/>
        <v>20184</v>
      </c>
      <c r="C80" s="6">
        <f t="shared" ca="1" si="19"/>
        <v>2018</v>
      </c>
      <c r="D80" s="6">
        <f t="shared" ca="1" si="20"/>
        <v>4</v>
      </c>
      <c r="E80" s="68">
        <f ca="1">IFERROR(__xludf.DUMMYFUNCTION("""COMPUTED_VALUE"""),43207.6666666666)</f>
        <v>43207.666666666599</v>
      </c>
      <c r="F80" s="6">
        <f ca="1">IFERROR(__xludf.DUMMYFUNCTION("""COMPUTED_VALUE"""),2706.39)</f>
        <v>2706.39</v>
      </c>
      <c r="J80" s="6" t="str">
        <f t="shared" ca="1" si="21"/>
        <v>20184</v>
      </c>
      <c r="K80" s="6">
        <f t="shared" ca="1" si="22"/>
        <v>2018</v>
      </c>
      <c r="L80" s="6">
        <f t="shared" ca="1" si="23"/>
        <v>4</v>
      </c>
      <c r="M80" s="68">
        <f ca="1">IFERROR(__xludf.DUMMYFUNCTION("""COMPUTED_VALUE"""),43207.6666666666)</f>
        <v>43207.666666666599</v>
      </c>
      <c r="N80" s="6">
        <f ca="1">IFERROR(__xludf.DUMMYFUNCTION("""COMPUTED_VALUE"""),7281.1)</f>
        <v>7281.1</v>
      </c>
      <c r="R80" s="6" t="str">
        <f t="shared" ca="1" si="24"/>
        <v>20184</v>
      </c>
      <c r="S80" s="6">
        <f t="shared" ca="1" si="25"/>
        <v>2018</v>
      </c>
      <c r="T80" s="6">
        <f t="shared" ca="1" si="26"/>
        <v>4</v>
      </c>
      <c r="U80" s="68">
        <f ca="1">IFERROR(__xludf.DUMMYFUNCTION("""COMPUTED_VALUE"""),43208.6458333333)</f>
        <v>43208.645833333299</v>
      </c>
      <c r="V80" s="6">
        <f ca="1">IFERROR(__xludf.DUMMYFUNCTION("""COMPUTED_VALUE"""),2479.98)</f>
        <v>2479.98</v>
      </c>
      <c r="Z80" s="6" t="str">
        <f t="shared" ca="1" si="27"/>
        <v>20183</v>
      </c>
      <c r="AA80" s="6">
        <f t="shared" ca="1" si="28"/>
        <v>2018</v>
      </c>
      <c r="AB80" s="6">
        <f t="shared" ca="1" si="29"/>
        <v>3</v>
      </c>
      <c r="AC80" s="68">
        <f ca="1">IFERROR(__xludf.DUMMYFUNCTION("""COMPUTED_VALUE"""),43174.9986111111)</f>
        <v>43174.998611111099</v>
      </c>
      <c r="AD80" s="6">
        <f ca="1">IFERROR(__xludf.DUMMYFUNCTION("""COMPUTED_VALUE"""),1068.75)</f>
        <v>1068.75</v>
      </c>
      <c r="AH80" s="6" t="str">
        <f t="shared" ca="1" si="30"/>
        <v>20183</v>
      </c>
      <c r="AI80" s="6">
        <f t="shared" ca="1" si="31"/>
        <v>2018</v>
      </c>
      <c r="AJ80" s="6">
        <f t="shared" ca="1" si="32"/>
        <v>3</v>
      </c>
      <c r="AK80" s="68">
        <f ca="1">IFERROR(__xludf.DUMMYFUNCTION("""COMPUTED_VALUE"""),43171.9986111111)</f>
        <v>43171.998611111099</v>
      </c>
      <c r="AL80" s="6">
        <f ca="1">IFERROR(__xludf.DUMMYFUNCTION("""COMPUTED_VALUE"""),9009.62)</f>
        <v>9009.6200000000008</v>
      </c>
      <c r="AP80" s="6" t="str">
        <f t="shared" ca="1" si="33"/>
        <v>20184</v>
      </c>
      <c r="AQ80" s="6">
        <f t="shared" ca="1" si="34"/>
        <v>2018</v>
      </c>
      <c r="AR80" s="6">
        <f t="shared" ca="1" si="35"/>
        <v>4</v>
      </c>
      <c r="AS80" s="68">
        <f ca="1">IFERROR(__xludf.DUMMYFUNCTION("""COMPUTED_VALUE"""),43207.9986111111)</f>
        <v>43207.998611111099</v>
      </c>
      <c r="AT80" s="6">
        <f ca="1">IFERROR(__xludf.DUMMYFUNCTION("""COMPUTED_VALUE"""),1349.5)</f>
        <v>1349.5</v>
      </c>
    </row>
    <row r="81" spans="2:46" x14ac:dyDescent="0.35">
      <c r="B81" s="6" t="str">
        <f t="shared" ca="1" si="18"/>
        <v>20184</v>
      </c>
      <c r="C81" s="6">
        <f t="shared" ca="1" si="19"/>
        <v>2018</v>
      </c>
      <c r="D81" s="6">
        <f t="shared" ca="1" si="20"/>
        <v>4</v>
      </c>
      <c r="E81" s="68">
        <f ca="1">IFERROR(__xludf.DUMMYFUNCTION("""COMPUTED_VALUE"""),43208.6666666666)</f>
        <v>43208.666666666599</v>
      </c>
      <c r="F81" s="6">
        <f ca="1">IFERROR(__xludf.DUMMYFUNCTION("""COMPUTED_VALUE"""),2708.64)</f>
        <v>2708.64</v>
      </c>
      <c r="J81" s="6" t="str">
        <f t="shared" ca="1" si="21"/>
        <v>20184</v>
      </c>
      <c r="K81" s="6">
        <f t="shared" ca="1" si="22"/>
        <v>2018</v>
      </c>
      <c r="L81" s="6">
        <f t="shared" ca="1" si="23"/>
        <v>4</v>
      </c>
      <c r="M81" s="68">
        <f ca="1">IFERROR(__xludf.DUMMYFUNCTION("""COMPUTED_VALUE"""),43208.6666666666)</f>
        <v>43208.666666666599</v>
      </c>
      <c r="N81" s="6">
        <f ca="1">IFERROR(__xludf.DUMMYFUNCTION("""COMPUTED_VALUE"""),7295.24)</f>
        <v>7295.24</v>
      </c>
      <c r="R81" s="6" t="str">
        <f t="shared" ca="1" si="24"/>
        <v>20184</v>
      </c>
      <c r="S81" s="6">
        <f t="shared" ca="1" si="25"/>
        <v>2018</v>
      </c>
      <c r="T81" s="6">
        <f t="shared" ca="1" si="26"/>
        <v>4</v>
      </c>
      <c r="U81" s="68">
        <f ca="1">IFERROR(__xludf.DUMMYFUNCTION("""COMPUTED_VALUE"""),43209.6458333333)</f>
        <v>43209.645833333299</v>
      </c>
      <c r="V81" s="6">
        <f ca="1">IFERROR(__xludf.DUMMYFUNCTION("""COMPUTED_VALUE"""),2486.1)</f>
        <v>2486.1</v>
      </c>
      <c r="Z81" s="6" t="str">
        <f t="shared" ca="1" si="27"/>
        <v>20183</v>
      </c>
      <c r="AA81" s="6">
        <f t="shared" ca="1" si="28"/>
        <v>2018</v>
      </c>
      <c r="AB81" s="6">
        <f t="shared" ca="1" si="29"/>
        <v>3</v>
      </c>
      <c r="AC81" s="68">
        <f ca="1">IFERROR(__xludf.DUMMYFUNCTION("""COMPUTED_VALUE"""),43175.9986111111)</f>
        <v>43175.998611111099</v>
      </c>
      <c r="AD81" s="6">
        <f ca="1">IFERROR(__xludf.DUMMYFUNCTION("""COMPUTED_VALUE"""),1068.9)</f>
        <v>1068.9000000000001</v>
      </c>
      <c r="AH81" s="6" t="str">
        <f t="shared" ca="1" si="30"/>
        <v>20183</v>
      </c>
      <c r="AI81" s="6">
        <f t="shared" ca="1" si="31"/>
        <v>2018</v>
      </c>
      <c r="AJ81" s="6">
        <f t="shared" ca="1" si="32"/>
        <v>3</v>
      </c>
      <c r="AK81" s="68">
        <f ca="1">IFERROR(__xludf.DUMMYFUNCTION("""COMPUTED_VALUE"""),43172.9986111111)</f>
        <v>43172.998611111099</v>
      </c>
      <c r="AL81" s="6">
        <f ca="1">IFERROR(__xludf.DUMMYFUNCTION("""COMPUTED_VALUE"""),9059.03)</f>
        <v>9059.0300000000007</v>
      </c>
      <c r="AP81" s="6" t="str">
        <f t="shared" ca="1" si="33"/>
        <v>20184</v>
      </c>
      <c r="AQ81" s="6">
        <f t="shared" ca="1" si="34"/>
        <v>2018</v>
      </c>
      <c r="AR81" s="6">
        <f t="shared" ca="1" si="35"/>
        <v>4</v>
      </c>
      <c r="AS81" s="68">
        <f ca="1">IFERROR(__xludf.DUMMYFUNCTION("""COMPUTED_VALUE"""),43208.9986111111)</f>
        <v>43208.998611111099</v>
      </c>
      <c r="AT81" s="6">
        <f ca="1">IFERROR(__xludf.DUMMYFUNCTION("""COMPUTED_VALUE"""),1353.5)</f>
        <v>1353.5</v>
      </c>
    </row>
    <row r="82" spans="2:46" x14ac:dyDescent="0.35">
      <c r="B82" s="6" t="str">
        <f t="shared" ca="1" si="18"/>
        <v>20184</v>
      </c>
      <c r="C82" s="6">
        <f t="shared" ca="1" si="19"/>
        <v>2018</v>
      </c>
      <c r="D82" s="6">
        <f t="shared" ca="1" si="20"/>
        <v>4</v>
      </c>
      <c r="E82" s="68">
        <f ca="1">IFERROR(__xludf.DUMMYFUNCTION("""COMPUTED_VALUE"""),43209.6666666666)</f>
        <v>43209.666666666599</v>
      </c>
      <c r="F82" s="6">
        <f ca="1">IFERROR(__xludf.DUMMYFUNCTION("""COMPUTED_VALUE"""),2693.13)</f>
        <v>2693.13</v>
      </c>
      <c r="J82" s="6" t="str">
        <f t="shared" ca="1" si="21"/>
        <v>20184</v>
      </c>
      <c r="K82" s="6">
        <f t="shared" ca="1" si="22"/>
        <v>2018</v>
      </c>
      <c r="L82" s="6">
        <f t="shared" ca="1" si="23"/>
        <v>4</v>
      </c>
      <c r="M82" s="68">
        <f ca="1">IFERROR(__xludf.DUMMYFUNCTION("""COMPUTED_VALUE"""),43209.6666666666)</f>
        <v>43209.666666666599</v>
      </c>
      <c r="N82" s="6">
        <f ca="1">IFERROR(__xludf.DUMMYFUNCTION("""COMPUTED_VALUE"""),7238.06)</f>
        <v>7238.06</v>
      </c>
      <c r="R82" s="6" t="str">
        <f t="shared" ca="1" si="24"/>
        <v>20184</v>
      </c>
      <c r="S82" s="6">
        <f t="shared" ca="1" si="25"/>
        <v>2018</v>
      </c>
      <c r="T82" s="6">
        <f t="shared" ca="1" si="26"/>
        <v>4</v>
      </c>
      <c r="U82" s="68">
        <f ca="1">IFERROR(__xludf.DUMMYFUNCTION("""COMPUTED_VALUE"""),43210.6458333333)</f>
        <v>43210.645833333299</v>
      </c>
      <c r="V82" s="6">
        <f ca="1">IFERROR(__xludf.DUMMYFUNCTION("""COMPUTED_VALUE"""),2476.33)</f>
        <v>2476.33</v>
      </c>
      <c r="Z82" s="6" t="str">
        <f t="shared" ca="1" si="27"/>
        <v>20183</v>
      </c>
      <c r="AA82" s="6">
        <f t="shared" ca="1" si="28"/>
        <v>2018</v>
      </c>
      <c r="AB82" s="6">
        <f t="shared" ca="1" si="29"/>
        <v>3</v>
      </c>
      <c r="AC82" s="68">
        <f ca="1">IFERROR(__xludf.DUMMYFUNCTION("""COMPUTED_VALUE"""),43177.9986111111)</f>
        <v>43177.998611111099</v>
      </c>
      <c r="AD82" s="6">
        <f ca="1">IFERROR(__xludf.DUMMYFUNCTION("""COMPUTED_VALUE"""),1070.21)</f>
        <v>1070.21</v>
      </c>
      <c r="AH82" s="6" t="str">
        <f t="shared" ca="1" si="30"/>
        <v>20183</v>
      </c>
      <c r="AI82" s="6">
        <f t="shared" ca="1" si="31"/>
        <v>2018</v>
      </c>
      <c r="AJ82" s="6">
        <f t="shared" ca="1" si="32"/>
        <v>3</v>
      </c>
      <c r="AK82" s="68">
        <f ca="1">IFERROR(__xludf.DUMMYFUNCTION("""COMPUTED_VALUE"""),43173.9986111111)</f>
        <v>43173.998611111099</v>
      </c>
      <c r="AL82" s="6">
        <f ca="1">IFERROR(__xludf.DUMMYFUNCTION("""COMPUTED_VALUE"""),8299.89)</f>
        <v>8299.89</v>
      </c>
      <c r="AP82" s="6" t="str">
        <f t="shared" ca="1" si="33"/>
        <v>20184</v>
      </c>
      <c r="AQ82" s="6">
        <f t="shared" ca="1" si="34"/>
        <v>2018</v>
      </c>
      <c r="AR82" s="6">
        <f t="shared" ca="1" si="35"/>
        <v>4</v>
      </c>
      <c r="AS82" s="68">
        <f ca="1">IFERROR(__xludf.DUMMYFUNCTION("""COMPUTED_VALUE"""),43209.9986111111)</f>
        <v>43209.998611111099</v>
      </c>
      <c r="AT82" s="6">
        <f ca="1">IFERROR(__xludf.DUMMYFUNCTION("""COMPUTED_VALUE"""),1348.8)</f>
        <v>1348.8</v>
      </c>
    </row>
    <row r="83" spans="2:46" x14ac:dyDescent="0.35">
      <c r="B83" s="6" t="str">
        <f t="shared" ca="1" si="18"/>
        <v>20184</v>
      </c>
      <c r="C83" s="6">
        <f t="shared" ca="1" si="19"/>
        <v>2018</v>
      </c>
      <c r="D83" s="6">
        <f t="shared" ca="1" si="20"/>
        <v>4</v>
      </c>
      <c r="E83" s="68">
        <f ca="1">IFERROR(__xludf.DUMMYFUNCTION("""COMPUTED_VALUE"""),43210.6666666666)</f>
        <v>43210.666666666599</v>
      </c>
      <c r="F83" s="6">
        <f ca="1">IFERROR(__xludf.DUMMYFUNCTION("""COMPUTED_VALUE"""),2670.14)</f>
        <v>2670.14</v>
      </c>
      <c r="J83" s="6" t="str">
        <f t="shared" ca="1" si="21"/>
        <v>20184</v>
      </c>
      <c r="K83" s="6">
        <f t="shared" ca="1" si="22"/>
        <v>2018</v>
      </c>
      <c r="L83" s="6">
        <f t="shared" ca="1" si="23"/>
        <v>4</v>
      </c>
      <c r="M83" s="68">
        <f ca="1">IFERROR(__xludf.DUMMYFUNCTION("""COMPUTED_VALUE"""),43210.6666666666)</f>
        <v>43210.666666666599</v>
      </c>
      <c r="N83" s="6">
        <f ca="1">IFERROR(__xludf.DUMMYFUNCTION("""COMPUTED_VALUE"""),7146.13)</f>
        <v>7146.13</v>
      </c>
      <c r="R83" s="6" t="str">
        <f t="shared" ca="1" si="24"/>
        <v>20184</v>
      </c>
      <c r="S83" s="6">
        <f t="shared" ca="1" si="25"/>
        <v>2018</v>
      </c>
      <c r="T83" s="6">
        <f t="shared" ca="1" si="26"/>
        <v>4</v>
      </c>
      <c r="U83" s="68">
        <f ca="1">IFERROR(__xludf.DUMMYFUNCTION("""COMPUTED_VALUE"""),43213.6458333333)</f>
        <v>43213.645833333299</v>
      </c>
      <c r="V83" s="6">
        <f ca="1">IFERROR(__xludf.DUMMYFUNCTION("""COMPUTED_VALUE"""),2474.11)</f>
        <v>2474.11</v>
      </c>
      <c r="Z83" s="6" t="str">
        <f t="shared" ca="1" si="27"/>
        <v>20183</v>
      </c>
      <c r="AA83" s="6">
        <f t="shared" ca="1" si="28"/>
        <v>2018</v>
      </c>
      <c r="AB83" s="6">
        <f t="shared" ca="1" si="29"/>
        <v>3</v>
      </c>
      <c r="AC83" s="68">
        <f ca="1">IFERROR(__xludf.DUMMYFUNCTION("""COMPUTED_VALUE"""),43178.9986111111)</f>
        <v>43178.998611111099</v>
      </c>
      <c r="AD83" s="6">
        <f ca="1">IFERROR(__xludf.DUMMYFUNCTION("""COMPUTED_VALUE"""),1072.16)</f>
        <v>1072.1600000000001</v>
      </c>
      <c r="AH83" s="6" t="str">
        <f t="shared" ca="1" si="30"/>
        <v>20183</v>
      </c>
      <c r="AI83" s="6">
        <f t="shared" ca="1" si="31"/>
        <v>2018</v>
      </c>
      <c r="AJ83" s="6">
        <f t="shared" ca="1" si="32"/>
        <v>3</v>
      </c>
      <c r="AK83" s="68">
        <f ca="1">IFERROR(__xludf.DUMMYFUNCTION("""COMPUTED_VALUE"""),43174.9986111111)</f>
        <v>43174.998611111099</v>
      </c>
      <c r="AL83" s="6">
        <f ca="1">IFERROR(__xludf.DUMMYFUNCTION("""COMPUTED_VALUE"""),8263.65)</f>
        <v>8263.65</v>
      </c>
      <c r="AP83" s="6" t="str">
        <f t="shared" ca="1" si="33"/>
        <v>20184</v>
      </c>
      <c r="AQ83" s="6">
        <f t="shared" ca="1" si="34"/>
        <v>2018</v>
      </c>
      <c r="AR83" s="6">
        <f t="shared" ca="1" si="35"/>
        <v>4</v>
      </c>
      <c r="AS83" s="68">
        <f ca="1">IFERROR(__xludf.DUMMYFUNCTION("""COMPUTED_VALUE"""),43210.9986111111)</f>
        <v>43210.998611111099</v>
      </c>
      <c r="AT83" s="6">
        <f ca="1">IFERROR(__xludf.DUMMYFUNCTION("""COMPUTED_VALUE"""),1338.3)</f>
        <v>1338.3</v>
      </c>
    </row>
    <row r="84" spans="2:46" x14ac:dyDescent="0.35">
      <c r="B84" s="6" t="str">
        <f t="shared" ca="1" si="18"/>
        <v>20184</v>
      </c>
      <c r="C84" s="6">
        <f t="shared" ca="1" si="19"/>
        <v>2018</v>
      </c>
      <c r="D84" s="6">
        <f t="shared" ca="1" si="20"/>
        <v>4</v>
      </c>
      <c r="E84" s="68">
        <f ca="1">IFERROR(__xludf.DUMMYFUNCTION("""COMPUTED_VALUE"""),43213.6666666666)</f>
        <v>43213.666666666599</v>
      </c>
      <c r="F84" s="6">
        <f ca="1">IFERROR(__xludf.DUMMYFUNCTION("""COMPUTED_VALUE"""),2670.29)</f>
        <v>2670.29</v>
      </c>
      <c r="J84" s="6" t="str">
        <f t="shared" ca="1" si="21"/>
        <v>20184</v>
      </c>
      <c r="K84" s="6">
        <f t="shared" ca="1" si="22"/>
        <v>2018</v>
      </c>
      <c r="L84" s="6">
        <f t="shared" ca="1" si="23"/>
        <v>4</v>
      </c>
      <c r="M84" s="68">
        <f ca="1">IFERROR(__xludf.DUMMYFUNCTION("""COMPUTED_VALUE"""),43213.6666666666)</f>
        <v>43213.666666666599</v>
      </c>
      <c r="N84" s="6">
        <f ca="1">IFERROR(__xludf.DUMMYFUNCTION("""COMPUTED_VALUE"""),7128.6)</f>
        <v>7128.6</v>
      </c>
      <c r="R84" s="6" t="str">
        <f t="shared" ca="1" si="24"/>
        <v>20184</v>
      </c>
      <c r="S84" s="6">
        <f t="shared" ca="1" si="25"/>
        <v>2018</v>
      </c>
      <c r="T84" s="6">
        <f t="shared" ca="1" si="26"/>
        <v>4</v>
      </c>
      <c r="U84" s="68">
        <f ca="1">IFERROR(__xludf.DUMMYFUNCTION("""COMPUTED_VALUE"""),43214.6458333333)</f>
        <v>43214.645833333299</v>
      </c>
      <c r="V84" s="6">
        <f ca="1">IFERROR(__xludf.DUMMYFUNCTION("""COMPUTED_VALUE"""),2464.14)</f>
        <v>2464.14</v>
      </c>
      <c r="Z84" s="6" t="str">
        <f t="shared" ca="1" si="27"/>
        <v>20183</v>
      </c>
      <c r="AA84" s="6">
        <f t="shared" ca="1" si="28"/>
        <v>2018</v>
      </c>
      <c r="AB84" s="6">
        <f t="shared" ca="1" si="29"/>
        <v>3</v>
      </c>
      <c r="AC84" s="68">
        <f ca="1">IFERROR(__xludf.DUMMYFUNCTION("""COMPUTED_VALUE"""),43179.9986111111)</f>
        <v>43179.998611111099</v>
      </c>
      <c r="AD84" s="6">
        <f ca="1">IFERROR(__xludf.DUMMYFUNCTION("""COMPUTED_VALUE"""),1070.55)</f>
        <v>1070.55</v>
      </c>
      <c r="AH84" s="6" t="str">
        <f t="shared" ca="1" si="30"/>
        <v>20183</v>
      </c>
      <c r="AI84" s="6">
        <f t="shared" ca="1" si="31"/>
        <v>2018</v>
      </c>
      <c r="AJ84" s="6">
        <f t="shared" ca="1" si="32"/>
        <v>3</v>
      </c>
      <c r="AK84" s="68">
        <f ca="1">IFERROR(__xludf.DUMMYFUNCTION("""COMPUTED_VALUE"""),43175.9986111111)</f>
        <v>43175.998611111099</v>
      </c>
      <c r="AL84" s="6">
        <f ca="1">IFERROR(__xludf.DUMMYFUNCTION("""COMPUTED_VALUE"""),8526.98)</f>
        <v>8526.98</v>
      </c>
      <c r="AP84" s="6" t="str">
        <f t="shared" ca="1" si="33"/>
        <v>20184</v>
      </c>
      <c r="AQ84" s="6">
        <f t="shared" ca="1" si="34"/>
        <v>2018</v>
      </c>
      <c r="AR84" s="6">
        <f t="shared" ca="1" si="35"/>
        <v>4</v>
      </c>
      <c r="AS84" s="68">
        <f ca="1">IFERROR(__xludf.DUMMYFUNCTION("""COMPUTED_VALUE"""),43213.9986111111)</f>
        <v>43213.998611111099</v>
      </c>
      <c r="AT84" s="6">
        <f ca="1">IFERROR(__xludf.DUMMYFUNCTION("""COMPUTED_VALUE"""),1324)</f>
        <v>1324</v>
      </c>
    </row>
    <row r="85" spans="2:46" x14ac:dyDescent="0.35">
      <c r="B85" s="6" t="str">
        <f t="shared" ca="1" si="18"/>
        <v>20184</v>
      </c>
      <c r="C85" s="6">
        <f t="shared" ca="1" si="19"/>
        <v>2018</v>
      </c>
      <c r="D85" s="6">
        <f t="shared" ca="1" si="20"/>
        <v>4</v>
      </c>
      <c r="E85" s="68">
        <f ca="1">IFERROR(__xludf.DUMMYFUNCTION("""COMPUTED_VALUE"""),43214.6666666666)</f>
        <v>43214.666666666599</v>
      </c>
      <c r="F85" s="6">
        <f ca="1">IFERROR(__xludf.DUMMYFUNCTION("""COMPUTED_VALUE"""),2634.56)</f>
        <v>2634.56</v>
      </c>
      <c r="J85" s="6" t="str">
        <f t="shared" ca="1" si="21"/>
        <v>20184</v>
      </c>
      <c r="K85" s="6">
        <f t="shared" ca="1" si="22"/>
        <v>2018</v>
      </c>
      <c r="L85" s="6">
        <f t="shared" ca="1" si="23"/>
        <v>4</v>
      </c>
      <c r="M85" s="68">
        <f ca="1">IFERROR(__xludf.DUMMYFUNCTION("""COMPUTED_VALUE"""),43214.6666666666)</f>
        <v>43214.666666666599</v>
      </c>
      <c r="N85" s="6">
        <f ca="1">IFERROR(__xludf.DUMMYFUNCTION("""COMPUTED_VALUE"""),7007.35)</f>
        <v>7007.35</v>
      </c>
      <c r="R85" s="6" t="str">
        <f t="shared" ca="1" si="24"/>
        <v>20184</v>
      </c>
      <c r="S85" s="6">
        <f t="shared" ca="1" si="25"/>
        <v>2018</v>
      </c>
      <c r="T85" s="6">
        <f t="shared" ca="1" si="26"/>
        <v>4</v>
      </c>
      <c r="U85" s="68">
        <f ca="1">IFERROR(__xludf.DUMMYFUNCTION("""COMPUTED_VALUE"""),43215.6458333333)</f>
        <v>43215.645833333299</v>
      </c>
      <c r="V85" s="6">
        <f ca="1">IFERROR(__xludf.DUMMYFUNCTION("""COMPUTED_VALUE"""),2448.81)</f>
        <v>2448.81</v>
      </c>
      <c r="Z85" s="6" t="str">
        <f t="shared" ca="1" si="27"/>
        <v>20183</v>
      </c>
      <c r="AA85" s="6">
        <f t="shared" ca="1" si="28"/>
        <v>2018</v>
      </c>
      <c r="AB85" s="6">
        <f t="shared" ca="1" si="29"/>
        <v>3</v>
      </c>
      <c r="AC85" s="68">
        <f ca="1">IFERROR(__xludf.DUMMYFUNCTION("""COMPUTED_VALUE"""),43180.9986111111)</f>
        <v>43180.998611111099</v>
      </c>
      <c r="AD85" s="6">
        <f ca="1">IFERROR(__xludf.DUMMYFUNCTION("""COMPUTED_VALUE"""),1063.96)</f>
        <v>1063.96</v>
      </c>
      <c r="AH85" s="6" t="str">
        <f t="shared" ca="1" si="30"/>
        <v>20183</v>
      </c>
      <c r="AI85" s="6">
        <f t="shared" ca="1" si="31"/>
        <v>2018</v>
      </c>
      <c r="AJ85" s="6">
        <f t="shared" ca="1" si="32"/>
        <v>3</v>
      </c>
      <c r="AK85" s="68">
        <f ca="1">IFERROR(__xludf.DUMMYFUNCTION("""COMPUTED_VALUE"""),43176.9986111111)</f>
        <v>43176.998611111099</v>
      </c>
      <c r="AL85" s="6">
        <f ca="1">IFERROR(__xludf.DUMMYFUNCTION("""COMPUTED_VALUE"""),7880.77)</f>
        <v>7880.77</v>
      </c>
      <c r="AP85" s="6" t="str">
        <f t="shared" ca="1" si="33"/>
        <v>20184</v>
      </c>
      <c r="AQ85" s="6">
        <f t="shared" ca="1" si="34"/>
        <v>2018</v>
      </c>
      <c r="AR85" s="6">
        <f t="shared" ca="1" si="35"/>
        <v>4</v>
      </c>
      <c r="AS85" s="68">
        <f ca="1">IFERROR(__xludf.DUMMYFUNCTION("""COMPUTED_VALUE"""),43214.9986111111)</f>
        <v>43214.998611111099</v>
      </c>
      <c r="AT85" s="6">
        <f ca="1">IFERROR(__xludf.DUMMYFUNCTION("""COMPUTED_VALUE"""),1333)</f>
        <v>1333</v>
      </c>
    </row>
    <row r="86" spans="2:46" x14ac:dyDescent="0.35">
      <c r="B86" s="6" t="str">
        <f t="shared" ca="1" si="18"/>
        <v>20184</v>
      </c>
      <c r="C86" s="6">
        <f t="shared" ca="1" si="19"/>
        <v>2018</v>
      </c>
      <c r="D86" s="6">
        <f t="shared" ca="1" si="20"/>
        <v>4</v>
      </c>
      <c r="E86" s="68">
        <f ca="1">IFERROR(__xludf.DUMMYFUNCTION("""COMPUTED_VALUE"""),43215.6666666666)</f>
        <v>43215.666666666599</v>
      </c>
      <c r="F86" s="6">
        <f ca="1">IFERROR(__xludf.DUMMYFUNCTION("""COMPUTED_VALUE"""),2639.4)</f>
        <v>2639.4</v>
      </c>
      <c r="J86" s="6" t="str">
        <f t="shared" ca="1" si="21"/>
        <v>20184</v>
      </c>
      <c r="K86" s="6">
        <f t="shared" ca="1" si="22"/>
        <v>2018</v>
      </c>
      <c r="L86" s="6">
        <f t="shared" ca="1" si="23"/>
        <v>4</v>
      </c>
      <c r="M86" s="68">
        <f ca="1">IFERROR(__xludf.DUMMYFUNCTION("""COMPUTED_VALUE"""),43215.6666666666)</f>
        <v>43215.666666666599</v>
      </c>
      <c r="N86" s="6">
        <f ca="1">IFERROR(__xludf.DUMMYFUNCTION("""COMPUTED_VALUE"""),7003.74)</f>
        <v>7003.74</v>
      </c>
      <c r="R86" s="6" t="str">
        <f t="shared" ca="1" si="24"/>
        <v>20184</v>
      </c>
      <c r="S86" s="6">
        <f t="shared" ca="1" si="25"/>
        <v>2018</v>
      </c>
      <c r="T86" s="6">
        <f t="shared" ca="1" si="26"/>
        <v>4</v>
      </c>
      <c r="U86" s="68">
        <f ca="1">IFERROR(__xludf.DUMMYFUNCTION("""COMPUTED_VALUE"""),43216.6458333333)</f>
        <v>43216.645833333299</v>
      </c>
      <c r="V86" s="6">
        <f ca="1">IFERROR(__xludf.DUMMYFUNCTION("""COMPUTED_VALUE"""),2475.64)</f>
        <v>2475.64</v>
      </c>
      <c r="Z86" s="6" t="str">
        <f t="shared" ca="1" si="27"/>
        <v>20183</v>
      </c>
      <c r="AA86" s="6">
        <f t="shared" ca="1" si="28"/>
        <v>2018</v>
      </c>
      <c r="AB86" s="6">
        <f t="shared" ca="1" si="29"/>
        <v>3</v>
      </c>
      <c r="AC86" s="68">
        <f ca="1">IFERROR(__xludf.DUMMYFUNCTION("""COMPUTED_VALUE"""),43181.9986111111)</f>
        <v>43181.998611111099</v>
      </c>
      <c r="AD86" s="6">
        <f ca="1">IFERROR(__xludf.DUMMYFUNCTION("""COMPUTED_VALUE"""),1079.9)</f>
        <v>1079.9000000000001</v>
      </c>
      <c r="AH86" s="6" t="str">
        <f t="shared" ca="1" si="30"/>
        <v>20183</v>
      </c>
      <c r="AI86" s="6">
        <f t="shared" ca="1" si="31"/>
        <v>2018</v>
      </c>
      <c r="AJ86" s="6">
        <f t="shared" ca="1" si="32"/>
        <v>3</v>
      </c>
      <c r="AK86" s="68">
        <f ca="1">IFERROR(__xludf.DUMMYFUNCTION("""COMPUTED_VALUE"""),43177.9986111111)</f>
        <v>43177.998611111099</v>
      </c>
      <c r="AL86" s="6">
        <f ca="1">IFERROR(__xludf.DUMMYFUNCTION("""COMPUTED_VALUE"""),8206.42)</f>
        <v>8206.42</v>
      </c>
      <c r="AP86" s="6" t="str">
        <f t="shared" ca="1" si="33"/>
        <v>20184</v>
      </c>
      <c r="AQ86" s="6">
        <f t="shared" ca="1" si="34"/>
        <v>2018</v>
      </c>
      <c r="AR86" s="6">
        <f t="shared" ca="1" si="35"/>
        <v>4</v>
      </c>
      <c r="AS86" s="68">
        <f ca="1">IFERROR(__xludf.DUMMYFUNCTION("""COMPUTED_VALUE"""),43215.9986111111)</f>
        <v>43215.998611111099</v>
      </c>
      <c r="AT86" s="6">
        <f ca="1">IFERROR(__xludf.DUMMYFUNCTION("""COMPUTED_VALUE"""),1322.8)</f>
        <v>1322.8</v>
      </c>
    </row>
    <row r="87" spans="2:46" x14ac:dyDescent="0.35">
      <c r="B87" s="6" t="str">
        <f t="shared" ca="1" si="18"/>
        <v>20184</v>
      </c>
      <c r="C87" s="6">
        <f t="shared" ca="1" si="19"/>
        <v>2018</v>
      </c>
      <c r="D87" s="6">
        <f t="shared" ca="1" si="20"/>
        <v>4</v>
      </c>
      <c r="E87" s="68">
        <f ca="1">IFERROR(__xludf.DUMMYFUNCTION("""COMPUTED_VALUE"""),43216.6666666666)</f>
        <v>43216.666666666599</v>
      </c>
      <c r="F87" s="6">
        <f ca="1">IFERROR(__xludf.DUMMYFUNCTION("""COMPUTED_VALUE"""),2666.94)</f>
        <v>2666.94</v>
      </c>
      <c r="J87" s="6" t="str">
        <f t="shared" ca="1" si="21"/>
        <v>20184</v>
      </c>
      <c r="K87" s="6">
        <f t="shared" ca="1" si="22"/>
        <v>2018</v>
      </c>
      <c r="L87" s="6">
        <f t="shared" ca="1" si="23"/>
        <v>4</v>
      </c>
      <c r="M87" s="68">
        <f ca="1">IFERROR(__xludf.DUMMYFUNCTION("""COMPUTED_VALUE"""),43216.6666666666)</f>
        <v>43216.666666666599</v>
      </c>
      <c r="N87" s="6">
        <f ca="1">IFERROR(__xludf.DUMMYFUNCTION("""COMPUTED_VALUE"""),7118.68)</f>
        <v>7118.68</v>
      </c>
      <c r="R87" s="6" t="str">
        <f t="shared" ca="1" si="24"/>
        <v>20184</v>
      </c>
      <c r="S87" s="6">
        <f t="shared" ca="1" si="25"/>
        <v>2018</v>
      </c>
      <c r="T87" s="6">
        <f t="shared" ca="1" si="26"/>
        <v>4</v>
      </c>
      <c r="U87" s="68">
        <f ca="1">IFERROR(__xludf.DUMMYFUNCTION("""COMPUTED_VALUE"""),43217.6458333333)</f>
        <v>43217.645833333299</v>
      </c>
      <c r="V87" s="6">
        <f ca="1">IFERROR(__xludf.DUMMYFUNCTION("""COMPUTED_VALUE"""),2492.4)</f>
        <v>2492.4</v>
      </c>
      <c r="Z87" s="6" t="str">
        <f t="shared" ca="1" si="27"/>
        <v>20183</v>
      </c>
      <c r="AA87" s="6">
        <f t="shared" ca="1" si="28"/>
        <v>2018</v>
      </c>
      <c r="AB87" s="6">
        <f t="shared" ca="1" si="29"/>
        <v>3</v>
      </c>
      <c r="AC87" s="68">
        <f ca="1">IFERROR(__xludf.DUMMYFUNCTION("""COMPUTED_VALUE"""),43182.9986111111)</f>
        <v>43182.998611111099</v>
      </c>
      <c r="AD87" s="6">
        <f ca="1">IFERROR(__xludf.DUMMYFUNCTION("""COMPUTED_VALUE"""),1082.5)</f>
        <v>1082.5</v>
      </c>
      <c r="AH87" s="6" t="str">
        <f t="shared" ca="1" si="30"/>
        <v>20183</v>
      </c>
      <c r="AI87" s="6">
        <f t="shared" ca="1" si="31"/>
        <v>2018</v>
      </c>
      <c r="AJ87" s="6">
        <f t="shared" ca="1" si="32"/>
        <v>3</v>
      </c>
      <c r="AK87" s="68">
        <f ca="1">IFERROR(__xludf.DUMMYFUNCTION("""COMPUTED_VALUE"""),43178.9986111111)</f>
        <v>43178.998611111099</v>
      </c>
      <c r="AL87" s="6">
        <f ca="1">IFERROR(__xludf.DUMMYFUNCTION("""COMPUTED_VALUE"""),8422.27)</f>
        <v>8422.27</v>
      </c>
      <c r="AP87" s="6" t="str">
        <f t="shared" ca="1" si="33"/>
        <v>20184</v>
      </c>
      <c r="AQ87" s="6">
        <f t="shared" ca="1" si="34"/>
        <v>2018</v>
      </c>
      <c r="AR87" s="6">
        <f t="shared" ca="1" si="35"/>
        <v>4</v>
      </c>
      <c r="AS87" s="68">
        <f ca="1">IFERROR(__xludf.DUMMYFUNCTION("""COMPUTED_VALUE"""),43216.9986111111)</f>
        <v>43216.998611111099</v>
      </c>
      <c r="AT87" s="6">
        <f ca="1">IFERROR(__xludf.DUMMYFUNCTION("""COMPUTED_VALUE"""),1317.9)</f>
        <v>1317.9</v>
      </c>
    </row>
    <row r="88" spans="2:46" x14ac:dyDescent="0.35">
      <c r="B88" s="6" t="str">
        <f t="shared" ca="1" si="18"/>
        <v>20184</v>
      </c>
      <c r="C88" s="6">
        <f t="shared" ca="1" si="19"/>
        <v>2018</v>
      </c>
      <c r="D88" s="6">
        <f t="shared" ca="1" si="20"/>
        <v>4</v>
      </c>
      <c r="E88" s="68">
        <f ca="1">IFERROR(__xludf.DUMMYFUNCTION("""COMPUTED_VALUE"""),43217.6666666666)</f>
        <v>43217.666666666599</v>
      </c>
      <c r="F88" s="6">
        <f ca="1">IFERROR(__xludf.DUMMYFUNCTION("""COMPUTED_VALUE"""),2669.91)</f>
        <v>2669.91</v>
      </c>
      <c r="J88" s="6" t="str">
        <f t="shared" ca="1" si="21"/>
        <v>20184</v>
      </c>
      <c r="K88" s="6">
        <f t="shared" ca="1" si="22"/>
        <v>2018</v>
      </c>
      <c r="L88" s="6">
        <f t="shared" ca="1" si="23"/>
        <v>4</v>
      </c>
      <c r="M88" s="68">
        <f ca="1">IFERROR(__xludf.DUMMYFUNCTION("""COMPUTED_VALUE"""),43217.6666666666)</f>
        <v>43217.666666666599</v>
      </c>
      <c r="N88" s="6">
        <f ca="1">IFERROR(__xludf.DUMMYFUNCTION("""COMPUTED_VALUE"""),7119.8)</f>
        <v>7119.8</v>
      </c>
      <c r="R88" s="6" t="str">
        <f t="shared" ca="1" si="24"/>
        <v>20184</v>
      </c>
      <c r="S88" s="6">
        <f t="shared" ca="1" si="25"/>
        <v>2018</v>
      </c>
      <c r="T88" s="6">
        <f t="shared" ca="1" si="26"/>
        <v>4</v>
      </c>
      <c r="U88" s="68">
        <f ca="1">IFERROR(__xludf.DUMMYFUNCTION("""COMPUTED_VALUE"""),43220.6458333333)</f>
        <v>43220.645833333299</v>
      </c>
      <c r="V88" s="6">
        <f ca="1">IFERROR(__xludf.DUMMYFUNCTION("""COMPUTED_VALUE"""),2515.38)</f>
        <v>2515.38</v>
      </c>
      <c r="Z88" s="6" t="str">
        <f t="shared" ca="1" si="27"/>
        <v>20183</v>
      </c>
      <c r="AA88" s="6">
        <f t="shared" ca="1" si="28"/>
        <v>2018</v>
      </c>
      <c r="AB88" s="6">
        <f t="shared" ca="1" si="29"/>
        <v>3</v>
      </c>
      <c r="AC88" s="68">
        <f ca="1">IFERROR(__xludf.DUMMYFUNCTION("""COMPUTED_VALUE"""),43183.9986111111)</f>
        <v>43183.998611111099</v>
      </c>
      <c r="AD88" s="6">
        <f ca="1">IFERROR(__xludf.DUMMYFUNCTION("""COMPUTED_VALUE"""),1082.5)</f>
        <v>1082.5</v>
      </c>
      <c r="AH88" s="6" t="str">
        <f t="shared" ca="1" si="30"/>
        <v>20183</v>
      </c>
      <c r="AI88" s="6">
        <f t="shared" ca="1" si="31"/>
        <v>2018</v>
      </c>
      <c r="AJ88" s="6">
        <f t="shared" ca="1" si="32"/>
        <v>3</v>
      </c>
      <c r="AK88" s="68">
        <f ca="1">IFERROR(__xludf.DUMMYFUNCTION("""COMPUTED_VALUE"""),43179.9986111111)</f>
        <v>43179.998611111099</v>
      </c>
      <c r="AL88" s="6">
        <f ca="1">IFERROR(__xludf.DUMMYFUNCTION("""COMPUTED_VALUE"""),8917.49)</f>
        <v>8917.49</v>
      </c>
      <c r="AP88" s="6" t="str">
        <f t="shared" ca="1" si="33"/>
        <v>20184</v>
      </c>
      <c r="AQ88" s="6">
        <f t="shared" ca="1" si="34"/>
        <v>2018</v>
      </c>
      <c r="AR88" s="6">
        <f t="shared" ca="1" si="35"/>
        <v>4</v>
      </c>
      <c r="AS88" s="68">
        <f ca="1">IFERROR(__xludf.DUMMYFUNCTION("""COMPUTED_VALUE"""),43217.9986111111)</f>
        <v>43217.998611111099</v>
      </c>
      <c r="AT88" s="6">
        <f ca="1">IFERROR(__xludf.DUMMYFUNCTION("""COMPUTED_VALUE"""),1323.4)</f>
        <v>1323.4</v>
      </c>
    </row>
    <row r="89" spans="2:46" x14ac:dyDescent="0.35">
      <c r="B89" s="6" t="str">
        <f t="shared" ca="1" si="18"/>
        <v>20184</v>
      </c>
      <c r="C89" s="6">
        <f t="shared" ca="1" si="19"/>
        <v>2018</v>
      </c>
      <c r="D89" s="6">
        <f t="shared" ca="1" si="20"/>
        <v>4</v>
      </c>
      <c r="E89" s="68">
        <f ca="1">IFERROR(__xludf.DUMMYFUNCTION("""COMPUTED_VALUE"""),43220.6666666666)</f>
        <v>43220.666666666599</v>
      </c>
      <c r="F89" s="6">
        <f ca="1">IFERROR(__xludf.DUMMYFUNCTION("""COMPUTED_VALUE"""),2648.05)</f>
        <v>2648.05</v>
      </c>
      <c r="J89" s="6" t="str">
        <f t="shared" ca="1" si="21"/>
        <v>20184</v>
      </c>
      <c r="K89" s="6">
        <f t="shared" ca="1" si="22"/>
        <v>2018</v>
      </c>
      <c r="L89" s="6">
        <f t="shared" ca="1" si="23"/>
        <v>4</v>
      </c>
      <c r="M89" s="68">
        <f ca="1">IFERROR(__xludf.DUMMYFUNCTION("""COMPUTED_VALUE"""),43220.6666666666)</f>
        <v>43220.666666666599</v>
      </c>
      <c r="N89" s="6">
        <f ca="1">IFERROR(__xludf.DUMMYFUNCTION("""COMPUTED_VALUE"""),7066.27)</f>
        <v>7066.27</v>
      </c>
      <c r="R89" s="6" t="str">
        <f t="shared" ca="1" si="24"/>
        <v>20185</v>
      </c>
      <c r="S89" s="6">
        <f t="shared" ca="1" si="25"/>
        <v>2018</v>
      </c>
      <c r="T89" s="6">
        <f t="shared" ca="1" si="26"/>
        <v>5</v>
      </c>
      <c r="U89" s="68">
        <f ca="1">IFERROR(__xludf.DUMMYFUNCTION("""COMPUTED_VALUE"""),43222.6458333333)</f>
        <v>43222.645833333299</v>
      </c>
      <c r="V89" s="6">
        <f ca="1">IFERROR(__xludf.DUMMYFUNCTION("""COMPUTED_VALUE"""),2505.61)</f>
        <v>2505.61</v>
      </c>
      <c r="Z89" s="6" t="str">
        <f t="shared" ca="1" si="27"/>
        <v>20183</v>
      </c>
      <c r="AA89" s="6">
        <f t="shared" ca="1" si="28"/>
        <v>2018</v>
      </c>
      <c r="AB89" s="6">
        <f t="shared" ca="1" si="29"/>
        <v>3</v>
      </c>
      <c r="AC89" s="68">
        <f ca="1">IFERROR(__xludf.DUMMYFUNCTION("""COMPUTED_VALUE"""),43184.9986111111)</f>
        <v>43184.998611111099</v>
      </c>
      <c r="AD89" s="6">
        <f ca="1">IFERROR(__xludf.DUMMYFUNCTION("""COMPUTED_VALUE"""),1082.53)</f>
        <v>1082.53</v>
      </c>
      <c r="AH89" s="6" t="str">
        <f t="shared" ca="1" si="30"/>
        <v>20183</v>
      </c>
      <c r="AI89" s="6">
        <f t="shared" ca="1" si="31"/>
        <v>2018</v>
      </c>
      <c r="AJ89" s="6">
        <f t="shared" ca="1" si="32"/>
        <v>3</v>
      </c>
      <c r="AK89" s="68">
        <f ca="1">IFERROR(__xludf.DUMMYFUNCTION("""COMPUTED_VALUE"""),43180.9986111111)</f>
        <v>43180.998611111099</v>
      </c>
      <c r="AL89" s="6">
        <f ca="1">IFERROR(__xludf.DUMMYFUNCTION("""COMPUTED_VALUE"""),8885.57)</f>
        <v>8885.57</v>
      </c>
      <c r="AP89" s="6" t="str">
        <f t="shared" ca="1" si="33"/>
        <v>20184</v>
      </c>
      <c r="AQ89" s="6">
        <f t="shared" ca="1" si="34"/>
        <v>2018</v>
      </c>
      <c r="AR89" s="6">
        <f t="shared" ca="1" si="35"/>
        <v>4</v>
      </c>
      <c r="AS89" s="68">
        <f ca="1">IFERROR(__xludf.DUMMYFUNCTION("""COMPUTED_VALUE"""),43220.9986111111)</f>
        <v>43220.998611111099</v>
      </c>
      <c r="AT89" s="6">
        <f ca="1">IFERROR(__xludf.DUMMYFUNCTION("""COMPUTED_VALUE"""),1319.2)</f>
        <v>1319.2</v>
      </c>
    </row>
    <row r="90" spans="2:46" x14ac:dyDescent="0.35">
      <c r="B90" s="6" t="str">
        <f t="shared" ca="1" si="18"/>
        <v>20185</v>
      </c>
      <c r="C90" s="6">
        <f t="shared" ca="1" si="19"/>
        <v>2018</v>
      </c>
      <c r="D90" s="6">
        <f t="shared" ca="1" si="20"/>
        <v>5</v>
      </c>
      <c r="E90" s="68">
        <f ca="1">IFERROR(__xludf.DUMMYFUNCTION("""COMPUTED_VALUE"""),43221.6666666666)</f>
        <v>43221.666666666599</v>
      </c>
      <c r="F90" s="6">
        <f ca="1">IFERROR(__xludf.DUMMYFUNCTION("""COMPUTED_VALUE"""),2654.8)</f>
        <v>2654.8</v>
      </c>
      <c r="J90" s="6" t="str">
        <f t="shared" ca="1" si="21"/>
        <v>20185</v>
      </c>
      <c r="K90" s="6">
        <f t="shared" ca="1" si="22"/>
        <v>2018</v>
      </c>
      <c r="L90" s="6">
        <f t="shared" ca="1" si="23"/>
        <v>5</v>
      </c>
      <c r="M90" s="68">
        <f ca="1">IFERROR(__xludf.DUMMYFUNCTION("""COMPUTED_VALUE"""),43221.6666666666)</f>
        <v>43221.666666666599</v>
      </c>
      <c r="N90" s="6">
        <f ca="1">IFERROR(__xludf.DUMMYFUNCTION("""COMPUTED_VALUE"""),7130.7)</f>
        <v>7130.7</v>
      </c>
      <c r="R90" s="6" t="str">
        <f t="shared" ca="1" si="24"/>
        <v>20185</v>
      </c>
      <c r="S90" s="6">
        <f t="shared" ca="1" si="25"/>
        <v>2018</v>
      </c>
      <c r="T90" s="6">
        <f t="shared" ca="1" si="26"/>
        <v>5</v>
      </c>
      <c r="U90" s="68">
        <f ca="1">IFERROR(__xludf.DUMMYFUNCTION("""COMPUTED_VALUE"""),43223.6458333333)</f>
        <v>43223.645833333299</v>
      </c>
      <c r="V90" s="6">
        <f ca="1">IFERROR(__xludf.DUMMYFUNCTION("""COMPUTED_VALUE"""),2487.25)</f>
        <v>2487.25</v>
      </c>
      <c r="Z90" s="6" t="str">
        <f t="shared" ca="1" si="27"/>
        <v>20183</v>
      </c>
      <c r="AA90" s="6">
        <f t="shared" ca="1" si="28"/>
        <v>2018</v>
      </c>
      <c r="AB90" s="6">
        <f t="shared" ca="1" si="29"/>
        <v>3</v>
      </c>
      <c r="AC90" s="68">
        <f ca="1">IFERROR(__xludf.DUMMYFUNCTION("""COMPUTED_VALUE"""),43185.9986111111)</f>
        <v>43185.998611111099</v>
      </c>
      <c r="AD90" s="6">
        <f ca="1">IFERROR(__xludf.DUMMYFUNCTION("""COMPUTED_VALUE"""),1074.3)</f>
        <v>1074.3</v>
      </c>
      <c r="AH90" s="6" t="str">
        <f t="shared" ca="1" si="30"/>
        <v>20183</v>
      </c>
      <c r="AI90" s="6">
        <f t="shared" ca="1" si="31"/>
        <v>2018</v>
      </c>
      <c r="AJ90" s="6">
        <f t="shared" ca="1" si="32"/>
        <v>3</v>
      </c>
      <c r="AK90" s="68">
        <f ca="1">IFERROR(__xludf.DUMMYFUNCTION("""COMPUTED_VALUE"""),43181.9986111111)</f>
        <v>43181.998611111099</v>
      </c>
      <c r="AL90" s="6">
        <f ca="1">IFERROR(__xludf.DUMMYFUNCTION("""COMPUTED_VALUE"""),8599.33)</f>
        <v>8599.33</v>
      </c>
      <c r="AP90" s="6" t="str">
        <f t="shared" ca="1" si="33"/>
        <v>20185</v>
      </c>
      <c r="AQ90" s="6">
        <f t="shared" ca="1" si="34"/>
        <v>2018</v>
      </c>
      <c r="AR90" s="6">
        <f t="shared" ca="1" si="35"/>
        <v>5</v>
      </c>
      <c r="AS90" s="68">
        <f ca="1">IFERROR(__xludf.DUMMYFUNCTION("""COMPUTED_VALUE"""),43221.9986111111)</f>
        <v>43221.998611111099</v>
      </c>
      <c r="AT90" s="6">
        <f ca="1">IFERROR(__xludf.DUMMYFUNCTION("""COMPUTED_VALUE"""),1306.8)</f>
        <v>1306.8</v>
      </c>
    </row>
    <row r="91" spans="2:46" x14ac:dyDescent="0.35">
      <c r="B91" s="6" t="str">
        <f t="shared" ca="1" si="18"/>
        <v>20185</v>
      </c>
      <c r="C91" s="6">
        <f t="shared" ca="1" si="19"/>
        <v>2018</v>
      </c>
      <c r="D91" s="6">
        <f t="shared" ca="1" si="20"/>
        <v>5</v>
      </c>
      <c r="E91" s="68">
        <f ca="1">IFERROR(__xludf.DUMMYFUNCTION("""COMPUTED_VALUE"""),43222.6666666666)</f>
        <v>43222.666666666599</v>
      </c>
      <c r="F91" s="6">
        <f ca="1">IFERROR(__xludf.DUMMYFUNCTION("""COMPUTED_VALUE"""),2635.67)</f>
        <v>2635.67</v>
      </c>
      <c r="J91" s="6" t="str">
        <f t="shared" ca="1" si="21"/>
        <v>20185</v>
      </c>
      <c r="K91" s="6">
        <f t="shared" ca="1" si="22"/>
        <v>2018</v>
      </c>
      <c r="L91" s="6">
        <f t="shared" ca="1" si="23"/>
        <v>5</v>
      </c>
      <c r="M91" s="68">
        <f ca="1">IFERROR(__xludf.DUMMYFUNCTION("""COMPUTED_VALUE"""),43222.6666666666)</f>
        <v>43222.666666666599</v>
      </c>
      <c r="N91" s="6">
        <f ca="1">IFERROR(__xludf.DUMMYFUNCTION("""COMPUTED_VALUE"""),7100.9)</f>
        <v>7100.9</v>
      </c>
      <c r="R91" s="6" t="str">
        <f t="shared" ca="1" si="24"/>
        <v>20185</v>
      </c>
      <c r="S91" s="6">
        <f t="shared" ca="1" si="25"/>
        <v>2018</v>
      </c>
      <c r="T91" s="6">
        <f t="shared" ca="1" si="26"/>
        <v>5</v>
      </c>
      <c r="U91" s="68">
        <f ca="1">IFERROR(__xludf.DUMMYFUNCTION("""COMPUTED_VALUE"""),43224.6458333333)</f>
        <v>43224.645833333299</v>
      </c>
      <c r="V91" s="6">
        <f ca="1">IFERROR(__xludf.DUMMYFUNCTION("""COMPUTED_VALUE"""),2461.38)</f>
        <v>2461.38</v>
      </c>
      <c r="Z91" s="6" t="str">
        <f t="shared" ca="1" si="27"/>
        <v>20183</v>
      </c>
      <c r="AA91" s="6">
        <f t="shared" ca="1" si="28"/>
        <v>2018</v>
      </c>
      <c r="AB91" s="6">
        <f t="shared" ca="1" si="29"/>
        <v>3</v>
      </c>
      <c r="AC91" s="68">
        <f ca="1">IFERROR(__xludf.DUMMYFUNCTION("""COMPUTED_VALUE"""),43186.9986111111)</f>
        <v>43186.998611111099</v>
      </c>
      <c r="AD91" s="6">
        <f ca="1">IFERROR(__xludf.DUMMYFUNCTION("""COMPUTED_VALUE"""),1074.12)</f>
        <v>1074.1199999999999</v>
      </c>
      <c r="AH91" s="6" t="str">
        <f t="shared" ca="1" si="30"/>
        <v>20183</v>
      </c>
      <c r="AI91" s="6">
        <f t="shared" ca="1" si="31"/>
        <v>2018</v>
      </c>
      <c r="AJ91" s="6">
        <f t="shared" ca="1" si="32"/>
        <v>3</v>
      </c>
      <c r="AK91" s="68">
        <f ca="1">IFERROR(__xludf.DUMMYFUNCTION("""COMPUTED_VALUE"""),43182.9986111111)</f>
        <v>43182.998611111099</v>
      </c>
      <c r="AL91" s="6">
        <f ca="1">IFERROR(__xludf.DUMMYFUNCTION("""COMPUTED_VALUE"""),8618.66)</f>
        <v>8618.66</v>
      </c>
      <c r="AP91" s="6" t="str">
        <f t="shared" ca="1" si="33"/>
        <v>20185</v>
      </c>
      <c r="AQ91" s="6">
        <f t="shared" ca="1" si="34"/>
        <v>2018</v>
      </c>
      <c r="AR91" s="6">
        <f t="shared" ca="1" si="35"/>
        <v>5</v>
      </c>
      <c r="AS91" s="68">
        <f ca="1">IFERROR(__xludf.DUMMYFUNCTION("""COMPUTED_VALUE"""),43222.9986111111)</f>
        <v>43222.998611111099</v>
      </c>
      <c r="AT91" s="6">
        <f ca="1">IFERROR(__xludf.DUMMYFUNCTION("""COMPUTED_VALUE"""),1305.6)</f>
        <v>1305.5999999999999</v>
      </c>
    </row>
    <row r="92" spans="2:46" x14ac:dyDescent="0.35">
      <c r="B92" s="6" t="str">
        <f t="shared" ca="1" si="18"/>
        <v>20185</v>
      </c>
      <c r="C92" s="6">
        <f t="shared" ca="1" si="19"/>
        <v>2018</v>
      </c>
      <c r="D92" s="6">
        <f t="shared" ca="1" si="20"/>
        <v>5</v>
      </c>
      <c r="E92" s="68">
        <f ca="1">IFERROR(__xludf.DUMMYFUNCTION("""COMPUTED_VALUE"""),43223.6666666666)</f>
        <v>43223.666666666599</v>
      </c>
      <c r="F92" s="6">
        <f ca="1">IFERROR(__xludf.DUMMYFUNCTION("""COMPUTED_VALUE"""),2629.73)</f>
        <v>2629.73</v>
      </c>
      <c r="J92" s="6" t="str">
        <f t="shared" ca="1" si="21"/>
        <v>20185</v>
      </c>
      <c r="K92" s="6">
        <f t="shared" ca="1" si="22"/>
        <v>2018</v>
      </c>
      <c r="L92" s="6">
        <f t="shared" ca="1" si="23"/>
        <v>5</v>
      </c>
      <c r="M92" s="68">
        <f ca="1">IFERROR(__xludf.DUMMYFUNCTION("""COMPUTED_VALUE"""),43223.6666666666)</f>
        <v>43223.666666666599</v>
      </c>
      <c r="N92" s="6">
        <f ca="1">IFERROR(__xludf.DUMMYFUNCTION("""COMPUTED_VALUE"""),7088.15)</f>
        <v>7088.15</v>
      </c>
      <c r="R92" s="6" t="str">
        <f t="shared" ca="1" si="24"/>
        <v>20185</v>
      </c>
      <c r="S92" s="6">
        <f t="shared" ca="1" si="25"/>
        <v>2018</v>
      </c>
      <c r="T92" s="6">
        <f t="shared" ca="1" si="26"/>
        <v>5</v>
      </c>
      <c r="U92" s="68">
        <f ca="1">IFERROR(__xludf.DUMMYFUNCTION("""COMPUTED_VALUE"""),43228.6458333333)</f>
        <v>43228.645833333299</v>
      </c>
      <c r="V92" s="6">
        <f ca="1">IFERROR(__xludf.DUMMYFUNCTION("""COMPUTED_VALUE"""),2449.81)</f>
        <v>2449.81</v>
      </c>
      <c r="Z92" s="6" t="str">
        <f t="shared" ca="1" si="27"/>
        <v>20183</v>
      </c>
      <c r="AA92" s="6">
        <f t="shared" ca="1" si="28"/>
        <v>2018</v>
      </c>
      <c r="AB92" s="6">
        <f t="shared" ca="1" si="29"/>
        <v>3</v>
      </c>
      <c r="AC92" s="68">
        <f ca="1">IFERROR(__xludf.DUMMYFUNCTION("""COMPUTED_VALUE"""),43187.9986111111)</f>
        <v>43187.998611111099</v>
      </c>
      <c r="AD92" s="6">
        <f ca="1">IFERROR(__xludf.DUMMYFUNCTION("""COMPUTED_VALUE"""),1063.41)</f>
        <v>1063.4100000000001</v>
      </c>
      <c r="AH92" s="6" t="str">
        <f t="shared" ca="1" si="30"/>
        <v>20183</v>
      </c>
      <c r="AI92" s="6">
        <f t="shared" ca="1" si="31"/>
        <v>2018</v>
      </c>
      <c r="AJ92" s="6">
        <f t="shared" ca="1" si="32"/>
        <v>3</v>
      </c>
      <c r="AK92" s="68">
        <f ca="1">IFERROR(__xludf.DUMMYFUNCTION("""COMPUTED_VALUE"""),43183.9986111111)</f>
        <v>43183.998611111099</v>
      </c>
      <c r="AL92" s="6">
        <f ca="1">IFERROR(__xludf.DUMMYFUNCTION("""COMPUTED_VALUE"""),8524.72)</f>
        <v>8524.7199999999993</v>
      </c>
      <c r="AP92" s="6" t="str">
        <f t="shared" ca="1" si="33"/>
        <v>20185</v>
      </c>
      <c r="AQ92" s="6">
        <f t="shared" ca="1" si="34"/>
        <v>2018</v>
      </c>
      <c r="AR92" s="6">
        <f t="shared" ca="1" si="35"/>
        <v>5</v>
      </c>
      <c r="AS92" s="68">
        <f ca="1">IFERROR(__xludf.DUMMYFUNCTION("""COMPUTED_VALUE"""),43223.9986111111)</f>
        <v>43223.998611111099</v>
      </c>
      <c r="AT92" s="6">
        <f ca="1">IFERROR(__xludf.DUMMYFUNCTION("""COMPUTED_VALUE"""),1312.7)</f>
        <v>1312.7</v>
      </c>
    </row>
    <row r="93" spans="2:46" x14ac:dyDescent="0.35">
      <c r="B93" s="6" t="str">
        <f t="shared" ca="1" si="18"/>
        <v>20185</v>
      </c>
      <c r="C93" s="6">
        <f t="shared" ca="1" si="19"/>
        <v>2018</v>
      </c>
      <c r="D93" s="6">
        <f t="shared" ca="1" si="20"/>
        <v>5</v>
      </c>
      <c r="E93" s="68">
        <f ca="1">IFERROR(__xludf.DUMMYFUNCTION("""COMPUTED_VALUE"""),43224.6666666666)</f>
        <v>43224.666666666599</v>
      </c>
      <c r="F93" s="6">
        <f ca="1">IFERROR(__xludf.DUMMYFUNCTION("""COMPUTED_VALUE"""),2663.42)</f>
        <v>2663.42</v>
      </c>
      <c r="J93" s="6" t="str">
        <f t="shared" ca="1" si="21"/>
        <v>20185</v>
      </c>
      <c r="K93" s="6">
        <f t="shared" ca="1" si="22"/>
        <v>2018</v>
      </c>
      <c r="L93" s="6">
        <f t="shared" ca="1" si="23"/>
        <v>5</v>
      </c>
      <c r="M93" s="68">
        <f ca="1">IFERROR(__xludf.DUMMYFUNCTION("""COMPUTED_VALUE"""),43224.6666666666)</f>
        <v>43224.666666666599</v>
      </c>
      <c r="N93" s="6">
        <f ca="1">IFERROR(__xludf.DUMMYFUNCTION("""COMPUTED_VALUE"""),7209.62)</f>
        <v>7209.62</v>
      </c>
      <c r="R93" s="6" t="str">
        <f t="shared" ca="1" si="24"/>
        <v>20185</v>
      </c>
      <c r="S93" s="6">
        <f t="shared" ca="1" si="25"/>
        <v>2018</v>
      </c>
      <c r="T93" s="6">
        <f t="shared" ca="1" si="26"/>
        <v>5</v>
      </c>
      <c r="U93" s="68">
        <f ca="1">IFERROR(__xludf.DUMMYFUNCTION("""COMPUTED_VALUE"""),43229.6458333333)</f>
        <v>43229.645833333299</v>
      </c>
      <c r="V93" s="6">
        <f ca="1">IFERROR(__xludf.DUMMYFUNCTION("""COMPUTED_VALUE"""),2443.98)</f>
        <v>2443.98</v>
      </c>
      <c r="Z93" s="6" t="str">
        <f t="shared" ca="1" si="27"/>
        <v>20183</v>
      </c>
      <c r="AA93" s="6">
        <f t="shared" ca="1" si="28"/>
        <v>2018</v>
      </c>
      <c r="AB93" s="6">
        <f t="shared" ca="1" si="29"/>
        <v>3</v>
      </c>
      <c r="AC93" s="68">
        <f ca="1">IFERROR(__xludf.DUMMYFUNCTION("""COMPUTED_VALUE"""),43188.9986111111)</f>
        <v>43188.998611111099</v>
      </c>
      <c r="AD93" s="6">
        <f ca="1">IFERROR(__xludf.DUMMYFUNCTION("""COMPUTED_VALUE"""),1062)</f>
        <v>1062</v>
      </c>
      <c r="AH93" s="6" t="str">
        <f t="shared" ca="1" si="30"/>
        <v>20183</v>
      </c>
      <c r="AI93" s="6">
        <f t="shared" ca="1" si="31"/>
        <v>2018</v>
      </c>
      <c r="AJ93" s="6">
        <f t="shared" ca="1" si="32"/>
        <v>3</v>
      </c>
      <c r="AK93" s="68">
        <f ca="1">IFERROR(__xludf.DUMMYFUNCTION("""COMPUTED_VALUE"""),43184.9986111111)</f>
        <v>43184.998611111099</v>
      </c>
      <c r="AL93" s="6">
        <f ca="1">IFERROR(__xludf.DUMMYFUNCTION("""COMPUTED_VALUE"""),8454.28)</f>
        <v>8454.2800000000007</v>
      </c>
      <c r="AP93" s="6" t="str">
        <f t="shared" ca="1" si="33"/>
        <v>20185</v>
      </c>
      <c r="AQ93" s="6">
        <f t="shared" ca="1" si="34"/>
        <v>2018</v>
      </c>
      <c r="AR93" s="6">
        <f t="shared" ca="1" si="35"/>
        <v>5</v>
      </c>
      <c r="AS93" s="68">
        <f ca="1">IFERROR(__xludf.DUMMYFUNCTION("""COMPUTED_VALUE"""),43224.9986111111)</f>
        <v>43224.998611111099</v>
      </c>
      <c r="AT93" s="6">
        <f ca="1">IFERROR(__xludf.DUMMYFUNCTION("""COMPUTED_VALUE"""),1314.7)</f>
        <v>1314.7</v>
      </c>
    </row>
    <row r="94" spans="2:46" x14ac:dyDescent="0.35">
      <c r="B94" s="6" t="str">
        <f t="shared" ca="1" si="18"/>
        <v>20185</v>
      </c>
      <c r="C94" s="6">
        <f t="shared" ca="1" si="19"/>
        <v>2018</v>
      </c>
      <c r="D94" s="6">
        <f t="shared" ca="1" si="20"/>
        <v>5</v>
      </c>
      <c r="E94" s="68">
        <f ca="1">IFERROR(__xludf.DUMMYFUNCTION("""COMPUTED_VALUE"""),43227.6666666666)</f>
        <v>43227.666666666599</v>
      </c>
      <c r="F94" s="6">
        <f ca="1">IFERROR(__xludf.DUMMYFUNCTION("""COMPUTED_VALUE"""),2672.63)</f>
        <v>2672.63</v>
      </c>
      <c r="J94" s="6" t="str">
        <f t="shared" ca="1" si="21"/>
        <v>20185</v>
      </c>
      <c r="K94" s="6">
        <f t="shared" ca="1" si="22"/>
        <v>2018</v>
      </c>
      <c r="L94" s="6">
        <f t="shared" ca="1" si="23"/>
        <v>5</v>
      </c>
      <c r="M94" s="68">
        <f ca="1">IFERROR(__xludf.DUMMYFUNCTION("""COMPUTED_VALUE"""),43227.6666666666)</f>
        <v>43227.666666666599</v>
      </c>
      <c r="N94" s="6">
        <f ca="1">IFERROR(__xludf.DUMMYFUNCTION("""COMPUTED_VALUE"""),7265.21)</f>
        <v>7265.21</v>
      </c>
      <c r="R94" s="6" t="str">
        <f t="shared" ca="1" si="24"/>
        <v>20185</v>
      </c>
      <c r="S94" s="6">
        <f t="shared" ca="1" si="25"/>
        <v>2018</v>
      </c>
      <c r="T94" s="6">
        <f t="shared" ca="1" si="26"/>
        <v>5</v>
      </c>
      <c r="U94" s="68">
        <f ca="1">IFERROR(__xludf.DUMMYFUNCTION("""COMPUTED_VALUE"""),43230.6458333333)</f>
        <v>43230.645833333299</v>
      </c>
      <c r="V94" s="6">
        <f ca="1">IFERROR(__xludf.DUMMYFUNCTION("""COMPUTED_VALUE"""),2464.16)</f>
        <v>2464.16</v>
      </c>
      <c r="Z94" s="6" t="str">
        <f t="shared" ca="1" si="27"/>
        <v>20183</v>
      </c>
      <c r="AA94" s="6">
        <f t="shared" ca="1" si="28"/>
        <v>2018</v>
      </c>
      <c r="AB94" s="6">
        <f t="shared" ca="1" si="29"/>
        <v>3</v>
      </c>
      <c r="AC94" s="68">
        <f ca="1">IFERROR(__xludf.DUMMYFUNCTION("""COMPUTED_VALUE"""),43189.9986111111)</f>
        <v>43189.998611111099</v>
      </c>
      <c r="AD94" s="6">
        <f ca="1">IFERROR(__xludf.DUMMYFUNCTION("""COMPUTED_VALUE"""),1059.9)</f>
        <v>1059.9000000000001</v>
      </c>
      <c r="AH94" s="6" t="str">
        <f t="shared" ca="1" si="30"/>
        <v>20183</v>
      </c>
      <c r="AI94" s="6">
        <f t="shared" ca="1" si="31"/>
        <v>2018</v>
      </c>
      <c r="AJ94" s="6">
        <f t="shared" ca="1" si="32"/>
        <v>3</v>
      </c>
      <c r="AK94" s="68">
        <f ca="1">IFERROR(__xludf.DUMMYFUNCTION("""COMPUTED_VALUE"""),43185.9986111111)</f>
        <v>43185.998611111099</v>
      </c>
      <c r="AL94" s="6">
        <f ca="1">IFERROR(__xludf.DUMMYFUNCTION("""COMPUTED_VALUE"""),7897.76)</f>
        <v>7897.76</v>
      </c>
      <c r="AP94" s="6" t="str">
        <f t="shared" ca="1" si="33"/>
        <v>20185</v>
      </c>
      <c r="AQ94" s="6">
        <f t="shared" ca="1" si="34"/>
        <v>2018</v>
      </c>
      <c r="AR94" s="6">
        <f t="shared" ca="1" si="35"/>
        <v>5</v>
      </c>
      <c r="AS94" s="68">
        <f ca="1">IFERROR(__xludf.DUMMYFUNCTION("""COMPUTED_VALUE"""),43227.9986111111)</f>
        <v>43227.998611111099</v>
      </c>
      <c r="AT94" s="6">
        <f ca="1">IFERROR(__xludf.DUMMYFUNCTION("""COMPUTED_VALUE"""),1314.1)</f>
        <v>1314.1</v>
      </c>
    </row>
    <row r="95" spans="2:46" x14ac:dyDescent="0.35">
      <c r="B95" s="6" t="str">
        <f t="shared" ca="1" si="18"/>
        <v>20185</v>
      </c>
      <c r="C95" s="6">
        <f t="shared" ca="1" si="19"/>
        <v>2018</v>
      </c>
      <c r="D95" s="6">
        <f t="shared" ca="1" si="20"/>
        <v>5</v>
      </c>
      <c r="E95" s="68">
        <f ca="1">IFERROR(__xludf.DUMMYFUNCTION("""COMPUTED_VALUE"""),43228.6666666666)</f>
        <v>43228.666666666599</v>
      </c>
      <c r="F95" s="6">
        <f ca="1">IFERROR(__xludf.DUMMYFUNCTION("""COMPUTED_VALUE"""),2671.92)</f>
        <v>2671.92</v>
      </c>
      <c r="J95" s="6" t="str">
        <f t="shared" ca="1" si="21"/>
        <v>20185</v>
      </c>
      <c r="K95" s="6">
        <f t="shared" ca="1" si="22"/>
        <v>2018</v>
      </c>
      <c r="L95" s="6">
        <f t="shared" ca="1" si="23"/>
        <v>5</v>
      </c>
      <c r="M95" s="68">
        <f ca="1">IFERROR(__xludf.DUMMYFUNCTION("""COMPUTED_VALUE"""),43228.6666666666)</f>
        <v>43228.666666666599</v>
      </c>
      <c r="N95" s="6">
        <f ca="1">IFERROR(__xludf.DUMMYFUNCTION("""COMPUTED_VALUE"""),7266.9)</f>
        <v>7266.9</v>
      </c>
      <c r="R95" s="6" t="str">
        <f t="shared" ca="1" si="24"/>
        <v>20185</v>
      </c>
      <c r="S95" s="6">
        <f t="shared" ca="1" si="25"/>
        <v>2018</v>
      </c>
      <c r="T95" s="6">
        <f t="shared" ca="1" si="26"/>
        <v>5</v>
      </c>
      <c r="U95" s="68">
        <f ca="1">IFERROR(__xludf.DUMMYFUNCTION("""COMPUTED_VALUE"""),43231.6458333333)</f>
        <v>43231.645833333299</v>
      </c>
      <c r="V95" s="6">
        <f ca="1">IFERROR(__xludf.DUMMYFUNCTION("""COMPUTED_VALUE"""),2477.71)</f>
        <v>2477.71</v>
      </c>
      <c r="Z95" s="6" t="str">
        <f t="shared" ca="1" si="27"/>
        <v>20183</v>
      </c>
      <c r="AA95" s="6">
        <f t="shared" ca="1" si="28"/>
        <v>2018</v>
      </c>
      <c r="AB95" s="6">
        <f t="shared" ca="1" si="29"/>
        <v>3</v>
      </c>
      <c r="AC95" s="68">
        <f ca="1">IFERROR(__xludf.DUMMYFUNCTION("""COMPUTED_VALUE"""),43190.9986111111)</f>
        <v>43190.998611111099</v>
      </c>
      <c r="AD95" s="6">
        <f ca="1">IFERROR(__xludf.DUMMYFUNCTION("""COMPUTED_VALUE"""),1059.55)</f>
        <v>1059.55</v>
      </c>
      <c r="AH95" s="6" t="str">
        <f t="shared" ca="1" si="30"/>
        <v>20183</v>
      </c>
      <c r="AI95" s="6">
        <f t="shared" ca="1" si="31"/>
        <v>2018</v>
      </c>
      <c r="AJ95" s="6">
        <f t="shared" ca="1" si="32"/>
        <v>3</v>
      </c>
      <c r="AK95" s="68">
        <f ca="1">IFERROR(__xludf.DUMMYFUNCTION("""COMPUTED_VALUE"""),43186.9986111111)</f>
        <v>43186.998611111099</v>
      </c>
      <c r="AL95" s="6">
        <f ca="1">IFERROR(__xludf.DUMMYFUNCTION("""COMPUTED_VALUE"""),7994.12)</f>
        <v>7994.12</v>
      </c>
      <c r="AP95" s="6" t="str">
        <f t="shared" ca="1" si="33"/>
        <v>20185</v>
      </c>
      <c r="AQ95" s="6">
        <f t="shared" ca="1" si="34"/>
        <v>2018</v>
      </c>
      <c r="AR95" s="6">
        <f t="shared" ca="1" si="35"/>
        <v>5</v>
      </c>
      <c r="AS95" s="68">
        <f ca="1">IFERROR(__xludf.DUMMYFUNCTION("""COMPUTED_VALUE"""),43228.9986111111)</f>
        <v>43228.998611111099</v>
      </c>
      <c r="AT95" s="6">
        <f ca="1">IFERROR(__xludf.DUMMYFUNCTION("""COMPUTED_VALUE"""),1313.7)</f>
        <v>1313.7</v>
      </c>
    </row>
    <row r="96" spans="2:46" x14ac:dyDescent="0.35">
      <c r="B96" s="6" t="str">
        <f t="shared" ca="1" si="18"/>
        <v>20185</v>
      </c>
      <c r="C96" s="6">
        <f t="shared" ca="1" si="19"/>
        <v>2018</v>
      </c>
      <c r="D96" s="6">
        <f t="shared" ca="1" si="20"/>
        <v>5</v>
      </c>
      <c r="E96" s="68">
        <f ca="1">IFERROR(__xludf.DUMMYFUNCTION("""COMPUTED_VALUE"""),43229.6666666666)</f>
        <v>43229.666666666599</v>
      </c>
      <c r="F96" s="6">
        <f ca="1">IFERROR(__xludf.DUMMYFUNCTION("""COMPUTED_VALUE"""),2697.79)</f>
        <v>2697.79</v>
      </c>
      <c r="J96" s="6" t="str">
        <f t="shared" ca="1" si="21"/>
        <v>20185</v>
      </c>
      <c r="K96" s="6">
        <f t="shared" ca="1" si="22"/>
        <v>2018</v>
      </c>
      <c r="L96" s="6">
        <f t="shared" ca="1" si="23"/>
        <v>5</v>
      </c>
      <c r="M96" s="68">
        <f ca="1">IFERROR(__xludf.DUMMYFUNCTION("""COMPUTED_VALUE"""),43229.6666666666)</f>
        <v>43229.666666666599</v>
      </c>
      <c r="N96" s="6">
        <f ca="1">IFERROR(__xludf.DUMMYFUNCTION("""COMPUTED_VALUE"""),7339.91)</f>
        <v>7339.91</v>
      </c>
      <c r="R96" s="6" t="str">
        <f t="shared" ca="1" si="24"/>
        <v>20185</v>
      </c>
      <c r="S96" s="6">
        <f t="shared" ca="1" si="25"/>
        <v>2018</v>
      </c>
      <c r="T96" s="6">
        <f t="shared" ca="1" si="26"/>
        <v>5</v>
      </c>
      <c r="U96" s="68">
        <f ca="1">IFERROR(__xludf.DUMMYFUNCTION("""COMPUTED_VALUE"""),43234.6458333333)</f>
        <v>43234.645833333299</v>
      </c>
      <c r="V96" s="6">
        <f ca="1">IFERROR(__xludf.DUMMYFUNCTION("""COMPUTED_VALUE"""),2476.11)</f>
        <v>2476.11</v>
      </c>
      <c r="Z96" s="6" t="str">
        <f t="shared" ca="1" si="27"/>
        <v>20184</v>
      </c>
      <c r="AA96" s="6">
        <f t="shared" ca="1" si="28"/>
        <v>2018</v>
      </c>
      <c r="AB96" s="6">
        <f t="shared" ca="1" si="29"/>
        <v>4</v>
      </c>
      <c r="AC96" s="68">
        <f ca="1">IFERROR(__xludf.DUMMYFUNCTION("""COMPUTED_VALUE"""),43191.9986111111)</f>
        <v>43191.998611111099</v>
      </c>
      <c r="AD96" s="6">
        <f ca="1">IFERROR(__xludf.DUMMYFUNCTION("""COMPUTED_VALUE"""),1060.99)</f>
        <v>1060.99</v>
      </c>
      <c r="AH96" s="6" t="str">
        <f t="shared" ca="1" si="30"/>
        <v>20183</v>
      </c>
      <c r="AI96" s="6">
        <f t="shared" ca="1" si="31"/>
        <v>2018</v>
      </c>
      <c r="AJ96" s="6">
        <f t="shared" ca="1" si="32"/>
        <v>3</v>
      </c>
      <c r="AK96" s="68">
        <f ca="1">IFERROR(__xludf.DUMMYFUNCTION("""COMPUTED_VALUE"""),43187.9986111111)</f>
        <v>43187.998611111099</v>
      </c>
      <c r="AL96" s="6">
        <f ca="1">IFERROR(__xludf.DUMMYFUNCTION("""COMPUTED_VALUE"""),7908.79)</f>
        <v>7908.79</v>
      </c>
      <c r="AP96" s="6" t="str">
        <f t="shared" ca="1" si="33"/>
        <v>20185</v>
      </c>
      <c r="AQ96" s="6">
        <f t="shared" ca="1" si="34"/>
        <v>2018</v>
      </c>
      <c r="AR96" s="6">
        <f t="shared" ca="1" si="35"/>
        <v>5</v>
      </c>
      <c r="AS96" s="68">
        <f ca="1">IFERROR(__xludf.DUMMYFUNCTION("""COMPUTED_VALUE"""),43229.9986111111)</f>
        <v>43229.998611111099</v>
      </c>
      <c r="AT96" s="6">
        <f ca="1">IFERROR(__xludf.DUMMYFUNCTION("""COMPUTED_VALUE"""),1313)</f>
        <v>1313</v>
      </c>
    </row>
    <row r="97" spans="2:46" x14ac:dyDescent="0.35">
      <c r="B97" s="6" t="str">
        <f t="shared" ca="1" si="18"/>
        <v>20185</v>
      </c>
      <c r="C97" s="6">
        <f t="shared" ca="1" si="19"/>
        <v>2018</v>
      </c>
      <c r="D97" s="6">
        <f t="shared" ca="1" si="20"/>
        <v>5</v>
      </c>
      <c r="E97" s="68">
        <f ca="1">IFERROR(__xludf.DUMMYFUNCTION("""COMPUTED_VALUE"""),43230.6666666666)</f>
        <v>43230.666666666599</v>
      </c>
      <c r="F97" s="6">
        <f ca="1">IFERROR(__xludf.DUMMYFUNCTION("""COMPUTED_VALUE"""),2723.07)</f>
        <v>2723.07</v>
      </c>
      <c r="J97" s="6" t="str">
        <f t="shared" ca="1" si="21"/>
        <v>20185</v>
      </c>
      <c r="K97" s="6">
        <f t="shared" ca="1" si="22"/>
        <v>2018</v>
      </c>
      <c r="L97" s="6">
        <f t="shared" ca="1" si="23"/>
        <v>5</v>
      </c>
      <c r="M97" s="68">
        <f ca="1">IFERROR(__xludf.DUMMYFUNCTION("""COMPUTED_VALUE"""),43230.6666666666)</f>
        <v>43230.666666666599</v>
      </c>
      <c r="N97" s="6">
        <f ca="1">IFERROR(__xludf.DUMMYFUNCTION("""COMPUTED_VALUE"""),7404.98)</f>
        <v>7404.98</v>
      </c>
      <c r="R97" s="6" t="str">
        <f t="shared" ca="1" si="24"/>
        <v>20185</v>
      </c>
      <c r="S97" s="6">
        <f t="shared" ca="1" si="25"/>
        <v>2018</v>
      </c>
      <c r="T97" s="6">
        <f t="shared" ca="1" si="26"/>
        <v>5</v>
      </c>
      <c r="U97" s="68">
        <f ca="1">IFERROR(__xludf.DUMMYFUNCTION("""COMPUTED_VALUE"""),43235.6458333333)</f>
        <v>43235.645833333299</v>
      </c>
      <c r="V97" s="6">
        <f ca="1">IFERROR(__xludf.DUMMYFUNCTION("""COMPUTED_VALUE"""),2458.54)</f>
        <v>2458.54</v>
      </c>
      <c r="Z97" s="6" t="str">
        <f t="shared" ca="1" si="27"/>
        <v>20184</v>
      </c>
      <c r="AA97" s="6">
        <f t="shared" ca="1" si="28"/>
        <v>2018</v>
      </c>
      <c r="AB97" s="6">
        <f t="shared" ca="1" si="29"/>
        <v>4</v>
      </c>
      <c r="AC97" s="68">
        <f ca="1">IFERROR(__xludf.DUMMYFUNCTION("""COMPUTED_VALUE"""),43192.9986111111)</f>
        <v>43192.998611111099</v>
      </c>
      <c r="AD97" s="6">
        <f ca="1">IFERROR(__xludf.DUMMYFUNCTION("""COMPUTED_VALUE"""),1056.16)</f>
        <v>1056.1600000000001</v>
      </c>
      <c r="AH97" s="6" t="str">
        <f t="shared" ca="1" si="30"/>
        <v>20183</v>
      </c>
      <c r="AI97" s="6">
        <f t="shared" ca="1" si="31"/>
        <v>2018</v>
      </c>
      <c r="AJ97" s="6">
        <f t="shared" ca="1" si="32"/>
        <v>3</v>
      </c>
      <c r="AK97" s="68">
        <f ca="1">IFERROR(__xludf.DUMMYFUNCTION("""COMPUTED_VALUE"""),43188.9986111111)</f>
        <v>43188.998611111099</v>
      </c>
      <c r="AL97" s="6">
        <f ca="1">IFERROR(__xludf.DUMMYFUNCTION("""COMPUTED_VALUE"""),7130.79)</f>
        <v>7130.79</v>
      </c>
      <c r="AP97" s="6" t="str">
        <f t="shared" ca="1" si="33"/>
        <v>20185</v>
      </c>
      <c r="AQ97" s="6">
        <f t="shared" ca="1" si="34"/>
        <v>2018</v>
      </c>
      <c r="AR97" s="6">
        <f t="shared" ca="1" si="35"/>
        <v>5</v>
      </c>
      <c r="AS97" s="68">
        <f ca="1">IFERROR(__xludf.DUMMYFUNCTION("""COMPUTED_VALUE"""),43230.9986111111)</f>
        <v>43230.998611111099</v>
      </c>
      <c r="AT97" s="6">
        <f ca="1">IFERROR(__xludf.DUMMYFUNCTION("""COMPUTED_VALUE"""),1322.3)</f>
        <v>1322.3</v>
      </c>
    </row>
    <row r="98" spans="2:46" x14ac:dyDescent="0.35">
      <c r="B98" s="6" t="str">
        <f t="shared" ca="1" si="18"/>
        <v>20185</v>
      </c>
      <c r="C98" s="6">
        <f t="shared" ca="1" si="19"/>
        <v>2018</v>
      </c>
      <c r="D98" s="6">
        <f t="shared" ca="1" si="20"/>
        <v>5</v>
      </c>
      <c r="E98" s="68">
        <f ca="1">IFERROR(__xludf.DUMMYFUNCTION("""COMPUTED_VALUE"""),43231.6666666666)</f>
        <v>43231.666666666599</v>
      </c>
      <c r="F98" s="6">
        <f ca="1">IFERROR(__xludf.DUMMYFUNCTION("""COMPUTED_VALUE"""),2727.72)</f>
        <v>2727.72</v>
      </c>
      <c r="J98" s="6" t="str">
        <f t="shared" ca="1" si="21"/>
        <v>20185</v>
      </c>
      <c r="K98" s="6">
        <f t="shared" ca="1" si="22"/>
        <v>2018</v>
      </c>
      <c r="L98" s="6">
        <f t="shared" ca="1" si="23"/>
        <v>5</v>
      </c>
      <c r="M98" s="68">
        <f ca="1">IFERROR(__xludf.DUMMYFUNCTION("""COMPUTED_VALUE"""),43231.6666666666)</f>
        <v>43231.666666666599</v>
      </c>
      <c r="N98" s="6">
        <f ca="1">IFERROR(__xludf.DUMMYFUNCTION("""COMPUTED_VALUE"""),7402.88)</f>
        <v>7402.88</v>
      </c>
      <c r="R98" s="6" t="str">
        <f t="shared" ca="1" si="24"/>
        <v>20185</v>
      </c>
      <c r="S98" s="6">
        <f t="shared" ca="1" si="25"/>
        <v>2018</v>
      </c>
      <c r="T98" s="6">
        <f t="shared" ca="1" si="26"/>
        <v>5</v>
      </c>
      <c r="U98" s="68">
        <f ca="1">IFERROR(__xludf.DUMMYFUNCTION("""COMPUTED_VALUE"""),43236.6458333333)</f>
        <v>43236.645833333299</v>
      </c>
      <c r="V98" s="6">
        <f ca="1">IFERROR(__xludf.DUMMYFUNCTION("""COMPUTED_VALUE"""),2459.82)</f>
        <v>2459.8200000000002</v>
      </c>
      <c r="Z98" s="6" t="str">
        <f t="shared" ca="1" si="27"/>
        <v>20184</v>
      </c>
      <c r="AA98" s="6">
        <f t="shared" ca="1" si="28"/>
        <v>2018</v>
      </c>
      <c r="AB98" s="6">
        <f t="shared" ca="1" si="29"/>
        <v>4</v>
      </c>
      <c r="AC98" s="68">
        <f ca="1">IFERROR(__xludf.DUMMYFUNCTION("""COMPUTED_VALUE"""),43193.9986111111)</f>
        <v>43193.998611111099</v>
      </c>
      <c r="AD98" s="6">
        <f ca="1">IFERROR(__xludf.DUMMYFUNCTION("""COMPUTED_VALUE"""),1053.73)</f>
        <v>1053.73</v>
      </c>
      <c r="AH98" s="6" t="str">
        <f t="shared" ca="1" si="30"/>
        <v>20183</v>
      </c>
      <c r="AI98" s="6">
        <f t="shared" ca="1" si="31"/>
        <v>2018</v>
      </c>
      <c r="AJ98" s="6">
        <f t="shared" ca="1" si="32"/>
        <v>3</v>
      </c>
      <c r="AK98" s="68">
        <f ca="1">IFERROR(__xludf.DUMMYFUNCTION("""COMPUTED_VALUE"""),43189.9986111111)</f>
        <v>43189.998611111099</v>
      </c>
      <c r="AL98" s="6">
        <f ca="1">IFERROR(__xludf.DUMMYFUNCTION("""COMPUTED_VALUE"""),6854)</f>
        <v>6854</v>
      </c>
      <c r="AP98" s="6" t="str">
        <f t="shared" ca="1" si="33"/>
        <v>20185</v>
      </c>
      <c r="AQ98" s="6">
        <f t="shared" ca="1" si="34"/>
        <v>2018</v>
      </c>
      <c r="AR98" s="6">
        <f t="shared" ca="1" si="35"/>
        <v>5</v>
      </c>
      <c r="AS98" s="68">
        <f ca="1">IFERROR(__xludf.DUMMYFUNCTION("""COMPUTED_VALUE"""),43231.9986111111)</f>
        <v>43231.998611111099</v>
      </c>
      <c r="AT98" s="6">
        <f ca="1">IFERROR(__xludf.DUMMYFUNCTION("""COMPUTED_VALUE"""),1320.7)</f>
        <v>1320.7</v>
      </c>
    </row>
    <row r="99" spans="2:46" x14ac:dyDescent="0.35">
      <c r="B99" s="6" t="str">
        <f t="shared" ca="1" si="18"/>
        <v>20185</v>
      </c>
      <c r="C99" s="6">
        <f t="shared" ca="1" si="19"/>
        <v>2018</v>
      </c>
      <c r="D99" s="6">
        <f t="shared" ca="1" si="20"/>
        <v>5</v>
      </c>
      <c r="E99" s="68">
        <f ca="1">IFERROR(__xludf.DUMMYFUNCTION("""COMPUTED_VALUE"""),43234.6666666666)</f>
        <v>43234.666666666599</v>
      </c>
      <c r="F99" s="6">
        <f ca="1">IFERROR(__xludf.DUMMYFUNCTION("""COMPUTED_VALUE"""),2730.13)</f>
        <v>2730.13</v>
      </c>
      <c r="J99" s="6" t="str">
        <f t="shared" ca="1" si="21"/>
        <v>20185</v>
      </c>
      <c r="K99" s="6">
        <f t="shared" ca="1" si="22"/>
        <v>2018</v>
      </c>
      <c r="L99" s="6">
        <f t="shared" ca="1" si="23"/>
        <v>5</v>
      </c>
      <c r="M99" s="68">
        <f ca="1">IFERROR(__xludf.DUMMYFUNCTION("""COMPUTED_VALUE"""),43234.6666666666)</f>
        <v>43234.666666666599</v>
      </c>
      <c r="N99" s="6">
        <f ca="1">IFERROR(__xludf.DUMMYFUNCTION("""COMPUTED_VALUE"""),7411.32)</f>
        <v>7411.32</v>
      </c>
      <c r="R99" s="6" t="str">
        <f t="shared" ca="1" si="24"/>
        <v>20185</v>
      </c>
      <c r="S99" s="6">
        <f t="shared" ca="1" si="25"/>
        <v>2018</v>
      </c>
      <c r="T99" s="6">
        <f t="shared" ca="1" si="26"/>
        <v>5</v>
      </c>
      <c r="U99" s="68">
        <f ca="1">IFERROR(__xludf.DUMMYFUNCTION("""COMPUTED_VALUE"""),43237.6458333333)</f>
        <v>43237.645833333299</v>
      </c>
      <c r="V99" s="6">
        <f ca="1">IFERROR(__xludf.DUMMYFUNCTION("""COMPUTED_VALUE"""),2448.45)</f>
        <v>2448.4499999999998</v>
      </c>
      <c r="Z99" s="6" t="str">
        <f t="shared" ca="1" si="27"/>
        <v>20184</v>
      </c>
      <c r="AA99" s="6">
        <f t="shared" ca="1" si="28"/>
        <v>2018</v>
      </c>
      <c r="AB99" s="6">
        <f t="shared" ca="1" si="29"/>
        <v>4</v>
      </c>
      <c r="AC99" s="68">
        <f ca="1">IFERROR(__xludf.DUMMYFUNCTION("""COMPUTED_VALUE"""),43194.9986111111)</f>
        <v>43194.998611111099</v>
      </c>
      <c r="AD99" s="6">
        <f ca="1">IFERROR(__xludf.DUMMYFUNCTION("""COMPUTED_VALUE"""),1057.43)</f>
        <v>1057.43</v>
      </c>
      <c r="AH99" s="6" t="str">
        <f t="shared" ca="1" si="30"/>
        <v>20183</v>
      </c>
      <c r="AI99" s="6">
        <f t="shared" ca="1" si="31"/>
        <v>2018</v>
      </c>
      <c r="AJ99" s="6">
        <f t="shared" ca="1" si="32"/>
        <v>3</v>
      </c>
      <c r="AK99" s="68">
        <f ca="1">IFERROR(__xludf.DUMMYFUNCTION("""COMPUTED_VALUE"""),43190.9986111111)</f>
        <v>43190.998611111099</v>
      </c>
      <c r="AL99" s="6">
        <f ca="1">IFERROR(__xludf.DUMMYFUNCTION("""COMPUTED_VALUE"""),6927.08)</f>
        <v>6927.08</v>
      </c>
      <c r="AP99" s="6" t="str">
        <f t="shared" ca="1" si="33"/>
        <v>20185</v>
      </c>
      <c r="AQ99" s="6">
        <f t="shared" ca="1" si="34"/>
        <v>2018</v>
      </c>
      <c r="AR99" s="6">
        <f t="shared" ca="1" si="35"/>
        <v>5</v>
      </c>
      <c r="AS99" s="68">
        <f ca="1">IFERROR(__xludf.DUMMYFUNCTION("""COMPUTED_VALUE"""),43234.9986111111)</f>
        <v>43234.998611111099</v>
      </c>
      <c r="AT99" s="6">
        <f ca="1">IFERROR(__xludf.DUMMYFUNCTION("""COMPUTED_VALUE"""),1318.2)</f>
        <v>1318.2</v>
      </c>
    </row>
    <row r="100" spans="2:46" x14ac:dyDescent="0.35">
      <c r="B100" s="6" t="str">
        <f t="shared" ca="1" si="18"/>
        <v>20185</v>
      </c>
      <c r="C100" s="6">
        <f t="shared" ca="1" si="19"/>
        <v>2018</v>
      </c>
      <c r="D100" s="6">
        <f t="shared" ca="1" si="20"/>
        <v>5</v>
      </c>
      <c r="E100" s="68">
        <f ca="1">IFERROR(__xludf.DUMMYFUNCTION("""COMPUTED_VALUE"""),43235.6666666666)</f>
        <v>43235.666666666599</v>
      </c>
      <c r="F100" s="6">
        <f ca="1">IFERROR(__xludf.DUMMYFUNCTION("""COMPUTED_VALUE"""),2711.45)</f>
        <v>2711.45</v>
      </c>
      <c r="J100" s="6" t="str">
        <f t="shared" ca="1" si="21"/>
        <v>20185</v>
      </c>
      <c r="K100" s="6">
        <f t="shared" ca="1" si="22"/>
        <v>2018</v>
      </c>
      <c r="L100" s="6">
        <f t="shared" ca="1" si="23"/>
        <v>5</v>
      </c>
      <c r="M100" s="68">
        <f ca="1">IFERROR(__xludf.DUMMYFUNCTION("""COMPUTED_VALUE"""),43235.6666666666)</f>
        <v>43235.666666666599</v>
      </c>
      <c r="N100" s="6">
        <f ca="1">IFERROR(__xludf.DUMMYFUNCTION("""COMPUTED_VALUE"""),7351.63)</f>
        <v>7351.63</v>
      </c>
      <c r="R100" s="6" t="str">
        <f t="shared" ca="1" si="24"/>
        <v>20185</v>
      </c>
      <c r="S100" s="6">
        <f t="shared" ca="1" si="25"/>
        <v>2018</v>
      </c>
      <c r="T100" s="6">
        <f t="shared" ca="1" si="26"/>
        <v>5</v>
      </c>
      <c r="U100" s="68">
        <f ca="1">IFERROR(__xludf.DUMMYFUNCTION("""COMPUTED_VALUE"""),43238.6458333333)</f>
        <v>43238.645833333299</v>
      </c>
      <c r="V100" s="6">
        <f ca="1">IFERROR(__xludf.DUMMYFUNCTION("""COMPUTED_VALUE"""),2460.65)</f>
        <v>2460.65</v>
      </c>
      <c r="Z100" s="6" t="str">
        <f t="shared" ca="1" si="27"/>
        <v>20184</v>
      </c>
      <c r="AA100" s="6">
        <f t="shared" ca="1" si="28"/>
        <v>2018</v>
      </c>
      <c r="AB100" s="6">
        <f t="shared" ca="1" si="29"/>
        <v>4</v>
      </c>
      <c r="AC100" s="68">
        <f ca="1">IFERROR(__xludf.DUMMYFUNCTION("""COMPUTED_VALUE"""),43195.9986111111)</f>
        <v>43195.998611111099</v>
      </c>
      <c r="AD100" s="6">
        <f ca="1">IFERROR(__xludf.DUMMYFUNCTION("""COMPUTED_VALUE"""),1061.64)</f>
        <v>1061.6400000000001</v>
      </c>
      <c r="AH100" s="6" t="str">
        <f t="shared" ca="1" si="30"/>
        <v>20184</v>
      </c>
      <c r="AI100" s="6">
        <f t="shared" ca="1" si="31"/>
        <v>2018</v>
      </c>
      <c r="AJ100" s="6">
        <f t="shared" ca="1" si="32"/>
        <v>4</v>
      </c>
      <c r="AK100" s="68">
        <f ca="1">IFERROR(__xludf.DUMMYFUNCTION("""COMPUTED_VALUE"""),43191.9986111111)</f>
        <v>43191.998611111099</v>
      </c>
      <c r="AL100" s="6">
        <f ca="1">IFERROR(__xludf.DUMMYFUNCTION("""COMPUTED_VALUE"""),6940.61)</f>
        <v>6940.61</v>
      </c>
      <c r="AP100" s="6" t="str">
        <f t="shared" ca="1" si="33"/>
        <v>20185</v>
      </c>
      <c r="AQ100" s="6">
        <f t="shared" ca="1" si="34"/>
        <v>2018</v>
      </c>
      <c r="AR100" s="6">
        <f t="shared" ca="1" si="35"/>
        <v>5</v>
      </c>
      <c r="AS100" s="68">
        <f ca="1">IFERROR(__xludf.DUMMYFUNCTION("""COMPUTED_VALUE"""),43235.9986111111)</f>
        <v>43235.998611111099</v>
      </c>
      <c r="AT100" s="6">
        <f ca="1">IFERROR(__xludf.DUMMYFUNCTION("""COMPUTED_VALUE"""),1290.3)</f>
        <v>1290.3</v>
      </c>
    </row>
    <row r="101" spans="2:46" x14ac:dyDescent="0.35">
      <c r="B101" s="6" t="str">
        <f t="shared" ca="1" si="18"/>
        <v>20185</v>
      </c>
      <c r="C101" s="6">
        <f t="shared" ca="1" si="19"/>
        <v>2018</v>
      </c>
      <c r="D101" s="6">
        <f t="shared" ca="1" si="20"/>
        <v>5</v>
      </c>
      <c r="E101" s="68">
        <f ca="1">IFERROR(__xludf.DUMMYFUNCTION("""COMPUTED_VALUE"""),43236.6666666666)</f>
        <v>43236.666666666599</v>
      </c>
      <c r="F101" s="6">
        <f ca="1">IFERROR(__xludf.DUMMYFUNCTION("""COMPUTED_VALUE"""),2722.46)</f>
        <v>2722.46</v>
      </c>
      <c r="J101" s="6" t="str">
        <f t="shared" ca="1" si="21"/>
        <v>20185</v>
      </c>
      <c r="K101" s="6">
        <f t="shared" ca="1" si="22"/>
        <v>2018</v>
      </c>
      <c r="L101" s="6">
        <f t="shared" ca="1" si="23"/>
        <v>5</v>
      </c>
      <c r="M101" s="68">
        <f ca="1">IFERROR(__xludf.DUMMYFUNCTION("""COMPUTED_VALUE"""),43236.6666666666)</f>
        <v>43236.666666666599</v>
      </c>
      <c r="N101" s="6">
        <f ca="1">IFERROR(__xludf.DUMMYFUNCTION("""COMPUTED_VALUE"""),7398.3)</f>
        <v>7398.3</v>
      </c>
      <c r="R101" s="6" t="str">
        <f t="shared" ca="1" si="24"/>
        <v>20185</v>
      </c>
      <c r="S101" s="6">
        <f t="shared" ca="1" si="25"/>
        <v>2018</v>
      </c>
      <c r="T101" s="6">
        <f t="shared" ca="1" si="26"/>
        <v>5</v>
      </c>
      <c r="U101" s="68">
        <f ca="1">IFERROR(__xludf.DUMMYFUNCTION("""COMPUTED_VALUE"""),43241.6458333333)</f>
        <v>43241.645833333299</v>
      </c>
      <c r="V101" s="6">
        <f ca="1">IFERROR(__xludf.DUMMYFUNCTION("""COMPUTED_VALUE"""),2465.57)</f>
        <v>2465.5700000000002</v>
      </c>
      <c r="Z101" s="6" t="str">
        <f t="shared" ca="1" si="27"/>
        <v>20184</v>
      </c>
      <c r="AA101" s="6">
        <f t="shared" ca="1" si="28"/>
        <v>2018</v>
      </c>
      <c r="AB101" s="6">
        <f t="shared" ca="1" si="29"/>
        <v>4</v>
      </c>
      <c r="AC101" s="68">
        <f ca="1">IFERROR(__xludf.DUMMYFUNCTION("""COMPUTED_VALUE"""),43196.9986111111)</f>
        <v>43196.998611111099</v>
      </c>
      <c r="AD101" s="6">
        <f ca="1">IFERROR(__xludf.DUMMYFUNCTION("""COMPUTED_VALUE"""),1069.72)</f>
        <v>1069.72</v>
      </c>
      <c r="AH101" s="6" t="str">
        <f t="shared" ca="1" si="30"/>
        <v>20184</v>
      </c>
      <c r="AI101" s="6">
        <f t="shared" ca="1" si="31"/>
        <v>2018</v>
      </c>
      <c r="AJ101" s="6">
        <f t="shared" ca="1" si="32"/>
        <v>4</v>
      </c>
      <c r="AK101" s="68">
        <f ca="1">IFERROR(__xludf.DUMMYFUNCTION("""COMPUTED_VALUE"""),43192.9986111111)</f>
        <v>43192.998611111099</v>
      </c>
      <c r="AL101" s="6">
        <f ca="1">IFERROR(__xludf.DUMMYFUNCTION("""COMPUTED_VALUE"""),6933.58)</f>
        <v>6933.58</v>
      </c>
      <c r="AP101" s="6" t="str">
        <f t="shared" ca="1" si="33"/>
        <v>20185</v>
      </c>
      <c r="AQ101" s="6">
        <f t="shared" ca="1" si="34"/>
        <v>2018</v>
      </c>
      <c r="AR101" s="6">
        <f t="shared" ca="1" si="35"/>
        <v>5</v>
      </c>
      <c r="AS101" s="68">
        <f ca="1">IFERROR(__xludf.DUMMYFUNCTION("""COMPUTED_VALUE"""),43236.9986111111)</f>
        <v>43236.998611111099</v>
      </c>
      <c r="AT101" s="6">
        <f ca="1">IFERROR(__xludf.DUMMYFUNCTION("""COMPUTED_VALUE"""),1291.5)</f>
        <v>1291.5</v>
      </c>
    </row>
    <row r="102" spans="2:46" x14ac:dyDescent="0.35">
      <c r="B102" s="6" t="str">
        <f t="shared" ca="1" si="18"/>
        <v>20185</v>
      </c>
      <c r="C102" s="6">
        <f t="shared" ca="1" si="19"/>
        <v>2018</v>
      </c>
      <c r="D102" s="6">
        <f t="shared" ca="1" si="20"/>
        <v>5</v>
      </c>
      <c r="E102" s="68">
        <f ca="1">IFERROR(__xludf.DUMMYFUNCTION("""COMPUTED_VALUE"""),43237.6666666666)</f>
        <v>43237.666666666599</v>
      </c>
      <c r="F102" s="6">
        <f ca="1">IFERROR(__xludf.DUMMYFUNCTION("""COMPUTED_VALUE"""),2720.13)</f>
        <v>2720.13</v>
      </c>
      <c r="J102" s="6" t="str">
        <f t="shared" ca="1" si="21"/>
        <v>20185</v>
      </c>
      <c r="K102" s="6">
        <f t="shared" ca="1" si="22"/>
        <v>2018</v>
      </c>
      <c r="L102" s="6">
        <f t="shared" ca="1" si="23"/>
        <v>5</v>
      </c>
      <c r="M102" s="68">
        <f ca="1">IFERROR(__xludf.DUMMYFUNCTION("""COMPUTED_VALUE"""),43237.6666666666)</f>
        <v>43237.666666666599</v>
      </c>
      <c r="N102" s="6">
        <f ca="1">IFERROR(__xludf.DUMMYFUNCTION("""COMPUTED_VALUE"""),7382.47)</f>
        <v>7382.47</v>
      </c>
      <c r="R102" s="6" t="str">
        <f t="shared" ca="1" si="24"/>
        <v>20185</v>
      </c>
      <c r="S102" s="6">
        <f t="shared" ca="1" si="25"/>
        <v>2018</v>
      </c>
      <c r="T102" s="6">
        <f t="shared" ca="1" si="26"/>
        <v>5</v>
      </c>
      <c r="U102" s="68">
        <f ca="1">IFERROR(__xludf.DUMMYFUNCTION("""COMPUTED_VALUE"""),43243.6458333333)</f>
        <v>43243.645833333299</v>
      </c>
      <c r="V102" s="6">
        <f ca="1">IFERROR(__xludf.DUMMYFUNCTION("""COMPUTED_VALUE"""),2471.91)</f>
        <v>2471.91</v>
      </c>
      <c r="Z102" s="6" t="str">
        <f t="shared" ca="1" si="27"/>
        <v>20184</v>
      </c>
      <c r="AA102" s="6">
        <f t="shared" ca="1" si="28"/>
        <v>2018</v>
      </c>
      <c r="AB102" s="6">
        <f t="shared" ca="1" si="29"/>
        <v>4</v>
      </c>
      <c r="AC102" s="68">
        <f ca="1">IFERROR(__xludf.DUMMYFUNCTION("""COMPUTED_VALUE"""),43197.9986111111)</f>
        <v>43197.998611111099</v>
      </c>
      <c r="AD102" s="6">
        <f ca="1">IFERROR(__xludf.DUMMYFUNCTION("""COMPUTED_VALUE"""),1069.72)</f>
        <v>1069.72</v>
      </c>
      <c r="AH102" s="6" t="str">
        <f t="shared" ca="1" si="30"/>
        <v>20184</v>
      </c>
      <c r="AI102" s="6">
        <f t="shared" ca="1" si="31"/>
        <v>2018</v>
      </c>
      <c r="AJ102" s="6">
        <f t="shared" ca="1" si="32"/>
        <v>4</v>
      </c>
      <c r="AK102" s="68">
        <f ca="1">IFERROR(__xludf.DUMMYFUNCTION("""COMPUTED_VALUE"""),43193.9986111111)</f>
        <v>43193.998611111099</v>
      </c>
      <c r="AL102" s="6">
        <f ca="1">IFERROR(__xludf.DUMMYFUNCTION("""COMPUTED_VALUE"""),7409.52)</f>
        <v>7409.52</v>
      </c>
      <c r="AP102" s="6" t="str">
        <f t="shared" ca="1" si="33"/>
        <v>20185</v>
      </c>
      <c r="AQ102" s="6">
        <f t="shared" ca="1" si="34"/>
        <v>2018</v>
      </c>
      <c r="AR102" s="6">
        <f t="shared" ca="1" si="35"/>
        <v>5</v>
      </c>
      <c r="AS102" s="68">
        <f ca="1">IFERROR(__xludf.DUMMYFUNCTION("""COMPUTED_VALUE"""),43237.9986111111)</f>
        <v>43237.998611111099</v>
      </c>
      <c r="AT102" s="6">
        <f ca="1">IFERROR(__xludf.DUMMYFUNCTION("""COMPUTED_VALUE"""),1289.4)</f>
        <v>1289.4000000000001</v>
      </c>
    </row>
    <row r="103" spans="2:46" x14ac:dyDescent="0.35">
      <c r="B103" s="6" t="str">
        <f t="shared" ca="1" si="18"/>
        <v>20185</v>
      </c>
      <c r="C103" s="6">
        <f t="shared" ca="1" si="19"/>
        <v>2018</v>
      </c>
      <c r="D103" s="6">
        <f t="shared" ca="1" si="20"/>
        <v>5</v>
      </c>
      <c r="E103" s="68">
        <f ca="1">IFERROR(__xludf.DUMMYFUNCTION("""COMPUTED_VALUE"""),43238.6666666666)</f>
        <v>43238.666666666599</v>
      </c>
      <c r="F103" s="6">
        <f ca="1">IFERROR(__xludf.DUMMYFUNCTION("""COMPUTED_VALUE"""),2712.97)</f>
        <v>2712.97</v>
      </c>
      <c r="J103" s="6" t="str">
        <f t="shared" ca="1" si="21"/>
        <v>20185</v>
      </c>
      <c r="K103" s="6">
        <f t="shared" ca="1" si="22"/>
        <v>2018</v>
      </c>
      <c r="L103" s="6">
        <f t="shared" ca="1" si="23"/>
        <v>5</v>
      </c>
      <c r="M103" s="68">
        <f ca="1">IFERROR(__xludf.DUMMYFUNCTION("""COMPUTED_VALUE"""),43238.6666666666)</f>
        <v>43238.666666666599</v>
      </c>
      <c r="N103" s="6">
        <f ca="1">IFERROR(__xludf.DUMMYFUNCTION("""COMPUTED_VALUE"""),7354.34)</f>
        <v>7354.34</v>
      </c>
      <c r="R103" s="6" t="str">
        <f t="shared" ca="1" si="24"/>
        <v>20185</v>
      </c>
      <c r="S103" s="6">
        <f t="shared" ca="1" si="25"/>
        <v>2018</v>
      </c>
      <c r="T103" s="6">
        <f t="shared" ca="1" si="26"/>
        <v>5</v>
      </c>
      <c r="U103" s="68">
        <f ca="1">IFERROR(__xludf.DUMMYFUNCTION("""COMPUTED_VALUE"""),43244.6458333333)</f>
        <v>43244.645833333299</v>
      </c>
      <c r="V103" s="6">
        <f ca="1">IFERROR(__xludf.DUMMYFUNCTION("""COMPUTED_VALUE"""),2466.01)</f>
        <v>2466.0100000000002</v>
      </c>
      <c r="Z103" s="6" t="str">
        <f t="shared" ca="1" si="27"/>
        <v>20184</v>
      </c>
      <c r="AA103" s="6">
        <f t="shared" ca="1" si="28"/>
        <v>2018</v>
      </c>
      <c r="AB103" s="6">
        <f t="shared" ca="1" si="29"/>
        <v>4</v>
      </c>
      <c r="AC103" s="68">
        <f ca="1">IFERROR(__xludf.DUMMYFUNCTION("""COMPUTED_VALUE"""),43198.9986111111)</f>
        <v>43198.998611111099</v>
      </c>
      <c r="AD103" s="6">
        <f ca="1">IFERROR(__xludf.DUMMYFUNCTION("""COMPUTED_VALUE"""),1070.46)</f>
        <v>1070.46</v>
      </c>
      <c r="AH103" s="6" t="str">
        <f t="shared" ca="1" si="30"/>
        <v>20184</v>
      </c>
      <c r="AI103" s="6">
        <f t="shared" ca="1" si="31"/>
        <v>2018</v>
      </c>
      <c r="AJ103" s="6">
        <f t="shared" ca="1" si="32"/>
        <v>4</v>
      </c>
      <c r="AK103" s="68">
        <f ca="1">IFERROR(__xludf.DUMMYFUNCTION("""COMPUTED_VALUE"""),43194.9986111111)</f>
        <v>43194.998611111099</v>
      </c>
      <c r="AL103" s="6">
        <f ca="1">IFERROR(__xludf.DUMMYFUNCTION("""COMPUTED_VALUE"""),6836.74)</f>
        <v>6836.74</v>
      </c>
      <c r="AP103" s="6" t="str">
        <f t="shared" ca="1" si="33"/>
        <v>20185</v>
      </c>
      <c r="AQ103" s="6">
        <f t="shared" ca="1" si="34"/>
        <v>2018</v>
      </c>
      <c r="AR103" s="6">
        <f t="shared" ca="1" si="35"/>
        <v>5</v>
      </c>
      <c r="AS103" s="68">
        <f ca="1">IFERROR(__xludf.DUMMYFUNCTION("""COMPUTED_VALUE"""),43238.9986111111)</f>
        <v>43238.998611111099</v>
      </c>
      <c r="AT103" s="6">
        <f ca="1">IFERROR(__xludf.DUMMYFUNCTION("""COMPUTED_VALUE"""),1291.3)</f>
        <v>1291.3</v>
      </c>
    </row>
    <row r="104" spans="2:46" x14ac:dyDescent="0.35">
      <c r="B104" s="6" t="str">
        <f t="shared" ca="1" si="18"/>
        <v>20185</v>
      </c>
      <c r="C104" s="6">
        <f t="shared" ca="1" si="19"/>
        <v>2018</v>
      </c>
      <c r="D104" s="6">
        <f t="shared" ca="1" si="20"/>
        <v>5</v>
      </c>
      <c r="E104" s="68">
        <f ca="1">IFERROR(__xludf.DUMMYFUNCTION("""COMPUTED_VALUE"""),43241.6666666666)</f>
        <v>43241.666666666599</v>
      </c>
      <c r="F104" s="6">
        <f ca="1">IFERROR(__xludf.DUMMYFUNCTION("""COMPUTED_VALUE"""),2733.01)</f>
        <v>2733.01</v>
      </c>
      <c r="J104" s="6" t="str">
        <f t="shared" ca="1" si="21"/>
        <v>20185</v>
      </c>
      <c r="K104" s="6">
        <f t="shared" ca="1" si="22"/>
        <v>2018</v>
      </c>
      <c r="L104" s="6">
        <f t="shared" ca="1" si="23"/>
        <v>5</v>
      </c>
      <c r="M104" s="68">
        <f ca="1">IFERROR(__xludf.DUMMYFUNCTION("""COMPUTED_VALUE"""),43241.6666666666)</f>
        <v>43241.666666666599</v>
      </c>
      <c r="N104" s="6">
        <f ca="1">IFERROR(__xludf.DUMMYFUNCTION("""COMPUTED_VALUE"""),7394.04)</f>
        <v>7394.04</v>
      </c>
      <c r="R104" s="6" t="str">
        <f t="shared" ca="1" si="24"/>
        <v>20185</v>
      </c>
      <c r="S104" s="6">
        <f t="shared" ca="1" si="25"/>
        <v>2018</v>
      </c>
      <c r="T104" s="6">
        <f t="shared" ca="1" si="26"/>
        <v>5</v>
      </c>
      <c r="U104" s="68">
        <f ca="1">IFERROR(__xludf.DUMMYFUNCTION("""COMPUTED_VALUE"""),43245.6458333333)</f>
        <v>43245.645833333299</v>
      </c>
      <c r="V104" s="6">
        <f ca="1">IFERROR(__xludf.DUMMYFUNCTION("""COMPUTED_VALUE"""),2460.8)</f>
        <v>2460.8000000000002</v>
      </c>
      <c r="Z104" s="6" t="str">
        <f t="shared" ca="1" si="27"/>
        <v>20184</v>
      </c>
      <c r="AA104" s="6">
        <f t="shared" ca="1" si="28"/>
        <v>2018</v>
      </c>
      <c r="AB104" s="6">
        <f t="shared" ca="1" si="29"/>
        <v>4</v>
      </c>
      <c r="AC104" s="68">
        <f ca="1">IFERROR(__xludf.DUMMYFUNCTION("""COMPUTED_VALUE"""),43199.9986111111)</f>
        <v>43199.998611111099</v>
      </c>
      <c r="AD104" s="6">
        <f ca="1">IFERROR(__xludf.DUMMYFUNCTION("""COMPUTED_VALUE"""),1068.77)</f>
        <v>1068.77</v>
      </c>
      <c r="AH104" s="6" t="str">
        <f t="shared" ca="1" si="30"/>
        <v>20184</v>
      </c>
      <c r="AI104" s="6">
        <f t="shared" ca="1" si="31"/>
        <v>2018</v>
      </c>
      <c r="AJ104" s="6">
        <f t="shared" ca="1" si="32"/>
        <v>4</v>
      </c>
      <c r="AK104" s="68">
        <f ca="1">IFERROR(__xludf.DUMMYFUNCTION("""COMPUTED_VALUE"""),43195.9986111111)</f>
        <v>43195.998611111099</v>
      </c>
      <c r="AL104" s="6">
        <f ca="1">IFERROR(__xludf.DUMMYFUNCTION("""COMPUTED_VALUE"""),6818.54)</f>
        <v>6818.54</v>
      </c>
      <c r="AP104" s="6" t="str">
        <f t="shared" ca="1" si="33"/>
        <v>20185</v>
      </c>
      <c r="AQ104" s="6">
        <f t="shared" ca="1" si="34"/>
        <v>2018</v>
      </c>
      <c r="AR104" s="6">
        <f t="shared" ca="1" si="35"/>
        <v>5</v>
      </c>
      <c r="AS104" s="68">
        <f ca="1">IFERROR(__xludf.DUMMYFUNCTION("""COMPUTED_VALUE"""),43241.9986111111)</f>
        <v>43241.998611111099</v>
      </c>
      <c r="AT104" s="6">
        <f ca="1">IFERROR(__xludf.DUMMYFUNCTION("""COMPUTED_VALUE"""),1290.9)</f>
        <v>1290.9000000000001</v>
      </c>
    </row>
    <row r="105" spans="2:46" x14ac:dyDescent="0.35">
      <c r="B105" s="6" t="str">
        <f t="shared" ca="1" si="18"/>
        <v>20185</v>
      </c>
      <c r="C105" s="6">
        <f t="shared" ca="1" si="19"/>
        <v>2018</v>
      </c>
      <c r="D105" s="6">
        <f t="shared" ca="1" si="20"/>
        <v>5</v>
      </c>
      <c r="E105" s="68">
        <f ca="1">IFERROR(__xludf.DUMMYFUNCTION("""COMPUTED_VALUE"""),43242.6666666666)</f>
        <v>43242.666666666599</v>
      </c>
      <c r="F105" s="6">
        <f ca="1">IFERROR(__xludf.DUMMYFUNCTION("""COMPUTED_VALUE"""),2724.44)</f>
        <v>2724.44</v>
      </c>
      <c r="J105" s="6" t="str">
        <f t="shared" ca="1" si="21"/>
        <v>20185</v>
      </c>
      <c r="K105" s="6">
        <f t="shared" ca="1" si="22"/>
        <v>2018</v>
      </c>
      <c r="L105" s="6">
        <f t="shared" ca="1" si="23"/>
        <v>5</v>
      </c>
      <c r="M105" s="68">
        <f ca="1">IFERROR(__xludf.DUMMYFUNCTION("""COMPUTED_VALUE"""),43242.6666666666)</f>
        <v>43242.666666666599</v>
      </c>
      <c r="N105" s="6">
        <f ca="1">IFERROR(__xludf.DUMMYFUNCTION("""COMPUTED_VALUE"""),7378.46)</f>
        <v>7378.46</v>
      </c>
      <c r="R105" s="6" t="str">
        <f t="shared" ca="1" si="24"/>
        <v>20185</v>
      </c>
      <c r="S105" s="6">
        <f t="shared" ca="1" si="25"/>
        <v>2018</v>
      </c>
      <c r="T105" s="6">
        <f t="shared" ca="1" si="26"/>
        <v>5</v>
      </c>
      <c r="U105" s="68">
        <f ca="1">IFERROR(__xludf.DUMMYFUNCTION("""COMPUTED_VALUE"""),43248.6458333333)</f>
        <v>43248.645833333299</v>
      </c>
      <c r="V105" s="6">
        <f ca="1">IFERROR(__xludf.DUMMYFUNCTION("""COMPUTED_VALUE"""),2478.96)</f>
        <v>2478.96</v>
      </c>
      <c r="Z105" s="6" t="str">
        <f t="shared" ca="1" si="27"/>
        <v>20184</v>
      </c>
      <c r="AA105" s="6">
        <f t="shared" ca="1" si="28"/>
        <v>2018</v>
      </c>
      <c r="AB105" s="6">
        <f t="shared" ca="1" si="29"/>
        <v>4</v>
      </c>
      <c r="AC105" s="68">
        <f ca="1">IFERROR(__xludf.DUMMYFUNCTION("""COMPUTED_VALUE"""),43200.9986111111)</f>
        <v>43200.998611111099</v>
      </c>
      <c r="AD105" s="6">
        <f ca="1">IFERROR(__xludf.DUMMYFUNCTION("""COMPUTED_VALUE"""),1063.38)</f>
        <v>1063.3800000000001</v>
      </c>
      <c r="AH105" s="6" t="str">
        <f t="shared" ca="1" si="30"/>
        <v>20184</v>
      </c>
      <c r="AI105" s="6">
        <f t="shared" ca="1" si="31"/>
        <v>2018</v>
      </c>
      <c r="AJ105" s="6">
        <f t="shared" ca="1" si="32"/>
        <v>4</v>
      </c>
      <c r="AK105" s="68">
        <f ca="1">IFERROR(__xludf.DUMMYFUNCTION("""COMPUTED_VALUE"""),43196.9986111111)</f>
        <v>43196.998611111099</v>
      </c>
      <c r="AL105" s="6">
        <f ca="1">IFERROR(__xludf.DUMMYFUNCTION("""COMPUTED_VALUE"""),6613.62)</f>
        <v>6613.62</v>
      </c>
      <c r="AP105" s="6" t="str">
        <f t="shared" ca="1" si="33"/>
        <v>20185</v>
      </c>
      <c r="AQ105" s="6">
        <f t="shared" ca="1" si="34"/>
        <v>2018</v>
      </c>
      <c r="AR105" s="6">
        <f t="shared" ca="1" si="35"/>
        <v>5</v>
      </c>
      <c r="AS105" s="68">
        <f ca="1">IFERROR(__xludf.DUMMYFUNCTION("""COMPUTED_VALUE"""),43242.9986111111)</f>
        <v>43242.998611111099</v>
      </c>
      <c r="AT105" s="6">
        <f ca="1">IFERROR(__xludf.DUMMYFUNCTION("""COMPUTED_VALUE"""),1297.4)</f>
        <v>1297.4000000000001</v>
      </c>
    </row>
    <row r="106" spans="2:46" x14ac:dyDescent="0.35">
      <c r="B106" s="6" t="str">
        <f t="shared" ca="1" si="18"/>
        <v>20185</v>
      </c>
      <c r="C106" s="6">
        <f t="shared" ca="1" si="19"/>
        <v>2018</v>
      </c>
      <c r="D106" s="6">
        <f t="shared" ca="1" si="20"/>
        <v>5</v>
      </c>
      <c r="E106" s="68">
        <f ca="1">IFERROR(__xludf.DUMMYFUNCTION("""COMPUTED_VALUE"""),43243.6666666666)</f>
        <v>43243.666666666599</v>
      </c>
      <c r="F106" s="6">
        <f ca="1">IFERROR(__xludf.DUMMYFUNCTION("""COMPUTED_VALUE"""),2733.29)</f>
        <v>2733.29</v>
      </c>
      <c r="J106" s="6" t="str">
        <f t="shared" ca="1" si="21"/>
        <v>20185</v>
      </c>
      <c r="K106" s="6">
        <f t="shared" ca="1" si="22"/>
        <v>2018</v>
      </c>
      <c r="L106" s="6">
        <f t="shared" ca="1" si="23"/>
        <v>5</v>
      </c>
      <c r="M106" s="68">
        <f ca="1">IFERROR(__xludf.DUMMYFUNCTION("""COMPUTED_VALUE"""),43243.6666666666)</f>
        <v>43243.666666666599</v>
      </c>
      <c r="N106" s="6">
        <f ca="1">IFERROR(__xludf.DUMMYFUNCTION("""COMPUTED_VALUE"""),7425.96)</f>
        <v>7425.96</v>
      </c>
      <c r="R106" s="6" t="str">
        <f t="shared" ca="1" si="24"/>
        <v>20185</v>
      </c>
      <c r="S106" s="6">
        <f t="shared" ca="1" si="25"/>
        <v>2018</v>
      </c>
      <c r="T106" s="6">
        <f t="shared" ca="1" si="26"/>
        <v>5</v>
      </c>
      <c r="U106" s="68">
        <f ca="1">IFERROR(__xludf.DUMMYFUNCTION("""COMPUTED_VALUE"""),43249.6458333333)</f>
        <v>43249.645833333299</v>
      </c>
      <c r="V106" s="6">
        <f ca="1">IFERROR(__xludf.DUMMYFUNCTION("""COMPUTED_VALUE"""),2457.25)</f>
        <v>2457.25</v>
      </c>
      <c r="Z106" s="6" t="str">
        <f t="shared" ca="1" si="27"/>
        <v>20184</v>
      </c>
      <c r="AA106" s="6">
        <f t="shared" ca="1" si="28"/>
        <v>2018</v>
      </c>
      <c r="AB106" s="6">
        <f t="shared" ca="1" si="29"/>
        <v>4</v>
      </c>
      <c r="AC106" s="68">
        <f ca="1">IFERROR(__xludf.DUMMYFUNCTION("""COMPUTED_VALUE"""),43201.9986111111)</f>
        <v>43201.998611111099</v>
      </c>
      <c r="AD106" s="6">
        <f ca="1">IFERROR(__xludf.DUMMYFUNCTION("""COMPUTED_VALUE"""),1065.75)</f>
        <v>1065.75</v>
      </c>
      <c r="AH106" s="6" t="str">
        <f t="shared" ca="1" si="30"/>
        <v>20184</v>
      </c>
      <c r="AI106" s="6">
        <f t="shared" ca="1" si="31"/>
        <v>2018</v>
      </c>
      <c r="AJ106" s="6">
        <f t="shared" ca="1" si="32"/>
        <v>4</v>
      </c>
      <c r="AK106" s="68">
        <f ca="1">IFERROR(__xludf.DUMMYFUNCTION("""COMPUTED_VALUE"""),43197.9986111111)</f>
        <v>43197.998611111099</v>
      </c>
      <c r="AL106" s="6">
        <f ca="1">IFERROR(__xludf.DUMMYFUNCTION("""COMPUTED_VALUE"""),6895.41)</f>
        <v>6895.41</v>
      </c>
      <c r="AP106" s="6" t="str">
        <f t="shared" ca="1" si="33"/>
        <v>20185</v>
      </c>
      <c r="AQ106" s="6">
        <f t="shared" ca="1" si="34"/>
        <v>2018</v>
      </c>
      <c r="AR106" s="6">
        <f t="shared" ca="1" si="35"/>
        <v>5</v>
      </c>
      <c r="AS106" s="68">
        <f ca="1">IFERROR(__xludf.DUMMYFUNCTION("""COMPUTED_VALUE"""),43243.9986111111)</f>
        <v>43243.998611111099</v>
      </c>
      <c r="AT106" s="6">
        <f ca="1">IFERROR(__xludf.DUMMYFUNCTION("""COMPUTED_VALUE"""),1294.8)</f>
        <v>1294.8</v>
      </c>
    </row>
    <row r="107" spans="2:46" x14ac:dyDescent="0.35">
      <c r="B107" s="6" t="str">
        <f t="shared" ca="1" si="18"/>
        <v>20185</v>
      </c>
      <c r="C107" s="6">
        <f t="shared" ca="1" si="19"/>
        <v>2018</v>
      </c>
      <c r="D107" s="6">
        <f t="shared" ca="1" si="20"/>
        <v>5</v>
      </c>
      <c r="E107" s="68">
        <f ca="1">IFERROR(__xludf.DUMMYFUNCTION("""COMPUTED_VALUE"""),43244.6666666666)</f>
        <v>43244.666666666599</v>
      </c>
      <c r="F107" s="6">
        <f ca="1">IFERROR(__xludf.DUMMYFUNCTION("""COMPUTED_VALUE"""),2727.76)</f>
        <v>2727.76</v>
      </c>
      <c r="J107" s="6" t="str">
        <f t="shared" ca="1" si="21"/>
        <v>20185</v>
      </c>
      <c r="K107" s="6">
        <f t="shared" ca="1" si="22"/>
        <v>2018</v>
      </c>
      <c r="L107" s="6">
        <f t="shared" ca="1" si="23"/>
        <v>5</v>
      </c>
      <c r="M107" s="68">
        <f ca="1">IFERROR(__xludf.DUMMYFUNCTION("""COMPUTED_VALUE"""),43244.6666666666)</f>
        <v>43244.666666666599</v>
      </c>
      <c r="N107" s="6">
        <f ca="1">IFERROR(__xludf.DUMMYFUNCTION("""COMPUTED_VALUE"""),7424.43)</f>
        <v>7424.43</v>
      </c>
      <c r="R107" s="6" t="str">
        <f t="shared" ca="1" si="24"/>
        <v>20185</v>
      </c>
      <c r="S107" s="6">
        <f t="shared" ca="1" si="25"/>
        <v>2018</v>
      </c>
      <c r="T107" s="6">
        <f t="shared" ca="1" si="26"/>
        <v>5</v>
      </c>
      <c r="U107" s="68">
        <f ca="1">IFERROR(__xludf.DUMMYFUNCTION("""COMPUTED_VALUE"""),43250.6458333333)</f>
        <v>43250.645833333299</v>
      </c>
      <c r="V107" s="6">
        <f ca="1">IFERROR(__xludf.DUMMYFUNCTION("""COMPUTED_VALUE"""),2409.03)</f>
        <v>2409.0300000000002</v>
      </c>
      <c r="Z107" s="6" t="str">
        <f t="shared" ca="1" si="27"/>
        <v>20184</v>
      </c>
      <c r="AA107" s="6">
        <f t="shared" ca="1" si="28"/>
        <v>2018</v>
      </c>
      <c r="AB107" s="6">
        <f t="shared" ca="1" si="29"/>
        <v>4</v>
      </c>
      <c r="AC107" s="68">
        <f ca="1">IFERROR(__xludf.DUMMYFUNCTION("""COMPUTED_VALUE"""),43202.9986111111)</f>
        <v>43202.998611111099</v>
      </c>
      <c r="AD107" s="6">
        <f ca="1">IFERROR(__xludf.DUMMYFUNCTION("""COMPUTED_VALUE"""),1069.98)</f>
        <v>1069.98</v>
      </c>
      <c r="AH107" s="6" t="str">
        <f t="shared" ca="1" si="30"/>
        <v>20184</v>
      </c>
      <c r="AI107" s="6">
        <f t="shared" ca="1" si="31"/>
        <v>2018</v>
      </c>
      <c r="AJ107" s="6">
        <f t="shared" ca="1" si="32"/>
        <v>4</v>
      </c>
      <c r="AK107" s="68">
        <f ca="1">IFERROR(__xludf.DUMMYFUNCTION("""COMPUTED_VALUE"""),43198.9986111111)</f>
        <v>43198.998611111099</v>
      </c>
      <c r="AL107" s="6">
        <f ca="1">IFERROR(__xludf.DUMMYFUNCTION("""COMPUTED_VALUE"""),7025.52)</f>
        <v>7025.52</v>
      </c>
      <c r="AP107" s="6" t="str">
        <f t="shared" ca="1" si="33"/>
        <v>20185</v>
      </c>
      <c r="AQ107" s="6">
        <f t="shared" ca="1" si="34"/>
        <v>2018</v>
      </c>
      <c r="AR107" s="6">
        <f t="shared" ca="1" si="35"/>
        <v>5</v>
      </c>
      <c r="AS107" s="68">
        <f ca="1">IFERROR(__xludf.DUMMYFUNCTION("""COMPUTED_VALUE"""),43244.9986111111)</f>
        <v>43244.998611111099</v>
      </c>
      <c r="AT107" s="6">
        <f ca="1">IFERROR(__xludf.DUMMYFUNCTION("""COMPUTED_VALUE"""),1309.8)</f>
        <v>1309.8</v>
      </c>
    </row>
    <row r="108" spans="2:46" x14ac:dyDescent="0.35">
      <c r="B108" s="6" t="str">
        <f t="shared" ca="1" si="18"/>
        <v>20185</v>
      </c>
      <c r="C108" s="6">
        <f t="shared" ca="1" si="19"/>
        <v>2018</v>
      </c>
      <c r="D108" s="6">
        <f t="shared" ca="1" si="20"/>
        <v>5</v>
      </c>
      <c r="E108" s="68">
        <f ca="1">IFERROR(__xludf.DUMMYFUNCTION("""COMPUTED_VALUE"""),43245.6666666666)</f>
        <v>43245.666666666599</v>
      </c>
      <c r="F108" s="6">
        <f ca="1">IFERROR(__xludf.DUMMYFUNCTION("""COMPUTED_VALUE"""),2721.33)</f>
        <v>2721.33</v>
      </c>
      <c r="J108" s="6" t="str">
        <f t="shared" ca="1" si="21"/>
        <v>20185</v>
      </c>
      <c r="K108" s="6">
        <f t="shared" ca="1" si="22"/>
        <v>2018</v>
      </c>
      <c r="L108" s="6">
        <f t="shared" ca="1" si="23"/>
        <v>5</v>
      </c>
      <c r="M108" s="68">
        <f ca="1">IFERROR(__xludf.DUMMYFUNCTION("""COMPUTED_VALUE"""),43245.6666666666)</f>
        <v>43245.666666666599</v>
      </c>
      <c r="N108" s="6">
        <f ca="1">IFERROR(__xludf.DUMMYFUNCTION("""COMPUTED_VALUE"""),7433.85)</f>
        <v>7433.85</v>
      </c>
      <c r="R108" s="6" t="str">
        <f t="shared" ca="1" si="24"/>
        <v>20185</v>
      </c>
      <c r="S108" s="6">
        <f t="shared" ca="1" si="25"/>
        <v>2018</v>
      </c>
      <c r="T108" s="6">
        <f t="shared" ca="1" si="26"/>
        <v>5</v>
      </c>
      <c r="U108" s="68">
        <f ca="1">IFERROR(__xludf.DUMMYFUNCTION("""COMPUTED_VALUE"""),43251.6458333333)</f>
        <v>43251.645833333299</v>
      </c>
      <c r="V108" s="6">
        <f ca="1">IFERROR(__xludf.DUMMYFUNCTION("""COMPUTED_VALUE"""),2423.01)</f>
        <v>2423.0100000000002</v>
      </c>
      <c r="Z108" s="6" t="str">
        <f t="shared" ca="1" si="27"/>
        <v>20184</v>
      </c>
      <c r="AA108" s="6">
        <f t="shared" ca="1" si="28"/>
        <v>2018</v>
      </c>
      <c r="AB108" s="6">
        <f t="shared" ca="1" si="29"/>
        <v>4</v>
      </c>
      <c r="AC108" s="68">
        <f ca="1">IFERROR(__xludf.DUMMYFUNCTION("""COMPUTED_VALUE"""),43203.9986111111)</f>
        <v>43203.998611111099</v>
      </c>
      <c r="AD108" s="6">
        <f ca="1">IFERROR(__xludf.DUMMYFUNCTION("""COMPUTED_VALUE"""),1070.5)</f>
        <v>1070.5</v>
      </c>
      <c r="AH108" s="6" t="str">
        <f t="shared" ca="1" si="30"/>
        <v>20184</v>
      </c>
      <c r="AI108" s="6">
        <f t="shared" ca="1" si="31"/>
        <v>2018</v>
      </c>
      <c r="AJ108" s="6">
        <f t="shared" ca="1" si="32"/>
        <v>4</v>
      </c>
      <c r="AK108" s="68">
        <f ca="1">IFERROR(__xludf.DUMMYFUNCTION("""COMPUTED_VALUE"""),43199.9986111111)</f>
        <v>43199.998611111099</v>
      </c>
      <c r="AL108" s="6">
        <f ca="1">IFERROR(__xludf.DUMMYFUNCTION("""COMPUTED_VALUE"""),6775.13)</f>
        <v>6775.13</v>
      </c>
      <c r="AP108" s="6" t="str">
        <f t="shared" ca="1" si="33"/>
        <v>20185</v>
      </c>
      <c r="AQ108" s="6">
        <f t="shared" ca="1" si="34"/>
        <v>2018</v>
      </c>
      <c r="AR108" s="6">
        <f t="shared" ca="1" si="35"/>
        <v>5</v>
      </c>
      <c r="AS108" s="68">
        <f ca="1">IFERROR(__xludf.DUMMYFUNCTION("""COMPUTED_VALUE"""),43245.9986111111)</f>
        <v>43245.998611111099</v>
      </c>
      <c r="AT108" s="6">
        <f ca="1">IFERROR(__xludf.DUMMYFUNCTION("""COMPUTED_VALUE"""),1309)</f>
        <v>1309</v>
      </c>
    </row>
    <row r="109" spans="2:46" x14ac:dyDescent="0.35">
      <c r="B109" s="6" t="str">
        <f t="shared" ca="1" si="18"/>
        <v>20185</v>
      </c>
      <c r="C109" s="6">
        <f t="shared" ca="1" si="19"/>
        <v>2018</v>
      </c>
      <c r="D109" s="6">
        <f t="shared" ca="1" si="20"/>
        <v>5</v>
      </c>
      <c r="E109" s="68">
        <f ca="1">IFERROR(__xludf.DUMMYFUNCTION("""COMPUTED_VALUE"""),43249.6666666666)</f>
        <v>43249.666666666599</v>
      </c>
      <c r="F109" s="6">
        <f ca="1">IFERROR(__xludf.DUMMYFUNCTION("""COMPUTED_VALUE"""),2689.86)</f>
        <v>2689.86</v>
      </c>
      <c r="J109" s="6" t="str">
        <f t="shared" ca="1" si="21"/>
        <v>20185</v>
      </c>
      <c r="K109" s="6">
        <f t="shared" ca="1" si="22"/>
        <v>2018</v>
      </c>
      <c r="L109" s="6">
        <f t="shared" ca="1" si="23"/>
        <v>5</v>
      </c>
      <c r="M109" s="68">
        <f ca="1">IFERROR(__xludf.DUMMYFUNCTION("""COMPUTED_VALUE"""),43249.6666666666)</f>
        <v>43249.666666666599</v>
      </c>
      <c r="N109" s="6">
        <f ca="1">IFERROR(__xludf.DUMMYFUNCTION("""COMPUTED_VALUE"""),7396.59)</f>
        <v>7396.59</v>
      </c>
      <c r="R109" s="6" t="str">
        <f t="shared" ca="1" si="24"/>
        <v>20186</v>
      </c>
      <c r="S109" s="6">
        <f t="shared" ca="1" si="25"/>
        <v>2018</v>
      </c>
      <c r="T109" s="6">
        <f t="shared" ca="1" si="26"/>
        <v>6</v>
      </c>
      <c r="U109" s="68">
        <f ca="1">IFERROR(__xludf.DUMMYFUNCTION("""COMPUTED_VALUE"""),43252.6458333333)</f>
        <v>43252.645833333299</v>
      </c>
      <c r="V109" s="6">
        <f ca="1">IFERROR(__xludf.DUMMYFUNCTION("""COMPUTED_VALUE"""),2438.96)</f>
        <v>2438.96</v>
      </c>
      <c r="Z109" s="6" t="str">
        <f t="shared" ca="1" si="27"/>
        <v>20184</v>
      </c>
      <c r="AA109" s="6">
        <f t="shared" ca="1" si="28"/>
        <v>2018</v>
      </c>
      <c r="AB109" s="6">
        <f t="shared" ca="1" si="29"/>
        <v>4</v>
      </c>
      <c r="AC109" s="68">
        <f ca="1">IFERROR(__xludf.DUMMYFUNCTION("""COMPUTED_VALUE"""),43205.9986111111)</f>
        <v>43205.998611111099</v>
      </c>
      <c r="AD109" s="6">
        <f ca="1">IFERROR(__xludf.DUMMYFUNCTION("""COMPUTED_VALUE"""),1070.66)</f>
        <v>1070.6600000000001</v>
      </c>
      <c r="AH109" s="6" t="str">
        <f t="shared" ca="1" si="30"/>
        <v>20184</v>
      </c>
      <c r="AI109" s="6">
        <f t="shared" ca="1" si="31"/>
        <v>2018</v>
      </c>
      <c r="AJ109" s="6">
        <f t="shared" ca="1" si="32"/>
        <v>4</v>
      </c>
      <c r="AK109" s="68">
        <f ca="1">IFERROR(__xludf.DUMMYFUNCTION("""COMPUTED_VALUE"""),43200.9986111111)</f>
        <v>43200.998611111099</v>
      </c>
      <c r="AL109" s="6">
        <f ca="1">IFERROR(__xludf.DUMMYFUNCTION("""COMPUTED_VALUE"""),6839.91)</f>
        <v>6839.91</v>
      </c>
      <c r="AP109" s="6" t="str">
        <f t="shared" ca="1" si="33"/>
        <v>20185</v>
      </c>
      <c r="AQ109" s="6">
        <f t="shared" ca="1" si="34"/>
        <v>2018</v>
      </c>
      <c r="AR109" s="6">
        <f t="shared" ca="1" si="35"/>
        <v>5</v>
      </c>
      <c r="AS109" s="68">
        <f ca="1">IFERROR(__xludf.DUMMYFUNCTION("""COMPUTED_VALUE"""),43249.9986111111)</f>
        <v>43249.998611111099</v>
      </c>
      <c r="AT109" s="6">
        <f ca="1">IFERROR(__xludf.DUMMYFUNCTION("""COMPUTED_VALUE"""),1304.1)</f>
        <v>1304.0999999999999</v>
      </c>
    </row>
    <row r="110" spans="2:46" x14ac:dyDescent="0.35">
      <c r="B110" s="6" t="str">
        <f t="shared" ca="1" si="18"/>
        <v>20185</v>
      </c>
      <c r="C110" s="6">
        <f t="shared" ca="1" si="19"/>
        <v>2018</v>
      </c>
      <c r="D110" s="6">
        <f t="shared" ca="1" si="20"/>
        <v>5</v>
      </c>
      <c r="E110" s="68">
        <f ca="1">IFERROR(__xludf.DUMMYFUNCTION("""COMPUTED_VALUE"""),43250.6666666666)</f>
        <v>43250.666666666599</v>
      </c>
      <c r="F110" s="6">
        <f ca="1">IFERROR(__xludf.DUMMYFUNCTION("""COMPUTED_VALUE"""),2724.01)</f>
        <v>2724.01</v>
      </c>
      <c r="J110" s="6" t="str">
        <f t="shared" ca="1" si="21"/>
        <v>20185</v>
      </c>
      <c r="K110" s="6">
        <f t="shared" ca="1" si="22"/>
        <v>2018</v>
      </c>
      <c r="L110" s="6">
        <f t="shared" ca="1" si="23"/>
        <v>5</v>
      </c>
      <c r="M110" s="68">
        <f ca="1">IFERROR(__xludf.DUMMYFUNCTION("""COMPUTED_VALUE"""),43250.6666666666)</f>
        <v>43250.666666666599</v>
      </c>
      <c r="N110" s="6">
        <f ca="1">IFERROR(__xludf.DUMMYFUNCTION("""COMPUTED_VALUE"""),7462.45)</f>
        <v>7462.45</v>
      </c>
      <c r="R110" s="6" t="str">
        <f t="shared" ca="1" si="24"/>
        <v>20186</v>
      </c>
      <c r="S110" s="6">
        <f t="shared" ca="1" si="25"/>
        <v>2018</v>
      </c>
      <c r="T110" s="6">
        <f t="shared" ca="1" si="26"/>
        <v>6</v>
      </c>
      <c r="U110" s="68">
        <f ca="1">IFERROR(__xludf.DUMMYFUNCTION("""COMPUTED_VALUE"""),43255.6458333333)</f>
        <v>43255.645833333299</v>
      </c>
      <c r="V110" s="6">
        <f ca="1">IFERROR(__xludf.DUMMYFUNCTION("""COMPUTED_VALUE"""),2447.76)</f>
        <v>2447.7600000000002</v>
      </c>
      <c r="Z110" s="6" t="str">
        <f t="shared" ca="1" si="27"/>
        <v>20184</v>
      </c>
      <c r="AA110" s="6">
        <f t="shared" ca="1" si="28"/>
        <v>2018</v>
      </c>
      <c r="AB110" s="6">
        <f t="shared" ca="1" si="29"/>
        <v>4</v>
      </c>
      <c r="AC110" s="68">
        <f ca="1">IFERROR(__xludf.DUMMYFUNCTION("""COMPUTED_VALUE"""),43206.9986111111)</f>
        <v>43206.998611111099</v>
      </c>
      <c r="AD110" s="6">
        <f ca="1">IFERROR(__xludf.DUMMYFUNCTION("""COMPUTED_VALUE"""),1069.52)</f>
        <v>1069.52</v>
      </c>
      <c r="AH110" s="6" t="str">
        <f t="shared" ca="1" si="30"/>
        <v>20184</v>
      </c>
      <c r="AI110" s="6">
        <f t="shared" ca="1" si="31"/>
        <v>2018</v>
      </c>
      <c r="AJ110" s="6">
        <f t="shared" ca="1" si="32"/>
        <v>4</v>
      </c>
      <c r="AK110" s="68">
        <f ca="1">IFERROR(__xludf.DUMMYFUNCTION("""COMPUTED_VALUE"""),43201.9986111111)</f>
        <v>43201.998611111099</v>
      </c>
      <c r="AL110" s="6">
        <f ca="1">IFERROR(__xludf.DUMMYFUNCTION("""COMPUTED_VALUE"""),6943.74)</f>
        <v>6943.74</v>
      </c>
      <c r="AP110" s="6" t="str">
        <f t="shared" ca="1" si="33"/>
        <v>20185</v>
      </c>
      <c r="AQ110" s="6">
        <f t="shared" ca="1" si="34"/>
        <v>2018</v>
      </c>
      <c r="AR110" s="6">
        <f t="shared" ca="1" si="35"/>
        <v>5</v>
      </c>
      <c r="AS110" s="68">
        <f ca="1">IFERROR(__xludf.DUMMYFUNCTION("""COMPUTED_VALUE"""),43250.9986111111)</f>
        <v>43250.998611111099</v>
      </c>
      <c r="AT110" s="6">
        <f ca="1">IFERROR(__xludf.DUMMYFUNCTION("""COMPUTED_VALUE"""),1306.5)</f>
        <v>1306.5</v>
      </c>
    </row>
    <row r="111" spans="2:46" x14ac:dyDescent="0.35">
      <c r="B111" s="6" t="str">
        <f t="shared" ca="1" si="18"/>
        <v>20185</v>
      </c>
      <c r="C111" s="6">
        <f t="shared" ca="1" si="19"/>
        <v>2018</v>
      </c>
      <c r="D111" s="6">
        <f t="shared" ca="1" si="20"/>
        <v>5</v>
      </c>
      <c r="E111" s="68">
        <f ca="1">IFERROR(__xludf.DUMMYFUNCTION("""COMPUTED_VALUE"""),43251.6666666666)</f>
        <v>43251.666666666599</v>
      </c>
      <c r="F111" s="6">
        <f ca="1">IFERROR(__xludf.DUMMYFUNCTION("""COMPUTED_VALUE"""),2705.27)</f>
        <v>2705.27</v>
      </c>
      <c r="J111" s="6" t="str">
        <f t="shared" ca="1" si="21"/>
        <v>20185</v>
      </c>
      <c r="K111" s="6">
        <f t="shared" ca="1" si="22"/>
        <v>2018</v>
      </c>
      <c r="L111" s="6">
        <f t="shared" ca="1" si="23"/>
        <v>5</v>
      </c>
      <c r="M111" s="68">
        <f ca="1">IFERROR(__xludf.DUMMYFUNCTION("""COMPUTED_VALUE"""),43251.6666666666)</f>
        <v>43251.666666666599</v>
      </c>
      <c r="N111" s="6">
        <f ca="1">IFERROR(__xludf.DUMMYFUNCTION("""COMPUTED_VALUE"""),7442.12)</f>
        <v>7442.12</v>
      </c>
      <c r="R111" s="6" t="str">
        <f t="shared" ca="1" si="24"/>
        <v>20186</v>
      </c>
      <c r="S111" s="6">
        <f t="shared" ca="1" si="25"/>
        <v>2018</v>
      </c>
      <c r="T111" s="6">
        <f t="shared" ca="1" si="26"/>
        <v>6</v>
      </c>
      <c r="U111" s="68">
        <f ca="1">IFERROR(__xludf.DUMMYFUNCTION("""COMPUTED_VALUE"""),43256.6458333333)</f>
        <v>43256.645833333299</v>
      </c>
      <c r="V111" s="6">
        <f ca="1">IFERROR(__xludf.DUMMYFUNCTION("""COMPUTED_VALUE"""),2453.76)</f>
        <v>2453.7600000000002</v>
      </c>
      <c r="Z111" s="6" t="str">
        <f t="shared" ca="1" si="27"/>
        <v>20184</v>
      </c>
      <c r="AA111" s="6">
        <f t="shared" ca="1" si="28"/>
        <v>2018</v>
      </c>
      <c r="AB111" s="6">
        <f t="shared" ca="1" si="29"/>
        <v>4</v>
      </c>
      <c r="AC111" s="68">
        <f ca="1">IFERROR(__xludf.DUMMYFUNCTION("""COMPUTED_VALUE"""),43207.9986111111)</f>
        <v>43207.998611111099</v>
      </c>
      <c r="AD111" s="6">
        <f ca="1">IFERROR(__xludf.DUMMYFUNCTION("""COMPUTED_VALUE"""),1066.09)</f>
        <v>1066.0899999999999</v>
      </c>
      <c r="AH111" s="6" t="str">
        <f t="shared" ca="1" si="30"/>
        <v>20184</v>
      </c>
      <c r="AI111" s="6">
        <f t="shared" ca="1" si="31"/>
        <v>2018</v>
      </c>
      <c r="AJ111" s="6">
        <f t="shared" ca="1" si="32"/>
        <v>4</v>
      </c>
      <c r="AK111" s="68">
        <f ca="1">IFERROR(__xludf.DUMMYFUNCTION("""COMPUTED_VALUE"""),43202.9986111111)</f>
        <v>43202.998611111099</v>
      </c>
      <c r="AL111" s="6">
        <f ca="1">IFERROR(__xludf.DUMMYFUNCTION("""COMPUTED_VALUE"""),7916.86)</f>
        <v>7916.86</v>
      </c>
      <c r="AP111" s="6" t="str">
        <f t="shared" ca="1" si="33"/>
        <v>20185</v>
      </c>
      <c r="AQ111" s="6">
        <f t="shared" ca="1" si="34"/>
        <v>2018</v>
      </c>
      <c r="AR111" s="6">
        <f t="shared" ca="1" si="35"/>
        <v>5</v>
      </c>
      <c r="AS111" s="68">
        <f ca="1">IFERROR(__xludf.DUMMYFUNCTION("""COMPUTED_VALUE"""),43251.9986111111)</f>
        <v>43251.998611111099</v>
      </c>
      <c r="AT111" s="6">
        <f ca="1">IFERROR(__xludf.DUMMYFUNCTION("""COMPUTED_VALUE"""),1304.7)</f>
        <v>1304.7</v>
      </c>
    </row>
    <row r="112" spans="2:46" x14ac:dyDescent="0.35">
      <c r="B112" s="6" t="str">
        <f t="shared" ca="1" si="18"/>
        <v>20186</v>
      </c>
      <c r="C112" s="6">
        <f t="shared" ca="1" si="19"/>
        <v>2018</v>
      </c>
      <c r="D112" s="6">
        <f t="shared" ca="1" si="20"/>
        <v>6</v>
      </c>
      <c r="E112" s="68">
        <f ca="1">IFERROR(__xludf.DUMMYFUNCTION("""COMPUTED_VALUE"""),43252.6666666666)</f>
        <v>43252.666666666599</v>
      </c>
      <c r="F112" s="6">
        <f ca="1">IFERROR(__xludf.DUMMYFUNCTION("""COMPUTED_VALUE"""),2734.62)</f>
        <v>2734.62</v>
      </c>
      <c r="J112" s="6" t="str">
        <f t="shared" ca="1" si="21"/>
        <v>20186</v>
      </c>
      <c r="K112" s="6">
        <f t="shared" ca="1" si="22"/>
        <v>2018</v>
      </c>
      <c r="L112" s="6">
        <f t="shared" ca="1" si="23"/>
        <v>6</v>
      </c>
      <c r="M112" s="68">
        <f ca="1">IFERROR(__xludf.DUMMYFUNCTION("""COMPUTED_VALUE"""),43252.6666666666)</f>
        <v>43252.666666666599</v>
      </c>
      <c r="N112" s="6">
        <f ca="1">IFERROR(__xludf.DUMMYFUNCTION("""COMPUTED_VALUE"""),7554.33)</f>
        <v>7554.33</v>
      </c>
      <c r="R112" s="6" t="str">
        <f t="shared" ca="1" si="24"/>
        <v>20186</v>
      </c>
      <c r="S112" s="6">
        <f t="shared" ca="1" si="25"/>
        <v>2018</v>
      </c>
      <c r="T112" s="6">
        <f t="shared" ca="1" si="26"/>
        <v>6</v>
      </c>
      <c r="U112" s="68">
        <f ca="1">IFERROR(__xludf.DUMMYFUNCTION("""COMPUTED_VALUE"""),43259.6458333333)</f>
        <v>43259.645833333299</v>
      </c>
      <c r="V112" s="6">
        <f ca="1">IFERROR(__xludf.DUMMYFUNCTION("""COMPUTED_VALUE"""),2451.58)</f>
        <v>2451.58</v>
      </c>
      <c r="Z112" s="6" t="str">
        <f t="shared" ca="1" si="27"/>
        <v>20184</v>
      </c>
      <c r="AA112" s="6">
        <f t="shared" ca="1" si="28"/>
        <v>2018</v>
      </c>
      <c r="AB112" s="6">
        <f t="shared" ca="1" si="29"/>
        <v>4</v>
      </c>
      <c r="AC112" s="68">
        <f ca="1">IFERROR(__xludf.DUMMYFUNCTION("""COMPUTED_VALUE"""),43208.9986111111)</f>
        <v>43208.998611111099</v>
      </c>
      <c r="AD112" s="6">
        <f ca="1">IFERROR(__xludf.DUMMYFUNCTION("""COMPUTED_VALUE"""),1064.07)</f>
        <v>1064.07</v>
      </c>
      <c r="AH112" s="6" t="str">
        <f t="shared" ca="1" si="30"/>
        <v>20184</v>
      </c>
      <c r="AI112" s="6">
        <f t="shared" ca="1" si="31"/>
        <v>2018</v>
      </c>
      <c r="AJ112" s="6">
        <f t="shared" ca="1" si="32"/>
        <v>4</v>
      </c>
      <c r="AK112" s="68">
        <f ca="1">IFERROR(__xludf.DUMMYFUNCTION("""COMPUTED_VALUE"""),43203.9986111111)</f>
        <v>43203.998611111099</v>
      </c>
      <c r="AL112" s="6">
        <f ca="1">IFERROR(__xludf.DUMMYFUNCTION("""COMPUTED_VALUE"""),7881.24)</f>
        <v>7881.24</v>
      </c>
      <c r="AP112" s="6" t="str">
        <f t="shared" ca="1" si="33"/>
        <v>20186</v>
      </c>
      <c r="AQ112" s="6">
        <f t="shared" ca="1" si="34"/>
        <v>2018</v>
      </c>
      <c r="AR112" s="6">
        <f t="shared" ca="1" si="35"/>
        <v>6</v>
      </c>
      <c r="AS112" s="68">
        <f ca="1">IFERROR(__xludf.DUMMYFUNCTION("""COMPUTED_VALUE"""),43252.9986111111)</f>
        <v>43252.998611111099</v>
      </c>
      <c r="AT112" s="6">
        <f ca="1">IFERROR(__xludf.DUMMYFUNCTION("""COMPUTED_VALUE"""),1299.3)</f>
        <v>1299.3</v>
      </c>
    </row>
    <row r="113" spans="2:46" x14ac:dyDescent="0.35">
      <c r="B113" s="6" t="str">
        <f t="shared" ca="1" si="18"/>
        <v>20186</v>
      </c>
      <c r="C113" s="6">
        <f t="shared" ca="1" si="19"/>
        <v>2018</v>
      </c>
      <c r="D113" s="6">
        <f t="shared" ca="1" si="20"/>
        <v>6</v>
      </c>
      <c r="E113" s="68">
        <f ca="1">IFERROR(__xludf.DUMMYFUNCTION("""COMPUTED_VALUE"""),43255.6666666666)</f>
        <v>43255.666666666599</v>
      </c>
      <c r="F113" s="6">
        <f ca="1">IFERROR(__xludf.DUMMYFUNCTION("""COMPUTED_VALUE"""),2746.87)</f>
        <v>2746.87</v>
      </c>
      <c r="J113" s="6" t="str">
        <f t="shared" ca="1" si="21"/>
        <v>20186</v>
      </c>
      <c r="K113" s="6">
        <f t="shared" ca="1" si="22"/>
        <v>2018</v>
      </c>
      <c r="L113" s="6">
        <f t="shared" ca="1" si="23"/>
        <v>6</v>
      </c>
      <c r="M113" s="68">
        <f ca="1">IFERROR(__xludf.DUMMYFUNCTION("""COMPUTED_VALUE"""),43255.6666666666)</f>
        <v>43255.666666666599</v>
      </c>
      <c r="N113" s="6">
        <f ca="1">IFERROR(__xludf.DUMMYFUNCTION("""COMPUTED_VALUE"""),7606.46)</f>
        <v>7606.46</v>
      </c>
      <c r="R113" s="6" t="str">
        <f t="shared" ca="1" si="24"/>
        <v>20186</v>
      </c>
      <c r="S113" s="6">
        <f t="shared" ca="1" si="25"/>
        <v>2018</v>
      </c>
      <c r="T113" s="6">
        <f t="shared" ca="1" si="26"/>
        <v>6</v>
      </c>
      <c r="U113" s="68">
        <f ca="1">IFERROR(__xludf.DUMMYFUNCTION("""COMPUTED_VALUE"""),43262.6458333333)</f>
        <v>43262.645833333299</v>
      </c>
      <c r="V113" s="6">
        <f ca="1">IFERROR(__xludf.DUMMYFUNCTION("""COMPUTED_VALUE"""),2470.15)</f>
        <v>2470.15</v>
      </c>
      <c r="Z113" s="6" t="str">
        <f t="shared" ca="1" si="27"/>
        <v>20184</v>
      </c>
      <c r="AA113" s="6">
        <f t="shared" ca="1" si="28"/>
        <v>2018</v>
      </c>
      <c r="AB113" s="6">
        <f t="shared" ca="1" si="29"/>
        <v>4</v>
      </c>
      <c r="AC113" s="68">
        <f ca="1">IFERROR(__xludf.DUMMYFUNCTION("""COMPUTED_VALUE"""),43209.9986111111)</f>
        <v>43209.998611111099</v>
      </c>
      <c r="AD113" s="6">
        <f ca="1">IFERROR(__xludf.DUMMYFUNCTION("""COMPUTED_VALUE"""),1066.24)</f>
        <v>1066.24</v>
      </c>
      <c r="AH113" s="6" t="str">
        <f t="shared" ca="1" si="30"/>
        <v>20184</v>
      </c>
      <c r="AI113" s="6">
        <f t="shared" ca="1" si="31"/>
        <v>2018</v>
      </c>
      <c r="AJ113" s="6">
        <f t="shared" ca="1" si="32"/>
        <v>4</v>
      </c>
      <c r="AK113" s="68">
        <f ca="1">IFERROR(__xludf.DUMMYFUNCTION("""COMPUTED_VALUE"""),43204.9986111111)</f>
        <v>43204.998611111099</v>
      </c>
      <c r="AL113" s="6">
        <f ca="1">IFERROR(__xludf.DUMMYFUNCTION("""COMPUTED_VALUE"""),8001.8)</f>
        <v>8001.8</v>
      </c>
      <c r="AP113" s="6" t="str">
        <f t="shared" ca="1" si="33"/>
        <v>20186</v>
      </c>
      <c r="AQ113" s="6">
        <f t="shared" ca="1" si="34"/>
        <v>2018</v>
      </c>
      <c r="AR113" s="6">
        <f t="shared" ca="1" si="35"/>
        <v>6</v>
      </c>
      <c r="AS113" s="68">
        <f ca="1">IFERROR(__xludf.DUMMYFUNCTION("""COMPUTED_VALUE"""),43256.9986111111)</f>
        <v>43256.998611111099</v>
      </c>
      <c r="AT113" s="6">
        <f ca="1">IFERROR(__xludf.DUMMYFUNCTION("""COMPUTED_VALUE"""),1302.2)</f>
        <v>1302.2</v>
      </c>
    </row>
    <row r="114" spans="2:46" x14ac:dyDescent="0.35">
      <c r="B114" s="6" t="str">
        <f t="shared" ca="1" si="18"/>
        <v>20186</v>
      </c>
      <c r="C114" s="6">
        <f t="shared" ca="1" si="19"/>
        <v>2018</v>
      </c>
      <c r="D114" s="6">
        <f t="shared" ca="1" si="20"/>
        <v>6</v>
      </c>
      <c r="E114" s="68">
        <f ca="1">IFERROR(__xludf.DUMMYFUNCTION("""COMPUTED_VALUE"""),43256.6666666666)</f>
        <v>43256.666666666599</v>
      </c>
      <c r="F114" s="6">
        <f ca="1">IFERROR(__xludf.DUMMYFUNCTION("""COMPUTED_VALUE"""),2748.8)</f>
        <v>2748.8</v>
      </c>
      <c r="J114" s="6" t="str">
        <f t="shared" ca="1" si="21"/>
        <v>20186</v>
      </c>
      <c r="K114" s="6">
        <f t="shared" ca="1" si="22"/>
        <v>2018</v>
      </c>
      <c r="L114" s="6">
        <f t="shared" ca="1" si="23"/>
        <v>6</v>
      </c>
      <c r="M114" s="68">
        <f ca="1">IFERROR(__xludf.DUMMYFUNCTION("""COMPUTED_VALUE"""),43256.6666666666)</f>
        <v>43256.666666666599</v>
      </c>
      <c r="N114" s="6">
        <f ca="1">IFERROR(__xludf.DUMMYFUNCTION("""COMPUTED_VALUE"""),7637.86)</f>
        <v>7637.86</v>
      </c>
      <c r="R114" s="6" t="str">
        <f t="shared" ca="1" si="24"/>
        <v>20186</v>
      </c>
      <c r="S114" s="6">
        <f t="shared" ca="1" si="25"/>
        <v>2018</v>
      </c>
      <c r="T114" s="6">
        <f t="shared" ca="1" si="26"/>
        <v>6</v>
      </c>
      <c r="U114" s="68">
        <f ca="1">IFERROR(__xludf.DUMMYFUNCTION("""COMPUTED_VALUE"""),43263.6458333333)</f>
        <v>43263.645833333299</v>
      </c>
      <c r="V114" s="6">
        <f ca="1">IFERROR(__xludf.DUMMYFUNCTION("""COMPUTED_VALUE"""),2468.83)</f>
        <v>2468.83</v>
      </c>
      <c r="Z114" s="6" t="str">
        <f t="shared" ca="1" si="27"/>
        <v>20184</v>
      </c>
      <c r="AA114" s="6">
        <f t="shared" ca="1" si="28"/>
        <v>2018</v>
      </c>
      <c r="AB114" s="6">
        <f t="shared" ca="1" si="29"/>
        <v>4</v>
      </c>
      <c r="AC114" s="68">
        <f ca="1">IFERROR(__xludf.DUMMYFUNCTION("""COMPUTED_VALUE"""),43210.9986111111)</f>
        <v>43210.998611111099</v>
      </c>
      <c r="AD114" s="6">
        <f ca="1">IFERROR(__xludf.DUMMYFUNCTION("""COMPUTED_VALUE"""),1070.09)</f>
        <v>1070.0899999999999</v>
      </c>
      <c r="AH114" s="6" t="str">
        <f t="shared" ca="1" si="30"/>
        <v>20184</v>
      </c>
      <c r="AI114" s="6">
        <f t="shared" ca="1" si="31"/>
        <v>2018</v>
      </c>
      <c r="AJ114" s="6">
        <f t="shared" ca="1" si="32"/>
        <v>4</v>
      </c>
      <c r="AK114" s="68">
        <f ca="1">IFERROR(__xludf.DUMMYFUNCTION("""COMPUTED_VALUE"""),43205.9986111111)</f>
        <v>43205.998611111099</v>
      </c>
      <c r="AL114" s="6">
        <f ca="1">IFERROR(__xludf.DUMMYFUNCTION("""COMPUTED_VALUE"""),8355.6)</f>
        <v>8355.6</v>
      </c>
      <c r="AP114" s="6" t="str">
        <f t="shared" ca="1" si="33"/>
        <v>20186</v>
      </c>
      <c r="AQ114" s="6">
        <f t="shared" ca="1" si="34"/>
        <v>2018</v>
      </c>
      <c r="AR114" s="6">
        <f t="shared" ca="1" si="35"/>
        <v>6</v>
      </c>
      <c r="AS114" s="68">
        <f ca="1">IFERROR(__xludf.DUMMYFUNCTION("""COMPUTED_VALUE"""),43257.9986111111)</f>
        <v>43257.998611111099</v>
      </c>
      <c r="AT114" s="6">
        <f ca="1">IFERROR(__xludf.DUMMYFUNCTION("""COMPUTED_VALUE"""),1301.4)</f>
        <v>1301.4000000000001</v>
      </c>
    </row>
    <row r="115" spans="2:46" x14ac:dyDescent="0.35">
      <c r="B115" s="6" t="str">
        <f t="shared" ca="1" si="18"/>
        <v>20186</v>
      </c>
      <c r="C115" s="6">
        <f t="shared" ca="1" si="19"/>
        <v>2018</v>
      </c>
      <c r="D115" s="6">
        <f t="shared" ca="1" si="20"/>
        <v>6</v>
      </c>
      <c r="E115" s="68">
        <f ca="1">IFERROR(__xludf.DUMMYFUNCTION("""COMPUTED_VALUE"""),43257.6666666666)</f>
        <v>43257.666666666599</v>
      </c>
      <c r="F115" s="6">
        <f ca="1">IFERROR(__xludf.DUMMYFUNCTION("""COMPUTED_VALUE"""),2772.35)</f>
        <v>2772.35</v>
      </c>
      <c r="J115" s="6" t="str">
        <f t="shared" ca="1" si="21"/>
        <v>20186</v>
      </c>
      <c r="K115" s="6">
        <f t="shared" ca="1" si="22"/>
        <v>2018</v>
      </c>
      <c r="L115" s="6">
        <f t="shared" ca="1" si="23"/>
        <v>6</v>
      </c>
      <c r="M115" s="68">
        <f ca="1">IFERROR(__xludf.DUMMYFUNCTION("""COMPUTED_VALUE"""),43257.6666666666)</f>
        <v>43257.666666666599</v>
      </c>
      <c r="N115" s="6">
        <f ca="1">IFERROR(__xludf.DUMMYFUNCTION("""COMPUTED_VALUE"""),7689.24)</f>
        <v>7689.24</v>
      </c>
      <c r="R115" s="6" t="str">
        <f t="shared" ca="1" si="24"/>
        <v>20186</v>
      </c>
      <c r="S115" s="6">
        <f t="shared" ca="1" si="25"/>
        <v>2018</v>
      </c>
      <c r="T115" s="6">
        <f t="shared" ca="1" si="26"/>
        <v>6</v>
      </c>
      <c r="U115" s="68">
        <f ca="1">IFERROR(__xludf.DUMMYFUNCTION("""COMPUTED_VALUE"""),43266.6458333333)</f>
        <v>43266.645833333299</v>
      </c>
      <c r="V115" s="6">
        <f ca="1">IFERROR(__xludf.DUMMYFUNCTION("""COMPUTED_VALUE"""),2404.04)</f>
        <v>2404.04</v>
      </c>
      <c r="Z115" s="6" t="str">
        <f t="shared" ca="1" si="27"/>
        <v>20184</v>
      </c>
      <c r="AA115" s="6">
        <f t="shared" ca="1" si="28"/>
        <v>2018</v>
      </c>
      <c r="AB115" s="6">
        <f t="shared" ca="1" si="29"/>
        <v>4</v>
      </c>
      <c r="AC115" s="68">
        <f ca="1">IFERROR(__xludf.DUMMYFUNCTION("""COMPUTED_VALUE"""),43211.9986111111)</f>
        <v>43211.998611111099</v>
      </c>
      <c r="AD115" s="6">
        <f ca="1">IFERROR(__xludf.DUMMYFUNCTION("""COMPUTED_VALUE"""),1069.02)</f>
        <v>1069.02</v>
      </c>
      <c r="AH115" s="6" t="str">
        <f t="shared" ca="1" si="30"/>
        <v>20184</v>
      </c>
      <c r="AI115" s="6">
        <f t="shared" ca="1" si="31"/>
        <v>2018</v>
      </c>
      <c r="AJ115" s="6">
        <f t="shared" ca="1" si="32"/>
        <v>4</v>
      </c>
      <c r="AK115" s="68">
        <f ca="1">IFERROR(__xludf.DUMMYFUNCTION("""COMPUTED_VALUE"""),43206.9986111111)</f>
        <v>43206.998611111099</v>
      </c>
      <c r="AL115" s="6">
        <f ca="1">IFERROR(__xludf.DUMMYFUNCTION("""COMPUTED_VALUE"""),8055.49)</f>
        <v>8055.49</v>
      </c>
      <c r="AP115" s="6" t="str">
        <f t="shared" ca="1" si="33"/>
        <v>20186</v>
      </c>
      <c r="AQ115" s="6">
        <f t="shared" ca="1" si="34"/>
        <v>2018</v>
      </c>
      <c r="AR115" s="6">
        <f t="shared" ca="1" si="35"/>
        <v>6</v>
      </c>
      <c r="AS115" s="68">
        <f ca="1">IFERROR(__xludf.DUMMYFUNCTION("""COMPUTED_VALUE"""),43258.9986111111)</f>
        <v>43258.998611111099</v>
      </c>
      <c r="AT115" s="6">
        <f ca="1">IFERROR(__xludf.DUMMYFUNCTION("""COMPUTED_VALUE"""),1303)</f>
        <v>1303</v>
      </c>
    </row>
    <row r="116" spans="2:46" x14ac:dyDescent="0.35">
      <c r="B116" s="6" t="str">
        <f t="shared" ca="1" si="18"/>
        <v>20186</v>
      </c>
      <c r="C116" s="6">
        <f t="shared" ca="1" si="19"/>
        <v>2018</v>
      </c>
      <c r="D116" s="6">
        <f t="shared" ca="1" si="20"/>
        <v>6</v>
      </c>
      <c r="E116" s="68">
        <f ca="1">IFERROR(__xludf.DUMMYFUNCTION("""COMPUTED_VALUE"""),43258.6666666666)</f>
        <v>43258.666666666599</v>
      </c>
      <c r="F116" s="6">
        <f ca="1">IFERROR(__xludf.DUMMYFUNCTION("""COMPUTED_VALUE"""),2770.37)</f>
        <v>2770.37</v>
      </c>
      <c r="J116" s="6" t="str">
        <f t="shared" ca="1" si="21"/>
        <v>20186</v>
      </c>
      <c r="K116" s="6">
        <f t="shared" ca="1" si="22"/>
        <v>2018</v>
      </c>
      <c r="L116" s="6">
        <f t="shared" ca="1" si="23"/>
        <v>6</v>
      </c>
      <c r="M116" s="68">
        <f ca="1">IFERROR(__xludf.DUMMYFUNCTION("""COMPUTED_VALUE"""),43258.6666666666)</f>
        <v>43258.666666666599</v>
      </c>
      <c r="N116" s="6">
        <f ca="1">IFERROR(__xludf.DUMMYFUNCTION("""COMPUTED_VALUE"""),7635.07)</f>
        <v>7635.07</v>
      </c>
      <c r="R116" s="6" t="str">
        <f t="shared" ca="1" si="24"/>
        <v>20186</v>
      </c>
      <c r="S116" s="6">
        <f t="shared" ca="1" si="25"/>
        <v>2018</v>
      </c>
      <c r="T116" s="6">
        <f t="shared" ca="1" si="26"/>
        <v>6</v>
      </c>
      <c r="U116" s="68">
        <f ca="1">IFERROR(__xludf.DUMMYFUNCTION("""COMPUTED_VALUE"""),43269.6458333333)</f>
        <v>43269.645833333299</v>
      </c>
      <c r="V116" s="6">
        <f ca="1">IFERROR(__xludf.DUMMYFUNCTION("""COMPUTED_VALUE"""),2376.24)</f>
        <v>2376.2399999999998</v>
      </c>
      <c r="Z116" s="6" t="str">
        <f t="shared" ca="1" si="27"/>
        <v>20184</v>
      </c>
      <c r="AA116" s="6">
        <f t="shared" ca="1" si="28"/>
        <v>2018</v>
      </c>
      <c r="AB116" s="6">
        <f t="shared" ca="1" si="29"/>
        <v>4</v>
      </c>
      <c r="AC116" s="68">
        <f ca="1">IFERROR(__xludf.DUMMYFUNCTION("""COMPUTED_VALUE"""),43212.9986111111)</f>
        <v>43212.998611111099</v>
      </c>
      <c r="AD116" s="6">
        <f ca="1">IFERROR(__xludf.DUMMYFUNCTION("""COMPUTED_VALUE"""),1071.41)</f>
        <v>1071.4100000000001</v>
      </c>
      <c r="AH116" s="6" t="str">
        <f t="shared" ca="1" si="30"/>
        <v>20184</v>
      </c>
      <c r="AI116" s="6">
        <f t="shared" ca="1" si="31"/>
        <v>2018</v>
      </c>
      <c r="AJ116" s="6">
        <f t="shared" ca="1" si="32"/>
        <v>4</v>
      </c>
      <c r="AK116" s="68">
        <f ca="1">IFERROR(__xludf.DUMMYFUNCTION("""COMPUTED_VALUE"""),43207.9986111111)</f>
        <v>43207.998611111099</v>
      </c>
      <c r="AL116" s="6">
        <f ca="1">IFERROR(__xludf.DUMMYFUNCTION("""COMPUTED_VALUE"""),7891.81)</f>
        <v>7891.81</v>
      </c>
      <c r="AP116" s="6" t="str">
        <f t="shared" ca="1" si="33"/>
        <v>20186</v>
      </c>
      <c r="AQ116" s="6">
        <f t="shared" ca="1" si="34"/>
        <v>2018</v>
      </c>
      <c r="AR116" s="6">
        <f t="shared" ca="1" si="35"/>
        <v>6</v>
      </c>
      <c r="AS116" s="68">
        <f ca="1">IFERROR(__xludf.DUMMYFUNCTION("""COMPUTED_VALUE"""),43259.9986111111)</f>
        <v>43259.998611111099</v>
      </c>
      <c r="AT116" s="6">
        <f ca="1">IFERROR(__xludf.DUMMYFUNCTION("""COMPUTED_VALUE"""),1302.7)</f>
        <v>1302.7</v>
      </c>
    </row>
    <row r="117" spans="2:46" x14ac:dyDescent="0.35">
      <c r="B117" s="6" t="str">
        <f t="shared" ca="1" si="18"/>
        <v>20186</v>
      </c>
      <c r="C117" s="6">
        <f t="shared" ca="1" si="19"/>
        <v>2018</v>
      </c>
      <c r="D117" s="6">
        <f t="shared" ca="1" si="20"/>
        <v>6</v>
      </c>
      <c r="E117" s="68">
        <f ca="1">IFERROR(__xludf.DUMMYFUNCTION("""COMPUTED_VALUE"""),43259.6666666666)</f>
        <v>43259.666666666599</v>
      </c>
      <c r="F117" s="6">
        <f ca="1">IFERROR(__xludf.DUMMYFUNCTION("""COMPUTED_VALUE"""),2779.03)</f>
        <v>2779.03</v>
      </c>
      <c r="J117" s="6" t="str">
        <f t="shared" ca="1" si="21"/>
        <v>20186</v>
      </c>
      <c r="K117" s="6">
        <f t="shared" ca="1" si="22"/>
        <v>2018</v>
      </c>
      <c r="L117" s="6">
        <f t="shared" ca="1" si="23"/>
        <v>6</v>
      </c>
      <c r="M117" s="68">
        <f ca="1">IFERROR(__xludf.DUMMYFUNCTION("""COMPUTED_VALUE"""),43259.6666666666)</f>
        <v>43259.666666666599</v>
      </c>
      <c r="N117" s="6">
        <f ca="1">IFERROR(__xludf.DUMMYFUNCTION("""COMPUTED_VALUE"""),7645.51)</f>
        <v>7645.51</v>
      </c>
      <c r="R117" s="6" t="str">
        <f t="shared" ca="1" si="24"/>
        <v>20186</v>
      </c>
      <c r="S117" s="6">
        <f t="shared" ca="1" si="25"/>
        <v>2018</v>
      </c>
      <c r="T117" s="6">
        <f t="shared" ca="1" si="26"/>
        <v>6</v>
      </c>
      <c r="U117" s="68">
        <f ca="1">IFERROR(__xludf.DUMMYFUNCTION("""COMPUTED_VALUE"""),43270.6458333333)</f>
        <v>43270.645833333299</v>
      </c>
      <c r="V117" s="6">
        <f ca="1">IFERROR(__xludf.DUMMYFUNCTION("""COMPUTED_VALUE"""),2340.11)</f>
        <v>2340.11</v>
      </c>
      <c r="Z117" s="6" t="str">
        <f t="shared" ca="1" si="27"/>
        <v>20184</v>
      </c>
      <c r="AA117" s="6">
        <f t="shared" ca="1" si="28"/>
        <v>2018</v>
      </c>
      <c r="AB117" s="6">
        <f t="shared" ca="1" si="29"/>
        <v>4</v>
      </c>
      <c r="AC117" s="68">
        <f ca="1">IFERROR(__xludf.DUMMYFUNCTION("""COMPUTED_VALUE"""),43213.9986111111)</f>
        <v>43213.998611111099</v>
      </c>
      <c r="AD117" s="6">
        <f ca="1">IFERROR(__xludf.DUMMYFUNCTION("""COMPUTED_VALUE"""),1080.18)</f>
        <v>1080.18</v>
      </c>
      <c r="AH117" s="6" t="str">
        <f t="shared" ca="1" si="30"/>
        <v>20184</v>
      </c>
      <c r="AI117" s="6">
        <f t="shared" ca="1" si="31"/>
        <v>2018</v>
      </c>
      <c r="AJ117" s="6">
        <f t="shared" ca="1" si="32"/>
        <v>4</v>
      </c>
      <c r="AK117" s="68">
        <f ca="1">IFERROR(__xludf.DUMMYFUNCTION("""COMPUTED_VALUE"""),43208.9986111111)</f>
        <v>43208.998611111099</v>
      </c>
      <c r="AL117" s="6">
        <f ca="1">IFERROR(__xludf.DUMMYFUNCTION("""COMPUTED_VALUE"""),8165.8)</f>
        <v>8165.8</v>
      </c>
      <c r="AP117" s="6" t="str">
        <f t="shared" ca="1" si="33"/>
        <v>20186</v>
      </c>
      <c r="AQ117" s="6">
        <f t="shared" ca="1" si="34"/>
        <v>2018</v>
      </c>
      <c r="AR117" s="6">
        <f t="shared" ca="1" si="35"/>
        <v>6</v>
      </c>
      <c r="AS117" s="68">
        <f ca="1">IFERROR(__xludf.DUMMYFUNCTION("""COMPUTED_VALUE"""),43262.9986111111)</f>
        <v>43262.998611111099</v>
      </c>
      <c r="AT117" s="6">
        <f ca="1">IFERROR(__xludf.DUMMYFUNCTION("""COMPUTED_VALUE"""),1303.2)</f>
        <v>1303.2</v>
      </c>
    </row>
    <row r="118" spans="2:46" x14ac:dyDescent="0.35">
      <c r="B118" s="6" t="str">
        <f t="shared" ca="1" si="18"/>
        <v>20186</v>
      </c>
      <c r="C118" s="6">
        <f t="shared" ca="1" si="19"/>
        <v>2018</v>
      </c>
      <c r="D118" s="6">
        <f t="shared" ca="1" si="20"/>
        <v>6</v>
      </c>
      <c r="E118" s="68">
        <f ca="1">IFERROR(__xludf.DUMMYFUNCTION("""COMPUTED_VALUE"""),43262.6666666666)</f>
        <v>43262.666666666599</v>
      </c>
      <c r="F118" s="6">
        <f ca="1">IFERROR(__xludf.DUMMYFUNCTION("""COMPUTED_VALUE"""),2782)</f>
        <v>2782</v>
      </c>
      <c r="J118" s="6" t="str">
        <f t="shared" ca="1" si="21"/>
        <v>20186</v>
      </c>
      <c r="K118" s="6">
        <f t="shared" ca="1" si="22"/>
        <v>2018</v>
      </c>
      <c r="L118" s="6">
        <f t="shared" ca="1" si="23"/>
        <v>6</v>
      </c>
      <c r="M118" s="68">
        <f ca="1">IFERROR(__xludf.DUMMYFUNCTION("""COMPUTED_VALUE"""),43262.6666666666)</f>
        <v>43262.666666666599</v>
      </c>
      <c r="N118" s="6">
        <f ca="1">IFERROR(__xludf.DUMMYFUNCTION("""COMPUTED_VALUE"""),7659.93)</f>
        <v>7659.93</v>
      </c>
      <c r="R118" s="6" t="str">
        <f t="shared" ca="1" si="24"/>
        <v>20186</v>
      </c>
      <c r="S118" s="6">
        <f t="shared" ca="1" si="25"/>
        <v>2018</v>
      </c>
      <c r="T118" s="6">
        <f t="shared" ca="1" si="26"/>
        <v>6</v>
      </c>
      <c r="U118" s="68">
        <f ca="1">IFERROR(__xludf.DUMMYFUNCTION("""COMPUTED_VALUE"""),43271.6458333333)</f>
        <v>43271.645833333299</v>
      </c>
      <c r="V118" s="6">
        <f ca="1">IFERROR(__xludf.DUMMYFUNCTION("""COMPUTED_VALUE"""),2363.91)</f>
        <v>2363.91</v>
      </c>
      <c r="Z118" s="6" t="str">
        <f t="shared" ca="1" si="27"/>
        <v>20184</v>
      </c>
      <c r="AA118" s="6">
        <f t="shared" ca="1" si="28"/>
        <v>2018</v>
      </c>
      <c r="AB118" s="6">
        <f t="shared" ca="1" si="29"/>
        <v>4</v>
      </c>
      <c r="AC118" s="68">
        <f ca="1">IFERROR(__xludf.DUMMYFUNCTION("""COMPUTED_VALUE"""),43214.9986111111)</f>
        <v>43214.998611111099</v>
      </c>
      <c r="AD118" s="6">
        <f ca="1">IFERROR(__xludf.DUMMYFUNCTION("""COMPUTED_VALUE"""),1076.75)</f>
        <v>1076.75</v>
      </c>
      <c r="AH118" s="6" t="str">
        <f t="shared" ca="1" si="30"/>
        <v>20184</v>
      </c>
      <c r="AI118" s="6">
        <f t="shared" ca="1" si="31"/>
        <v>2018</v>
      </c>
      <c r="AJ118" s="6">
        <f t="shared" ca="1" si="32"/>
        <v>4</v>
      </c>
      <c r="AK118" s="68">
        <f ca="1">IFERROR(__xludf.DUMMYFUNCTION("""COMPUTED_VALUE"""),43209.9986111111)</f>
        <v>43209.998611111099</v>
      </c>
      <c r="AL118" s="6">
        <f ca="1">IFERROR(__xludf.DUMMYFUNCTION("""COMPUTED_VALUE"""),8273.97)</f>
        <v>8273.9699999999993</v>
      </c>
      <c r="AP118" s="6" t="str">
        <f t="shared" ca="1" si="33"/>
        <v>20186</v>
      </c>
      <c r="AQ118" s="6">
        <f t="shared" ca="1" si="34"/>
        <v>2018</v>
      </c>
      <c r="AR118" s="6">
        <f t="shared" ca="1" si="35"/>
        <v>6</v>
      </c>
      <c r="AS118" s="68">
        <f ca="1">IFERROR(__xludf.DUMMYFUNCTION("""COMPUTED_VALUE"""),43263.9986111111)</f>
        <v>43263.998611111099</v>
      </c>
      <c r="AT118" s="6">
        <f ca="1">IFERROR(__xludf.DUMMYFUNCTION("""COMPUTED_VALUE"""),1299.4)</f>
        <v>1299.4000000000001</v>
      </c>
    </row>
    <row r="119" spans="2:46" x14ac:dyDescent="0.35">
      <c r="B119" s="6" t="str">
        <f t="shared" ca="1" si="18"/>
        <v>20186</v>
      </c>
      <c r="C119" s="6">
        <f t="shared" ca="1" si="19"/>
        <v>2018</v>
      </c>
      <c r="D119" s="6">
        <f t="shared" ca="1" si="20"/>
        <v>6</v>
      </c>
      <c r="E119" s="68">
        <f ca="1">IFERROR(__xludf.DUMMYFUNCTION("""COMPUTED_VALUE"""),43263.6666666666)</f>
        <v>43263.666666666599</v>
      </c>
      <c r="F119" s="6">
        <f ca="1">IFERROR(__xludf.DUMMYFUNCTION("""COMPUTED_VALUE"""),2786.85)</f>
        <v>2786.85</v>
      </c>
      <c r="J119" s="6" t="str">
        <f t="shared" ca="1" si="21"/>
        <v>20186</v>
      </c>
      <c r="K119" s="6">
        <f t="shared" ca="1" si="22"/>
        <v>2018</v>
      </c>
      <c r="L119" s="6">
        <f t="shared" ca="1" si="23"/>
        <v>6</v>
      </c>
      <c r="M119" s="68">
        <f ca="1">IFERROR(__xludf.DUMMYFUNCTION("""COMPUTED_VALUE"""),43263.6666666666)</f>
        <v>43263.666666666599</v>
      </c>
      <c r="N119" s="6">
        <f ca="1">IFERROR(__xludf.DUMMYFUNCTION("""COMPUTED_VALUE"""),7703.79)</f>
        <v>7703.79</v>
      </c>
      <c r="R119" s="6" t="str">
        <f t="shared" ca="1" si="24"/>
        <v>20186</v>
      </c>
      <c r="S119" s="6">
        <f t="shared" ca="1" si="25"/>
        <v>2018</v>
      </c>
      <c r="T119" s="6">
        <f t="shared" ca="1" si="26"/>
        <v>6</v>
      </c>
      <c r="U119" s="68">
        <f ca="1">IFERROR(__xludf.DUMMYFUNCTION("""COMPUTED_VALUE"""),43272.6458333333)</f>
        <v>43272.645833333299</v>
      </c>
      <c r="V119" s="6">
        <f ca="1">IFERROR(__xludf.DUMMYFUNCTION("""COMPUTED_VALUE"""),2337.83)</f>
        <v>2337.83</v>
      </c>
      <c r="Z119" s="6" t="str">
        <f t="shared" ca="1" si="27"/>
        <v>20184</v>
      </c>
      <c r="AA119" s="6">
        <f t="shared" ca="1" si="28"/>
        <v>2018</v>
      </c>
      <c r="AB119" s="6">
        <f t="shared" ca="1" si="29"/>
        <v>4</v>
      </c>
      <c r="AC119" s="68">
        <f ca="1">IFERROR(__xludf.DUMMYFUNCTION("""COMPUTED_VALUE"""),43215.9986111111)</f>
        <v>43215.998611111099</v>
      </c>
      <c r="AD119" s="6">
        <f ca="1">IFERROR(__xludf.DUMMYFUNCTION("""COMPUTED_VALUE"""),1081.17)</f>
        <v>1081.17</v>
      </c>
      <c r="AH119" s="6" t="str">
        <f t="shared" ca="1" si="30"/>
        <v>20184</v>
      </c>
      <c r="AI119" s="6">
        <f t="shared" ca="1" si="31"/>
        <v>2018</v>
      </c>
      <c r="AJ119" s="6">
        <f t="shared" ca="1" si="32"/>
        <v>4</v>
      </c>
      <c r="AK119" s="68">
        <f ca="1">IFERROR(__xludf.DUMMYFUNCTION("""COMPUTED_VALUE"""),43210.9986111111)</f>
        <v>43210.998611111099</v>
      </c>
      <c r="AL119" s="6">
        <f ca="1">IFERROR(__xludf.DUMMYFUNCTION("""COMPUTED_VALUE"""),8866.23)</f>
        <v>8866.23</v>
      </c>
      <c r="AP119" s="6" t="str">
        <f t="shared" ca="1" si="33"/>
        <v>20186</v>
      </c>
      <c r="AQ119" s="6">
        <f t="shared" ca="1" si="34"/>
        <v>2018</v>
      </c>
      <c r="AR119" s="6">
        <f t="shared" ca="1" si="35"/>
        <v>6</v>
      </c>
      <c r="AS119" s="68">
        <f ca="1">IFERROR(__xludf.DUMMYFUNCTION("""COMPUTED_VALUE"""),43264.9986111111)</f>
        <v>43264.998611111099</v>
      </c>
      <c r="AT119" s="6">
        <f ca="1">IFERROR(__xludf.DUMMYFUNCTION("""COMPUTED_VALUE"""),1301.3)</f>
        <v>1301.3</v>
      </c>
    </row>
    <row r="120" spans="2:46" x14ac:dyDescent="0.35">
      <c r="B120" s="6" t="str">
        <f t="shared" ca="1" si="18"/>
        <v>20186</v>
      </c>
      <c r="C120" s="6">
        <f t="shared" ca="1" si="19"/>
        <v>2018</v>
      </c>
      <c r="D120" s="6">
        <f t="shared" ca="1" si="20"/>
        <v>6</v>
      </c>
      <c r="E120" s="68">
        <f ca="1">IFERROR(__xludf.DUMMYFUNCTION("""COMPUTED_VALUE"""),43264.6666666666)</f>
        <v>43264.666666666599</v>
      </c>
      <c r="F120" s="6">
        <f ca="1">IFERROR(__xludf.DUMMYFUNCTION("""COMPUTED_VALUE"""),2775.63)</f>
        <v>2775.63</v>
      </c>
      <c r="J120" s="6" t="str">
        <f t="shared" ca="1" si="21"/>
        <v>20186</v>
      </c>
      <c r="K120" s="6">
        <f t="shared" ca="1" si="22"/>
        <v>2018</v>
      </c>
      <c r="L120" s="6">
        <f t="shared" ca="1" si="23"/>
        <v>6</v>
      </c>
      <c r="M120" s="68">
        <f ca="1">IFERROR(__xludf.DUMMYFUNCTION("""COMPUTED_VALUE"""),43264.6666666666)</f>
        <v>43264.666666666599</v>
      </c>
      <c r="N120" s="6">
        <f ca="1">IFERROR(__xludf.DUMMYFUNCTION("""COMPUTED_VALUE"""),7695.7)</f>
        <v>7695.7</v>
      </c>
      <c r="R120" s="6" t="str">
        <f t="shared" ca="1" si="24"/>
        <v>20186</v>
      </c>
      <c r="S120" s="6">
        <f t="shared" ca="1" si="25"/>
        <v>2018</v>
      </c>
      <c r="T120" s="6">
        <f t="shared" ca="1" si="26"/>
        <v>6</v>
      </c>
      <c r="U120" s="68">
        <f ca="1">IFERROR(__xludf.DUMMYFUNCTION("""COMPUTED_VALUE"""),43273.6458333333)</f>
        <v>43273.645833333299</v>
      </c>
      <c r="V120" s="6">
        <f ca="1">IFERROR(__xludf.DUMMYFUNCTION("""COMPUTED_VALUE"""),2357.22)</f>
        <v>2357.2199999999998</v>
      </c>
      <c r="Z120" s="6" t="str">
        <f t="shared" ca="1" si="27"/>
        <v>20184</v>
      </c>
      <c r="AA120" s="6">
        <f t="shared" ca="1" si="28"/>
        <v>2018</v>
      </c>
      <c r="AB120" s="6">
        <f t="shared" ca="1" si="29"/>
        <v>4</v>
      </c>
      <c r="AC120" s="68">
        <f ca="1">IFERROR(__xludf.DUMMYFUNCTION("""COMPUTED_VALUE"""),43216.9986111111)</f>
        <v>43216.998611111099</v>
      </c>
      <c r="AD120" s="6">
        <f ca="1">IFERROR(__xludf.DUMMYFUNCTION("""COMPUTED_VALUE"""),1076.79)</f>
        <v>1076.79</v>
      </c>
      <c r="AH120" s="6" t="str">
        <f t="shared" ca="1" si="30"/>
        <v>20184</v>
      </c>
      <c r="AI120" s="6">
        <f t="shared" ca="1" si="31"/>
        <v>2018</v>
      </c>
      <c r="AJ120" s="6">
        <f t="shared" ca="1" si="32"/>
        <v>4</v>
      </c>
      <c r="AK120" s="68">
        <f ca="1">IFERROR(__xludf.DUMMYFUNCTION("""COMPUTED_VALUE"""),43211.9986111111)</f>
        <v>43211.998611111099</v>
      </c>
      <c r="AL120" s="6">
        <f ca="1">IFERROR(__xludf.DUMMYFUNCTION("""COMPUTED_VALUE"""),8914.97)</f>
        <v>8914.9699999999993</v>
      </c>
      <c r="AP120" s="6" t="str">
        <f t="shared" ca="1" si="33"/>
        <v>20186</v>
      </c>
      <c r="AQ120" s="6">
        <f t="shared" ca="1" si="34"/>
        <v>2018</v>
      </c>
      <c r="AR120" s="6">
        <f t="shared" ca="1" si="35"/>
        <v>6</v>
      </c>
      <c r="AS120" s="68">
        <f ca="1">IFERROR(__xludf.DUMMYFUNCTION("""COMPUTED_VALUE"""),43265.9986111111)</f>
        <v>43265.998611111099</v>
      </c>
      <c r="AT120" s="6">
        <f ca="1">IFERROR(__xludf.DUMMYFUNCTION("""COMPUTED_VALUE"""),1308.3)</f>
        <v>1308.3</v>
      </c>
    </row>
    <row r="121" spans="2:46" x14ac:dyDescent="0.35">
      <c r="B121" s="6" t="str">
        <f t="shared" ca="1" si="18"/>
        <v>20186</v>
      </c>
      <c r="C121" s="6">
        <f t="shared" ca="1" si="19"/>
        <v>2018</v>
      </c>
      <c r="D121" s="6">
        <f t="shared" ca="1" si="20"/>
        <v>6</v>
      </c>
      <c r="E121" s="68">
        <f ca="1">IFERROR(__xludf.DUMMYFUNCTION("""COMPUTED_VALUE"""),43265.6666666666)</f>
        <v>43265.666666666599</v>
      </c>
      <c r="F121" s="6">
        <f ca="1">IFERROR(__xludf.DUMMYFUNCTION("""COMPUTED_VALUE"""),2782.49)</f>
        <v>2782.49</v>
      </c>
      <c r="J121" s="6" t="str">
        <f t="shared" ca="1" si="21"/>
        <v>20186</v>
      </c>
      <c r="K121" s="6">
        <f t="shared" ca="1" si="22"/>
        <v>2018</v>
      </c>
      <c r="L121" s="6">
        <f t="shared" ca="1" si="23"/>
        <v>6</v>
      </c>
      <c r="M121" s="68">
        <f ca="1">IFERROR(__xludf.DUMMYFUNCTION("""COMPUTED_VALUE"""),43265.6666666666)</f>
        <v>43265.666666666599</v>
      </c>
      <c r="N121" s="6">
        <f ca="1">IFERROR(__xludf.DUMMYFUNCTION("""COMPUTED_VALUE"""),7761.04)</f>
        <v>7761.04</v>
      </c>
      <c r="R121" s="6" t="str">
        <f t="shared" ca="1" si="24"/>
        <v>20186</v>
      </c>
      <c r="S121" s="6">
        <f t="shared" ca="1" si="25"/>
        <v>2018</v>
      </c>
      <c r="T121" s="6">
        <f t="shared" ca="1" si="26"/>
        <v>6</v>
      </c>
      <c r="U121" s="68">
        <f ca="1">IFERROR(__xludf.DUMMYFUNCTION("""COMPUTED_VALUE"""),43276.6458333333)</f>
        <v>43276.645833333299</v>
      </c>
      <c r="V121" s="6">
        <f ca="1">IFERROR(__xludf.DUMMYFUNCTION("""COMPUTED_VALUE"""),2357.88)</f>
        <v>2357.88</v>
      </c>
      <c r="Z121" s="6" t="str">
        <f t="shared" ca="1" si="27"/>
        <v>20184</v>
      </c>
      <c r="AA121" s="6">
        <f t="shared" ca="1" si="28"/>
        <v>2018</v>
      </c>
      <c r="AB121" s="6">
        <f t="shared" ca="1" si="29"/>
        <v>4</v>
      </c>
      <c r="AC121" s="68">
        <f ca="1">IFERROR(__xludf.DUMMYFUNCTION("""COMPUTED_VALUE"""),43217.9986111111)</f>
        <v>43217.998611111099</v>
      </c>
      <c r="AD121" s="6">
        <f ca="1">IFERROR(__xludf.DUMMYFUNCTION("""COMPUTED_VALUE"""),1066.93)</f>
        <v>1066.93</v>
      </c>
      <c r="AH121" s="6" t="str">
        <f t="shared" ca="1" si="30"/>
        <v>20184</v>
      </c>
      <c r="AI121" s="6">
        <f t="shared" ca="1" si="31"/>
        <v>2018</v>
      </c>
      <c r="AJ121" s="6">
        <f t="shared" ca="1" si="32"/>
        <v>4</v>
      </c>
      <c r="AK121" s="68">
        <f ca="1">IFERROR(__xludf.DUMMYFUNCTION("""COMPUTED_VALUE"""),43212.9986111111)</f>
        <v>43212.998611111099</v>
      </c>
      <c r="AL121" s="6">
        <f ca="1">IFERROR(__xludf.DUMMYFUNCTION("""COMPUTED_VALUE"""),8797.15)</f>
        <v>8797.15</v>
      </c>
      <c r="AP121" s="6" t="str">
        <f t="shared" ca="1" si="33"/>
        <v>20186</v>
      </c>
      <c r="AQ121" s="6">
        <f t="shared" ca="1" si="34"/>
        <v>2018</v>
      </c>
      <c r="AR121" s="6">
        <f t="shared" ca="1" si="35"/>
        <v>6</v>
      </c>
      <c r="AS121" s="68">
        <f ca="1">IFERROR(__xludf.DUMMYFUNCTION("""COMPUTED_VALUE"""),43266.9986111111)</f>
        <v>43266.998611111099</v>
      </c>
      <c r="AT121" s="6">
        <f ca="1">IFERROR(__xludf.DUMMYFUNCTION("""COMPUTED_VALUE"""),1278.5)</f>
        <v>1278.5</v>
      </c>
    </row>
    <row r="122" spans="2:46" x14ac:dyDescent="0.35">
      <c r="B122" s="6" t="str">
        <f t="shared" ca="1" si="18"/>
        <v>20186</v>
      </c>
      <c r="C122" s="6">
        <f t="shared" ca="1" si="19"/>
        <v>2018</v>
      </c>
      <c r="D122" s="6">
        <f t="shared" ca="1" si="20"/>
        <v>6</v>
      </c>
      <c r="E122" s="68">
        <f ca="1">IFERROR(__xludf.DUMMYFUNCTION("""COMPUTED_VALUE"""),43266.6666666666)</f>
        <v>43266.666666666599</v>
      </c>
      <c r="F122" s="6">
        <f ca="1">IFERROR(__xludf.DUMMYFUNCTION("""COMPUTED_VALUE"""),2779.66)</f>
        <v>2779.66</v>
      </c>
      <c r="J122" s="6" t="str">
        <f t="shared" ca="1" si="21"/>
        <v>20186</v>
      </c>
      <c r="K122" s="6">
        <f t="shared" ca="1" si="22"/>
        <v>2018</v>
      </c>
      <c r="L122" s="6">
        <f t="shared" ca="1" si="23"/>
        <v>6</v>
      </c>
      <c r="M122" s="68">
        <f ca="1">IFERROR(__xludf.DUMMYFUNCTION("""COMPUTED_VALUE"""),43266.6666666666)</f>
        <v>43266.666666666599</v>
      </c>
      <c r="N122" s="6">
        <f ca="1">IFERROR(__xludf.DUMMYFUNCTION("""COMPUTED_VALUE"""),7746.38)</f>
        <v>7746.38</v>
      </c>
      <c r="R122" s="6" t="str">
        <f t="shared" ca="1" si="24"/>
        <v>20186</v>
      </c>
      <c r="S122" s="6">
        <f t="shared" ca="1" si="25"/>
        <v>2018</v>
      </c>
      <c r="T122" s="6">
        <f t="shared" ca="1" si="26"/>
        <v>6</v>
      </c>
      <c r="U122" s="68">
        <f ca="1">IFERROR(__xludf.DUMMYFUNCTION("""COMPUTED_VALUE"""),43277.6458333333)</f>
        <v>43277.645833333299</v>
      </c>
      <c r="V122" s="6">
        <f ca="1">IFERROR(__xludf.DUMMYFUNCTION("""COMPUTED_VALUE"""),2350.92)</f>
        <v>2350.92</v>
      </c>
      <c r="Z122" s="6" t="str">
        <f t="shared" ca="1" si="27"/>
        <v>20184</v>
      </c>
      <c r="AA122" s="6">
        <f t="shared" ca="1" si="28"/>
        <v>2018</v>
      </c>
      <c r="AB122" s="6">
        <f t="shared" ca="1" si="29"/>
        <v>4</v>
      </c>
      <c r="AC122" s="68">
        <f ca="1">IFERROR(__xludf.DUMMYFUNCTION("""COMPUTED_VALUE"""),43219.9986111111)</f>
        <v>43219.998611111099</v>
      </c>
      <c r="AD122" s="6">
        <f ca="1">IFERROR(__xludf.DUMMYFUNCTION("""COMPUTED_VALUE"""),1067.6)</f>
        <v>1067.5999999999999</v>
      </c>
      <c r="AH122" s="6" t="str">
        <f t="shared" ca="1" si="30"/>
        <v>20184</v>
      </c>
      <c r="AI122" s="6">
        <f t="shared" ca="1" si="31"/>
        <v>2018</v>
      </c>
      <c r="AJ122" s="6">
        <f t="shared" ca="1" si="32"/>
        <v>4</v>
      </c>
      <c r="AK122" s="68">
        <f ca="1">IFERROR(__xludf.DUMMYFUNCTION("""COMPUTED_VALUE"""),43213.9986111111)</f>
        <v>43213.998611111099</v>
      </c>
      <c r="AL122" s="6">
        <f ca="1">IFERROR(__xludf.DUMMYFUNCTION("""COMPUTED_VALUE"""),8942.15)</f>
        <v>8942.15</v>
      </c>
      <c r="AP122" s="6" t="str">
        <f t="shared" ca="1" si="33"/>
        <v>20186</v>
      </c>
      <c r="AQ122" s="6">
        <f t="shared" ca="1" si="34"/>
        <v>2018</v>
      </c>
      <c r="AR122" s="6">
        <f t="shared" ca="1" si="35"/>
        <v>6</v>
      </c>
      <c r="AS122" s="68">
        <f ca="1">IFERROR(__xludf.DUMMYFUNCTION("""COMPUTED_VALUE"""),43269.9986111111)</f>
        <v>43269.998611111099</v>
      </c>
      <c r="AT122" s="6">
        <f ca="1">IFERROR(__xludf.DUMMYFUNCTION("""COMPUTED_VALUE"""),1280.1)</f>
        <v>1280.0999999999999</v>
      </c>
    </row>
    <row r="123" spans="2:46" x14ac:dyDescent="0.35">
      <c r="B123" s="6" t="str">
        <f t="shared" ca="1" si="18"/>
        <v>20186</v>
      </c>
      <c r="C123" s="6">
        <f t="shared" ca="1" si="19"/>
        <v>2018</v>
      </c>
      <c r="D123" s="6">
        <f t="shared" ca="1" si="20"/>
        <v>6</v>
      </c>
      <c r="E123" s="68">
        <f ca="1">IFERROR(__xludf.DUMMYFUNCTION("""COMPUTED_VALUE"""),43269.6666666666)</f>
        <v>43269.666666666599</v>
      </c>
      <c r="F123" s="6">
        <f ca="1">IFERROR(__xludf.DUMMYFUNCTION("""COMPUTED_VALUE"""),2773.75)</f>
        <v>2773.75</v>
      </c>
      <c r="J123" s="6" t="str">
        <f t="shared" ca="1" si="21"/>
        <v>20186</v>
      </c>
      <c r="K123" s="6">
        <f t="shared" ca="1" si="22"/>
        <v>2018</v>
      </c>
      <c r="L123" s="6">
        <f t="shared" ca="1" si="23"/>
        <v>6</v>
      </c>
      <c r="M123" s="68">
        <f ca="1">IFERROR(__xludf.DUMMYFUNCTION("""COMPUTED_VALUE"""),43269.6666666666)</f>
        <v>43269.666666666599</v>
      </c>
      <c r="N123" s="6">
        <f ca="1">IFERROR(__xludf.DUMMYFUNCTION("""COMPUTED_VALUE"""),7747.03)</f>
        <v>7747.03</v>
      </c>
      <c r="R123" s="6" t="str">
        <f t="shared" ca="1" si="24"/>
        <v>20186</v>
      </c>
      <c r="S123" s="6">
        <f t="shared" ca="1" si="25"/>
        <v>2018</v>
      </c>
      <c r="T123" s="6">
        <f t="shared" ca="1" si="26"/>
        <v>6</v>
      </c>
      <c r="U123" s="68">
        <f ca="1">IFERROR(__xludf.DUMMYFUNCTION("""COMPUTED_VALUE"""),43278.6458333333)</f>
        <v>43278.645833333299</v>
      </c>
      <c r="V123" s="6">
        <f ca="1">IFERROR(__xludf.DUMMYFUNCTION("""COMPUTED_VALUE"""),2342.03)</f>
        <v>2342.0300000000002</v>
      </c>
      <c r="Z123" s="6" t="str">
        <f t="shared" ca="1" si="27"/>
        <v>20184</v>
      </c>
      <c r="AA123" s="6">
        <f t="shared" ca="1" si="28"/>
        <v>2018</v>
      </c>
      <c r="AB123" s="6">
        <f t="shared" ca="1" si="29"/>
        <v>4</v>
      </c>
      <c r="AC123" s="68">
        <f ca="1">IFERROR(__xludf.DUMMYFUNCTION("""COMPUTED_VALUE"""),43220.9986111111)</f>
        <v>43220.998611111099</v>
      </c>
      <c r="AD123" s="6">
        <f ca="1">IFERROR(__xludf.DUMMYFUNCTION("""COMPUTED_VALUE"""),1069.45)</f>
        <v>1069.45</v>
      </c>
      <c r="AH123" s="6" t="str">
        <f t="shared" ca="1" si="30"/>
        <v>20184</v>
      </c>
      <c r="AI123" s="6">
        <f t="shared" ca="1" si="31"/>
        <v>2018</v>
      </c>
      <c r="AJ123" s="6">
        <f t="shared" ca="1" si="32"/>
        <v>4</v>
      </c>
      <c r="AK123" s="68">
        <f ca="1">IFERROR(__xludf.DUMMYFUNCTION("""COMPUTED_VALUE"""),43214.9986111111)</f>
        <v>43214.998611111099</v>
      </c>
      <c r="AL123" s="6">
        <f ca="1">IFERROR(__xludf.DUMMYFUNCTION("""COMPUTED_VALUE"""),9648.33)</f>
        <v>9648.33</v>
      </c>
      <c r="AP123" s="6" t="str">
        <f t="shared" ca="1" si="33"/>
        <v>20186</v>
      </c>
      <c r="AQ123" s="6">
        <f t="shared" ca="1" si="34"/>
        <v>2018</v>
      </c>
      <c r="AR123" s="6">
        <f t="shared" ca="1" si="35"/>
        <v>6</v>
      </c>
      <c r="AS123" s="68">
        <f ca="1">IFERROR(__xludf.DUMMYFUNCTION("""COMPUTED_VALUE"""),43270.9986111111)</f>
        <v>43270.998611111099</v>
      </c>
      <c r="AT123" s="6">
        <f ca="1">IFERROR(__xludf.DUMMYFUNCTION("""COMPUTED_VALUE"""),1278.6)</f>
        <v>1278.5999999999999</v>
      </c>
    </row>
    <row r="124" spans="2:46" x14ac:dyDescent="0.35">
      <c r="B124" s="6" t="str">
        <f t="shared" ca="1" si="18"/>
        <v>20186</v>
      </c>
      <c r="C124" s="6">
        <f t="shared" ca="1" si="19"/>
        <v>2018</v>
      </c>
      <c r="D124" s="6">
        <f t="shared" ca="1" si="20"/>
        <v>6</v>
      </c>
      <c r="E124" s="68">
        <f ca="1">IFERROR(__xludf.DUMMYFUNCTION("""COMPUTED_VALUE"""),43270.6666666666)</f>
        <v>43270.666666666599</v>
      </c>
      <c r="F124" s="6">
        <f ca="1">IFERROR(__xludf.DUMMYFUNCTION("""COMPUTED_VALUE"""),2762.59)</f>
        <v>2762.59</v>
      </c>
      <c r="J124" s="6" t="str">
        <f t="shared" ca="1" si="21"/>
        <v>20186</v>
      </c>
      <c r="K124" s="6">
        <f t="shared" ca="1" si="22"/>
        <v>2018</v>
      </c>
      <c r="L124" s="6">
        <f t="shared" ca="1" si="23"/>
        <v>6</v>
      </c>
      <c r="M124" s="68">
        <f ca="1">IFERROR(__xludf.DUMMYFUNCTION("""COMPUTED_VALUE"""),43270.6666666666)</f>
        <v>43270.666666666599</v>
      </c>
      <c r="N124" s="6">
        <f ca="1">IFERROR(__xludf.DUMMYFUNCTION("""COMPUTED_VALUE"""),7725.59)</f>
        <v>7725.59</v>
      </c>
      <c r="R124" s="6" t="str">
        <f t="shared" ca="1" si="24"/>
        <v>20186</v>
      </c>
      <c r="S124" s="6">
        <f t="shared" ca="1" si="25"/>
        <v>2018</v>
      </c>
      <c r="T124" s="6">
        <f t="shared" ca="1" si="26"/>
        <v>6</v>
      </c>
      <c r="U124" s="68">
        <f ca="1">IFERROR(__xludf.DUMMYFUNCTION("""COMPUTED_VALUE"""),43279.6458333333)</f>
        <v>43279.645833333299</v>
      </c>
      <c r="V124" s="6">
        <f ca="1">IFERROR(__xludf.DUMMYFUNCTION("""COMPUTED_VALUE"""),2314.24)</f>
        <v>2314.2399999999998</v>
      </c>
      <c r="Z124" s="6" t="str">
        <f t="shared" ca="1" si="27"/>
        <v>20185</v>
      </c>
      <c r="AA124" s="6">
        <f t="shared" ca="1" si="28"/>
        <v>2018</v>
      </c>
      <c r="AB124" s="6">
        <f t="shared" ca="1" si="29"/>
        <v>5</v>
      </c>
      <c r="AC124" s="68">
        <f ca="1">IFERROR(__xludf.DUMMYFUNCTION("""COMPUTED_VALUE"""),43221.9986111111)</f>
        <v>43221.998611111099</v>
      </c>
      <c r="AD124" s="6">
        <f ca="1">IFERROR(__xludf.DUMMYFUNCTION("""COMPUTED_VALUE"""),1072.52)</f>
        <v>1072.52</v>
      </c>
      <c r="AH124" s="6" t="str">
        <f t="shared" ca="1" si="30"/>
        <v>20184</v>
      </c>
      <c r="AI124" s="6">
        <f t="shared" ca="1" si="31"/>
        <v>2018</v>
      </c>
      <c r="AJ124" s="6">
        <f t="shared" ca="1" si="32"/>
        <v>4</v>
      </c>
      <c r="AK124" s="68">
        <f ca="1">IFERROR(__xludf.DUMMYFUNCTION("""COMPUTED_VALUE"""),43215.9986111111)</f>
        <v>43215.998611111099</v>
      </c>
      <c r="AL124" s="6">
        <f ca="1">IFERROR(__xludf.DUMMYFUNCTION("""COMPUTED_VALUE"""),8838.23)</f>
        <v>8838.23</v>
      </c>
      <c r="AP124" s="6" t="str">
        <f t="shared" ca="1" si="33"/>
        <v>20186</v>
      </c>
      <c r="AQ124" s="6">
        <f t="shared" ca="1" si="34"/>
        <v>2018</v>
      </c>
      <c r="AR124" s="6">
        <f t="shared" ca="1" si="35"/>
        <v>6</v>
      </c>
      <c r="AS124" s="68">
        <f ca="1">IFERROR(__xludf.DUMMYFUNCTION("""COMPUTED_VALUE"""),43271.9986111111)</f>
        <v>43271.998611111099</v>
      </c>
      <c r="AT124" s="6">
        <f ca="1">IFERROR(__xludf.DUMMYFUNCTION("""COMPUTED_VALUE"""),1274.5)</f>
        <v>1274.5</v>
      </c>
    </row>
    <row r="125" spans="2:46" x14ac:dyDescent="0.35">
      <c r="B125" s="6" t="str">
        <f t="shared" ca="1" si="18"/>
        <v>20186</v>
      </c>
      <c r="C125" s="6">
        <f t="shared" ca="1" si="19"/>
        <v>2018</v>
      </c>
      <c r="D125" s="6">
        <f t="shared" ca="1" si="20"/>
        <v>6</v>
      </c>
      <c r="E125" s="68">
        <f ca="1">IFERROR(__xludf.DUMMYFUNCTION("""COMPUTED_VALUE"""),43271.6666666666)</f>
        <v>43271.666666666599</v>
      </c>
      <c r="F125" s="6">
        <f ca="1">IFERROR(__xludf.DUMMYFUNCTION("""COMPUTED_VALUE"""),2767.32)</f>
        <v>2767.32</v>
      </c>
      <c r="J125" s="6" t="str">
        <f t="shared" ca="1" si="21"/>
        <v>20186</v>
      </c>
      <c r="K125" s="6">
        <f t="shared" ca="1" si="22"/>
        <v>2018</v>
      </c>
      <c r="L125" s="6">
        <f t="shared" ca="1" si="23"/>
        <v>6</v>
      </c>
      <c r="M125" s="68">
        <f ca="1">IFERROR(__xludf.DUMMYFUNCTION("""COMPUTED_VALUE"""),43271.6666666666)</f>
        <v>43271.666666666599</v>
      </c>
      <c r="N125" s="6">
        <f ca="1">IFERROR(__xludf.DUMMYFUNCTION("""COMPUTED_VALUE"""),7781.52)</f>
        <v>7781.52</v>
      </c>
      <c r="R125" s="6" t="str">
        <f t="shared" ca="1" si="24"/>
        <v>20186</v>
      </c>
      <c r="S125" s="6">
        <f t="shared" ca="1" si="25"/>
        <v>2018</v>
      </c>
      <c r="T125" s="6">
        <f t="shared" ca="1" si="26"/>
        <v>6</v>
      </c>
      <c r="U125" s="68">
        <f ca="1">IFERROR(__xludf.DUMMYFUNCTION("""COMPUTED_VALUE"""),43280.6458333333)</f>
        <v>43280.645833333299</v>
      </c>
      <c r="V125" s="6">
        <f ca="1">IFERROR(__xludf.DUMMYFUNCTION("""COMPUTED_VALUE"""),2326.13)</f>
        <v>2326.13</v>
      </c>
      <c r="Z125" s="6" t="str">
        <f t="shared" ca="1" si="27"/>
        <v>20185</v>
      </c>
      <c r="AA125" s="6">
        <f t="shared" ca="1" si="28"/>
        <v>2018</v>
      </c>
      <c r="AB125" s="6">
        <f t="shared" ca="1" si="29"/>
        <v>5</v>
      </c>
      <c r="AC125" s="68">
        <f ca="1">IFERROR(__xludf.DUMMYFUNCTION("""COMPUTED_VALUE"""),43222.9986111111)</f>
        <v>43222.998611111099</v>
      </c>
      <c r="AD125" s="6">
        <f ca="1">IFERROR(__xludf.DUMMYFUNCTION("""COMPUTED_VALUE"""),1078.81)</f>
        <v>1078.81</v>
      </c>
      <c r="AH125" s="6" t="str">
        <f t="shared" ca="1" si="30"/>
        <v>20184</v>
      </c>
      <c r="AI125" s="6">
        <f t="shared" ca="1" si="31"/>
        <v>2018</v>
      </c>
      <c r="AJ125" s="6">
        <f t="shared" ca="1" si="32"/>
        <v>4</v>
      </c>
      <c r="AK125" s="68">
        <f ca="1">IFERROR(__xludf.DUMMYFUNCTION("""COMPUTED_VALUE"""),43216.9986111111)</f>
        <v>43216.998611111099</v>
      </c>
      <c r="AL125" s="6">
        <f ca="1">IFERROR(__xludf.DUMMYFUNCTION("""COMPUTED_VALUE"""),9288.43)</f>
        <v>9288.43</v>
      </c>
      <c r="AP125" s="6" t="str">
        <f t="shared" ca="1" si="33"/>
        <v>20186</v>
      </c>
      <c r="AQ125" s="6">
        <f t="shared" ca="1" si="34"/>
        <v>2018</v>
      </c>
      <c r="AR125" s="6">
        <f t="shared" ca="1" si="35"/>
        <v>6</v>
      </c>
      <c r="AS125" s="68">
        <f ca="1">IFERROR(__xludf.DUMMYFUNCTION("""COMPUTED_VALUE"""),43272.9986111111)</f>
        <v>43272.998611111099</v>
      </c>
      <c r="AT125" s="6">
        <f ca="1">IFERROR(__xludf.DUMMYFUNCTION("""COMPUTED_VALUE"""),1270.5)</f>
        <v>1270.5</v>
      </c>
    </row>
    <row r="126" spans="2:46" x14ac:dyDescent="0.35">
      <c r="B126" s="6" t="str">
        <f t="shared" ca="1" si="18"/>
        <v>20186</v>
      </c>
      <c r="C126" s="6">
        <f t="shared" ca="1" si="19"/>
        <v>2018</v>
      </c>
      <c r="D126" s="6">
        <f t="shared" ca="1" si="20"/>
        <v>6</v>
      </c>
      <c r="E126" s="68">
        <f ca="1">IFERROR(__xludf.DUMMYFUNCTION("""COMPUTED_VALUE"""),43272.6666666666)</f>
        <v>43272.666666666599</v>
      </c>
      <c r="F126" s="6">
        <f ca="1">IFERROR(__xludf.DUMMYFUNCTION("""COMPUTED_VALUE"""),2749.76)</f>
        <v>2749.76</v>
      </c>
      <c r="J126" s="6" t="str">
        <f t="shared" ca="1" si="21"/>
        <v>20186</v>
      </c>
      <c r="K126" s="6">
        <f t="shared" ca="1" si="22"/>
        <v>2018</v>
      </c>
      <c r="L126" s="6">
        <f t="shared" ca="1" si="23"/>
        <v>6</v>
      </c>
      <c r="M126" s="68">
        <f ca="1">IFERROR(__xludf.DUMMYFUNCTION("""COMPUTED_VALUE"""),43272.6666666666)</f>
        <v>43272.666666666599</v>
      </c>
      <c r="N126" s="6">
        <f ca="1">IFERROR(__xludf.DUMMYFUNCTION("""COMPUTED_VALUE"""),7712.95)</f>
        <v>7712.95</v>
      </c>
      <c r="R126" s="6" t="str">
        <f t="shared" ca="1" si="24"/>
        <v>20187</v>
      </c>
      <c r="S126" s="6">
        <f t="shared" ca="1" si="25"/>
        <v>2018</v>
      </c>
      <c r="T126" s="6">
        <f t="shared" ca="1" si="26"/>
        <v>7</v>
      </c>
      <c r="U126" s="68">
        <f ca="1">IFERROR(__xludf.DUMMYFUNCTION("""COMPUTED_VALUE"""),43283.6458333333)</f>
        <v>43283.645833333299</v>
      </c>
      <c r="V126" s="6">
        <f ca="1">IFERROR(__xludf.DUMMYFUNCTION("""COMPUTED_VALUE"""),2271.54)</f>
        <v>2271.54</v>
      </c>
      <c r="Z126" s="6" t="str">
        <f t="shared" ca="1" si="27"/>
        <v>20185</v>
      </c>
      <c r="AA126" s="6">
        <f t="shared" ca="1" si="28"/>
        <v>2018</v>
      </c>
      <c r="AB126" s="6">
        <f t="shared" ca="1" si="29"/>
        <v>5</v>
      </c>
      <c r="AC126" s="68">
        <f ca="1">IFERROR(__xludf.DUMMYFUNCTION("""COMPUTED_VALUE"""),43223.9986111111)</f>
        <v>43223.998611111099</v>
      </c>
      <c r="AD126" s="6">
        <f ca="1">IFERROR(__xludf.DUMMYFUNCTION("""COMPUTED_VALUE"""),1074.12)</f>
        <v>1074.1199999999999</v>
      </c>
      <c r="AH126" s="6" t="str">
        <f t="shared" ca="1" si="30"/>
        <v>20184</v>
      </c>
      <c r="AI126" s="6">
        <f t="shared" ca="1" si="31"/>
        <v>2018</v>
      </c>
      <c r="AJ126" s="6">
        <f t="shared" ca="1" si="32"/>
        <v>4</v>
      </c>
      <c r="AK126" s="68">
        <f ca="1">IFERROR(__xludf.DUMMYFUNCTION("""COMPUTED_VALUE"""),43217.9986111111)</f>
        <v>43217.998611111099</v>
      </c>
      <c r="AL126" s="6">
        <f ca="1">IFERROR(__xludf.DUMMYFUNCTION("""COMPUTED_VALUE"""),8924.75)</f>
        <v>8924.75</v>
      </c>
      <c r="AP126" s="6" t="str">
        <f t="shared" ca="1" si="33"/>
        <v>20186</v>
      </c>
      <c r="AQ126" s="6">
        <f t="shared" ca="1" si="34"/>
        <v>2018</v>
      </c>
      <c r="AR126" s="6">
        <f t="shared" ca="1" si="35"/>
        <v>6</v>
      </c>
      <c r="AS126" s="68">
        <f ca="1">IFERROR(__xludf.DUMMYFUNCTION("""COMPUTED_VALUE"""),43273.9986111111)</f>
        <v>43273.998611111099</v>
      </c>
      <c r="AT126" s="6">
        <f ca="1">IFERROR(__xludf.DUMMYFUNCTION("""COMPUTED_VALUE"""),1270.7)</f>
        <v>1270.7</v>
      </c>
    </row>
    <row r="127" spans="2:46" x14ac:dyDescent="0.35">
      <c r="B127" s="6" t="str">
        <f t="shared" ca="1" si="18"/>
        <v>20186</v>
      </c>
      <c r="C127" s="6">
        <f t="shared" ca="1" si="19"/>
        <v>2018</v>
      </c>
      <c r="D127" s="6">
        <f t="shared" ca="1" si="20"/>
        <v>6</v>
      </c>
      <c r="E127" s="68">
        <f ca="1">IFERROR(__xludf.DUMMYFUNCTION("""COMPUTED_VALUE"""),43273.6666666666)</f>
        <v>43273.666666666599</v>
      </c>
      <c r="F127" s="6">
        <f ca="1">IFERROR(__xludf.DUMMYFUNCTION("""COMPUTED_VALUE"""),2754.88)</f>
        <v>2754.88</v>
      </c>
      <c r="J127" s="6" t="str">
        <f t="shared" ca="1" si="21"/>
        <v>20186</v>
      </c>
      <c r="K127" s="6">
        <f t="shared" ca="1" si="22"/>
        <v>2018</v>
      </c>
      <c r="L127" s="6">
        <f t="shared" ca="1" si="23"/>
        <v>6</v>
      </c>
      <c r="M127" s="68">
        <f ca="1">IFERROR(__xludf.DUMMYFUNCTION("""COMPUTED_VALUE"""),43273.6666666666)</f>
        <v>43273.666666666599</v>
      </c>
      <c r="N127" s="6">
        <f ca="1">IFERROR(__xludf.DUMMYFUNCTION("""COMPUTED_VALUE"""),7692.82)</f>
        <v>7692.82</v>
      </c>
      <c r="R127" s="6" t="str">
        <f t="shared" ca="1" si="24"/>
        <v>20187</v>
      </c>
      <c r="S127" s="6">
        <f t="shared" ca="1" si="25"/>
        <v>2018</v>
      </c>
      <c r="T127" s="6">
        <f t="shared" ca="1" si="26"/>
        <v>7</v>
      </c>
      <c r="U127" s="68">
        <f ca="1">IFERROR(__xludf.DUMMYFUNCTION("""COMPUTED_VALUE"""),43284.6458333333)</f>
        <v>43284.645833333299</v>
      </c>
      <c r="V127" s="6">
        <f ca="1">IFERROR(__xludf.DUMMYFUNCTION("""COMPUTED_VALUE"""),2272.76)</f>
        <v>2272.7600000000002</v>
      </c>
      <c r="Z127" s="6" t="str">
        <f t="shared" ca="1" si="27"/>
        <v>20185</v>
      </c>
      <c r="AA127" s="6">
        <f t="shared" ca="1" si="28"/>
        <v>2018</v>
      </c>
      <c r="AB127" s="6">
        <f t="shared" ca="1" si="29"/>
        <v>5</v>
      </c>
      <c r="AC127" s="68">
        <f ca="1">IFERROR(__xludf.DUMMYFUNCTION("""COMPUTED_VALUE"""),43224.9986111111)</f>
        <v>43224.998611111099</v>
      </c>
      <c r="AD127" s="6">
        <f ca="1">IFERROR(__xludf.DUMMYFUNCTION("""COMPUTED_VALUE"""),1073.21)</f>
        <v>1073.21</v>
      </c>
      <c r="AH127" s="6" t="str">
        <f t="shared" ca="1" si="30"/>
        <v>20184</v>
      </c>
      <c r="AI127" s="6">
        <f t="shared" ca="1" si="31"/>
        <v>2018</v>
      </c>
      <c r="AJ127" s="6">
        <f t="shared" ca="1" si="32"/>
        <v>4</v>
      </c>
      <c r="AK127" s="68">
        <f ca="1">IFERROR(__xludf.DUMMYFUNCTION("""COMPUTED_VALUE"""),43218.9986111111)</f>
        <v>43218.998611111099</v>
      </c>
      <c r="AL127" s="6">
        <f ca="1">IFERROR(__xludf.DUMMYFUNCTION("""COMPUTED_VALUE"""),9339.01)</f>
        <v>9339.01</v>
      </c>
      <c r="AP127" s="6" t="str">
        <f t="shared" ca="1" si="33"/>
        <v>20186</v>
      </c>
      <c r="AQ127" s="6">
        <f t="shared" ca="1" si="34"/>
        <v>2018</v>
      </c>
      <c r="AR127" s="6">
        <f t="shared" ca="1" si="35"/>
        <v>6</v>
      </c>
      <c r="AS127" s="68">
        <f ca="1">IFERROR(__xludf.DUMMYFUNCTION("""COMPUTED_VALUE"""),43276.9986111111)</f>
        <v>43276.998611111099</v>
      </c>
      <c r="AT127" s="6">
        <f ca="1">IFERROR(__xludf.DUMMYFUNCTION("""COMPUTED_VALUE"""),1268.9)</f>
        <v>1268.9000000000001</v>
      </c>
    </row>
    <row r="128" spans="2:46" x14ac:dyDescent="0.35">
      <c r="B128" s="6" t="str">
        <f t="shared" ca="1" si="18"/>
        <v>20186</v>
      </c>
      <c r="C128" s="6">
        <f t="shared" ca="1" si="19"/>
        <v>2018</v>
      </c>
      <c r="D128" s="6">
        <f t="shared" ca="1" si="20"/>
        <v>6</v>
      </c>
      <c r="E128" s="68">
        <f ca="1">IFERROR(__xludf.DUMMYFUNCTION("""COMPUTED_VALUE"""),43276.6666666666)</f>
        <v>43276.666666666599</v>
      </c>
      <c r="F128" s="6">
        <f ca="1">IFERROR(__xludf.DUMMYFUNCTION("""COMPUTED_VALUE"""),2717.07)</f>
        <v>2717.07</v>
      </c>
      <c r="J128" s="6" t="str">
        <f t="shared" ca="1" si="21"/>
        <v>20186</v>
      </c>
      <c r="K128" s="6">
        <f t="shared" ca="1" si="22"/>
        <v>2018</v>
      </c>
      <c r="L128" s="6">
        <f t="shared" ca="1" si="23"/>
        <v>6</v>
      </c>
      <c r="M128" s="68">
        <f ca="1">IFERROR(__xludf.DUMMYFUNCTION("""COMPUTED_VALUE"""),43276.6666666666)</f>
        <v>43276.666666666599</v>
      </c>
      <c r="N128" s="6">
        <f ca="1">IFERROR(__xludf.DUMMYFUNCTION("""COMPUTED_VALUE"""),7532.01)</f>
        <v>7532.01</v>
      </c>
      <c r="R128" s="6" t="str">
        <f t="shared" ca="1" si="24"/>
        <v>20187</v>
      </c>
      <c r="S128" s="6">
        <f t="shared" ca="1" si="25"/>
        <v>2018</v>
      </c>
      <c r="T128" s="6">
        <f t="shared" ca="1" si="26"/>
        <v>7</v>
      </c>
      <c r="U128" s="68">
        <f ca="1">IFERROR(__xludf.DUMMYFUNCTION("""COMPUTED_VALUE"""),43285.6458333333)</f>
        <v>43285.645833333299</v>
      </c>
      <c r="V128" s="6">
        <f ca="1">IFERROR(__xludf.DUMMYFUNCTION("""COMPUTED_VALUE"""),2265.46)</f>
        <v>2265.46</v>
      </c>
      <c r="Z128" s="6" t="str">
        <f t="shared" ca="1" si="27"/>
        <v>20185</v>
      </c>
      <c r="AA128" s="6">
        <f t="shared" ca="1" si="28"/>
        <v>2018</v>
      </c>
      <c r="AB128" s="6">
        <f t="shared" ca="1" si="29"/>
        <v>5</v>
      </c>
      <c r="AC128" s="68">
        <f ca="1">IFERROR(__xludf.DUMMYFUNCTION("""COMPUTED_VALUE"""),43225.9986111111)</f>
        <v>43225.998611111099</v>
      </c>
      <c r="AD128" s="6">
        <f ca="1">IFERROR(__xludf.DUMMYFUNCTION("""COMPUTED_VALUE"""),1072.17)</f>
        <v>1072.17</v>
      </c>
      <c r="AH128" s="6" t="str">
        <f t="shared" ca="1" si="30"/>
        <v>20184</v>
      </c>
      <c r="AI128" s="6">
        <f t="shared" ca="1" si="31"/>
        <v>2018</v>
      </c>
      <c r="AJ128" s="6">
        <f t="shared" ca="1" si="32"/>
        <v>4</v>
      </c>
      <c r="AK128" s="68">
        <f ca="1">IFERROR(__xludf.DUMMYFUNCTION("""COMPUTED_VALUE"""),43219.9986111111)</f>
        <v>43219.998611111099</v>
      </c>
      <c r="AL128" s="6">
        <f ca="1">IFERROR(__xludf.DUMMYFUNCTION("""COMPUTED_VALUE"""),9398.09)</f>
        <v>9398.09</v>
      </c>
      <c r="AP128" s="6" t="str">
        <f t="shared" ca="1" si="33"/>
        <v>20186</v>
      </c>
      <c r="AQ128" s="6">
        <f t="shared" ca="1" si="34"/>
        <v>2018</v>
      </c>
      <c r="AR128" s="6">
        <f t="shared" ca="1" si="35"/>
        <v>6</v>
      </c>
      <c r="AS128" s="68">
        <f ca="1">IFERROR(__xludf.DUMMYFUNCTION("""COMPUTED_VALUE"""),43277.9986111111)</f>
        <v>43277.998611111099</v>
      </c>
      <c r="AT128" s="6">
        <f ca="1">IFERROR(__xludf.DUMMYFUNCTION("""COMPUTED_VALUE"""),1259.9)</f>
        <v>1259.9000000000001</v>
      </c>
    </row>
    <row r="129" spans="2:46" x14ac:dyDescent="0.35">
      <c r="B129" s="6" t="str">
        <f t="shared" ca="1" si="18"/>
        <v>20186</v>
      </c>
      <c r="C129" s="6">
        <f t="shared" ca="1" si="19"/>
        <v>2018</v>
      </c>
      <c r="D129" s="6">
        <f t="shared" ca="1" si="20"/>
        <v>6</v>
      </c>
      <c r="E129" s="68">
        <f ca="1">IFERROR(__xludf.DUMMYFUNCTION("""COMPUTED_VALUE"""),43277.6666666666)</f>
        <v>43277.666666666599</v>
      </c>
      <c r="F129" s="6">
        <f ca="1">IFERROR(__xludf.DUMMYFUNCTION("""COMPUTED_VALUE"""),2723.06)</f>
        <v>2723.06</v>
      </c>
      <c r="J129" s="6" t="str">
        <f t="shared" ca="1" si="21"/>
        <v>20186</v>
      </c>
      <c r="K129" s="6">
        <f t="shared" ca="1" si="22"/>
        <v>2018</v>
      </c>
      <c r="L129" s="6">
        <f t="shared" ca="1" si="23"/>
        <v>6</v>
      </c>
      <c r="M129" s="68">
        <f ca="1">IFERROR(__xludf.DUMMYFUNCTION("""COMPUTED_VALUE"""),43277.6666666666)</f>
        <v>43277.666666666599</v>
      </c>
      <c r="N129" s="6">
        <f ca="1">IFERROR(__xludf.DUMMYFUNCTION("""COMPUTED_VALUE"""),7561.63)</f>
        <v>7561.63</v>
      </c>
      <c r="R129" s="6" t="str">
        <f t="shared" ca="1" si="24"/>
        <v>20187</v>
      </c>
      <c r="S129" s="6">
        <f t="shared" ca="1" si="25"/>
        <v>2018</v>
      </c>
      <c r="T129" s="6">
        <f t="shared" ca="1" si="26"/>
        <v>7</v>
      </c>
      <c r="U129" s="68">
        <f ca="1">IFERROR(__xludf.DUMMYFUNCTION("""COMPUTED_VALUE"""),43286.6458333333)</f>
        <v>43286.645833333299</v>
      </c>
      <c r="V129" s="6">
        <f ca="1">IFERROR(__xludf.DUMMYFUNCTION("""COMPUTED_VALUE"""),2257.55)</f>
        <v>2257.5500000000002</v>
      </c>
      <c r="Z129" s="6" t="str">
        <f t="shared" ca="1" si="27"/>
        <v>20185</v>
      </c>
      <c r="AA129" s="6">
        <f t="shared" ca="1" si="28"/>
        <v>2018</v>
      </c>
      <c r="AB129" s="6">
        <f t="shared" ca="1" si="29"/>
        <v>5</v>
      </c>
      <c r="AC129" s="68">
        <f ca="1">IFERROR(__xludf.DUMMYFUNCTION("""COMPUTED_VALUE"""),43226.9986111111)</f>
        <v>43226.998611111099</v>
      </c>
      <c r="AD129" s="6">
        <f ca="1">IFERROR(__xludf.DUMMYFUNCTION("""COMPUTED_VALUE"""),1073.33)</f>
        <v>1073.33</v>
      </c>
      <c r="AH129" s="6" t="str">
        <f t="shared" ca="1" si="30"/>
        <v>20184</v>
      </c>
      <c r="AI129" s="6">
        <f t="shared" ca="1" si="31"/>
        <v>2018</v>
      </c>
      <c r="AJ129" s="6">
        <f t="shared" ca="1" si="32"/>
        <v>4</v>
      </c>
      <c r="AK129" s="68">
        <f ca="1">IFERROR(__xludf.DUMMYFUNCTION("""COMPUTED_VALUE"""),43220.9986111111)</f>
        <v>43220.998611111099</v>
      </c>
      <c r="AL129" s="6">
        <f ca="1">IFERROR(__xludf.DUMMYFUNCTION("""COMPUTED_VALUE"""),9231.28)</f>
        <v>9231.2800000000007</v>
      </c>
      <c r="AP129" s="6" t="str">
        <f t="shared" ca="1" si="33"/>
        <v>20186</v>
      </c>
      <c r="AQ129" s="6">
        <f t="shared" ca="1" si="34"/>
        <v>2018</v>
      </c>
      <c r="AR129" s="6">
        <f t="shared" ca="1" si="35"/>
        <v>6</v>
      </c>
      <c r="AS129" s="68">
        <f ca="1">IFERROR(__xludf.DUMMYFUNCTION("""COMPUTED_VALUE"""),43278.9986111111)</f>
        <v>43278.998611111099</v>
      </c>
      <c r="AT129" s="6">
        <f ca="1">IFERROR(__xludf.DUMMYFUNCTION("""COMPUTED_VALUE"""),1256.1)</f>
        <v>1256.0999999999999</v>
      </c>
    </row>
    <row r="130" spans="2:46" x14ac:dyDescent="0.35">
      <c r="B130" s="6" t="str">
        <f t="shared" ca="1" si="18"/>
        <v>20186</v>
      </c>
      <c r="C130" s="6">
        <f t="shared" ca="1" si="19"/>
        <v>2018</v>
      </c>
      <c r="D130" s="6">
        <f t="shared" ca="1" si="20"/>
        <v>6</v>
      </c>
      <c r="E130" s="68">
        <f ca="1">IFERROR(__xludf.DUMMYFUNCTION("""COMPUTED_VALUE"""),43278.6666666666)</f>
        <v>43278.666666666599</v>
      </c>
      <c r="F130" s="6">
        <f ca="1">IFERROR(__xludf.DUMMYFUNCTION("""COMPUTED_VALUE"""),2699.63)</f>
        <v>2699.63</v>
      </c>
      <c r="J130" s="6" t="str">
        <f t="shared" ca="1" si="21"/>
        <v>20186</v>
      </c>
      <c r="K130" s="6">
        <f t="shared" ca="1" si="22"/>
        <v>2018</v>
      </c>
      <c r="L130" s="6">
        <f t="shared" ca="1" si="23"/>
        <v>6</v>
      </c>
      <c r="M130" s="68">
        <f ca="1">IFERROR(__xludf.DUMMYFUNCTION("""COMPUTED_VALUE"""),43278.6666666666)</f>
        <v>43278.666666666599</v>
      </c>
      <c r="N130" s="6">
        <f ca="1">IFERROR(__xludf.DUMMYFUNCTION("""COMPUTED_VALUE"""),7445.09)</f>
        <v>7445.09</v>
      </c>
      <c r="R130" s="6" t="str">
        <f t="shared" ca="1" si="24"/>
        <v>20187</v>
      </c>
      <c r="S130" s="6">
        <f t="shared" ca="1" si="25"/>
        <v>2018</v>
      </c>
      <c r="T130" s="6">
        <f t="shared" ca="1" si="26"/>
        <v>7</v>
      </c>
      <c r="U130" s="68">
        <f ca="1">IFERROR(__xludf.DUMMYFUNCTION("""COMPUTED_VALUE"""),43287.6458333333)</f>
        <v>43287.645833333299</v>
      </c>
      <c r="V130" s="6">
        <f ca="1">IFERROR(__xludf.DUMMYFUNCTION("""COMPUTED_VALUE"""),2272.87)</f>
        <v>2272.87</v>
      </c>
      <c r="Z130" s="6" t="str">
        <f t="shared" ca="1" si="27"/>
        <v>20185</v>
      </c>
      <c r="AA130" s="6">
        <f t="shared" ca="1" si="28"/>
        <v>2018</v>
      </c>
      <c r="AB130" s="6">
        <f t="shared" ca="1" si="29"/>
        <v>5</v>
      </c>
      <c r="AC130" s="68">
        <f ca="1">IFERROR(__xludf.DUMMYFUNCTION("""COMPUTED_VALUE"""),43227.9986111111)</f>
        <v>43227.998611111099</v>
      </c>
      <c r="AD130" s="6">
        <f ca="1">IFERROR(__xludf.DUMMYFUNCTION("""COMPUTED_VALUE"""),1078.39)</f>
        <v>1078.3900000000001</v>
      </c>
      <c r="AH130" s="6" t="str">
        <f t="shared" ca="1" si="30"/>
        <v>20185</v>
      </c>
      <c r="AI130" s="6">
        <f t="shared" ca="1" si="31"/>
        <v>2018</v>
      </c>
      <c r="AJ130" s="6">
        <f t="shared" ca="1" si="32"/>
        <v>5</v>
      </c>
      <c r="AK130" s="68">
        <f ca="1">IFERROR(__xludf.DUMMYFUNCTION("""COMPUTED_VALUE"""),43221.9986111111)</f>
        <v>43221.998611111099</v>
      </c>
      <c r="AL130" s="6">
        <f ca="1">IFERROR(__xludf.DUMMYFUNCTION("""COMPUTED_VALUE"""),9077.25)</f>
        <v>9077.25</v>
      </c>
      <c r="AP130" s="6" t="str">
        <f t="shared" ca="1" si="33"/>
        <v>20186</v>
      </c>
      <c r="AQ130" s="6">
        <f t="shared" ca="1" si="34"/>
        <v>2018</v>
      </c>
      <c r="AR130" s="6">
        <f t="shared" ca="1" si="35"/>
        <v>6</v>
      </c>
      <c r="AS130" s="68">
        <f ca="1">IFERROR(__xludf.DUMMYFUNCTION("""COMPUTED_VALUE"""),43279.9986111111)</f>
        <v>43279.998611111099</v>
      </c>
      <c r="AT130" s="6">
        <f ca="1">IFERROR(__xludf.DUMMYFUNCTION("""COMPUTED_VALUE"""),1251)</f>
        <v>1251</v>
      </c>
    </row>
    <row r="131" spans="2:46" x14ac:dyDescent="0.35">
      <c r="B131" s="6" t="str">
        <f t="shared" ca="1" si="18"/>
        <v>20186</v>
      </c>
      <c r="C131" s="6">
        <f t="shared" ca="1" si="19"/>
        <v>2018</v>
      </c>
      <c r="D131" s="6">
        <f t="shared" ca="1" si="20"/>
        <v>6</v>
      </c>
      <c r="E131" s="68">
        <f ca="1">IFERROR(__xludf.DUMMYFUNCTION("""COMPUTED_VALUE"""),43279.6666666666)</f>
        <v>43279.666666666599</v>
      </c>
      <c r="F131" s="6">
        <f ca="1">IFERROR(__xludf.DUMMYFUNCTION("""COMPUTED_VALUE"""),2716.31)</f>
        <v>2716.31</v>
      </c>
      <c r="J131" s="6" t="str">
        <f t="shared" ca="1" si="21"/>
        <v>20186</v>
      </c>
      <c r="K131" s="6">
        <f t="shared" ca="1" si="22"/>
        <v>2018</v>
      </c>
      <c r="L131" s="6">
        <f t="shared" ca="1" si="23"/>
        <v>6</v>
      </c>
      <c r="M131" s="68">
        <f ca="1">IFERROR(__xludf.DUMMYFUNCTION("""COMPUTED_VALUE"""),43279.6666666666)</f>
        <v>43279.666666666599</v>
      </c>
      <c r="N131" s="6">
        <f ca="1">IFERROR(__xludf.DUMMYFUNCTION("""COMPUTED_VALUE"""),7503.68)</f>
        <v>7503.68</v>
      </c>
      <c r="R131" s="6" t="str">
        <f t="shared" ca="1" si="24"/>
        <v>20187</v>
      </c>
      <c r="S131" s="6">
        <f t="shared" ca="1" si="25"/>
        <v>2018</v>
      </c>
      <c r="T131" s="6">
        <f t="shared" ca="1" si="26"/>
        <v>7</v>
      </c>
      <c r="U131" s="68">
        <f ca="1">IFERROR(__xludf.DUMMYFUNCTION("""COMPUTED_VALUE"""),43290.6458333333)</f>
        <v>43290.645833333299</v>
      </c>
      <c r="V131" s="6">
        <f ca="1">IFERROR(__xludf.DUMMYFUNCTION("""COMPUTED_VALUE"""),2285.8)</f>
        <v>2285.8000000000002</v>
      </c>
      <c r="Z131" s="6" t="str">
        <f t="shared" ca="1" si="27"/>
        <v>20185</v>
      </c>
      <c r="AA131" s="6">
        <f t="shared" ca="1" si="28"/>
        <v>2018</v>
      </c>
      <c r="AB131" s="6">
        <f t="shared" ca="1" si="29"/>
        <v>5</v>
      </c>
      <c r="AC131" s="68">
        <f ca="1">IFERROR(__xludf.DUMMYFUNCTION("""COMPUTED_VALUE"""),43228.9986111111)</f>
        <v>43228.998611111099</v>
      </c>
      <c r="AD131" s="6">
        <f ca="1">IFERROR(__xludf.DUMMYFUNCTION("""COMPUTED_VALUE"""),1077.56)</f>
        <v>1077.56</v>
      </c>
      <c r="AH131" s="6" t="str">
        <f t="shared" ca="1" si="30"/>
        <v>20185</v>
      </c>
      <c r="AI131" s="6">
        <f t="shared" ca="1" si="31"/>
        <v>2018</v>
      </c>
      <c r="AJ131" s="6">
        <f t="shared" ca="1" si="32"/>
        <v>5</v>
      </c>
      <c r="AK131" s="68">
        <f ca="1">IFERROR(__xludf.DUMMYFUNCTION("""COMPUTED_VALUE"""),43222.9986111111)</f>
        <v>43222.998611111099</v>
      </c>
      <c r="AL131" s="6">
        <f ca="1">IFERROR(__xludf.DUMMYFUNCTION("""COMPUTED_VALUE"""),9219.47)</f>
        <v>9219.4699999999993</v>
      </c>
      <c r="AP131" s="6" t="str">
        <f t="shared" ca="1" si="33"/>
        <v>20186</v>
      </c>
      <c r="AQ131" s="6">
        <f t="shared" ca="1" si="34"/>
        <v>2018</v>
      </c>
      <c r="AR131" s="6">
        <f t="shared" ca="1" si="35"/>
        <v>6</v>
      </c>
      <c r="AS131" s="68">
        <f ca="1">IFERROR(__xludf.DUMMYFUNCTION("""COMPUTED_VALUE"""),43280.9986111111)</f>
        <v>43280.998611111099</v>
      </c>
      <c r="AT131" s="6">
        <f ca="1">IFERROR(__xludf.DUMMYFUNCTION("""COMPUTED_VALUE"""),1254.5)</f>
        <v>1254.5</v>
      </c>
    </row>
    <row r="132" spans="2:46" x14ac:dyDescent="0.35">
      <c r="B132" s="6" t="str">
        <f t="shared" ca="1" si="18"/>
        <v>20186</v>
      </c>
      <c r="C132" s="6">
        <f t="shared" ca="1" si="19"/>
        <v>2018</v>
      </c>
      <c r="D132" s="6">
        <f t="shared" ca="1" si="20"/>
        <v>6</v>
      </c>
      <c r="E132" s="68">
        <f ca="1">IFERROR(__xludf.DUMMYFUNCTION("""COMPUTED_VALUE"""),43280.6666666666)</f>
        <v>43280.666666666599</v>
      </c>
      <c r="F132" s="6">
        <f ca="1">IFERROR(__xludf.DUMMYFUNCTION("""COMPUTED_VALUE"""),2718.37)</f>
        <v>2718.37</v>
      </c>
      <c r="J132" s="6" t="str">
        <f t="shared" ca="1" si="21"/>
        <v>20186</v>
      </c>
      <c r="K132" s="6">
        <f t="shared" ca="1" si="22"/>
        <v>2018</v>
      </c>
      <c r="L132" s="6">
        <f t="shared" ca="1" si="23"/>
        <v>6</v>
      </c>
      <c r="M132" s="68">
        <f ca="1">IFERROR(__xludf.DUMMYFUNCTION("""COMPUTED_VALUE"""),43280.6666666666)</f>
        <v>43280.666666666599</v>
      </c>
      <c r="N132" s="6">
        <f ca="1">IFERROR(__xludf.DUMMYFUNCTION("""COMPUTED_VALUE"""),7510.3)</f>
        <v>7510.3</v>
      </c>
      <c r="R132" s="6" t="str">
        <f t="shared" ca="1" si="24"/>
        <v>20187</v>
      </c>
      <c r="S132" s="6">
        <f t="shared" ca="1" si="25"/>
        <v>2018</v>
      </c>
      <c r="T132" s="6">
        <f t="shared" ca="1" si="26"/>
        <v>7</v>
      </c>
      <c r="U132" s="68">
        <f ca="1">IFERROR(__xludf.DUMMYFUNCTION("""COMPUTED_VALUE"""),43291.6458333333)</f>
        <v>43291.645833333299</v>
      </c>
      <c r="V132" s="6">
        <f ca="1">IFERROR(__xludf.DUMMYFUNCTION("""COMPUTED_VALUE"""),2294.16)</f>
        <v>2294.16</v>
      </c>
      <c r="Z132" s="6" t="str">
        <f t="shared" ca="1" si="27"/>
        <v>20185</v>
      </c>
      <c r="AA132" s="6">
        <f t="shared" ca="1" si="28"/>
        <v>2018</v>
      </c>
      <c r="AB132" s="6">
        <f t="shared" ca="1" si="29"/>
        <v>5</v>
      </c>
      <c r="AC132" s="68">
        <f ca="1">IFERROR(__xludf.DUMMYFUNCTION("""COMPUTED_VALUE"""),43229.9986111111)</f>
        <v>43229.998611111099</v>
      </c>
      <c r="AD132" s="6">
        <f ca="1">IFERROR(__xludf.DUMMYFUNCTION("""COMPUTED_VALUE"""),1077.98)</f>
        <v>1077.98</v>
      </c>
      <c r="AH132" s="6" t="str">
        <f t="shared" ca="1" si="30"/>
        <v>20185</v>
      </c>
      <c r="AI132" s="6">
        <f t="shared" ca="1" si="31"/>
        <v>2018</v>
      </c>
      <c r="AJ132" s="6">
        <f t="shared" ca="1" si="32"/>
        <v>5</v>
      </c>
      <c r="AK132" s="68">
        <f ca="1">IFERROR(__xludf.DUMMYFUNCTION("""COMPUTED_VALUE"""),43223.9986111111)</f>
        <v>43223.998611111099</v>
      </c>
      <c r="AL132" s="6">
        <f ca="1">IFERROR(__xludf.DUMMYFUNCTION("""COMPUTED_VALUE"""),9745.23)</f>
        <v>9745.23</v>
      </c>
      <c r="AP132" s="6" t="str">
        <f t="shared" ca="1" si="33"/>
        <v>20187</v>
      </c>
      <c r="AQ132" s="6">
        <f t="shared" ca="1" si="34"/>
        <v>2018</v>
      </c>
      <c r="AR132" s="6">
        <f t="shared" ca="1" si="35"/>
        <v>7</v>
      </c>
      <c r="AS132" s="68">
        <f ca="1">IFERROR(__xludf.DUMMYFUNCTION("""COMPUTED_VALUE"""),43283.9986111111)</f>
        <v>43283.998611111099</v>
      </c>
      <c r="AT132" s="6">
        <f ca="1">IFERROR(__xludf.DUMMYFUNCTION("""COMPUTED_VALUE"""),1241.7)</f>
        <v>1241.7</v>
      </c>
    </row>
    <row r="133" spans="2:46" x14ac:dyDescent="0.35">
      <c r="B133" s="6" t="str">
        <f t="shared" ca="1" si="18"/>
        <v>20187</v>
      </c>
      <c r="C133" s="6">
        <f t="shared" ca="1" si="19"/>
        <v>2018</v>
      </c>
      <c r="D133" s="6">
        <f t="shared" ca="1" si="20"/>
        <v>7</v>
      </c>
      <c r="E133" s="68">
        <f ca="1">IFERROR(__xludf.DUMMYFUNCTION("""COMPUTED_VALUE"""),43283.6666666666)</f>
        <v>43283.666666666599</v>
      </c>
      <c r="F133" s="6">
        <f ca="1">IFERROR(__xludf.DUMMYFUNCTION("""COMPUTED_VALUE"""),2726.71)</f>
        <v>2726.71</v>
      </c>
      <c r="J133" s="6" t="str">
        <f t="shared" ca="1" si="21"/>
        <v>20187</v>
      </c>
      <c r="K133" s="6">
        <f t="shared" ca="1" si="22"/>
        <v>2018</v>
      </c>
      <c r="L133" s="6">
        <f t="shared" ca="1" si="23"/>
        <v>7</v>
      </c>
      <c r="M133" s="68">
        <f ca="1">IFERROR(__xludf.DUMMYFUNCTION("""COMPUTED_VALUE"""),43283.6666666666)</f>
        <v>43283.666666666599</v>
      </c>
      <c r="N133" s="6">
        <f ca="1">IFERROR(__xludf.DUMMYFUNCTION("""COMPUTED_VALUE"""),7567.69)</f>
        <v>7567.69</v>
      </c>
      <c r="R133" s="6" t="str">
        <f t="shared" ca="1" si="24"/>
        <v>20187</v>
      </c>
      <c r="S133" s="6">
        <f t="shared" ca="1" si="25"/>
        <v>2018</v>
      </c>
      <c r="T133" s="6">
        <f t="shared" ca="1" si="26"/>
        <v>7</v>
      </c>
      <c r="U133" s="68">
        <f ca="1">IFERROR(__xludf.DUMMYFUNCTION("""COMPUTED_VALUE"""),43292.6458333333)</f>
        <v>43292.645833333299</v>
      </c>
      <c r="V133" s="6">
        <f ca="1">IFERROR(__xludf.DUMMYFUNCTION("""COMPUTED_VALUE"""),2280.62)</f>
        <v>2280.62</v>
      </c>
      <c r="Z133" s="6" t="str">
        <f t="shared" ca="1" si="27"/>
        <v>20185</v>
      </c>
      <c r="AA133" s="6">
        <f t="shared" ca="1" si="28"/>
        <v>2018</v>
      </c>
      <c r="AB133" s="6">
        <f t="shared" ca="1" si="29"/>
        <v>5</v>
      </c>
      <c r="AC133" s="68">
        <f ca="1">IFERROR(__xludf.DUMMYFUNCTION("""COMPUTED_VALUE"""),43230.9986111111)</f>
        <v>43230.998611111099</v>
      </c>
      <c r="AD133" s="6">
        <f ca="1">IFERROR(__xludf.DUMMYFUNCTION("""COMPUTED_VALUE"""),1064.37)</f>
        <v>1064.3699999999999</v>
      </c>
      <c r="AH133" s="6" t="str">
        <f t="shared" ca="1" si="30"/>
        <v>20185</v>
      </c>
      <c r="AI133" s="6">
        <f t="shared" ca="1" si="31"/>
        <v>2018</v>
      </c>
      <c r="AJ133" s="6">
        <f t="shared" ca="1" si="32"/>
        <v>5</v>
      </c>
      <c r="AK133" s="68">
        <f ca="1">IFERROR(__xludf.DUMMYFUNCTION("""COMPUTED_VALUE"""),43224.9986111111)</f>
        <v>43224.998611111099</v>
      </c>
      <c r="AL133" s="6">
        <f ca="1">IFERROR(__xludf.DUMMYFUNCTION("""COMPUTED_VALUE"""),9696.43)</f>
        <v>9696.43</v>
      </c>
      <c r="AP133" s="6" t="str">
        <f t="shared" ca="1" si="33"/>
        <v>20187</v>
      </c>
      <c r="AQ133" s="6">
        <f t="shared" ca="1" si="34"/>
        <v>2018</v>
      </c>
      <c r="AR133" s="6">
        <f t="shared" ca="1" si="35"/>
        <v>7</v>
      </c>
      <c r="AS133" s="68">
        <f ca="1">IFERROR(__xludf.DUMMYFUNCTION("""COMPUTED_VALUE"""),43284.5416666666)</f>
        <v>43284.541666666599</v>
      </c>
      <c r="AT133" s="6">
        <f ca="1">IFERROR(__xludf.DUMMYFUNCTION("""COMPUTED_VALUE"""),1253.5)</f>
        <v>1253.5</v>
      </c>
    </row>
    <row r="134" spans="2:46" x14ac:dyDescent="0.35">
      <c r="B134" s="6" t="str">
        <f t="shared" ca="1" si="18"/>
        <v>20187</v>
      </c>
      <c r="C134" s="6">
        <f t="shared" ca="1" si="19"/>
        <v>2018</v>
      </c>
      <c r="D134" s="6">
        <f t="shared" ca="1" si="20"/>
        <v>7</v>
      </c>
      <c r="E134" s="68">
        <f ca="1">IFERROR(__xludf.DUMMYFUNCTION("""COMPUTED_VALUE"""),43284.5416666666)</f>
        <v>43284.541666666599</v>
      </c>
      <c r="F134" s="6">
        <f ca="1">IFERROR(__xludf.DUMMYFUNCTION("""COMPUTED_VALUE"""),2713.22)</f>
        <v>2713.22</v>
      </c>
      <c r="J134" s="6" t="str">
        <f t="shared" ca="1" si="21"/>
        <v>20187</v>
      </c>
      <c r="K134" s="6">
        <f t="shared" ca="1" si="22"/>
        <v>2018</v>
      </c>
      <c r="L134" s="6">
        <f t="shared" ca="1" si="23"/>
        <v>7</v>
      </c>
      <c r="M134" s="68">
        <f ca="1">IFERROR(__xludf.DUMMYFUNCTION("""COMPUTED_VALUE"""),43284.5416666666)</f>
        <v>43284.541666666599</v>
      </c>
      <c r="N134" s="6">
        <f ca="1">IFERROR(__xludf.DUMMYFUNCTION("""COMPUTED_VALUE"""),7502.67)</f>
        <v>7502.67</v>
      </c>
      <c r="R134" s="6" t="str">
        <f t="shared" ca="1" si="24"/>
        <v>20187</v>
      </c>
      <c r="S134" s="6">
        <f t="shared" ca="1" si="25"/>
        <v>2018</v>
      </c>
      <c r="T134" s="6">
        <f t="shared" ca="1" si="26"/>
        <v>7</v>
      </c>
      <c r="U134" s="68">
        <f ca="1">IFERROR(__xludf.DUMMYFUNCTION("""COMPUTED_VALUE"""),43293.6458333333)</f>
        <v>43293.645833333299</v>
      </c>
      <c r="V134" s="6">
        <f ca="1">IFERROR(__xludf.DUMMYFUNCTION("""COMPUTED_VALUE"""),2285.06)</f>
        <v>2285.06</v>
      </c>
      <c r="Z134" s="6" t="str">
        <f t="shared" ca="1" si="27"/>
        <v>20185</v>
      </c>
      <c r="AA134" s="6">
        <f t="shared" ca="1" si="28"/>
        <v>2018</v>
      </c>
      <c r="AB134" s="6">
        <f t="shared" ca="1" si="29"/>
        <v>5</v>
      </c>
      <c r="AC134" s="68">
        <f ca="1">IFERROR(__xludf.DUMMYFUNCTION("""COMPUTED_VALUE"""),43231.9986111111)</f>
        <v>43231.998611111099</v>
      </c>
      <c r="AD134" s="6">
        <f ca="1">IFERROR(__xludf.DUMMYFUNCTION("""COMPUTED_VALUE"""),1066.88)</f>
        <v>1066.8800000000001</v>
      </c>
      <c r="AH134" s="6" t="str">
        <f t="shared" ca="1" si="30"/>
        <v>20185</v>
      </c>
      <c r="AI134" s="6">
        <f t="shared" ca="1" si="31"/>
        <v>2018</v>
      </c>
      <c r="AJ134" s="6">
        <f t="shared" ca="1" si="32"/>
        <v>5</v>
      </c>
      <c r="AK134" s="68">
        <f ca="1">IFERROR(__xludf.DUMMYFUNCTION("""COMPUTED_VALUE"""),43225.9986111111)</f>
        <v>43225.998611111099</v>
      </c>
      <c r="AL134" s="6">
        <f ca="1">IFERROR(__xludf.DUMMYFUNCTION("""COMPUTED_VALUE"""),9818.85)</f>
        <v>9818.85</v>
      </c>
      <c r="AP134" s="6" t="str">
        <f t="shared" ca="1" si="33"/>
        <v>20187</v>
      </c>
      <c r="AQ134" s="6">
        <f t="shared" ca="1" si="34"/>
        <v>2018</v>
      </c>
      <c r="AR134" s="6">
        <f t="shared" ca="1" si="35"/>
        <v>7</v>
      </c>
      <c r="AS134" s="68">
        <f ca="1">IFERROR(__xludf.DUMMYFUNCTION("""COMPUTED_VALUE"""),43286.9986111111)</f>
        <v>43286.998611111099</v>
      </c>
      <c r="AT134" s="6">
        <f ca="1">IFERROR(__xludf.DUMMYFUNCTION("""COMPUTED_VALUE"""),1258.8)</f>
        <v>1258.8</v>
      </c>
    </row>
    <row r="135" spans="2:46" x14ac:dyDescent="0.35">
      <c r="B135" s="6" t="str">
        <f t="shared" ref="B135:B198" ca="1" si="36">C135&amp;D135</f>
        <v>20187</v>
      </c>
      <c r="C135" s="6">
        <f t="shared" ref="C135:C198" ca="1" si="37">YEAR(E135)</f>
        <v>2018</v>
      </c>
      <c r="D135" s="6">
        <f t="shared" ref="D135:D198" ca="1" si="38">MONTH(E135)</f>
        <v>7</v>
      </c>
      <c r="E135" s="68">
        <f ca="1">IFERROR(__xludf.DUMMYFUNCTION("""COMPUTED_VALUE"""),43286.6666666666)</f>
        <v>43286.666666666599</v>
      </c>
      <c r="F135" s="6">
        <f ca="1">IFERROR(__xludf.DUMMYFUNCTION("""COMPUTED_VALUE"""),2736.61)</f>
        <v>2736.61</v>
      </c>
      <c r="J135" s="6" t="str">
        <f t="shared" ref="J135:J198" ca="1" si="39">K135&amp;L135</f>
        <v>20187</v>
      </c>
      <c r="K135" s="6">
        <f t="shared" ref="K135:K198" ca="1" si="40">YEAR(M135)</f>
        <v>2018</v>
      </c>
      <c r="L135" s="6">
        <f t="shared" ref="L135:L198" ca="1" si="41">MONTH(M135)</f>
        <v>7</v>
      </c>
      <c r="M135" s="68">
        <f ca="1">IFERROR(__xludf.DUMMYFUNCTION("""COMPUTED_VALUE"""),43286.6666666666)</f>
        <v>43286.666666666599</v>
      </c>
      <c r="N135" s="6">
        <f ca="1">IFERROR(__xludf.DUMMYFUNCTION("""COMPUTED_VALUE"""),7586.43)</f>
        <v>7586.43</v>
      </c>
      <c r="R135" s="6" t="str">
        <f t="shared" ref="R135:R198" ca="1" si="42">S135&amp;T135</f>
        <v>20187</v>
      </c>
      <c r="S135" s="6">
        <f t="shared" ref="S135:S198" ca="1" si="43">YEAR(U135)</f>
        <v>2018</v>
      </c>
      <c r="T135" s="6">
        <f t="shared" ref="T135:T198" ca="1" si="44">MONTH(U135)</f>
        <v>7</v>
      </c>
      <c r="U135" s="68">
        <f ca="1">IFERROR(__xludf.DUMMYFUNCTION("""COMPUTED_VALUE"""),43294.6458333333)</f>
        <v>43294.645833333299</v>
      </c>
      <c r="V135" s="6">
        <f ca="1">IFERROR(__xludf.DUMMYFUNCTION("""COMPUTED_VALUE"""),2310.9)</f>
        <v>2310.9</v>
      </c>
      <c r="Z135" s="6" t="str">
        <f t="shared" ref="Z135:Z198" ca="1" si="45">AA135&amp;AB135</f>
        <v>20185</v>
      </c>
      <c r="AA135" s="6">
        <f t="shared" ref="AA135:AA198" ca="1" si="46">YEAR(AC135)</f>
        <v>2018</v>
      </c>
      <c r="AB135" s="6">
        <f t="shared" ref="AB135:AB198" ca="1" si="47">MONTH(AC135)</f>
        <v>5</v>
      </c>
      <c r="AC135" s="68">
        <f ca="1">IFERROR(__xludf.DUMMYFUNCTION("""COMPUTED_VALUE"""),43232.9986111111)</f>
        <v>43232.998611111099</v>
      </c>
      <c r="AD135" s="6">
        <f ca="1">IFERROR(__xludf.DUMMYFUNCTION("""COMPUTED_VALUE"""),1067)</f>
        <v>1067</v>
      </c>
      <c r="AH135" s="6" t="str">
        <f t="shared" ref="AH135:AH198" ca="1" si="48">AI135&amp;AJ135</f>
        <v>20185</v>
      </c>
      <c r="AI135" s="6">
        <f t="shared" ref="AI135:AI198" ca="1" si="49">YEAR(AK135)</f>
        <v>2018</v>
      </c>
      <c r="AJ135" s="6">
        <f t="shared" ref="AJ135:AJ198" ca="1" si="50">MONTH(AK135)</f>
        <v>5</v>
      </c>
      <c r="AK135" s="68">
        <f ca="1">IFERROR(__xludf.DUMMYFUNCTION("""COMPUTED_VALUE"""),43226.9986111111)</f>
        <v>43226.998611111099</v>
      </c>
      <c r="AL135" s="6">
        <f ca="1">IFERROR(__xludf.DUMMYFUNCTION("""COMPUTED_VALUE"""),9634.63)</f>
        <v>9634.6299999999992</v>
      </c>
      <c r="AP135" s="6" t="str">
        <f t="shared" ref="AP135:AP198" ca="1" si="51">AQ135&amp;AR135</f>
        <v>20187</v>
      </c>
      <c r="AQ135" s="6">
        <f t="shared" ref="AQ135:AQ198" ca="1" si="52">YEAR(AS135)</f>
        <v>2018</v>
      </c>
      <c r="AR135" s="6">
        <f t="shared" ref="AR135:AR198" ca="1" si="53">MONTH(AS135)</f>
        <v>7</v>
      </c>
      <c r="AS135" s="68">
        <f ca="1">IFERROR(__xludf.DUMMYFUNCTION("""COMPUTED_VALUE"""),43287.9986111111)</f>
        <v>43287.998611111099</v>
      </c>
      <c r="AT135" s="6">
        <f ca="1">IFERROR(__xludf.DUMMYFUNCTION("""COMPUTED_VALUE"""),1255.8)</f>
        <v>1255.8</v>
      </c>
    </row>
    <row r="136" spans="2:46" x14ac:dyDescent="0.35">
      <c r="B136" s="6" t="str">
        <f t="shared" ca="1" si="36"/>
        <v>20187</v>
      </c>
      <c r="C136" s="6">
        <f t="shared" ca="1" si="37"/>
        <v>2018</v>
      </c>
      <c r="D136" s="6">
        <f t="shared" ca="1" si="38"/>
        <v>7</v>
      </c>
      <c r="E136" s="68">
        <f ca="1">IFERROR(__xludf.DUMMYFUNCTION("""COMPUTED_VALUE"""),43287.6666666666)</f>
        <v>43287.666666666599</v>
      </c>
      <c r="F136" s="6">
        <f ca="1">IFERROR(__xludf.DUMMYFUNCTION("""COMPUTED_VALUE"""),2759.82)</f>
        <v>2759.82</v>
      </c>
      <c r="J136" s="6" t="str">
        <f t="shared" ca="1" si="39"/>
        <v>20187</v>
      </c>
      <c r="K136" s="6">
        <f t="shared" ca="1" si="40"/>
        <v>2018</v>
      </c>
      <c r="L136" s="6">
        <f t="shared" ca="1" si="41"/>
        <v>7</v>
      </c>
      <c r="M136" s="68">
        <f ca="1">IFERROR(__xludf.DUMMYFUNCTION("""COMPUTED_VALUE"""),43287.6666666666)</f>
        <v>43287.666666666599</v>
      </c>
      <c r="N136" s="6">
        <f ca="1">IFERROR(__xludf.DUMMYFUNCTION("""COMPUTED_VALUE"""),7688.39)</f>
        <v>7688.39</v>
      </c>
      <c r="R136" s="6" t="str">
        <f t="shared" ca="1" si="42"/>
        <v>20187</v>
      </c>
      <c r="S136" s="6">
        <f t="shared" ca="1" si="43"/>
        <v>2018</v>
      </c>
      <c r="T136" s="6">
        <f t="shared" ca="1" si="44"/>
        <v>7</v>
      </c>
      <c r="U136" s="68">
        <f ca="1">IFERROR(__xludf.DUMMYFUNCTION("""COMPUTED_VALUE"""),43297.6458333333)</f>
        <v>43297.645833333299</v>
      </c>
      <c r="V136" s="6">
        <f ca="1">IFERROR(__xludf.DUMMYFUNCTION("""COMPUTED_VALUE"""),2301.99)</f>
        <v>2301.9899999999998</v>
      </c>
      <c r="Z136" s="6" t="str">
        <f t="shared" ca="1" si="45"/>
        <v>20185</v>
      </c>
      <c r="AA136" s="6">
        <f t="shared" ca="1" si="46"/>
        <v>2018</v>
      </c>
      <c r="AB136" s="6">
        <f t="shared" ca="1" si="47"/>
        <v>5</v>
      </c>
      <c r="AC136" s="68">
        <f ca="1">IFERROR(__xludf.DUMMYFUNCTION("""COMPUTED_VALUE"""),43233.9986111111)</f>
        <v>43233.998611111099</v>
      </c>
      <c r="AD136" s="6">
        <f ca="1">IFERROR(__xludf.DUMMYFUNCTION("""COMPUTED_VALUE"""),1065.95)</f>
        <v>1065.95</v>
      </c>
      <c r="AH136" s="6" t="str">
        <f t="shared" ca="1" si="48"/>
        <v>20185</v>
      </c>
      <c r="AI136" s="6">
        <f t="shared" ca="1" si="49"/>
        <v>2018</v>
      </c>
      <c r="AJ136" s="6">
        <f t="shared" ca="1" si="50"/>
        <v>5</v>
      </c>
      <c r="AK136" s="68">
        <f ca="1">IFERROR(__xludf.DUMMYFUNCTION("""COMPUTED_VALUE"""),43227.9986111111)</f>
        <v>43227.998611111099</v>
      </c>
      <c r="AL136" s="6">
        <f ca="1">IFERROR(__xludf.DUMMYFUNCTION("""COMPUTED_VALUE"""),9366.63)</f>
        <v>9366.6299999999992</v>
      </c>
      <c r="AP136" s="6" t="str">
        <f t="shared" ca="1" si="51"/>
        <v>20187</v>
      </c>
      <c r="AQ136" s="6">
        <f t="shared" ca="1" si="52"/>
        <v>2018</v>
      </c>
      <c r="AR136" s="6">
        <f t="shared" ca="1" si="53"/>
        <v>7</v>
      </c>
      <c r="AS136" s="68">
        <f ca="1">IFERROR(__xludf.DUMMYFUNCTION("""COMPUTED_VALUE"""),43290.9986111111)</f>
        <v>43290.998611111099</v>
      </c>
      <c r="AT136" s="6">
        <f ca="1">IFERROR(__xludf.DUMMYFUNCTION("""COMPUTED_VALUE"""),1259.6)</f>
        <v>1259.5999999999999</v>
      </c>
    </row>
    <row r="137" spans="2:46" x14ac:dyDescent="0.35">
      <c r="B137" s="6" t="str">
        <f t="shared" ca="1" si="36"/>
        <v>20187</v>
      </c>
      <c r="C137" s="6">
        <f t="shared" ca="1" si="37"/>
        <v>2018</v>
      </c>
      <c r="D137" s="6">
        <f t="shared" ca="1" si="38"/>
        <v>7</v>
      </c>
      <c r="E137" s="68">
        <f ca="1">IFERROR(__xludf.DUMMYFUNCTION("""COMPUTED_VALUE"""),43290.6666666666)</f>
        <v>43290.666666666599</v>
      </c>
      <c r="F137" s="6">
        <f ca="1">IFERROR(__xludf.DUMMYFUNCTION("""COMPUTED_VALUE"""),2784.17)</f>
        <v>2784.17</v>
      </c>
      <c r="J137" s="6" t="str">
        <f t="shared" ca="1" si="39"/>
        <v>20187</v>
      </c>
      <c r="K137" s="6">
        <f t="shared" ca="1" si="40"/>
        <v>2018</v>
      </c>
      <c r="L137" s="6">
        <f t="shared" ca="1" si="41"/>
        <v>7</v>
      </c>
      <c r="M137" s="68">
        <f ca="1">IFERROR(__xludf.DUMMYFUNCTION("""COMPUTED_VALUE"""),43290.6666666666)</f>
        <v>43290.666666666599</v>
      </c>
      <c r="N137" s="6">
        <f ca="1">IFERROR(__xludf.DUMMYFUNCTION("""COMPUTED_VALUE"""),7756.2)</f>
        <v>7756.2</v>
      </c>
      <c r="R137" s="6" t="str">
        <f t="shared" ca="1" si="42"/>
        <v>20187</v>
      </c>
      <c r="S137" s="6">
        <f t="shared" ca="1" si="43"/>
        <v>2018</v>
      </c>
      <c r="T137" s="6">
        <f t="shared" ca="1" si="44"/>
        <v>7</v>
      </c>
      <c r="U137" s="68">
        <f ca="1">IFERROR(__xludf.DUMMYFUNCTION("""COMPUTED_VALUE"""),43298.6458333333)</f>
        <v>43298.645833333299</v>
      </c>
      <c r="V137" s="6">
        <f ca="1">IFERROR(__xludf.DUMMYFUNCTION("""COMPUTED_VALUE"""),2297.92)</f>
        <v>2297.92</v>
      </c>
      <c r="Z137" s="6" t="str">
        <f t="shared" ca="1" si="45"/>
        <v>20185</v>
      </c>
      <c r="AA137" s="6">
        <f t="shared" ca="1" si="46"/>
        <v>2018</v>
      </c>
      <c r="AB137" s="6">
        <f t="shared" ca="1" si="47"/>
        <v>5</v>
      </c>
      <c r="AC137" s="68">
        <f ca="1">IFERROR(__xludf.DUMMYFUNCTION("""COMPUTED_VALUE"""),43234.9986111111)</f>
        <v>43234.998611111099</v>
      </c>
      <c r="AD137" s="6">
        <f ca="1">IFERROR(__xludf.DUMMYFUNCTION("""COMPUTED_VALUE"""),1069.16)</f>
        <v>1069.1600000000001</v>
      </c>
      <c r="AH137" s="6" t="str">
        <f t="shared" ca="1" si="48"/>
        <v>20185</v>
      </c>
      <c r="AI137" s="6">
        <f t="shared" ca="1" si="49"/>
        <v>2018</v>
      </c>
      <c r="AJ137" s="6">
        <f t="shared" ca="1" si="50"/>
        <v>5</v>
      </c>
      <c r="AK137" s="68">
        <f ca="1">IFERROR(__xludf.DUMMYFUNCTION("""COMPUTED_VALUE"""),43228.9986111111)</f>
        <v>43228.998611111099</v>
      </c>
      <c r="AL137" s="6">
        <f ca="1">IFERROR(__xludf.DUMMYFUNCTION("""COMPUTED_VALUE"""),9185.23)</f>
        <v>9185.23</v>
      </c>
      <c r="AP137" s="6" t="str">
        <f t="shared" ca="1" si="51"/>
        <v>20187</v>
      </c>
      <c r="AQ137" s="6">
        <f t="shared" ca="1" si="52"/>
        <v>2018</v>
      </c>
      <c r="AR137" s="6">
        <f t="shared" ca="1" si="53"/>
        <v>7</v>
      </c>
      <c r="AS137" s="68">
        <f ca="1">IFERROR(__xludf.DUMMYFUNCTION("""COMPUTED_VALUE"""),43291.9986111111)</f>
        <v>43291.998611111099</v>
      </c>
      <c r="AT137" s="6">
        <f ca="1">IFERROR(__xludf.DUMMYFUNCTION("""COMPUTED_VALUE"""),1255.4)</f>
        <v>1255.4000000000001</v>
      </c>
    </row>
    <row r="138" spans="2:46" x14ac:dyDescent="0.35">
      <c r="B138" s="6" t="str">
        <f t="shared" ca="1" si="36"/>
        <v>20187</v>
      </c>
      <c r="C138" s="6">
        <f t="shared" ca="1" si="37"/>
        <v>2018</v>
      </c>
      <c r="D138" s="6">
        <f t="shared" ca="1" si="38"/>
        <v>7</v>
      </c>
      <c r="E138" s="68">
        <f ca="1">IFERROR(__xludf.DUMMYFUNCTION("""COMPUTED_VALUE"""),43291.6666666666)</f>
        <v>43291.666666666599</v>
      </c>
      <c r="F138" s="6">
        <f ca="1">IFERROR(__xludf.DUMMYFUNCTION("""COMPUTED_VALUE"""),2793.84)</f>
        <v>2793.84</v>
      </c>
      <c r="J138" s="6" t="str">
        <f t="shared" ca="1" si="39"/>
        <v>20187</v>
      </c>
      <c r="K138" s="6">
        <f t="shared" ca="1" si="40"/>
        <v>2018</v>
      </c>
      <c r="L138" s="6">
        <f t="shared" ca="1" si="41"/>
        <v>7</v>
      </c>
      <c r="M138" s="68">
        <f ca="1">IFERROR(__xludf.DUMMYFUNCTION("""COMPUTED_VALUE"""),43291.6666666666)</f>
        <v>43291.666666666599</v>
      </c>
      <c r="N138" s="6">
        <f ca="1">IFERROR(__xludf.DUMMYFUNCTION("""COMPUTED_VALUE"""),7759.2)</f>
        <v>7759.2</v>
      </c>
      <c r="R138" s="6" t="str">
        <f t="shared" ca="1" si="42"/>
        <v>20187</v>
      </c>
      <c r="S138" s="6">
        <f t="shared" ca="1" si="43"/>
        <v>2018</v>
      </c>
      <c r="T138" s="6">
        <f t="shared" ca="1" si="44"/>
        <v>7</v>
      </c>
      <c r="U138" s="68">
        <f ca="1">IFERROR(__xludf.DUMMYFUNCTION("""COMPUTED_VALUE"""),43299.6458333333)</f>
        <v>43299.645833333299</v>
      </c>
      <c r="V138" s="6">
        <f ca="1">IFERROR(__xludf.DUMMYFUNCTION("""COMPUTED_VALUE"""),2290.11)</f>
        <v>2290.11</v>
      </c>
      <c r="Z138" s="6" t="str">
        <f t="shared" ca="1" si="45"/>
        <v>20185</v>
      </c>
      <c r="AA138" s="6">
        <f t="shared" ca="1" si="46"/>
        <v>2018</v>
      </c>
      <c r="AB138" s="6">
        <f t="shared" ca="1" si="47"/>
        <v>5</v>
      </c>
      <c r="AC138" s="68">
        <f ca="1">IFERROR(__xludf.DUMMYFUNCTION("""COMPUTED_VALUE"""),43235.9986111111)</f>
        <v>43235.998611111099</v>
      </c>
      <c r="AD138" s="6">
        <f ca="1">IFERROR(__xludf.DUMMYFUNCTION("""COMPUTED_VALUE"""),1078.86)</f>
        <v>1078.8599999999999</v>
      </c>
      <c r="AH138" s="6" t="str">
        <f t="shared" ca="1" si="48"/>
        <v>20185</v>
      </c>
      <c r="AI138" s="6">
        <f t="shared" ca="1" si="49"/>
        <v>2018</v>
      </c>
      <c r="AJ138" s="6">
        <f t="shared" ca="1" si="50"/>
        <v>5</v>
      </c>
      <c r="AK138" s="68">
        <f ca="1">IFERROR(__xludf.DUMMYFUNCTION("""COMPUTED_VALUE"""),43229.9986111111)</f>
        <v>43229.998611111099</v>
      </c>
      <c r="AL138" s="6">
        <f ca="1">IFERROR(__xludf.DUMMYFUNCTION("""COMPUTED_VALUE"""),9308.04)</f>
        <v>9308.0400000000009</v>
      </c>
      <c r="AP138" s="6" t="str">
        <f t="shared" ca="1" si="51"/>
        <v>20187</v>
      </c>
      <c r="AQ138" s="6">
        <f t="shared" ca="1" si="52"/>
        <v>2018</v>
      </c>
      <c r="AR138" s="6">
        <f t="shared" ca="1" si="53"/>
        <v>7</v>
      </c>
      <c r="AS138" s="68">
        <f ca="1">IFERROR(__xludf.DUMMYFUNCTION("""COMPUTED_VALUE"""),43292.9986111111)</f>
        <v>43292.998611111099</v>
      </c>
      <c r="AT138" s="6">
        <f ca="1">IFERROR(__xludf.DUMMYFUNCTION("""COMPUTED_VALUE"""),1244.4)</f>
        <v>1244.4000000000001</v>
      </c>
    </row>
    <row r="139" spans="2:46" x14ac:dyDescent="0.35">
      <c r="B139" s="6" t="str">
        <f t="shared" ca="1" si="36"/>
        <v>20187</v>
      </c>
      <c r="C139" s="6">
        <f t="shared" ca="1" si="37"/>
        <v>2018</v>
      </c>
      <c r="D139" s="6">
        <f t="shared" ca="1" si="38"/>
        <v>7</v>
      </c>
      <c r="E139" s="68">
        <f ca="1">IFERROR(__xludf.DUMMYFUNCTION("""COMPUTED_VALUE"""),43292.6666666666)</f>
        <v>43292.666666666599</v>
      </c>
      <c r="F139" s="6">
        <f ca="1">IFERROR(__xludf.DUMMYFUNCTION("""COMPUTED_VALUE"""),2774.02)</f>
        <v>2774.02</v>
      </c>
      <c r="J139" s="6" t="str">
        <f t="shared" ca="1" si="39"/>
        <v>20187</v>
      </c>
      <c r="K139" s="6">
        <f t="shared" ca="1" si="40"/>
        <v>2018</v>
      </c>
      <c r="L139" s="6">
        <f t="shared" ca="1" si="41"/>
        <v>7</v>
      </c>
      <c r="M139" s="68">
        <f ca="1">IFERROR(__xludf.DUMMYFUNCTION("""COMPUTED_VALUE"""),43292.6666666666)</f>
        <v>43292.666666666599</v>
      </c>
      <c r="N139" s="6">
        <f ca="1">IFERROR(__xludf.DUMMYFUNCTION("""COMPUTED_VALUE"""),7716.61)</f>
        <v>7716.61</v>
      </c>
      <c r="R139" s="6" t="str">
        <f t="shared" ca="1" si="42"/>
        <v>20187</v>
      </c>
      <c r="S139" s="6">
        <f t="shared" ca="1" si="43"/>
        <v>2018</v>
      </c>
      <c r="T139" s="6">
        <f t="shared" ca="1" si="44"/>
        <v>7</v>
      </c>
      <c r="U139" s="68">
        <f ca="1">IFERROR(__xludf.DUMMYFUNCTION("""COMPUTED_VALUE"""),43300.6458333333)</f>
        <v>43300.645833333299</v>
      </c>
      <c r="V139" s="6">
        <f ca="1">IFERROR(__xludf.DUMMYFUNCTION("""COMPUTED_VALUE"""),2282.29)</f>
        <v>2282.29</v>
      </c>
      <c r="Z139" s="6" t="str">
        <f t="shared" ca="1" si="45"/>
        <v>20185</v>
      </c>
      <c r="AA139" s="6">
        <f t="shared" ca="1" si="46"/>
        <v>2018</v>
      </c>
      <c r="AB139" s="6">
        <f t="shared" ca="1" si="47"/>
        <v>5</v>
      </c>
      <c r="AC139" s="68">
        <f ca="1">IFERROR(__xludf.DUMMYFUNCTION("""COMPUTED_VALUE"""),43236.9986111111)</f>
        <v>43236.998611111099</v>
      </c>
      <c r="AD139" s="6">
        <f ca="1">IFERROR(__xludf.DUMMYFUNCTION("""COMPUTED_VALUE"""),1076.49)</f>
        <v>1076.49</v>
      </c>
      <c r="AH139" s="6" t="str">
        <f t="shared" ca="1" si="48"/>
        <v>20185</v>
      </c>
      <c r="AI139" s="6">
        <f t="shared" ca="1" si="49"/>
        <v>2018</v>
      </c>
      <c r="AJ139" s="6">
        <f t="shared" ca="1" si="50"/>
        <v>5</v>
      </c>
      <c r="AK139" s="68">
        <f ca="1">IFERROR(__xludf.DUMMYFUNCTION("""COMPUTED_VALUE"""),43230.9986111111)</f>
        <v>43230.998611111099</v>
      </c>
      <c r="AL139" s="6">
        <f ca="1">IFERROR(__xludf.DUMMYFUNCTION("""COMPUTED_VALUE"""),9017.48)</f>
        <v>9017.48</v>
      </c>
      <c r="AP139" s="6" t="str">
        <f t="shared" ca="1" si="51"/>
        <v>20187</v>
      </c>
      <c r="AQ139" s="6">
        <f t="shared" ca="1" si="52"/>
        <v>2018</v>
      </c>
      <c r="AR139" s="6">
        <f t="shared" ca="1" si="53"/>
        <v>7</v>
      </c>
      <c r="AS139" s="68">
        <f ca="1">IFERROR(__xludf.DUMMYFUNCTION("""COMPUTED_VALUE"""),43293.9986111111)</f>
        <v>43293.998611111099</v>
      </c>
      <c r="AT139" s="6">
        <f ca="1">IFERROR(__xludf.DUMMYFUNCTION("""COMPUTED_VALUE"""),1246.6)</f>
        <v>1246.5999999999999</v>
      </c>
    </row>
    <row r="140" spans="2:46" x14ac:dyDescent="0.35">
      <c r="B140" s="6" t="str">
        <f t="shared" ca="1" si="36"/>
        <v>20187</v>
      </c>
      <c r="C140" s="6">
        <f t="shared" ca="1" si="37"/>
        <v>2018</v>
      </c>
      <c r="D140" s="6">
        <f t="shared" ca="1" si="38"/>
        <v>7</v>
      </c>
      <c r="E140" s="68">
        <f ca="1">IFERROR(__xludf.DUMMYFUNCTION("""COMPUTED_VALUE"""),43293.6666666666)</f>
        <v>43293.666666666599</v>
      </c>
      <c r="F140" s="6">
        <f ca="1">IFERROR(__xludf.DUMMYFUNCTION("""COMPUTED_VALUE"""),2798.29)</f>
        <v>2798.29</v>
      </c>
      <c r="J140" s="6" t="str">
        <f t="shared" ca="1" si="39"/>
        <v>20187</v>
      </c>
      <c r="K140" s="6">
        <f t="shared" ca="1" si="40"/>
        <v>2018</v>
      </c>
      <c r="L140" s="6">
        <f t="shared" ca="1" si="41"/>
        <v>7</v>
      </c>
      <c r="M140" s="68">
        <f ca="1">IFERROR(__xludf.DUMMYFUNCTION("""COMPUTED_VALUE"""),43293.6666666666)</f>
        <v>43293.666666666599</v>
      </c>
      <c r="N140" s="6">
        <f ca="1">IFERROR(__xludf.DUMMYFUNCTION("""COMPUTED_VALUE"""),7823.92)</f>
        <v>7823.92</v>
      </c>
      <c r="R140" s="6" t="str">
        <f t="shared" ca="1" si="42"/>
        <v>20187</v>
      </c>
      <c r="S140" s="6">
        <f t="shared" ca="1" si="43"/>
        <v>2018</v>
      </c>
      <c r="T140" s="6">
        <f t="shared" ca="1" si="44"/>
        <v>7</v>
      </c>
      <c r="U140" s="68">
        <f ca="1">IFERROR(__xludf.DUMMYFUNCTION("""COMPUTED_VALUE"""),43301.6458333333)</f>
        <v>43301.645833333299</v>
      </c>
      <c r="V140" s="6">
        <f ca="1">IFERROR(__xludf.DUMMYFUNCTION("""COMPUTED_VALUE"""),2289.19)</f>
        <v>2289.19</v>
      </c>
      <c r="Z140" s="6" t="str">
        <f t="shared" ca="1" si="45"/>
        <v>20185</v>
      </c>
      <c r="AA140" s="6">
        <f t="shared" ca="1" si="46"/>
        <v>2018</v>
      </c>
      <c r="AB140" s="6">
        <f t="shared" ca="1" si="47"/>
        <v>5</v>
      </c>
      <c r="AC140" s="68">
        <f ca="1">IFERROR(__xludf.DUMMYFUNCTION("""COMPUTED_VALUE"""),43237.9986111111)</f>
        <v>43237.998611111099</v>
      </c>
      <c r="AD140" s="6">
        <f ca="1">IFERROR(__xludf.DUMMYFUNCTION("""COMPUTED_VALUE"""),1080.91)</f>
        <v>1080.9100000000001</v>
      </c>
      <c r="AH140" s="6" t="str">
        <f t="shared" ca="1" si="48"/>
        <v>20185</v>
      </c>
      <c r="AI140" s="6">
        <f t="shared" ca="1" si="49"/>
        <v>2018</v>
      </c>
      <c r="AJ140" s="6">
        <f t="shared" ca="1" si="50"/>
        <v>5</v>
      </c>
      <c r="AK140" s="68">
        <f ca="1">IFERROR(__xludf.DUMMYFUNCTION("""COMPUTED_VALUE"""),43231.9986111111)</f>
        <v>43231.998611111099</v>
      </c>
      <c r="AL140" s="6">
        <f ca="1">IFERROR(__xludf.DUMMYFUNCTION("""COMPUTED_VALUE"""),8406.04)</f>
        <v>8406.0400000000009</v>
      </c>
      <c r="AP140" s="6" t="str">
        <f t="shared" ca="1" si="51"/>
        <v>20187</v>
      </c>
      <c r="AQ140" s="6">
        <f t="shared" ca="1" si="52"/>
        <v>2018</v>
      </c>
      <c r="AR140" s="6">
        <f t="shared" ca="1" si="53"/>
        <v>7</v>
      </c>
      <c r="AS140" s="68">
        <f ca="1">IFERROR(__xludf.DUMMYFUNCTION("""COMPUTED_VALUE"""),43294.9986111111)</f>
        <v>43294.998611111099</v>
      </c>
      <c r="AT140" s="6">
        <f ca="1">IFERROR(__xludf.DUMMYFUNCTION("""COMPUTED_VALUE"""),1241.2)</f>
        <v>1241.2</v>
      </c>
    </row>
    <row r="141" spans="2:46" x14ac:dyDescent="0.35">
      <c r="B141" s="6" t="str">
        <f t="shared" ca="1" si="36"/>
        <v>20187</v>
      </c>
      <c r="C141" s="6">
        <f t="shared" ca="1" si="37"/>
        <v>2018</v>
      </c>
      <c r="D141" s="6">
        <f t="shared" ca="1" si="38"/>
        <v>7</v>
      </c>
      <c r="E141" s="68">
        <f ca="1">IFERROR(__xludf.DUMMYFUNCTION("""COMPUTED_VALUE"""),43294.6666666666)</f>
        <v>43294.666666666599</v>
      </c>
      <c r="F141" s="6">
        <f ca="1">IFERROR(__xludf.DUMMYFUNCTION("""COMPUTED_VALUE"""),2801.31)</f>
        <v>2801.31</v>
      </c>
      <c r="J141" s="6" t="str">
        <f t="shared" ca="1" si="39"/>
        <v>20187</v>
      </c>
      <c r="K141" s="6">
        <f t="shared" ca="1" si="40"/>
        <v>2018</v>
      </c>
      <c r="L141" s="6">
        <f t="shared" ca="1" si="41"/>
        <v>7</v>
      </c>
      <c r="M141" s="68">
        <f ca="1">IFERROR(__xludf.DUMMYFUNCTION("""COMPUTED_VALUE"""),43294.6666666666)</f>
        <v>43294.666666666599</v>
      </c>
      <c r="N141" s="6">
        <f ca="1">IFERROR(__xludf.DUMMYFUNCTION("""COMPUTED_VALUE"""),7825.98)</f>
        <v>7825.98</v>
      </c>
      <c r="R141" s="6" t="str">
        <f t="shared" ca="1" si="42"/>
        <v>20187</v>
      </c>
      <c r="S141" s="6">
        <f t="shared" ca="1" si="43"/>
        <v>2018</v>
      </c>
      <c r="T141" s="6">
        <f t="shared" ca="1" si="44"/>
        <v>7</v>
      </c>
      <c r="U141" s="68">
        <f ca="1">IFERROR(__xludf.DUMMYFUNCTION("""COMPUTED_VALUE"""),43304.6458333333)</f>
        <v>43304.645833333299</v>
      </c>
      <c r="V141" s="6">
        <f ca="1">IFERROR(__xludf.DUMMYFUNCTION("""COMPUTED_VALUE"""),2269.31)</f>
        <v>2269.31</v>
      </c>
      <c r="Z141" s="6" t="str">
        <f t="shared" ca="1" si="45"/>
        <v>20185</v>
      </c>
      <c r="AA141" s="6">
        <f t="shared" ca="1" si="46"/>
        <v>2018</v>
      </c>
      <c r="AB141" s="6">
        <f t="shared" ca="1" si="47"/>
        <v>5</v>
      </c>
      <c r="AC141" s="68">
        <f ca="1">IFERROR(__xludf.DUMMYFUNCTION("""COMPUTED_VALUE"""),43238.9986111111)</f>
        <v>43238.998611111099</v>
      </c>
      <c r="AD141" s="6">
        <f ca="1">IFERROR(__xludf.DUMMYFUNCTION("""COMPUTED_VALUE"""),1080.37)</f>
        <v>1080.3699999999999</v>
      </c>
      <c r="AH141" s="6" t="str">
        <f t="shared" ca="1" si="48"/>
        <v>20185</v>
      </c>
      <c r="AI141" s="6">
        <f t="shared" ca="1" si="49"/>
        <v>2018</v>
      </c>
      <c r="AJ141" s="6">
        <f t="shared" ca="1" si="50"/>
        <v>5</v>
      </c>
      <c r="AK141" s="68">
        <f ca="1">IFERROR(__xludf.DUMMYFUNCTION("""COMPUTED_VALUE"""),43232.9986111111)</f>
        <v>43232.998611111099</v>
      </c>
      <c r="AL141" s="6">
        <f ca="1">IFERROR(__xludf.DUMMYFUNCTION("""COMPUTED_VALUE"""),8467.44)</f>
        <v>8467.44</v>
      </c>
      <c r="AP141" s="6" t="str">
        <f t="shared" ca="1" si="51"/>
        <v>20187</v>
      </c>
      <c r="AQ141" s="6">
        <f t="shared" ca="1" si="52"/>
        <v>2018</v>
      </c>
      <c r="AR141" s="6">
        <f t="shared" ca="1" si="53"/>
        <v>7</v>
      </c>
      <c r="AS141" s="68">
        <f ca="1">IFERROR(__xludf.DUMMYFUNCTION("""COMPUTED_VALUE"""),43297.9986111111)</f>
        <v>43297.998611111099</v>
      </c>
      <c r="AT141" s="6">
        <f ca="1">IFERROR(__xludf.DUMMYFUNCTION("""COMPUTED_VALUE"""),1239.7)</f>
        <v>1239.7</v>
      </c>
    </row>
    <row r="142" spans="2:46" x14ac:dyDescent="0.35">
      <c r="B142" s="6" t="str">
        <f t="shared" ca="1" si="36"/>
        <v>20187</v>
      </c>
      <c r="C142" s="6">
        <f t="shared" ca="1" si="37"/>
        <v>2018</v>
      </c>
      <c r="D142" s="6">
        <f t="shared" ca="1" si="38"/>
        <v>7</v>
      </c>
      <c r="E142" s="68">
        <f ca="1">IFERROR(__xludf.DUMMYFUNCTION("""COMPUTED_VALUE"""),43297.6666666666)</f>
        <v>43297.666666666599</v>
      </c>
      <c r="F142" s="6">
        <f ca="1">IFERROR(__xludf.DUMMYFUNCTION("""COMPUTED_VALUE"""),2798.43)</f>
        <v>2798.43</v>
      </c>
      <c r="J142" s="6" t="str">
        <f t="shared" ca="1" si="39"/>
        <v>20187</v>
      </c>
      <c r="K142" s="6">
        <f t="shared" ca="1" si="40"/>
        <v>2018</v>
      </c>
      <c r="L142" s="6">
        <f t="shared" ca="1" si="41"/>
        <v>7</v>
      </c>
      <c r="M142" s="68">
        <f ca="1">IFERROR(__xludf.DUMMYFUNCTION("""COMPUTED_VALUE"""),43297.6666666666)</f>
        <v>43297.666666666599</v>
      </c>
      <c r="N142" s="6">
        <f ca="1">IFERROR(__xludf.DUMMYFUNCTION("""COMPUTED_VALUE"""),7805.72)</f>
        <v>7805.72</v>
      </c>
      <c r="R142" s="6" t="str">
        <f t="shared" ca="1" si="42"/>
        <v>20187</v>
      </c>
      <c r="S142" s="6">
        <f t="shared" ca="1" si="43"/>
        <v>2018</v>
      </c>
      <c r="T142" s="6">
        <f t="shared" ca="1" si="44"/>
        <v>7</v>
      </c>
      <c r="U142" s="68">
        <f ca="1">IFERROR(__xludf.DUMMYFUNCTION("""COMPUTED_VALUE"""),43305.6458333333)</f>
        <v>43305.645833333299</v>
      </c>
      <c r="V142" s="6">
        <f ca="1">IFERROR(__xludf.DUMMYFUNCTION("""COMPUTED_VALUE"""),2280.2)</f>
        <v>2280.1999999999998</v>
      </c>
      <c r="Z142" s="6" t="str">
        <f t="shared" ca="1" si="45"/>
        <v>20185</v>
      </c>
      <c r="AA142" s="6">
        <f t="shared" ca="1" si="46"/>
        <v>2018</v>
      </c>
      <c r="AB142" s="6">
        <f t="shared" ca="1" si="47"/>
        <v>5</v>
      </c>
      <c r="AC142" s="68">
        <f ca="1">IFERROR(__xludf.DUMMYFUNCTION("""COMPUTED_VALUE"""),43239.9986111111)</f>
        <v>43239.998611111099</v>
      </c>
      <c r="AD142" s="6">
        <f ca="1">IFERROR(__xludf.DUMMYFUNCTION("""COMPUTED_VALUE"""),1080.37)</f>
        <v>1080.3699999999999</v>
      </c>
      <c r="AH142" s="6" t="str">
        <f t="shared" ca="1" si="48"/>
        <v>20185</v>
      </c>
      <c r="AI142" s="6">
        <f t="shared" ca="1" si="49"/>
        <v>2018</v>
      </c>
      <c r="AJ142" s="6">
        <f t="shared" ca="1" si="50"/>
        <v>5</v>
      </c>
      <c r="AK142" s="68">
        <f ca="1">IFERROR(__xludf.DUMMYFUNCTION("""COMPUTED_VALUE"""),43233.9986111111)</f>
        <v>43233.998611111099</v>
      </c>
      <c r="AL142" s="6">
        <f ca="1">IFERROR(__xludf.DUMMYFUNCTION("""COMPUTED_VALUE"""),8687.51)</f>
        <v>8687.51</v>
      </c>
      <c r="AP142" s="6" t="str">
        <f t="shared" ca="1" si="51"/>
        <v>20187</v>
      </c>
      <c r="AQ142" s="6">
        <f t="shared" ca="1" si="52"/>
        <v>2018</v>
      </c>
      <c r="AR142" s="6">
        <f t="shared" ca="1" si="53"/>
        <v>7</v>
      </c>
      <c r="AS142" s="68">
        <f ca="1">IFERROR(__xludf.DUMMYFUNCTION("""COMPUTED_VALUE"""),43298.9986111111)</f>
        <v>43298.998611111099</v>
      </c>
      <c r="AT142" s="6">
        <f ca="1">IFERROR(__xludf.DUMMYFUNCTION("""COMPUTED_VALUE"""),1227.3)</f>
        <v>1227.3</v>
      </c>
    </row>
    <row r="143" spans="2:46" x14ac:dyDescent="0.35">
      <c r="B143" s="6" t="str">
        <f t="shared" ca="1" si="36"/>
        <v>20187</v>
      </c>
      <c r="C143" s="6">
        <f t="shared" ca="1" si="37"/>
        <v>2018</v>
      </c>
      <c r="D143" s="6">
        <f t="shared" ca="1" si="38"/>
        <v>7</v>
      </c>
      <c r="E143" s="68">
        <f ca="1">IFERROR(__xludf.DUMMYFUNCTION("""COMPUTED_VALUE"""),43298.6666666666)</f>
        <v>43298.666666666599</v>
      </c>
      <c r="F143" s="6">
        <f ca="1">IFERROR(__xludf.DUMMYFUNCTION("""COMPUTED_VALUE"""),2809.55)</f>
        <v>2809.55</v>
      </c>
      <c r="J143" s="6" t="str">
        <f t="shared" ca="1" si="39"/>
        <v>20187</v>
      </c>
      <c r="K143" s="6">
        <f t="shared" ca="1" si="40"/>
        <v>2018</v>
      </c>
      <c r="L143" s="6">
        <f t="shared" ca="1" si="41"/>
        <v>7</v>
      </c>
      <c r="M143" s="68">
        <f ca="1">IFERROR(__xludf.DUMMYFUNCTION("""COMPUTED_VALUE"""),43298.6666666666)</f>
        <v>43298.666666666599</v>
      </c>
      <c r="N143" s="6">
        <f ca="1">IFERROR(__xludf.DUMMYFUNCTION("""COMPUTED_VALUE"""),7855.12)</f>
        <v>7855.12</v>
      </c>
      <c r="R143" s="6" t="str">
        <f t="shared" ca="1" si="42"/>
        <v>20187</v>
      </c>
      <c r="S143" s="6">
        <f t="shared" ca="1" si="43"/>
        <v>2018</v>
      </c>
      <c r="T143" s="6">
        <f t="shared" ca="1" si="44"/>
        <v>7</v>
      </c>
      <c r="U143" s="68">
        <f ca="1">IFERROR(__xludf.DUMMYFUNCTION("""COMPUTED_VALUE"""),43306.6458333333)</f>
        <v>43306.645833333299</v>
      </c>
      <c r="V143" s="6">
        <f ca="1">IFERROR(__xludf.DUMMYFUNCTION("""COMPUTED_VALUE"""),2273.03)</f>
        <v>2273.0300000000002</v>
      </c>
      <c r="Z143" s="6" t="str">
        <f t="shared" ca="1" si="45"/>
        <v>20185</v>
      </c>
      <c r="AA143" s="6">
        <f t="shared" ca="1" si="46"/>
        <v>2018</v>
      </c>
      <c r="AB143" s="6">
        <f t="shared" ca="1" si="47"/>
        <v>5</v>
      </c>
      <c r="AC143" s="68">
        <f ca="1">IFERROR(__xludf.DUMMYFUNCTION("""COMPUTED_VALUE"""),43240.9986111111)</f>
        <v>43240.998611111099</v>
      </c>
      <c r="AD143" s="6">
        <f ca="1">IFERROR(__xludf.DUMMYFUNCTION("""COMPUTED_VALUE"""),1080.51)</f>
        <v>1080.51</v>
      </c>
      <c r="AH143" s="6" t="str">
        <f t="shared" ca="1" si="48"/>
        <v>20185</v>
      </c>
      <c r="AI143" s="6">
        <f t="shared" ca="1" si="49"/>
        <v>2018</v>
      </c>
      <c r="AJ143" s="6">
        <f t="shared" ca="1" si="50"/>
        <v>5</v>
      </c>
      <c r="AK143" s="68">
        <f ca="1">IFERROR(__xludf.DUMMYFUNCTION("""COMPUTED_VALUE"""),43234.9986111111)</f>
        <v>43234.998611111099</v>
      </c>
      <c r="AL143" s="6">
        <f ca="1">IFERROR(__xludf.DUMMYFUNCTION("""COMPUTED_VALUE"""),8671.69)</f>
        <v>8671.69</v>
      </c>
      <c r="AP143" s="6" t="str">
        <f t="shared" ca="1" si="51"/>
        <v>20187</v>
      </c>
      <c r="AQ143" s="6">
        <f t="shared" ca="1" si="52"/>
        <v>2018</v>
      </c>
      <c r="AR143" s="6">
        <f t="shared" ca="1" si="53"/>
        <v>7</v>
      </c>
      <c r="AS143" s="68">
        <f ca="1">IFERROR(__xludf.DUMMYFUNCTION("""COMPUTED_VALUE"""),43299.9986111111)</f>
        <v>43299.998611111099</v>
      </c>
      <c r="AT143" s="6">
        <f ca="1">IFERROR(__xludf.DUMMYFUNCTION("""COMPUTED_VALUE"""),1227.9)</f>
        <v>1227.9000000000001</v>
      </c>
    </row>
    <row r="144" spans="2:46" x14ac:dyDescent="0.35">
      <c r="B144" s="6" t="str">
        <f t="shared" ca="1" si="36"/>
        <v>20187</v>
      </c>
      <c r="C144" s="6">
        <f t="shared" ca="1" si="37"/>
        <v>2018</v>
      </c>
      <c r="D144" s="6">
        <f t="shared" ca="1" si="38"/>
        <v>7</v>
      </c>
      <c r="E144" s="68">
        <f ca="1">IFERROR(__xludf.DUMMYFUNCTION("""COMPUTED_VALUE"""),43299.6666666666)</f>
        <v>43299.666666666599</v>
      </c>
      <c r="F144" s="6">
        <f ca="1">IFERROR(__xludf.DUMMYFUNCTION("""COMPUTED_VALUE"""),2815.62)</f>
        <v>2815.62</v>
      </c>
      <c r="J144" s="6" t="str">
        <f t="shared" ca="1" si="39"/>
        <v>20187</v>
      </c>
      <c r="K144" s="6">
        <f t="shared" ca="1" si="40"/>
        <v>2018</v>
      </c>
      <c r="L144" s="6">
        <f t="shared" ca="1" si="41"/>
        <v>7</v>
      </c>
      <c r="M144" s="68">
        <f ca="1">IFERROR(__xludf.DUMMYFUNCTION("""COMPUTED_VALUE"""),43299.6666666666)</f>
        <v>43299.666666666599</v>
      </c>
      <c r="N144" s="6">
        <f ca="1">IFERROR(__xludf.DUMMYFUNCTION("""COMPUTED_VALUE"""),7854.44)</f>
        <v>7854.44</v>
      </c>
      <c r="R144" s="6" t="str">
        <f t="shared" ca="1" si="42"/>
        <v>20187</v>
      </c>
      <c r="S144" s="6">
        <f t="shared" ca="1" si="43"/>
        <v>2018</v>
      </c>
      <c r="T144" s="6">
        <f t="shared" ca="1" si="44"/>
        <v>7</v>
      </c>
      <c r="U144" s="68">
        <f ca="1">IFERROR(__xludf.DUMMYFUNCTION("""COMPUTED_VALUE"""),43307.6458333333)</f>
        <v>43307.645833333299</v>
      </c>
      <c r="V144" s="6">
        <f ca="1">IFERROR(__xludf.DUMMYFUNCTION("""COMPUTED_VALUE"""),2289.06)</f>
        <v>2289.06</v>
      </c>
      <c r="Z144" s="6" t="str">
        <f t="shared" ca="1" si="45"/>
        <v>20185</v>
      </c>
      <c r="AA144" s="6">
        <f t="shared" ca="1" si="46"/>
        <v>2018</v>
      </c>
      <c r="AB144" s="6">
        <f t="shared" ca="1" si="47"/>
        <v>5</v>
      </c>
      <c r="AC144" s="68">
        <f ca="1">IFERROR(__xludf.DUMMYFUNCTION("""COMPUTED_VALUE"""),43241.9986111111)</f>
        <v>43241.998611111099</v>
      </c>
      <c r="AD144" s="6">
        <f ca="1">IFERROR(__xludf.DUMMYFUNCTION("""COMPUTED_VALUE"""),1076.51)</f>
        <v>1076.51</v>
      </c>
      <c r="AH144" s="6" t="str">
        <f t="shared" ca="1" si="48"/>
        <v>20185</v>
      </c>
      <c r="AI144" s="6">
        <f t="shared" ca="1" si="49"/>
        <v>2018</v>
      </c>
      <c r="AJ144" s="6">
        <f t="shared" ca="1" si="50"/>
        <v>5</v>
      </c>
      <c r="AK144" s="68">
        <f ca="1">IFERROR(__xludf.DUMMYFUNCTION("""COMPUTED_VALUE"""),43235.9986111111)</f>
        <v>43235.998611111099</v>
      </c>
      <c r="AL144" s="6">
        <f ca="1">IFERROR(__xludf.DUMMYFUNCTION("""COMPUTED_VALUE"""),8474.59)</f>
        <v>8474.59</v>
      </c>
      <c r="AP144" s="6" t="str">
        <f t="shared" ca="1" si="51"/>
        <v>20187</v>
      </c>
      <c r="AQ144" s="6">
        <f t="shared" ca="1" si="52"/>
        <v>2018</v>
      </c>
      <c r="AR144" s="6">
        <f t="shared" ca="1" si="53"/>
        <v>7</v>
      </c>
      <c r="AS144" s="68">
        <f ca="1">IFERROR(__xludf.DUMMYFUNCTION("""COMPUTED_VALUE"""),43300.9986111111)</f>
        <v>43300.998611111099</v>
      </c>
      <c r="AT144" s="6">
        <f ca="1">IFERROR(__xludf.DUMMYFUNCTION("""COMPUTED_VALUE"""),1224)</f>
        <v>1224</v>
      </c>
    </row>
    <row r="145" spans="2:46" x14ac:dyDescent="0.35">
      <c r="B145" s="6" t="str">
        <f t="shared" ca="1" si="36"/>
        <v>20187</v>
      </c>
      <c r="C145" s="6">
        <f t="shared" ca="1" si="37"/>
        <v>2018</v>
      </c>
      <c r="D145" s="6">
        <f t="shared" ca="1" si="38"/>
        <v>7</v>
      </c>
      <c r="E145" s="68">
        <f ca="1">IFERROR(__xludf.DUMMYFUNCTION("""COMPUTED_VALUE"""),43300.6666666666)</f>
        <v>43300.666666666599</v>
      </c>
      <c r="F145" s="6">
        <f ca="1">IFERROR(__xludf.DUMMYFUNCTION("""COMPUTED_VALUE"""),2804.49)</f>
        <v>2804.49</v>
      </c>
      <c r="J145" s="6" t="str">
        <f t="shared" ca="1" si="39"/>
        <v>20187</v>
      </c>
      <c r="K145" s="6">
        <f t="shared" ca="1" si="40"/>
        <v>2018</v>
      </c>
      <c r="L145" s="6">
        <f t="shared" ca="1" si="41"/>
        <v>7</v>
      </c>
      <c r="M145" s="68">
        <f ca="1">IFERROR(__xludf.DUMMYFUNCTION("""COMPUTED_VALUE"""),43300.6666666666)</f>
        <v>43300.666666666599</v>
      </c>
      <c r="N145" s="6">
        <f ca="1">IFERROR(__xludf.DUMMYFUNCTION("""COMPUTED_VALUE"""),7825.3)</f>
        <v>7825.3</v>
      </c>
      <c r="R145" s="6" t="str">
        <f t="shared" ca="1" si="42"/>
        <v>20187</v>
      </c>
      <c r="S145" s="6">
        <f t="shared" ca="1" si="43"/>
        <v>2018</v>
      </c>
      <c r="T145" s="6">
        <f t="shared" ca="1" si="44"/>
        <v>7</v>
      </c>
      <c r="U145" s="68">
        <f ca="1">IFERROR(__xludf.DUMMYFUNCTION("""COMPUTED_VALUE"""),43308.6458333333)</f>
        <v>43308.645833333299</v>
      </c>
      <c r="V145" s="6">
        <f ca="1">IFERROR(__xludf.DUMMYFUNCTION("""COMPUTED_VALUE"""),2294.99)</f>
        <v>2294.9899999999998</v>
      </c>
      <c r="Z145" s="6" t="str">
        <f t="shared" ca="1" si="45"/>
        <v>20185</v>
      </c>
      <c r="AA145" s="6">
        <f t="shared" ca="1" si="46"/>
        <v>2018</v>
      </c>
      <c r="AB145" s="6">
        <f t="shared" ca="1" si="47"/>
        <v>5</v>
      </c>
      <c r="AC145" s="68">
        <f ca="1">IFERROR(__xludf.DUMMYFUNCTION("""COMPUTED_VALUE"""),43242.9986111111)</f>
        <v>43242.998611111099</v>
      </c>
      <c r="AD145" s="6">
        <f ca="1">IFERROR(__xludf.DUMMYFUNCTION("""COMPUTED_VALUE"""),1074.2)</f>
        <v>1074.2</v>
      </c>
      <c r="AH145" s="6" t="str">
        <f t="shared" ca="1" si="48"/>
        <v>20185</v>
      </c>
      <c r="AI145" s="6">
        <f t="shared" ca="1" si="49"/>
        <v>2018</v>
      </c>
      <c r="AJ145" s="6">
        <f t="shared" ca="1" si="50"/>
        <v>5</v>
      </c>
      <c r="AK145" s="68">
        <f ca="1">IFERROR(__xludf.DUMMYFUNCTION("""COMPUTED_VALUE"""),43236.9986111111)</f>
        <v>43236.998611111099</v>
      </c>
      <c r="AL145" s="6">
        <f ca="1">IFERROR(__xludf.DUMMYFUNCTION("""COMPUTED_VALUE"""),8337.6)</f>
        <v>8337.6</v>
      </c>
      <c r="AP145" s="6" t="str">
        <f t="shared" ca="1" si="51"/>
        <v>20187</v>
      </c>
      <c r="AQ145" s="6">
        <f t="shared" ca="1" si="52"/>
        <v>2018</v>
      </c>
      <c r="AR145" s="6">
        <f t="shared" ca="1" si="53"/>
        <v>7</v>
      </c>
      <c r="AS145" s="68">
        <f ca="1">IFERROR(__xludf.DUMMYFUNCTION("""COMPUTED_VALUE"""),43301.9986111111)</f>
        <v>43301.998611111099</v>
      </c>
      <c r="AT145" s="6">
        <f ca="1">IFERROR(__xludf.DUMMYFUNCTION("""COMPUTED_VALUE"""),1231.1)</f>
        <v>1231.0999999999999</v>
      </c>
    </row>
    <row r="146" spans="2:46" x14ac:dyDescent="0.35">
      <c r="B146" s="6" t="str">
        <f t="shared" ca="1" si="36"/>
        <v>20187</v>
      </c>
      <c r="C146" s="6">
        <f t="shared" ca="1" si="37"/>
        <v>2018</v>
      </c>
      <c r="D146" s="6">
        <f t="shared" ca="1" si="38"/>
        <v>7</v>
      </c>
      <c r="E146" s="68">
        <f ca="1">IFERROR(__xludf.DUMMYFUNCTION("""COMPUTED_VALUE"""),43301.6666666666)</f>
        <v>43301.666666666599</v>
      </c>
      <c r="F146" s="6">
        <f ca="1">IFERROR(__xludf.DUMMYFUNCTION("""COMPUTED_VALUE"""),2801.83)</f>
        <v>2801.83</v>
      </c>
      <c r="J146" s="6" t="str">
        <f t="shared" ca="1" si="39"/>
        <v>20187</v>
      </c>
      <c r="K146" s="6">
        <f t="shared" ca="1" si="40"/>
        <v>2018</v>
      </c>
      <c r="L146" s="6">
        <f t="shared" ca="1" si="41"/>
        <v>7</v>
      </c>
      <c r="M146" s="68">
        <f ca="1">IFERROR(__xludf.DUMMYFUNCTION("""COMPUTED_VALUE"""),43301.6666666666)</f>
        <v>43301.666666666599</v>
      </c>
      <c r="N146" s="6">
        <f ca="1">IFERROR(__xludf.DUMMYFUNCTION("""COMPUTED_VALUE"""),7820.2)</f>
        <v>7820.2</v>
      </c>
      <c r="R146" s="6" t="str">
        <f t="shared" ca="1" si="42"/>
        <v>20187</v>
      </c>
      <c r="S146" s="6">
        <f t="shared" ca="1" si="43"/>
        <v>2018</v>
      </c>
      <c r="T146" s="6">
        <f t="shared" ca="1" si="44"/>
        <v>7</v>
      </c>
      <c r="U146" s="68">
        <f ca="1">IFERROR(__xludf.DUMMYFUNCTION("""COMPUTED_VALUE"""),43311.6458333333)</f>
        <v>43311.645833333299</v>
      </c>
      <c r="V146" s="6">
        <f ca="1">IFERROR(__xludf.DUMMYFUNCTION("""COMPUTED_VALUE"""),2293.51)</f>
        <v>2293.5100000000002</v>
      </c>
      <c r="Z146" s="6" t="str">
        <f t="shared" ca="1" si="45"/>
        <v>20185</v>
      </c>
      <c r="AA146" s="6">
        <f t="shared" ca="1" si="46"/>
        <v>2018</v>
      </c>
      <c r="AB146" s="6">
        <f t="shared" ca="1" si="47"/>
        <v>5</v>
      </c>
      <c r="AC146" s="68">
        <f ca="1">IFERROR(__xludf.DUMMYFUNCTION("""COMPUTED_VALUE"""),43243.9986111111)</f>
        <v>43243.998611111099</v>
      </c>
      <c r="AD146" s="6">
        <f ca="1">IFERROR(__xludf.DUMMYFUNCTION("""COMPUTED_VALUE"""),1074.79)</f>
        <v>1074.79</v>
      </c>
      <c r="AH146" s="6" t="str">
        <f t="shared" ca="1" si="48"/>
        <v>20185</v>
      </c>
      <c r="AI146" s="6">
        <f t="shared" ca="1" si="49"/>
        <v>2018</v>
      </c>
      <c r="AJ146" s="6">
        <f t="shared" ca="1" si="50"/>
        <v>5</v>
      </c>
      <c r="AK146" s="68">
        <f ca="1">IFERROR(__xludf.DUMMYFUNCTION("""COMPUTED_VALUE"""),43237.9986111111)</f>
        <v>43237.998611111099</v>
      </c>
      <c r="AL146" s="6">
        <f ca="1">IFERROR(__xludf.DUMMYFUNCTION("""COMPUTED_VALUE"""),8045.84)</f>
        <v>8045.84</v>
      </c>
      <c r="AP146" s="6" t="str">
        <f t="shared" ca="1" si="51"/>
        <v>20187</v>
      </c>
      <c r="AQ146" s="6">
        <f t="shared" ca="1" si="52"/>
        <v>2018</v>
      </c>
      <c r="AR146" s="6">
        <f t="shared" ca="1" si="53"/>
        <v>7</v>
      </c>
      <c r="AS146" s="68">
        <f ca="1">IFERROR(__xludf.DUMMYFUNCTION("""COMPUTED_VALUE"""),43304.9986111111)</f>
        <v>43304.998611111099</v>
      </c>
      <c r="AT146" s="6">
        <f ca="1">IFERROR(__xludf.DUMMYFUNCTION("""COMPUTED_VALUE"""),1234.4)</f>
        <v>1234.4000000000001</v>
      </c>
    </row>
    <row r="147" spans="2:46" x14ac:dyDescent="0.35">
      <c r="B147" s="6" t="str">
        <f t="shared" ca="1" si="36"/>
        <v>20187</v>
      </c>
      <c r="C147" s="6">
        <f t="shared" ca="1" si="37"/>
        <v>2018</v>
      </c>
      <c r="D147" s="6">
        <f t="shared" ca="1" si="38"/>
        <v>7</v>
      </c>
      <c r="E147" s="68">
        <f ca="1">IFERROR(__xludf.DUMMYFUNCTION("""COMPUTED_VALUE"""),43304.6666666666)</f>
        <v>43304.666666666599</v>
      </c>
      <c r="F147" s="6">
        <f ca="1">IFERROR(__xludf.DUMMYFUNCTION("""COMPUTED_VALUE"""),2806.98)</f>
        <v>2806.98</v>
      </c>
      <c r="J147" s="6" t="str">
        <f t="shared" ca="1" si="39"/>
        <v>20187</v>
      </c>
      <c r="K147" s="6">
        <f t="shared" ca="1" si="40"/>
        <v>2018</v>
      </c>
      <c r="L147" s="6">
        <f t="shared" ca="1" si="41"/>
        <v>7</v>
      </c>
      <c r="M147" s="68">
        <f ca="1">IFERROR(__xludf.DUMMYFUNCTION("""COMPUTED_VALUE"""),43304.6666666666)</f>
        <v>43304.666666666599</v>
      </c>
      <c r="N147" s="6">
        <f ca="1">IFERROR(__xludf.DUMMYFUNCTION("""COMPUTED_VALUE"""),7841.87)</f>
        <v>7841.87</v>
      </c>
      <c r="R147" s="6" t="str">
        <f t="shared" ca="1" si="42"/>
        <v>20187</v>
      </c>
      <c r="S147" s="6">
        <f t="shared" ca="1" si="43"/>
        <v>2018</v>
      </c>
      <c r="T147" s="6">
        <f t="shared" ca="1" si="44"/>
        <v>7</v>
      </c>
      <c r="U147" s="68">
        <f ca="1">IFERROR(__xludf.DUMMYFUNCTION("""COMPUTED_VALUE"""),43312.6458333333)</f>
        <v>43312.645833333299</v>
      </c>
      <c r="V147" s="6">
        <f ca="1">IFERROR(__xludf.DUMMYFUNCTION("""COMPUTED_VALUE"""),2295.26)</f>
        <v>2295.2600000000002</v>
      </c>
      <c r="Z147" s="6" t="str">
        <f t="shared" ca="1" si="45"/>
        <v>20185</v>
      </c>
      <c r="AA147" s="6">
        <f t="shared" ca="1" si="46"/>
        <v>2018</v>
      </c>
      <c r="AB147" s="6">
        <f t="shared" ca="1" si="47"/>
        <v>5</v>
      </c>
      <c r="AC147" s="68">
        <f ca="1">IFERROR(__xludf.DUMMYFUNCTION("""COMPUTED_VALUE"""),43244.9986111111)</f>
        <v>43244.998611111099</v>
      </c>
      <c r="AD147" s="6">
        <f ca="1">IFERROR(__xludf.DUMMYFUNCTION("""COMPUTED_VALUE"""),1079.23)</f>
        <v>1079.23</v>
      </c>
      <c r="AH147" s="6" t="str">
        <f t="shared" ca="1" si="48"/>
        <v>20185</v>
      </c>
      <c r="AI147" s="6">
        <f t="shared" ca="1" si="49"/>
        <v>2018</v>
      </c>
      <c r="AJ147" s="6">
        <f t="shared" ca="1" si="50"/>
        <v>5</v>
      </c>
      <c r="AK147" s="68">
        <f ca="1">IFERROR(__xludf.DUMMYFUNCTION("""COMPUTED_VALUE"""),43238.9986111111)</f>
        <v>43238.998611111099</v>
      </c>
      <c r="AL147" s="6">
        <f ca="1">IFERROR(__xludf.DUMMYFUNCTION("""COMPUTED_VALUE"""),8237.08)</f>
        <v>8237.08</v>
      </c>
      <c r="AP147" s="6" t="str">
        <f t="shared" ca="1" si="51"/>
        <v>20187</v>
      </c>
      <c r="AQ147" s="6">
        <f t="shared" ca="1" si="52"/>
        <v>2018</v>
      </c>
      <c r="AR147" s="6">
        <f t="shared" ca="1" si="53"/>
        <v>7</v>
      </c>
      <c r="AS147" s="68">
        <f ca="1">IFERROR(__xludf.DUMMYFUNCTION("""COMPUTED_VALUE"""),43305.9986111111)</f>
        <v>43305.998611111099</v>
      </c>
      <c r="AT147" s="6">
        <f ca="1">IFERROR(__xludf.DUMMYFUNCTION("""COMPUTED_VALUE"""),1234.6)</f>
        <v>1234.5999999999999</v>
      </c>
    </row>
    <row r="148" spans="2:46" x14ac:dyDescent="0.35">
      <c r="B148" s="6" t="str">
        <f t="shared" ca="1" si="36"/>
        <v>20187</v>
      </c>
      <c r="C148" s="6">
        <f t="shared" ca="1" si="37"/>
        <v>2018</v>
      </c>
      <c r="D148" s="6">
        <f t="shared" ca="1" si="38"/>
        <v>7</v>
      </c>
      <c r="E148" s="68">
        <f ca="1">IFERROR(__xludf.DUMMYFUNCTION("""COMPUTED_VALUE"""),43305.6666666666)</f>
        <v>43305.666666666599</v>
      </c>
      <c r="F148" s="6">
        <f ca="1">IFERROR(__xludf.DUMMYFUNCTION("""COMPUTED_VALUE"""),2820.4)</f>
        <v>2820.4</v>
      </c>
      <c r="J148" s="6" t="str">
        <f t="shared" ca="1" si="39"/>
        <v>20187</v>
      </c>
      <c r="K148" s="6">
        <f t="shared" ca="1" si="40"/>
        <v>2018</v>
      </c>
      <c r="L148" s="6">
        <f t="shared" ca="1" si="41"/>
        <v>7</v>
      </c>
      <c r="M148" s="68">
        <f ca="1">IFERROR(__xludf.DUMMYFUNCTION("""COMPUTED_VALUE"""),43305.6666666666)</f>
        <v>43305.666666666599</v>
      </c>
      <c r="N148" s="6">
        <f ca="1">IFERROR(__xludf.DUMMYFUNCTION("""COMPUTED_VALUE"""),7840.77)</f>
        <v>7840.77</v>
      </c>
      <c r="R148" s="6" t="str">
        <f t="shared" ca="1" si="42"/>
        <v>20188</v>
      </c>
      <c r="S148" s="6">
        <f t="shared" ca="1" si="43"/>
        <v>2018</v>
      </c>
      <c r="T148" s="6">
        <f t="shared" ca="1" si="44"/>
        <v>8</v>
      </c>
      <c r="U148" s="68">
        <f ca="1">IFERROR(__xludf.DUMMYFUNCTION("""COMPUTED_VALUE"""),43313.6458333333)</f>
        <v>43313.645833333299</v>
      </c>
      <c r="V148" s="6">
        <f ca="1">IFERROR(__xludf.DUMMYFUNCTION("""COMPUTED_VALUE"""),2307.07)</f>
        <v>2307.0700000000002</v>
      </c>
      <c r="Z148" s="6" t="str">
        <f t="shared" ca="1" si="45"/>
        <v>20185</v>
      </c>
      <c r="AA148" s="6">
        <f t="shared" ca="1" si="46"/>
        <v>2018</v>
      </c>
      <c r="AB148" s="6">
        <f t="shared" ca="1" si="47"/>
        <v>5</v>
      </c>
      <c r="AC148" s="68">
        <f ca="1">IFERROR(__xludf.DUMMYFUNCTION("""COMPUTED_VALUE"""),43245.9986111111)</f>
        <v>43245.998611111099</v>
      </c>
      <c r="AD148" s="6">
        <f ca="1">IFERROR(__xludf.DUMMYFUNCTION("""COMPUTED_VALUE"""),1076.75)</f>
        <v>1076.75</v>
      </c>
      <c r="AH148" s="6" t="str">
        <f t="shared" ca="1" si="48"/>
        <v>20185</v>
      </c>
      <c r="AI148" s="6">
        <f t="shared" ca="1" si="49"/>
        <v>2018</v>
      </c>
      <c r="AJ148" s="6">
        <f t="shared" ca="1" si="50"/>
        <v>5</v>
      </c>
      <c r="AK148" s="68">
        <f ca="1">IFERROR(__xludf.DUMMYFUNCTION("""COMPUTED_VALUE"""),43240.9986111111)</f>
        <v>43240.998611111099</v>
      </c>
      <c r="AL148" s="6">
        <f ca="1">IFERROR(__xludf.DUMMYFUNCTION("""COMPUTED_VALUE"""),8516.83)</f>
        <v>8516.83</v>
      </c>
      <c r="AP148" s="6" t="str">
        <f t="shared" ca="1" si="51"/>
        <v>20187</v>
      </c>
      <c r="AQ148" s="6">
        <f t="shared" ca="1" si="52"/>
        <v>2018</v>
      </c>
      <c r="AR148" s="6">
        <f t="shared" ca="1" si="53"/>
        <v>7</v>
      </c>
      <c r="AS148" s="68">
        <f ca="1">IFERROR(__xludf.DUMMYFUNCTION("""COMPUTED_VALUE"""),43306.9986111111)</f>
        <v>43306.998611111099</v>
      </c>
      <c r="AT148" s="6">
        <f ca="1">IFERROR(__xludf.DUMMYFUNCTION("""COMPUTED_VALUE"""),1241)</f>
        <v>1241</v>
      </c>
    </row>
    <row r="149" spans="2:46" x14ac:dyDescent="0.35">
      <c r="B149" s="6" t="str">
        <f t="shared" ca="1" si="36"/>
        <v>20187</v>
      </c>
      <c r="C149" s="6">
        <f t="shared" ca="1" si="37"/>
        <v>2018</v>
      </c>
      <c r="D149" s="6">
        <f t="shared" ca="1" si="38"/>
        <v>7</v>
      </c>
      <c r="E149" s="68">
        <f ca="1">IFERROR(__xludf.DUMMYFUNCTION("""COMPUTED_VALUE"""),43306.6666666666)</f>
        <v>43306.666666666599</v>
      </c>
      <c r="F149" s="6">
        <f ca="1">IFERROR(__xludf.DUMMYFUNCTION("""COMPUTED_VALUE"""),2846.07)</f>
        <v>2846.07</v>
      </c>
      <c r="J149" s="6" t="str">
        <f t="shared" ca="1" si="39"/>
        <v>20187</v>
      </c>
      <c r="K149" s="6">
        <f t="shared" ca="1" si="40"/>
        <v>2018</v>
      </c>
      <c r="L149" s="6">
        <f t="shared" ca="1" si="41"/>
        <v>7</v>
      </c>
      <c r="M149" s="68">
        <f ca="1">IFERROR(__xludf.DUMMYFUNCTION("""COMPUTED_VALUE"""),43306.6666666666)</f>
        <v>43306.666666666599</v>
      </c>
      <c r="N149" s="6">
        <f ca="1">IFERROR(__xludf.DUMMYFUNCTION("""COMPUTED_VALUE"""),7932.24)</f>
        <v>7932.24</v>
      </c>
      <c r="R149" s="6" t="str">
        <f t="shared" ca="1" si="42"/>
        <v>20188</v>
      </c>
      <c r="S149" s="6">
        <f t="shared" ca="1" si="43"/>
        <v>2018</v>
      </c>
      <c r="T149" s="6">
        <f t="shared" ca="1" si="44"/>
        <v>8</v>
      </c>
      <c r="U149" s="68">
        <f ca="1">IFERROR(__xludf.DUMMYFUNCTION("""COMPUTED_VALUE"""),43314.6458333333)</f>
        <v>43314.645833333299</v>
      </c>
      <c r="V149" s="6">
        <f ca="1">IFERROR(__xludf.DUMMYFUNCTION("""COMPUTED_VALUE"""),2270.2)</f>
        <v>2270.1999999999998</v>
      </c>
      <c r="Z149" s="6" t="str">
        <f t="shared" ca="1" si="45"/>
        <v>20185</v>
      </c>
      <c r="AA149" s="6">
        <f t="shared" ca="1" si="46"/>
        <v>2018</v>
      </c>
      <c r="AB149" s="6">
        <f t="shared" ca="1" si="47"/>
        <v>5</v>
      </c>
      <c r="AC149" s="68">
        <f ca="1">IFERROR(__xludf.DUMMYFUNCTION("""COMPUTED_VALUE"""),43246.9986111111)</f>
        <v>43246.998611111099</v>
      </c>
      <c r="AD149" s="6">
        <f ca="1">IFERROR(__xludf.DUMMYFUNCTION("""COMPUTED_VALUE"""),1076.75)</f>
        <v>1076.75</v>
      </c>
      <c r="AH149" s="6" t="str">
        <f t="shared" ca="1" si="48"/>
        <v>20185</v>
      </c>
      <c r="AI149" s="6">
        <f t="shared" ca="1" si="49"/>
        <v>2018</v>
      </c>
      <c r="AJ149" s="6">
        <f t="shared" ca="1" si="50"/>
        <v>5</v>
      </c>
      <c r="AK149" s="68">
        <f ca="1">IFERROR(__xludf.DUMMYFUNCTION("""COMPUTED_VALUE"""),43241.9986111111)</f>
        <v>43241.998611111099</v>
      </c>
      <c r="AL149" s="6">
        <f ca="1">IFERROR(__xludf.DUMMYFUNCTION("""COMPUTED_VALUE"""),8396.5)</f>
        <v>8396.5</v>
      </c>
      <c r="AP149" s="6" t="str">
        <f t="shared" ca="1" si="51"/>
        <v>20187</v>
      </c>
      <c r="AQ149" s="6">
        <f t="shared" ca="1" si="52"/>
        <v>2018</v>
      </c>
      <c r="AR149" s="6">
        <f t="shared" ca="1" si="53"/>
        <v>7</v>
      </c>
      <c r="AS149" s="68">
        <f ca="1">IFERROR(__xludf.DUMMYFUNCTION("""COMPUTED_VALUE"""),43307.9986111111)</f>
        <v>43307.998611111099</v>
      </c>
      <c r="AT149" s="6">
        <f ca="1">IFERROR(__xludf.DUMMYFUNCTION("""COMPUTED_VALUE"""),1235.3)</f>
        <v>1235.3</v>
      </c>
    </row>
    <row r="150" spans="2:46" x14ac:dyDescent="0.35">
      <c r="B150" s="6" t="str">
        <f t="shared" ca="1" si="36"/>
        <v>20187</v>
      </c>
      <c r="C150" s="6">
        <f t="shared" ca="1" si="37"/>
        <v>2018</v>
      </c>
      <c r="D150" s="6">
        <f t="shared" ca="1" si="38"/>
        <v>7</v>
      </c>
      <c r="E150" s="68">
        <f ca="1">IFERROR(__xludf.DUMMYFUNCTION("""COMPUTED_VALUE"""),43307.6666666666)</f>
        <v>43307.666666666599</v>
      </c>
      <c r="F150" s="6">
        <f ca="1">IFERROR(__xludf.DUMMYFUNCTION("""COMPUTED_VALUE"""),2837.44)</f>
        <v>2837.44</v>
      </c>
      <c r="J150" s="6" t="str">
        <f t="shared" ca="1" si="39"/>
        <v>20187</v>
      </c>
      <c r="K150" s="6">
        <f t="shared" ca="1" si="40"/>
        <v>2018</v>
      </c>
      <c r="L150" s="6">
        <f t="shared" ca="1" si="41"/>
        <v>7</v>
      </c>
      <c r="M150" s="68">
        <f ca="1">IFERROR(__xludf.DUMMYFUNCTION("""COMPUTED_VALUE"""),43307.6666666666)</f>
        <v>43307.666666666599</v>
      </c>
      <c r="N150" s="6">
        <f ca="1">IFERROR(__xludf.DUMMYFUNCTION("""COMPUTED_VALUE"""),7852.19)</f>
        <v>7852.19</v>
      </c>
      <c r="R150" s="6" t="str">
        <f t="shared" ca="1" si="42"/>
        <v>20188</v>
      </c>
      <c r="S150" s="6">
        <f t="shared" ca="1" si="43"/>
        <v>2018</v>
      </c>
      <c r="T150" s="6">
        <f t="shared" ca="1" si="44"/>
        <v>8</v>
      </c>
      <c r="U150" s="68">
        <f ca="1">IFERROR(__xludf.DUMMYFUNCTION("""COMPUTED_VALUE"""),43315.6458333333)</f>
        <v>43315.645833333299</v>
      </c>
      <c r="V150" s="6">
        <f ca="1">IFERROR(__xludf.DUMMYFUNCTION("""COMPUTED_VALUE"""),2287.68)</f>
        <v>2287.6799999999998</v>
      </c>
      <c r="Z150" s="6" t="str">
        <f t="shared" ca="1" si="45"/>
        <v>20185</v>
      </c>
      <c r="AA150" s="6">
        <f t="shared" ca="1" si="46"/>
        <v>2018</v>
      </c>
      <c r="AB150" s="6">
        <f t="shared" ca="1" si="47"/>
        <v>5</v>
      </c>
      <c r="AC150" s="68">
        <f ca="1">IFERROR(__xludf.DUMMYFUNCTION("""COMPUTED_VALUE"""),43247.9986111111)</f>
        <v>43247.998611111099</v>
      </c>
      <c r="AD150" s="6">
        <f ca="1">IFERROR(__xludf.DUMMYFUNCTION("""COMPUTED_VALUE"""),1073.65)</f>
        <v>1073.6500000000001</v>
      </c>
      <c r="AH150" s="6" t="str">
        <f t="shared" ca="1" si="48"/>
        <v>20185</v>
      </c>
      <c r="AI150" s="6">
        <f t="shared" ca="1" si="49"/>
        <v>2018</v>
      </c>
      <c r="AJ150" s="6">
        <f t="shared" ca="1" si="50"/>
        <v>5</v>
      </c>
      <c r="AK150" s="68">
        <f ca="1">IFERROR(__xludf.DUMMYFUNCTION("""COMPUTED_VALUE"""),43242.9986111111)</f>
        <v>43242.998611111099</v>
      </c>
      <c r="AL150" s="6">
        <f ca="1">IFERROR(__xludf.DUMMYFUNCTION("""COMPUTED_VALUE"""),7996.57)</f>
        <v>7996.57</v>
      </c>
      <c r="AP150" s="6" t="str">
        <f t="shared" ca="1" si="51"/>
        <v>20187</v>
      </c>
      <c r="AQ150" s="6">
        <f t="shared" ca="1" si="52"/>
        <v>2018</v>
      </c>
      <c r="AR150" s="6">
        <f t="shared" ca="1" si="53"/>
        <v>7</v>
      </c>
      <c r="AS150" s="68">
        <f ca="1">IFERROR(__xludf.DUMMYFUNCTION("""COMPUTED_VALUE"""),43308.9986111111)</f>
        <v>43308.998611111099</v>
      </c>
      <c r="AT150" s="6">
        <f ca="1">IFERROR(__xludf.DUMMYFUNCTION("""COMPUTED_VALUE"""),1232.7)</f>
        <v>1232.7</v>
      </c>
    </row>
    <row r="151" spans="2:46" x14ac:dyDescent="0.35">
      <c r="B151" s="6" t="str">
        <f t="shared" ca="1" si="36"/>
        <v>20187</v>
      </c>
      <c r="C151" s="6">
        <f t="shared" ca="1" si="37"/>
        <v>2018</v>
      </c>
      <c r="D151" s="6">
        <f t="shared" ca="1" si="38"/>
        <v>7</v>
      </c>
      <c r="E151" s="68">
        <f ca="1">IFERROR(__xludf.DUMMYFUNCTION("""COMPUTED_VALUE"""),43308.6666666666)</f>
        <v>43308.666666666599</v>
      </c>
      <c r="F151" s="6">
        <f ca="1">IFERROR(__xludf.DUMMYFUNCTION("""COMPUTED_VALUE"""),2818.82)</f>
        <v>2818.82</v>
      </c>
      <c r="J151" s="6" t="str">
        <f t="shared" ca="1" si="39"/>
        <v>20187</v>
      </c>
      <c r="K151" s="6">
        <f t="shared" ca="1" si="40"/>
        <v>2018</v>
      </c>
      <c r="L151" s="6">
        <f t="shared" ca="1" si="41"/>
        <v>7</v>
      </c>
      <c r="M151" s="68">
        <f ca="1">IFERROR(__xludf.DUMMYFUNCTION("""COMPUTED_VALUE"""),43308.6666666666)</f>
        <v>43308.666666666599</v>
      </c>
      <c r="N151" s="6">
        <f ca="1">IFERROR(__xludf.DUMMYFUNCTION("""COMPUTED_VALUE"""),7737.42)</f>
        <v>7737.42</v>
      </c>
      <c r="R151" s="6" t="str">
        <f t="shared" ca="1" si="42"/>
        <v>20188</v>
      </c>
      <c r="S151" s="6">
        <f t="shared" ca="1" si="43"/>
        <v>2018</v>
      </c>
      <c r="T151" s="6">
        <f t="shared" ca="1" si="44"/>
        <v>8</v>
      </c>
      <c r="U151" s="68">
        <f ca="1">IFERROR(__xludf.DUMMYFUNCTION("""COMPUTED_VALUE"""),43318.6458333333)</f>
        <v>43318.645833333299</v>
      </c>
      <c r="V151" s="6">
        <f ca="1">IFERROR(__xludf.DUMMYFUNCTION("""COMPUTED_VALUE"""),2286.5)</f>
        <v>2286.5</v>
      </c>
      <c r="Z151" s="6" t="str">
        <f t="shared" ca="1" si="45"/>
        <v>20185</v>
      </c>
      <c r="AA151" s="6">
        <f t="shared" ca="1" si="46"/>
        <v>2018</v>
      </c>
      <c r="AB151" s="6">
        <f t="shared" ca="1" si="47"/>
        <v>5</v>
      </c>
      <c r="AC151" s="68">
        <f ca="1">IFERROR(__xludf.DUMMYFUNCTION("""COMPUTED_VALUE"""),43248.9986111111)</f>
        <v>43248.998611111099</v>
      </c>
      <c r="AD151" s="6">
        <f ca="1">IFERROR(__xludf.DUMMYFUNCTION("""COMPUTED_VALUE"""),1073.17)</f>
        <v>1073.17</v>
      </c>
      <c r="AH151" s="6" t="str">
        <f t="shared" ca="1" si="48"/>
        <v>20185</v>
      </c>
      <c r="AI151" s="6">
        <f t="shared" ca="1" si="49"/>
        <v>2018</v>
      </c>
      <c r="AJ151" s="6">
        <f t="shared" ca="1" si="50"/>
        <v>5</v>
      </c>
      <c r="AK151" s="68">
        <f ca="1">IFERROR(__xludf.DUMMYFUNCTION("""COMPUTED_VALUE"""),43243.9986111111)</f>
        <v>43243.998611111099</v>
      </c>
      <c r="AL151" s="6">
        <f ca="1">IFERROR(__xludf.DUMMYFUNCTION("""COMPUTED_VALUE"""),7503.63)</f>
        <v>7503.63</v>
      </c>
      <c r="AP151" s="6" t="str">
        <f t="shared" ca="1" si="51"/>
        <v>20187</v>
      </c>
      <c r="AQ151" s="6">
        <f t="shared" ca="1" si="52"/>
        <v>2018</v>
      </c>
      <c r="AR151" s="6">
        <f t="shared" ca="1" si="53"/>
        <v>7</v>
      </c>
      <c r="AS151" s="68">
        <f ca="1">IFERROR(__xludf.DUMMYFUNCTION("""COMPUTED_VALUE"""),43311.9986111111)</f>
        <v>43311.998611111099</v>
      </c>
      <c r="AT151" s="6">
        <f ca="1">IFERROR(__xludf.DUMMYFUNCTION("""COMPUTED_VALUE"""),1231.5)</f>
        <v>1231.5</v>
      </c>
    </row>
    <row r="152" spans="2:46" x14ac:dyDescent="0.35">
      <c r="B152" s="6" t="str">
        <f t="shared" ca="1" si="36"/>
        <v>20187</v>
      </c>
      <c r="C152" s="6">
        <f t="shared" ca="1" si="37"/>
        <v>2018</v>
      </c>
      <c r="D152" s="6">
        <f t="shared" ca="1" si="38"/>
        <v>7</v>
      </c>
      <c r="E152" s="68">
        <f ca="1">IFERROR(__xludf.DUMMYFUNCTION("""COMPUTED_VALUE"""),43311.6666666666)</f>
        <v>43311.666666666599</v>
      </c>
      <c r="F152" s="6">
        <f ca="1">IFERROR(__xludf.DUMMYFUNCTION("""COMPUTED_VALUE"""),2802.6)</f>
        <v>2802.6</v>
      </c>
      <c r="J152" s="6" t="str">
        <f t="shared" ca="1" si="39"/>
        <v>20187</v>
      </c>
      <c r="K152" s="6">
        <f t="shared" ca="1" si="40"/>
        <v>2018</v>
      </c>
      <c r="L152" s="6">
        <f t="shared" ca="1" si="41"/>
        <v>7</v>
      </c>
      <c r="M152" s="68">
        <f ca="1">IFERROR(__xludf.DUMMYFUNCTION("""COMPUTED_VALUE"""),43311.6666666666)</f>
        <v>43311.666666666599</v>
      </c>
      <c r="N152" s="6">
        <f ca="1">IFERROR(__xludf.DUMMYFUNCTION("""COMPUTED_VALUE"""),7630)</f>
        <v>7630</v>
      </c>
      <c r="R152" s="6" t="str">
        <f t="shared" ca="1" si="42"/>
        <v>20188</v>
      </c>
      <c r="S152" s="6">
        <f t="shared" ca="1" si="43"/>
        <v>2018</v>
      </c>
      <c r="T152" s="6">
        <f t="shared" ca="1" si="44"/>
        <v>8</v>
      </c>
      <c r="U152" s="68">
        <f ca="1">IFERROR(__xludf.DUMMYFUNCTION("""COMPUTED_VALUE"""),43320.6458333333)</f>
        <v>43320.645833333299</v>
      </c>
      <c r="V152" s="6">
        <f ca="1">IFERROR(__xludf.DUMMYFUNCTION("""COMPUTED_VALUE"""),2301.45)</f>
        <v>2301.4499999999998</v>
      </c>
      <c r="Z152" s="6" t="str">
        <f t="shared" ca="1" si="45"/>
        <v>20185</v>
      </c>
      <c r="AA152" s="6">
        <f t="shared" ca="1" si="46"/>
        <v>2018</v>
      </c>
      <c r="AB152" s="6">
        <f t="shared" ca="1" si="47"/>
        <v>5</v>
      </c>
      <c r="AC152" s="68">
        <f ca="1">IFERROR(__xludf.DUMMYFUNCTION("""COMPUTED_VALUE"""),43249.9986111111)</f>
        <v>43249.998611111099</v>
      </c>
      <c r="AD152" s="6">
        <f ca="1">IFERROR(__xludf.DUMMYFUNCTION("""COMPUTED_VALUE"""),1083.93)</f>
        <v>1083.93</v>
      </c>
      <c r="AH152" s="6" t="str">
        <f t="shared" ca="1" si="48"/>
        <v>20185</v>
      </c>
      <c r="AI152" s="6">
        <f t="shared" ca="1" si="49"/>
        <v>2018</v>
      </c>
      <c r="AJ152" s="6">
        <f t="shared" ca="1" si="50"/>
        <v>5</v>
      </c>
      <c r="AK152" s="68">
        <f ca="1">IFERROR(__xludf.DUMMYFUNCTION("""COMPUTED_VALUE"""),43244.9986111111)</f>
        <v>43244.998611111099</v>
      </c>
      <c r="AL152" s="6">
        <f ca="1">IFERROR(__xludf.DUMMYFUNCTION("""COMPUTED_VALUE"""),7574.36)</f>
        <v>7574.36</v>
      </c>
      <c r="AP152" s="6" t="str">
        <f t="shared" ca="1" si="51"/>
        <v>20187</v>
      </c>
      <c r="AQ152" s="6">
        <f t="shared" ca="1" si="52"/>
        <v>2018</v>
      </c>
      <c r="AR152" s="6">
        <f t="shared" ca="1" si="53"/>
        <v>7</v>
      </c>
      <c r="AS152" s="68">
        <f ca="1">IFERROR(__xludf.DUMMYFUNCTION("""COMPUTED_VALUE"""),43312.9986111111)</f>
        <v>43312.998611111099</v>
      </c>
      <c r="AT152" s="6">
        <f ca="1">IFERROR(__xludf.DUMMYFUNCTION("""COMPUTED_VALUE"""),1233.6)</f>
        <v>1233.5999999999999</v>
      </c>
    </row>
    <row r="153" spans="2:46" x14ac:dyDescent="0.35">
      <c r="B153" s="6" t="str">
        <f t="shared" ca="1" si="36"/>
        <v>20187</v>
      </c>
      <c r="C153" s="6">
        <f t="shared" ca="1" si="37"/>
        <v>2018</v>
      </c>
      <c r="D153" s="6">
        <f t="shared" ca="1" si="38"/>
        <v>7</v>
      </c>
      <c r="E153" s="68">
        <f ca="1">IFERROR(__xludf.DUMMYFUNCTION("""COMPUTED_VALUE"""),43312.6666666666)</f>
        <v>43312.666666666599</v>
      </c>
      <c r="F153" s="6">
        <f ca="1">IFERROR(__xludf.DUMMYFUNCTION("""COMPUTED_VALUE"""),2816.29)</f>
        <v>2816.29</v>
      </c>
      <c r="J153" s="6" t="str">
        <f t="shared" ca="1" si="39"/>
        <v>20187</v>
      </c>
      <c r="K153" s="6">
        <f t="shared" ca="1" si="40"/>
        <v>2018</v>
      </c>
      <c r="L153" s="6">
        <f t="shared" ca="1" si="41"/>
        <v>7</v>
      </c>
      <c r="M153" s="68">
        <f ca="1">IFERROR(__xludf.DUMMYFUNCTION("""COMPUTED_VALUE"""),43312.6666666666)</f>
        <v>43312.666666666599</v>
      </c>
      <c r="N153" s="6">
        <f ca="1">IFERROR(__xludf.DUMMYFUNCTION("""COMPUTED_VALUE"""),7671.79)</f>
        <v>7671.79</v>
      </c>
      <c r="R153" s="6" t="str">
        <f t="shared" ca="1" si="42"/>
        <v>20188</v>
      </c>
      <c r="S153" s="6">
        <f t="shared" ca="1" si="43"/>
        <v>2018</v>
      </c>
      <c r="T153" s="6">
        <f t="shared" ca="1" si="44"/>
        <v>8</v>
      </c>
      <c r="U153" s="68">
        <f ca="1">IFERROR(__xludf.DUMMYFUNCTION("""COMPUTED_VALUE"""),43321.6458333333)</f>
        <v>43321.645833333299</v>
      </c>
      <c r="V153" s="6">
        <f ca="1">IFERROR(__xludf.DUMMYFUNCTION("""COMPUTED_VALUE"""),2303.71)</f>
        <v>2303.71</v>
      </c>
      <c r="Z153" s="6" t="str">
        <f t="shared" ca="1" si="45"/>
        <v>20185</v>
      </c>
      <c r="AA153" s="6">
        <f t="shared" ca="1" si="46"/>
        <v>2018</v>
      </c>
      <c r="AB153" s="6">
        <f t="shared" ca="1" si="47"/>
        <v>5</v>
      </c>
      <c r="AC153" s="68">
        <f ca="1">IFERROR(__xludf.DUMMYFUNCTION("""COMPUTED_VALUE"""),43250.9986111111)</f>
        <v>43250.998611111099</v>
      </c>
      <c r="AD153" s="6">
        <f ca="1">IFERROR(__xludf.DUMMYFUNCTION("""COMPUTED_VALUE"""),1075.03)</f>
        <v>1075.03</v>
      </c>
      <c r="AH153" s="6" t="str">
        <f t="shared" ca="1" si="48"/>
        <v>20185</v>
      </c>
      <c r="AI153" s="6">
        <f t="shared" ca="1" si="49"/>
        <v>2018</v>
      </c>
      <c r="AJ153" s="6">
        <f t="shared" ca="1" si="50"/>
        <v>5</v>
      </c>
      <c r="AK153" s="68">
        <f ca="1">IFERROR(__xludf.DUMMYFUNCTION("""COMPUTED_VALUE"""),43245.9986111111)</f>
        <v>43245.998611111099</v>
      </c>
      <c r="AL153" s="6">
        <f ca="1">IFERROR(__xludf.DUMMYFUNCTION("""COMPUTED_VALUE"""),7467.57)</f>
        <v>7467.57</v>
      </c>
      <c r="AP153" s="6" t="str">
        <f t="shared" ca="1" si="51"/>
        <v>20188</v>
      </c>
      <c r="AQ153" s="6">
        <f t="shared" ca="1" si="52"/>
        <v>2018</v>
      </c>
      <c r="AR153" s="6">
        <f t="shared" ca="1" si="53"/>
        <v>8</v>
      </c>
      <c r="AS153" s="68">
        <f ca="1">IFERROR(__xludf.DUMMYFUNCTION("""COMPUTED_VALUE"""),43313.9986111111)</f>
        <v>43313.998611111099</v>
      </c>
      <c r="AT153" s="6">
        <f ca="1">IFERROR(__xludf.DUMMYFUNCTION("""COMPUTED_VALUE"""),1227.6)</f>
        <v>1227.5999999999999</v>
      </c>
    </row>
    <row r="154" spans="2:46" x14ac:dyDescent="0.35">
      <c r="B154" s="6" t="str">
        <f t="shared" ca="1" si="36"/>
        <v>20188</v>
      </c>
      <c r="C154" s="6">
        <f t="shared" ca="1" si="37"/>
        <v>2018</v>
      </c>
      <c r="D154" s="6">
        <f t="shared" ca="1" si="38"/>
        <v>8</v>
      </c>
      <c r="E154" s="68">
        <f ca="1">IFERROR(__xludf.DUMMYFUNCTION("""COMPUTED_VALUE"""),43313.6666666666)</f>
        <v>43313.666666666599</v>
      </c>
      <c r="F154" s="6">
        <f ca="1">IFERROR(__xludf.DUMMYFUNCTION("""COMPUTED_VALUE"""),2813.36)</f>
        <v>2813.36</v>
      </c>
      <c r="J154" s="6" t="str">
        <f t="shared" ca="1" si="39"/>
        <v>20188</v>
      </c>
      <c r="K154" s="6">
        <f t="shared" ca="1" si="40"/>
        <v>2018</v>
      </c>
      <c r="L154" s="6">
        <f t="shared" ca="1" si="41"/>
        <v>8</v>
      </c>
      <c r="M154" s="68">
        <f ca="1">IFERROR(__xludf.DUMMYFUNCTION("""COMPUTED_VALUE"""),43313.6666666666)</f>
        <v>43313.666666666599</v>
      </c>
      <c r="N154" s="6">
        <f ca="1">IFERROR(__xludf.DUMMYFUNCTION("""COMPUTED_VALUE"""),7707.29)</f>
        <v>7707.29</v>
      </c>
      <c r="R154" s="6" t="str">
        <f t="shared" ca="1" si="42"/>
        <v>20188</v>
      </c>
      <c r="S154" s="6">
        <f t="shared" ca="1" si="43"/>
        <v>2018</v>
      </c>
      <c r="T154" s="6">
        <f t="shared" ca="1" si="44"/>
        <v>8</v>
      </c>
      <c r="U154" s="68">
        <f ca="1">IFERROR(__xludf.DUMMYFUNCTION("""COMPUTED_VALUE"""),43322.6458333333)</f>
        <v>43322.645833333299</v>
      </c>
      <c r="V154" s="6">
        <f ca="1">IFERROR(__xludf.DUMMYFUNCTION("""COMPUTED_VALUE"""),2282.79)</f>
        <v>2282.79</v>
      </c>
      <c r="Z154" s="6" t="str">
        <f t="shared" ca="1" si="45"/>
        <v>20185</v>
      </c>
      <c r="AA154" s="6">
        <f t="shared" ca="1" si="46"/>
        <v>2018</v>
      </c>
      <c r="AB154" s="6">
        <f t="shared" ca="1" si="47"/>
        <v>5</v>
      </c>
      <c r="AC154" s="68">
        <f ca="1">IFERROR(__xludf.DUMMYFUNCTION("""COMPUTED_VALUE"""),43251.9986111111)</f>
        <v>43251.998611111099</v>
      </c>
      <c r="AD154" s="6">
        <f ca="1">IFERROR(__xludf.DUMMYFUNCTION("""COMPUTED_VALUE"""),1079.95)</f>
        <v>1079.95</v>
      </c>
      <c r="AH154" s="6" t="str">
        <f t="shared" ca="1" si="48"/>
        <v>20185</v>
      </c>
      <c r="AI154" s="6">
        <f t="shared" ca="1" si="49"/>
        <v>2018</v>
      </c>
      <c r="AJ154" s="6">
        <f t="shared" ca="1" si="50"/>
        <v>5</v>
      </c>
      <c r="AK154" s="68">
        <f ca="1">IFERROR(__xludf.DUMMYFUNCTION("""COMPUTED_VALUE"""),43246.9986111111)</f>
        <v>43246.998611111099</v>
      </c>
      <c r="AL154" s="6">
        <f ca="1">IFERROR(__xludf.DUMMYFUNCTION("""COMPUTED_VALUE"""),7335.78)</f>
        <v>7335.78</v>
      </c>
      <c r="AP154" s="6" t="str">
        <f t="shared" ca="1" si="51"/>
        <v>20188</v>
      </c>
      <c r="AQ154" s="6">
        <f t="shared" ca="1" si="52"/>
        <v>2018</v>
      </c>
      <c r="AR154" s="6">
        <f t="shared" ca="1" si="53"/>
        <v>8</v>
      </c>
      <c r="AS154" s="68">
        <f ca="1">IFERROR(__xludf.DUMMYFUNCTION("""COMPUTED_VALUE"""),43314.9986111111)</f>
        <v>43314.998611111099</v>
      </c>
      <c r="AT154" s="6">
        <f ca="1">IFERROR(__xludf.DUMMYFUNCTION("""COMPUTED_VALUE"""),1220.1)</f>
        <v>1220.0999999999999</v>
      </c>
    </row>
    <row r="155" spans="2:46" x14ac:dyDescent="0.35">
      <c r="B155" s="6" t="str">
        <f t="shared" ca="1" si="36"/>
        <v>20188</v>
      </c>
      <c r="C155" s="6">
        <f t="shared" ca="1" si="37"/>
        <v>2018</v>
      </c>
      <c r="D155" s="6">
        <f t="shared" ca="1" si="38"/>
        <v>8</v>
      </c>
      <c r="E155" s="68">
        <f ca="1">IFERROR(__xludf.DUMMYFUNCTION("""COMPUTED_VALUE"""),43314.6666666666)</f>
        <v>43314.666666666599</v>
      </c>
      <c r="F155" s="6">
        <f ca="1">IFERROR(__xludf.DUMMYFUNCTION("""COMPUTED_VALUE"""),2827.22)</f>
        <v>2827.22</v>
      </c>
      <c r="J155" s="6" t="str">
        <f t="shared" ca="1" si="39"/>
        <v>20188</v>
      </c>
      <c r="K155" s="6">
        <f t="shared" ca="1" si="40"/>
        <v>2018</v>
      </c>
      <c r="L155" s="6">
        <f t="shared" ca="1" si="41"/>
        <v>8</v>
      </c>
      <c r="M155" s="68">
        <f ca="1">IFERROR(__xludf.DUMMYFUNCTION("""COMPUTED_VALUE"""),43314.6666666666)</f>
        <v>43314.666666666599</v>
      </c>
      <c r="N155" s="6">
        <f ca="1">IFERROR(__xludf.DUMMYFUNCTION("""COMPUTED_VALUE"""),7802.69)</f>
        <v>7802.69</v>
      </c>
      <c r="R155" s="6" t="str">
        <f t="shared" ca="1" si="42"/>
        <v>20188</v>
      </c>
      <c r="S155" s="6">
        <f t="shared" ca="1" si="43"/>
        <v>2018</v>
      </c>
      <c r="T155" s="6">
        <f t="shared" ca="1" si="44"/>
        <v>8</v>
      </c>
      <c r="U155" s="68">
        <f ca="1">IFERROR(__xludf.DUMMYFUNCTION("""COMPUTED_VALUE"""),43325.6458333333)</f>
        <v>43325.645833333299</v>
      </c>
      <c r="V155" s="6">
        <f ca="1">IFERROR(__xludf.DUMMYFUNCTION("""COMPUTED_VALUE"""),2248.45)</f>
        <v>2248.4499999999998</v>
      </c>
      <c r="Z155" s="6" t="str">
        <f t="shared" ca="1" si="45"/>
        <v>20186</v>
      </c>
      <c r="AA155" s="6">
        <f t="shared" ca="1" si="46"/>
        <v>2018</v>
      </c>
      <c r="AB155" s="6">
        <f t="shared" ca="1" si="47"/>
        <v>6</v>
      </c>
      <c r="AC155" s="68">
        <f ca="1">IFERROR(__xludf.DUMMYFUNCTION("""COMPUTED_VALUE"""),43252.9986111111)</f>
        <v>43252.998611111099</v>
      </c>
      <c r="AD155" s="6">
        <f ca="1">IFERROR(__xludf.DUMMYFUNCTION("""COMPUTED_VALUE"""),1070.68)</f>
        <v>1070.68</v>
      </c>
      <c r="AH155" s="6" t="str">
        <f t="shared" ca="1" si="48"/>
        <v>20185</v>
      </c>
      <c r="AI155" s="6">
        <f t="shared" ca="1" si="49"/>
        <v>2018</v>
      </c>
      <c r="AJ155" s="6">
        <f t="shared" ca="1" si="50"/>
        <v>5</v>
      </c>
      <c r="AK155" s="68">
        <f ca="1">IFERROR(__xludf.DUMMYFUNCTION("""COMPUTED_VALUE"""),43247.9986111111)</f>
        <v>43247.998611111099</v>
      </c>
      <c r="AL155" s="6">
        <f ca="1">IFERROR(__xludf.DUMMYFUNCTION("""COMPUTED_VALUE"""),7353.38)</f>
        <v>7353.38</v>
      </c>
      <c r="AP155" s="6" t="str">
        <f t="shared" ca="1" si="51"/>
        <v>20188</v>
      </c>
      <c r="AQ155" s="6">
        <f t="shared" ca="1" si="52"/>
        <v>2018</v>
      </c>
      <c r="AR155" s="6">
        <f t="shared" ca="1" si="53"/>
        <v>8</v>
      </c>
      <c r="AS155" s="68">
        <f ca="1">IFERROR(__xludf.DUMMYFUNCTION("""COMPUTED_VALUE"""),43315.9986111111)</f>
        <v>43315.998611111099</v>
      </c>
      <c r="AT155" s="6">
        <f ca="1">IFERROR(__xludf.DUMMYFUNCTION("""COMPUTED_VALUE"""),1223.2)</f>
        <v>1223.2</v>
      </c>
    </row>
    <row r="156" spans="2:46" x14ac:dyDescent="0.35">
      <c r="B156" s="6" t="str">
        <f t="shared" ca="1" si="36"/>
        <v>20188</v>
      </c>
      <c r="C156" s="6">
        <f t="shared" ca="1" si="37"/>
        <v>2018</v>
      </c>
      <c r="D156" s="6">
        <f t="shared" ca="1" si="38"/>
        <v>8</v>
      </c>
      <c r="E156" s="68">
        <f ca="1">IFERROR(__xludf.DUMMYFUNCTION("""COMPUTED_VALUE"""),43315.6666666666)</f>
        <v>43315.666666666599</v>
      </c>
      <c r="F156" s="6">
        <f ca="1">IFERROR(__xludf.DUMMYFUNCTION("""COMPUTED_VALUE"""),2840.35)</f>
        <v>2840.35</v>
      </c>
      <c r="J156" s="6" t="str">
        <f t="shared" ca="1" si="39"/>
        <v>20188</v>
      </c>
      <c r="K156" s="6">
        <f t="shared" ca="1" si="40"/>
        <v>2018</v>
      </c>
      <c r="L156" s="6">
        <f t="shared" ca="1" si="41"/>
        <v>8</v>
      </c>
      <c r="M156" s="68">
        <f ca="1">IFERROR(__xludf.DUMMYFUNCTION("""COMPUTED_VALUE"""),43315.6666666666)</f>
        <v>43315.666666666599</v>
      </c>
      <c r="N156" s="6">
        <f ca="1">IFERROR(__xludf.DUMMYFUNCTION("""COMPUTED_VALUE"""),7812.02)</f>
        <v>7812.02</v>
      </c>
      <c r="R156" s="6" t="str">
        <f t="shared" ca="1" si="42"/>
        <v>20188</v>
      </c>
      <c r="S156" s="6">
        <f t="shared" ca="1" si="43"/>
        <v>2018</v>
      </c>
      <c r="T156" s="6">
        <f t="shared" ca="1" si="44"/>
        <v>8</v>
      </c>
      <c r="U156" s="68">
        <f ca="1">IFERROR(__xludf.DUMMYFUNCTION("""COMPUTED_VALUE"""),43326.6458333333)</f>
        <v>43326.645833333299</v>
      </c>
      <c r="V156" s="6">
        <f ca="1">IFERROR(__xludf.DUMMYFUNCTION("""COMPUTED_VALUE"""),2258.91)</f>
        <v>2258.91</v>
      </c>
      <c r="Z156" s="6" t="str">
        <f t="shared" ca="1" si="45"/>
        <v>20186</v>
      </c>
      <c r="AA156" s="6">
        <f t="shared" ca="1" si="46"/>
        <v>2018</v>
      </c>
      <c r="AB156" s="6">
        <f t="shared" ca="1" si="47"/>
        <v>6</v>
      </c>
      <c r="AC156" s="68">
        <f ca="1">IFERROR(__xludf.DUMMYFUNCTION("""COMPUTED_VALUE"""),43253.9986111111)</f>
        <v>43253.998611111099</v>
      </c>
      <c r="AD156" s="6">
        <f ca="1">IFERROR(__xludf.DUMMYFUNCTION("""COMPUTED_VALUE"""),1069.89)</f>
        <v>1069.8900000000001</v>
      </c>
      <c r="AH156" s="6" t="str">
        <f t="shared" ca="1" si="48"/>
        <v>20185</v>
      </c>
      <c r="AI156" s="6">
        <f t="shared" ca="1" si="49"/>
        <v>2018</v>
      </c>
      <c r="AJ156" s="6">
        <f t="shared" ca="1" si="50"/>
        <v>5</v>
      </c>
      <c r="AK156" s="68">
        <f ca="1">IFERROR(__xludf.DUMMYFUNCTION("""COMPUTED_VALUE"""),43248.9986111111)</f>
        <v>43248.998611111099</v>
      </c>
      <c r="AL156" s="6">
        <f ca="1">IFERROR(__xludf.DUMMYFUNCTION("""COMPUTED_VALUE"""),7102.26)</f>
        <v>7102.26</v>
      </c>
      <c r="AP156" s="6" t="str">
        <f t="shared" ca="1" si="51"/>
        <v>20188</v>
      </c>
      <c r="AQ156" s="6">
        <f t="shared" ca="1" si="52"/>
        <v>2018</v>
      </c>
      <c r="AR156" s="6">
        <f t="shared" ca="1" si="53"/>
        <v>8</v>
      </c>
      <c r="AS156" s="68">
        <f ca="1">IFERROR(__xludf.DUMMYFUNCTION("""COMPUTED_VALUE"""),43318.9986111111)</f>
        <v>43318.998611111099</v>
      </c>
      <c r="AT156" s="6">
        <f ca="1">IFERROR(__xludf.DUMMYFUNCTION("""COMPUTED_VALUE"""),1217.7)</f>
        <v>1217.7</v>
      </c>
    </row>
    <row r="157" spans="2:46" x14ac:dyDescent="0.35">
      <c r="B157" s="6" t="str">
        <f t="shared" ca="1" si="36"/>
        <v>20188</v>
      </c>
      <c r="C157" s="6">
        <f t="shared" ca="1" si="37"/>
        <v>2018</v>
      </c>
      <c r="D157" s="6">
        <f t="shared" ca="1" si="38"/>
        <v>8</v>
      </c>
      <c r="E157" s="68">
        <f ca="1">IFERROR(__xludf.DUMMYFUNCTION("""COMPUTED_VALUE"""),43318.6666666666)</f>
        <v>43318.666666666599</v>
      </c>
      <c r="F157" s="6">
        <f ca="1">IFERROR(__xludf.DUMMYFUNCTION("""COMPUTED_VALUE"""),2850.4)</f>
        <v>2850.4</v>
      </c>
      <c r="J157" s="6" t="str">
        <f t="shared" ca="1" si="39"/>
        <v>20188</v>
      </c>
      <c r="K157" s="6">
        <f t="shared" ca="1" si="40"/>
        <v>2018</v>
      </c>
      <c r="L157" s="6">
        <f t="shared" ca="1" si="41"/>
        <v>8</v>
      </c>
      <c r="M157" s="68">
        <f ca="1">IFERROR(__xludf.DUMMYFUNCTION("""COMPUTED_VALUE"""),43318.6666666666)</f>
        <v>43318.666666666599</v>
      </c>
      <c r="N157" s="6">
        <f ca="1">IFERROR(__xludf.DUMMYFUNCTION("""COMPUTED_VALUE"""),7859.68)</f>
        <v>7859.68</v>
      </c>
      <c r="R157" s="6" t="str">
        <f t="shared" ca="1" si="42"/>
        <v>20188</v>
      </c>
      <c r="S157" s="6">
        <f t="shared" ca="1" si="43"/>
        <v>2018</v>
      </c>
      <c r="T157" s="6">
        <f t="shared" ca="1" si="44"/>
        <v>8</v>
      </c>
      <c r="U157" s="68">
        <f ca="1">IFERROR(__xludf.DUMMYFUNCTION("""COMPUTED_VALUE"""),43328.6458333333)</f>
        <v>43328.645833333299</v>
      </c>
      <c r="V157" s="6">
        <f ca="1">IFERROR(__xludf.DUMMYFUNCTION("""COMPUTED_VALUE"""),2240.8)</f>
        <v>2240.8000000000002</v>
      </c>
      <c r="Z157" s="6" t="str">
        <f t="shared" ca="1" si="45"/>
        <v>20186</v>
      </c>
      <c r="AA157" s="6">
        <f t="shared" ca="1" si="46"/>
        <v>2018</v>
      </c>
      <c r="AB157" s="6">
        <f t="shared" ca="1" si="47"/>
        <v>6</v>
      </c>
      <c r="AC157" s="68">
        <f ca="1">IFERROR(__xludf.DUMMYFUNCTION("""COMPUTED_VALUE"""),43254.9986111111)</f>
        <v>43254.998611111099</v>
      </c>
      <c r="AD157" s="6">
        <f ca="1">IFERROR(__xludf.DUMMYFUNCTION("""COMPUTED_VALUE"""),1070.36)</f>
        <v>1070.3599999999999</v>
      </c>
      <c r="AH157" s="6" t="str">
        <f t="shared" ca="1" si="48"/>
        <v>20185</v>
      </c>
      <c r="AI157" s="6">
        <f t="shared" ca="1" si="49"/>
        <v>2018</v>
      </c>
      <c r="AJ157" s="6">
        <f t="shared" ca="1" si="50"/>
        <v>5</v>
      </c>
      <c r="AK157" s="68">
        <f ca="1">IFERROR(__xludf.DUMMYFUNCTION("""COMPUTED_VALUE"""),43249.9986111111)</f>
        <v>43249.998611111099</v>
      </c>
      <c r="AL157" s="6">
        <f ca="1">IFERROR(__xludf.DUMMYFUNCTION("""COMPUTED_VALUE"""),7454.05)</f>
        <v>7454.05</v>
      </c>
      <c r="AP157" s="6" t="str">
        <f t="shared" ca="1" si="51"/>
        <v>20188</v>
      </c>
      <c r="AQ157" s="6">
        <f t="shared" ca="1" si="52"/>
        <v>2018</v>
      </c>
      <c r="AR157" s="6">
        <f t="shared" ca="1" si="53"/>
        <v>8</v>
      </c>
      <c r="AS157" s="68">
        <f ca="1">IFERROR(__xludf.DUMMYFUNCTION("""COMPUTED_VALUE"""),43319.9986111111)</f>
        <v>43319.998611111099</v>
      </c>
      <c r="AT157" s="6">
        <f ca="1">IFERROR(__xludf.DUMMYFUNCTION("""COMPUTED_VALUE"""),1218.3)</f>
        <v>1218.3</v>
      </c>
    </row>
    <row r="158" spans="2:46" x14ac:dyDescent="0.35">
      <c r="B158" s="6" t="str">
        <f t="shared" ca="1" si="36"/>
        <v>20188</v>
      </c>
      <c r="C158" s="6">
        <f t="shared" ca="1" si="37"/>
        <v>2018</v>
      </c>
      <c r="D158" s="6">
        <f t="shared" ca="1" si="38"/>
        <v>8</v>
      </c>
      <c r="E158" s="68">
        <f ca="1">IFERROR(__xludf.DUMMYFUNCTION("""COMPUTED_VALUE"""),43319.6666666666)</f>
        <v>43319.666666666599</v>
      </c>
      <c r="F158" s="6">
        <f ca="1">IFERROR(__xludf.DUMMYFUNCTION("""COMPUTED_VALUE"""),2858.45)</f>
        <v>2858.45</v>
      </c>
      <c r="J158" s="6" t="str">
        <f t="shared" ca="1" si="39"/>
        <v>20188</v>
      </c>
      <c r="K158" s="6">
        <f t="shared" ca="1" si="40"/>
        <v>2018</v>
      </c>
      <c r="L158" s="6">
        <f t="shared" ca="1" si="41"/>
        <v>8</v>
      </c>
      <c r="M158" s="68">
        <f ca="1">IFERROR(__xludf.DUMMYFUNCTION("""COMPUTED_VALUE"""),43319.6666666666)</f>
        <v>43319.666666666599</v>
      </c>
      <c r="N158" s="6">
        <f ca="1">IFERROR(__xludf.DUMMYFUNCTION("""COMPUTED_VALUE"""),7883.66)</f>
        <v>7883.66</v>
      </c>
      <c r="R158" s="6" t="str">
        <f t="shared" ca="1" si="42"/>
        <v>20188</v>
      </c>
      <c r="S158" s="6">
        <f t="shared" ca="1" si="43"/>
        <v>2018</v>
      </c>
      <c r="T158" s="6">
        <f t="shared" ca="1" si="44"/>
        <v>8</v>
      </c>
      <c r="U158" s="68">
        <f ca="1">IFERROR(__xludf.DUMMYFUNCTION("""COMPUTED_VALUE"""),43329.6458333333)</f>
        <v>43329.645833333299</v>
      </c>
      <c r="V158" s="6">
        <f ca="1">IFERROR(__xludf.DUMMYFUNCTION("""COMPUTED_VALUE"""),2247.05)</f>
        <v>2247.0500000000002</v>
      </c>
      <c r="Z158" s="6" t="str">
        <f t="shared" ca="1" si="45"/>
        <v>20186</v>
      </c>
      <c r="AA158" s="6">
        <f t="shared" ca="1" si="46"/>
        <v>2018</v>
      </c>
      <c r="AB158" s="6">
        <f t="shared" ca="1" si="47"/>
        <v>6</v>
      </c>
      <c r="AC158" s="68">
        <f ca="1">IFERROR(__xludf.DUMMYFUNCTION("""COMPUTED_VALUE"""),43255.9986111111)</f>
        <v>43255.998611111099</v>
      </c>
      <c r="AD158" s="6">
        <f ca="1">IFERROR(__xludf.DUMMYFUNCTION("""COMPUTED_VALUE"""),1070.53)</f>
        <v>1070.53</v>
      </c>
      <c r="AH158" s="6" t="str">
        <f t="shared" ca="1" si="48"/>
        <v>20185</v>
      </c>
      <c r="AI158" s="6">
        <f t="shared" ca="1" si="49"/>
        <v>2018</v>
      </c>
      <c r="AJ158" s="6">
        <f t="shared" ca="1" si="50"/>
        <v>5</v>
      </c>
      <c r="AK158" s="68">
        <f ca="1">IFERROR(__xludf.DUMMYFUNCTION("""COMPUTED_VALUE"""),43250.9986111111)</f>
        <v>43250.998611111099</v>
      </c>
      <c r="AL158" s="6">
        <f ca="1">IFERROR(__xludf.DUMMYFUNCTION("""COMPUTED_VALUE"""),7374.4)</f>
        <v>7374.4</v>
      </c>
      <c r="AP158" s="6" t="str">
        <f t="shared" ca="1" si="51"/>
        <v>20188</v>
      </c>
      <c r="AQ158" s="6">
        <f t="shared" ca="1" si="52"/>
        <v>2018</v>
      </c>
      <c r="AR158" s="6">
        <f t="shared" ca="1" si="53"/>
        <v>8</v>
      </c>
      <c r="AS158" s="68">
        <f ca="1">IFERROR(__xludf.DUMMYFUNCTION("""COMPUTED_VALUE"""),43320.9986111111)</f>
        <v>43320.998611111099</v>
      </c>
      <c r="AT158" s="6">
        <f ca="1">IFERROR(__xludf.DUMMYFUNCTION("""COMPUTED_VALUE"""),1221)</f>
        <v>1221</v>
      </c>
    </row>
    <row r="159" spans="2:46" x14ac:dyDescent="0.35">
      <c r="B159" s="6" t="str">
        <f t="shared" ca="1" si="36"/>
        <v>20188</v>
      </c>
      <c r="C159" s="6">
        <f t="shared" ca="1" si="37"/>
        <v>2018</v>
      </c>
      <c r="D159" s="6">
        <f t="shared" ca="1" si="38"/>
        <v>8</v>
      </c>
      <c r="E159" s="68">
        <f ca="1">IFERROR(__xludf.DUMMYFUNCTION("""COMPUTED_VALUE"""),43320.6666666666)</f>
        <v>43320.666666666599</v>
      </c>
      <c r="F159" s="6">
        <f ca="1">IFERROR(__xludf.DUMMYFUNCTION("""COMPUTED_VALUE"""),2857.7)</f>
        <v>2857.7</v>
      </c>
      <c r="J159" s="6" t="str">
        <f t="shared" ca="1" si="39"/>
        <v>20188</v>
      </c>
      <c r="K159" s="6">
        <f t="shared" ca="1" si="40"/>
        <v>2018</v>
      </c>
      <c r="L159" s="6">
        <f t="shared" ca="1" si="41"/>
        <v>8</v>
      </c>
      <c r="M159" s="68">
        <f ca="1">IFERROR(__xludf.DUMMYFUNCTION("""COMPUTED_VALUE"""),43320.6666666666)</f>
        <v>43320.666666666599</v>
      </c>
      <c r="N159" s="6">
        <f ca="1">IFERROR(__xludf.DUMMYFUNCTION("""COMPUTED_VALUE"""),7888.33)</f>
        <v>7888.33</v>
      </c>
      <c r="R159" s="6" t="str">
        <f t="shared" ca="1" si="42"/>
        <v>20188</v>
      </c>
      <c r="S159" s="6">
        <f t="shared" ca="1" si="43"/>
        <v>2018</v>
      </c>
      <c r="T159" s="6">
        <f t="shared" ca="1" si="44"/>
        <v>8</v>
      </c>
      <c r="U159" s="68">
        <f ca="1">IFERROR(__xludf.DUMMYFUNCTION("""COMPUTED_VALUE"""),43332.6458333333)</f>
        <v>43332.645833333299</v>
      </c>
      <c r="V159" s="6">
        <f ca="1">IFERROR(__xludf.DUMMYFUNCTION("""COMPUTED_VALUE"""),2247.88)</f>
        <v>2247.88</v>
      </c>
      <c r="Z159" s="6" t="str">
        <f t="shared" ca="1" si="45"/>
        <v>20186</v>
      </c>
      <c r="AA159" s="6">
        <f t="shared" ca="1" si="46"/>
        <v>2018</v>
      </c>
      <c r="AB159" s="6">
        <f t="shared" ca="1" si="47"/>
        <v>6</v>
      </c>
      <c r="AC159" s="68">
        <f ca="1">IFERROR(__xludf.DUMMYFUNCTION("""COMPUTED_VALUE"""),43256.9986111111)</f>
        <v>43256.998611111099</v>
      </c>
      <c r="AD159" s="6">
        <f ca="1">IFERROR(__xludf.DUMMYFUNCTION("""COMPUTED_VALUE"""),1070.29)</f>
        <v>1070.29</v>
      </c>
      <c r="AH159" s="6" t="str">
        <f t="shared" ca="1" si="48"/>
        <v>20185</v>
      </c>
      <c r="AI159" s="6">
        <f t="shared" ca="1" si="49"/>
        <v>2018</v>
      </c>
      <c r="AJ159" s="6">
        <f t="shared" ca="1" si="50"/>
        <v>5</v>
      </c>
      <c r="AK159" s="68">
        <f ca="1">IFERROR(__xludf.DUMMYFUNCTION("""COMPUTED_VALUE"""),43251.9986111111)</f>
        <v>43251.998611111099</v>
      </c>
      <c r="AL159" s="6">
        <f ca="1">IFERROR(__xludf.DUMMYFUNCTION("""COMPUTED_VALUE"""),7318.37)</f>
        <v>7318.37</v>
      </c>
      <c r="AP159" s="6" t="str">
        <f t="shared" ca="1" si="51"/>
        <v>20188</v>
      </c>
      <c r="AQ159" s="6">
        <f t="shared" ca="1" si="52"/>
        <v>2018</v>
      </c>
      <c r="AR159" s="6">
        <f t="shared" ca="1" si="53"/>
        <v>8</v>
      </c>
      <c r="AS159" s="68">
        <f ca="1">IFERROR(__xludf.DUMMYFUNCTION("""COMPUTED_VALUE"""),43321.9986111111)</f>
        <v>43321.998611111099</v>
      </c>
      <c r="AT159" s="6">
        <f ca="1">IFERROR(__xludf.DUMMYFUNCTION("""COMPUTED_VALUE"""),1219.9)</f>
        <v>1219.9000000000001</v>
      </c>
    </row>
    <row r="160" spans="2:46" x14ac:dyDescent="0.35">
      <c r="B160" s="6" t="str">
        <f t="shared" ca="1" si="36"/>
        <v>20188</v>
      </c>
      <c r="C160" s="6">
        <f t="shared" ca="1" si="37"/>
        <v>2018</v>
      </c>
      <c r="D160" s="6">
        <f t="shared" ca="1" si="38"/>
        <v>8</v>
      </c>
      <c r="E160" s="68">
        <f ca="1">IFERROR(__xludf.DUMMYFUNCTION("""COMPUTED_VALUE"""),43321.6666666666)</f>
        <v>43321.666666666599</v>
      </c>
      <c r="F160" s="6">
        <f ca="1">IFERROR(__xludf.DUMMYFUNCTION("""COMPUTED_VALUE"""),2853.58)</f>
        <v>2853.58</v>
      </c>
      <c r="J160" s="6" t="str">
        <f t="shared" ca="1" si="39"/>
        <v>20188</v>
      </c>
      <c r="K160" s="6">
        <f t="shared" ca="1" si="40"/>
        <v>2018</v>
      </c>
      <c r="L160" s="6">
        <f t="shared" ca="1" si="41"/>
        <v>8</v>
      </c>
      <c r="M160" s="68">
        <f ca="1">IFERROR(__xludf.DUMMYFUNCTION("""COMPUTED_VALUE"""),43321.6666666666)</f>
        <v>43321.666666666599</v>
      </c>
      <c r="N160" s="6">
        <f ca="1">IFERROR(__xludf.DUMMYFUNCTION("""COMPUTED_VALUE"""),7891.78)</f>
        <v>7891.78</v>
      </c>
      <c r="R160" s="6" t="str">
        <f t="shared" ca="1" si="42"/>
        <v>20188</v>
      </c>
      <c r="S160" s="6">
        <f t="shared" ca="1" si="43"/>
        <v>2018</v>
      </c>
      <c r="T160" s="6">
        <f t="shared" ca="1" si="44"/>
        <v>8</v>
      </c>
      <c r="U160" s="68">
        <f ca="1">IFERROR(__xludf.DUMMYFUNCTION("""COMPUTED_VALUE"""),43333.6458333333)</f>
        <v>43333.645833333299</v>
      </c>
      <c r="V160" s="6">
        <f ca="1">IFERROR(__xludf.DUMMYFUNCTION("""COMPUTED_VALUE"""),2270.06)</f>
        <v>2270.06</v>
      </c>
      <c r="Z160" s="6" t="str">
        <f t="shared" ca="1" si="45"/>
        <v>20186</v>
      </c>
      <c r="AA160" s="6">
        <f t="shared" ca="1" si="46"/>
        <v>2018</v>
      </c>
      <c r="AB160" s="6">
        <f t="shared" ca="1" si="47"/>
        <v>6</v>
      </c>
      <c r="AC160" s="68">
        <f ca="1">IFERROR(__xludf.DUMMYFUNCTION("""COMPUTED_VALUE"""),43257.9986111111)</f>
        <v>43257.998611111099</v>
      </c>
      <c r="AD160" s="6">
        <f ca="1">IFERROR(__xludf.DUMMYFUNCTION("""COMPUTED_VALUE"""),1065.15)</f>
        <v>1065.1500000000001</v>
      </c>
      <c r="AH160" s="6" t="str">
        <f t="shared" ca="1" si="48"/>
        <v>20186</v>
      </c>
      <c r="AI160" s="6">
        <f t="shared" ca="1" si="49"/>
        <v>2018</v>
      </c>
      <c r="AJ160" s="6">
        <f t="shared" ca="1" si="50"/>
        <v>6</v>
      </c>
      <c r="AK160" s="68">
        <f ca="1">IFERROR(__xludf.DUMMYFUNCTION("""COMPUTED_VALUE"""),43252.9986111111)</f>
        <v>43252.998611111099</v>
      </c>
      <c r="AL160" s="6">
        <f ca="1">IFERROR(__xludf.DUMMYFUNCTION("""COMPUTED_VALUE"""),7520.2)</f>
        <v>7520.2</v>
      </c>
      <c r="AP160" s="6" t="str">
        <f t="shared" ca="1" si="51"/>
        <v>20188</v>
      </c>
      <c r="AQ160" s="6">
        <f t="shared" ca="1" si="52"/>
        <v>2018</v>
      </c>
      <c r="AR160" s="6">
        <f t="shared" ca="1" si="53"/>
        <v>8</v>
      </c>
      <c r="AS160" s="68">
        <f ca="1">IFERROR(__xludf.DUMMYFUNCTION("""COMPUTED_VALUE"""),43322.9986111111)</f>
        <v>43322.998611111099</v>
      </c>
      <c r="AT160" s="6">
        <f ca="1">IFERROR(__xludf.DUMMYFUNCTION("""COMPUTED_VALUE"""),1219)</f>
        <v>1219</v>
      </c>
    </row>
    <row r="161" spans="2:46" x14ac:dyDescent="0.35">
      <c r="B161" s="6" t="str">
        <f t="shared" ca="1" si="36"/>
        <v>20188</v>
      </c>
      <c r="C161" s="6">
        <f t="shared" ca="1" si="37"/>
        <v>2018</v>
      </c>
      <c r="D161" s="6">
        <f t="shared" ca="1" si="38"/>
        <v>8</v>
      </c>
      <c r="E161" s="68">
        <f ca="1">IFERROR(__xludf.DUMMYFUNCTION("""COMPUTED_VALUE"""),43322.6666666666)</f>
        <v>43322.666666666599</v>
      </c>
      <c r="F161" s="6">
        <f ca="1">IFERROR(__xludf.DUMMYFUNCTION("""COMPUTED_VALUE"""),2833.28)</f>
        <v>2833.28</v>
      </c>
      <c r="J161" s="6" t="str">
        <f t="shared" ca="1" si="39"/>
        <v>20188</v>
      </c>
      <c r="K161" s="6">
        <f t="shared" ca="1" si="40"/>
        <v>2018</v>
      </c>
      <c r="L161" s="6">
        <f t="shared" ca="1" si="41"/>
        <v>8</v>
      </c>
      <c r="M161" s="68">
        <f ca="1">IFERROR(__xludf.DUMMYFUNCTION("""COMPUTED_VALUE"""),43322.6666666666)</f>
        <v>43322.666666666599</v>
      </c>
      <c r="N161" s="6">
        <f ca="1">IFERROR(__xludf.DUMMYFUNCTION("""COMPUTED_VALUE"""),7839.11)</f>
        <v>7839.11</v>
      </c>
      <c r="R161" s="6" t="str">
        <f t="shared" ca="1" si="42"/>
        <v>20188</v>
      </c>
      <c r="S161" s="6">
        <f t="shared" ca="1" si="43"/>
        <v>2018</v>
      </c>
      <c r="T161" s="6">
        <f t="shared" ca="1" si="44"/>
        <v>8</v>
      </c>
      <c r="U161" s="68">
        <f ca="1">IFERROR(__xludf.DUMMYFUNCTION("""COMPUTED_VALUE"""),43334.6458333333)</f>
        <v>43334.645833333299</v>
      </c>
      <c r="V161" s="6">
        <f ca="1">IFERROR(__xludf.DUMMYFUNCTION("""COMPUTED_VALUE"""),2273.33)</f>
        <v>2273.33</v>
      </c>
      <c r="Z161" s="6" t="str">
        <f t="shared" ca="1" si="45"/>
        <v>20186</v>
      </c>
      <c r="AA161" s="6">
        <f t="shared" ca="1" si="46"/>
        <v>2018</v>
      </c>
      <c r="AB161" s="6">
        <f t="shared" ca="1" si="47"/>
        <v>6</v>
      </c>
      <c r="AC161" s="68">
        <f ca="1">IFERROR(__xludf.DUMMYFUNCTION("""COMPUTED_VALUE"""),43258.9986111111)</f>
        <v>43258.998611111099</v>
      </c>
      <c r="AD161" s="6">
        <f ca="1">IFERROR(__xludf.DUMMYFUNCTION("""COMPUTED_VALUE"""),1071.33)</f>
        <v>1071.33</v>
      </c>
      <c r="AH161" s="6" t="str">
        <f t="shared" ca="1" si="48"/>
        <v>20186</v>
      </c>
      <c r="AI161" s="6">
        <f t="shared" ca="1" si="49"/>
        <v>2018</v>
      </c>
      <c r="AJ161" s="6">
        <f t="shared" ca="1" si="50"/>
        <v>6</v>
      </c>
      <c r="AK161" s="68">
        <f ca="1">IFERROR(__xludf.DUMMYFUNCTION("""COMPUTED_VALUE"""),43253.9986111111)</f>
        <v>43253.998611111099</v>
      </c>
      <c r="AL161" s="6">
        <f ca="1">IFERROR(__xludf.DUMMYFUNCTION("""COMPUTED_VALUE"""),7634.31)</f>
        <v>7634.31</v>
      </c>
      <c r="AP161" s="6" t="str">
        <f t="shared" ca="1" si="51"/>
        <v>20188</v>
      </c>
      <c r="AQ161" s="6">
        <f t="shared" ca="1" si="52"/>
        <v>2018</v>
      </c>
      <c r="AR161" s="6">
        <f t="shared" ca="1" si="53"/>
        <v>8</v>
      </c>
      <c r="AS161" s="68">
        <f ca="1">IFERROR(__xludf.DUMMYFUNCTION("""COMPUTED_VALUE"""),43325.9986111111)</f>
        <v>43325.998611111099</v>
      </c>
      <c r="AT161" s="6">
        <f ca="1">IFERROR(__xludf.DUMMYFUNCTION("""COMPUTED_VALUE"""),1198.9)</f>
        <v>1198.9000000000001</v>
      </c>
    </row>
    <row r="162" spans="2:46" x14ac:dyDescent="0.35">
      <c r="B162" s="6" t="str">
        <f t="shared" ca="1" si="36"/>
        <v>20188</v>
      </c>
      <c r="C162" s="6">
        <f t="shared" ca="1" si="37"/>
        <v>2018</v>
      </c>
      <c r="D162" s="6">
        <f t="shared" ca="1" si="38"/>
        <v>8</v>
      </c>
      <c r="E162" s="68">
        <f ca="1">IFERROR(__xludf.DUMMYFUNCTION("""COMPUTED_VALUE"""),43325.6666666666)</f>
        <v>43325.666666666599</v>
      </c>
      <c r="F162" s="6">
        <f ca="1">IFERROR(__xludf.DUMMYFUNCTION("""COMPUTED_VALUE"""),2821.93)</f>
        <v>2821.93</v>
      </c>
      <c r="J162" s="6" t="str">
        <f t="shared" ca="1" si="39"/>
        <v>20188</v>
      </c>
      <c r="K162" s="6">
        <f t="shared" ca="1" si="40"/>
        <v>2018</v>
      </c>
      <c r="L162" s="6">
        <f t="shared" ca="1" si="41"/>
        <v>8</v>
      </c>
      <c r="M162" s="68">
        <f ca="1">IFERROR(__xludf.DUMMYFUNCTION("""COMPUTED_VALUE"""),43325.6666666666)</f>
        <v>43325.666666666599</v>
      </c>
      <c r="N162" s="6">
        <f ca="1">IFERROR(__xludf.DUMMYFUNCTION("""COMPUTED_VALUE"""),7819.71)</f>
        <v>7819.71</v>
      </c>
      <c r="R162" s="6" t="str">
        <f t="shared" ca="1" si="42"/>
        <v>20188</v>
      </c>
      <c r="S162" s="6">
        <f t="shared" ca="1" si="43"/>
        <v>2018</v>
      </c>
      <c r="T162" s="6">
        <f t="shared" ca="1" si="44"/>
        <v>8</v>
      </c>
      <c r="U162" s="68">
        <f ca="1">IFERROR(__xludf.DUMMYFUNCTION("""COMPUTED_VALUE"""),43335.6458333333)</f>
        <v>43335.645833333299</v>
      </c>
      <c r="V162" s="6">
        <f ca="1">IFERROR(__xludf.DUMMYFUNCTION("""COMPUTED_VALUE"""),2282.6)</f>
        <v>2282.6</v>
      </c>
      <c r="Z162" s="6" t="str">
        <f t="shared" ca="1" si="45"/>
        <v>20186</v>
      </c>
      <c r="AA162" s="6">
        <f t="shared" ca="1" si="46"/>
        <v>2018</v>
      </c>
      <c r="AB162" s="6">
        <f t="shared" ca="1" si="47"/>
        <v>6</v>
      </c>
      <c r="AC162" s="68">
        <f ca="1">IFERROR(__xludf.DUMMYFUNCTION("""COMPUTED_VALUE"""),43259.9986111111)</f>
        <v>43259.998611111099</v>
      </c>
      <c r="AD162" s="6">
        <f ca="1">IFERROR(__xludf.DUMMYFUNCTION("""COMPUTED_VALUE"""),1073.36)</f>
        <v>1073.3599999999999</v>
      </c>
      <c r="AH162" s="6" t="str">
        <f t="shared" ca="1" si="48"/>
        <v>20186</v>
      </c>
      <c r="AI162" s="6">
        <f t="shared" ca="1" si="49"/>
        <v>2018</v>
      </c>
      <c r="AJ162" s="6">
        <f t="shared" ca="1" si="50"/>
        <v>6</v>
      </c>
      <c r="AK162" s="68">
        <f ca="1">IFERROR(__xludf.DUMMYFUNCTION("""COMPUTED_VALUE"""),43254.9986111111)</f>
        <v>43254.998611111099</v>
      </c>
      <c r="AL162" s="6">
        <f ca="1">IFERROR(__xludf.DUMMYFUNCTION("""COMPUTED_VALUE"""),7713.28)</f>
        <v>7713.28</v>
      </c>
      <c r="AP162" s="6" t="str">
        <f t="shared" ca="1" si="51"/>
        <v>20188</v>
      </c>
      <c r="AQ162" s="6">
        <f t="shared" ca="1" si="52"/>
        <v>2018</v>
      </c>
      <c r="AR162" s="6">
        <f t="shared" ca="1" si="53"/>
        <v>8</v>
      </c>
      <c r="AS162" s="68">
        <f ca="1">IFERROR(__xludf.DUMMYFUNCTION("""COMPUTED_VALUE"""),43326.9986111111)</f>
        <v>43326.998611111099</v>
      </c>
      <c r="AT162" s="6">
        <f ca="1">IFERROR(__xludf.DUMMYFUNCTION("""COMPUTED_VALUE"""),1200.7)</f>
        <v>1200.7</v>
      </c>
    </row>
    <row r="163" spans="2:46" x14ac:dyDescent="0.35">
      <c r="B163" s="6" t="str">
        <f t="shared" ca="1" si="36"/>
        <v>20188</v>
      </c>
      <c r="C163" s="6">
        <f t="shared" ca="1" si="37"/>
        <v>2018</v>
      </c>
      <c r="D163" s="6">
        <f t="shared" ca="1" si="38"/>
        <v>8</v>
      </c>
      <c r="E163" s="68">
        <f ca="1">IFERROR(__xludf.DUMMYFUNCTION("""COMPUTED_VALUE"""),43326.6666666666)</f>
        <v>43326.666666666599</v>
      </c>
      <c r="F163" s="6">
        <f ca="1">IFERROR(__xludf.DUMMYFUNCTION("""COMPUTED_VALUE"""),2839.96)</f>
        <v>2839.96</v>
      </c>
      <c r="J163" s="6" t="str">
        <f t="shared" ca="1" si="39"/>
        <v>20188</v>
      </c>
      <c r="K163" s="6">
        <f t="shared" ca="1" si="40"/>
        <v>2018</v>
      </c>
      <c r="L163" s="6">
        <f t="shared" ca="1" si="41"/>
        <v>8</v>
      </c>
      <c r="M163" s="68">
        <f ca="1">IFERROR(__xludf.DUMMYFUNCTION("""COMPUTED_VALUE"""),43326.6666666666)</f>
        <v>43326.666666666599</v>
      </c>
      <c r="N163" s="6">
        <f ca="1">IFERROR(__xludf.DUMMYFUNCTION("""COMPUTED_VALUE"""),7870.89)</f>
        <v>7870.89</v>
      </c>
      <c r="R163" s="6" t="str">
        <f t="shared" ca="1" si="42"/>
        <v>20188</v>
      </c>
      <c r="S163" s="6">
        <f t="shared" ca="1" si="43"/>
        <v>2018</v>
      </c>
      <c r="T163" s="6">
        <f t="shared" ca="1" si="44"/>
        <v>8</v>
      </c>
      <c r="U163" s="68">
        <f ca="1">IFERROR(__xludf.DUMMYFUNCTION("""COMPUTED_VALUE"""),43336.6458333333)</f>
        <v>43336.645833333299</v>
      </c>
      <c r="V163" s="6">
        <f ca="1">IFERROR(__xludf.DUMMYFUNCTION("""COMPUTED_VALUE"""),2293.21)</f>
        <v>2293.21</v>
      </c>
      <c r="Z163" s="6" t="str">
        <f t="shared" ca="1" si="45"/>
        <v>20186</v>
      </c>
      <c r="AA163" s="6">
        <f t="shared" ca="1" si="46"/>
        <v>2018</v>
      </c>
      <c r="AB163" s="6">
        <f t="shared" ca="1" si="47"/>
        <v>6</v>
      </c>
      <c r="AC163" s="68">
        <f ca="1">IFERROR(__xludf.DUMMYFUNCTION("""COMPUTED_VALUE"""),43260.9986111111)</f>
        <v>43260.998611111099</v>
      </c>
      <c r="AD163" s="6">
        <f ca="1">IFERROR(__xludf.DUMMYFUNCTION("""COMPUTED_VALUE"""),1072.9)</f>
        <v>1072.9000000000001</v>
      </c>
      <c r="AH163" s="6" t="str">
        <f t="shared" ca="1" si="48"/>
        <v>20186</v>
      </c>
      <c r="AI163" s="6">
        <f t="shared" ca="1" si="49"/>
        <v>2018</v>
      </c>
      <c r="AJ163" s="6">
        <f t="shared" ca="1" si="50"/>
        <v>6</v>
      </c>
      <c r="AK163" s="68">
        <f ca="1">IFERROR(__xludf.DUMMYFUNCTION("""COMPUTED_VALUE"""),43255.9986111111)</f>
        <v>43255.998611111099</v>
      </c>
      <c r="AL163" s="6">
        <f ca="1">IFERROR(__xludf.DUMMYFUNCTION("""COMPUTED_VALUE"""),7491.05)</f>
        <v>7491.05</v>
      </c>
      <c r="AP163" s="6" t="str">
        <f t="shared" ca="1" si="51"/>
        <v>20188</v>
      </c>
      <c r="AQ163" s="6">
        <f t="shared" ca="1" si="52"/>
        <v>2018</v>
      </c>
      <c r="AR163" s="6">
        <f t="shared" ca="1" si="53"/>
        <v>8</v>
      </c>
      <c r="AS163" s="68">
        <f ca="1">IFERROR(__xludf.DUMMYFUNCTION("""COMPUTED_VALUE"""),43327.9986111111)</f>
        <v>43327.998611111099</v>
      </c>
      <c r="AT163" s="6">
        <f ca="1">IFERROR(__xludf.DUMMYFUNCTION("""COMPUTED_VALUE"""),1185)</f>
        <v>1185</v>
      </c>
    </row>
    <row r="164" spans="2:46" x14ac:dyDescent="0.35">
      <c r="B164" s="6" t="str">
        <f t="shared" ca="1" si="36"/>
        <v>20188</v>
      </c>
      <c r="C164" s="6">
        <f t="shared" ca="1" si="37"/>
        <v>2018</v>
      </c>
      <c r="D164" s="6">
        <f t="shared" ca="1" si="38"/>
        <v>8</v>
      </c>
      <c r="E164" s="68">
        <f ca="1">IFERROR(__xludf.DUMMYFUNCTION("""COMPUTED_VALUE"""),43327.6666666666)</f>
        <v>43327.666666666599</v>
      </c>
      <c r="F164" s="6">
        <f ca="1">IFERROR(__xludf.DUMMYFUNCTION("""COMPUTED_VALUE"""),2818.37)</f>
        <v>2818.37</v>
      </c>
      <c r="J164" s="6" t="str">
        <f t="shared" ca="1" si="39"/>
        <v>20188</v>
      </c>
      <c r="K164" s="6">
        <f t="shared" ca="1" si="40"/>
        <v>2018</v>
      </c>
      <c r="L164" s="6">
        <f t="shared" ca="1" si="41"/>
        <v>8</v>
      </c>
      <c r="M164" s="68">
        <f ca="1">IFERROR(__xludf.DUMMYFUNCTION("""COMPUTED_VALUE"""),43327.6666666666)</f>
        <v>43327.666666666599</v>
      </c>
      <c r="N164" s="6">
        <f ca="1">IFERROR(__xludf.DUMMYFUNCTION("""COMPUTED_VALUE"""),7774.12)</f>
        <v>7774.12</v>
      </c>
      <c r="R164" s="6" t="str">
        <f t="shared" ca="1" si="42"/>
        <v>20188</v>
      </c>
      <c r="S164" s="6">
        <f t="shared" ca="1" si="43"/>
        <v>2018</v>
      </c>
      <c r="T164" s="6">
        <f t="shared" ca="1" si="44"/>
        <v>8</v>
      </c>
      <c r="U164" s="68">
        <f ca="1">IFERROR(__xludf.DUMMYFUNCTION("""COMPUTED_VALUE"""),43339.6458333333)</f>
        <v>43339.645833333299</v>
      </c>
      <c r="V164" s="6">
        <f ca="1">IFERROR(__xludf.DUMMYFUNCTION("""COMPUTED_VALUE"""),2299.3)</f>
        <v>2299.3000000000002</v>
      </c>
      <c r="Z164" s="6" t="str">
        <f t="shared" ca="1" si="45"/>
        <v>20186</v>
      </c>
      <c r="AA164" s="6">
        <f t="shared" ca="1" si="46"/>
        <v>2018</v>
      </c>
      <c r="AB164" s="6">
        <f t="shared" ca="1" si="47"/>
        <v>6</v>
      </c>
      <c r="AC164" s="68">
        <f ca="1">IFERROR(__xludf.DUMMYFUNCTION("""COMPUTED_VALUE"""),43261.9986111111)</f>
        <v>43261.998611111099</v>
      </c>
      <c r="AD164" s="6">
        <f ca="1">IFERROR(__xludf.DUMMYFUNCTION("""COMPUTED_VALUE"""),1072.65)</f>
        <v>1072.6500000000001</v>
      </c>
      <c r="AH164" s="6" t="str">
        <f t="shared" ca="1" si="48"/>
        <v>20186</v>
      </c>
      <c r="AI164" s="6">
        <f t="shared" ca="1" si="49"/>
        <v>2018</v>
      </c>
      <c r="AJ164" s="6">
        <f t="shared" ca="1" si="50"/>
        <v>6</v>
      </c>
      <c r="AK164" s="68">
        <f ca="1">IFERROR(__xludf.DUMMYFUNCTION("""COMPUTED_VALUE"""),43256.9986111111)</f>
        <v>43256.998611111099</v>
      </c>
      <c r="AL164" s="6">
        <f ca="1">IFERROR(__xludf.DUMMYFUNCTION("""COMPUTED_VALUE"""),7619.61)</f>
        <v>7619.61</v>
      </c>
      <c r="AP164" s="6" t="str">
        <f t="shared" ca="1" si="51"/>
        <v>20188</v>
      </c>
      <c r="AQ164" s="6">
        <f t="shared" ca="1" si="52"/>
        <v>2018</v>
      </c>
      <c r="AR164" s="6">
        <f t="shared" ca="1" si="53"/>
        <v>8</v>
      </c>
      <c r="AS164" s="68">
        <f ca="1">IFERROR(__xludf.DUMMYFUNCTION("""COMPUTED_VALUE"""),43328.9986111111)</f>
        <v>43328.998611111099</v>
      </c>
      <c r="AT164" s="6">
        <f ca="1">IFERROR(__xludf.DUMMYFUNCTION("""COMPUTED_VALUE"""),1184)</f>
        <v>1184</v>
      </c>
    </row>
    <row r="165" spans="2:46" x14ac:dyDescent="0.35">
      <c r="B165" s="6" t="str">
        <f t="shared" ca="1" si="36"/>
        <v>20188</v>
      </c>
      <c r="C165" s="6">
        <f t="shared" ca="1" si="37"/>
        <v>2018</v>
      </c>
      <c r="D165" s="6">
        <f t="shared" ca="1" si="38"/>
        <v>8</v>
      </c>
      <c r="E165" s="68">
        <f ca="1">IFERROR(__xludf.DUMMYFUNCTION("""COMPUTED_VALUE"""),43328.6666666666)</f>
        <v>43328.666666666599</v>
      </c>
      <c r="F165" s="6">
        <f ca="1">IFERROR(__xludf.DUMMYFUNCTION("""COMPUTED_VALUE"""),2840.69)</f>
        <v>2840.69</v>
      </c>
      <c r="J165" s="6" t="str">
        <f t="shared" ca="1" si="39"/>
        <v>20188</v>
      </c>
      <c r="K165" s="6">
        <f t="shared" ca="1" si="40"/>
        <v>2018</v>
      </c>
      <c r="L165" s="6">
        <f t="shared" ca="1" si="41"/>
        <v>8</v>
      </c>
      <c r="M165" s="68">
        <f ca="1">IFERROR(__xludf.DUMMYFUNCTION("""COMPUTED_VALUE"""),43328.6666666666)</f>
        <v>43328.666666666599</v>
      </c>
      <c r="N165" s="6">
        <f ca="1">IFERROR(__xludf.DUMMYFUNCTION("""COMPUTED_VALUE"""),7806.52)</f>
        <v>7806.52</v>
      </c>
      <c r="R165" s="6" t="str">
        <f t="shared" ca="1" si="42"/>
        <v>20188</v>
      </c>
      <c r="S165" s="6">
        <f t="shared" ca="1" si="43"/>
        <v>2018</v>
      </c>
      <c r="T165" s="6">
        <f t="shared" ca="1" si="44"/>
        <v>8</v>
      </c>
      <c r="U165" s="68">
        <f ca="1">IFERROR(__xludf.DUMMYFUNCTION("""COMPUTED_VALUE"""),43340.6458333333)</f>
        <v>43340.645833333299</v>
      </c>
      <c r="V165" s="6">
        <f ca="1">IFERROR(__xludf.DUMMYFUNCTION("""COMPUTED_VALUE"""),2303.12)</f>
        <v>2303.12</v>
      </c>
      <c r="Z165" s="6" t="str">
        <f t="shared" ca="1" si="45"/>
        <v>20186</v>
      </c>
      <c r="AA165" s="6">
        <f t="shared" ca="1" si="46"/>
        <v>2018</v>
      </c>
      <c r="AB165" s="6">
        <f t="shared" ca="1" si="47"/>
        <v>6</v>
      </c>
      <c r="AC165" s="68">
        <f ca="1">IFERROR(__xludf.DUMMYFUNCTION("""COMPUTED_VALUE"""),43262.9986111111)</f>
        <v>43262.998611111099</v>
      </c>
      <c r="AD165" s="6">
        <f ca="1">IFERROR(__xludf.DUMMYFUNCTION("""COMPUTED_VALUE"""),1076.38)</f>
        <v>1076.3800000000001</v>
      </c>
      <c r="AH165" s="6" t="str">
        <f t="shared" ca="1" si="48"/>
        <v>20186</v>
      </c>
      <c r="AI165" s="6">
        <f t="shared" ca="1" si="49"/>
        <v>2018</v>
      </c>
      <c r="AJ165" s="6">
        <f t="shared" ca="1" si="50"/>
        <v>6</v>
      </c>
      <c r="AK165" s="68">
        <f ca="1">IFERROR(__xludf.DUMMYFUNCTION("""COMPUTED_VALUE"""),43257.9986111111)</f>
        <v>43257.998611111099</v>
      </c>
      <c r="AL165" s="6">
        <f ca="1">IFERROR(__xludf.DUMMYFUNCTION("""COMPUTED_VALUE"""),7654.93)</f>
        <v>7654.93</v>
      </c>
      <c r="AP165" s="6" t="str">
        <f t="shared" ca="1" si="51"/>
        <v>20188</v>
      </c>
      <c r="AQ165" s="6">
        <f t="shared" ca="1" si="52"/>
        <v>2018</v>
      </c>
      <c r="AR165" s="6">
        <f t="shared" ca="1" si="53"/>
        <v>8</v>
      </c>
      <c r="AS165" s="68">
        <f ca="1">IFERROR(__xludf.DUMMYFUNCTION("""COMPUTED_VALUE"""),43329.9986111111)</f>
        <v>43329.998611111099</v>
      </c>
      <c r="AT165" s="6">
        <f ca="1">IFERROR(__xludf.DUMMYFUNCTION("""COMPUTED_VALUE"""),1184.2)</f>
        <v>1184.2</v>
      </c>
    </row>
    <row r="166" spans="2:46" x14ac:dyDescent="0.35">
      <c r="B166" s="6" t="str">
        <f t="shared" ca="1" si="36"/>
        <v>20188</v>
      </c>
      <c r="C166" s="6">
        <f t="shared" ca="1" si="37"/>
        <v>2018</v>
      </c>
      <c r="D166" s="6">
        <f t="shared" ca="1" si="38"/>
        <v>8</v>
      </c>
      <c r="E166" s="68">
        <f ca="1">IFERROR(__xludf.DUMMYFUNCTION("""COMPUTED_VALUE"""),43329.6666666666)</f>
        <v>43329.666666666599</v>
      </c>
      <c r="F166" s="6">
        <f ca="1">IFERROR(__xludf.DUMMYFUNCTION("""COMPUTED_VALUE"""),2850.13)</f>
        <v>2850.13</v>
      </c>
      <c r="J166" s="6" t="str">
        <f t="shared" ca="1" si="39"/>
        <v>20188</v>
      </c>
      <c r="K166" s="6">
        <f t="shared" ca="1" si="40"/>
        <v>2018</v>
      </c>
      <c r="L166" s="6">
        <f t="shared" ca="1" si="41"/>
        <v>8</v>
      </c>
      <c r="M166" s="68">
        <f ca="1">IFERROR(__xludf.DUMMYFUNCTION("""COMPUTED_VALUE"""),43329.6666666666)</f>
        <v>43329.666666666599</v>
      </c>
      <c r="N166" s="6">
        <f ca="1">IFERROR(__xludf.DUMMYFUNCTION("""COMPUTED_VALUE"""),7816.33)</f>
        <v>7816.33</v>
      </c>
      <c r="R166" s="6" t="str">
        <f t="shared" ca="1" si="42"/>
        <v>20188</v>
      </c>
      <c r="S166" s="6">
        <f t="shared" ca="1" si="43"/>
        <v>2018</v>
      </c>
      <c r="T166" s="6">
        <f t="shared" ca="1" si="44"/>
        <v>8</v>
      </c>
      <c r="U166" s="68">
        <f ca="1">IFERROR(__xludf.DUMMYFUNCTION("""COMPUTED_VALUE"""),43341.6458333333)</f>
        <v>43341.645833333299</v>
      </c>
      <c r="V166" s="6">
        <f ca="1">IFERROR(__xludf.DUMMYFUNCTION("""COMPUTED_VALUE"""),2309.03)</f>
        <v>2309.0300000000002</v>
      </c>
      <c r="Z166" s="6" t="str">
        <f t="shared" ca="1" si="45"/>
        <v>20186</v>
      </c>
      <c r="AA166" s="6">
        <f t="shared" ca="1" si="46"/>
        <v>2018</v>
      </c>
      <c r="AB166" s="6">
        <f t="shared" ca="1" si="47"/>
        <v>6</v>
      </c>
      <c r="AC166" s="68">
        <f ca="1">IFERROR(__xludf.DUMMYFUNCTION("""COMPUTED_VALUE"""),43263.9986111111)</f>
        <v>43263.998611111099</v>
      </c>
      <c r="AD166" s="6">
        <f ca="1">IFERROR(__xludf.DUMMYFUNCTION("""COMPUTED_VALUE"""),1079.25)</f>
        <v>1079.25</v>
      </c>
      <c r="AH166" s="6" t="str">
        <f t="shared" ca="1" si="48"/>
        <v>20186</v>
      </c>
      <c r="AI166" s="6">
        <f t="shared" ca="1" si="49"/>
        <v>2018</v>
      </c>
      <c r="AJ166" s="6">
        <f t="shared" ca="1" si="50"/>
        <v>6</v>
      </c>
      <c r="AK166" s="68">
        <f ca="1">IFERROR(__xludf.DUMMYFUNCTION("""COMPUTED_VALUE"""),43258.9986111111)</f>
        <v>43258.998611111099</v>
      </c>
      <c r="AL166" s="6">
        <f ca="1">IFERROR(__xludf.DUMMYFUNCTION("""COMPUTED_VALUE"""),7687.9)</f>
        <v>7687.9</v>
      </c>
      <c r="AP166" s="6" t="str">
        <f t="shared" ca="1" si="51"/>
        <v>20188</v>
      </c>
      <c r="AQ166" s="6">
        <f t="shared" ca="1" si="52"/>
        <v>2018</v>
      </c>
      <c r="AR166" s="6">
        <f t="shared" ca="1" si="53"/>
        <v>8</v>
      </c>
      <c r="AS166" s="68">
        <f ca="1">IFERROR(__xludf.DUMMYFUNCTION("""COMPUTED_VALUE"""),43332.9986111111)</f>
        <v>43332.998611111099</v>
      </c>
      <c r="AT166" s="6">
        <f ca="1">IFERROR(__xludf.DUMMYFUNCTION("""COMPUTED_VALUE"""),1194.6)</f>
        <v>1194.5999999999999</v>
      </c>
    </row>
    <row r="167" spans="2:46" x14ac:dyDescent="0.35">
      <c r="B167" s="6" t="str">
        <f t="shared" ca="1" si="36"/>
        <v>20188</v>
      </c>
      <c r="C167" s="6">
        <f t="shared" ca="1" si="37"/>
        <v>2018</v>
      </c>
      <c r="D167" s="6">
        <f t="shared" ca="1" si="38"/>
        <v>8</v>
      </c>
      <c r="E167" s="68">
        <f ca="1">IFERROR(__xludf.DUMMYFUNCTION("""COMPUTED_VALUE"""),43332.6666666666)</f>
        <v>43332.666666666599</v>
      </c>
      <c r="F167" s="6">
        <f ca="1">IFERROR(__xludf.DUMMYFUNCTION("""COMPUTED_VALUE"""),2857.05)</f>
        <v>2857.05</v>
      </c>
      <c r="J167" s="6" t="str">
        <f t="shared" ca="1" si="39"/>
        <v>20188</v>
      </c>
      <c r="K167" s="6">
        <f t="shared" ca="1" si="40"/>
        <v>2018</v>
      </c>
      <c r="L167" s="6">
        <f t="shared" ca="1" si="41"/>
        <v>8</v>
      </c>
      <c r="M167" s="68">
        <f ca="1">IFERROR(__xludf.DUMMYFUNCTION("""COMPUTED_VALUE"""),43332.6666666666)</f>
        <v>43332.666666666599</v>
      </c>
      <c r="N167" s="6">
        <f ca="1">IFERROR(__xludf.DUMMYFUNCTION("""COMPUTED_VALUE"""),7821.01)</f>
        <v>7821.01</v>
      </c>
      <c r="R167" s="6" t="str">
        <f t="shared" ca="1" si="42"/>
        <v>20188</v>
      </c>
      <c r="S167" s="6">
        <f t="shared" ca="1" si="43"/>
        <v>2018</v>
      </c>
      <c r="T167" s="6">
        <f t="shared" ca="1" si="44"/>
        <v>8</v>
      </c>
      <c r="U167" s="68">
        <f ca="1">IFERROR(__xludf.DUMMYFUNCTION("""COMPUTED_VALUE"""),43343.6458333333)</f>
        <v>43343.645833333299</v>
      </c>
      <c r="V167" s="6">
        <f ca="1">IFERROR(__xludf.DUMMYFUNCTION("""COMPUTED_VALUE"""),2322.88)</f>
        <v>2322.88</v>
      </c>
      <c r="Z167" s="6" t="str">
        <f t="shared" ca="1" si="45"/>
        <v>20186</v>
      </c>
      <c r="AA167" s="6">
        <f t="shared" ca="1" si="46"/>
        <v>2018</v>
      </c>
      <c r="AB167" s="6">
        <f t="shared" ca="1" si="47"/>
        <v>6</v>
      </c>
      <c r="AC167" s="68">
        <f ca="1">IFERROR(__xludf.DUMMYFUNCTION("""COMPUTED_VALUE"""),43264.9986111111)</f>
        <v>43264.998611111099</v>
      </c>
      <c r="AD167" s="6">
        <f ca="1">IFERROR(__xludf.DUMMYFUNCTION("""COMPUTED_VALUE"""),1084.7)</f>
        <v>1084.7</v>
      </c>
      <c r="AH167" s="6" t="str">
        <f t="shared" ca="1" si="48"/>
        <v>20186</v>
      </c>
      <c r="AI167" s="6">
        <f t="shared" ca="1" si="49"/>
        <v>2018</v>
      </c>
      <c r="AJ167" s="6">
        <f t="shared" ca="1" si="50"/>
        <v>6</v>
      </c>
      <c r="AK167" s="68">
        <f ca="1">IFERROR(__xludf.DUMMYFUNCTION("""COMPUTED_VALUE"""),43259.9986111111)</f>
        <v>43259.998611111099</v>
      </c>
      <c r="AL167" s="6">
        <f ca="1">IFERROR(__xludf.DUMMYFUNCTION("""COMPUTED_VALUE"""),7617.21)</f>
        <v>7617.21</v>
      </c>
      <c r="AP167" s="6" t="str">
        <f t="shared" ca="1" si="51"/>
        <v>20188</v>
      </c>
      <c r="AQ167" s="6">
        <f t="shared" ca="1" si="52"/>
        <v>2018</v>
      </c>
      <c r="AR167" s="6">
        <f t="shared" ca="1" si="53"/>
        <v>8</v>
      </c>
      <c r="AS167" s="68">
        <f ca="1">IFERROR(__xludf.DUMMYFUNCTION("""COMPUTED_VALUE"""),43333.9986111111)</f>
        <v>43333.998611111099</v>
      </c>
      <c r="AT167" s="6">
        <f ca="1">IFERROR(__xludf.DUMMYFUNCTION("""COMPUTED_VALUE"""),1200)</f>
        <v>1200</v>
      </c>
    </row>
    <row r="168" spans="2:46" x14ac:dyDescent="0.35">
      <c r="B168" s="6" t="str">
        <f t="shared" ca="1" si="36"/>
        <v>20188</v>
      </c>
      <c r="C168" s="6">
        <f t="shared" ca="1" si="37"/>
        <v>2018</v>
      </c>
      <c r="D168" s="6">
        <f t="shared" ca="1" si="38"/>
        <v>8</v>
      </c>
      <c r="E168" s="68">
        <f ca="1">IFERROR(__xludf.DUMMYFUNCTION("""COMPUTED_VALUE"""),43333.6666666666)</f>
        <v>43333.666666666599</v>
      </c>
      <c r="F168" s="6">
        <f ca="1">IFERROR(__xludf.DUMMYFUNCTION("""COMPUTED_VALUE"""),2862.96)</f>
        <v>2862.96</v>
      </c>
      <c r="J168" s="6" t="str">
        <f t="shared" ca="1" si="39"/>
        <v>20188</v>
      </c>
      <c r="K168" s="6">
        <f t="shared" ca="1" si="40"/>
        <v>2018</v>
      </c>
      <c r="L168" s="6">
        <f t="shared" ca="1" si="41"/>
        <v>8</v>
      </c>
      <c r="M168" s="68">
        <f ca="1">IFERROR(__xludf.DUMMYFUNCTION("""COMPUTED_VALUE"""),43333.6666666666)</f>
        <v>43333.666666666599</v>
      </c>
      <c r="N168" s="6">
        <f ca="1">IFERROR(__xludf.DUMMYFUNCTION("""COMPUTED_VALUE"""),7859.17)</f>
        <v>7859.17</v>
      </c>
      <c r="R168" s="6" t="str">
        <f t="shared" ca="1" si="42"/>
        <v>20189</v>
      </c>
      <c r="S168" s="6">
        <f t="shared" ca="1" si="43"/>
        <v>2018</v>
      </c>
      <c r="T168" s="6">
        <f t="shared" ca="1" si="44"/>
        <v>9</v>
      </c>
      <c r="U168" s="68">
        <f ca="1">IFERROR(__xludf.DUMMYFUNCTION("""COMPUTED_VALUE"""),43346.6458333333)</f>
        <v>43346.645833333299</v>
      </c>
      <c r="V168" s="6">
        <f ca="1">IFERROR(__xludf.DUMMYFUNCTION("""COMPUTED_VALUE"""),2307.03)</f>
        <v>2307.0300000000002</v>
      </c>
      <c r="Z168" s="6" t="str">
        <f t="shared" ca="1" si="45"/>
        <v>20186</v>
      </c>
      <c r="AA168" s="6">
        <f t="shared" ca="1" si="46"/>
        <v>2018</v>
      </c>
      <c r="AB168" s="6">
        <f t="shared" ca="1" si="47"/>
        <v>6</v>
      </c>
      <c r="AC168" s="68">
        <f ca="1">IFERROR(__xludf.DUMMYFUNCTION("""COMPUTED_VALUE"""),43265.9986111111)</f>
        <v>43265.998611111099</v>
      </c>
      <c r="AD168" s="6">
        <f ca="1">IFERROR(__xludf.DUMMYFUNCTION("""COMPUTED_VALUE"""),1090.77)</f>
        <v>1090.77</v>
      </c>
      <c r="AH168" s="6" t="str">
        <f t="shared" ca="1" si="48"/>
        <v>20186</v>
      </c>
      <c r="AI168" s="6">
        <f t="shared" ca="1" si="49"/>
        <v>2018</v>
      </c>
      <c r="AJ168" s="6">
        <f t="shared" ca="1" si="50"/>
        <v>6</v>
      </c>
      <c r="AK168" s="68">
        <f ca="1">IFERROR(__xludf.DUMMYFUNCTION("""COMPUTED_VALUE"""),43260.9986111111)</f>
        <v>43260.998611111099</v>
      </c>
      <c r="AL168" s="6">
        <f ca="1">IFERROR(__xludf.DUMMYFUNCTION("""COMPUTED_VALUE"""),7493.39)</f>
        <v>7493.39</v>
      </c>
      <c r="AP168" s="6" t="str">
        <f t="shared" ca="1" si="51"/>
        <v>20188</v>
      </c>
      <c r="AQ168" s="6">
        <f t="shared" ca="1" si="52"/>
        <v>2018</v>
      </c>
      <c r="AR168" s="6">
        <f t="shared" ca="1" si="53"/>
        <v>8</v>
      </c>
      <c r="AS168" s="68">
        <f ca="1">IFERROR(__xludf.DUMMYFUNCTION("""COMPUTED_VALUE"""),43334.9986111111)</f>
        <v>43334.998611111099</v>
      </c>
      <c r="AT168" s="6">
        <f ca="1">IFERROR(__xludf.DUMMYFUNCTION("""COMPUTED_VALUE"""),1203.3)</f>
        <v>1203.3</v>
      </c>
    </row>
    <row r="169" spans="2:46" x14ac:dyDescent="0.35">
      <c r="B169" s="6" t="str">
        <f t="shared" ca="1" si="36"/>
        <v>20188</v>
      </c>
      <c r="C169" s="6">
        <f t="shared" ca="1" si="37"/>
        <v>2018</v>
      </c>
      <c r="D169" s="6">
        <f t="shared" ca="1" si="38"/>
        <v>8</v>
      </c>
      <c r="E169" s="68">
        <f ca="1">IFERROR(__xludf.DUMMYFUNCTION("""COMPUTED_VALUE"""),43334.6666666666)</f>
        <v>43334.666666666599</v>
      </c>
      <c r="F169" s="6">
        <f ca="1">IFERROR(__xludf.DUMMYFUNCTION("""COMPUTED_VALUE"""),2861.82)</f>
        <v>2861.82</v>
      </c>
      <c r="J169" s="6" t="str">
        <f t="shared" ca="1" si="39"/>
        <v>20188</v>
      </c>
      <c r="K169" s="6">
        <f t="shared" ca="1" si="40"/>
        <v>2018</v>
      </c>
      <c r="L169" s="6">
        <f t="shared" ca="1" si="41"/>
        <v>8</v>
      </c>
      <c r="M169" s="68">
        <f ca="1">IFERROR(__xludf.DUMMYFUNCTION("""COMPUTED_VALUE"""),43334.6666666666)</f>
        <v>43334.666666666599</v>
      </c>
      <c r="N169" s="6">
        <f ca="1">IFERROR(__xludf.DUMMYFUNCTION("""COMPUTED_VALUE"""),7889.1)</f>
        <v>7889.1</v>
      </c>
      <c r="R169" s="6" t="str">
        <f t="shared" ca="1" si="42"/>
        <v>20189</v>
      </c>
      <c r="S169" s="6">
        <f t="shared" ca="1" si="43"/>
        <v>2018</v>
      </c>
      <c r="T169" s="6">
        <f t="shared" ca="1" si="44"/>
        <v>9</v>
      </c>
      <c r="U169" s="68">
        <f ca="1">IFERROR(__xludf.DUMMYFUNCTION("""COMPUTED_VALUE"""),43347.6458333333)</f>
        <v>43347.645833333299</v>
      </c>
      <c r="V169" s="6">
        <f ca="1">IFERROR(__xludf.DUMMYFUNCTION("""COMPUTED_VALUE"""),2315.72)</f>
        <v>2315.7199999999998</v>
      </c>
      <c r="Z169" s="6" t="str">
        <f t="shared" ca="1" si="45"/>
        <v>20186</v>
      </c>
      <c r="AA169" s="6">
        <f t="shared" ca="1" si="46"/>
        <v>2018</v>
      </c>
      <c r="AB169" s="6">
        <f t="shared" ca="1" si="47"/>
        <v>6</v>
      </c>
      <c r="AC169" s="68">
        <f ca="1">IFERROR(__xludf.DUMMYFUNCTION("""COMPUTED_VALUE"""),43266.9986111111)</f>
        <v>43266.998611111099</v>
      </c>
      <c r="AD169" s="6">
        <f ca="1">IFERROR(__xludf.DUMMYFUNCTION("""COMPUTED_VALUE"""),1101.17)</f>
        <v>1101.17</v>
      </c>
      <c r="AH169" s="6" t="str">
        <f t="shared" ca="1" si="48"/>
        <v>20186</v>
      </c>
      <c r="AI169" s="6">
        <f t="shared" ca="1" si="49"/>
        <v>2018</v>
      </c>
      <c r="AJ169" s="6">
        <f t="shared" ca="1" si="50"/>
        <v>6</v>
      </c>
      <c r="AK169" s="68">
        <f ca="1">IFERROR(__xludf.DUMMYFUNCTION("""COMPUTED_VALUE"""),43261.9986111111)</f>
        <v>43261.998611111099</v>
      </c>
      <c r="AL169" s="6">
        <f ca="1">IFERROR(__xludf.DUMMYFUNCTION("""COMPUTED_VALUE"""),6754.26)</f>
        <v>6754.26</v>
      </c>
      <c r="AP169" s="6" t="str">
        <f t="shared" ca="1" si="51"/>
        <v>20188</v>
      </c>
      <c r="AQ169" s="6">
        <f t="shared" ca="1" si="52"/>
        <v>2018</v>
      </c>
      <c r="AR169" s="6">
        <f t="shared" ca="1" si="53"/>
        <v>8</v>
      </c>
      <c r="AS169" s="68">
        <f ca="1">IFERROR(__xludf.DUMMYFUNCTION("""COMPUTED_VALUE"""),43335.9986111111)</f>
        <v>43335.998611111099</v>
      </c>
      <c r="AT169" s="6">
        <f ca="1">IFERROR(__xludf.DUMMYFUNCTION("""COMPUTED_VALUE"""),1194)</f>
        <v>1194</v>
      </c>
    </row>
    <row r="170" spans="2:46" x14ac:dyDescent="0.35">
      <c r="B170" s="6" t="str">
        <f t="shared" ca="1" si="36"/>
        <v>20188</v>
      </c>
      <c r="C170" s="6">
        <f t="shared" ca="1" si="37"/>
        <v>2018</v>
      </c>
      <c r="D170" s="6">
        <f t="shared" ca="1" si="38"/>
        <v>8</v>
      </c>
      <c r="E170" s="68">
        <f ca="1">IFERROR(__xludf.DUMMYFUNCTION("""COMPUTED_VALUE"""),43335.6666666666)</f>
        <v>43335.666666666599</v>
      </c>
      <c r="F170" s="6">
        <f ca="1">IFERROR(__xludf.DUMMYFUNCTION("""COMPUTED_VALUE"""),2856.98)</f>
        <v>2856.98</v>
      </c>
      <c r="J170" s="6" t="str">
        <f t="shared" ca="1" si="39"/>
        <v>20188</v>
      </c>
      <c r="K170" s="6">
        <f t="shared" ca="1" si="40"/>
        <v>2018</v>
      </c>
      <c r="L170" s="6">
        <f t="shared" ca="1" si="41"/>
        <v>8</v>
      </c>
      <c r="M170" s="68">
        <f ca="1">IFERROR(__xludf.DUMMYFUNCTION("""COMPUTED_VALUE"""),43335.6666666666)</f>
        <v>43335.666666666599</v>
      </c>
      <c r="N170" s="6">
        <f ca="1">IFERROR(__xludf.DUMMYFUNCTION("""COMPUTED_VALUE"""),7878.46)</f>
        <v>7878.46</v>
      </c>
      <c r="R170" s="6" t="str">
        <f t="shared" ca="1" si="42"/>
        <v>20189</v>
      </c>
      <c r="S170" s="6">
        <f t="shared" ca="1" si="43"/>
        <v>2018</v>
      </c>
      <c r="T170" s="6">
        <f t="shared" ca="1" si="44"/>
        <v>9</v>
      </c>
      <c r="U170" s="68">
        <f ca="1">IFERROR(__xludf.DUMMYFUNCTION("""COMPUTED_VALUE"""),43348.6458333333)</f>
        <v>43348.645833333299</v>
      </c>
      <c r="V170" s="6">
        <f ca="1">IFERROR(__xludf.DUMMYFUNCTION("""COMPUTED_VALUE"""),2291.77)</f>
        <v>2291.77</v>
      </c>
      <c r="Z170" s="6" t="str">
        <f t="shared" ca="1" si="45"/>
        <v>20186</v>
      </c>
      <c r="AA170" s="6">
        <f t="shared" ca="1" si="46"/>
        <v>2018</v>
      </c>
      <c r="AB170" s="6">
        <f t="shared" ca="1" si="47"/>
        <v>6</v>
      </c>
      <c r="AC170" s="68">
        <f ca="1">IFERROR(__xludf.DUMMYFUNCTION("""COMPUTED_VALUE"""),43268.9986111111)</f>
        <v>43268.998611111099</v>
      </c>
      <c r="AD170" s="6">
        <f ca="1">IFERROR(__xludf.DUMMYFUNCTION("""COMPUTED_VALUE"""),1103.82)</f>
        <v>1103.82</v>
      </c>
      <c r="AH170" s="6" t="str">
        <f t="shared" ca="1" si="48"/>
        <v>20186</v>
      </c>
      <c r="AI170" s="6">
        <f t="shared" ca="1" si="49"/>
        <v>2018</v>
      </c>
      <c r="AJ170" s="6">
        <f t="shared" ca="1" si="50"/>
        <v>6</v>
      </c>
      <c r="AK170" s="68">
        <f ca="1">IFERROR(__xludf.DUMMYFUNCTION("""COMPUTED_VALUE"""),43262.9986111111)</f>
        <v>43262.998611111099</v>
      </c>
      <c r="AL170" s="6">
        <f ca="1">IFERROR(__xludf.DUMMYFUNCTION("""COMPUTED_VALUE"""),6883.47)</f>
        <v>6883.47</v>
      </c>
      <c r="AP170" s="6" t="str">
        <f t="shared" ca="1" si="51"/>
        <v>20188</v>
      </c>
      <c r="AQ170" s="6">
        <f t="shared" ca="1" si="52"/>
        <v>2018</v>
      </c>
      <c r="AR170" s="6">
        <f t="shared" ca="1" si="53"/>
        <v>8</v>
      </c>
      <c r="AS170" s="68">
        <f ca="1">IFERROR(__xludf.DUMMYFUNCTION("""COMPUTED_VALUE"""),43336.9986111111)</f>
        <v>43336.998611111099</v>
      </c>
      <c r="AT170" s="6">
        <f ca="1">IFERROR(__xludf.DUMMYFUNCTION("""COMPUTED_VALUE"""),1213.3)</f>
        <v>1213.3</v>
      </c>
    </row>
    <row r="171" spans="2:46" x14ac:dyDescent="0.35">
      <c r="B171" s="6" t="str">
        <f t="shared" ca="1" si="36"/>
        <v>20188</v>
      </c>
      <c r="C171" s="6">
        <f t="shared" ca="1" si="37"/>
        <v>2018</v>
      </c>
      <c r="D171" s="6">
        <f t="shared" ca="1" si="38"/>
        <v>8</v>
      </c>
      <c r="E171" s="68">
        <f ca="1">IFERROR(__xludf.DUMMYFUNCTION("""COMPUTED_VALUE"""),43336.6666666666)</f>
        <v>43336.666666666599</v>
      </c>
      <c r="F171" s="6">
        <f ca="1">IFERROR(__xludf.DUMMYFUNCTION("""COMPUTED_VALUE"""),2874.69)</f>
        <v>2874.69</v>
      </c>
      <c r="J171" s="6" t="str">
        <f t="shared" ca="1" si="39"/>
        <v>20188</v>
      </c>
      <c r="K171" s="6">
        <f t="shared" ca="1" si="40"/>
        <v>2018</v>
      </c>
      <c r="L171" s="6">
        <f t="shared" ca="1" si="41"/>
        <v>8</v>
      </c>
      <c r="M171" s="68">
        <f ca="1">IFERROR(__xludf.DUMMYFUNCTION("""COMPUTED_VALUE"""),43336.6666666666)</f>
        <v>43336.666666666599</v>
      </c>
      <c r="N171" s="6">
        <f ca="1">IFERROR(__xludf.DUMMYFUNCTION("""COMPUTED_VALUE"""),7945.98)</f>
        <v>7945.98</v>
      </c>
      <c r="R171" s="6" t="str">
        <f t="shared" ca="1" si="42"/>
        <v>20189</v>
      </c>
      <c r="S171" s="6">
        <f t="shared" ca="1" si="43"/>
        <v>2018</v>
      </c>
      <c r="T171" s="6">
        <f t="shared" ca="1" si="44"/>
        <v>9</v>
      </c>
      <c r="U171" s="68">
        <f ca="1">IFERROR(__xludf.DUMMYFUNCTION("""COMPUTED_VALUE"""),43349.6458333333)</f>
        <v>43349.645833333299</v>
      </c>
      <c r="V171" s="6">
        <f ca="1">IFERROR(__xludf.DUMMYFUNCTION("""COMPUTED_VALUE"""),2287.61)</f>
        <v>2287.61</v>
      </c>
      <c r="Z171" s="6" t="str">
        <f t="shared" ca="1" si="45"/>
        <v>20186</v>
      </c>
      <c r="AA171" s="6">
        <f t="shared" ca="1" si="46"/>
        <v>2018</v>
      </c>
      <c r="AB171" s="6">
        <f t="shared" ca="1" si="47"/>
        <v>6</v>
      </c>
      <c r="AC171" s="68">
        <f ca="1">IFERROR(__xludf.DUMMYFUNCTION("""COMPUTED_VALUE"""),43269.9986111111)</f>
        <v>43269.998611111099</v>
      </c>
      <c r="AD171" s="6">
        <f ca="1">IFERROR(__xludf.DUMMYFUNCTION("""COMPUTED_VALUE"""),1104.16)</f>
        <v>1104.1600000000001</v>
      </c>
      <c r="AH171" s="6" t="str">
        <f t="shared" ca="1" si="48"/>
        <v>20186</v>
      </c>
      <c r="AI171" s="6">
        <f t="shared" ca="1" si="49"/>
        <v>2018</v>
      </c>
      <c r="AJ171" s="6">
        <f t="shared" ca="1" si="50"/>
        <v>6</v>
      </c>
      <c r="AK171" s="68">
        <f ca="1">IFERROR(__xludf.DUMMYFUNCTION("""COMPUTED_VALUE"""),43263.9986111111)</f>
        <v>43263.998611111099</v>
      </c>
      <c r="AL171" s="6">
        <f ca="1">IFERROR(__xludf.DUMMYFUNCTION("""COMPUTED_VALUE"""),6555.48)</f>
        <v>6555.48</v>
      </c>
      <c r="AP171" s="6" t="str">
        <f t="shared" ca="1" si="51"/>
        <v>20188</v>
      </c>
      <c r="AQ171" s="6">
        <f t="shared" ca="1" si="52"/>
        <v>2018</v>
      </c>
      <c r="AR171" s="6">
        <f t="shared" ca="1" si="53"/>
        <v>8</v>
      </c>
      <c r="AS171" s="68">
        <f ca="1">IFERROR(__xludf.DUMMYFUNCTION("""COMPUTED_VALUE"""),43339.9986111111)</f>
        <v>43339.998611111099</v>
      </c>
      <c r="AT171" s="6">
        <f ca="1">IFERROR(__xludf.DUMMYFUNCTION("""COMPUTED_VALUE"""),1216)</f>
        <v>1216</v>
      </c>
    </row>
    <row r="172" spans="2:46" x14ac:dyDescent="0.35">
      <c r="B172" s="6" t="str">
        <f t="shared" ca="1" si="36"/>
        <v>20188</v>
      </c>
      <c r="C172" s="6">
        <f t="shared" ca="1" si="37"/>
        <v>2018</v>
      </c>
      <c r="D172" s="6">
        <f t="shared" ca="1" si="38"/>
        <v>8</v>
      </c>
      <c r="E172" s="68">
        <f ca="1">IFERROR(__xludf.DUMMYFUNCTION("""COMPUTED_VALUE"""),43339.6666666666)</f>
        <v>43339.666666666599</v>
      </c>
      <c r="F172" s="6">
        <f ca="1">IFERROR(__xludf.DUMMYFUNCTION("""COMPUTED_VALUE"""),2896.74)</f>
        <v>2896.74</v>
      </c>
      <c r="J172" s="6" t="str">
        <f t="shared" ca="1" si="39"/>
        <v>20188</v>
      </c>
      <c r="K172" s="6">
        <f t="shared" ca="1" si="40"/>
        <v>2018</v>
      </c>
      <c r="L172" s="6">
        <f t="shared" ca="1" si="41"/>
        <v>8</v>
      </c>
      <c r="M172" s="68">
        <f ca="1">IFERROR(__xludf.DUMMYFUNCTION("""COMPUTED_VALUE"""),43339.6666666666)</f>
        <v>43339.666666666599</v>
      </c>
      <c r="N172" s="6">
        <f ca="1">IFERROR(__xludf.DUMMYFUNCTION("""COMPUTED_VALUE"""),8017.9)</f>
        <v>8017.9</v>
      </c>
      <c r="R172" s="6" t="str">
        <f t="shared" ca="1" si="42"/>
        <v>20189</v>
      </c>
      <c r="S172" s="6">
        <f t="shared" ca="1" si="43"/>
        <v>2018</v>
      </c>
      <c r="T172" s="6">
        <f t="shared" ca="1" si="44"/>
        <v>9</v>
      </c>
      <c r="U172" s="68">
        <f ca="1">IFERROR(__xludf.DUMMYFUNCTION("""COMPUTED_VALUE"""),43350.6458333333)</f>
        <v>43350.645833333299</v>
      </c>
      <c r="V172" s="6">
        <f ca="1">IFERROR(__xludf.DUMMYFUNCTION("""COMPUTED_VALUE"""),2281.58)</f>
        <v>2281.58</v>
      </c>
      <c r="Z172" s="6" t="str">
        <f t="shared" ca="1" si="45"/>
        <v>20186</v>
      </c>
      <c r="AA172" s="6">
        <f t="shared" ca="1" si="46"/>
        <v>2018</v>
      </c>
      <c r="AB172" s="6">
        <f t="shared" ca="1" si="47"/>
        <v>6</v>
      </c>
      <c r="AC172" s="68">
        <f ca="1">IFERROR(__xludf.DUMMYFUNCTION("""COMPUTED_VALUE"""),43270.9986111111)</f>
        <v>43270.998611111099</v>
      </c>
      <c r="AD172" s="6">
        <f ca="1">IFERROR(__xludf.DUMMYFUNCTION("""COMPUTED_VALUE"""),1111.12)</f>
        <v>1111.1199999999999</v>
      </c>
      <c r="AH172" s="6" t="str">
        <f t="shared" ca="1" si="48"/>
        <v>20186</v>
      </c>
      <c r="AI172" s="6">
        <f t="shared" ca="1" si="49"/>
        <v>2018</v>
      </c>
      <c r="AJ172" s="6">
        <f t="shared" ca="1" si="50"/>
        <v>6</v>
      </c>
      <c r="AK172" s="68">
        <f ca="1">IFERROR(__xludf.DUMMYFUNCTION("""COMPUTED_VALUE"""),43264.9986111111)</f>
        <v>43264.998611111099</v>
      </c>
      <c r="AL172" s="6">
        <f ca="1">IFERROR(__xludf.DUMMYFUNCTION("""COMPUTED_VALUE"""),6300.96)</f>
        <v>6300.96</v>
      </c>
      <c r="AP172" s="6" t="str">
        <f t="shared" ca="1" si="51"/>
        <v>20188</v>
      </c>
      <c r="AQ172" s="6">
        <f t="shared" ca="1" si="52"/>
        <v>2018</v>
      </c>
      <c r="AR172" s="6">
        <f t="shared" ca="1" si="53"/>
        <v>8</v>
      </c>
      <c r="AS172" s="68">
        <f ca="1">IFERROR(__xludf.DUMMYFUNCTION("""COMPUTED_VALUE"""),43340.9986111111)</f>
        <v>43340.998611111099</v>
      </c>
      <c r="AT172" s="6">
        <f ca="1">IFERROR(__xludf.DUMMYFUNCTION("""COMPUTED_VALUE"""),1214.4)</f>
        <v>1214.4000000000001</v>
      </c>
    </row>
    <row r="173" spans="2:46" x14ac:dyDescent="0.35">
      <c r="B173" s="6" t="str">
        <f t="shared" ca="1" si="36"/>
        <v>20188</v>
      </c>
      <c r="C173" s="6">
        <f t="shared" ca="1" si="37"/>
        <v>2018</v>
      </c>
      <c r="D173" s="6">
        <f t="shared" ca="1" si="38"/>
        <v>8</v>
      </c>
      <c r="E173" s="68">
        <f ca="1">IFERROR(__xludf.DUMMYFUNCTION("""COMPUTED_VALUE"""),43340.6666666666)</f>
        <v>43340.666666666599</v>
      </c>
      <c r="F173" s="6">
        <f ca="1">IFERROR(__xludf.DUMMYFUNCTION("""COMPUTED_VALUE"""),2897.52)</f>
        <v>2897.52</v>
      </c>
      <c r="J173" s="6" t="str">
        <f t="shared" ca="1" si="39"/>
        <v>20188</v>
      </c>
      <c r="K173" s="6">
        <f t="shared" ca="1" si="40"/>
        <v>2018</v>
      </c>
      <c r="L173" s="6">
        <f t="shared" ca="1" si="41"/>
        <v>8</v>
      </c>
      <c r="M173" s="68">
        <f ca="1">IFERROR(__xludf.DUMMYFUNCTION("""COMPUTED_VALUE"""),43340.6666666666)</f>
        <v>43340.666666666599</v>
      </c>
      <c r="N173" s="6">
        <f ca="1">IFERROR(__xludf.DUMMYFUNCTION("""COMPUTED_VALUE"""),8030.04)</f>
        <v>8030.04</v>
      </c>
      <c r="R173" s="6" t="str">
        <f t="shared" ca="1" si="42"/>
        <v>20189</v>
      </c>
      <c r="S173" s="6">
        <f t="shared" ca="1" si="43"/>
        <v>2018</v>
      </c>
      <c r="T173" s="6">
        <f t="shared" ca="1" si="44"/>
        <v>9</v>
      </c>
      <c r="U173" s="68">
        <f ca="1">IFERROR(__xludf.DUMMYFUNCTION("""COMPUTED_VALUE"""),43353.6458333333)</f>
        <v>43353.645833333299</v>
      </c>
      <c r="V173" s="6">
        <f ca="1">IFERROR(__xludf.DUMMYFUNCTION("""COMPUTED_VALUE"""),2288.66)</f>
        <v>2288.66</v>
      </c>
      <c r="Z173" s="6" t="str">
        <f t="shared" ca="1" si="45"/>
        <v>20186</v>
      </c>
      <c r="AA173" s="6">
        <f t="shared" ca="1" si="46"/>
        <v>2018</v>
      </c>
      <c r="AB173" s="6">
        <f t="shared" ca="1" si="47"/>
        <v>6</v>
      </c>
      <c r="AC173" s="68">
        <f ca="1">IFERROR(__xludf.DUMMYFUNCTION("""COMPUTED_VALUE"""),43271.9986111111)</f>
        <v>43271.998611111099</v>
      </c>
      <c r="AD173" s="6">
        <f ca="1">IFERROR(__xludf.DUMMYFUNCTION("""COMPUTED_VALUE"""),1107.72)</f>
        <v>1107.72</v>
      </c>
      <c r="AH173" s="6" t="str">
        <f t="shared" ca="1" si="48"/>
        <v>20186</v>
      </c>
      <c r="AI173" s="6">
        <f t="shared" ca="1" si="49"/>
        <v>2018</v>
      </c>
      <c r="AJ173" s="6">
        <f t="shared" ca="1" si="50"/>
        <v>6</v>
      </c>
      <c r="AK173" s="68">
        <f ca="1">IFERROR(__xludf.DUMMYFUNCTION("""COMPUTED_VALUE"""),43265.9986111111)</f>
        <v>43265.998611111099</v>
      </c>
      <c r="AL173" s="6">
        <f ca="1">IFERROR(__xludf.DUMMYFUNCTION("""COMPUTED_VALUE"""),6636.37)</f>
        <v>6636.37</v>
      </c>
      <c r="AP173" s="6" t="str">
        <f t="shared" ca="1" si="51"/>
        <v>20188</v>
      </c>
      <c r="AQ173" s="6">
        <f t="shared" ca="1" si="52"/>
        <v>2018</v>
      </c>
      <c r="AR173" s="6">
        <f t="shared" ca="1" si="53"/>
        <v>8</v>
      </c>
      <c r="AS173" s="68">
        <f ca="1">IFERROR(__xludf.DUMMYFUNCTION("""COMPUTED_VALUE"""),43341.9986111111)</f>
        <v>43341.998611111099</v>
      </c>
      <c r="AT173" s="6">
        <f ca="1">IFERROR(__xludf.DUMMYFUNCTION("""COMPUTED_VALUE"""),1211.5)</f>
        <v>1211.5</v>
      </c>
    </row>
    <row r="174" spans="2:46" x14ac:dyDescent="0.35">
      <c r="B174" s="6" t="str">
        <f t="shared" ca="1" si="36"/>
        <v>20188</v>
      </c>
      <c r="C174" s="6">
        <f t="shared" ca="1" si="37"/>
        <v>2018</v>
      </c>
      <c r="D174" s="6">
        <f t="shared" ca="1" si="38"/>
        <v>8</v>
      </c>
      <c r="E174" s="68">
        <f ca="1">IFERROR(__xludf.DUMMYFUNCTION("""COMPUTED_VALUE"""),43341.6666666666)</f>
        <v>43341.666666666599</v>
      </c>
      <c r="F174" s="6">
        <f ca="1">IFERROR(__xludf.DUMMYFUNCTION("""COMPUTED_VALUE"""),2914.04)</f>
        <v>2914.04</v>
      </c>
      <c r="J174" s="6" t="str">
        <f t="shared" ca="1" si="39"/>
        <v>20188</v>
      </c>
      <c r="K174" s="6">
        <f t="shared" ca="1" si="40"/>
        <v>2018</v>
      </c>
      <c r="L174" s="6">
        <f t="shared" ca="1" si="41"/>
        <v>8</v>
      </c>
      <c r="M174" s="68">
        <f ca="1">IFERROR(__xludf.DUMMYFUNCTION("""COMPUTED_VALUE"""),43341.6666666666)</f>
        <v>43341.666666666599</v>
      </c>
      <c r="N174" s="6">
        <f ca="1">IFERROR(__xludf.DUMMYFUNCTION("""COMPUTED_VALUE"""),8109.69)</f>
        <v>8109.69</v>
      </c>
      <c r="R174" s="6" t="str">
        <f t="shared" ca="1" si="42"/>
        <v>20189</v>
      </c>
      <c r="S174" s="6">
        <f t="shared" ca="1" si="43"/>
        <v>2018</v>
      </c>
      <c r="T174" s="6">
        <f t="shared" ca="1" si="44"/>
        <v>9</v>
      </c>
      <c r="U174" s="68">
        <f ca="1">IFERROR(__xludf.DUMMYFUNCTION("""COMPUTED_VALUE"""),43354.6458333333)</f>
        <v>43354.645833333299</v>
      </c>
      <c r="V174" s="6">
        <f ca="1">IFERROR(__xludf.DUMMYFUNCTION("""COMPUTED_VALUE"""),2283.2)</f>
        <v>2283.1999999999998</v>
      </c>
      <c r="Z174" s="6" t="str">
        <f t="shared" ca="1" si="45"/>
        <v>20186</v>
      </c>
      <c r="AA174" s="6">
        <f t="shared" ca="1" si="46"/>
        <v>2018</v>
      </c>
      <c r="AB174" s="6">
        <f t="shared" ca="1" si="47"/>
        <v>6</v>
      </c>
      <c r="AC174" s="68">
        <f ca="1">IFERROR(__xludf.DUMMYFUNCTION("""COMPUTED_VALUE"""),43272.9986111111)</f>
        <v>43272.998611111099</v>
      </c>
      <c r="AD174" s="6">
        <f ca="1">IFERROR(__xludf.DUMMYFUNCTION("""COMPUTED_VALUE"""),1109.63)</f>
        <v>1109.6300000000001</v>
      </c>
      <c r="AH174" s="6" t="str">
        <f t="shared" ca="1" si="48"/>
        <v>20186</v>
      </c>
      <c r="AI174" s="6">
        <f t="shared" ca="1" si="49"/>
        <v>2018</v>
      </c>
      <c r="AJ174" s="6">
        <f t="shared" ca="1" si="50"/>
        <v>6</v>
      </c>
      <c r="AK174" s="68">
        <f ca="1">IFERROR(__xludf.DUMMYFUNCTION("""COMPUTED_VALUE"""),43266.9986111111)</f>
        <v>43266.998611111099</v>
      </c>
      <c r="AL174" s="6">
        <f ca="1">IFERROR(__xludf.DUMMYFUNCTION("""COMPUTED_VALUE"""),6392.43)</f>
        <v>6392.43</v>
      </c>
      <c r="AP174" s="6" t="str">
        <f t="shared" ca="1" si="51"/>
        <v>20188</v>
      </c>
      <c r="AQ174" s="6">
        <f t="shared" ca="1" si="52"/>
        <v>2018</v>
      </c>
      <c r="AR174" s="6">
        <f t="shared" ca="1" si="53"/>
        <v>8</v>
      </c>
      <c r="AS174" s="68">
        <f ca="1">IFERROR(__xludf.DUMMYFUNCTION("""COMPUTED_VALUE"""),43342.9986111111)</f>
        <v>43342.998611111099</v>
      </c>
      <c r="AT174" s="6">
        <f ca="1">IFERROR(__xludf.DUMMYFUNCTION("""COMPUTED_VALUE"""),1205)</f>
        <v>1205</v>
      </c>
    </row>
    <row r="175" spans="2:46" x14ac:dyDescent="0.35">
      <c r="B175" s="6" t="str">
        <f t="shared" ca="1" si="36"/>
        <v>20188</v>
      </c>
      <c r="C175" s="6">
        <f t="shared" ca="1" si="37"/>
        <v>2018</v>
      </c>
      <c r="D175" s="6">
        <f t="shared" ca="1" si="38"/>
        <v>8</v>
      </c>
      <c r="E175" s="68">
        <f ca="1">IFERROR(__xludf.DUMMYFUNCTION("""COMPUTED_VALUE"""),43342.6666666666)</f>
        <v>43342.666666666599</v>
      </c>
      <c r="F175" s="6">
        <f ca="1">IFERROR(__xludf.DUMMYFUNCTION("""COMPUTED_VALUE"""),2901.13)</f>
        <v>2901.13</v>
      </c>
      <c r="J175" s="6" t="str">
        <f t="shared" ca="1" si="39"/>
        <v>20188</v>
      </c>
      <c r="K175" s="6">
        <f t="shared" ca="1" si="40"/>
        <v>2018</v>
      </c>
      <c r="L175" s="6">
        <f t="shared" ca="1" si="41"/>
        <v>8</v>
      </c>
      <c r="M175" s="68">
        <f ca="1">IFERROR(__xludf.DUMMYFUNCTION("""COMPUTED_VALUE"""),43342.6666666666)</f>
        <v>43342.666666666599</v>
      </c>
      <c r="N175" s="6">
        <f ca="1">IFERROR(__xludf.DUMMYFUNCTION("""COMPUTED_VALUE"""),8088.36)</f>
        <v>8088.36</v>
      </c>
      <c r="R175" s="6" t="str">
        <f t="shared" ca="1" si="42"/>
        <v>20189</v>
      </c>
      <c r="S175" s="6">
        <f t="shared" ca="1" si="43"/>
        <v>2018</v>
      </c>
      <c r="T175" s="6">
        <f t="shared" ca="1" si="44"/>
        <v>9</v>
      </c>
      <c r="U175" s="68">
        <f ca="1">IFERROR(__xludf.DUMMYFUNCTION("""COMPUTED_VALUE"""),43355.6458333333)</f>
        <v>43355.645833333299</v>
      </c>
      <c r="V175" s="6">
        <f ca="1">IFERROR(__xludf.DUMMYFUNCTION("""COMPUTED_VALUE"""),2282.92)</f>
        <v>2282.92</v>
      </c>
      <c r="Z175" s="6" t="str">
        <f t="shared" ca="1" si="45"/>
        <v>20186</v>
      </c>
      <c r="AA175" s="6">
        <f t="shared" ca="1" si="46"/>
        <v>2018</v>
      </c>
      <c r="AB175" s="6">
        <f t="shared" ca="1" si="47"/>
        <v>6</v>
      </c>
      <c r="AC175" s="68">
        <f ca="1">IFERROR(__xludf.DUMMYFUNCTION("""COMPUTED_VALUE"""),43273.9986111111)</f>
        <v>43273.998611111099</v>
      </c>
      <c r="AD175" s="6">
        <f ca="1">IFERROR(__xludf.DUMMYFUNCTION("""COMPUTED_VALUE"""),1111.05)</f>
        <v>1111.05</v>
      </c>
      <c r="AH175" s="6" t="str">
        <f t="shared" ca="1" si="48"/>
        <v>20186</v>
      </c>
      <c r="AI175" s="6">
        <f t="shared" ca="1" si="49"/>
        <v>2018</v>
      </c>
      <c r="AJ175" s="6">
        <f t="shared" ca="1" si="50"/>
        <v>6</v>
      </c>
      <c r="AK175" s="68">
        <f ca="1">IFERROR(__xludf.DUMMYFUNCTION("""COMPUTED_VALUE"""),43267.9986111111)</f>
        <v>43267.998611111099</v>
      </c>
      <c r="AL175" s="6">
        <f ca="1">IFERROR(__xludf.DUMMYFUNCTION("""COMPUTED_VALUE"""),6491.74)</f>
        <v>6491.74</v>
      </c>
      <c r="AP175" s="6" t="str">
        <f t="shared" ca="1" si="51"/>
        <v>20188</v>
      </c>
      <c r="AQ175" s="6">
        <f t="shared" ca="1" si="52"/>
        <v>2018</v>
      </c>
      <c r="AR175" s="6">
        <f t="shared" ca="1" si="53"/>
        <v>8</v>
      </c>
      <c r="AS175" s="68">
        <f ca="1">IFERROR(__xludf.DUMMYFUNCTION("""COMPUTED_VALUE"""),43343.9986111111)</f>
        <v>43343.998611111099</v>
      </c>
      <c r="AT175" s="6">
        <f ca="1">IFERROR(__xludf.DUMMYFUNCTION("""COMPUTED_VALUE"""),1206.7)</f>
        <v>1206.7</v>
      </c>
    </row>
    <row r="176" spans="2:46" x14ac:dyDescent="0.35">
      <c r="B176" s="6" t="str">
        <f t="shared" ca="1" si="36"/>
        <v>20188</v>
      </c>
      <c r="C176" s="6">
        <f t="shared" ca="1" si="37"/>
        <v>2018</v>
      </c>
      <c r="D176" s="6">
        <f t="shared" ca="1" si="38"/>
        <v>8</v>
      </c>
      <c r="E176" s="68">
        <f ca="1">IFERROR(__xludf.DUMMYFUNCTION("""COMPUTED_VALUE"""),43343.6666666666)</f>
        <v>43343.666666666599</v>
      </c>
      <c r="F176" s="6">
        <f ca="1">IFERROR(__xludf.DUMMYFUNCTION("""COMPUTED_VALUE"""),2901.52)</f>
        <v>2901.52</v>
      </c>
      <c r="J176" s="6" t="str">
        <f t="shared" ca="1" si="39"/>
        <v>20188</v>
      </c>
      <c r="K176" s="6">
        <f t="shared" ca="1" si="40"/>
        <v>2018</v>
      </c>
      <c r="L176" s="6">
        <f t="shared" ca="1" si="41"/>
        <v>8</v>
      </c>
      <c r="M176" s="68">
        <f ca="1">IFERROR(__xludf.DUMMYFUNCTION("""COMPUTED_VALUE"""),43343.6666666666)</f>
        <v>43343.666666666599</v>
      </c>
      <c r="N176" s="6">
        <f ca="1">IFERROR(__xludf.DUMMYFUNCTION("""COMPUTED_VALUE"""),8109.54)</f>
        <v>8109.54</v>
      </c>
      <c r="R176" s="6" t="str">
        <f t="shared" ca="1" si="42"/>
        <v>20189</v>
      </c>
      <c r="S176" s="6">
        <f t="shared" ca="1" si="43"/>
        <v>2018</v>
      </c>
      <c r="T176" s="6">
        <f t="shared" ca="1" si="44"/>
        <v>9</v>
      </c>
      <c r="U176" s="68">
        <f ca="1">IFERROR(__xludf.DUMMYFUNCTION("""COMPUTED_VALUE"""),43356.6458333333)</f>
        <v>43356.645833333299</v>
      </c>
      <c r="V176" s="6">
        <f ca="1">IFERROR(__xludf.DUMMYFUNCTION("""COMPUTED_VALUE"""),2286.23)</f>
        <v>2286.23</v>
      </c>
      <c r="Z176" s="6" t="str">
        <f t="shared" ca="1" si="45"/>
        <v>20186</v>
      </c>
      <c r="AA176" s="6">
        <f t="shared" ca="1" si="46"/>
        <v>2018</v>
      </c>
      <c r="AB176" s="6">
        <f t="shared" ca="1" si="47"/>
        <v>6</v>
      </c>
      <c r="AC176" s="68">
        <f ca="1">IFERROR(__xludf.DUMMYFUNCTION("""COMPUTED_VALUE"""),43275.9986111111)</f>
        <v>43275.998611111099</v>
      </c>
      <c r="AD176" s="6">
        <f ca="1">IFERROR(__xludf.DUMMYFUNCTION("""COMPUTED_VALUE"""),1110.53)</f>
        <v>1110.53</v>
      </c>
      <c r="AH176" s="6" t="str">
        <f t="shared" ca="1" si="48"/>
        <v>20186</v>
      </c>
      <c r="AI176" s="6">
        <f t="shared" ca="1" si="49"/>
        <v>2018</v>
      </c>
      <c r="AJ176" s="6">
        <f t="shared" ca="1" si="50"/>
        <v>6</v>
      </c>
      <c r="AK176" s="68">
        <f ca="1">IFERROR(__xludf.DUMMYFUNCTION("""COMPUTED_VALUE"""),43268.9986111111)</f>
        <v>43268.998611111099</v>
      </c>
      <c r="AL176" s="6">
        <f ca="1">IFERROR(__xludf.DUMMYFUNCTION("""COMPUTED_VALUE"""),6460.24)</f>
        <v>6460.24</v>
      </c>
      <c r="AP176" s="6" t="str">
        <f t="shared" ca="1" si="51"/>
        <v>20189</v>
      </c>
      <c r="AQ176" s="6">
        <f t="shared" ca="1" si="52"/>
        <v>2018</v>
      </c>
      <c r="AR176" s="6">
        <f t="shared" ca="1" si="53"/>
        <v>9</v>
      </c>
      <c r="AS176" s="68">
        <f ca="1">IFERROR(__xludf.DUMMYFUNCTION("""COMPUTED_VALUE"""),43347.9986111111)</f>
        <v>43347.998611111099</v>
      </c>
      <c r="AT176" s="6">
        <f ca="1">IFERROR(__xludf.DUMMYFUNCTION("""COMPUTED_VALUE"""),1199.1)</f>
        <v>1199.0999999999999</v>
      </c>
    </row>
    <row r="177" spans="2:46" x14ac:dyDescent="0.35">
      <c r="B177" s="6" t="str">
        <f t="shared" ca="1" si="36"/>
        <v>20189</v>
      </c>
      <c r="C177" s="6">
        <f t="shared" ca="1" si="37"/>
        <v>2018</v>
      </c>
      <c r="D177" s="6">
        <f t="shared" ca="1" si="38"/>
        <v>9</v>
      </c>
      <c r="E177" s="68">
        <f ca="1">IFERROR(__xludf.DUMMYFUNCTION("""COMPUTED_VALUE"""),43347.6666666666)</f>
        <v>43347.666666666599</v>
      </c>
      <c r="F177" s="6">
        <f ca="1">IFERROR(__xludf.DUMMYFUNCTION("""COMPUTED_VALUE"""),2896.72)</f>
        <v>2896.72</v>
      </c>
      <c r="J177" s="6" t="str">
        <f t="shared" ca="1" si="39"/>
        <v>20189</v>
      </c>
      <c r="K177" s="6">
        <f t="shared" ca="1" si="40"/>
        <v>2018</v>
      </c>
      <c r="L177" s="6">
        <f t="shared" ca="1" si="41"/>
        <v>9</v>
      </c>
      <c r="M177" s="68">
        <f ca="1">IFERROR(__xludf.DUMMYFUNCTION("""COMPUTED_VALUE"""),43347.6666666666)</f>
        <v>43347.666666666599</v>
      </c>
      <c r="N177" s="6">
        <f ca="1">IFERROR(__xludf.DUMMYFUNCTION("""COMPUTED_VALUE"""),8091.25)</f>
        <v>8091.25</v>
      </c>
      <c r="R177" s="6" t="str">
        <f t="shared" ca="1" si="42"/>
        <v>20189</v>
      </c>
      <c r="S177" s="6">
        <f t="shared" ca="1" si="43"/>
        <v>2018</v>
      </c>
      <c r="T177" s="6">
        <f t="shared" ca="1" si="44"/>
        <v>9</v>
      </c>
      <c r="U177" s="68">
        <f ca="1">IFERROR(__xludf.DUMMYFUNCTION("""COMPUTED_VALUE"""),43357.6458333333)</f>
        <v>43357.645833333299</v>
      </c>
      <c r="V177" s="6">
        <f ca="1">IFERROR(__xludf.DUMMYFUNCTION("""COMPUTED_VALUE"""),2318.25)</f>
        <v>2318.25</v>
      </c>
      <c r="Z177" s="6" t="str">
        <f t="shared" ca="1" si="45"/>
        <v>20186</v>
      </c>
      <c r="AA177" s="6">
        <f t="shared" ca="1" si="46"/>
        <v>2018</v>
      </c>
      <c r="AB177" s="6">
        <f t="shared" ca="1" si="47"/>
        <v>6</v>
      </c>
      <c r="AC177" s="68">
        <f ca="1">IFERROR(__xludf.DUMMYFUNCTION("""COMPUTED_VALUE"""),43276.9986111111)</f>
        <v>43276.998611111099</v>
      </c>
      <c r="AD177" s="6">
        <f ca="1">IFERROR(__xludf.DUMMYFUNCTION("""COMPUTED_VALUE"""),1114.03)</f>
        <v>1114.03</v>
      </c>
      <c r="AH177" s="6" t="str">
        <f t="shared" ca="1" si="48"/>
        <v>20186</v>
      </c>
      <c r="AI177" s="6">
        <f t="shared" ca="1" si="49"/>
        <v>2018</v>
      </c>
      <c r="AJ177" s="6">
        <f t="shared" ca="1" si="50"/>
        <v>6</v>
      </c>
      <c r="AK177" s="68">
        <f ca="1">IFERROR(__xludf.DUMMYFUNCTION("""COMPUTED_VALUE"""),43269.9986111111)</f>
        <v>43269.998611111099</v>
      </c>
      <c r="AL177" s="6">
        <f ca="1">IFERROR(__xludf.DUMMYFUNCTION("""COMPUTED_VALUE"""),6711.79)</f>
        <v>6711.79</v>
      </c>
      <c r="AP177" s="6" t="str">
        <f t="shared" ca="1" si="51"/>
        <v>20189</v>
      </c>
      <c r="AQ177" s="6">
        <f t="shared" ca="1" si="52"/>
        <v>2018</v>
      </c>
      <c r="AR177" s="6">
        <f t="shared" ca="1" si="53"/>
        <v>9</v>
      </c>
      <c r="AS177" s="68">
        <f ca="1">IFERROR(__xludf.DUMMYFUNCTION("""COMPUTED_VALUE"""),43348.9986111111)</f>
        <v>43348.998611111099</v>
      </c>
      <c r="AT177" s="6">
        <f ca="1">IFERROR(__xludf.DUMMYFUNCTION("""COMPUTED_VALUE"""),1201.3)</f>
        <v>1201.3</v>
      </c>
    </row>
    <row r="178" spans="2:46" x14ac:dyDescent="0.35">
      <c r="B178" s="6" t="str">
        <f t="shared" ca="1" si="36"/>
        <v>20189</v>
      </c>
      <c r="C178" s="6">
        <f t="shared" ca="1" si="37"/>
        <v>2018</v>
      </c>
      <c r="D178" s="6">
        <f t="shared" ca="1" si="38"/>
        <v>9</v>
      </c>
      <c r="E178" s="68">
        <f ca="1">IFERROR(__xludf.DUMMYFUNCTION("""COMPUTED_VALUE"""),43348.6666666666)</f>
        <v>43348.666666666599</v>
      </c>
      <c r="F178" s="6">
        <f ca="1">IFERROR(__xludf.DUMMYFUNCTION("""COMPUTED_VALUE"""),2888.6)</f>
        <v>2888.6</v>
      </c>
      <c r="J178" s="6" t="str">
        <f t="shared" ca="1" si="39"/>
        <v>20189</v>
      </c>
      <c r="K178" s="6">
        <f t="shared" ca="1" si="40"/>
        <v>2018</v>
      </c>
      <c r="L178" s="6">
        <f t="shared" ca="1" si="41"/>
        <v>9</v>
      </c>
      <c r="M178" s="68">
        <f ca="1">IFERROR(__xludf.DUMMYFUNCTION("""COMPUTED_VALUE"""),43348.6666666666)</f>
        <v>43348.666666666599</v>
      </c>
      <c r="N178" s="6">
        <f ca="1">IFERROR(__xludf.DUMMYFUNCTION("""COMPUTED_VALUE"""),7995.17)</f>
        <v>7995.17</v>
      </c>
      <c r="R178" s="6" t="str">
        <f t="shared" ca="1" si="42"/>
        <v>20189</v>
      </c>
      <c r="S178" s="6">
        <f t="shared" ca="1" si="43"/>
        <v>2018</v>
      </c>
      <c r="T178" s="6">
        <f t="shared" ca="1" si="44"/>
        <v>9</v>
      </c>
      <c r="U178" s="68">
        <f ca="1">IFERROR(__xludf.DUMMYFUNCTION("""COMPUTED_VALUE"""),43360.6458333333)</f>
        <v>43360.645833333299</v>
      </c>
      <c r="V178" s="6">
        <f ca="1">IFERROR(__xludf.DUMMYFUNCTION("""COMPUTED_VALUE"""),2303.01)</f>
        <v>2303.0100000000002</v>
      </c>
      <c r="Z178" s="6" t="str">
        <f t="shared" ca="1" si="45"/>
        <v>20186</v>
      </c>
      <c r="AA178" s="6">
        <f t="shared" ca="1" si="46"/>
        <v>2018</v>
      </c>
      <c r="AB178" s="6">
        <f t="shared" ca="1" si="47"/>
        <v>6</v>
      </c>
      <c r="AC178" s="68">
        <f ca="1">IFERROR(__xludf.DUMMYFUNCTION("""COMPUTED_VALUE"""),43277.9986111111)</f>
        <v>43277.998611111099</v>
      </c>
      <c r="AD178" s="6">
        <f ca="1">IFERROR(__xludf.DUMMYFUNCTION("""COMPUTED_VALUE"""),1117.6)</f>
        <v>1117.5999999999999</v>
      </c>
      <c r="AH178" s="6" t="str">
        <f t="shared" ca="1" si="48"/>
        <v>20186</v>
      </c>
      <c r="AI178" s="6">
        <f t="shared" ca="1" si="49"/>
        <v>2018</v>
      </c>
      <c r="AJ178" s="6">
        <f t="shared" ca="1" si="50"/>
        <v>6</v>
      </c>
      <c r="AK178" s="68">
        <f ca="1">IFERROR(__xludf.DUMMYFUNCTION("""COMPUTED_VALUE"""),43270.9986111111)</f>
        <v>43270.998611111099</v>
      </c>
      <c r="AL178" s="6">
        <f ca="1">IFERROR(__xludf.DUMMYFUNCTION("""COMPUTED_VALUE"""),6735.74)</f>
        <v>6735.74</v>
      </c>
      <c r="AP178" s="6" t="str">
        <f t="shared" ca="1" si="51"/>
        <v>20189</v>
      </c>
      <c r="AQ178" s="6">
        <f t="shared" ca="1" si="52"/>
        <v>2018</v>
      </c>
      <c r="AR178" s="6">
        <f t="shared" ca="1" si="53"/>
        <v>9</v>
      </c>
      <c r="AS178" s="68">
        <f ca="1">IFERROR(__xludf.DUMMYFUNCTION("""COMPUTED_VALUE"""),43349.9986111111)</f>
        <v>43349.998611111099</v>
      </c>
      <c r="AT178" s="6">
        <f ca="1">IFERROR(__xludf.DUMMYFUNCTION("""COMPUTED_VALUE"""),1204.3)</f>
        <v>1204.3</v>
      </c>
    </row>
    <row r="179" spans="2:46" x14ac:dyDescent="0.35">
      <c r="B179" s="6" t="str">
        <f t="shared" ca="1" si="36"/>
        <v>20189</v>
      </c>
      <c r="C179" s="6">
        <f t="shared" ca="1" si="37"/>
        <v>2018</v>
      </c>
      <c r="D179" s="6">
        <f t="shared" ca="1" si="38"/>
        <v>9</v>
      </c>
      <c r="E179" s="68">
        <f ca="1">IFERROR(__xludf.DUMMYFUNCTION("""COMPUTED_VALUE"""),43349.6666666666)</f>
        <v>43349.666666666599</v>
      </c>
      <c r="F179" s="6">
        <f ca="1">IFERROR(__xludf.DUMMYFUNCTION("""COMPUTED_VALUE"""),2878.05)</f>
        <v>2878.05</v>
      </c>
      <c r="J179" s="6" t="str">
        <f t="shared" ca="1" si="39"/>
        <v>20189</v>
      </c>
      <c r="K179" s="6">
        <f t="shared" ca="1" si="40"/>
        <v>2018</v>
      </c>
      <c r="L179" s="6">
        <f t="shared" ca="1" si="41"/>
        <v>9</v>
      </c>
      <c r="M179" s="68">
        <f ca="1">IFERROR(__xludf.DUMMYFUNCTION("""COMPUTED_VALUE"""),43349.6666666666)</f>
        <v>43349.666666666599</v>
      </c>
      <c r="N179" s="6">
        <f ca="1">IFERROR(__xludf.DUMMYFUNCTION("""COMPUTED_VALUE"""),7922.73)</f>
        <v>7922.73</v>
      </c>
      <c r="R179" s="6" t="str">
        <f t="shared" ca="1" si="42"/>
        <v>20189</v>
      </c>
      <c r="S179" s="6">
        <f t="shared" ca="1" si="43"/>
        <v>2018</v>
      </c>
      <c r="T179" s="6">
        <f t="shared" ca="1" si="44"/>
        <v>9</v>
      </c>
      <c r="U179" s="68">
        <f ca="1">IFERROR(__xludf.DUMMYFUNCTION("""COMPUTED_VALUE"""),43361.6458333333)</f>
        <v>43361.645833333299</v>
      </c>
      <c r="V179" s="6">
        <f ca="1">IFERROR(__xludf.DUMMYFUNCTION("""COMPUTED_VALUE"""),2308.98)</f>
        <v>2308.98</v>
      </c>
      <c r="Z179" s="6" t="str">
        <f t="shared" ca="1" si="45"/>
        <v>20186</v>
      </c>
      <c r="AA179" s="6">
        <f t="shared" ca="1" si="46"/>
        <v>2018</v>
      </c>
      <c r="AB179" s="6">
        <f t="shared" ca="1" si="47"/>
        <v>6</v>
      </c>
      <c r="AC179" s="68">
        <f ca="1">IFERROR(__xludf.DUMMYFUNCTION("""COMPUTED_VALUE"""),43278.9986111111)</f>
        <v>43278.998611111099</v>
      </c>
      <c r="AD179" s="6">
        <f ca="1">IFERROR(__xludf.DUMMYFUNCTION("""COMPUTED_VALUE"""),1122.78)</f>
        <v>1122.78</v>
      </c>
      <c r="AH179" s="6" t="str">
        <f t="shared" ca="1" si="48"/>
        <v>20186</v>
      </c>
      <c r="AI179" s="6">
        <f t="shared" ca="1" si="49"/>
        <v>2018</v>
      </c>
      <c r="AJ179" s="6">
        <f t="shared" ca="1" si="50"/>
        <v>6</v>
      </c>
      <c r="AK179" s="68">
        <f ca="1">IFERROR(__xludf.DUMMYFUNCTION("""COMPUTED_VALUE"""),43271.9986111111)</f>
        <v>43271.998611111099</v>
      </c>
      <c r="AL179" s="6">
        <f ca="1">IFERROR(__xludf.DUMMYFUNCTION("""COMPUTED_VALUE"""),6759.87)</f>
        <v>6759.87</v>
      </c>
      <c r="AP179" s="6" t="str">
        <f t="shared" ca="1" si="51"/>
        <v>20189</v>
      </c>
      <c r="AQ179" s="6">
        <f t="shared" ca="1" si="52"/>
        <v>2018</v>
      </c>
      <c r="AR179" s="6">
        <f t="shared" ca="1" si="53"/>
        <v>9</v>
      </c>
      <c r="AS179" s="68">
        <f ca="1">IFERROR(__xludf.DUMMYFUNCTION("""COMPUTED_VALUE"""),43350.9986111111)</f>
        <v>43350.998611111099</v>
      </c>
      <c r="AT179" s="6">
        <f ca="1">IFERROR(__xludf.DUMMYFUNCTION("""COMPUTED_VALUE"""),1200.4)</f>
        <v>1200.4000000000001</v>
      </c>
    </row>
    <row r="180" spans="2:46" x14ac:dyDescent="0.35">
      <c r="B180" s="6" t="str">
        <f t="shared" ca="1" si="36"/>
        <v>20189</v>
      </c>
      <c r="C180" s="6">
        <f t="shared" ca="1" si="37"/>
        <v>2018</v>
      </c>
      <c r="D180" s="6">
        <f t="shared" ca="1" si="38"/>
        <v>9</v>
      </c>
      <c r="E180" s="68">
        <f ca="1">IFERROR(__xludf.DUMMYFUNCTION("""COMPUTED_VALUE"""),43350.6666666666)</f>
        <v>43350.666666666599</v>
      </c>
      <c r="F180" s="6">
        <f ca="1">IFERROR(__xludf.DUMMYFUNCTION("""COMPUTED_VALUE"""),2871.68)</f>
        <v>2871.68</v>
      </c>
      <c r="J180" s="6" t="str">
        <f t="shared" ca="1" si="39"/>
        <v>20189</v>
      </c>
      <c r="K180" s="6">
        <f t="shared" ca="1" si="40"/>
        <v>2018</v>
      </c>
      <c r="L180" s="6">
        <f t="shared" ca="1" si="41"/>
        <v>9</v>
      </c>
      <c r="M180" s="68">
        <f ca="1">IFERROR(__xludf.DUMMYFUNCTION("""COMPUTED_VALUE"""),43350.6666666666)</f>
        <v>43350.666666666599</v>
      </c>
      <c r="N180" s="6">
        <f ca="1">IFERROR(__xludf.DUMMYFUNCTION("""COMPUTED_VALUE"""),7902.54)</f>
        <v>7902.54</v>
      </c>
      <c r="R180" s="6" t="str">
        <f t="shared" ca="1" si="42"/>
        <v>20189</v>
      </c>
      <c r="S180" s="6">
        <f t="shared" ca="1" si="43"/>
        <v>2018</v>
      </c>
      <c r="T180" s="6">
        <f t="shared" ca="1" si="44"/>
        <v>9</v>
      </c>
      <c r="U180" s="68">
        <f ca="1">IFERROR(__xludf.DUMMYFUNCTION("""COMPUTED_VALUE"""),43362.6458333333)</f>
        <v>43362.645833333299</v>
      </c>
      <c r="V180" s="6">
        <f ca="1">IFERROR(__xludf.DUMMYFUNCTION("""COMPUTED_VALUE"""),2308.46)</f>
        <v>2308.46</v>
      </c>
      <c r="Z180" s="6" t="str">
        <f t="shared" ca="1" si="45"/>
        <v>20186</v>
      </c>
      <c r="AA180" s="6">
        <f t="shared" ca="1" si="46"/>
        <v>2018</v>
      </c>
      <c r="AB180" s="6">
        <f t="shared" ca="1" si="47"/>
        <v>6</v>
      </c>
      <c r="AC180" s="68">
        <f ca="1">IFERROR(__xludf.DUMMYFUNCTION("""COMPUTED_VALUE"""),43279.9986111111)</f>
        <v>43279.998611111099</v>
      </c>
      <c r="AD180" s="6">
        <f ca="1">IFERROR(__xludf.DUMMYFUNCTION("""COMPUTED_VALUE"""),1120.54)</f>
        <v>1120.54</v>
      </c>
      <c r="AH180" s="6" t="str">
        <f t="shared" ca="1" si="48"/>
        <v>20186</v>
      </c>
      <c r="AI180" s="6">
        <f t="shared" ca="1" si="49"/>
        <v>2018</v>
      </c>
      <c r="AJ180" s="6">
        <f t="shared" ca="1" si="50"/>
        <v>6</v>
      </c>
      <c r="AK180" s="68">
        <f ca="1">IFERROR(__xludf.DUMMYFUNCTION("""COMPUTED_VALUE"""),43272.9986111111)</f>
        <v>43272.998611111099</v>
      </c>
      <c r="AL180" s="6">
        <f ca="1">IFERROR(__xludf.DUMMYFUNCTION("""COMPUTED_VALUE"""),6720.37)</f>
        <v>6720.37</v>
      </c>
      <c r="AP180" s="6" t="str">
        <f t="shared" ca="1" si="51"/>
        <v>20189</v>
      </c>
      <c r="AQ180" s="6">
        <f t="shared" ca="1" si="52"/>
        <v>2018</v>
      </c>
      <c r="AR180" s="6">
        <f t="shared" ca="1" si="53"/>
        <v>9</v>
      </c>
      <c r="AS180" s="68">
        <f ca="1">IFERROR(__xludf.DUMMYFUNCTION("""COMPUTED_VALUE"""),43353.9986111111)</f>
        <v>43353.998611111099</v>
      </c>
      <c r="AT180" s="6">
        <f ca="1">IFERROR(__xludf.DUMMYFUNCTION("""COMPUTED_VALUE"""),1199.8)</f>
        <v>1199.8</v>
      </c>
    </row>
    <row r="181" spans="2:46" x14ac:dyDescent="0.35">
      <c r="B181" s="6" t="str">
        <f t="shared" ca="1" si="36"/>
        <v>20189</v>
      </c>
      <c r="C181" s="6">
        <f t="shared" ca="1" si="37"/>
        <v>2018</v>
      </c>
      <c r="D181" s="6">
        <f t="shared" ca="1" si="38"/>
        <v>9</v>
      </c>
      <c r="E181" s="68">
        <f ca="1">IFERROR(__xludf.DUMMYFUNCTION("""COMPUTED_VALUE"""),43353.6666666666)</f>
        <v>43353.666666666599</v>
      </c>
      <c r="F181" s="6">
        <f ca="1">IFERROR(__xludf.DUMMYFUNCTION("""COMPUTED_VALUE"""),2877.13)</f>
        <v>2877.13</v>
      </c>
      <c r="J181" s="6" t="str">
        <f t="shared" ca="1" si="39"/>
        <v>20189</v>
      </c>
      <c r="K181" s="6">
        <f t="shared" ca="1" si="40"/>
        <v>2018</v>
      </c>
      <c r="L181" s="6">
        <f t="shared" ca="1" si="41"/>
        <v>9</v>
      </c>
      <c r="M181" s="68">
        <f ca="1">IFERROR(__xludf.DUMMYFUNCTION("""COMPUTED_VALUE"""),43353.6666666666)</f>
        <v>43353.666666666599</v>
      </c>
      <c r="N181" s="6">
        <f ca="1">IFERROR(__xludf.DUMMYFUNCTION("""COMPUTED_VALUE"""),7924.16)</f>
        <v>7924.16</v>
      </c>
      <c r="R181" s="6" t="str">
        <f t="shared" ca="1" si="42"/>
        <v>20189</v>
      </c>
      <c r="S181" s="6">
        <f t="shared" ca="1" si="43"/>
        <v>2018</v>
      </c>
      <c r="T181" s="6">
        <f t="shared" ca="1" si="44"/>
        <v>9</v>
      </c>
      <c r="U181" s="68">
        <f ca="1">IFERROR(__xludf.DUMMYFUNCTION("""COMPUTED_VALUE"""),43363.6458333333)</f>
        <v>43363.645833333299</v>
      </c>
      <c r="V181" s="6">
        <f ca="1">IFERROR(__xludf.DUMMYFUNCTION("""COMPUTED_VALUE"""),2323.45)</f>
        <v>2323.4499999999998</v>
      </c>
      <c r="Z181" s="6" t="str">
        <f t="shared" ca="1" si="45"/>
        <v>20186</v>
      </c>
      <c r="AA181" s="6">
        <f t="shared" ca="1" si="46"/>
        <v>2018</v>
      </c>
      <c r="AB181" s="6">
        <f t="shared" ca="1" si="47"/>
        <v>6</v>
      </c>
      <c r="AC181" s="68">
        <f ca="1">IFERROR(__xludf.DUMMYFUNCTION("""COMPUTED_VALUE"""),43280.9986111111)</f>
        <v>43280.998611111099</v>
      </c>
      <c r="AD181" s="6">
        <f ca="1">IFERROR(__xludf.DUMMYFUNCTION("""COMPUTED_VALUE"""),1113.98)</f>
        <v>1113.98</v>
      </c>
      <c r="AH181" s="6" t="str">
        <f t="shared" ca="1" si="48"/>
        <v>20186</v>
      </c>
      <c r="AI181" s="6">
        <f t="shared" ca="1" si="49"/>
        <v>2018</v>
      </c>
      <c r="AJ181" s="6">
        <f t="shared" ca="1" si="50"/>
        <v>6</v>
      </c>
      <c r="AK181" s="68">
        <f ca="1">IFERROR(__xludf.DUMMYFUNCTION("""COMPUTED_VALUE"""),43273.9986111111)</f>
        <v>43273.998611111099</v>
      </c>
      <c r="AL181" s="6">
        <f ca="1">IFERROR(__xludf.DUMMYFUNCTION("""COMPUTED_VALUE"""),6044.73)</f>
        <v>6044.73</v>
      </c>
      <c r="AP181" s="6" t="str">
        <f t="shared" ca="1" si="51"/>
        <v>20189</v>
      </c>
      <c r="AQ181" s="6">
        <f t="shared" ca="1" si="52"/>
        <v>2018</v>
      </c>
      <c r="AR181" s="6">
        <f t="shared" ca="1" si="53"/>
        <v>9</v>
      </c>
      <c r="AS181" s="68">
        <f ca="1">IFERROR(__xludf.DUMMYFUNCTION("""COMPUTED_VALUE"""),43354.9986111111)</f>
        <v>43354.998611111099</v>
      </c>
      <c r="AT181" s="6">
        <f ca="1">IFERROR(__xludf.DUMMYFUNCTION("""COMPUTED_VALUE"""),1202.2)</f>
        <v>1202.2</v>
      </c>
    </row>
    <row r="182" spans="2:46" x14ac:dyDescent="0.35">
      <c r="B182" s="6" t="str">
        <f t="shared" ca="1" si="36"/>
        <v>20189</v>
      </c>
      <c r="C182" s="6">
        <f t="shared" ca="1" si="37"/>
        <v>2018</v>
      </c>
      <c r="D182" s="6">
        <f t="shared" ca="1" si="38"/>
        <v>9</v>
      </c>
      <c r="E182" s="68">
        <f ca="1">IFERROR(__xludf.DUMMYFUNCTION("""COMPUTED_VALUE"""),43354.6666666666)</f>
        <v>43354.666666666599</v>
      </c>
      <c r="F182" s="6">
        <f ca="1">IFERROR(__xludf.DUMMYFUNCTION("""COMPUTED_VALUE"""),2887.89)</f>
        <v>2887.89</v>
      </c>
      <c r="J182" s="6" t="str">
        <f t="shared" ca="1" si="39"/>
        <v>20189</v>
      </c>
      <c r="K182" s="6">
        <f t="shared" ca="1" si="40"/>
        <v>2018</v>
      </c>
      <c r="L182" s="6">
        <f t="shared" ca="1" si="41"/>
        <v>9</v>
      </c>
      <c r="M182" s="68">
        <f ca="1">IFERROR(__xludf.DUMMYFUNCTION("""COMPUTED_VALUE"""),43354.6666666666)</f>
        <v>43354.666666666599</v>
      </c>
      <c r="N182" s="6">
        <f ca="1">IFERROR(__xludf.DUMMYFUNCTION("""COMPUTED_VALUE"""),7972.47)</f>
        <v>7972.47</v>
      </c>
      <c r="R182" s="6" t="str">
        <f t="shared" ca="1" si="42"/>
        <v>20189</v>
      </c>
      <c r="S182" s="6">
        <f t="shared" ca="1" si="43"/>
        <v>2018</v>
      </c>
      <c r="T182" s="6">
        <f t="shared" ca="1" si="44"/>
        <v>9</v>
      </c>
      <c r="U182" s="68">
        <f ca="1">IFERROR(__xludf.DUMMYFUNCTION("""COMPUTED_VALUE"""),43364.6458333333)</f>
        <v>43364.645833333299</v>
      </c>
      <c r="V182" s="6">
        <f ca="1">IFERROR(__xludf.DUMMYFUNCTION("""COMPUTED_VALUE"""),2339.17)</f>
        <v>2339.17</v>
      </c>
      <c r="Z182" s="6" t="str">
        <f t="shared" ca="1" si="45"/>
        <v>20186</v>
      </c>
      <c r="AA182" s="6">
        <f t="shared" ca="1" si="46"/>
        <v>2018</v>
      </c>
      <c r="AB182" s="6">
        <f t="shared" ca="1" si="47"/>
        <v>6</v>
      </c>
      <c r="AC182" s="68">
        <f ca="1">IFERROR(__xludf.DUMMYFUNCTION("""COMPUTED_VALUE"""),43281.9986111111)</f>
        <v>43281.998611111099</v>
      </c>
      <c r="AD182" s="6">
        <f ca="1">IFERROR(__xludf.DUMMYFUNCTION("""COMPUTED_VALUE"""),1113.92)</f>
        <v>1113.92</v>
      </c>
      <c r="AH182" s="6" t="str">
        <f t="shared" ca="1" si="48"/>
        <v>20186</v>
      </c>
      <c r="AI182" s="6">
        <f t="shared" ca="1" si="49"/>
        <v>2018</v>
      </c>
      <c r="AJ182" s="6">
        <f t="shared" ca="1" si="50"/>
        <v>6</v>
      </c>
      <c r="AK182" s="68">
        <f ca="1">IFERROR(__xludf.DUMMYFUNCTION("""COMPUTED_VALUE"""),43274.9986111111)</f>
        <v>43274.998611111099</v>
      </c>
      <c r="AL182" s="6">
        <f ca="1">IFERROR(__xludf.DUMMYFUNCTION("""COMPUTED_VALUE"""),6177.48)</f>
        <v>6177.48</v>
      </c>
      <c r="AP182" s="6" t="str">
        <f t="shared" ca="1" si="51"/>
        <v>20189</v>
      </c>
      <c r="AQ182" s="6">
        <f t="shared" ca="1" si="52"/>
        <v>2018</v>
      </c>
      <c r="AR182" s="6">
        <f t="shared" ca="1" si="53"/>
        <v>9</v>
      </c>
      <c r="AS182" s="68">
        <f ca="1">IFERROR(__xludf.DUMMYFUNCTION("""COMPUTED_VALUE"""),43355.9986111111)</f>
        <v>43355.998611111099</v>
      </c>
      <c r="AT182" s="6">
        <f ca="1">IFERROR(__xludf.DUMMYFUNCTION("""COMPUTED_VALUE"""),1210.9)</f>
        <v>1210.9000000000001</v>
      </c>
    </row>
    <row r="183" spans="2:46" x14ac:dyDescent="0.35">
      <c r="B183" s="6" t="str">
        <f t="shared" ca="1" si="36"/>
        <v>20189</v>
      </c>
      <c r="C183" s="6">
        <f t="shared" ca="1" si="37"/>
        <v>2018</v>
      </c>
      <c r="D183" s="6">
        <f t="shared" ca="1" si="38"/>
        <v>9</v>
      </c>
      <c r="E183" s="68">
        <f ca="1">IFERROR(__xludf.DUMMYFUNCTION("""COMPUTED_VALUE"""),43355.6666666666)</f>
        <v>43355.666666666599</v>
      </c>
      <c r="F183" s="6">
        <f ca="1">IFERROR(__xludf.DUMMYFUNCTION("""COMPUTED_VALUE"""),2888.92)</f>
        <v>2888.92</v>
      </c>
      <c r="J183" s="6" t="str">
        <f t="shared" ca="1" si="39"/>
        <v>20189</v>
      </c>
      <c r="K183" s="6">
        <f t="shared" ca="1" si="40"/>
        <v>2018</v>
      </c>
      <c r="L183" s="6">
        <f t="shared" ca="1" si="41"/>
        <v>9</v>
      </c>
      <c r="M183" s="68">
        <f ca="1">IFERROR(__xludf.DUMMYFUNCTION("""COMPUTED_VALUE"""),43355.6666666666)</f>
        <v>43355.666666666599</v>
      </c>
      <c r="N183" s="6">
        <f ca="1">IFERROR(__xludf.DUMMYFUNCTION("""COMPUTED_VALUE"""),7954.23)</f>
        <v>7954.23</v>
      </c>
      <c r="R183" s="6" t="str">
        <f t="shared" ca="1" si="42"/>
        <v>20189</v>
      </c>
      <c r="S183" s="6">
        <f t="shared" ca="1" si="43"/>
        <v>2018</v>
      </c>
      <c r="T183" s="6">
        <f t="shared" ca="1" si="44"/>
        <v>9</v>
      </c>
      <c r="U183" s="68">
        <f ca="1">IFERROR(__xludf.DUMMYFUNCTION("""COMPUTED_VALUE"""),43370.6458333333)</f>
        <v>43370.645833333299</v>
      </c>
      <c r="V183" s="6">
        <f ca="1">IFERROR(__xludf.DUMMYFUNCTION("""COMPUTED_VALUE"""),2355.43)</f>
        <v>2355.4299999999998</v>
      </c>
      <c r="Z183" s="6" t="str">
        <f t="shared" ca="1" si="45"/>
        <v>20187</v>
      </c>
      <c r="AA183" s="6">
        <f t="shared" ca="1" si="46"/>
        <v>2018</v>
      </c>
      <c r="AB183" s="6">
        <f t="shared" ca="1" si="47"/>
        <v>7</v>
      </c>
      <c r="AC183" s="68">
        <f ca="1">IFERROR(__xludf.DUMMYFUNCTION("""COMPUTED_VALUE"""),43282.9986111111)</f>
        <v>43282.998611111099</v>
      </c>
      <c r="AD183" s="6">
        <f ca="1">IFERROR(__xludf.DUMMYFUNCTION("""COMPUTED_VALUE"""),1114.51)</f>
        <v>1114.51</v>
      </c>
      <c r="AH183" s="6" t="str">
        <f t="shared" ca="1" si="48"/>
        <v>20186</v>
      </c>
      <c r="AI183" s="6">
        <f t="shared" ca="1" si="49"/>
        <v>2018</v>
      </c>
      <c r="AJ183" s="6">
        <f t="shared" ca="1" si="50"/>
        <v>6</v>
      </c>
      <c r="AK183" s="68">
        <f ca="1">IFERROR(__xludf.DUMMYFUNCTION("""COMPUTED_VALUE"""),43275.9986111111)</f>
        <v>43275.998611111099</v>
      </c>
      <c r="AL183" s="6">
        <f ca="1">IFERROR(__xludf.DUMMYFUNCTION("""COMPUTED_VALUE"""),6148.53)</f>
        <v>6148.53</v>
      </c>
      <c r="AP183" s="6" t="str">
        <f t="shared" ca="1" si="51"/>
        <v>20189</v>
      </c>
      <c r="AQ183" s="6">
        <f t="shared" ca="1" si="52"/>
        <v>2018</v>
      </c>
      <c r="AR183" s="6">
        <f t="shared" ca="1" si="53"/>
        <v>9</v>
      </c>
      <c r="AS183" s="68">
        <f ca="1">IFERROR(__xludf.DUMMYFUNCTION("""COMPUTED_VALUE"""),43356.9986111111)</f>
        <v>43356.998611111099</v>
      </c>
      <c r="AT183" s="6">
        <f ca="1">IFERROR(__xludf.DUMMYFUNCTION("""COMPUTED_VALUE"""),1208.2)</f>
        <v>1208.2</v>
      </c>
    </row>
    <row r="184" spans="2:46" x14ac:dyDescent="0.35">
      <c r="B184" s="6" t="str">
        <f t="shared" ca="1" si="36"/>
        <v>20189</v>
      </c>
      <c r="C184" s="6">
        <f t="shared" ca="1" si="37"/>
        <v>2018</v>
      </c>
      <c r="D184" s="6">
        <f t="shared" ca="1" si="38"/>
        <v>9</v>
      </c>
      <c r="E184" s="68">
        <f ca="1">IFERROR(__xludf.DUMMYFUNCTION("""COMPUTED_VALUE"""),43356.6666666666)</f>
        <v>43356.666666666599</v>
      </c>
      <c r="F184" s="6">
        <f ca="1">IFERROR(__xludf.DUMMYFUNCTION("""COMPUTED_VALUE"""),2904.18)</f>
        <v>2904.18</v>
      </c>
      <c r="J184" s="6" t="str">
        <f t="shared" ca="1" si="39"/>
        <v>20189</v>
      </c>
      <c r="K184" s="6">
        <f t="shared" ca="1" si="40"/>
        <v>2018</v>
      </c>
      <c r="L184" s="6">
        <f t="shared" ca="1" si="41"/>
        <v>9</v>
      </c>
      <c r="M184" s="68">
        <f ca="1">IFERROR(__xludf.DUMMYFUNCTION("""COMPUTED_VALUE"""),43356.6666666666)</f>
        <v>43356.666666666599</v>
      </c>
      <c r="N184" s="6">
        <f ca="1">IFERROR(__xludf.DUMMYFUNCTION("""COMPUTED_VALUE"""),8013.71)</f>
        <v>8013.71</v>
      </c>
      <c r="R184" s="6" t="str">
        <f t="shared" ca="1" si="42"/>
        <v>20189</v>
      </c>
      <c r="S184" s="6">
        <f t="shared" ca="1" si="43"/>
        <v>2018</v>
      </c>
      <c r="T184" s="6">
        <f t="shared" ca="1" si="44"/>
        <v>9</v>
      </c>
      <c r="U184" s="68">
        <f ca="1">IFERROR(__xludf.DUMMYFUNCTION("""COMPUTED_VALUE"""),43371.6458333333)</f>
        <v>43371.645833333299</v>
      </c>
      <c r="V184" s="6">
        <f ca="1">IFERROR(__xludf.DUMMYFUNCTION("""COMPUTED_VALUE"""),2343.07)</f>
        <v>2343.0700000000002</v>
      </c>
      <c r="Z184" s="6" t="str">
        <f t="shared" ca="1" si="45"/>
        <v>20187</v>
      </c>
      <c r="AA184" s="6">
        <f t="shared" ca="1" si="46"/>
        <v>2018</v>
      </c>
      <c r="AB184" s="6">
        <f t="shared" ca="1" si="47"/>
        <v>7</v>
      </c>
      <c r="AC184" s="68">
        <f ca="1">IFERROR(__xludf.DUMMYFUNCTION("""COMPUTED_VALUE"""),43283.9986111111)</f>
        <v>43283.998611111099</v>
      </c>
      <c r="AD184" s="6">
        <f ca="1">IFERROR(__xludf.DUMMYFUNCTION("""COMPUTED_VALUE"""),1118.17)</f>
        <v>1118.17</v>
      </c>
      <c r="AH184" s="6" t="str">
        <f t="shared" ca="1" si="48"/>
        <v>20186</v>
      </c>
      <c r="AI184" s="6">
        <f t="shared" ca="1" si="49"/>
        <v>2018</v>
      </c>
      <c r="AJ184" s="6">
        <f t="shared" ca="1" si="50"/>
        <v>6</v>
      </c>
      <c r="AK184" s="68">
        <f ca="1">IFERROR(__xludf.DUMMYFUNCTION("""COMPUTED_VALUE"""),43276.9986111111)</f>
        <v>43276.998611111099</v>
      </c>
      <c r="AL184" s="6">
        <f ca="1">IFERROR(__xludf.DUMMYFUNCTION("""COMPUTED_VALUE"""),6248.35)</f>
        <v>6248.35</v>
      </c>
      <c r="AP184" s="6" t="str">
        <f t="shared" ca="1" si="51"/>
        <v>20189</v>
      </c>
      <c r="AQ184" s="6">
        <f t="shared" ca="1" si="52"/>
        <v>2018</v>
      </c>
      <c r="AR184" s="6">
        <f t="shared" ca="1" si="53"/>
        <v>9</v>
      </c>
      <c r="AS184" s="68">
        <f ca="1">IFERROR(__xludf.DUMMYFUNCTION("""COMPUTED_VALUE"""),43357.9986111111)</f>
        <v>43357.998611111099</v>
      </c>
      <c r="AT184" s="6">
        <f ca="1">IFERROR(__xludf.DUMMYFUNCTION("""COMPUTED_VALUE"""),1201.1)</f>
        <v>1201.0999999999999</v>
      </c>
    </row>
    <row r="185" spans="2:46" x14ac:dyDescent="0.35">
      <c r="B185" s="6" t="str">
        <f t="shared" ca="1" si="36"/>
        <v>20189</v>
      </c>
      <c r="C185" s="6">
        <f t="shared" ca="1" si="37"/>
        <v>2018</v>
      </c>
      <c r="D185" s="6">
        <f t="shared" ca="1" si="38"/>
        <v>9</v>
      </c>
      <c r="E185" s="68">
        <f ca="1">IFERROR(__xludf.DUMMYFUNCTION("""COMPUTED_VALUE"""),43357.6666666666)</f>
        <v>43357.666666666599</v>
      </c>
      <c r="F185" s="6">
        <f ca="1">IFERROR(__xludf.DUMMYFUNCTION("""COMPUTED_VALUE"""),2904.98)</f>
        <v>2904.98</v>
      </c>
      <c r="J185" s="6" t="str">
        <f t="shared" ca="1" si="39"/>
        <v>20189</v>
      </c>
      <c r="K185" s="6">
        <f t="shared" ca="1" si="40"/>
        <v>2018</v>
      </c>
      <c r="L185" s="6">
        <f t="shared" ca="1" si="41"/>
        <v>9</v>
      </c>
      <c r="M185" s="68">
        <f ca="1">IFERROR(__xludf.DUMMYFUNCTION("""COMPUTED_VALUE"""),43357.6666666666)</f>
        <v>43357.666666666599</v>
      </c>
      <c r="N185" s="6">
        <f ca="1">IFERROR(__xludf.DUMMYFUNCTION("""COMPUTED_VALUE"""),8010.04)</f>
        <v>8010.04</v>
      </c>
      <c r="R185" s="6" t="str">
        <f t="shared" ca="1" si="42"/>
        <v>201810</v>
      </c>
      <c r="S185" s="6">
        <f t="shared" ca="1" si="43"/>
        <v>2018</v>
      </c>
      <c r="T185" s="6">
        <f t="shared" ca="1" si="44"/>
        <v>10</v>
      </c>
      <c r="U185" s="68">
        <f ca="1">IFERROR(__xludf.DUMMYFUNCTION("""COMPUTED_VALUE"""),43374.6458333333)</f>
        <v>43374.645833333299</v>
      </c>
      <c r="V185" s="6">
        <f ca="1">IFERROR(__xludf.DUMMYFUNCTION("""COMPUTED_VALUE"""),2338.88)</f>
        <v>2338.88</v>
      </c>
      <c r="Z185" s="6" t="str">
        <f t="shared" ca="1" si="45"/>
        <v>20187</v>
      </c>
      <c r="AA185" s="6">
        <f t="shared" ca="1" si="46"/>
        <v>2018</v>
      </c>
      <c r="AB185" s="6">
        <f t="shared" ca="1" si="47"/>
        <v>7</v>
      </c>
      <c r="AC185" s="68">
        <f ca="1">IFERROR(__xludf.DUMMYFUNCTION("""COMPUTED_VALUE"""),43284.9986111111)</f>
        <v>43284.998611111099</v>
      </c>
      <c r="AD185" s="6">
        <f ca="1">IFERROR(__xludf.DUMMYFUNCTION("""COMPUTED_VALUE"""),1113.34)</f>
        <v>1113.3399999999999</v>
      </c>
      <c r="AH185" s="6" t="str">
        <f t="shared" ca="1" si="48"/>
        <v>20186</v>
      </c>
      <c r="AI185" s="6">
        <f t="shared" ca="1" si="49"/>
        <v>2018</v>
      </c>
      <c r="AJ185" s="6">
        <f t="shared" ca="1" si="50"/>
        <v>6</v>
      </c>
      <c r="AK185" s="68">
        <f ca="1">IFERROR(__xludf.DUMMYFUNCTION("""COMPUTED_VALUE"""),43277.9986111111)</f>
        <v>43277.998611111099</v>
      </c>
      <c r="AL185" s="6">
        <f ca="1">IFERROR(__xludf.DUMMYFUNCTION("""COMPUTED_VALUE"""),6082.66)</f>
        <v>6082.66</v>
      </c>
      <c r="AP185" s="6" t="str">
        <f t="shared" ca="1" si="51"/>
        <v>20189</v>
      </c>
      <c r="AQ185" s="6">
        <f t="shared" ca="1" si="52"/>
        <v>2018</v>
      </c>
      <c r="AR185" s="6">
        <f t="shared" ca="1" si="53"/>
        <v>9</v>
      </c>
      <c r="AS185" s="68">
        <f ca="1">IFERROR(__xludf.DUMMYFUNCTION("""COMPUTED_VALUE"""),43360.9986111111)</f>
        <v>43360.998611111099</v>
      </c>
      <c r="AT185" s="6">
        <f ca="1">IFERROR(__xludf.DUMMYFUNCTION("""COMPUTED_VALUE"""),1205.8)</f>
        <v>1205.8</v>
      </c>
    </row>
    <row r="186" spans="2:46" x14ac:dyDescent="0.35">
      <c r="B186" s="6" t="str">
        <f t="shared" ca="1" si="36"/>
        <v>20189</v>
      </c>
      <c r="C186" s="6">
        <f t="shared" ca="1" si="37"/>
        <v>2018</v>
      </c>
      <c r="D186" s="6">
        <f t="shared" ca="1" si="38"/>
        <v>9</v>
      </c>
      <c r="E186" s="68">
        <f ca="1">IFERROR(__xludf.DUMMYFUNCTION("""COMPUTED_VALUE"""),43360.6666666666)</f>
        <v>43360.666666666599</v>
      </c>
      <c r="F186" s="6">
        <f ca="1">IFERROR(__xludf.DUMMYFUNCTION("""COMPUTED_VALUE"""),2888.8)</f>
        <v>2888.8</v>
      </c>
      <c r="J186" s="6" t="str">
        <f t="shared" ca="1" si="39"/>
        <v>20189</v>
      </c>
      <c r="K186" s="6">
        <f t="shared" ca="1" si="40"/>
        <v>2018</v>
      </c>
      <c r="L186" s="6">
        <f t="shared" ca="1" si="41"/>
        <v>9</v>
      </c>
      <c r="M186" s="68">
        <f ca="1">IFERROR(__xludf.DUMMYFUNCTION("""COMPUTED_VALUE"""),43360.6666666666)</f>
        <v>43360.666666666599</v>
      </c>
      <c r="N186" s="6">
        <f ca="1">IFERROR(__xludf.DUMMYFUNCTION("""COMPUTED_VALUE"""),7895.79)</f>
        <v>7895.79</v>
      </c>
      <c r="R186" s="6" t="str">
        <f t="shared" ca="1" si="42"/>
        <v>201810</v>
      </c>
      <c r="S186" s="6">
        <f t="shared" ca="1" si="43"/>
        <v>2018</v>
      </c>
      <c r="T186" s="6">
        <f t="shared" ca="1" si="44"/>
        <v>10</v>
      </c>
      <c r="U186" s="68">
        <f ca="1">IFERROR(__xludf.DUMMYFUNCTION("""COMPUTED_VALUE"""),43375.6458333333)</f>
        <v>43375.645833333299</v>
      </c>
      <c r="V186" s="6">
        <f ca="1">IFERROR(__xludf.DUMMYFUNCTION("""COMPUTED_VALUE"""),2309.57)</f>
        <v>2309.5700000000002</v>
      </c>
      <c r="Z186" s="6" t="str">
        <f t="shared" ca="1" si="45"/>
        <v>20187</v>
      </c>
      <c r="AA186" s="6">
        <f t="shared" ca="1" si="46"/>
        <v>2018</v>
      </c>
      <c r="AB186" s="6">
        <f t="shared" ca="1" si="47"/>
        <v>7</v>
      </c>
      <c r="AC186" s="68">
        <f ca="1">IFERROR(__xludf.DUMMYFUNCTION("""COMPUTED_VALUE"""),43285.9986111111)</f>
        <v>43285.998611111099</v>
      </c>
      <c r="AD186" s="6">
        <f ca="1">IFERROR(__xludf.DUMMYFUNCTION("""COMPUTED_VALUE"""),1114.31)</f>
        <v>1114.31</v>
      </c>
      <c r="AH186" s="6" t="str">
        <f t="shared" ca="1" si="48"/>
        <v>20186</v>
      </c>
      <c r="AI186" s="6">
        <f t="shared" ca="1" si="49"/>
        <v>2018</v>
      </c>
      <c r="AJ186" s="6">
        <f t="shared" ca="1" si="50"/>
        <v>6</v>
      </c>
      <c r="AK186" s="68">
        <f ca="1">IFERROR(__xludf.DUMMYFUNCTION("""COMPUTED_VALUE"""),43278.9986111111)</f>
        <v>43278.998611111099</v>
      </c>
      <c r="AL186" s="6">
        <f ca="1">IFERROR(__xludf.DUMMYFUNCTION("""COMPUTED_VALUE"""),6131.76)</f>
        <v>6131.76</v>
      </c>
      <c r="AP186" s="6" t="str">
        <f t="shared" ca="1" si="51"/>
        <v>20189</v>
      </c>
      <c r="AQ186" s="6">
        <f t="shared" ca="1" si="52"/>
        <v>2018</v>
      </c>
      <c r="AR186" s="6">
        <f t="shared" ca="1" si="53"/>
        <v>9</v>
      </c>
      <c r="AS186" s="68">
        <f ca="1">IFERROR(__xludf.DUMMYFUNCTION("""COMPUTED_VALUE"""),43361.9986111111)</f>
        <v>43361.998611111099</v>
      </c>
      <c r="AT186" s="6">
        <f ca="1">IFERROR(__xludf.DUMMYFUNCTION("""COMPUTED_VALUE"""),1202.9)</f>
        <v>1202.9000000000001</v>
      </c>
    </row>
    <row r="187" spans="2:46" x14ac:dyDescent="0.35">
      <c r="B187" s="6" t="str">
        <f t="shared" ca="1" si="36"/>
        <v>20189</v>
      </c>
      <c r="C187" s="6">
        <f t="shared" ca="1" si="37"/>
        <v>2018</v>
      </c>
      <c r="D187" s="6">
        <f t="shared" ca="1" si="38"/>
        <v>9</v>
      </c>
      <c r="E187" s="68">
        <f ca="1">IFERROR(__xludf.DUMMYFUNCTION("""COMPUTED_VALUE"""),43361.6666666666)</f>
        <v>43361.666666666599</v>
      </c>
      <c r="F187" s="6">
        <f ca="1">IFERROR(__xludf.DUMMYFUNCTION("""COMPUTED_VALUE"""),2904.31)</f>
        <v>2904.31</v>
      </c>
      <c r="J187" s="6" t="str">
        <f t="shared" ca="1" si="39"/>
        <v>20189</v>
      </c>
      <c r="K187" s="6">
        <f t="shared" ca="1" si="40"/>
        <v>2018</v>
      </c>
      <c r="L187" s="6">
        <f t="shared" ca="1" si="41"/>
        <v>9</v>
      </c>
      <c r="M187" s="68">
        <f ca="1">IFERROR(__xludf.DUMMYFUNCTION("""COMPUTED_VALUE"""),43361.6666666666)</f>
        <v>43361.666666666599</v>
      </c>
      <c r="N187" s="6">
        <f ca="1">IFERROR(__xludf.DUMMYFUNCTION("""COMPUTED_VALUE"""),7956.11)</f>
        <v>7956.11</v>
      </c>
      <c r="R187" s="6" t="str">
        <f t="shared" ca="1" si="42"/>
        <v>201810</v>
      </c>
      <c r="S187" s="6">
        <f t="shared" ca="1" si="43"/>
        <v>2018</v>
      </c>
      <c r="T187" s="6">
        <f t="shared" ca="1" si="44"/>
        <v>10</v>
      </c>
      <c r="U187" s="68">
        <f ca="1">IFERROR(__xludf.DUMMYFUNCTION("""COMPUTED_VALUE"""),43377.6458333333)</f>
        <v>43377.645833333299</v>
      </c>
      <c r="V187" s="6">
        <f ca="1">IFERROR(__xludf.DUMMYFUNCTION("""COMPUTED_VALUE"""),2274.49)</f>
        <v>2274.4899999999998</v>
      </c>
      <c r="Z187" s="6" t="str">
        <f t="shared" ca="1" si="45"/>
        <v>20187</v>
      </c>
      <c r="AA187" s="6">
        <f t="shared" ca="1" si="46"/>
        <v>2018</v>
      </c>
      <c r="AB187" s="6">
        <f t="shared" ca="1" si="47"/>
        <v>7</v>
      </c>
      <c r="AC187" s="68">
        <f ca="1">IFERROR(__xludf.DUMMYFUNCTION("""COMPUTED_VALUE"""),43286.9986111111)</f>
        <v>43286.998611111099</v>
      </c>
      <c r="AD187" s="6">
        <f ca="1">IFERROR(__xludf.DUMMYFUNCTION("""COMPUTED_VALUE"""),1117.76)</f>
        <v>1117.76</v>
      </c>
      <c r="AH187" s="6" t="str">
        <f t="shared" ca="1" si="48"/>
        <v>20186</v>
      </c>
      <c r="AI187" s="6">
        <f t="shared" ca="1" si="49"/>
        <v>2018</v>
      </c>
      <c r="AJ187" s="6">
        <f t="shared" ca="1" si="50"/>
        <v>6</v>
      </c>
      <c r="AK187" s="68">
        <f ca="1">IFERROR(__xludf.DUMMYFUNCTION("""COMPUTED_VALUE"""),43279.9986111111)</f>
        <v>43279.998611111099</v>
      </c>
      <c r="AL187" s="6">
        <f ca="1">IFERROR(__xludf.DUMMYFUNCTION("""COMPUTED_VALUE"""),5883.21)</f>
        <v>5883.21</v>
      </c>
      <c r="AP187" s="6" t="str">
        <f t="shared" ca="1" si="51"/>
        <v>20189</v>
      </c>
      <c r="AQ187" s="6">
        <f t="shared" ca="1" si="52"/>
        <v>2018</v>
      </c>
      <c r="AR187" s="6">
        <f t="shared" ca="1" si="53"/>
        <v>9</v>
      </c>
      <c r="AS187" s="68">
        <f ca="1">IFERROR(__xludf.DUMMYFUNCTION("""COMPUTED_VALUE"""),43362.9986111111)</f>
        <v>43362.998611111099</v>
      </c>
      <c r="AT187" s="6">
        <f ca="1">IFERROR(__xludf.DUMMYFUNCTION("""COMPUTED_VALUE"""),1208.3)</f>
        <v>1208.3</v>
      </c>
    </row>
    <row r="188" spans="2:46" x14ac:dyDescent="0.35">
      <c r="B188" s="6" t="str">
        <f t="shared" ca="1" si="36"/>
        <v>20189</v>
      </c>
      <c r="C188" s="6">
        <f t="shared" ca="1" si="37"/>
        <v>2018</v>
      </c>
      <c r="D188" s="6">
        <f t="shared" ca="1" si="38"/>
        <v>9</v>
      </c>
      <c r="E188" s="68">
        <f ca="1">IFERROR(__xludf.DUMMYFUNCTION("""COMPUTED_VALUE"""),43362.6666666666)</f>
        <v>43362.666666666599</v>
      </c>
      <c r="F188" s="6">
        <f ca="1">IFERROR(__xludf.DUMMYFUNCTION("""COMPUTED_VALUE"""),2907.95)</f>
        <v>2907.95</v>
      </c>
      <c r="J188" s="6" t="str">
        <f t="shared" ca="1" si="39"/>
        <v>20189</v>
      </c>
      <c r="K188" s="6">
        <f t="shared" ca="1" si="40"/>
        <v>2018</v>
      </c>
      <c r="L188" s="6">
        <f t="shared" ca="1" si="41"/>
        <v>9</v>
      </c>
      <c r="M188" s="68">
        <f ca="1">IFERROR(__xludf.DUMMYFUNCTION("""COMPUTED_VALUE"""),43362.6666666666)</f>
        <v>43362.666666666599</v>
      </c>
      <c r="N188" s="6">
        <f ca="1">IFERROR(__xludf.DUMMYFUNCTION("""COMPUTED_VALUE"""),7950.04)</f>
        <v>7950.04</v>
      </c>
      <c r="R188" s="6" t="str">
        <f t="shared" ca="1" si="42"/>
        <v>201810</v>
      </c>
      <c r="S188" s="6">
        <f t="shared" ca="1" si="43"/>
        <v>2018</v>
      </c>
      <c r="T188" s="6">
        <f t="shared" ca="1" si="44"/>
        <v>10</v>
      </c>
      <c r="U188" s="68">
        <f ca="1">IFERROR(__xludf.DUMMYFUNCTION("""COMPUTED_VALUE"""),43378.6458333333)</f>
        <v>43378.645833333299</v>
      </c>
      <c r="V188" s="6">
        <f ca="1">IFERROR(__xludf.DUMMYFUNCTION("""COMPUTED_VALUE"""),2267.52)</f>
        <v>2267.52</v>
      </c>
      <c r="Z188" s="6" t="str">
        <f t="shared" ca="1" si="45"/>
        <v>20187</v>
      </c>
      <c r="AA188" s="6">
        <f t="shared" ca="1" si="46"/>
        <v>2018</v>
      </c>
      <c r="AB188" s="6">
        <f t="shared" ca="1" si="47"/>
        <v>7</v>
      </c>
      <c r="AC188" s="68">
        <f ca="1">IFERROR(__xludf.DUMMYFUNCTION("""COMPUTED_VALUE"""),43287.9986111111)</f>
        <v>43287.998611111099</v>
      </c>
      <c r="AD188" s="6">
        <f ca="1">IFERROR(__xludf.DUMMYFUNCTION("""COMPUTED_VALUE"""),1114.55)</f>
        <v>1114.55</v>
      </c>
      <c r="AH188" s="6" t="str">
        <f t="shared" ca="1" si="48"/>
        <v>20186</v>
      </c>
      <c r="AI188" s="6">
        <f t="shared" ca="1" si="49"/>
        <v>2018</v>
      </c>
      <c r="AJ188" s="6">
        <f t="shared" ca="1" si="50"/>
        <v>6</v>
      </c>
      <c r="AK188" s="68">
        <f ca="1">IFERROR(__xludf.DUMMYFUNCTION("""COMPUTED_VALUE"""),43280.9986111111)</f>
        <v>43280.998611111099</v>
      </c>
      <c r="AL188" s="6">
        <f ca="1">IFERROR(__xludf.DUMMYFUNCTION("""COMPUTED_VALUE"""),6208.42)</f>
        <v>6208.42</v>
      </c>
      <c r="AP188" s="6" t="str">
        <f t="shared" ca="1" si="51"/>
        <v>20189</v>
      </c>
      <c r="AQ188" s="6">
        <f t="shared" ca="1" si="52"/>
        <v>2018</v>
      </c>
      <c r="AR188" s="6">
        <f t="shared" ca="1" si="53"/>
        <v>9</v>
      </c>
      <c r="AS188" s="68">
        <f ca="1">IFERROR(__xludf.DUMMYFUNCTION("""COMPUTED_VALUE"""),43363.9986111111)</f>
        <v>43363.998611111099</v>
      </c>
      <c r="AT188" s="6">
        <f ca="1">IFERROR(__xludf.DUMMYFUNCTION("""COMPUTED_VALUE"""),1211.3)</f>
        <v>1211.3</v>
      </c>
    </row>
    <row r="189" spans="2:46" x14ac:dyDescent="0.35">
      <c r="B189" s="6" t="str">
        <f t="shared" ca="1" si="36"/>
        <v>20189</v>
      </c>
      <c r="C189" s="6">
        <f t="shared" ca="1" si="37"/>
        <v>2018</v>
      </c>
      <c r="D189" s="6">
        <f t="shared" ca="1" si="38"/>
        <v>9</v>
      </c>
      <c r="E189" s="68">
        <f ca="1">IFERROR(__xludf.DUMMYFUNCTION("""COMPUTED_VALUE"""),43363.6666666666)</f>
        <v>43363.666666666599</v>
      </c>
      <c r="F189" s="6">
        <f ca="1">IFERROR(__xludf.DUMMYFUNCTION("""COMPUTED_VALUE"""),2930.75)</f>
        <v>2930.75</v>
      </c>
      <c r="J189" s="6" t="str">
        <f t="shared" ca="1" si="39"/>
        <v>20189</v>
      </c>
      <c r="K189" s="6">
        <f t="shared" ca="1" si="40"/>
        <v>2018</v>
      </c>
      <c r="L189" s="6">
        <f t="shared" ca="1" si="41"/>
        <v>9</v>
      </c>
      <c r="M189" s="68">
        <f ca="1">IFERROR(__xludf.DUMMYFUNCTION("""COMPUTED_VALUE"""),43363.6666666666)</f>
        <v>43363.666666666599</v>
      </c>
      <c r="N189" s="6">
        <f ca="1">IFERROR(__xludf.DUMMYFUNCTION("""COMPUTED_VALUE"""),8028.23)</f>
        <v>8028.23</v>
      </c>
      <c r="R189" s="6" t="str">
        <f t="shared" ca="1" si="42"/>
        <v>201810</v>
      </c>
      <c r="S189" s="6">
        <f t="shared" ca="1" si="43"/>
        <v>2018</v>
      </c>
      <c r="T189" s="6">
        <f t="shared" ca="1" si="44"/>
        <v>10</v>
      </c>
      <c r="U189" s="68">
        <f ca="1">IFERROR(__xludf.DUMMYFUNCTION("""COMPUTED_VALUE"""),43381.6458333333)</f>
        <v>43381.645833333299</v>
      </c>
      <c r="V189" s="6">
        <f ca="1">IFERROR(__xludf.DUMMYFUNCTION("""COMPUTED_VALUE"""),2253.83)</f>
        <v>2253.83</v>
      </c>
      <c r="Z189" s="6" t="str">
        <f t="shared" ca="1" si="45"/>
        <v>20187</v>
      </c>
      <c r="AA189" s="6">
        <f t="shared" ca="1" si="46"/>
        <v>2018</v>
      </c>
      <c r="AB189" s="6">
        <f t="shared" ca="1" si="47"/>
        <v>7</v>
      </c>
      <c r="AC189" s="68">
        <f ca="1">IFERROR(__xludf.DUMMYFUNCTION("""COMPUTED_VALUE"""),43288.9986111111)</f>
        <v>43288.998611111099</v>
      </c>
      <c r="AD189" s="6">
        <f ca="1">IFERROR(__xludf.DUMMYFUNCTION("""COMPUTED_VALUE"""),1114.58)</f>
        <v>1114.58</v>
      </c>
      <c r="AH189" s="6" t="str">
        <f t="shared" ca="1" si="48"/>
        <v>20186</v>
      </c>
      <c r="AI189" s="6">
        <f t="shared" ca="1" si="49"/>
        <v>2018</v>
      </c>
      <c r="AJ189" s="6">
        <f t="shared" ca="1" si="50"/>
        <v>6</v>
      </c>
      <c r="AK189" s="68">
        <f ca="1">IFERROR(__xludf.DUMMYFUNCTION("""COMPUTED_VALUE"""),43281.9986111111)</f>
        <v>43281.998611111099</v>
      </c>
      <c r="AL189" s="6">
        <f ca="1">IFERROR(__xludf.DUMMYFUNCTION("""COMPUTED_VALUE"""),6387.27)</f>
        <v>6387.27</v>
      </c>
      <c r="AP189" s="6" t="str">
        <f t="shared" ca="1" si="51"/>
        <v>20189</v>
      </c>
      <c r="AQ189" s="6">
        <f t="shared" ca="1" si="52"/>
        <v>2018</v>
      </c>
      <c r="AR189" s="6">
        <f t="shared" ca="1" si="53"/>
        <v>9</v>
      </c>
      <c r="AS189" s="68">
        <f ca="1">IFERROR(__xludf.DUMMYFUNCTION("""COMPUTED_VALUE"""),43364.9986111111)</f>
        <v>43364.998611111099</v>
      </c>
      <c r="AT189" s="6">
        <f ca="1">IFERROR(__xludf.DUMMYFUNCTION("""COMPUTED_VALUE"""),1201.3)</f>
        <v>1201.3</v>
      </c>
    </row>
    <row r="190" spans="2:46" x14ac:dyDescent="0.35">
      <c r="B190" s="6" t="str">
        <f t="shared" ca="1" si="36"/>
        <v>20189</v>
      </c>
      <c r="C190" s="6">
        <f t="shared" ca="1" si="37"/>
        <v>2018</v>
      </c>
      <c r="D190" s="6">
        <f t="shared" ca="1" si="38"/>
        <v>9</v>
      </c>
      <c r="E190" s="68">
        <f ca="1">IFERROR(__xludf.DUMMYFUNCTION("""COMPUTED_VALUE"""),43364.6666666666)</f>
        <v>43364.666666666599</v>
      </c>
      <c r="F190" s="6">
        <f ca="1">IFERROR(__xludf.DUMMYFUNCTION("""COMPUTED_VALUE"""),2929.67)</f>
        <v>2929.67</v>
      </c>
      <c r="J190" s="6" t="str">
        <f t="shared" ca="1" si="39"/>
        <v>20189</v>
      </c>
      <c r="K190" s="6">
        <f t="shared" ca="1" si="40"/>
        <v>2018</v>
      </c>
      <c r="L190" s="6">
        <f t="shared" ca="1" si="41"/>
        <v>9</v>
      </c>
      <c r="M190" s="68">
        <f ca="1">IFERROR(__xludf.DUMMYFUNCTION("""COMPUTED_VALUE"""),43364.6666666666)</f>
        <v>43364.666666666599</v>
      </c>
      <c r="N190" s="6">
        <f ca="1">IFERROR(__xludf.DUMMYFUNCTION("""COMPUTED_VALUE"""),7986.96)</f>
        <v>7986.96</v>
      </c>
      <c r="R190" s="6" t="str">
        <f t="shared" ca="1" si="42"/>
        <v>201810</v>
      </c>
      <c r="S190" s="6">
        <f t="shared" ca="1" si="43"/>
        <v>2018</v>
      </c>
      <c r="T190" s="6">
        <f t="shared" ca="1" si="44"/>
        <v>10</v>
      </c>
      <c r="U190" s="68">
        <f ca="1">IFERROR(__xludf.DUMMYFUNCTION("""COMPUTED_VALUE"""),43383.6458333333)</f>
        <v>43383.645833333299</v>
      </c>
      <c r="V190" s="6">
        <f ca="1">IFERROR(__xludf.DUMMYFUNCTION("""COMPUTED_VALUE"""),2228.61)</f>
        <v>2228.61</v>
      </c>
      <c r="Z190" s="6" t="str">
        <f t="shared" ca="1" si="45"/>
        <v>20187</v>
      </c>
      <c r="AA190" s="6">
        <f t="shared" ca="1" si="46"/>
        <v>2018</v>
      </c>
      <c r="AB190" s="6">
        <f t="shared" ca="1" si="47"/>
        <v>7</v>
      </c>
      <c r="AC190" s="68">
        <f ca="1">IFERROR(__xludf.DUMMYFUNCTION("""COMPUTED_VALUE"""),43289.9986111111)</f>
        <v>43289.998611111099</v>
      </c>
      <c r="AD190" s="6">
        <f ca="1">IFERROR(__xludf.DUMMYFUNCTION("""COMPUTED_VALUE"""),1113.65)</f>
        <v>1113.6500000000001</v>
      </c>
      <c r="AH190" s="6" t="str">
        <f t="shared" ca="1" si="48"/>
        <v>20187</v>
      </c>
      <c r="AI190" s="6">
        <f t="shared" ca="1" si="49"/>
        <v>2018</v>
      </c>
      <c r="AJ190" s="6">
        <f t="shared" ca="1" si="50"/>
        <v>7</v>
      </c>
      <c r="AK190" s="68">
        <f ca="1">IFERROR(__xludf.DUMMYFUNCTION("""COMPUTED_VALUE"""),43282.9986111111)</f>
        <v>43282.998611111099</v>
      </c>
      <c r="AL190" s="6">
        <f ca="1">IFERROR(__xludf.DUMMYFUNCTION("""COMPUTED_VALUE"""),6347.94)</f>
        <v>6347.94</v>
      </c>
      <c r="AP190" s="6" t="str">
        <f t="shared" ca="1" si="51"/>
        <v>20189</v>
      </c>
      <c r="AQ190" s="6">
        <f t="shared" ca="1" si="52"/>
        <v>2018</v>
      </c>
      <c r="AR190" s="6">
        <f t="shared" ca="1" si="53"/>
        <v>9</v>
      </c>
      <c r="AS190" s="68">
        <f ca="1">IFERROR(__xludf.DUMMYFUNCTION("""COMPUTED_VALUE"""),43367.9986111111)</f>
        <v>43367.998611111099</v>
      </c>
      <c r="AT190" s="6">
        <f ca="1">IFERROR(__xludf.DUMMYFUNCTION("""COMPUTED_VALUE"""),1204.4)</f>
        <v>1204.4000000000001</v>
      </c>
    </row>
    <row r="191" spans="2:46" x14ac:dyDescent="0.35">
      <c r="B191" s="6" t="str">
        <f t="shared" ca="1" si="36"/>
        <v>20189</v>
      </c>
      <c r="C191" s="6">
        <f t="shared" ca="1" si="37"/>
        <v>2018</v>
      </c>
      <c r="D191" s="6">
        <f t="shared" ca="1" si="38"/>
        <v>9</v>
      </c>
      <c r="E191" s="68">
        <f ca="1">IFERROR(__xludf.DUMMYFUNCTION("""COMPUTED_VALUE"""),43367.6666666666)</f>
        <v>43367.666666666599</v>
      </c>
      <c r="F191" s="6">
        <f ca="1">IFERROR(__xludf.DUMMYFUNCTION("""COMPUTED_VALUE"""),2919.37)</f>
        <v>2919.37</v>
      </c>
      <c r="J191" s="6" t="str">
        <f t="shared" ca="1" si="39"/>
        <v>20189</v>
      </c>
      <c r="K191" s="6">
        <f t="shared" ca="1" si="40"/>
        <v>2018</v>
      </c>
      <c r="L191" s="6">
        <f t="shared" ca="1" si="41"/>
        <v>9</v>
      </c>
      <c r="M191" s="68">
        <f ca="1">IFERROR(__xludf.DUMMYFUNCTION("""COMPUTED_VALUE"""),43367.6666666666)</f>
        <v>43367.666666666599</v>
      </c>
      <c r="N191" s="6">
        <f ca="1">IFERROR(__xludf.DUMMYFUNCTION("""COMPUTED_VALUE"""),7993.25)</f>
        <v>7993.25</v>
      </c>
      <c r="R191" s="6" t="str">
        <f t="shared" ca="1" si="42"/>
        <v>201810</v>
      </c>
      <c r="S191" s="6">
        <f t="shared" ca="1" si="43"/>
        <v>2018</v>
      </c>
      <c r="T191" s="6">
        <f t="shared" ca="1" si="44"/>
        <v>10</v>
      </c>
      <c r="U191" s="68">
        <f ca="1">IFERROR(__xludf.DUMMYFUNCTION("""COMPUTED_VALUE"""),43384.6458333333)</f>
        <v>43384.645833333299</v>
      </c>
      <c r="V191" s="6">
        <f ca="1">IFERROR(__xludf.DUMMYFUNCTION("""COMPUTED_VALUE"""),2129.67)</f>
        <v>2129.67</v>
      </c>
      <c r="Z191" s="6" t="str">
        <f t="shared" ca="1" si="45"/>
        <v>20187</v>
      </c>
      <c r="AA191" s="6">
        <f t="shared" ca="1" si="46"/>
        <v>2018</v>
      </c>
      <c r="AB191" s="6">
        <f t="shared" ca="1" si="47"/>
        <v>7</v>
      </c>
      <c r="AC191" s="68">
        <f ca="1">IFERROR(__xludf.DUMMYFUNCTION("""COMPUTED_VALUE"""),43290.9986111111)</f>
        <v>43290.998611111099</v>
      </c>
      <c r="AD191" s="6">
        <f ca="1">IFERROR(__xludf.DUMMYFUNCTION("""COMPUTED_VALUE"""),1112.48)</f>
        <v>1112.48</v>
      </c>
      <c r="AH191" s="6" t="str">
        <f t="shared" ca="1" si="48"/>
        <v>20187</v>
      </c>
      <c r="AI191" s="6">
        <f t="shared" ca="1" si="49"/>
        <v>2018</v>
      </c>
      <c r="AJ191" s="6">
        <f t="shared" ca="1" si="50"/>
        <v>7</v>
      </c>
      <c r="AK191" s="68">
        <f ca="1">IFERROR(__xludf.DUMMYFUNCTION("""COMPUTED_VALUE"""),43283.9986111111)</f>
        <v>43283.998611111099</v>
      </c>
      <c r="AL191" s="6">
        <f ca="1">IFERROR(__xludf.DUMMYFUNCTION("""COMPUTED_VALUE"""),6621.06)</f>
        <v>6621.06</v>
      </c>
      <c r="AP191" s="6" t="str">
        <f t="shared" ca="1" si="51"/>
        <v>20189</v>
      </c>
      <c r="AQ191" s="6">
        <f t="shared" ca="1" si="52"/>
        <v>2018</v>
      </c>
      <c r="AR191" s="6">
        <f t="shared" ca="1" si="53"/>
        <v>9</v>
      </c>
      <c r="AS191" s="68">
        <f ca="1">IFERROR(__xludf.DUMMYFUNCTION("""COMPUTED_VALUE"""),43368.9986111111)</f>
        <v>43368.998611111099</v>
      </c>
      <c r="AT191" s="6">
        <f ca="1">IFERROR(__xludf.DUMMYFUNCTION("""COMPUTED_VALUE"""),1205.1)</f>
        <v>1205.0999999999999</v>
      </c>
    </row>
    <row r="192" spans="2:46" x14ac:dyDescent="0.35">
      <c r="B192" s="6" t="str">
        <f t="shared" ca="1" si="36"/>
        <v>20189</v>
      </c>
      <c r="C192" s="6">
        <f t="shared" ca="1" si="37"/>
        <v>2018</v>
      </c>
      <c r="D192" s="6">
        <f t="shared" ca="1" si="38"/>
        <v>9</v>
      </c>
      <c r="E192" s="68">
        <f ca="1">IFERROR(__xludf.DUMMYFUNCTION("""COMPUTED_VALUE"""),43368.6666666666)</f>
        <v>43368.666666666599</v>
      </c>
      <c r="F192" s="6">
        <f ca="1">IFERROR(__xludf.DUMMYFUNCTION("""COMPUTED_VALUE"""),2915.56)</f>
        <v>2915.56</v>
      </c>
      <c r="J192" s="6" t="str">
        <f t="shared" ca="1" si="39"/>
        <v>20189</v>
      </c>
      <c r="K192" s="6">
        <f t="shared" ca="1" si="40"/>
        <v>2018</v>
      </c>
      <c r="L192" s="6">
        <f t="shared" ca="1" si="41"/>
        <v>9</v>
      </c>
      <c r="M192" s="68">
        <f ca="1">IFERROR(__xludf.DUMMYFUNCTION("""COMPUTED_VALUE"""),43368.6666666666)</f>
        <v>43368.666666666599</v>
      </c>
      <c r="N192" s="6">
        <f ca="1">IFERROR(__xludf.DUMMYFUNCTION("""COMPUTED_VALUE"""),8007.47)</f>
        <v>8007.47</v>
      </c>
      <c r="R192" s="6" t="str">
        <f t="shared" ca="1" si="42"/>
        <v>201810</v>
      </c>
      <c r="S192" s="6">
        <f t="shared" ca="1" si="43"/>
        <v>2018</v>
      </c>
      <c r="T192" s="6">
        <f t="shared" ca="1" si="44"/>
        <v>10</v>
      </c>
      <c r="U192" s="68">
        <f ca="1">IFERROR(__xludf.DUMMYFUNCTION("""COMPUTED_VALUE"""),43385.6458333333)</f>
        <v>43385.645833333299</v>
      </c>
      <c r="V192" s="6">
        <f ca="1">IFERROR(__xludf.DUMMYFUNCTION("""COMPUTED_VALUE"""),2161.85)</f>
        <v>2161.85</v>
      </c>
      <c r="Z192" s="6" t="str">
        <f t="shared" ca="1" si="45"/>
        <v>20187</v>
      </c>
      <c r="AA192" s="6">
        <f t="shared" ca="1" si="46"/>
        <v>2018</v>
      </c>
      <c r="AB192" s="6">
        <f t="shared" ca="1" si="47"/>
        <v>7</v>
      </c>
      <c r="AC192" s="68">
        <f ca="1">IFERROR(__xludf.DUMMYFUNCTION("""COMPUTED_VALUE"""),43291.9986111111)</f>
        <v>43291.998611111099</v>
      </c>
      <c r="AD192" s="6">
        <f ca="1">IFERROR(__xludf.DUMMYFUNCTION("""COMPUTED_VALUE"""),1112.56)</f>
        <v>1112.56</v>
      </c>
      <c r="AH192" s="6" t="str">
        <f t="shared" ca="1" si="48"/>
        <v>20187</v>
      </c>
      <c r="AI192" s="6">
        <f t="shared" ca="1" si="49"/>
        <v>2018</v>
      </c>
      <c r="AJ192" s="6">
        <f t="shared" ca="1" si="50"/>
        <v>7</v>
      </c>
      <c r="AK192" s="68">
        <f ca="1">IFERROR(__xludf.DUMMYFUNCTION("""COMPUTED_VALUE"""),43284.9986111111)</f>
        <v>43284.998611111099</v>
      </c>
      <c r="AL192" s="6">
        <f ca="1">IFERROR(__xludf.DUMMYFUNCTION("""COMPUTED_VALUE"""),6505.57)</f>
        <v>6505.57</v>
      </c>
      <c r="AP192" s="6" t="str">
        <f t="shared" ca="1" si="51"/>
        <v>20189</v>
      </c>
      <c r="AQ192" s="6">
        <f t="shared" ca="1" si="52"/>
        <v>2018</v>
      </c>
      <c r="AR192" s="6">
        <f t="shared" ca="1" si="53"/>
        <v>9</v>
      </c>
      <c r="AS192" s="68">
        <f ca="1">IFERROR(__xludf.DUMMYFUNCTION("""COMPUTED_VALUE"""),43369.9986111111)</f>
        <v>43369.998611111099</v>
      </c>
      <c r="AT192" s="6">
        <f ca="1">IFERROR(__xludf.DUMMYFUNCTION("""COMPUTED_VALUE"""),1199.1)</f>
        <v>1199.0999999999999</v>
      </c>
    </row>
    <row r="193" spans="2:46" x14ac:dyDescent="0.35">
      <c r="B193" s="6" t="str">
        <f t="shared" ca="1" si="36"/>
        <v>20189</v>
      </c>
      <c r="C193" s="6">
        <f t="shared" ca="1" si="37"/>
        <v>2018</v>
      </c>
      <c r="D193" s="6">
        <f t="shared" ca="1" si="38"/>
        <v>9</v>
      </c>
      <c r="E193" s="68">
        <f ca="1">IFERROR(__xludf.DUMMYFUNCTION("""COMPUTED_VALUE"""),43369.6666666666)</f>
        <v>43369.666666666599</v>
      </c>
      <c r="F193" s="6">
        <f ca="1">IFERROR(__xludf.DUMMYFUNCTION("""COMPUTED_VALUE"""),2905.97)</f>
        <v>2905.97</v>
      </c>
      <c r="J193" s="6" t="str">
        <f t="shared" ca="1" si="39"/>
        <v>20189</v>
      </c>
      <c r="K193" s="6">
        <f t="shared" ca="1" si="40"/>
        <v>2018</v>
      </c>
      <c r="L193" s="6">
        <f t="shared" ca="1" si="41"/>
        <v>9</v>
      </c>
      <c r="M193" s="68">
        <f ca="1">IFERROR(__xludf.DUMMYFUNCTION("""COMPUTED_VALUE"""),43369.6666666666)</f>
        <v>43369.666666666599</v>
      </c>
      <c r="N193" s="6">
        <f ca="1">IFERROR(__xludf.DUMMYFUNCTION("""COMPUTED_VALUE"""),7990.37)</f>
        <v>7990.37</v>
      </c>
      <c r="R193" s="6" t="str">
        <f t="shared" ca="1" si="42"/>
        <v>201810</v>
      </c>
      <c r="S193" s="6">
        <f t="shared" ca="1" si="43"/>
        <v>2018</v>
      </c>
      <c r="T193" s="6">
        <f t="shared" ca="1" si="44"/>
        <v>10</v>
      </c>
      <c r="U193" s="68">
        <f ca="1">IFERROR(__xludf.DUMMYFUNCTION("""COMPUTED_VALUE"""),43388.6458333333)</f>
        <v>43388.645833333299</v>
      </c>
      <c r="V193" s="6">
        <f ca="1">IFERROR(__xludf.DUMMYFUNCTION("""COMPUTED_VALUE"""),2145.12)</f>
        <v>2145.12</v>
      </c>
      <c r="Z193" s="6" t="str">
        <f t="shared" ca="1" si="45"/>
        <v>20187</v>
      </c>
      <c r="AA193" s="6">
        <f t="shared" ca="1" si="46"/>
        <v>2018</v>
      </c>
      <c r="AB193" s="6">
        <f t="shared" ca="1" si="47"/>
        <v>7</v>
      </c>
      <c r="AC193" s="68">
        <f ca="1">IFERROR(__xludf.DUMMYFUNCTION("""COMPUTED_VALUE"""),43292.9986111111)</f>
        <v>43292.998611111099</v>
      </c>
      <c r="AD193" s="6">
        <f ca="1">IFERROR(__xludf.DUMMYFUNCTION("""COMPUTED_VALUE"""),1127.17)</f>
        <v>1127.17</v>
      </c>
      <c r="AH193" s="6" t="str">
        <f t="shared" ca="1" si="48"/>
        <v>20187</v>
      </c>
      <c r="AI193" s="6">
        <f t="shared" ca="1" si="49"/>
        <v>2018</v>
      </c>
      <c r="AJ193" s="6">
        <f t="shared" ca="1" si="50"/>
        <v>7</v>
      </c>
      <c r="AK193" s="68">
        <f ca="1">IFERROR(__xludf.DUMMYFUNCTION("""COMPUTED_VALUE"""),43285.9986111111)</f>
        <v>43285.998611111099</v>
      </c>
      <c r="AL193" s="6">
        <f ca="1">IFERROR(__xludf.DUMMYFUNCTION("""COMPUTED_VALUE"""),6592.63)</f>
        <v>6592.63</v>
      </c>
      <c r="AP193" s="6" t="str">
        <f t="shared" ca="1" si="51"/>
        <v>20189</v>
      </c>
      <c r="AQ193" s="6">
        <f t="shared" ca="1" si="52"/>
        <v>2018</v>
      </c>
      <c r="AR193" s="6">
        <f t="shared" ca="1" si="53"/>
        <v>9</v>
      </c>
      <c r="AS193" s="68">
        <f ca="1">IFERROR(__xludf.DUMMYFUNCTION("""COMPUTED_VALUE"""),43370.9986111111)</f>
        <v>43370.998611111099</v>
      </c>
      <c r="AT193" s="6">
        <f ca="1">IFERROR(__xludf.DUMMYFUNCTION("""COMPUTED_VALUE"""),1187.4)</f>
        <v>1187.4000000000001</v>
      </c>
    </row>
    <row r="194" spans="2:46" x14ac:dyDescent="0.35">
      <c r="B194" s="6" t="str">
        <f t="shared" ca="1" si="36"/>
        <v>20189</v>
      </c>
      <c r="C194" s="6">
        <f t="shared" ca="1" si="37"/>
        <v>2018</v>
      </c>
      <c r="D194" s="6">
        <f t="shared" ca="1" si="38"/>
        <v>9</v>
      </c>
      <c r="E194" s="68">
        <f ca="1">IFERROR(__xludf.DUMMYFUNCTION("""COMPUTED_VALUE"""),43370.6666666666)</f>
        <v>43370.666666666599</v>
      </c>
      <c r="F194" s="6">
        <f ca="1">IFERROR(__xludf.DUMMYFUNCTION("""COMPUTED_VALUE"""),2914)</f>
        <v>2914</v>
      </c>
      <c r="J194" s="6" t="str">
        <f t="shared" ca="1" si="39"/>
        <v>20189</v>
      </c>
      <c r="K194" s="6">
        <f t="shared" ca="1" si="40"/>
        <v>2018</v>
      </c>
      <c r="L194" s="6">
        <f t="shared" ca="1" si="41"/>
        <v>9</v>
      </c>
      <c r="M194" s="68">
        <f ca="1">IFERROR(__xludf.DUMMYFUNCTION("""COMPUTED_VALUE"""),43370.6666666666)</f>
        <v>43370.666666666599</v>
      </c>
      <c r="N194" s="6">
        <f ca="1">IFERROR(__xludf.DUMMYFUNCTION("""COMPUTED_VALUE"""),8041.97)</f>
        <v>8041.97</v>
      </c>
      <c r="R194" s="6" t="str">
        <f t="shared" ca="1" si="42"/>
        <v>201810</v>
      </c>
      <c r="S194" s="6">
        <f t="shared" ca="1" si="43"/>
        <v>2018</v>
      </c>
      <c r="T194" s="6">
        <f t="shared" ca="1" si="44"/>
        <v>10</v>
      </c>
      <c r="U194" s="68">
        <f ca="1">IFERROR(__xludf.DUMMYFUNCTION("""COMPUTED_VALUE"""),43389.6458333333)</f>
        <v>43389.645833333299</v>
      </c>
      <c r="V194" s="6">
        <f ca="1">IFERROR(__xludf.DUMMYFUNCTION("""COMPUTED_VALUE"""),2145.12)</f>
        <v>2145.12</v>
      </c>
      <c r="Z194" s="6" t="str">
        <f t="shared" ca="1" si="45"/>
        <v>20187</v>
      </c>
      <c r="AA194" s="6">
        <f t="shared" ca="1" si="46"/>
        <v>2018</v>
      </c>
      <c r="AB194" s="6">
        <f t="shared" ca="1" si="47"/>
        <v>7</v>
      </c>
      <c r="AC194" s="68">
        <f ca="1">IFERROR(__xludf.DUMMYFUNCTION("""COMPUTED_VALUE"""),43293.9986111111)</f>
        <v>43293.998611111099</v>
      </c>
      <c r="AD194" s="6">
        <f ca="1">IFERROR(__xludf.DUMMYFUNCTION("""COMPUTED_VALUE"""),1122.65)</f>
        <v>1122.6500000000001</v>
      </c>
      <c r="AH194" s="6" t="str">
        <f t="shared" ca="1" si="48"/>
        <v>20187</v>
      </c>
      <c r="AI194" s="6">
        <f t="shared" ca="1" si="49"/>
        <v>2018</v>
      </c>
      <c r="AJ194" s="6">
        <f t="shared" ca="1" si="50"/>
        <v>7</v>
      </c>
      <c r="AK194" s="68">
        <f ca="1">IFERROR(__xludf.DUMMYFUNCTION("""COMPUTED_VALUE"""),43286.9986111111)</f>
        <v>43286.998611111099</v>
      </c>
      <c r="AL194" s="6">
        <f ca="1">IFERROR(__xludf.DUMMYFUNCTION("""COMPUTED_VALUE"""),6536.4)</f>
        <v>6536.4</v>
      </c>
      <c r="AP194" s="6" t="str">
        <f t="shared" ca="1" si="51"/>
        <v>20189</v>
      </c>
      <c r="AQ194" s="6">
        <f t="shared" ca="1" si="52"/>
        <v>2018</v>
      </c>
      <c r="AR194" s="6">
        <f t="shared" ca="1" si="53"/>
        <v>9</v>
      </c>
      <c r="AS194" s="68">
        <f ca="1">IFERROR(__xludf.DUMMYFUNCTION("""COMPUTED_VALUE"""),43371.9986111111)</f>
        <v>43371.998611111099</v>
      </c>
      <c r="AT194" s="6">
        <f ca="1">IFERROR(__xludf.DUMMYFUNCTION("""COMPUTED_VALUE"""),1196.2)</f>
        <v>1196.2</v>
      </c>
    </row>
    <row r="195" spans="2:46" x14ac:dyDescent="0.35">
      <c r="B195" s="6" t="str">
        <f t="shared" ca="1" si="36"/>
        <v>20189</v>
      </c>
      <c r="C195" s="6">
        <f t="shared" ca="1" si="37"/>
        <v>2018</v>
      </c>
      <c r="D195" s="6">
        <f t="shared" ca="1" si="38"/>
        <v>9</v>
      </c>
      <c r="E195" s="68">
        <f ca="1">IFERROR(__xludf.DUMMYFUNCTION("""COMPUTED_VALUE"""),43371.6666666666)</f>
        <v>43371.666666666599</v>
      </c>
      <c r="F195" s="6">
        <f ca="1">IFERROR(__xludf.DUMMYFUNCTION("""COMPUTED_VALUE"""),2913.98)</f>
        <v>2913.98</v>
      </c>
      <c r="J195" s="6" t="str">
        <f t="shared" ca="1" si="39"/>
        <v>20189</v>
      </c>
      <c r="K195" s="6">
        <f t="shared" ca="1" si="40"/>
        <v>2018</v>
      </c>
      <c r="L195" s="6">
        <f t="shared" ca="1" si="41"/>
        <v>9</v>
      </c>
      <c r="M195" s="68">
        <f ca="1">IFERROR(__xludf.DUMMYFUNCTION("""COMPUTED_VALUE"""),43371.6666666666)</f>
        <v>43371.666666666599</v>
      </c>
      <c r="N195" s="6">
        <f ca="1">IFERROR(__xludf.DUMMYFUNCTION("""COMPUTED_VALUE"""),8046.35)</f>
        <v>8046.35</v>
      </c>
      <c r="R195" s="6" t="str">
        <f t="shared" ca="1" si="42"/>
        <v>201810</v>
      </c>
      <c r="S195" s="6">
        <f t="shared" ca="1" si="43"/>
        <v>2018</v>
      </c>
      <c r="T195" s="6">
        <f t="shared" ca="1" si="44"/>
        <v>10</v>
      </c>
      <c r="U195" s="68">
        <f ca="1">IFERROR(__xludf.DUMMYFUNCTION("""COMPUTED_VALUE"""),43390.6458333333)</f>
        <v>43390.645833333299</v>
      </c>
      <c r="V195" s="6">
        <f ca="1">IFERROR(__xludf.DUMMYFUNCTION("""COMPUTED_VALUE"""),2167.51)</f>
        <v>2167.5100000000002</v>
      </c>
      <c r="Z195" s="6" t="str">
        <f t="shared" ca="1" si="45"/>
        <v>20187</v>
      </c>
      <c r="AA195" s="6">
        <f t="shared" ca="1" si="46"/>
        <v>2018</v>
      </c>
      <c r="AB195" s="6">
        <f t="shared" ca="1" si="47"/>
        <v>7</v>
      </c>
      <c r="AC195" s="68">
        <f ca="1">IFERROR(__xludf.DUMMYFUNCTION("""COMPUTED_VALUE"""),43294.9986111111)</f>
        <v>43294.998611111099</v>
      </c>
      <c r="AD195" s="6">
        <f ca="1">IFERROR(__xludf.DUMMYFUNCTION("""COMPUTED_VALUE"""),1129.21)</f>
        <v>1129.21</v>
      </c>
      <c r="AH195" s="6" t="str">
        <f t="shared" ca="1" si="48"/>
        <v>20187</v>
      </c>
      <c r="AI195" s="6">
        <f t="shared" ca="1" si="49"/>
        <v>2018</v>
      </c>
      <c r="AJ195" s="6">
        <f t="shared" ca="1" si="50"/>
        <v>7</v>
      </c>
      <c r="AK195" s="68">
        <f ca="1">IFERROR(__xludf.DUMMYFUNCTION("""COMPUTED_VALUE"""),43287.9986111111)</f>
        <v>43287.998611111099</v>
      </c>
      <c r="AL195" s="6">
        <f ca="1">IFERROR(__xludf.DUMMYFUNCTION("""COMPUTED_VALUE"""),6617.18)</f>
        <v>6617.18</v>
      </c>
      <c r="AP195" s="6" t="str">
        <f t="shared" ca="1" si="51"/>
        <v>201810</v>
      </c>
      <c r="AQ195" s="6">
        <f t="shared" ca="1" si="52"/>
        <v>2018</v>
      </c>
      <c r="AR195" s="6">
        <f t="shared" ca="1" si="53"/>
        <v>10</v>
      </c>
      <c r="AS195" s="68">
        <f ca="1">IFERROR(__xludf.DUMMYFUNCTION("""COMPUTED_VALUE"""),43374.9986111111)</f>
        <v>43374.998611111099</v>
      </c>
      <c r="AT195" s="6">
        <f ca="1">IFERROR(__xludf.DUMMYFUNCTION("""COMPUTED_VALUE"""),1191.7)</f>
        <v>1191.7</v>
      </c>
    </row>
    <row r="196" spans="2:46" x14ac:dyDescent="0.35">
      <c r="B196" s="6" t="str">
        <f t="shared" ca="1" si="36"/>
        <v>201810</v>
      </c>
      <c r="C196" s="6">
        <f t="shared" ca="1" si="37"/>
        <v>2018</v>
      </c>
      <c r="D196" s="6">
        <f t="shared" ca="1" si="38"/>
        <v>10</v>
      </c>
      <c r="E196" s="68">
        <f ca="1">IFERROR(__xludf.DUMMYFUNCTION("""COMPUTED_VALUE"""),43374.6666666666)</f>
        <v>43374.666666666599</v>
      </c>
      <c r="F196" s="6">
        <f ca="1">IFERROR(__xludf.DUMMYFUNCTION("""COMPUTED_VALUE"""),2924.59)</f>
        <v>2924.59</v>
      </c>
      <c r="J196" s="6" t="str">
        <f t="shared" ca="1" si="39"/>
        <v>201810</v>
      </c>
      <c r="K196" s="6">
        <f t="shared" ca="1" si="40"/>
        <v>2018</v>
      </c>
      <c r="L196" s="6">
        <f t="shared" ca="1" si="41"/>
        <v>10</v>
      </c>
      <c r="M196" s="68">
        <f ca="1">IFERROR(__xludf.DUMMYFUNCTION("""COMPUTED_VALUE"""),43374.6666666666)</f>
        <v>43374.666666666599</v>
      </c>
      <c r="N196" s="6">
        <f ca="1">IFERROR(__xludf.DUMMYFUNCTION("""COMPUTED_VALUE"""),8037.3)</f>
        <v>8037.3</v>
      </c>
      <c r="R196" s="6" t="str">
        <f t="shared" ca="1" si="42"/>
        <v>201810</v>
      </c>
      <c r="S196" s="6">
        <f t="shared" ca="1" si="43"/>
        <v>2018</v>
      </c>
      <c r="T196" s="6">
        <f t="shared" ca="1" si="44"/>
        <v>10</v>
      </c>
      <c r="U196" s="68">
        <f ca="1">IFERROR(__xludf.DUMMYFUNCTION("""COMPUTED_VALUE"""),43391.6458333333)</f>
        <v>43391.645833333299</v>
      </c>
      <c r="V196" s="6">
        <f ca="1">IFERROR(__xludf.DUMMYFUNCTION("""COMPUTED_VALUE"""),2148.31)</f>
        <v>2148.31</v>
      </c>
      <c r="Z196" s="6" t="str">
        <f t="shared" ca="1" si="45"/>
        <v>20187</v>
      </c>
      <c r="AA196" s="6">
        <f t="shared" ca="1" si="46"/>
        <v>2018</v>
      </c>
      <c r="AB196" s="6">
        <f t="shared" ca="1" si="47"/>
        <v>7</v>
      </c>
      <c r="AC196" s="68">
        <f ca="1">IFERROR(__xludf.DUMMYFUNCTION("""COMPUTED_VALUE"""),43295.9986111111)</f>
        <v>43295.998611111099</v>
      </c>
      <c r="AD196" s="6">
        <f ca="1">IFERROR(__xludf.DUMMYFUNCTION("""COMPUTED_VALUE"""),1129.21)</f>
        <v>1129.21</v>
      </c>
      <c r="AH196" s="6" t="str">
        <f t="shared" ca="1" si="48"/>
        <v>20187</v>
      </c>
      <c r="AI196" s="6">
        <f t="shared" ca="1" si="49"/>
        <v>2018</v>
      </c>
      <c r="AJ196" s="6">
        <f t="shared" ca="1" si="50"/>
        <v>7</v>
      </c>
      <c r="AK196" s="68">
        <f ca="1">IFERROR(__xludf.DUMMYFUNCTION("""COMPUTED_VALUE"""),43288.9986111111)</f>
        <v>43288.998611111099</v>
      </c>
      <c r="AL196" s="6">
        <f ca="1">IFERROR(__xludf.DUMMYFUNCTION("""COMPUTED_VALUE"""),6773.66)</f>
        <v>6773.66</v>
      </c>
      <c r="AP196" s="6" t="str">
        <f t="shared" ca="1" si="51"/>
        <v>201810</v>
      </c>
      <c r="AQ196" s="6">
        <f t="shared" ca="1" si="52"/>
        <v>2018</v>
      </c>
      <c r="AR196" s="6">
        <f t="shared" ca="1" si="53"/>
        <v>10</v>
      </c>
      <c r="AS196" s="68">
        <f ca="1">IFERROR(__xludf.DUMMYFUNCTION("""COMPUTED_VALUE"""),43375.9986111111)</f>
        <v>43375.998611111099</v>
      </c>
      <c r="AT196" s="6">
        <f ca="1">IFERROR(__xludf.DUMMYFUNCTION("""COMPUTED_VALUE"""),1207)</f>
        <v>1207</v>
      </c>
    </row>
    <row r="197" spans="2:46" x14ac:dyDescent="0.35">
      <c r="B197" s="6" t="str">
        <f t="shared" ca="1" si="36"/>
        <v>201810</v>
      </c>
      <c r="C197" s="6">
        <f t="shared" ca="1" si="37"/>
        <v>2018</v>
      </c>
      <c r="D197" s="6">
        <f t="shared" ca="1" si="38"/>
        <v>10</v>
      </c>
      <c r="E197" s="68">
        <f ca="1">IFERROR(__xludf.DUMMYFUNCTION("""COMPUTED_VALUE"""),43375.6666666666)</f>
        <v>43375.666666666599</v>
      </c>
      <c r="F197" s="6">
        <f ca="1">IFERROR(__xludf.DUMMYFUNCTION("""COMPUTED_VALUE"""),2923.43)</f>
        <v>2923.43</v>
      </c>
      <c r="J197" s="6" t="str">
        <f t="shared" ca="1" si="39"/>
        <v>201810</v>
      </c>
      <c r="K197" s="6">
        <f t="shared" ca="1" si="40"/>
        <v>2018</v>
      </c>
      <c r="L197" s="6">
        <f t="shared" ca="1" si="41"/>
        <v>10</v>
      </c>
      <c r="M197" s="68">
        <f ca="1">IFERROR(__xludf.DUMMYFUNCTION("""COMPUTED_VALUE"""),43375.6666666666)</f>
        <v>43375.666666666599</v>
      </c>
      <c r="N197" s="6">
        <f ca="1">IFERROR(__xludf.DUMMYFUNCTION("""COMPUTED_VALUE"""),7999.55)</f>
        <v>7999.55</v>
      </c>
      <c r="R197" s="6" t="str">
        <f t="shared" ca="1" si="42"/>
        <v>201810</v>
      </c>
      <c r="S197" s="6">
        <f t="shared" ca="1" si="43"/>
        <v>2018</v>
      </c>
      <c r="T197" s="6">
        <f t="shared" ca="1" si="44"/>
        <v>10</v>
      </c>
      <c r="U197" s="68">
        <f ca="1">IFERROR(__xludf.DUMMYFUNCTION("""COMPUTED_VALUE"""),43392.6458333333)</f>
        <v>43392.645833333299</v>
      </c>
      <c r="V197" s="6">
        <f ca="1">IFERROR(__xludf.DUMMYFUNCTION("""COMPUTED_VALUE"""),2156.26)</f>
        <v>2156.2600000000002</v>
      </c>
      <c r="Z197" s="6" t="str">
        <f t="shared" ca="1" si="45"/>
        <v>20187</v>
      </c>
      <c r="AA197" s="6">
        <f t="shared" ca="1" si="46"/>
        <v>2018</v>
      </c>
      <c r="AB197" s="6">
        <f t="shared" ca="1" si="47"/>
        <v>7</v>
      </c>
      <c r="AC197" s="68">
        <f ca="1">IFERROR(__xludf.DUMMYFUNCTION("""COMPUTED_VALUE"""),43296.9986111111)</f>
        <v>43296.998611111099</v>
      </c>
      <c r="AD197" s="6">
        <f ca="1">IFERROR(__xludf.DUMMYFUNCTION("""COMPUTED_VALUE"""),1129.85)</f>
        <v>1129.8499999999999</v>
      </c>
      <c r="AH197" s="6" t="str">
        <f t="shared" ca="1" si="48"/>
        <v>20187</v>
      </c>
      <c r="AI197" s="6">
        <f t="shared" ca="1" si="49"/>
        <v>2018</v>
      </c>
      <c r="AJ197" s="6">
        <f t="shared" ca="1" si="50"/>
        <v>7</v>
      </c>
      <c r="AK197" s="68">
        <f ca="1">IFERROR(__xludf.DUMMYFUNCTION("""COMPUTED_VALUE"""),43289.9986111111)</f>
        <v>43289.998611111099</v>
      </c>
      <c r="AL197" s="6">
        <f ca="1">IFERROR(__xludf.DUMMYFUNCTION("""COMPUTED_VALUE"""),6708.97)</f>
        <v>6708.97</v>
      </c>
      <c r="AP197" s="6" t="str">
        <f t="shared" ca="1" si="51"/>
        <v>201810</v>
      </c>
      <c r="AQ197" s="6">
        <f t="shared" ca="1" si="52"/>
        <v>2018</v>
      </c>
      <c r="AR197" s="6">
        <f t="shared" ca="1" si="53"/>
        <v>10</v>
      </c>
      <c r="AS197" s="68">
        <f ca="1">IFERROR(__xludf.DUMMYFUNCTION("""COMPUTED_VALUE"""),43376.9986111111)</f>
        <v>43376.998611111099</v>
      </c>
      <c r="AT197" s="6">
        <f ca="1">IFERROR(__xludf.DUMMYFUNCTION("""COMPUTED_VALUE"""),1202.9)</f>
        <v>1202.9000000000001</v>
      </c>
    </row>
    <row r="198" spans="2:46" x14ac:dyDescent="0.35">
      <c r="B198" s="6" t="str">
        <f t="shared" ca="1" si="36"/>
        <v>201810</v>
      </c>
      <c r="C198" s="6">
        <f t="shared" ca="1" si="37"/>
        <v>2018</v>
      </c>
      <c r="D198" s="6">
        <f t="shared" ca="1" si="38"/>
        <v>10</v>
      </c>
      <c r="E198" s="68">
        <f ca="1">IFERROR(__xludf.DUMMYFUNCTION("""COMPUTED_VALUE"""),43376.6666666666)</f>
        <v>43376.666666666599</v>
      </c>
      <c r="F198" s="6">
        <f ca="1">IFERROR(__xludf.DUMMYFUNCTION("""COMPUTED_VALUE"""),2925.51)</f>
        <v>2925.51</v>
      </c>
      <c r="J198" s="6" t="str">
        <f t="shared" ca="1" si="39"/>
        <v>201810</v>
      </c>
      <c r="K198" s="6">
        <f t="shared" ca="1" si="40"/>
        <v>2018</v>
      </c>
      <c r="L198" s="6">
        <f t="shared" ca="1" si="41"/>
        <v>10</v>
      </c>
      <c r="M198" s="68">
        <f ca="1">IFERROR(__xludf.DUMMYFUNCTION("""COMPUTED_VALUE"""),43376.6666666666)</f>
        <v>43376.666666666599</v>
      </c>
      <c r="N198" s="6">
        <f ca="1">IFERROR(__xludf.DUMMYFUNCTION("""COMPUTED_VALUE"""),8025.09)</f>
        <v>8025.09</v>
      </c>
      <c r="R198" s="6" t="str">
        <f t="shared" ca="1" si="42"/>
        <v>201810</v>
      </c>
      <c r="S198" s="6">
        <f t="shared" ca="1" si="43"/>
        <v>2018</v>
      </c>
      <c r="T198" s="6">
        <f t="shared" ca="1" si="44"/>
        <v>10</v>
      </c>
      <c r="U198" s="68">
        <f ca="1">IFERROR(__xludf.DUMMYFUNCTION("""COMPUTED_VALUE"""),43395.6458333333)</f>
        <v>43395.645833333299</v>
      </c>
      <c r="V198" s="6">
        <f ca="1">IFERROR(__xludf.DUMMYFUNCTION("""COMPUTED_VALUE"""),2161.71)</f>
        <v>2161.71</v>
      </c>
      <c r="Z198" s="6" t="str">
        <f t="shared" ca="1" si="45"/>
        <v>20187</v>
      </c>
      <c r="AA198" s="6">
        <f t="shared" ca="1" si="46"/>
        <v>2018</v>
      </c>
      <c r="AB198" s="6">
        <f t="shared" ca="1" si="47"/>
        <v>7</v>
      </c>
      <c r="AC198" s="68">
        <f ca="1">IFERROR(__xludf.DUMMYFUNCTION("""COMPUTED_VALUE"""),43297.9986111111)</f>
        <v>43297.998611111099</v>
      </c>
      <c r="AD198" s="6">
        <f ca="1">IFERROR(__xludf.DUMMYFUNCTION("""COMPUTED_VALUE"""),1126.9)</f>
        <v>1126.9000000000001</v>
      </c>
      <c r="AH198" s="6" t="str">
        <f t="shared" ca="1" si="48"/>
        <v>20187</v>
      </c>
      <c r="AI198" s="6">
        <f t="shared" ca="1" si="49"/>
        <v>2018</v>
      </c>
      <c r="AJ198" s="6">
        <f t="shared" ca="1" si="50"/>
        <v>7</v>
      </c>
      <c r="AK198" s="68">
        <f ca="1">IFERROR(__xludf.DUMMYFUNCTION("""COMPUTED_VALUE"""),43290.9986111111)</f>
        <v>43290.998611111099</v>
      </c>
      <c r="AL198" s="6">
        <f ca="1">IFERROR(__xludf.DUMMYFUNCTION("""COMPUTED_VALUE"""),6663.56)</f>
        <v>6663.56</v>
      </c>
      <c r="AP198" s="6" t="str">
        <f t="shared" ca="1" si="51"/>
        <v>201810</v>
      </c>
      <c r="AQ198" s="6">
        <f t="shared" ca="1" si="52"/>
        <v>2018</v>
      </c>
      <c r="AR198" s="6">
        <f t="shared" ca="1" si="53"/>
        <v>10</v>
      </c>
      <c r="AS198" s="68">
        <f ca="1">IFERROR(__xludf.DUMMYFUNCTION("""COMPUTED_VALUE"""),43377.9986111111)</f>
        <v>43377.998611111099</v>
      </c>
      <c r="AT198" s="6">
        <f ca="1">IFERROR(__xludf.DUMMYFUNCTION("""COMPUTED_VALUE"""),1201.6)</f>
        <v>1201.5999999999999</v>
      </c>
    </row>
    <row r="199" spans="2:46" x14ac:dyDescent="0.35">
      <c r="B199" s="6" t="str">
        <f t="shared" ref="B199:B262" ca="1" si="54">C199&amp;D199</f>
        <v>201810</v>
      </c>
      <c r="C199" s="6">
        <f t="shared" ref="C199:C262" ca="1" si="55">YEAR(E199)</f>
        <v>2018</v>
      </c>
      <c r="D199" s="6">
        <f t="shared" ref="D199:D262" ca="1" si="56">MONTH(E199)</f>
        <v>10</v>
      </c>
      <c r="E199" s="68">
        <f ca="1">IFERROR(__xludf.DUMMYFUNCTION("""COMPUTED_VALUE"""),43377.6666666666)</f>
        <v>43377.666666666599</v>
      </c>
      <c r="F199" s="6">
        <f ca="1">IFERROR(__xludf.DUMMYFUNCTION("""COMPUTED_VALUE"""),2901.61)</f>
        <v>2901.61</v>
      </c>
      <c r="J199" s="6" t="str">
        <f t="shared" ref="J199:J262" ca="1" si="57">K199&amp;L199</f>
        <v>201810</v>
      </c>
      <c r="K199" s="6">
        <f t="shared" ref="K199:K262" ca="1" si="58">YEAR(M199)</f>
        <v>2018</v>
      </c>
      <c r="L199" s="6">
        <f t="shared" ref="L199:L262" ca="1" si="59">MONTH(M199)</f>
        <v>10</v>
      </c>
      <c r="M199" s="68">
        <f ca="1">IFERROR(__xludf.DUMMYFUNCTION("""COMPUTED_VALUE"""),43377.6666666666)</f>
        <v>43377.666666666599</v>
      </c>
      <c r="N199" s="6">
        <f ca="1">IFERROR(__xludf.DUMMYFUNCTION("""COMPUTED_VALUE"""),7879.51)</f>
        <v>7879.51</v>
      </c>
      <c r="R199" s="6" t="str">
        <f t="shared" ref="R199:R262" ca="1" si="60">S199&amp;T199</f>
        <v>201810</v>
      </c>
      <c r="S199" s="6">
        <f t="shared" ref="S199:S262" ca="1" si="61">YEAR(U199)</f>
        <v>2018</v>
      </c>
      <c r="T199" s="6">
        <f t="shared" ref="T199:T262" ca="1" si="62">MONTH(U199)</f>
        <v>10</v>
      </c>
      <c r="U199" s="68">
        <f ca="1">IFERROR(__xludf.DUMMYFUNCTION("""COMPUTED_VALUE"""),43396.6458333333)</f>
        <v>43396.645833333299</v>
      </c>
      <c r="V199" s="6">
        <f ca="1">IFERROR(__xludf.DUMMYFUNCTION("""COMPUTED_VALUE"""),2106.1)</f>
        <v>2106.1</v>
      </c>
      <c r="Z199" s="6" t="str">
        <f t="shared" ref="Z199:Z262" ca="1" si="63">AA199&amp;AB199</f>
        <v>20187</v>
      </c>
      <c r="AA199" s="6">
        <f t="shared" ref="AA199:AA262" ca="1" si="64">YEAR(AC199)</f>
        <v>2018</v>
      </c>
      <c r="AB199" s="6">
        <f t="shared" ref="AB199:AB262" ca="1" si="65">MONTH(AC199)</f>
        <v>7</v>
      </c>
      <c r="AC199" s="68">
        <f ca="1">IFERROR(__xludf.DUMMYFUNCTION("""COMPUTED_VALUE"""),43298.9986111111)</f>
        <v>43298.998611111099</v>
      </c>
      <c r="AD199" s="6">
        <f ca="1">IFERROR(__xludf.DUMMYFUNCTION("""COMPUTED_VALUE"""),1125.55)</f>
        <v>1125.55</v>
      </c>
      <c r="AH199" s="6" t="str">
        <f t="shared" ref="AH199:AH262" ca="1" si="66">AI199&amp;AJ199</f>
        <v>20187</v>
      </c>
      <c r="AI199" s="6">
        <f t="shared" ref="AI199:AI262" ca="1" si="67">YEAR(AK199)</f>
        <v>2018</v>
      </c>
      <c r="AJ199" s="6">
        <f t="shared" ref="AJ199:AJ262" ca="1" si="68">MONTH(AK199)</f>
        <v>7</v>
      </c>
      <c r="AK199" s="68">
        <f ca="1">IFERROR(__xludf.DUMMYFUNCTION("""COMPUTED_VALUE"""),43291.9986111111)</f>
        <v>43291.998611111099</v>
      </c>
      <c r="AL199" s="6">
        <f ca="1">IFERROR(__xludf.DUMMYFUNCTION("""COMPUTED_VALUE"""),6304.15)</f>
        <v>6304.15</v>
      </c>
      <c r="AP199" s="6" t="str">
        <f t="shared" ref="AP199:AP262" ca="1" si="69">AQ199&amp;AR199</f>
        <v>201810</v>
      </c>
      <c r="AQ199" s="6">
        <f t="shared" ref="AQ199:AQ262" ca="1" si="70">YEAR(AS199)</f>
        <v>2018</v>
      </c>
      <c r="AR199" s="6">
        <f t="shared" ref="AR199:AR262" ca="1" si="71">MONTH(AS199)</f>
        <v>10</v>
      </c>
      <c r="AS199" s="68">
        <f ca="1">IFERROR(__xludf.DUMMYFUNCTION("""COMPUTED_VALUE"""),43378.9986111111)</f>
        <v>43378.998611111099</v>
      </c>
      <c r="AT199" s="6">
        <f ca="1">IFERROR(__xludf.DUMMYFUNCTION("""COMPUTED_VALUE"""),1205.6)</f>
        <v>1205.5999999999999</v>
      </c>
    </row>
    <row r="200" spans="2:46" x14ac:dyDescent="0.35">
      <c r="B200" s="6" t="str">
        <f t="shared" ca="1" si="54"/>
        <v>201810</v>
      </c>
      <c r="C200" s="6">
        <f t="shared" ca="1" si="55"/>
        <v>2018</v>
      </c>
      <c r="D200" s="6">
        <f t="shared" ca="1" si="56"/>
        <v>10</v>
      </c>
      <c r="E200" s="68">
        <f ca="1">IFERROR(__xludf.DUMMYFUNCTION("""COMPUTED_VALUE"""),43378.6666666666)</f>
        <v>43378.666666666599</v>
      </c>
      <c r="F200" s="6">
        <f ca="1">IFERROR(__xludf.DUMMYFUNCTION("""COMPUTED_VALUE"""),2885.57)</f>
        <v>2885.57</v>
      </c>
      <c r="J200" s="6" t="str">
        <f t="shared" ca="1" si="57"/>
        <v>201810</v>
      </c>
      <c r="K200" s="6">
        <f t="shared" ca="1" si="58"/>
        <v>2018</v>
      </c>
      <c r="L200" s="6">
        <f t="shared" ca="1" si="59"/>
        <v>10</v>
      </c>
      <c r="M200" s="68">
        <f ca="1">IFERROR(__xludf.DUMMYFUNCTION("""COMPUTED_VALUE"""),43378.6666666666)</f>
        <v>43378.666666666599</v>
      </c>
      <c r="N200" s="6">
        <f ca="1">IFERROR(__xludf.DUMMYFUNCTION("""COMPUTED_VALUE"""),7788.45)</f>
        <v>7788.45</v>
      </c>
      <c r="R200" s="6" t="str">
        <f t="shared" ca="1" si="60"/>
        <v>201810</v>
      </c>
      <c r="S200" s="6">
        <f t="shared" ca="1" si="61"/>
        <v>2018</v>
      </c>
      <c r="T200" s="6">
        <f t="shared" ca="1" si="62"/>
        <v>10</v>
      </c>
      <c r="U200" s="68">
        <f ca="1">IFERROR(__xludf.DUMMYFUNCTION("""COMPUTED_VALUE"""),43397.6458333333)</f>
        <v>43397.645833333299</v>
      </c>
      <c r="V200" s="6">
        <f ca="1">IFERROR(__xludf.DUMMYFUNCTION("""COMPUTED_VALUE"""),2097.58)</f>
        <v>2097.58</v>
      </c>
      <c r="Z200" s="6" t="str">
        <f t="shared" ca="1" si="63"/>
        <v>20187</v>
      </c>
      <c r="AA200" s="6">
        <f t="shared" ca="1" si="64"/>
        <v>2018</v>
      </c>
      <c r="AB200" s="6">
        <f t="shared" ca="1" si="65"/>
        <v>7</v>
      </c>
      <c r="AC200" s="68">
        <f ca="1">IFERROR(__xludf.DUMMYFUNCTION("""COMPUTED_VALUE"""),43299.9986111111)</f>
        <v>43299.998611111099</v>
      </c>
      <c r="AD200" s="6">
        <f ca="1">IFERROR(__xludf.DUMMYFUNCTION("""COMPUTED_VALUE"""),1131.09)</f>
        <v>1131.0899999999999</v>
      </c>
      <c r="AH200" s="6" t="str">
        <f t="shared" ca="1" si="66"/>
        <v>20187</v>
      </c>
      <c r="AI200" s="6">
        <f t="shared" ca="1" si="67"/>
        <v>2018</v>
      </c>
      <c r="AJ200" s="6">
        <f t="shared" ca="1" si="68"/>
        <v>7</v>
      </c>
      <c r="AK200" s="68">
        <f ca="1">IFERROR(__xludf.DUMMYFUNCTION("""COMPUTED_VALUE"""),43292.9986111111)</f>
        <v>43292.998611111099</v>
      </c>
      <c r="AL200" s="6">
        <f ca="1">IFERROR(__xludf.DUMMYFUNCTION("""COMPUTED_VALUE"""),6389.39)</f>
        <v>6389.39</v>
      </c>
      <c r="AP200" s="6" t="str">
        <f t="shared" ca="1" si="69"/>
        <v>201810</v>
      </c>
      <c r="AQ200" s="6">
        <f t="shared" ca="1" si="70"/>
        <v>2018</v>
      </c>
      <c r="AR200" s="6">
        <f t="shared" ca="1" si="71"/>
        <v>10</v>
      </c>
      <c r="AS200" s="68">
        <f ca="1">IFERROR(__xludf.DUMMYFUNCTION("""COMPUTED_VALUE"""),43382.9986111111)</f>
        <v>43382.998611111099</v>
      </c>
      <c r="AT200" s="6">
        <f ca="1">IFERROR(__xludf.DUMMYFUNCTION("""COMPUTED_VALUE"""),1191.5)</f>
        <v>1191.5</v>
      </c>
    </row>
    <row r="201" spans="2:46" x14ac:dyDescent="0.35">
      <c r="B201" s="6" t="str">
        <f t="shared" ca="1" si="54"/>
        <v>201810</v>
      </c>
      <c r="C201" s="6">
        <f t="shared" ca="1" si="55"/>
        <v>2018</v>
      </c>
      <c r="D201" s="6">
        <f t="shared" ca="1" si="56"/>
        <v>10</v>
      </c>
      <c r="E201" s="68">
        <f ca="1">IFERROR(__xludf.DUMMYFUNCTION("""COMPUTED_VALUE"""),43381.6666666666)</f>
        <v>43381.666666666599</v>
      </c>
      <c r="F201" s="6">
        <f ca="1">IFERROR(__xludf.DUMMYFUNCTION("""COMPUTED_VALUE"""),2884.43)</f>
        <v>2884.43</v>
      </c>
      <c r="J201" s="6" t="str">
        <f t="shared" ca="1" si="57"/>
        <v>201810</v>
      </c>
      <c r="K201" s="6">
        <f t="shared" ca="1" si="58"/>
        <v>2018</v>
      </c>
      <c r="L201" s="6">
        <f t="shared" ca="1" si="59"/>
        <v>10</v>
      </c>
      <c r="M201" s="68">
        <f ca="1">IFERROR(__xludf.DUMMYFUNCTION("""COMPUTED_VALUE"""),43381.6666666666)</f>
        <v>43381.666666666599</v>
      </c>
      <c r="N201" s="6">
        <f ca="1">IFERROR(__xludf.DUMMYFUNCTION("""COMPUTED_VALUE"""),7735.95)</f>
        <v>7735.95</v>
      </c>
      <c r="R201" s="6" t="str">
        <f t="shared" ca="1" si="60"/>
        <v>201810</v>
      </c>
      <c r="S201" s="6">
        <f t="shared" ca="1" si="61"/>
        <v>2018</v>
      </c>
      <c r="T201" s="6">
        <f t="shared" ca="1" si="62"/>
        <v>10</v>
      </c>
      <c r="U201" s="68">
        <f ca="1">IFERROR(__xludf.DUMMYFUNCTION("""COMPUTED_VALUE"""),43398.6458333333)</f>
        <v>43398.645833333299</v>
      </c>
      <c r="V201" s="6">
        <f ca="1">IFERROR(__xludf.DUMMYFUNCTION("""COMPUTED_VALUE"""),2063.3)</f>
        <v>2063.3000000000002</v>
      </c>
      <c r="Z201" s="6" t="str">
        <f t="shared" ca="1" si="63"/>
        <v>20187</v>
      </c>
      <c r="AA201" s="6">
        <f t="shared" ca="1" si="64"/>
        <v>2018</v>
      </c>
      <c r="AB201" s="6">
        <f t="shared" ca="1" si="65"/>
        <v>7</v>
      </c>
      <c r="AC201" s="68">
        <f ca="1">IFERROR(__xludf.DUMMYFUNCTION("""COMPUTED_VALUE"""),43300.9986111111)</f>
        <v>43300.998611111099</v>
      </c>
      <c r="AD201" s="6">
        <f ca="1">IFERROR(__xludf.DUMMYFUNCTION("""COMPUTED_VALUE"""),1134.48)</f>
        <v>1134.48</v>
      </c>
      <c r="AH201" s="6" t="str">
        <f t="shared" ca="1" si="66"/>
        <v>20187</v>
      </c>
      <c r="AI201" s="6">
        <f t="shared" ca="1" si="67"/>
        <v>2018</v>
      </c>
      <c r="AJ201" s="6">
        <f t="shared" ca="1" si="68"/>
        <v>7</v>
      </c>
      <c r="AK201" s="68">
        <f ca="1">IFERROR(__xludf.DUMMYFUNCTION("""COMPUTED_VALUE"""),43293.9986111111)</f>
        <v>43293.998611111099</v>
      </c>
      <c r="AL201" s="6">
        <f ca="1">IFERROR(__xludf.DUMMYFUNCTION("""COMPUTED_VALUE"""),6238.72)</f>
        <v>6238.72</v>
      </c>
      <c r="AP201" s="6" t="str">
        <f t="shared" ca="1" si="69"/>
        <v>201810</v>
      </c>
      <c r="AQ201" s="6">
        <f t="shared" ca="1" si="70"/>
        <v>2018</v>
      </c>
      <c r="AR201" s="6">
        <f t="shared" ca="1" si="71"/>
        <v>10</v>
      </c>
      <c r="AS201" s="68">
        <f ca="1">IFERROR(__xludf.DUMMYFUNCTION("""COMPUTED_VALUE"""),43383.9986111111)</f>
        <v>43383.998611111099</v>
      </c>
      <c r="AT201" s="6">
        <f ca="1">IFERROR(__xludf.DUMMYFUNCTION("""COMPUTED_VALUE"""),1193.4)</f>
        <v>1193.4000000000001</v>
      </c>
    </row>
    <row r="202" spans="2:46" x14ac:dyDescent="0.35">
      <c r="B202" s="6" t="str">
        <f t="shared" ca="1" si="54"/>
        <v>201810</v>
      </c>
      <c r="C202" s="6">
        <f t="shared" ca="1" si="55"/>
        <v>2018</v>
      </c>
      <c r="D202" s="6">
        <f t="shared" ca="1" si="56"/>
        <v>10</v>
      </c>
      <c r="E202" s="68">
        <f ca="1">IFERROR(__xludf.DUMMYFUNCTION("""COMPUTED_VALUE"""),43382.6666666666)</f>
        <v>43382.666666666599</v>
      </c>
      <c r="F202" s="6">
        <f ca="1">IFERROR(__xludf.DUMMYFUNCTION("""COMPUTED_VALUE"""),2880.34)</f>
        <v>2880.34</v>
      </c>
      <c r="J202" s="6" t="str">
        <f t="shared" ca="1" si="57"/>
        <v>201810</v>
      </c>
      <c r="K202" s="6">
        <f t="shared" ca="1" si="58"/>
        <v>2018</v>
      </c>
      <c r="L202" s="6">
        <f t="shared" ca="1" si="59"/>
        <v>10</v>
      </c>
      <c r="M202" s="68">
        <f ca="1">IFERROR(__xludf.DUMMYFUNCTION("""COMPUTED_VALUE"""),43382.6666666666)</f>
        <v>43382.666666666599</v>
      </c>
      <c r="N202" s="6">
        <f ca="1">IFERROR(__xludf.DUMMYFUNCTION("""COMPUTED_VALUE"""),7738.02)</f>
        <v>7738.02</v>
      </c>
      <c r="R202" s="6" t="str">
        <f t="shared" ca="1" si="60"/>
        <v>201810</v>
      </c>
      <c r="S202" s="6">
        <f t="shared" ca="1" si="61"/>
        <v>2018</v>
      </c>
      <c r="T202" s="6">
        <f t="shared" ca="1" si="62"/>
        <v>10</v>
      </c>
      <c r="U202" s="68">
        <f ca="1">IFERROR(__xludf.DUMMYFUNCTION("""COMPUTED_VALUE"""),43399.6458333333)</f>
        <v>43399.645833333299</v>
      </c>
      <c r="V202" s="6">
        <f ca="1">IFERROR(__xludf.DUMMYFUNCTION("""COMPUTED_VALUE"""),2027.15)</f>
        <v>2027.15</v>
      </c>
      <c r="Z202" s="6" t="str">
        <f t="shared" ca="1" si="63"/>
        <v>20187</v>
      </c>
      <c r="AA202" s="6">
        <f t="shared" ca="1" si="64"/>
        <v>2018</v>
      </c>
      <c r="AB202" s="6">
        <f t="shared" ca="1" si="65"/>
        <v>7</v>
      </c>
      <c r="AC202" s="68">
        <f ca="1">IFERROR(__xludf.DUMMYFUNCTION("""COMPUTED_VALUE"""),43301.9986111111)</f>
        <v>43301.998611111099</v>
      </c>
      <c r="AD202" s="6">
        <f ca="1">IFERROR(__xludf.DUMMYFUNCTION("""COMPUTED_VALUE"""),1126.61)</f>
        <v>1126.6099999999999</v>
      </c>
      <c r="AH202" s="6" t="str">
        <f t="shared" ca="1" si="66"/>
        <v>20187</v>
      </c>
      <c r="AI202" s="6">
        <f t="shared" ca="1" si="67"/>
        <v>2018</v>
      </c>
      <c r="AJ202" s="6">
        <f t="shared" ca="1" si="68"/>
        <v>7</v>
      </c>
      <c r="AK202" s="68">
        <f ca="1">IFERROR(__xludf.DUMMYFUNCTION("""COMPUTED_VALUE"""),43294.9986111111)</f>
        <v>43294.998611111099</v>
      </c>
      <c r="AL202" s="6">
        <f ca="1">IFERROR(__xludf.DUMMYFUNCTION("""COMPUTED_VALUE"""),6219.4)</f>
        <v>6219.4</v>
      </c>
      <c r="AP202" s="6" t="str">
        <f t="shared" ca="1" si="69"/>
        <v>201810</v>
      </c>
      <c r="AQ202" s="6">
        <f t="shared" ca="1" si="70"/>
        <v>2018</v>
      </c>
      <c r="AR202" s="6">
        <f t="shared" ca="1" si="71"/>
        <v>10</v>
      </c>
      <c r="AS202" s="68">
        <f ca="1">IFERROR(__xludf.DUMMYFUNCTION("""COMPUTED_VALUE"""),43384.9986111111)</f>
        <v>43384.998611111099</v>
      </c>
      <c r="AT202" s="6">
        <f ca="1">IFERROR(__xludf.DUMMYFUNCTION("""COMPUTED_VALUE"""),1227.6)</f>
        <v>1227.5999999999999</v>
      </c>
    </row>
    <row r="203" spans="2:46" x14ac:dyDescent="0.35">
      <c r="B203" s="6" t="str">
        <f t="shared" ca="1" si="54"/>
        <v>201810</v>
      </c>
      <c r="C203" s="6">
        <f t="shared" ca="1" si="55"/>
        <v>2018</v>
      </c>
      <c r="D203" s="6">
        <f t="shared" ca="1" si="56"/>
        <v>10</v>
      </c>
      <c r="E203" s="68">
        <f ca="1">IFERROR(__xludf.DUMMYFUNCTION("""COMPUTED_VALUE"""),43383.6666666666)</f>
        <v>43383.666666666599</v>
      </c>
      <c r="F203" s="6">
        <f ca="1">IFERROR(__xludf.DUMMYFUNCTION("""COMPUTED_VALUE"""),2785.68)</f>
        <v>2785.68</v>
      </c>
      <c r="J203" s="6" t="str">
        <f t="shared" ca="1" si="57"/>
        <v>201810</v>
      </c>
      <c r="K203" s="6">
        <f t="shared" ca="1" si="58"/>
        <v>2018</v>
      </c>
      <c r="L203" s="6">
        <f t="shared" ca="1" si="59"/>
        <v>10</v>
      </c>
      <c r="M203" s="68">
        <f ca="1">IFERROR(__xludf.DUMMYFUNCTION("""COMPUTED_VALUE"""),43383.6666666666)</f>
        <v>43383.666666666599</v>
      </c>
      <c r="N203" s="6">
        <f ca="1">IFERROR(__xludf.DUMMYFUNCTION("""COMPUTED_VALUE"""),7422.05)</f>
        <v>7422.05</v>
      </c>
      <c r="R203" s="6" t="str">
        <f t="shared" ca="1" si="60"/>
        <v>201810</v>
      </c>
      <c r="S203" s="6">
        <f t="shared" ca="1" si="61"/>
        <v>2018</v>
      </c>
      <c r="T203" s="6">
        <f t="shared" ca="1" si="62"/>
        <v>10</v>
      </c>
      <c r="U203" s="68">
        <f ca="1">IFERROR(__xludf.DUMMYFUNCTION("""COMPUTED_VALUE"""),43403.6458333333)</f>
        <v>43403.645833333299</v>
      </c>
      <c r="V203" s="6">
        <f ca="1">IFERROR(__xludf.DUMMYFUNCTION("""COMPUTED_VALUE"""),2014.69)</f>
        <v>2014.69</v>
      </c>
      <c r="Z203" s="6" t="str">
        <f t="shared" ca="1" si="63"/>
        <v>20187</v>
      </c>
      <c r="AA203" s="6">
        <f t="shared" ca="1" si="64"/>
        <v>2018</v>
      </c>
      <c r="AB203" s="6">
        <f t="shared" ca="1" si="65"/>
        <v>7</v>
      </c>
      <c r="AC203" s="68">
        <f ca="1">IFERROR(__xludf.DUMMYFUNCTION("""COMPUTED_VALUE"""),43302.9986111111)</f>
        <v>43302.998611111099</v>
      </c>
      <c r="AD203" s="6">
        <f ca="1">IFERROR(__xludf.DUMMYFUNCTION("""COMPUTED_VALUE"""),1126)</f>
        <v>1126</v>
      </c>
      <c r="AH203" s="6" t="str">
        <f t="shared" ca="1" si="66"/>
        <v>20187</v>
      </c>
      <c r="AI203" s="6">
        <f t="shared" ca="1" si="67"/>
        <v>2018</v>
      </c>
      <c r="AJ203" s="6">
        <f t="shared" ca="1" si="68"/>
        <v>7</v>
      </c>
      <c r="AK203" s="68">
        <f ca="1">IFERROR(__xludf.DUMMYFUNCTION("""COMPUTED_VALUE"""),43295.9986111111)</f>
        <v>43295.998611111099</v>
      </c>
      <c r="AL203" s="6">
        <f ca="1">IFERROR(__xludf.DUMMYFUNCTION("""COMPUTED_VALUE"""),6249.97)</f>
        <v>6249.97</v>
      </c>
      <c r="AP203" s="6" t="str">
        <f t="shared" ca="1" si="69"/>
        <v>201810</v>
      </c>
      <c r="AQ203" s="6">
        <f t="shared" ca="1" si="70"/>
        <v>2018</v>
      </c>
      <c r="AR203" s="6">
        <f t="shared" ca="1" si="71"/>
        <v>10</v>
      </c>
      <c r="AS203" s="68">
        <f ca="1">IFERROR(__xludf.DUMMYFUNCTION("""COMPUTED_VALUE"""),43385.9986111111)</f>
        <v>43385.998611111099</v>
      </c>
      <c r="AT203" s="6">
        <f ca="1">IFERROR(__xludf.DUMMYFUNCTION("""COMPUTED_VALUE"""),1222)</f>
        <v>1222</v>
      </c>
    </row>
    <row r="204" spans="2:46" x14ac:dyDescent="0.35">
      <c r="B204" s="6" t="str">
        <f t="shared" ca="1" si="54"/>
        <v>201810</v>
      </c>
      <c r="C204" s="6">
        <f t="shared" ca="1" si="55"/>
        <v>2018</v>
      </c>
      <c r="D204" s="6">
        <f t="shared" ca="1" si="56"/>
        <v>10</v>
      </c>
      <c r="E204" s="68">
        <f ca="1">IFERROR(__xludf.DUMMYFUNCTION("""COMPUTED_VALUE"""),43384.6666666666)</f>
        <v>43384.666666666599</v>
      </c>
      <c r="F204" s="6">
        <f ca="1">IFERROR(__xludf.DUMMYFUNCTION("""COMPUTED_VALUE"""),2728.37)</f>
        <v>2728.37</v>
      </c>
      <c r="J204" s="6" t="str">
        <f t="shared" ca="1" si="57"/>
        <v>201810</v>
      </c>
      <c r="K204" s="6">
        <f t="shared" ca="1" si="58"/>
        <v>2018</v>
      </c>
      <c r="L204" s="6">
        <f t="shared" ca="1" si="59"/>
        <v>10</v>
      </c>
      <c r="M204" s="68">
        <f ca="1">IFERROR(__xludf.DUMMYFUNCTION("""COMPUTED_VALUE"""),43384.6666666666)</f>
        <v>43384.666666666599</v>
      </c>
      <c r="N204" s="6">
        <f ca="1">IFERROR(__xludf.DUMMYFUNCTION("""COMPUTED_VALUE"""),7329.06)</f>
        <v>7329.06</v>
      </c>
      <c r="R204" s="6" t="str">
        <f t="shared" ca="1" si="60"/>
        <v>201810</v>
      </c>
      <c r="S204" s="6">
        <f t="shared" ca="1" si="61"/>
        <v>2018</v>
      </c>
      <c r="T204" s="6">
        <f t="shared" ca="1" si="62"/>
        <v>10</v>
      </c>
      <c r="U204" s="68">
        <f ca="1">IFERROR(__xludf.DUMMYFUNCTION("""COMPUTED_VALUE"""),43404.6458333333)</f>
        <v>43404.645833333299</v>
      </c>
      <c r="V204" s="6">
        <f ca="1">IFERROR(__xludf.DUMMYFUNCTION("""COMPUTED_VALUE"""),2029.69)</f>
        <v>2029.69</v>
      </c>
      <c r="Z204" s="6" t="str">
        <f t="shared" ca="1" si="63"/>
        <v>20187</v>
      </c>
      <c r="AA204" s="6">
        <f t="shared" ca="1" si="64"/>
        <v>2018</v>
      </c>
      <c r="AB204" s="6">
        <f t="shared" ca="1" si="65"/>
        <v>7</v>
      </c>
      <c r="AC204" s="68">
        <f ca="1">IFERROR(__xludf.DUMMYFUNCTION("""COMPUTED_VALUE"""),43303.9986111111)</f>
        <v>43303.998611111099</v>
      </c>
      <c r="AD204" s="6">
        <f ca="1">IFERROR(__xludf.DUMMYFUNCTION("""COMPUTED_VALUE"""),1127.16)</f>
        <v>1127.1600000000001</v>
      </c>
      <c r="AH204" s="6" t="str">
        <f t="shared" ca="1" si="66"/>
        <v>20187</v>
      </c>
      <c r="AI204" s="6">
        <f t="shared" ca="1" si="67"/>
        <v>2018</v>
      </c>
      <c r="AJ204" s="6">
        <f t="shared" ca="1" si="68"/>
        <v>7</v>
      </c>
      <c r="AK204" s="68">
        <f ca="1">IFERROR(__xludf.DUMMYFUNCTION("""COMPUTED_VALUE"""),43296.9986111111)</f>
        <v>43296.998611111099</v>
      </c>
      <c r="AL204" s="6">
        <f ca="1">IFERROR(__xludf.DUMMYFUNCTION("""COMPUTED_VALUE"""),6348.79)</f>
        <v>6348.79</v>
      </c>
      <c r="AP204" s="6" t="str">
        <f t="shared" ca="1" si="69"/>
        <v>201810</v>
      </c>
      <c r="AQ204" s="6">
        <f t="shared" ca="1" si="70"/>
        <v>2018</v>
      </c>
      <c r="AR204" s="6">
        <f t="shared" ca="1" si="71"/>
        <v>10</v>
      </c>
      <c r="AS204" s="68">
        <f ca="1">IFERROR(__xludf.DUMMYFUNCTION("""COMPUTED_VALUE"""),43388.9986111111)</f>
        <v>43388.998611111099</v>
      </c>
      <c r="AT204" s="6">
        <f ca="1">IFERROR(__xludf.DUMMYFUNCTION("""COMPUTED_VALUE"""),1230.3)</f>
        <v>1230.3</v>
      </c>
    </row>
    <row r="205" spans="2:46" x14ac:dyDescent="0.35">
      <c r="B205" s="6" t="str">
        <f t="shared" ca="1" si="54"/>
        <v>201810</v>
      </c>
      <c r="C205" s="6">
        <f t="shared" ca="1" si="55"/>
        <v>2018</v>
      </c>
      <c r="D205" s="6">
        <f t="shared" ca="1" si="56"/>
        <v>10</v>
      </c>
      <c r="E205" s="68">
        <f ca="1">IFERROR(__xludf.DUMMYFUNCTION("""COMPUTED_VALUE"""),43385.6666666666)</f>
        <v>43385.666666666599</v>
      </c>
      <c r="F205" s="6">
        <f ca="1">IFERROR(__xludf.DUMMYFUNCTION("""COMPUTED_VALUE"""),2767.13)</f>
        <v>2767.13</v>
      </c>
      <c r="J205" s="6" t="str">
        <f t="shared" ca="1" si="57"/>
        <v>201810</v>
      </c>
      <c r="K205" s="6">
        <f t="shared" ca="1" si="58"/>
        <v>2018</v>
      </c>
      <c r="L205" s="6">
        <f t="shared" ca="1" si="59"/>
        <v>10</v>
      </c>
      <c r="M205" s="68">
        <f ca="1">IFERROR(__xludf.DUMMYFUNCTION("""COMPUTED_VALUE"""),43385.6666666666)</f>
        <v>43385.666666666599</v>
      </c>
      <c r="N205" s="6">
        <f ca="1">IFERROR(__xludf.DUMMYFUNCTION("""COMPUTED_VALUE"""),7496.89)</f>
        <v>7496.89</v>
      </c>
      <c r="R205" s="6" t="str">
        <f t="shared" ca="1" si="60"/>
        <v>201811</v>
      </c>
      <c r="S205" s="6">
        <f t="shared" ca="1" si="61"/>
        <v>2018</v>
      </c>
      <c r="T205" s="6">
        <f t="shared" ca="1" si="62"/>
        <v>11</v>
      </c>
      <c r="U205" s="68">
        <f ca="1">IFERROR(__xludf.DUMMYFUNCTION("""COMPUTED_VALUE"""),43405.6458333333)</f>
        <v>43405.645833333299</v>
      </c>
      <c r="V205" s="6">
        <f ca="1">IFERROR(__xludf.DUMMYFUNCTION("""COMPUTED_VALUE"""),2024.46)</f>
        <v>2024.46</v>
      </c>
      <c r="Z205" s="6" t="str">
        <f t="shared" ca="1" si="63"/>
        <v>20187</v>
      </c>
      <c r="AA205" s="6">
        <f t="shared" ca="1" si="64"/>
        <v>2018</v>
      </c>
      <c r="AB205" s="6">
        <f t="shared" ca="1" si="65"/>
        <v>7</v>
      </c>
      <c r="AC205" s="68">
        <f ca="1">IFERROR(__xludf.DUMMYFUNCTION("""COMPUTED_VALUE"""),43304.9986111111)</f>
        <v>43304.998611111099</v>
      </c>
      <c r="AD205" s="6">
        <f ca="1">IFERROR(__xludf.DUMMYFUNCTION("""COMPUTED_VALUE"""),1132.45)</f>
        <v>1132.45</v>
      </c>
      <c r="AH205" s="6" t="str">
        <f t="shared" ca="1" si="66"/>
        <v>20187</v>
      </c>
      <c r="AI205" s="6">
        <f t="shared" ca="1" si="67"/>
        <v>2018</v>
      </c>
      <c r="AJ205" s="6">
        <f t="shared" ca="1" si="68"/>
        <v>7</v>
      </c>
      <c r="AK205" s="68">
        <f ca="1">IFERROR(__xludf.DUMMYFUNCTION("""COMPUTED_VALUE"""),43297.9986111111)</f>
        <v>43297.998611111099</v>
      </c>
      <c r="AL205" s="6">
        <f ca="1">IFERROR(__xludf.DUMMYFUNCTION("""COMPUTED_VALUE"""),6714.31)</f>
        <v>6714.31</v>
      </c>
      <c r="AP205" s="6" t="str">
        <f t="shared" ca="1" si="69"/>
        <v>201810</v>
      </c>
      <c r="AQ205" s="6">
        <f t="shared" ca="1" si="70"/>
        <v>2018</v>
      </c>
      <c r="AR205" s="6">
        <f t="shared" ca="1" si="71"/>
        <v>10</v>
      </c>
      <c r="AS205" s="68">
        <f ca="1">IFERROR(__xludf.DUMMYFUNCTION("""COMPUTED_VALUE"""),43389.9986111111)</f>
        <v>43389.998611111099</v>
      </c>
      <c r="AT205" s="6">
        <f ca="1">IFERROR(__xludf.DUMMYFUNCTION("""COMPUTED_VALUE"""),1231)</f>
        <v>1231</v>
      </c>
    </row>
    <row r="206" spans="2:46" x14ac:dyDescent="0.35">
      <c r="B206" s="6" t="str">
        <f t="shared" ca="1" si="54"/>
        <v>201810</v>
      </c>
      <c r="C206" s="6">
        <f t="shared" ca="1" si="55"/>
        <v>2018</v>
      </c>
      <c r="D206" s="6">
        <f t="shared" ca="1" si="56"/>
        <v>10</v>
      </c>
      <c r="E206" s="68">
        <f ca="1">IFERROR(__xludf.DUMMYFUNCTION("""COMPUTED_VALUE"""),43388.6666666666)</f>
        <v>43388.666666666599</v>
      </c>
      <c r="F206" s="6">
        <f ca="1">IFERROR(__xludf.DUMMYFUNCTION("""COMPUTED_VALUE"""),2750.79)</f>
        <v>2750.79</v>
      </c>
      <c r="J206" s="6" t="str">
        <f t="shared" ca="1" si="57"/>
        <v>201810</v>
      </c>
      <c r="K206" s="6">
        <f t="shared" ca="1" si="58"/>
        <v>2018</v>
      </c>
      <c r="L206" s="6">
        <f t="shared" ca="1" si="59"/>
        <v>10</v>
      </c>
      <c r="M206" s="68">
        <f ca="1">IFERROR(__xludf.DUMMYFUNCTION("""COMPUTED_VALUE"""),43388.6666666666)</f>
        <v>43388.666666666599</v>
      </c>
      <c r="N206" s="6">
        <f ca="1">IFERROR(__xludf.DUMMYFUNCTION("""COMPUTED_VALUE"""),7430.74)</f>
        <v>7430.74</v>
      </c>
      <c r="R206" s="6" t="str">
        <f t="shared" ca="1" si="60"/>
        <v>201811</v>
      </c>
      <c r="S206" s="6">
        <f t="shared" ca="1" si="61"/>
        <v>2018</v>
      </c>
      <c r="T206" s="6">
        <f t="shared" ca="1" si="62"/>
        <v>11</v>
      </c>
      <c r="U206" s="68">
        <f ca="1">IFERROR(__xludf.DUMMYFUNCTION("""COMPUTED_VALUE"""),43406.6458333333)</f>
        <v>43406.645833333299</v>
      </c>
      <c r="V206" s="6">
        <f ca="1">IFERROR(__xludf.DUMMYFUNCTION("""COMPUTED_VALUE"""),2096)</f>
        <v>2096</v>
      </c>
      <c r="Z206" s="6" t="str">
        <f t="shared" ca="1" si="63"/>
        <v>20187</v>
      </c>
      <c r="AA206" s="6">
        <f t="shared" ca="1" si="64"/>
        <v>2018</v>
      </c>
      <c r="AB206" s="6">
        <f t="shared" ca="1" si="65"/>
        <v>7</v>
      </c>
      <c r="AC206" s="68">
        <f ca="1">IFERROR(__xludf.DUMMYFUNCTION("""COMPUTED_VALUE"""),43305.9986111111)</f>
        <v>43305.998611111099</v>
      </c>
      <c r="AD206" s="6">
        <f ca="1">IFERROR(__xludf.DUMMYFUNCTION("""COMPUTED_VALUE"""),1127.98)</f>
        <v>1127.98</v>
      </c>
      <c r="AH206" s="6" t="str">
        <f t="shared" ca="1" si="66"/>
        <v>20187</v>
      </c>
      <c r="AI206" s="6">
        <f t="shared" ca="1" si="67"/>
        <v>2018</v>
      </c>
      <c r="AJ206" s="6">
        <f t="shared" ca="1" si="68"/>
        <v>7</v>
      </c>
      <c r="AK206" s="68">
        <f ca="1">IFERROR(__xludf.DUMMYFUNCTION("""COMPUTED_VALUE"""),43298.9986111111)</f>
        <v>43298.998611111099</v>
      </c>
      <c r="AL206" s="6">
        <f ca="1">IFERROR(__xludf.DUMMYFUNCTION("""COMPUTED_VALUE"""),7317.27)</f>
        <v>7317.27</v>
      </c>
      <c r="AP206" s="6" t="str">
        <f t="shared" ca="1" si="69"/>
        <v>201810</v>
      </c>
      <c r="AQ206" s="6">
        <f t="shared" ca="1" si="70"/>
        <v>2018</v>
      </c>
      <c r="AR206" s="6">
        <f t="shared" ca="1" si="71"/>
        <v>10</v>
      </c>
      <c r="AS206" s="68">
        <f ca="1">IFERROR(__xludf.DUMMYFUNCTION("""COMPUTED_VALUE"""),43390.9986111111)</f>
        <v>43390.998611111099</v>
      </c>
      <c r="AT206" s="6">
        <f ca="1">IFERROR(__xludf.DUMMYFUNCTION("""COMPUTED_VALUE"""),1227.4)</f>
        <v>1227.4000000000001</v>
      </c>
    </row>
    <row r="207" spans="2:46" x14ac:dyDescent="0.35">
      <c r="B207" s="6" t="str">
        <f t="shared" ca="1" si="54"/>
        <v>201810</v>
      </c>
      <c r="C207" s="6">
        <f t="shared" ca="1" si="55"/>
        <v>2018</v>
      </c>
      <c r="D207" s="6">
        <f t="shared" ca="1" si="56"/>
        <v>10</v>
      </c>
      <c r="E207" s="68">
        <f ca="1">IFERROR(__xludf.DUMMYFUNCTION("""COMPUTED_VALUE"""),43389.6666666666)</f>
        <v>43389.666666666599</v>
      </c>
      <c r="F207" s="6">
        <f ca="1">IFERROR(__xludf.DUMMYFUNCTION("""COMPUTED_VALUE"""),2809.92)</f>
        <v>2809.92</v>
      </c>
      <c r="J207" s="6" t="str">
        <f t="shared" ca="1" si="57"/>
        <v>201810</v>
      </c>
      <c r="K207" s="6">
        <f t="shared" ca="1" si="58"/>
        <v>2018</v>
      </c>
      <c r="L207" s="6">
        <f t="shared" ca="1" si="59"/>
        <v>10</v>
      </c>
      <c r="M207" s="68">
        <f ca="1">IFERROR(__xludf.DUMMYFUNCTION("""COMPUTED_VALUE"""),43389.6666666666)</f>
        <v>43389.666666666599</v>
      </c>
      <c r="N207" s="6">
        <f ca="1">IFERROR(__xludf.DUMMYFUNCTION("""COMPUTED_VALUE"""),7645.49)</f>
        <v>7645.49</v>
      </c>
      <c r="R207" s="6" t="str">
        <f t="shared" ca="1" si="60"/>
        <v>201811</v>
      </c>
      <c r="S207" s="6">
        <f t="shared" ca="1" si="61"/>
        <v>2018</v>
      </c>
      <c r="T207" s="6">
        <f t="shared" ca="1" si="62"/>
        <v>11</v>
      </c>
      <c r="U207" s="68">
        <f ca="1">IFERROR(__xludf.DUMMYFUNCTION("""COMPUTED_VALUE"""),43409.6458333333)</f>
        <v>43409.645833333299</v>
      </c>
      <c r="V207" s="6">
        <f ca="1">IFERROR(__xludf.DUMMYFUNCTION("""COMPUTED_VALUE"""),2076.92)</f>
        <v>2076.92</v>
      </c>
      <c r="Z207" s="6" t="str">
        <f t="shared" ca="1" si="63"/>
        <v>20187</v>
      </c>
      <c r="AA207" s="6">
        <f t="shared" ca="1" si="64"/>
        <v>2018</v>
      </c>
      <c r="AB207" s="6">
        <f t="shared" ca="1" si="65"/>
        <v>7</v>
      </c>
      <c r="AC207" s="68">
        <f ca="1">IFERROR(__xludf.DUMMYFUNCTION("""COMPUTED_VALUE"""),43306.9986111111)</f>
        <v>43306.998611111099</v>
      </c>
      <c r="AD207" s="6">
        <f ca="1">IFERROR(__xludf.DUMMYFUNCTION("""COMPUTED_VALUE"""),1115.75)</f>
        <v>1115.75</v>
      </c>
      <c r="AH207" s="6" t="str">
        <f t="shared" ca="1" si="66"/>
        <v>20187</v>
      </c>
      <c r="AI207" s="6">
        <f t="shared" ca="1" si="67"/>
        <v>2018</v>
      </c>
      <c r="AJ207" s="6">
        <f t="shared" ca="1" si="68"/>
        <v>7</v>
      </c>
      <c r="AK207" s="68">
        <f ca="1">IFERROR(__xludf.DUMMYFUNCTION("""COMPUTED_VALUE"""),43299.9986111111)</f>
        <v>43299.998611111099</v>
      </c>
      <c r="AL207" s="6">
        <f ca="1">IFERROR(__xludf.DUMMYFUNCTION("""COMPUTED_VALUE"""),7378.37)</f>
        <v>7378.37</v>
      </c>
      <c r="AP207" s="6" t="str">
        <f t="shared" ca="1" si="69"/>
        <v>201810</v>
      </c>
      <c r="AQ207" s="6">
        <f t="shared" ca="1" si="70"/>
        <v>2018</v>
      </c>
      <c r="AR207" s="6">
        <f t="shared" ca="1" si="71"/>
        <v>10</v>
      </c>
      <c r="AS207" s="68">
        <f ca="1">IFERROR(__xludf.DUMMYFUNCTION("""COMPUTED_VALUE"""),43391.9986111111)</f>
        <v>43391.998611111099</v>
      </c>
      <c r="AT207" s="6">
        <f ca="1">IFERROR(__xludf.DUMMYFUNCTION("""COMPUTED_VALUE"""),1230.1)</f>
        <v>1230.0999999999999</v>
      </c>
    </row>
    <row r="208" spans="2:46" x14ac:dyDescent="0.35">
      <c r="B208" s="6" t="str">
        <f t="shared" ca="1" si="54"/>
        <v>201810</v>
      </c>
      <c r="C208" s="6">
        <f t="shared" ca="1" si="55"/>
        <v>2018</v>
      </c>
      <c r="D208" s="6">
        <f t="shared" ca="1" si="56"/>
        <v>10</v>
      </c>
      <c r="E208" s="68">
        <f ca="1">IFERROR(__xludf.DUMMYFUNCTION("""COMPUTED_VALUE"""),43390.6666666666)</f>
        <v>43390.666666666599</v>
      </c>
      <c r="F208" s="6">
        <f ca="1">IFERROR(__xludf.DUMMYFUNCTION("""COMPUTED_VALUE"""),2809.21)</f>
        <v>2809.21</v>
      </c>
      <c r="J208" s="6" t="str">
        <f t="shared" ca="1" si="57"/>
        <v>201810</v>
      </c>
      <c r="K208" s="6">
        <f t="shared" ca="1" si="58"/>
        <v>2018</v>
      </c>
      <c r="L208" s="6">
        <f t="shared" ca="1" si="59"/>
        <v>10</v>
      </c>
      <c r="M208" s="68">
        <f ca="1">IFERROR(__xludf.DUMMYFUNCTION("""COMPUTED_VALUE"""),43390.6666666666)</f>
        <v>43390.666666666599</v>
      </c>
      <c r="N208" s="6">
        <f ca="1">IFERROR(__xludf.DUMMYFUNCTION("""COMPUTED_VALUE"""),7642.7)</f>
        <v>7642.7</v>
      </c>
      <c r="R208" s="6" t="str">
        <f t="shared" ca="1" si="60"/>
        <v>201811</v>
      </c>
      <c r="S208" s="6">
        <f t="shared" ca="1" si="61"/>
        <v>2018</v>
      </c>
      <c r="T208" s="6">
        <f t="shared" ca="1" si="62"/>
        <v>11</v>
      </c>
      <c r="U208" s="68">
        <f ca="1">IFERROR(__xludf.DUMMYFUNCTION("""COMPUTED_VALUE"""),43410.6458333333)</f>
        <v>43410.645833333299</v>
      </c>
      <c r="V208" s="6">
        <f ca="1">IFERROR(__xludf.DUMMYFUNCTION("""COMPUTED_VALUE"""),2089.62)</f>
        <v>2089.62</v>
      </c>
      <c r="Z208" s="6" t="str">
        <f t="shared" ca="1" si="63"/>
        <v>20187</v>
      </c>
      <c r="AA208" s="6">
        <f t="shared" ca="1" si="64"/>
        <v>2018</v>
      </c>
      <c r="AB208" s="6">
        <f t="shared" ca="1" si="65"/>
        <v>7</v>
      </c>
      <c r="AC208" s="68">
        <f ca="1">IFERROR(__xludf.DUMMYFUNCTION("""COMPUTED_VALUE"""),43307.9986111111)</f>
        <v>43307.998611111099</v>
      </c>
      <c r="AD208" s="6">
        <f ca="1">IFERROR(__xludf.DUMMYFUNCTION("""COMPUTED_VALUE"""),1123.15)</f>
        <v>1123.1500000000001</v>
      </c>
      <c r="AH208" s="6" t="str">
        <f t="shared" ca="1" si="66"/>
        <v>20187</v>
      </c>
      <c r="AI208" s="6">
        <f t="shared" ca="1" si="67"/>
        <v>2018</v>
      </c>
      <c r="AJ208" s="6">
        <f t="shared" ca="1" si="68"/>
        <v>7</v>
      </c>
      <c r="AK208" s="68">
        <f ca="1">IFERROR(__xludf.DUMMYFUNCTION("""COMPUTED_VALUE"""),43300.9986111111)</f>
        <v>43300.998611111099</v>
      </c>
      <c r="AL208" s="6">
        <f ca="1">IFERROR(__xludf.DUMMYFUNCTION("""COMPUTED_VALUE"""),7472.81)</f>
        <v>7472.81</v>
      </c>
      <c r="AP208" s="6" t="str">
        <f t="shared" ca="1" si="69"/>
        <v>201810</v>
      </c>
      <c r="AQ208" s="6">
        <f t="shared" ca="1" si="70"/>
        <v>2018</v>
      </c>
      <c r="AR208" s="6">
        <f t="shared" ca="1" si="71"/>
        <v>10</v>
      </c>
      <c r="AS208" s="68">
        <f ca="1">IFERROR(__xludf.DUMMYFUNCTION("""COMPUTED_VALUE"""),43392.9986111111)</f>
        <v>43392.998611111099</v>
      </c>
      <c r="AT208" s="6">
        <f ca="1">IFERROR(__xludf.DUMMYFUNCTION("""COMPUTED_VALUE"""),1228.7)</f>
        <v>1228.7</v>
      </c>
    </row>
    <row r="209" spans="2:46" x14ac:dyDescent="0.35">
      <c r="B209" s="6" t="str">
        <f t="shared" ca="1" si="54"/>
        <v>201810</v>
      </c>
      <c r="C209" s="6">
        <f t="shared" ca="1" si="55"/>
        <v>2018</v>
      </c>
      <c r="D209" s="6">
        <f t="shared" ca="1" si="56"/>
        <v>10</v>
      </c>
      <c r="E209" s="68">
        <f ca="1">IFERROR(__xludf.DUMMYFUNCTION("""COMPUTED_VALUE"""),43391.6666666666)</f>
        <v>43391.666666666599</v>
      </c>
      <c r="F209" s="6">
        <f ca="1">IFERROR(__xludf.DUMMYFUNCTION("""COMPUTED_VALUE"""),2768.78)</f>
        <v>2768.78</v>
      </c>
      <c r="J209" s="6" t="str">
        <f t="shared" ca="1" si="57"/>
        <v>201810</v>
      </c>
      <c r="K209" s="6">
        <f t="shared" ca="1" si="58"/>
        <v>2018</v>
      </c>
      <c r="L209" s="6">
        <f t="shared" ca="1" si="59"/>
        <v>10</v>
      </c>
      <c r="M209" s="68">
        <f ca="1">IFERROR(__xludf.DUMMYFUNCTION("""COMPUTED_VALUE"""),43391.6666666666)</f>
        <v>43391.666666666599</v>
      </c>
      <c r="N209" s="6">
        <f ca="1">IFERROR(__xludf.DUMMYFUNCTION("""COMPUTED_VALUE"""),7485.14)</f>
        <v>7485.14</v>
      </c>
      <c r="R209" s="6" t="str">
        <f t="shared" ca="1" si="60"/>
        <v>201811</v>
      </c>
      <c r="S209" s="6">
        <f t="shared" ca="1" si="61"/>
        <v>2018</v>
      </c>
      <c r="T209" s="6">
        <f t="shared" ca="1" si="62"/>
        <v>11</v>
      </c>
      <c r="U209" s="68">
        <f ca="1">IFERROR(__xludf.DUMMYFUNCTION("""COMPUTED_VALUE"""),43411.6458333333)</f>
        <v>43411.645833333299</v>
      </c>
      <c r="V209" s="6">
        <f ca="1">IFERROR(__xludf.DUMMYFUNCTION("""COMPUTED_VALUE"""),2078.69)</f>
        <v>2078.69</v>
      </c>
      <c r="Z209" s="6" t="str">
        <f t="shared" ca="1" si="63"/>
        <v>20187</v>
      </c>
      <c r="AA209" s="6">
        <f t="shared" ca="1" si="64"/>
        <v>2018</v>
      </c>
      <c r="AB209" s="6">
        <f t="shared" ca="1" si="65"/>
        <v>7</v>
      </c>
      <c r="AC209" s="68">
        <f ca="1">IFERROR(__xludf.DUMMYFUNCTION("""COMPUTED_VALUE"""),43308.9986111111)</f>
        <v>43308.998611111099</v>
      </c>
      <c r="AD209" s="6">
        <f ca="1">IFERROR(__xludf.DUMMYFUNCTION("""COMPUTED_VALUE"""),1114.88)</f>
        <v>1114.8800000000001</v>
      </c>
      <c r="AH209" s="6" t="str">
        <f t="shared" ca="1" si="66"/>
        <v>20187</v>
      </c>
      <c r="AI209" s="6">
        <f t="shared" ca="1" si="67"/>
        <v>2018</v>
      </c>
      <c r="AJ209" s="6">
        <f t="shared" ca="1" si="68"/>
        <v>7</v>
      </c>
      <c r="AK209" s="68">
        <f ca="1">IFERROR(__xludf.DUMMYFUNCTION("""COMPUTED_VALUE"""),43301.9986111111)</f>
        <v>43301.998611111099</v>
      </c>
      <c r="AL209" s="6">
        <f ca="1">IFERROR(__xludf.DUMMYFUNCTION("""COMPUTED_VALUE"""),7334.62)</f>
        <v>7334.62</v>
      </c>
      <c r="AP209" s="6" t="str">
        <f t="shared" ca="1" si="69"/>
        <v>201810</v>
      </c>
      <c r="AQ209" s="6">
        <f t="shared" ca="1" si="70"/>
        <v>2018</v>
      </c>
      <c r="AR209" s="6">
        <f t="shared" ca="1" si="71"/>
        <v>10</v>
      </c>
      <c r="AS209" s="68">
        <f ca="1">IFERROR(__xludf.DUMMYFUNCTION("""COMPUTED_VALUE"""),43395.9986111111)</f>
        <v>43395.998611111099</v>
      </c>
      <c r="AT209" s="6">
        <f ca="1">IFERROR(__xludf.DUMMYFUNCTION("""COMPUTED_VALUE"""),1224.6)</f>
        <v>1224.5999999999999</v>
      </c>
    </row>
    <row r="210" spans="2:46" x14ac:dyDescent="0.35">
      <c r="B210" s="6" t="str">
        <f t="shared" ca="1" si="54"/>
        <v>201810</v>
      </c>
      <c r="C210" s="6">
        <f t="shared" ca="1" si="55"/>
        <v>2018</v>
      </c>
      <c r="D210" s="6">
        <f t="shared" ca="1" si="56"/>
        <v>10</v>
      </c>
      <c r="E210" s="68">
        <f ca="1">IFERROR(__xludf.DUMMYFUNCTION("""COMPUTED_VALUE"""),43392.6666666666)</f>
        <v>43392.666666666599</v>
      </c>
      <c r="F210" s="6">
        <f ca="1">IFERROR(__xludf.DUMMYFUNCTION("""COMPUTED_VALUE"""),2767.78)</f>
        <v>2767.78</v>
      </c>
      <c r="J210" s="6" t="str">
        <f t="shared" ca="1" si="57"/>
        <v>201810</v>
      </c>
      <c r="K210" s="6">
        <f t="shared" ca="1" si="58"/>
        <v>2018</v>
      </c>
      <c r="L210" s="6">
        <f t="shared" ca="1" si="59"/>
        <v>10</v>
      </c>
      <c r="M210" s="68">
        <f ca="1">IFERROR(__xludf.DUMMYFUNCTION("""COMPUTED_VALUE"""),43392.6666666666)</f>
        <v>43392.666666666599</v>
      </c>
      <c r="N210" s="6">
        <f ca="1">IFERROR(__xludf.DUMMYFUNCTION("""COMPUTED_VALUE"""),7449.03)</f>
        <v>7449.03</v>
      </c>
      <c r="R210" s="6" t="str">
        <f t="shared" ca="1" si="60"/>
        <v>201811</v>
      </c>
      <c r="S210" s="6">
        <f t="shared" ca="1" si="61"/>
        <v>2018</v>
      </c>
      <c r="T210" s="6">
        <f t="shared" ca="1" si="62"/>
        <v>11</v>
      </c>
      <c r="U210" s="68">
        <f ca="1">IFERROR(__xludf.DUMMYFUNCTION("""COMPUTED_VALUE"""),43412.6458333333)</f>
        <v>43412.645833333299</v>
      </c>
      <c r="V210" s="6">
        <f ca="1">IFERROR(__xludf.DUMMYFUNCTION("""COMPUTED_VALUE"""),2092.63)</f>
        <v>2092.63</v>
      </c>
      <c r="Z210" s="6" t="str">
        <f t="shared" ca="1" si="63"/>
        <v>20187</v>
      </c>
      <c r="AA210" s="6">
        <f t="shared" ca="1" si="64"/>
        <v>2018</v>
      </c>
      <c r="AB210" s="6">
        <f t="shared" ca="1" si="65"/>
        <v>7</v>
      </c>
      <c r="AC210" s="68">
        <f ca="1">IFERROR(__xludf.DUMMYFUNCTION("""COMPUTED_VALUE"""),43310.9986111111)</f>
        <v>43310.998611111099</v>
      </c>
      <c r="AD210" s="6">
        <f ca="1">IFERROR(__xludf.DUMMYFUNCTION("""COMPUTED_VALUE"""),1114.6)</f>
        <v>1114.5999999999999</v>
      </c>
      <c r="AH210" s="6" t="str">
        <f t="shared" ca="1" si="66"/>
        <v>20187</v>
      </c>
      <c r="AI210" s="6">
        <f t="shared" ca="1" si="67"/>
        <v>2018</v>
      </c>
      <c r="AJ210" s="6">
        <f t="shared" ca="1" si="68"/>
        <v>7</v>
      </c>
      <c r="AK210" s="68">
        <f ca="1">IFERROR(__xludf.DUMMYFUNCTION("""COMPUTED_VALUE"""),43302.9986111111)</f>
        <v>43302.998611111099</v>
      </c>
      <c r="AL210" s="6">
        <f ca="1">IFERROR(__xludf.DUMMYFUNCTION("""COMPUTED_VALUE"""),7423.37)</f>
        <v>7423.37</v>
      </c>
      <c r="AP210" s="6" t="str">
        <f t="shared" ca="1" si="69"/>
        <v>201810</v>
      </c>
      <c r="AQ210" s="6">
        <f t="shared" ca="1" si="70"/>
        <v>2018</v>
      </c>
      <c r="AR210" s="6">
        <f t="shared" ca="1" si="71"/>
        <v>10</v>
      </c>
      <c r="AS210" s="68">
        <f ca="1">IFERROR(__xludf.DUMMYFUNCTION("""COMPUTED_VALUE"""),43396.9986111111)</f>
        <v>43396.998611111099</v>
      </c>
      <c r="AT210" s="6">
        <f ca="1">IFERROR(__xludf.DUMMYFUNCTION("""COMPUTED_VALUE"""),1236.8)</f>
        <v>1236.8</v>
      </c>
    </row>
    <row r="211" spans="2:46" x14ac:dyDescent="0.35">
      <c r="B211" s="6" t="str">
        <f t="shared" ca="1" si="54"/>
        <v>201810</v>
      </c>
      <c r="C211" s="6">
        <f t="shared" ca="1" si="55"/>
        <v>2018</v>
      </c>
      <c r="D211" s="6">
        <f t="shared" ca="1" si="56"/>
        <v>10</v>
      </c>
      <c r="E211" s="68">
        <f ca="1">IFERROR(__xludf.DUMMYFUNCTION("""COMPUTED_VALUE"""),43395.6666666666)</f>
        <v>43395.666666666599</v>
      </c>
      <c r="F211" s="6">
        <f ca="1">IFERROR(__xludf.DUMMYFUNCTION("""COMPUTED_VALUE"""),2755.88)</f>
        <v>2755.88</v>
      </c>
      <c r="J211" s="6" t="str">
        <f t="shared" ca="1" si="57"/>
        <v>201810</v>
      </c>
      <c r="K211" s="6">
        <f t="shared" ca="1" si="58"/>
        <v>2018</v>
      </c>
      <c r="L211" s="6">
        <f t="shared" ca="1" si="59"/>
        <v>10</v>
      </c>
      <c r="M211" s="68">
        <f ca="1">IFERROR(__xludf.DUMMYFUNCTION("""COMPUTED_VALUE"""),43395.6666666666)</f>
        <v>43395.666666666599</v>
      </c>
      <c r="N211" s="6">
        <f ca="1">IFERROR(__xludf.DUMMYFUNCTION("""COMPUTED_VALUE"""),7468.63)</f>
        <v>7468.63</v>
      </c>
      <c r="R211" s="6" t="str">
        <f t="shared" ca="1" si="60"/>
        <v>201811</v>
      </c>
      <c r="S211" s="6">
        <f t="shared" ca="1" si="61"/>
        <v>2018</v>
      </c>
      <c r="T211" s="6">
        <f t="shared" ca="1" si="62"/>
        <v>11</v>
      </c>
      <c r="U211" s="68">
        <f ca="1">IFERROR(__xludf.DUMMYFUNCTION("""COMPUTED_VALUE"""),43413.6458333333)</f>
        <v>43413.645833333299</v>
      </c>
      <c r="V211" s="6">
        <f ca="1">IFERROR(__xludf.DUMMYFUNCTION("""COMPUTED_VALUE"""),2086.09)</f>
        <v>2086.09</v>
      </c>
      <c r="Z211" s="6" t="str">
        <f t="shared" ca="1" si="63"/>
        <v>20187</v>
      </c>
      <c r="AA211" s="6">
        <f t="shared" ca="1" si="64"/>
        <v>2018</v>
      </c>
      <c r="AB211" s="6">
        <f t="shared" ca="1" si="65"/>
        <v>7</v>
      </c>
      <c r="AC211" s="68">
        <f ca="1">IFERROR(__xludf.DUMMYFUNCTION("""COMPUTED_VALUE"""),43311.9986111111)</f>
        <v>43311.998611111099</v>
      </c>
      <c r="AD211" s="6">
        <f ca="1">IFERROR(__xludf.DUMMYFUNCTION("""COMPUTED_VALUE"""),1116.67)</f>
        <v>1116.67</v>
      </c>
      <c r="AH211" s="6" t="str">
        <f t="shared" ca="1" si="66"/>
        <v>20187</v>
      </c>
      <c r="AI211" s="6">
        <f t="shared" ca="1" si="67"/>
        <v>2018</v>
      </c>
      <c r="AJ211" s="6">
        <f t="shared" ca="1" si="68"/>
        <v>7</v>
      </c>
      <c r="AK211" s="68">
        <f ca="1">IFERROR(__xludf.DUMMYFUNCTION("""COMPUTED_VALUE"""),43303.9986111111)</f>
        <v>43303.998611111099</v>
      </c>
      <c r="AL211" s="6">
        <f ca="1">IFERROR(__xludf.DUMMYFUNCTION("""COMPUTED_VALUE"""),7398.44)</f>
        <v>7398.44</v>
      </c>
      <c r="AP211" s="6" t="str">
        <f t="shared" ca="1" si="69"/>
        <v>201810</v>
      </c>
      <c r="AQ211" s="6">
        <f t="shared" ca="1" si="70"/>
        <v>2018</v>
      </c>
      <c r="AR211" s="6">
        <f t="shared" ca="1" si="71"/>
        <v>10</v>
      </c>
      <c r="AS211" s="68">
        <f ca="1">IFERROR(__xludf.DUMMYFUNCTION("""COMPUTED_VALUE"""),43397.9986111111)</f>
        <v>43397.998611111099</v>
      </c>
      <c r="AT211" s="6">
        <f ca="1">IFERROR(__xludf.DUMMYFUNCTION("""COMPUTED_VALUE"""),1231.1)</f>
        <v>1231.0999999999999</v>
      </c>
    </row>
    <row r="212" spans="2:46" x14ac:dyDescent="0.35">
      <c r="B212" s="6" t="str">
        <f t="shared" ca="1" si="54"/>
        <v>201810</v>
      </c>
      <c r="C212" s="6">
        <f t="shared" ca="1" si="55"/>
        <v>2018</v>
      </c>
      <c r="D212" s="6">
        <f t="shared" ca="1" si="56"/>
        <v>10</v>
      </c>
      <c r="E212" s="68">
        <f ca="1">IFERROR(__xludf.DUMMYFUNCTION("""COMPUTED_VALUE"""),43396.6666666666)</f>
        <v>43396.666666666599</v>
      </c>
      <c r="F212" s="6">
        <f ca="1">IFERROR(__xludf.DUMMYFUNCTION("""COMPUTED_VALUE"""),2740.69)</f>
        <v>2740.69</v>
      </c>
      <c r="J212" s="6" t="str">
        <f t="shared" ca="1" si="57"/>
        <v>201810</v>
      </c>
      <c r="K212" s="6">
        <f t="shared" ca="1" si="58"/>
        <v>2018</v>
      </c>
      <c r="L212" s="6">
        <f t="shared" ca="1" si="59"/>
        <v>10</v>
      </c>
      <c r="M212" s="68">
        <f ca="1">IFERROR(__xludf.DUMMYFUNCTION("""COMPUTED_VALUE"""),43396.6666666666)</f>
        <v>43396.666666666599</v>
      </c>
      <c r="N212" s="6">
        <f ca="1">IFERROR(__xludf.DUMMYFUNCTION("""COMPUTED_VALUE"""),7437.54)</f>
        <v>7437.54</v>
      </c>
      <c r="R212" s="6" t="str">
        <f t="shared" ca="1" si="60"/>
        <v>201811</v>
      </c>
      <c r="S212" s="6">
        <f t="shared" ca="1" si="61"/>
        <v>2018</v>
      </c>
      <c r="T212" s="6">
        <f t="shared" ca="1" si="62"/>
        <v>11</v>
      </c>
      <c r="U212" s="68">
        <f ca="1">IFERROR(__xludf.DUMMYFUNCTION("""COMPUTED_VALUE"""),43416.6458333333)</f>
        <v>43416.645833333299</v>
      </c>
      <c r="V212" s="6">
        <f ca="1">IFERROR(__xludf.DUMMYFUNCTION("""COMPUTED_VALUE"""),2080.44)</f>
        <v>2080.44</v>
      </c>
      <c r="Z212" s="6" t="str">
        <f t="shared" ca="1" si="63"/>
        <v>20187</v>
      </c>
      <c r="AA212" s="6">
        <f t="shared" ca="1" si="64"/>
        <v>2018</v>
      </c>
      <c r="AB212" s="6">
        <f t="shared" ca="1" si="65"/>
        <v>7</v>
      </c>
      <c r="AC212" s="68">
        <f ca="1">IFERROR(__xludf.DUMMYFUNCTION("""COMPUTED_VALUE"""),43312.9986111111)</f>
        <v>43312.998611111099</v>
      </c>
      <c r="AD212" s="6">
        <f ca="1">IFERROR(__xludf.DUMMYFUNCTION("""COMPUTED_VALUE"""),1112.2)</f>
        <v>1112.2</v>
      </c>
      <c r="AH212" s="6" t="str">
        <f t="shared" ca="1" si="66"/>
        <v>20187</v>
      </c>
      <c r="AI212" s="6">
        <f t="shared" ca="1" si="67"/>
        <v>2018</v>
      </c>
      <c r="AJ212" s="6">
        <f t="shared" ca="1" si="68"/>
        <v>7</v>
      </c>
      <c r="AK212" s="68">
        <f ca="1">IFERROR(__xludf.DUMMYFUNCTION("""COMPUTED_VALUE"""),43304.9986111111)</f>
        <v>43304.998611111099</v>
      </c>
      <c r="AL212" s="6">
        <f ca="1">IFERROR(__xludf.DUMMYFUNCTION("""COMPUTED_VALUE"""),7717.55)</f>
        <v>7717.55</v>
      </c>
      <c r="AP212" s="6" t="str">
        <f t="shared" ca="1" si="69"/>
        <v>201810</v>
      </c>
      <c r="AQ212" s="6">
        <f t="shared" ca="1" si="70"/>
        <v>2018</v>
      </c>
      <c r="AR212" s="6">
        <f t="shared" ca="1" si="71"/>
        <v>10</v>
      </c>
      <c r="AS212" s="68">
        <f ca="1">IFERROR(__xludf.DUMMYFUNCTION("""COMPUTED_VALUE"""),43398.9986111111)</f>
        <v>43398.998611111099</v>
      </c>
      <c r="AT212" s="6">
        <f ca="1">IFERROR(__xludf.DUMMYFUNCTION("""COMPUTED_VALUE"""),1232.4)</f>
        <v>1232.4000000000001</v>
      </c>
    </row>
    <row r="213" spans="2:46" x14ac:dyDescent="0.35">
      <c r="B213" s="6" t="str">
        <f t="shared" ca="1" si="54"/>
        <v>201810</v>
      </c>
      <c r="C213" s="6">
        <f t="shared" ca="1" si="55"/>
        <v>2018</v>
      </c>
      <c r="D213" s="6">
        <f t="shared" ca="1" si="56"/>
        <v>10</v>
      </c>
      <c r="E213" s="68">
        <f ca="1">IFERROR(__xludf.DUMMYFUNCTION("""COMPUTED_VALUE"""),43397.6666666666)</f>
        <v>43397.666666666599</v>
      </c>
      <c r="F213" s="6">
        <f ca="1">IFERROR(__xludf.DUMMYFUNCTION("""COMPUTED_VALUE"""),2656.1)</f>
        <v>2656.1</v>
      </c>
      <c r="J213" s="6" t="str">
        <f t="shared" ca="1" si="57"/>
        <v>201810</v>
      </c>
      <c r="K213" s="6">
        <f t="shared" ca="1" si="58"/>
        <v>2018</v>
      </c>
      <c r="L213" s="6">
        <f t="shared" ca="1" si="59"/>
        <v>10</v>
      </c>
      <c r="M213" s="68">
        <f ca="1">IFERROR(__xludf.DUMMYFUNCTION("""COMPUTED_VALUE"""),43397.6666666666)</f>
        <v>43397.666666666599</v>
      </c>
      <c r="N213" s="6">
        <f ca="1">IFERROR(__xludf.DUMMYFUNCTION("""COMPUTED_VALUE"""),7108.4)</f>
        <v>7108.4</v>
      </c>
      <c r="R213" s="6" t="str">
        <f t="shared" ca="1" si="60"/>
        <v>201811</v>
      </c>
      <c r="S213" s="6">
        <f t="shared" ca="1" si="61"/>
        <v>2018</v>
      </c>
      <c r="T213" s="6">
        <f t="shared" ca="1" si="62"/>
        <v>11</v>
      </c>
      <c r="U213" s="68">
        <f ca="1">IFERROR(__xludf.DUMMYFUNCTION("""COMPUTED_VALUE"""),43417.6458333333)</f>
        <v>43417.645833333299</v>
      </c>
      <c r="V213" s="6">
        <f ca="1">IFERROR(__xludf.DUMMYFUNCTION("""COMPUTED_VALUE"""),2071.23)</f>
        <v>2071.23</v>
      </c>
      <c r="Z213" s="6" t="str">
        <f t="shared" ca="1" si="63"/>
        <v>20188</v>
      </c>
      <c r="AA213" s="6">
        <f t="shared" ca="1" si="64"/>
        <v>2018</v>
      </c>
      <c r="AB213" s="6">
        <f t="shared" ca="1" si="65"/>
        <v>8</v>
      </c>
      <c r="AC213" s="68">
        <f ca="1">IFERROR(__xludf.DUMMYFUNCTION("""COMPUTED_VALUE"""),43313.9986111111)</f>
        <v>43313.998611111099</v>
      </c>
      <c r="AD213" s="6">
        <f ca="1">IFERROR(__xludf.DUMMYFUNCTION("""COMPUTED_VALUE"""),1118.6)</f>
        <v>1118.5999999999999</v>
      </c>
      <c r="AH213" s="6" t="str">
        <f t="shared" ca="1" si="66"/>
        <v>20187</v>
      </c>
      <c r="AI213" s="6">
        <f t="shared" ca="1" si="67"/>
        <v>2018</v>
      </c>
      <c r="AJ213" s="6">
        <f t="shared" ca="1" si="68"/>
        <v>7</v>
      </c>
      <c r="AK213" s="68">
        <f ca="1">IFERROR(__xludf.DUMMYFUNCTION("""COMPUTED_VALUE"""),43305.9986111111)</f>
        <v>43305.998611111099</v>
      </c>
      <c r="AL213" s="6">
        <f ca="1">IFERROR(__xludf.DUMMYFUNCTION("""COMPUTED_VALUE"""),8429.42)</f>
        <v>8429.42</v>
      </c>
      <c r="AP213" s="6" t="str">
        <f t="shared" ca="1" si="69"/>
        <v>201810</v>
      </c>
      <c r="AQ213" s="6">
        <f t="shared" ca="1" si="70"/>
        <v>2018</v>
      </c>
      <c r="AR213" s="6">
        <f t="shared" ca="1" si="71"/>
        <v>10</v>
      </c>
      <c r="AS213" s="68">
        <f ca="1">IFERROR(__xludf.DUMMYFUNCTION("""COMPUTED_VALUE"""),43399.9986111111)</f>
        <v>43399.998611111099</v>
      </c>
      <c r="AT213" s="6">
        <f ca="1">IFERROR(__xludf.DUMMYFUNCTION("""COMPUTED_VALUE"""),1235.8)</f>
        <v>1235.8</v>
      </c>
    </row>
    <row r="214" spans="2:46" x14ac:dyDescent="0.35">
      <c r="B214" s="6" t="str">
        <f t="shared" ca="1" si="54"/>
        <v>201810</v>
      </c>
      <c r="C214" s="6">
        <f t="shared" ca="1" si="55"/>
        <v>2018</v>
      </c>
      <c r="D214" s="6">
        <f t="shared" ca="1" si="56"/>
        <v>10</v>
      </c>
      <c r="E214" s="68">
        <f ca="1">IFERROR(__xludf.DUMMYFUNCTION("""COMPUTED_VALUE"""),43398.6666666666)</f>
        <v>43398.666666666599</v>
      </c>
      <c r="F214" s="6">
        <f ca="1">IFERROR(__xludf.DUMMYFUNCTION("""COMPUTED_VALUE"""),2705.57)</f>
        <v>2705.57</v>
      </c>
      <c r="J214" s="6" t="str">
        <f t="shared" ca="1" si="57"/>
        <v>201810</v>
      </c>
      <c r="K214" s="6">
        <f t="shared" ca="1" si="58"/>
        <v>2018</v>
      </c>
      <c r="L214" s="6">
        <f t="shared" ca="1" si="59"/>
        <v>10</v>
      </c>
      <c r="M214" s="68">
        <f ca="1">IFERROR(__xludf.DUMMYFUNCTION("""COMPUTED_VALUE"""),43398.6666666666)</f>
        <v>43398.666666666599</v>
      </c>
      <c r="N214" s="6">
        <f ca="1">IFERROR(__xludf.DUMMYFUNCTION("""COMPUTED_VALUE"""),7318.34)</f>
        <v>7318.34</v>
      </c>
      <c r="R214" s="6" t="str">
        <f t="shared" ca="1" si="60"/>
        <v>201811</v>
      </c>
      <c r="S214" s="6">
        <f t="shared" ca="1" si="61"/>
        <v>2018</v>
      </c>
      <c r="T214" s="6">
        <f t="shared" ca="1" si="62"/>
        <v>11</v>
      </c>
      <c r="U214" s="68">
        <f ca="1">IFERROR(__xludf.DUMMYFUNCTION("""COMPUTED_VALUE"""),43418.6458333333)</f>
        <v>43418.645833333299</v>
      </c>
      <c r="V214" s="6">
        <f ca="1">IFERROR(__xludf.DUMMYFUNCTION("""COMPUTED_VALUE"""),2068.05)</f>
        <v>2068.0500000000002</v>
      </c>
      <c r="Z214" s="6" t="str">
        <f t="shared" ca="1" si="63"/>
        <v>20188</v>
      </c>
      <c r="AA214" s="6">
        <f t="shared" ca="1" si="64"/>
        <v>2018</v>
      </c>
      <c r="AB214" s="6">
        <f t="shared" ca="1" si="65"/>
        <v>8</v>
      </c>
      <c r="AC214" s="68">
        <f ca="1">IFERROR(__xludf.DUMMYFUNCTION("""COMPUTED_VALUE"""),43314.9986111111)</f>
        <v>43314.998611111099</v>
      </c>
      <c r="AD214" s="6">
        <f ca="1">IFERROR(__xludf.DUMMYFUNCTION("""COMPUTED_VALUE"""),1128.15)</f>
        <v>1128.1500000000001</v>
      </c>
      <c r="AH214" s="6" t="str">
        <f t="shared" ca="1" si="66"/>
        <v>20187</v>
      </c>
      <c r="AI214" s="6">
        <f t="shared" ca="1" si="67"/>
        <v>2018</v>
      </c>
      <c r="AJ214" s="6">
        <f t="shared" ca="1" si="68"/>
        <v>7</v>
      </c>
      <c r="AK214" s="68">
        <f ca="1">IFERROR(__xludf.DUMMYFUNCTION("""COMPUTED_VALUE"""),43306.9986111111)</f>
        <v>43306.998611111099</v>
      </c>
      <c r="AL214" s="6">
        <f ca="1">IFERROR(__xludf.DUMMYFUNCTION("""COMPUTED_VALUE"""),8176.57)</f>
        <v>8176.57</v>
      </c>
      <c r="AP214" s="6" t="str">
        <f t="shared" ca="1" si="69"/>
        <v>201810</v>
      </c>
      <c r="AQ214" s="6">
        <f t="shared" ca="1" si="70"/>
        <v>2018</v>
      </c>
      <c r="AR214" s="6">
        <f t="shared" ca="1" si="71"/>
        <v>10</v>
      </c>
      <c r="AS214" s="68">
        <f ca="1">IFERROR(__xludf.DUMMYFUNCTION("""COMPUTED_VALUE"""),43402.9986111111)</f>
        <v>43402.998611111099</v>
      </c>
      <c r="AT214" s="6">
        <f ca="1">IFERROR(__xludf.DUMMYFUNCTION("""COMPUTED_VALUE"""),1227.6)</f>
        <v>1227.5999999999999</v>
      </c>
    </row>
    <row r="215" spans="2:46" x14ac:dyDescent="0.35">
      <c r="B215" s="6" t="str">
        <f t="shared" ca="1" si="54"/>
        <v>201810</v>
      </c>
      <c r="C215" s="6">
        <f t="shared" ca="1" si="55"/>
        <v>2018</v>
      </c>
      <c r="D215" s="6">
        <f t="shared" ca="1" si="56"/>
        <v>10</v>
      </c>
      <c r="E215" s="68">
        <f ca="1">IFERROR(__xludf.DUMMYFUNCTION("""COMPUTED_VALUE"""),43399.6666666666)</f>
        <v>43399.666666666599</v>
      </c>
      <c r="F215" s="6">
        <f ca="1">IFERROR(__xludf.DUMMYFUNCTION("""COMPUTED_VALUE"""),2658.69)</f>
        <v>2658.69</v>
      </c>
      <c r="J215" s="6" t="str">
        <f t="shared" ca="1" si="57"/>
        <v>201810</v>
      </c>
      <c r="K215" s="6">
        <f t="shared" ca="1" si="58"/>
        <v>2018</v>
      </c>
      <c r="L215" s="6">
        <f t="shared" ca="1" si="59"/>
        <v>10</v>
      </c>
      <c r="M215" s="68">
        <f ca="1">IFERROR(__xludf.DUMMYFUNCTION("""COMPUTED_VALUE"""),43399.6666666666)</f>
        <v>43399.666666666599</v>
      </c>
      <c r="N215" s="6">
        <f ca="1">IFERROR(__xludf.DUMMYFUNCTION("""COMPUTED_VALUE"""),7167.21)</f>
        <v>7167.21</v>
      </c>
      <c r="R215" s="6" t="str">
        <f t="shared" ca="1" si="60"/>
        <v>201811</v>
      </c>
      <c r="S215" s="6">
        <f t="shared" ca="1" si="61"/>
        <v>2018</v>
      </c>
      <c r="T215" s="6">
        <f t="shared" ca="1" si="62"/>
        <v>11</v>
      </c>
      <c r="U215" s="68">
        <f ca="1">IFERROR(__xludf.DUMMYFUNCTION("""COMPUTED_VALUE"""),43419.6875)</f>
        <v>43419.6875</v>
      </c>
      <c r="V215" s="6">
        <f ca="1">IFERROR(__xludf.DUMMYFUNCTION("""COMPUTED_VALUE"""),2088.06)</f>
        <v>2088.06</v>
      </c>
      <c r="Z215" s="6" t="str">
        <f t="shared" ca="1" si="63"/>
        <v>20188</v>
      </c>
      <c r="AA215" s="6">
        <f t="shared" ca="1" si="64"/>
        <v>2018</v>
      </c>
      <c r="AB215" s="6">
        <f t="shared" ca="1" si="65"/>
        <v>8</v>
      </c>
      <c r="AC215" s="68">
        <f ca="1">IFERROR(__xludf.DUMMYFUNCTION("""COMPUTED_VALUE"""),43315.9986111111)</f>
        <v>43315.998611111099</v>
      </c>
      <c r="AD215" s="6">
        <f ca="1">IFERROR(__xludf.DUMMYFUNCTION("""COMPUTED_VALUE"""),1121.87)</f>
        <v>1121.8699999999999</v>
      </c>
      <c r="AH215" s="6" t="str">
        <f t="shared" ca="1" si="66"/>
        <v>20187</v>
      </c>
      <c r="AI215" s="6">
        <f t="shared" ca="1" si="67"/>
        <v>2018</v>
      </c>
      <c r="AJ215" s="6">
        <f t="shared" ca="1" si="68"/>
        <v>7</v>
      </c>
      <c r="AK215" s="68">
        <f ca="1">IFERROR(__xludf.DUMMYFUNCTION("""COMPUTED_VALUE"""),43307.9986111111)</f>
        <v>43307.998611111099</v>
      </c>
      <c r="AL215" s="6">
        <f ca="1">IFERROR(__xludf.DUMMYFUNCTION("""COMPUTED_VALUE"""),7935.84)</f>
        <v>7935.84</v>
      </c>
      <c r="AP215" s="6" t="str">
        <f t="shared" ca="1" si="69"/>
        <v>201810</v>
      </c>
      <c r="AQ215" s="6">
        <f t="shared" ca="1" si="70"/>
        <v>2018</v>
      </c>
      <c r="AR215" s="6">
        <f t="shared" ca="1" si="71"/>
        <v>10</v>
      </c>
      <c r="AS215" s="68">
        <f ca="1">IFERROR(__xludf.DUMMYFUNCTION("""COMPUTED_VALUE"""),43403.9986111111)</f>
        <v>43403.998611111099</v>
      </c>
      <c r="AT215" s="6">
        <f ca="1">IFERROR(__xludf.DUMMYFUNCTION("""COMPUTED_VALUE"""),1225.3)</f>
        <v>1225.3</v>
      </c>
    </row>
    <row r="216" spans="2:46" x14ac:dyDescent="0.35">
      <c r="B216" s="6" t="str">
        <f t="shared" ca="1" si="54"/>
        <v>201810</v>
      </c>
      <c r="C216" s="6">
        <f t="shared" ca="1" si="55"/>
        <v>2018</v>
      </c>
      <c r="D216" s="6">
        <f t="shared" ca="1" si="56"/>
        <v>10</v>
      </c>
      <c r="E216" s="68">
        <f ca="1">IFERROR(__xludf.DUMMYFUNCTION("""COMPUTED_VALUE"""),43402.6666666666)</f>
        <v>43402.666666666599</v>
      </c>
      <c r="F216" s="6">
        <f ca="1">IFERROR(__xludf.DUMMYFUNCTION("""COMPUTED_VALUE"""),2641.25)</f>
        <v>2641.25</v>
      </c>
      <c r="J216" s="6" t="str">
        <f t="shared" ca="1" si="57"/>
        <v>201810</v>
      </c>
      <c r="K216" s="6">
        <f t="shared" ca="1" si="58"/>
        <v>2018</v>
      </c>
      <c r="L216" s="6">
        <f t="shared" ca="1" si="59"/>
        <v>10</v>
      </c>
      <c r="M216" s="68">
        <f ca="1">IFERROR(__xludf.DUMMYFUNCTION("""COMPUTED_VALUE"""),43402.6666666666)</f>
        <v>43402.666666666599</v>
      </c>
      <c r="N216" s="6">
        <f ca="1">IFERROR(__xludf.DUMMYFUNCTION("""COMPUTED_VALUE"""),7050.29)</f>
        <v>7050.29</v>
      </c>
      <c r="R216" s="6" t="str">
        <f t="shared" ca="1" si="60"/>
        <v>201811</v>
      </c>
      <c r="S216" s="6">
        <f t="shared" ca="1" si="61"/>
        <v>2018</v>
      </c>
      <c r="T216" s="6">
        <f t="shared" ca="1" si="62"/>
        <v>11</v>
      </c>
      <c r="U216" s="68">
        <f ca="1">IFERROR(__xludf.DUMMYFUNCTION("""COMPUTED_VALUE"""),43420.6458333333)</f>
        <v>43420.645833333299</v>
      </c>
      <c r="V216" s="6">
        <f ca="1">IFERROR(__xludf.DUMMYFUNCTION("""COMPUTED_VALUE"""),2092.4)</f>
        <v>2092.4</v>
      </c>
      <c r="Z216" s="6" t="str">
        <f t="shared" ca="1" si="63"/>
        <v>20188</v>
      </c>
      <c r="AA216" s="6">
        <f t="shared" ca="1" si="64"/>
        <v>2018</v>
      </c>
      <c r="AB216" s="6">
        <f t="shared" ca="1" si="65"/>
        <v>8</v>
      </c>
      <c r="AC216" s="68">
        <f ca="1">IFERROR(__xludf.DUMMYFUNCTION("""COMPUTED_VALUE"""),43317.9986111111)</f>
        <v>43317.998611111099</v>
      </c>
      <c r="AD216" s="6">
        <f ca="1">IFERROR(__xludf.DUMMYFUNCTION("""COMPUTED_VALUE"""),1122.9)</f>
        <v>1122.9000000000001</v>
      </c>
      <c r="AH216" s="6" t="str">
        <f t="shared" ca="1" si="66"/>
        <v>20187</v>
      </c>
      <c r="AI216" s="6">
        <f t="shared" ca="1" si="67"/>
        <v>2018</v>
      </c>
      <c r="AJ216" s="6">
        <f t="shared" ca="1" si="68"/>
        <v>7</v>
      </c>
      <c r="AK216" s="68">
        <f ca="1">IFERROR(__xludf.DUMMYFUNCTION("""COMPUTED_VALUE"""),43308.9986111111)</f>
        <v>43308.998611111099</v>
      </c>
      <c r="AL216" s="6">
        <f ca="1">IFERROR(__xludf.DUMMYFUNCTION("""COMPUTED_VALUE"""),8167.82)</f>
        <v>8167.82</v>
      </c>
      <c r="AP216" s="6" t="str">
        <f t="shared" ca="1" si="69"/>
        <v>201810</v>
      </c>
      <c r="AQ216" s="6">
        <f t="shared" ca="1" si="70"/>
        <v>2018</v>
      </c>
      <c r="AR216" s="6">
        <f t="shared" ca="1" si="71"/>
        <v>10</v>
      </c>
      <c r="AS216" s="68">
        <f ca="1">IFERROR(__xludf.DUMMYFUNCTION("""COMPUTED_VALUE"""),43404.9986111111)</f>
        <v>43404.998611111099</v>
      </c>
      <c r="AT216" s="6">
        <f ca="1">IFERROR(__xludf.DUMMYFUNCTION("""COMPUTED_VALUE"""),1215)</f>
        <v>1215</v>
      </c>
    </row>
    <row r="217" spans="2:46" x14ac:dyDescent="0.35">
      <c r="B217" s="6" t="str">
        <f t="shared" ca="1" si="54"/>
        <v>201810</v>
      </c>
      <c r="C217" s="6">
        <f t="shared" ca="1" si="55"/>
        <v>2018</v>
      </c>
      <c r="D217" s="6">
        <f t="shared" ca="1" si="56"/>
        <v>10</v>
      </c>
      <c r="E217" s="68">
        <f ca="1">IFERROR(__xludf.DUMMYFUNCTION("""COMPUTED_VALUE"""),43403.6666666666)</f>
        <v>43403.666666666599</v>
      </c>
      <c r="F217" s="6">
        <f ca="1">IFERROR(__xludf.DUMMYFUNCTION("""COMPUTED_VALUE"""),2682.63)</f>
        <v>2682.63</v>
      </c>
      <c r="J217" s="6" t="str">
        <f t="shared" ca="1" si="57"/>
        <v>201810</v>
      </c>
      <c r="K217" s="6">
        <f t="shared" ca="1" si="58"/>
        <v>2018</v>
      </c>
      <c r="L217" s="6">
        <f t="shared" ca="1" si="59"/>
        <v>10</v>
      </c>
      <c r="M217" s="68">
        <f ca="1">IFERROR(__xludf.DUMMYFUNCTION("""COMPUTED_VALUE"""),43403.6666666666)</f>
        <v>43403.666666666599</v>
      </c>
      <c r="N217" s="6">
        <f ca="1">IFERROR(__xludf.DUMMYFUNCTION("""COMPUTED_VALUE"""),7161.65)</f>
        <v>7161.65</v>
      </c>
      <c r="R217" s="6" t="str">
        <f t="shared" ca="1" si="60"/>
        <v>201811</v>
      </c>
      <c r="S217" s="6">
        <f t="shared" ca="1" si="61"/>
        <v>2018</v>
      </c>
      <c r="T217" s="6">
        <f t="shared" ca="1" si="62"/>
        <v>11</v>
      </c>
      <c r="U217" s="68">
        <f ca="1">IFERROR(__xludf.DUMMYFUNCTION("""COMPUTED_VALUE"""),43423.6458333333)</f>
        <v>43423.645833333299</v>
      </c>
      <c r="V217" s="6">
        <f ca="1">IFERROR(__xludf.DUMMYFUNCTION("""COMPUTED_VALUE"""),2100.56)</f>
        <v>2100.56</v>
      </c>
      <c r="Z217" s="6" t="str">
        <f t="shared" ca="1" si="63"/>
        <v>20188</v>
      </c>
      <c r="AA217" s="6">
        <f t="shared" ca="1" si="64"/>
        <v>2018</v>
      </c>
      <c r="AB217" s="6">
        <f t="shared" ca="1" si="65"/>
        <v>8</v>
      </c>
      <c r="AC217" s="68">
        <f ca="1">IFERROR(__xludf.DUMMYFUNCTION("""COMPUTED_VALUE"""),43318.9986111111)</f>
        <v>43318.998611111099</v>
      </c>
      <c r="AD217" s="6">
        <f ca="1">IFERROR(__xludf.DUMMYFUNCTION("""COMPUTED_VALUE"""),1125.4)</f>
        <v>1125.4000000000001</v>
      </c>
      <c r="AH217" s="6" t="str">
        <f t="shared" ca="1" si="66"/>
        <v>20187</v>
      </c>
      <c r="AI217" s="6">
        <f t="shared" ca="1" si="67"/>
        <v>2018</v>
      </c>
      <c r="AJ217" s="6">
        <f t="shared" ca="1" si="68"/>
        <v>7</v>
      </c>
      <c r="AK217" s="68">
        <f ca="1">IFERROR(__xludf.DUMMYFUNCTION("""COMPUTED_VALUE"""),43309.9986111111)</f>
        <v>43309.998611111099</v>
      </c>
      <c r="AL217" s="6">
        <f ca="1">IFERROR(__xludf.DUMMYFUNCTION("""COMPUTED_VALUE"""),8211.04)</f>
        <v>8211.0400000000009</v>
      </c>
      <c r="AP217" s="6" t="str">
        <f t="shared" ca="1" si="69"/>
        <v>201811</v>
      </c>
      <c r="AQ217" s="6">
        <f t="shared" ca="1" si="70"/>
        <v>2018</v>
      </c>
      <c r="AR217" s="6">
        <f t="shared" ca="1" si="71"/>
        <v>11</v>
      </c>
      <c r="AS217" s="68">
        <f ca="1">IFERROR(__xludf.DUMMYFUNCTION("""COMPUTED_VALUE"""),43405.9986111111)</f>
        <v>43405.998611111099</v>
      </c>
      <c r="AT217" s="6">
        <f ca="1">IFERROR(__xludf.DUMMYFUNCTION("""COMPUTED_VALUE"""),1238.6)</f>
        <v>1238.5999999999999</v>
      </c>
    </row>
    <row r="218" spans="2:46" x14ac:dyDescent="0.35">
      <c r="B218" s="6" t="str">
        <f t="shared" ca="1" si="54"/>
        <v>201810</v>
      </c>
      <c r="C218" s="6">
        <f t="shared" ca="1" si="55"/>
        <v>2018</v>
      </c>
      <c r="D218" s="6">
        <f t="shared" ca="1" si="56"/>
        <v>10</v>
      </c>
      <c r="E218" s="68">
        <f ca="1">IFERROR(__xludf.DUMMYFUNCTION("""COMPUTED_VALUE"""),43404.6666666666)</f>
        <v>43404.666666666599</v>
      </c>
      <c r="F218" s="6">
        <f ca="1">IFERROR(__xludf.DUMMYFUNCTION("""COMPUTED_VALUE"""),2711.74)</f>
        <v>2711.74</v>
      </c>
      <c r="J218" s="6" t="str">
        <f t="shared" ca="1" si="57"/>
        <v>201810</v>
      </c>
      <c r="K218" s="6">
        <f t="shared" ca="1" si="58"/>
        <v>2018</v>
      </c>
      <c r="L218" s="6">
        <f t="shared" ca="1" si="59"/>
        <v>10</v>
      </c>
      <c r="M218" s="68">
        <f ca="1">IFERROR(__xludf.DUMMYFUNCTION("""COMPUTED_VALUE"""),43404.6666666666)</f>
        <v>43404.666666666599</v>
      </c>
      <c r="N218" s="6">
        <f ca="1">IFERROR(__xludf.DUMMYFUNCTION("""COMPUTED_VALUE"""),7305.9)</f>
        <v>7305.9</v>
      </c>
      <c r="R218" s="6" t="str">
        <f t="shared" ca="1" si="60"/>
        <v>201811</v>
      </c>
      <c r="S218" s="6">
        <f t="shared" ca="1" si="61"/>
        <v>2018</v>
      </c>
      <c r="T218" s="6">
        <f t="shared" ca="1" si="62"/>
        <v>11</v>
      </c>
      <c r="U218" s="68">
        <f ca="1">IFERROR(__xludf.DUMMYFUNCTION("""COMPUTED_VALUE"""),43424.6458333333)</f>
        <v>43424.645833333299</v>
      </c>
      <c r="V218" s="6">
        <f ca="1">IFERROR(__xludf.DUMMYFUNCTION("""COMPUTED_VALUE"""),2082.58)</f>
        <v>2082.58</v>
      </c>
      <c r="Z218" s="6" t="str">
        <f t="shared" ca="1" si="63"/>
        <v>20188</v>
      </c>
      <c r="AA218" s="6">
        <f t="shared" ca="1" si="64"/>
        <v>2018</v>
      </c>
      <c r="AB218" s="6">
        <f t="shared" ca="1" si="65"/>
        <v>8</v>
      </c>
      <c r="AC218" s="68">
        <f ca="1">IFERROR(__xludf.DUMMYFUNCTION("""COMPUTED_VALUE"""),43319.9986111111)</f>
        <v>43319.998611111099</v>
      </c>
      <c r="AD218" s="6">
        <f ca="1">IFERROR(__xludf.DUMMYFUNCTION("""COMPUTED_VALUE"""),1116.25)</f>
        <v>1116.25</v>
      </c>
      <c r="AH218" s="6" t="str">
        <f t="shared" ca="1" si="66"/>
        <v>20187</v>
      </c>
      <c r="AI218" s="6">
        <f t="shared" ca="1" si="67"/>
        <v>2018</v>
      </c>
      <c r="AJ218" s="6">
        <f t="shared" ca="1" si="68"/>
        <v>7</v>
      </c>
      <c r="AK218" s="68">
        <f ca="1">IFERROR(__xludf.DUMMYFUNCTION("""COMPUTED_VALUE"""),43310.9986111111)</f>
        <v>43310.998611111099</v>
      </c>
      <c r="AL218" s="6">
        <f ca="1">IFERROR(__xludf.DUMMYFUNCTION("""COMPUTED_VALUE"""),8222.52)</f>
        <v>8222.52</v>
      </c>
      <c r="AP218" s="6" t="str">
        <f t="shared" ca="1" si="69"/>
        <v>201811</v>
      </c>
      <c r="AQ218" s="6">
        <f t="shared" ca="1" si="70"/>
        <v>2018</v>
      </c>
      <c r="AR218" s="6">
        <f t="shared" ca="1" si="71"/>
        <v>11</v>
      </c>
      <c r="AS218" s="68">
        <f ca="1">IFERROR(__xludf.DUMMYFUNCTION("""COMPUTED_VALUE"""),43406.9986111111)</f>
        <v>43406.998611111099</v>
      </c>
      <c r="AT218" s="6">
        <f ca="1">IFERROR(__xludf.DUMMYFUNCTION("""COMPUTED_VALUE"""),1233.3)</f>
        <v>1233.3</v>
      </c>
    </row>
    <row r="219" spans="2:46" x14ac:dyDescent="0.35">
      <c r="B219" s="6" t="str">
        <f t="shared" ca="1" si="54"/>
        <v>201811</v>
      </c>
      <c r="C219" s="6">
        <f t="shared" ca="1" si="55"/>
        <v>2018</v>
      </c>
      <c r="D219" s="6">
        <f t="shared" ca="1" si="56"/>
        <v>11</v>
      </c>
      <c r="E219" s="68">
        <f ca="1">IFERROR(__xludf.DUMMYFUNCTION("""COMPUTED_VALUE"""),43405.6666666666)</f>
        <v>43405.666666666599</v>
      </c>
      <c r="F219" s="6">
        <f ca="1">IFERROR(__xludf.DUMMYFUNCTION("""COMPUTED_VALUE"""),2740.37)</f>
        <v>2740.37</v>
      </c>
      <c r="J219" s="6" t="str">
        <f t="shared" ca="1" si="57"/>
        <v>201811</v>
      </c>
      <c r="K219" s="6">
        <f t="shared" ca="1" si="58"/>
        <v>2018</v>
      </c>
      <c r="L219" s="6">
        <f t="shared" ca="1" si="59"/>
        <v>11</v>
      </c>
      <c r="M219" s="68">
        <f ca="1">IFERROR(__xludf.DUMMYFUNCTION("""COMPUTED_VALUE"""),43405.6666666666)</f>
        <v>43405.666666666599</v>
      </c>
      <c r="N219" s="6">
        <f ca="1">IFERROR(__xludf.DUMMYFUNCTION("""COMPUTED_VALUE"""),7434.06)</f>
        <v>7434.06</v>
      </c>
      <c r="R219" s="6" t="str">
        <f t="shared" ca="1" si="60"/>
        <v>201811</v>
      </c>
      <c r="S219" s="6">
        <f t="shared" ca="1" si="61"/>
        <v>2018</v>
      </c>
      <c r="T219" s="6">
        <f t="shared" ca="1" si="62"/>
        <v>11</v>
      </c>
      <c r="U219" s="68">
        <f ca="1">IFERROR(__xludf.DUMMYFUNCTION("""COMPUTED_VALUE"""),43425.6458333333)</f>
        <v>43425.645833333299</v>
      </c>
      <c r="V219" s="6">
        <f ca="1">IFERROR(__xludf.DUMMYFUNCTION("""COMPUTED_VALUE"""),2076.55)</f>
        <v>2076.5500000000002</v>
      </c>
      <c r="Z219" s="6" t="str">
        <f t="shared" ca="1" si="63"/>
        <v>20188</v>
      </c>
      <c r="AA219" s="6">
        <f t="shared" ca="1" si="64"/>
        <v>2018</v>
      </c>
      <c r="AB219" s="6">
        <f t="shared" ca="1" si="65"/>
        <v>8</v>
      </c>
      <c r="AC219" s="68">
        <f ca="1">IFERROR(__xludf.DUMMYFUNCTION("""COMPUTED_VALUE"""),43320.9986111111)</f>
        <v>43320.998611111099</v>
      </c>
      <c r="AD219" s="6">
        <f ca="1">IFERROR(__xludf.DUMMYFUNCTION("""COMPUTED_VALUE"""),1115.95)</f>
        <v>1115.95</v>
      </c>
      <c r="AH219" s="6" t="str">
        <f t="shared" ca="1" si="66"/>
        <v>20187</v>
      </c>
      <c r="AI219" s="6">
        <f t="shared" ca="1" si="67"/>
        <v>2018</v>
      </c>
      <c r="AJ219" s="6">
        <f t="shared" ca="1" si="68"/>
        <v>7</v>
      </c>
      <c r="AK219" s="68">
        <f ca="1">IFERROR(__xludf.DUMMYFUNCTION("""COMPUTED_VALUE"""),43311.9986111111)</f>
        <v>43311.998611111099</v>
      </c>
      <c r="AL219" s="6">
        <f ca="1">IFERROR(__xludf.DUMMYFUNCTION("""COMPUTED_VALUE"""),8173.89)</f>
        <v>8173.89</v>
      </c>
      <c r="AP219" s="6" t="str">
        <f t="shared" ca="1" si="69"/>
        <v>201811</v>
      </c>
      <c r="AQ219" s="6">
        <f t="shared" ca="1" si="70"/>
        <v>2018</v>
      </c>
      <c r="AR219" s="6">
        <f t="shared" ca="1" si="71"/>
        <v>11</v>
      </c>
      <c r="AS219" s="68">
        <f ca="1">IFERROR(__xludf.DUMMYFUNCTION("""COMPUTED_VALUE"""),43409.9986111111)</f>
        <v>43409.998611111099</v>
      </c>
      <c r="AT219" s="6">
        <f ca="1">IFERROR(__xludf.DUMMYFUNCTION("""COMPUTED_VALUE"""),1232.3)</f>
        <v>1232.3</v>
      </c>
    </row>
    <row r="220" spans="2:46" x14ac:dyDescent="0.35">
      <c r="B220" s="6" t="str">
        <f t="shared" ca="1" si="54"/>
        <v>201811</v>
      </c>
      <c r="C220" s="6">
        <f t="shared" ca="1" si="55"/>
        <v>2018</v>
      </c>
      <c r="D220" s="6">
        <f t="shared" ca="1" si="56"/>
        <v>11</v>
      </c>
      <c r="E220" s="68">
        <f ca="1">IFERROR(__xludf.DUMMYFUNCTION("""COMPUTED_VALUE"""),43406.6666666666)</f>
        <v>43406.666666666599</v>
      </c>
      <c r="F220" s="6">
        <f ca="1">IFERROR(__xludf.DUMMYFUNCTION("""COMPUTED_VALUE"""),2723.06)</f>
        <v>2723.06</v>
      </c>
      <c r="J220" s="6" t="str">
        <f t="shared" ca="1" si="57"/>
        <v>201811</v>
      </c>
      <c r="K220" s="6">
        <f t="shared" ca="1" si="58"/>
        <v>2018</v>
      </c>
      <c r="L220" s="6">
        <f t="shared" ca="1" si="59"/>
        <v>11</v>
      </c>
      <c r="M220" s="68">
        <f ca="1">IFERROR(__xludf.DUMMYFUNCTION("""COMPUTED_VALUE"""),43406.6666666666)</f>
        <v>43406.666666666599</v>
      </c>
      <c r="N220" s="6">
        <f ca="1">IFERROR(__xludf.DUMMYFUNCTION("""COMPUTED_VALUE"""),7356.99)</f>
        <v>7356.99</v>
      </c>
      <c r="R220" s="6" t="str">
        <f t="shared" ca="1" si="60"/>
        <v>201811</v>
      </c>
      <c r="S220" s="6">
        <f t="shared" ca="1" si="61"/>
        <v>2018</v>
      </c>
      <c r="T220" s="6">
        <f t="shared" ca="1" si="62"/>
        <v>11</v>
      </c>
      <c r="U220" s="68">
        <f ca="1">IFERROR(__xludf.DUMMYFUNCTION("""COMPUTED_VALUE"""),43426.6458333333)</f>
        <v>43426.645833333299</v>
      </c>
      <c r="V220" s="6">
        <f ca="1">IFERROR(__xludf.DUMMYFUNCTION("""COMPUTED_VALUE"""),2069.95)</f>
        <v>2069.9499999999998</v>
      </c>
      <c r="Z220" s="6" t="str">
        <f t="shared" ca="1" si="63"/>
        <v>20188</v>
      </c>
      <c r="AA220" s="6">
        <f t="shared" ca="1" si="64"/>
        <v>2018</v>
      </c>
      <c r="AB220" s="6">
        <f t="shared" ca="1" si="65"/>
        <v>8</v>
      </c>
      <c r="AC220" s="68">
        <f ca="1">IFERROR(__xludf.DUMMYFUNCTION("""COMPUTED_VALUE"""),43321.9986111111)</f>
        <v>43321.998611111099</v>
      </c>
      <c r="AD220" s="6">
        <f ca="1">IFERROR(__xludf.DUMMYFUNCTION("""COMPUTED_VALUE"""),1121.89)</f>
        <v>1121.8900000000001</v>
      </c>
      <c r="AH220" s="6" t="str">
        <f t="shared" ca="1" si="66"/>
        <v>20187</v>
      </c>
      <c r="AI220" s="6">
        <f t="shared" ca="1" si="67"/>
        <v>2018</v>
      </c>
      <c r="AJ220" s="6">
        <f t="shared" ca="1" si="68"/>
        <v>7</v>
      </c>
      <c r="AK220" s="68">
        <f ca="1">IFERROR(__xludf.DUMMYFUNCTION("""COMPUTED_VALUE"""),43312.9986111111)</f>
        <v>43312.998611111099</v>
      </c>
      <c r="AL220" s="6">
        <f ca="1">IFERROR(__xludf.DUMMYFUNCTION("""COMPUTED_VALUE"""),7736.32)</f>
        <v>7736.32</v>
      </c>
      <c r="AP220" s="6" t="str">
        <f t="shared" ca="1" si="69"/>
        <v>201811</v>
      </c>
      <c r="AQ220" s="6">
        <f t="shared" ca="1" si="70"/>
        <v>2018</v>
      </c>
      <c r="AR220" s="6">
        <f t="shared" ca="1" si="71"/>
        <v>11</v>
      </c>
      <c r="AS220" s="68">
        <f ca="1">IFERROR(__xludf.DUMMYFUNCTION("""COMPUTED_VALUE"""),43410.9986111111)</f>
        <v>43410.998611111099</v>
      </c>
      <c r="AT220" s="6">
        <f ca="1">IFERROR(__xludf.DUMMYFUNCTION("""COMPUTED_VALUE"""),1226.3)</f>
        <v>1226.3</v>
      </c>
    </row>
    <row r="221" spans="2:46" x14ac:dyDescent="0.35">
      <c r="B221" s="6" t="str">
        <f t="shared" ca="1" si="54"/>
        <v>201811</v>
      </c>
      <c r="C221" s="6">
        <f t="shared" ca="1" si="55"/>
        <v>2018</v>
      </c>
      <c r="D221" s="6">
        <f t="shared" ca="1" si="56"/>
        <v>11</v>
      </c>
      <c r="E221" s="68">
        <f ca="1">IFERROR(__xludf.DUMMYFUNCTION("""COMPUTED_VALUE"""),43409.6666666666)</f>
        <v>43409.666666666599</v>
      </c>
      <c r="F221" s="6">
        <f ca="1">IFERROR(__xludf.DUMMYFUNCTION("""COMPUTED_VALUE"""),2738.31)</f>
        <v>2738.31</v>
      </c>
      <c r="J221" s="6" t="str">
        <f t="shared" ca="1" si="57"/>
        <v>201811</v>
      </c>
      <c r="K221" s="6">
        <f t="shared" ca="1" si="58"/>
        <v>2018</v>
      </c>
      <c r="L221" s="6">
        <f t="shared" ca="1" si="59"/>
        <v>11</v>
      </c>
      <c r="M221" s="68">
        <f ca="1">IFERROR(__xludf.DUMMYFUNCTION("""COMPUTED_VALUE"""),43409.6666666666)</f>
        <v>43409.666666666599</v>
      </c>
      <c r="N221" s="6">
        <f ca="1">IFERROR(__xludf.DUMMYFUNCTION("""COMPUTED_VALUE"""),7328.85)</f>
        <v>7328.85</v>
      </c>
      <c r="R221" s="6" t="str">
        <f t="shared" ca="1" si="60"/>
        <v>201811</v>
      </c>
      <c r="S221" s="6">
        <f t="shared" ca="1" si="61"/>
        <v>2018</v>
      </c>
      <c r="T221" s="6">
        <f t="shared" ca="1" si="62"/>
        <v>11</v>
      </c>
      <c r="U221" s="68">
        <f ca="1">IFERROR(__xludf.DUMMYFUNCTION("""COMPUTED_VALUE"""),43427.6458333333)</f>
        <v>43427.645833333299</v>
      </c>
      <c r="V221" s="6">
        <f ca="1">IFERROR(__xludf.DUMMYFUNCTION("""COMPUTED_VALUE"""),2057.48)</f>
        <v>2057.48</v>
      </c>
      <c r="Z221" s="6" t="str">
        <f t="shared" ca="1" si="63"/>
        <v>20188</v>
      </c>
      <c r="AA221" s="6">
        <f t="shared" ca="1" si="64"/>
        <v>2018</v>
      </c>
      <c r="AB221" s="6">
        <f t="shared" ca="1" si="65"/>
        <v>8</v>
      </c>
      <c r="AC221" s="68">
        <f ca="1">IFERROR(__xludf.DUMMYFUNCTION("""COMPUTED_VALUE"""),43322.9986111111)</f>
        <v>43322.998611111099</v>
      </c>
      <c r="AD221" s="6">
        <f ca="1">IFERROR(__xludf.DUMMYFUNCTION("""COMPUTED_VALUE"""),1129.43)</f>
        <v>1129.43</v>
      </c>
      <c r="AH221" s="6" t="str">
        <f t="shared" ca="1" si="66"/>
        <v>20188</v>
      </c>
      <c r="AI221" s="6">
        <f t="shared" ca="1" si="67"/>
        <v>2018</v>
      </c>
      <c r="AJ221" s="6">
        <f t="shared" ca="1" si="68"/>
        <v>8</v>
      </c>
      <c r="AK221" s="68">
        <f ca="1">IFERROR(__xludf.DUMMYFUNCTION("""COMPUTED_VALUE"""),43313.9986111111)</f>
        <v>43313.998611111099</v>
      </c>
      <c r="AL221" s="6">
        <f ca="1">IFERROR(__xludf.DUMMYFUNCTION("""COMPUTED_VALUE"""),7602.59)</f>
        <v>7602.59</v>
      </c>
      <c r="AP221" s="6" t="str">
        <f t="shared" ca="1" si="69"/>
        <v>201811</v>
      </c>
      <c r="AQ221" s="6">
        <f t="shared" ca="1" si="70"/>
        <v>2018</v>
      </c>
      <c r="AR221" s="6">
        <f t="shared" ca="1" si="71"/>
        <v>11</v>
      </c>
      <c r="AS221" s="68">
        <f ca="1">IFERROR(__xludf.DUMMYFUNCTION("""COMPUTED_VALUE"""),43411.9986111111)</f>
        <v>43411.998611111099</v>
      </c>
      <c r="AT221" s="6">
        <f ca="1">IFERROR(__xludf.DUMMYFUNCTION("""COMPUTED_VALUE"""),1228.7)</f>
        <v>1228.7</v>
      </c>
    </row>
    <row r="222" spans="2:46" x14ac:dyDescent="0.35">
      <c r="B222" s="6" t="str">
        <f t="shared" ca="1" si="54"/>
        <v>201811</v>
      </c>
      <c r="C222" s="6">
        <f t="shared" ca="1" si="55"/>
        <v>2018</v>
      </c>
      <c r="D222" s="6">
        <f t="shared" ca="1" si="56"/>
        <v>11</v>
      </c>
      <c r="E222" s="68">
        <f ca="1">IFERROR(__xludf.DUMMYFUNCTION("""COMPUTED_VALUE"""),43410.6666666666)</f>
        <v>43410.666666666599</v>
      </c>
      <c r="F222" s="6">
        <f ca="1">IFERROR(__xludf.DUMMYFUNCTION("""COMPUTED_VALUE"""),2755.45)</f>
        <v>2755.45</v>
      </c>
      <c r="J222" s="6" t="str">
        <f t="shared" ca="1" si="57"/>
        <v>201811</v>
      </c>
      <c r="K222" s="6">
        <f t="shared" ca="1" si="58"/>
        <v>2018</v>
      </c>
      <c r="L222" s="6">
        <f t="shared" ca="1" si="59"/>
        <v>11</v>
      </c>
      <c r="M222" s="68">
        <f ca="1">IFERROR(__xludf.DUMMYFUNCTION("""COMPUTED_VALUE"""),43410.6666666666)</f>
        <v>43410.666666666599</v>
      </c>
      <c r="N222" s="6">
        <f ca="1">IFERROR(__xludf.DUMMYFUNCTION("""COMPUTED_VALUE"""),7375.96)</f>
        <v>7375.96</v>
      </c>
      <c r="R222" s="6" t="str">
        <f t="shared" ca="1" si="60"/>
        <v>201811</v>
      </c>
      <c r="S222" s="6">
        <f t="shared" ca="1" si="61"/>
        <v>2018</v>
      </c>
      <c r="T222" s="6">
        <f t="shared" ca="1" si="62"/>
        <v>11</v>
      </c>
      <c r="U222" s="68">
        <f ca="1">IFERROR(__xludf.DUMMYFUNCTION("""COMPUTED_VALUE"""),43430.6458333333)</f>
        <v>43430.645833333299</v>
      </c>
      <c r="V222" s="6">
        <f ca="1">IFERROR(__xludf.DUMMYFUNCTION("""COMPUTED_VALUE"""),2083.02)</f>
        <v>2083.02</v>
      </c>
      <c r="Z222" s="6" t="str">
        <f t="shared" ca="1" si="63"/>
        <v>20188</v>
      </c>
      <c r="AA222" s="6">
        <f t="shared" ca="1" si="64"/>
        <v>2018</v>
      </c>
      <c r="AB222" s="6">
        <f t="shared" ca="1" si="65"/>
        <v>8</v>
      </c>
      <c r="AC222" s="68">
        <f ca="1">IFERROR(__xludf.DUMMYFUNCTION("""COMPUTED_VALUE"""),43324.9986111111)</f>
        <v>43324.998611111099</v>
      </c>
      <c r="AD222" s="6">
        <f ca="1">IFERROR(__xludf.DUMMYFUNCTION("""COMPUTED_VALUE"""),1130.9)</f>
        <v>1130.9000000000001</v>
      </c>
      <c r="AH222" s="6" t="str">
        <f t="shared" ca="1" si="66"/>
        <v>20188</v>
      </c>
      <c r="AI222" s="6">
        <f t="shared" ca="1" si="67"/>
        <v>2018</v>
      </c>
      <c r="AJ222" s="6">
        <f t="shared" ca="1" si="68"/>
        <v>8</v>
      </c>
      <c r="AK222" s="68">
        <f ca="1">IFERROR(__xludf.DUMMYFUNCTION("""COMPUTED_VALUE"""),43314.9986111111)</f>
        <v>43314.998611111099</v>
      </c>
      <c r="AL222" s="6">
        <f ca="1">IFERROR(__xludf.DUMMYFUNCTION("""COMPUTED_VALUE"""),7534.76)</f>
        <v>7534.76</v>
      </c>
      <c r="AP222" s="6" t="str">
        <f t="shared" ca="1" si="69"/>
        <v>201811</v>
      </c>
      <c r="AQ222" s="6">
        <f t="shared" ca="1" si="70"/>
        <v>2018</v>
      </c>
      <c r="AR222" s="6">
        <f t="shared" ca="1" si="71"/>
        <v>11</v>
      </c>
      <c r="AS222" s="68">
        <f ca="1">IFERROR(__xludf.DUMMYFUNCTION("""COMPUTED_VALUE"""),43412.9986111111)</f>
        <v>43412.998611111099</v>
      </c>
      <c r="AT222" s="6">
        <f ca="1">IFERROR(__xludf.DUMMYFUNCTION("""COMPUTED_VALUE"""),1225.1)</f>
        <v>1225.0999999999999</v>
      </c>
    </row>
    <row r="223" spans="2:46" x14ac:dyDescent="0.35">
      <c r="B223" s="6" t="str">
        <f t="shared" ca="1" si="54"/>
        <v>201811</v>
      </c>
      <c r="C223" s="6">
        <f t="shared" ca="1" si="55"/>
        <v>2018</v>
      </c>
      <c r="D223" s="6">
        <f t="shared" ca="1" si="56"/>
        <v>11</v>
      </c>
      <c r="E223" s="68">
        <f ca="1">IFERROR(__xludf.DUMMYFUNCTION("""COMPUTED_VALUE"""),43411.6666666666)</f>
        <v>43411.666666666599</v>
      </c>
      <c r="F223" s="6">
        <f ca="1">IFERROR(__xludf.DUMMYFUNCTION("""COMPUTED_VALUE"""),2813.89)</f>
        <v>2813.89</v>
      </c>
      <c r="J223" s="6" t="str">
        <f t="shared" ca="1" si="57"/>
        <v>201811</v>
      </c>
      <c r="K223" s="6">
        <f t="shared" ca="1" si="58"/>
        <v>2018</v>
      </c>
      <c r="L223" s="6">
        <f t="shared" ca="1" si="59"/>
        <v>11</v>
      </c>
      <c r="M223" s="68">
        <f ca="1">IFERROR(__xludf.DUMMYFUNCTION("""COMPUTED_VALUE"""),43411.6666666666)</f>
        <v>43411.666666666599</v>
      </c>
      <c r="N223" s="6">
        <f ca="1">IFERROR(__xludf.DUMMYFUNCTION("""COMPUTED_VALUE"""),7570.75)</f>
        <v>7570.75</v>
      </c>
      <c r="R223" s="6" t="str">
        <f t="shared" ca="1" si="60"/>
        <v>201811</v>
      </c>
      <c r="S223" s="6">
        <f t="shared" ca="1" si="61"/>
        <v>2018</v>
      </c>
      <c r="T223" s="6">
        <f t="shared" ca="1" si="62"/>
        <v>11</v>
      </c>
      <c r="U223" s="68">
        <f ca="1">IFERROR(__xludf.DUMMYFUNCTION("""COMPUTED_VALUE"""),43431.6458333333)</f>
        <v>43431.645833333299</v>
      </c>
      <c r="V223" s="6">
        <f ca="1">IFERROR(__xludf.DUMMYFUNCTION("""COMPUTED_VALUE"""),2099.42)</f>
        <v>2099.42</v>
      </c>
      <c r="Z223" s="6" t="str">
        <f t="shared" ca="1" si="63"/>
        <v>20188</v>
      </c>
      <c r="AA223" s="6">
        <f t="shared" ca="1" si="64"/>
        <v>2018</v>
      </c>
      <c r="AB223" s="6">
        <f t="shared" ca="1" si="65"/>
        <v>8</v>
      </c>
      <c r="AC223" s="68">
        <f ca="1">IFERROR(__xludf.DUMMYFUNCTION("""COMPUTED_VALUE"""),43325.9986111111)</f>
        <v>43325.998611111099</v>
      </c>
      <c r="AD223" s="6">
        <f ca="1">IFERROR(__xludf.DUMMYFUNCTION("""COMPUTED_VALUE"""),1135.97)</f>
        <v>1135.97</v>
      </c>
      <c r="AH223" s="6" t="str">
        <f t="shared" ca="1" si="66"/>
        <v>20188</v>
      </c>
      <c r="AI223" s="6">
        <f t="shared" ca="1" si="67"/>
        <v>2018</v>
      </c>
      <c r="AJ223" s="6">
        <f t="shared" ca="1" si="68"/>
        <v>8</v>
      </c>
      <c r="AK223" s="68">
        <f ca="1">IFERROR(__xludf.DUMMYFUNCTION("""COMPUTED_VALUE"""),43315.9986111111)</f>
        <v>43315.998611111099</v>
      </c>
      <c r="AL223" s="6">
        <f ca="1">IFERROR(__xludf.DUMMYFUNCTION("""COMPUTED_VALUE"""),7416.9)</f>
        <v>7416.9</v>
      </c>
      <c r="AP223" s="6" t="str">
        <f t="shared" ca="1" si="69"/>
        <v>201811</v>
      </c>
      <c r="AQ223" s="6">
        <f t="shared" ca="1" si="70"/>
        <v>2018</v>
      </c>
      <c r="AR223" s="6">
        <f t="shared" ca="1" si="71"/>
        <v>11</v>
      </c>
      <c r="AS223" s="68">
        <f ca="1">IFERROR(__xludf.DUMMYFUNCTION("""COMPUTED_VALUE"""),43413.9986111111)</f>
        <v>43413.998611111099</v>
      </c>
      <c r="AT223" s="6">
        <f ca="1">IFERROR(__xludf.DUMMYFUNCTION("""COMPUTED_VALUE"""),1208.6)</f>
        <v>1208.5999999999999</v>
      </c>
    </row>
    <row r="224" spans="2:46" x14ac:dyDescent="0.35">
      <c r="B224" s="6" t="str">
        <f t="shared" ca="1" si="54"/>
        <v>201811</v>
      </c>
      <c r="C224" s="6">
        <f t="shared" ca="1" si="55"/>
        <v>2018</v>
      </c>
      <c r="D224" s="6">
        <f t="shared" ca="1" si="56"/>
        <v>11</v>
      </c>
      <c r="E224" s="68">
        <f ca="1">IFERROR(__xludf.DUMMYFUNCTION("""COMPUTED_VALUE"""),43412.6666666666)</f>
        <v>43412.666666666599</v>
      </c>
      <c r="F224" s="6">
        <f ca="1">IFERROR(__xludf.DUMMYFUNCTION("""COMPUTED_VALUE"""),2806.83)</f>
        <v>2806.83</v>
      </c>
      <c r="J224" s="6" t="str">
        <f t="shared" ca="1" si="57"/>
        <v>201811</v>
      </c>
      <c r="K224" s="6">
        <f t="shared" ca="1" si="58"/>
        <v>2018</v>
      </c>
      <c r="L224" s="6">
        <f t="shared" ca="1" si="59"/>
        <v>11</v>
      </c>
      <c r="M224" s="68">
        <f ca="1">IFERROR(__xludf.DUMMYFUNCTION("""COMPUTED_VALUE"""),43412.6666666666)</f>
        <v>43412.666666666599</v>
      </c>
      <c r="N224" s="6">
        <f ca="1">IFERROR(__xludf.DUMMYFUNCTION("""COMPUTED_VALUE"""),7530.89)</f>
        <v>7530.89</v>
      </c>
      <c r="R224" s="6" t="str">
        <f t="shared" ca="1" si="60"/>
        <v>201811</v>
      </c>
      <c r="S224" s="6">
        <f t="shared" ca="1" si="61"/>
        <v>2018</v>
      </c>
      <c r="T224" s="6">
        <f t="shared" ca="1" si="62"/>
        <v>11</v>
      </c>
      <c r="U224" s="68">
        <f ca="1">IFERROR(__xludf.DUMMYFUNCTION("""COMPUTED_VALUE"""),43432.6458333333)</f>
        <v>43432.645833333299</v>
      </c>
      <c r="V224" s="6">
        <f ca="1">IFERROR(__xludf.DUMMYFUNCTION("""COMPUTED_VALUE"""),2108.22)</f>
        <v>2108.2199999999998</v>
      </c>
      <c r="Z224" s="6" t="str">
        <f t="shared" ca="1" si="63"/>
        <v>20188</v>
      </c>
      <c r="AA224" s="6">
        <f t="shared" ca="1" si="64"/>
        <v>2018</v>
      </c>
      <c r="AB224" s="6">
        <f t="shared" ca="1" si="65"/>
        <v>8</v>
      </c>
      <c r="AC224" s="68">
        <f ca="1">IFERROR(__xludf.DUMMYFUNCTION("""COMPUTED_VALUE"""),43326.9986111111)</f>
        <v>43326.998611111099</v>
      </c>
      <c r="AD224" s="6">
        <f ca="1">IFERROR(__xludf.DUMMYFUNCTION("""COMPUTED_VALUE"""),1126.75)</f>
        <v>1126.75</v>
      </c>
      <c r="AH224" s="6" t="str">
        <f t="shared" ca="1" si="66"/>
        <v>20188</v>
      </c>
      <c r="AI224" s="6">
        <f t="shared" ca="1" si="67"/>
        <v>2018</v>
      </c>
      <c r="AJ224" s="6">
        <f t="shared" ca="1" si="68"/>
        <v>8</v>
      </c>
      <c r="AK224" s="68">
        <f ca="1">IFERROR(__xludf.DUMMYFUNCTION("""COMPUTED_VALUE"""),43316.9986111111)</f>
        <v>43316.998611111099</v>
      </c>
      <c r="AL224" s="6">
        <f ca="1">IFERROR(__xludf.DUMMYFUNCTION("""COMPUTED_VALUE"""),7010.97)</f>
        <v>7010.97</v>
      </c>
      <c r="AP224" s="6" t="str">
        <f t="shared" ca="1" si="69"/>
        <v>201811</v>
      </c>
      <c r="AQ224" s="6">
        <f t="shared" ca="1" si="70"/>
        <v>2018</v>
      </c>
      <c r="AR224" s="6">
        <f t="shared" ca="1" si="71"/>
        <v>11</v>
      </c>
      <c r="AS224" s="68">
        <f ca="1">IFERROR(__xludf.DUMMYFUNCTION("""COMPUTED_VALUE"""),43417.9986111111)</f>
        <v>43417.998611111099</v>
      </c>
      <c r="AT224" s="6">
        <f ca="1">IFERROR(__xludf.DUMMYFUNCTION("""COMPUTED_VALUE"""),1201.4)</f>
        <v>1201.4000000000001</v>
      </c>
    </row>
    <row r="225" spans="2:46" x14ac:dyDescent="0.35">
      <c r="B225" s="6" t="str">
        <f t="shared" ca="1" si="54"/>
        <v>201811</v>
      </c>
      <c r="C225" s="6">
        <f t="shared" ca="1" si="55"/>
        <v>2018</v>
      </c>
      <c r="D225" s="6">
        <f t="shared" ca="1" si="56"/>
        <v>11</v>
      </c>
      <c r="E225" s="68">
        <f ca="1">IFERROR(__xludf.DUMMYFUNCTION("""COMPUTED_VALUE"""),43413.6666666666)</f>
        <v>43413.666666666599</v>
      </c>
      <c r="F225" s="6">
        <f ca="1">IFERROR(__xludf.DUMMYFUNCTION("""COMPUTED_VALUE"""),2781.01)</f>
        <v>2781.01</v>
      </c>
      <c r="J225" s="6" t="str">
        <f t="shared" ca="1" si="57"/>
        <v>201811</v>
      </c>
      <c r="K225" s="6">
        <f t="shared" ca="1" si="58"/>
        <v>2018</v>
      </c>
      <c r="L225" s="6">
        <f t="shared" ca="1" si="59"/>
        <v>11</v>
      </c>
      <c r="M225" s="68">
        <f ca="1">IFERROR(__xludf.DUMMYFUNCTION("""COMPUTED_VALUE"""),43413.6666666666)</f>
        <v>43413.666666666599</v>
      </c>
      <c r="N225" s="6">
        <f ca="1">IFERROR(__xludf.DUMMYFUNCTION("""COMPUTED_VALUE"""),7406.9)</f>
        <v>7406.9</v>
      </c>
      <c r="R225" s="6" t="str">
        <f t="shared" ca="1" si="60"/>
        <v>201811</v>
      </c>
      <c r="S225" s="6">
        <f t="shared" ca="1" si="61"/>
        <v>2018</v>
      </c>
      <c r="T225" s="6">
        <f t="shared" ca="1" si="62"/>
        <v>11</v>
      </c>
      <c r="U225" s="68">
        <f ca="1">IFERROR(__xludf.DUMMYFUNCTION("""COMPUTED_VALUE"""),43433.6458333333)</f>
        <v>43433.645833333299</v>
      </c>
      <c r="V225" s="6">
        <f ca="1">IFERROR(__xludf.DUMMYFUNCTION("""COMPUTED_VALUE"""),2114.1)</f>
        <v>2114.1</v>
      </c>
      <c r="Z225" s="6" t="str">
        <f t="shared" ca="1" si="63"/>
        <v>20188</v>
      </c>
      <c r="AA225" s="6">
        <f t="shared" ca="1" si="64"/>
        <v>2018</v>
      </c>
      <c r="AB225" s="6">
        <f t="shared" ca="1" si="65"/>
        <v>8</v>
      </c>
      <c r="AC225" s="68">
        <f ca="1">IFERROR(__xludf.DUMMYFUNCTION("""COMPUTED_VALUE"""),43327.9986111111)</f>
        <v>43327.998611111099</v>
      </c>
      <c r="AD225" s="6">
        <f ca="1">IFERROR(__xludf.DUMMYFUNCTION("""COMPUTED_VALUE"""),1136.38)</f>
        <v>1136.3800000000001</v>
      </c>
      <c r="AH225" s="6" t="str">
        <f t="shared" ca="1" si="66"/>
        <v>20188</v>
      </c>
      <c r="AI225" s="6">
        <f t="shared" ca="1" si="67"/>
        <v>2018</v>
      </c>
      <c r="AJ225" s="6">
        <f t="shared" ca="1" si="68"/>
        <v>8</v>
      </c>
      <c r="AK225" s="68">
        <f ca="1">IFERROR(__xludf.DUMMYFUNCTION("""COMPUTED_VALUE"""),43317.9986111111)</f>
        <v>43317.998611111099</v>
      </c>
      <c r="AL225" s="6">
        <f ca="1">IFERROR(__xludf.DUMMYFUNCTION("""COMPUTED_VALUE"""),7027.62)</f>
        <v>7027.62</v>
      </c>
      <c r="AP225" s="6" t="str">
        <f t="shared" ca="1" si="69"/>
        <v>201811</v>
      </c>
      <c r="AQ225" s="6">
        <f t="shared" ca="1" si="70"/>
        <v>2018</v>
      </c>
      <c r="AR225" s="6">
        <f t="shared" ca="1" si="71"/>
        <v>11</v>
      </c>
      <c r="AS225" s="68">
        <f ca="1">IFERROR(__xludf.DUMMYFUNCTION("""COMPUTED_VALUE"""),43418.9986111111)</f>
        <v>43418.998611111099</v>
      </c>
      <c r="AT225" s="6">
        <f ca="1">IFERROR(__xludf.DUMMYFUNCTION("""COMPUTED_VALUE"""),1210.1)</f>
        <v>1210.0999999999999</v>
      </c>
    </row>
    <row r="226" spans="2:46" x14ac:dyDescent="0.35">
      <c r="B226" s="6" t="str">
        <f t="shared" ca="1" si="54"/>
        <v>201811</v>
      </c>
      <c r="C226" s="6">
        <f t="shared" ca="1" si="55"/>
        <v>2018</v>
      </c>
      <c r="D226" s="6">
        <f t="shared" ca="1" si="56"/>
        <v>11</v>
      </c>
      <c r="E226" s="68">
        <f ca="1">IFERROR(__xludf.DUMMYFUNCTION("""COMPUTED_VALUE"""),43416.6666666666)</f>
        <v>43416.666666666599</v>
      </c>
      <c r="F226" s="6">
        <f ca="1">IFERROR(__xludf.DUMMYFUNCTION("""COMPUTED_VALUE"""),2726.22)</f>
        <v>2726.22</v>
      </c>
      <c r="J226" s="6" t="str">
        <f t="shared" ca="1" si="57"/>
        <v>201811</v>
      </c>
      <c r="K226" s="6">
        <f t="shared" ca="1" si="58"/>
        <v>2018</v>
      </c>
      <c r="L226" s="6">
        <f t="shared" ca="1" si="59"/>
        <v>11</v>
      </c>
      <c r="M226" s="68">
        <f ca="1">IFERROR(__xludf.DUMMYFUNCTION("""COMPUTED_VALUE"""),43416.6666666666)</f>
        <v>43416.666666666599</v>
      </c>
      <c r="N226" s="6">
        <f ca="1">IFERROR(__xludf.DUMMYFUNCTION("""COMPUTED_VALUE"""),7200.87)</f>
        <v>7200.87</v>
      </c>
      <c r="R226" s="6" t="str">
        <f t="shared" ca="1" si="60"/>
        <v>201811</v>
      </c>
      <c r="S226" s="6">
        <f t="shared" ca="1" si="61"/>
        <v>2018</v>
      </c>
      <c r="T226" s="6">
        <f t="shared" ca="1" si="62"/>
        <v>11</v>
      </c>
      <c r="U226" s="68">
        <f ca="1">IFERROR(__xludf.DUMMYFUNCTION("""COMPUTED_VALUE"""),43434.6458333333)</f>
        <v>43434.645833333299</v>
      </c>
      <c r="V226" s="6">
        <f ca="1">IFERROR(__xludf.DUMMYFUNCTION("""COMPUTED_VALUE"""),2096.86)</f>
        <v>2096.86</v>
      </c>
      <c r="Z226" s="6" t="str">
        <f t="shared" ca="1" si="63"/>
        <v>20188</v>
      </c>
      <c r="AA226" s="6">
        <f t="shared" ca="1" si="64"/>
        <v>2018</v>
      </c>
      <c r="AB226" s="6">
        <f t="shared" ca="1" si="65"/>
        <v>8</v>
      </c>
      <c r="AC226" s="68">
        <f ca="1">IFERROR(__xludf.DUMMYFUNCTION("""COMPUTED_VALUE"""),43328.9986111111)</f>
        <v>43328.998611111099</v>
      </c>
      <c r="AD226" s="6">
        <f ca="1">IFERROR(__xludf.DUMMYFUNCTION("""COMPUTED_VALUE"""),1126.24)</f>
        <v>1126.24</v>
      </c>
      <c r="AH226" s="6" t="str">
        <f t="shared" ca="1" si="66"/>
        <v>20188</v>
      </c>
      <c r="AI226" s="6">
        <f t="shared" ca="1" si="67"/>
        <v>2018</v>
      </c>
      <c r="AJ226" s="6">
        <f t="shared" ca="1" si="68"/>
        <v>8</v>
      </c>
      <c r="AK226" s="68">
        <f ca="1">IFERROR(__xludf.DUMMYFUNCTION("""COMPUTED_VALUE"""),43318.9986111111)</f>
        <v>43318.998611111099</v>
      </c>
      <c r="AL226" s="6">
        <f ca="1">IFERROR(__xludf.DUMMYFUNCTION("""COMPUTED_VALUE"""),6932.7)</f>
        <v>6932.7</v>
      </c>
      <c r="AP226" s="6" t="str">
        <f t="shared" ca="1" si="69"/>
        <v>201811</v>
      </c>
      <c r="AQ226" s="6">
        <f t="shared" ca="1" si="70"/>
        <v>2018</v>
      </c>
      <c r="AR226" s="6">
        <f t="shared" ca="1" si="71"/>
        <v>11</v>
      </c>
      <c r="AS226" s="68">
        <f ca="1">IFERROR(__xludf.DUMMYFUNCTION("""COMPUTED_VALUE"""),43419.9986111111)</f>
        <v>43419.998611111099</v>
      </c>
      <c r="AT226" s="6">
        <f ca="1">IFERROR(__xludf.DUMMYFUNCTION("""COMPUTED_VALUE"""),1215)</f>
        <v>1215</v>
      </c>
    </row>
    <row r="227" spans="2:46" x14ac:dyDescent="0.35">
      <c r="B227" s="6" t="str">
        <f t="shared" ca="1" si="54"/>
        <v>201811</v>
      </c>
      <c r="C227" s="6">
        <f t="shared" ca="1" si="55"/>
        <v>2018</v>
      </c>
      <c r="D227" s="6">
        <f t="shared" ca="1" si="56"/>
        <v>11</v>
      </c>
      <c r="E227" s="68">
        <f ca="1">IFERROR(__xludf.DUMMYFUNCTION("""COMPUTED_VALUE"""),43417.6666666666)</f>
        <v>43417.666666666599</v>
      </c>
      <c r="F227" s="6">
        <f ca="1">IFERROR(__xludf.DUMMYFUNCTION("""COMPUTED_VALUE"""),2722.18)</f>
        <v>2722.18</v>
      </c>
      <c r="J227" s="6" t="str">
        <f t="shared" ca="1" si="57"/>
        <v>201811</v>
      </c>
      <c r="K227" s="6">
        <f t="shared" ca="1" si="58"/>
        <v>2018</v>
      </c>
      <c r="L227" s="6">
        <f t="shared" ca="1" si="59"/>
        <v>11</v>
      </c>
      <c r="M227" s="68">
        <f ca="1">IFERROR(__xludf.DUMMYFUNCTION("""COMPUTED_VALUE"""),43417.6666666666)</f>
        <v>43417.666666666599</v>
      </c>
      <c r="N227" s="6">
        <f ca="1">IFERROR(__xludf.DUMMYFUNCTION("""COMPUTED_VALUE"""),7200.88)</f>
        <v>7200.88</v>
      </c>
      <c r="R227" s="6" t="str">
        <f t="shared" ca="1" si="60"/>
        <v>201812</v>
      </c>
      <c r="S227" s="6">
        <f t="shared" ca="1" si="61"/>
        <v>2018</v>
      </c>
      <c r="T227" s="6">
        <f t="shared" ca="1" si="62"/>
        <v>12</v>
      </c>
      <c r="U227" s="68">
        <f ca="1">IFERROR(__xludf.DUMMYFUNCTION("""COMPUTED_VALUE"""),43437.6458333333)</f>
        <v>43437.645833333299</v>
      </c>
      <c r="V227" s="6">
        <f ca="1">IFERROR(__xludf.DUMMYFUNCTION("""COMPUTED_VALUE"""),2131.93)</f>
        <v>2131.9299999999998</v>
      </c>
      <c r="Z227" s="6" t="str">
        <f t="shared" ca="1" si="63"/>
        <v>20188</v>
      </c>
      <c r="AA227" s="6">
        <f t="shared" ca="1" si="64"/>
        <v>2018</v>
      </c>
      <c r="AB227" s="6">
        <f t="shared" ca="1" si="65"/>
        <v>8</v>
      </c>
      <c r="AC227" s="68">
        <f ca="1">IFERROR(__xludf.DUMMYFUNCTION("""COMPUTED_VALUE"""),43329.9986111111)</f>
        <v>43329.998611111099</v>
      </c>
      <c r="AD227" s="6">
        <f ca="1">IFERROR(__xludf.DUMMYFUNCTION("""COMPUTED_VALUE"""),1118.7)</f>
        <v>1118.7</v>
      </c>
      <c r="AH227" s="6" t="str">
        <f t="shared" ca="1" si="66"/>
        <v>20188</v>
      </c>
      <c r="AI227" s="6">
        <f t="shared" ca="1" si="67"/>
        <v>2018</v>
      </c>
      <c r="AJ227" s="6">
        <f t="shared" ca="1" si="68"/>
        <v>8</v>
      </c>
      <c r="AK227" s="68">
        <f ca="1">IFERROR(__xludf.DUMMYFUNCTION("""COMPUTED_VALUE"""),43319.9986111111)</f>
        <v>43319.998611111099</v>
      </c>
      <c r="AL227" s="6">
        <f ca="1">IFERROR(__xludf.DUMMYFUNCTION("""COMPUTED_VALUE"""),6717.17)</f>
        <v>6717.17</v>
      </c>
      <c r="AP227" s="6" t="str">
        <f t="shared" ca="1" si="69"/>
        <v>201811</v>
      </c>
      <c r="AQ227" s="6">
        <f t="shared" ca="1" si="70"/>
        <v>2018</v>
      </c>
      <c r="AR227" s="6">
        <f t="shared" ca="1" si="71"/>
        <v>11</v>
      </c>
      <c r="AS227" s="68">
        <f ca="1">IFERROR(__xludf.DUMMYFUNCTION("""COMPUTED_VALUE"""),43420.9986111111)</f>
        <v>43420.998611111099</v>
      </c>
      <c r="AT227" s="6">
        <f ca="1">IFERROR(__xludf.DUMMYFUNCTION("""COMPUTED_VALUE"""),1223)</f>
        <v>1223</v>
      </c>
    </row>
    <row r="228" spans="2:46" x14ac:dyDescent="0.35">
      <c r="B228" s="6" t="str">
        <f t="shared" ca="1" si="54"/>
        <v>201811</v>
      </c>
      <c r="C228" s="6">
        <f t="shared" ca="1" si="55"/>
        <v>2018</v>
      </c>
      <c r="D228" s="6">
        <f t="shared" ca="1" si="56"/>
        <v>11</v>
      </c>
      <c r="E228" s="68">
        <f ca="1">IFERROR(__xludf.DUMMYFUNCTION("""COMPUTED_VALUE"""),43418.6666666666)</f>
        <v>43418.666666666599</v>
      </c>
      <c r="F228" s="6">
        <f ca="1">IFERROR(__xludf.DUMMYFUNCTION("""COMPUTED_VALUE"""),2701.58)</f>
        <v>2701.58</v>
      </c>
      <c r="J228" s="6" t="str">
        <f t="shared" ca="1" si="57"/>
        <v>201811</v>
      </c>
      <c r="K228" s="6">
        <f t="shared" ca="1" si="58"/>
        <v>2018</v>
      </c>
      <c r="L228" s="6">
        <f t="shared" ca="1" si="59"/>
        <v>11</v>
      </c>
      <c r="M228" s="68">
        <f ca="1">IFERROR(__xludf.DUMMYFUNCTION("""COMPUTED_VALUE"""),43418.6666666666)</f>
        <v>43418.666666666599</v>
      </c>
      <c r="N228" s="6">
        <f ca="1">IFERROR(__xludf.DUMMYFUNCTION("""COMPUTED_VALUE"""),7136.39)</f>
        <v>7136.39</v>
      </c>
      <c r="R228" s="6" t="str">
        <f t="shared" ca="1" si="60"/>
        <v>201812</v>
      </c>
      <c r="S228" s="6">
        <f t="shared" ca="1" si="61"/>
        <v>2018</v>
      </c>
      <c r="T228" s="6">
        <f t="shared" ca="1" si="62"/>
        <v>12</v>
      </c>
      <c r="U228" s="68">
        <f ca="1">IFERROR(__xludf.DUMMYFUNCTION("""COMPUTED_VALUE"""),43438.6458333333)</f>
        <v>43438.645833333299</v>
      </c>
      <c r="V228" s="6">
        <f ca="1">IFERROR(__xludf.DUMMYFUNCTION("""COMPUTED_VALUE"""),2114.35)</f>
        <v>2114.35</v>
      </c>
      <c r="Z228" s="6" t="str">
        <f t="shared" ca="1" si="63"/>
        <v>20188</v>
      </c>
      <c r="AA228" s="6">
        <f t="shared" ca="1" si="64"/>
        <v>2018</v>
      </c>
      <c r="AB228" s="6">
        <f t="shared" ca="1" si="65"/>
        <v>8</v>
      </c>
      <c r="AC228" s="68">
        <f ca="1">IFERROR(__xludf.DUMMYFUNCTION("""COMPUTED_VALUE"""),43331.9986111111)</f>
        <v>43331.998611111099</v>
      </c>
      <c r="AD228" s="6">
        <f ca="1">IFERROR(__xludf.DUMMYFUNCTION("""COMPUTED_VALUE"""),1118.5)</f>
        <v>1118.5</v>
      </c>
      <c r="AH228" s="6" t="str">
        <f t="shared" ca="1" si="66"/>
        <v>20188</v>
      </c>
      <c r="AI228" s="6">
        <f t="shared" ca="1" si="67"/>
        <v>2018</v>
      </c>
      <c r="AJ228" s="6">
        <f t="shared" ca="1" si="68"/>
        <v>8</v>
      </c>
      <c r="AK228" s="68">
        <f ca="1">IFERROR(__xludf.DUMMYFUNCTION("""COMPUTED_VALUE"""),43320.9986111111)</f>
        <v>43320.998611111099</v>
      </c>
      <c r="AL228" s="6">
        <f ca="1">IFERROR(__xludf.DUMMYFUNCTION("""COMPUTED_VALUE"""),6278.07)</f>
        <v>6278.07</v>
      </c>
      <c r="AP228" s="6" t="str">
        <f t="shared" ca="1" si="69"/>
        <v>201811</v>
      </c>
      <c r="AQ228" s="6">
        <f t="shared" ca="1" si="70"/>
        <v>2018</v>
      </c>
      <c r="AR228" s="6">
        <f t="shared" ca="1" si="71"/>
        <v>11</v>
      </c>
      <c r="AS228" s="68">
        <f ca="1">IFERROR(__xludf.DUMMYFUNCTION("""COMPUTED_VALUE"""),43423.9986111111)</f>
        <v>43423.998611111099</v>
      </c>
      <c r="AT228" s="6">
        <f ca="1">IFERROR(__xludf.DUMMYFUNCTION("""COMPUTED_VALUE"""),1225.3)</f>
        <v>1225.3</v>
      </c>
    </row>
    <row r="229" spans="2:46" x14ac:dyDescent="0.35">
      <c r="B229" s="6" t="str">
        <f t="shared" ca="1" si="54"/>
        <v>201811</v>
      </c>
      <c r="C229" s="6">
        <f t="shared" ca="1" si="55"/>
        <v>2018</v>
      </c>
      <c r="D229" s="6">
        <f t="shared" ca="1" si="56"/>
        <v>11</v>
      </c>
      <c r="E229" s="68">
        <f ca="1">IFERROR(__xludf.DUMMYFUNCTION("""COMPUTED_VALUE"""),43419.6666666666)</f>
        <v>43419.666666666599</v>
      </c>
      <c r="F229" s="6">
        <f ca="1">IFERROR(__xludf.DUMMYFUNCTION("""COMPUTED_VALUE"""),2730.2)</f>
        <v>2730.2</v>
      </c>
      <c r="J229" s="6" t="str">
        <f t="shared" ca="1" si="57"/>
        <v>201811</v>
      </c>
      <c r="K229" s="6">
        <f t="shared" ca="1" si="58"/>
        <v>2018</v>
      </c>
      <c r="L229" s="6">
        <f t="shared" ca="1" si="59"/>
        <v>11</v>
      </c>
      <c r="M229" s="68">
        <f ca="1">IFERROR(__xludf.DUMMYFUNCTION("""COMPUTED_VALUE"""),43419.6666666666)</f>
        <v>43419.666666666599</v>
      </c>
      <c r="N229" s="6">
        <f ca="1">IFERROR(__xludf.DUMMYFUNCTION("""COMPUTED_VALUE"""),7259.03)</f>
        <v>7259.03</v>
      </c>
      <c r="R229" s="6" t="str">
        <f t="shared" ca="1" si="60"/>
        <v>201812</v>
      </c>
      <c r="S229" s="6">
        <f t="shared" ca="1" si="61"/>
        <v>2018</v>
      </c>
      <c r="T229" s="6">
        <f t="shared" ca="1" si="62"/>
        <v>12</v>
      </c>
      <c r="U229" s="68">
        <f ca="1">IFERROR(__xludf.DUMMYFUNCTION("""COMPUTED_VALUE"""),43439.6458333333)</f>
        <v>43439.645833333299</v>
      </c>
      <c r="V229" s="6">
        <f ca="1">IFERROR(__xludf.DUMMYFUNCTION("""COMPUTED_VALUE"""),2101.31)</f>
        <v>2101.31</v>
      </c>
      <c r="Z229" s="6" t="str">
        <f t="shared" ca="1" si="63"/>
        <v>20188</v>
      </c>
      <c r="AA229" s="6">
        <f t="shared" ca="1" si="64"/>
        <v>2018</v>
      </c>
      <c r="AB229" s="6">
        <f t="shared" ca="1" si="65"/>
        <v>8</v>
      </c>
      <c r="AC229" s="68">
        <f ca="1">IFERROR(__xludf.DUMMYFUNCTION("""COMPUTED_VALUE"""),43332.9986111111)</f>
        <v>43332.998611111099</v>
      </c>
      <c r="AD229" s="6">
        <f ca="1">IFERROR(__xludf.DUMMYFUNCTION("""COMPUTED_VALUE"""),1116.88)</f>
        <v>1116.8800000000001</v>
      </c>
      <c r="AH229" s="6" t="str">
        <f t="shared" ca="1" si="66"/>
        <v>20188</v>
      </c>
      <c r="AI229" s="6">
        <f t="shared" ca="1" si="67"/>
        <v>2018</v>
      </c>
      <c r="AJ229" s="6">
        <f t="shared" ca="1" si="68"/>
        <v>8</v>
      </c>
      <c r="AK229" s="68">
        <f ca="1">IFERROR(__xludf.DUMMYFUNCTION("""COMPUTED_VALUE"""),43321.9986111111)</f>
        <v>43321.998611111099</v>
      </c>
      <c r="AL229" s="6">
        <f ca="1">IFERROR(__xludf.DUMMYFUNCTION("""COMPUTED_VALUE"""),6533.15)</f>
        <v>6533.15</v>
      </c>
      <c r="AP229" s="6" t="str">
        <f t="shared" ca="1" si="69"/>
        <v>201811</v>
      </c>
      <c r="AQ229" s="6">
        <f t="shared" ca="1" si="70"/>
        <v>2018</v>
      </c>
      <c r="AR229" s="6">
        <f t="shared" ca="1" si="71"/>
        <v>11</v>
      </c>
      <c r="AS229" s="68">
        <f ca="1">IFERROR(__xludf.DUMMYFUNCTION("""COMPUTED_VALUE"""),43424.9986111111)</f>
        <v>43424.998611111099</v>
      </c>
      <c r="AT229" s="6">
        <f ca="1">IFERROR(__xludf.DUMMYFUNCTION("""COMPUTED_VALUE"""),1221.2)</f>
        <v>1221.2</v>
      </c>
    </row>
    <row r="230" spans="2:46" x14ac:dyDescent="0.35">
      <c r="B230" s="6" t="str">
        <f t="shared" ca="1" si="54"/>
        <v>201811</v>
      </c>
      <c r="C230" s="6">
        <f t="shared" ca="1" si="55"/>
        <v>2018</v>
      </c>
      <c r="D230" s="6">
        <f t="shared" ca="1" si="56"/>
        <v>11</v>
      </c>
      <c r="E230" s="68">
        <f ca="1">IFERROR(__xludf.DUMMYFUNCTION("""COMPUTED_VALUE"""),43420.6666666666)</f>
        <v>43420.666666666599</v>
      </c>
      <c r="F230" s="6">
        <f ca="1">IFERROR(__xludf.DUMMYFUNCTION("""COMPUTED_VALUE"""),2736.27)</f>
        <v>2736.27</v>
      </c>
      <c r="J230" s="6" t="str">
        <f t="shared" ca="1" si="57"/>
        <v>201811</v>
      </c>
      <c r="K230" s="6">
        <f t="shared" ca="1" si="58"/>
        <v>2018</v>
      </c>
      <c r="L230" s="6">
        <f t="shared" ca="1" si="59"/>
        <v>11</v>
      </c>
      <c r="M230" s="68">
        <f ca="1">IFERROR(__xludf.DUMMYFUNCTION("""COMPUTED_VALUE"""),43420.6666666666)</f>
        <v>43420.666666666599</v>
      </c>
      <c r="N230" s="6">
        <f ca="1">IFERROR(__xludf.DUMMYFUNCTION("""COMPUTED_VALUE"""),7247.87)</f>
        <v>7247.87</v>
      </c>
      <c r="R230" s="6" t="str">
        <f t="shared" ca="1" si="60"/>
        <v>201812</v>
      </c>
      <c r="S230" s="6">
        <f t="shared" ca="1" si="61"/>
        <v>2018</v>
      </c>
      <c r="T230" s="6">
        <f t="shared" ca="1" si="62"/>
        <v>12</v>
      </c>
      <c r="U230" s="68">
        <f ca="1">IFERROR(__xludf.DUMMYFUNCTION("""COMPUTED_VALUE"""),43440.6458333333)</f>
        <v>43440.645833333299</v>
      </c>
      <c r="V230" s="6">
        <f ca="1">IFERROR(__xludf.DUMMYFUNCTION("""COMPUTED_VALUE"""),2068.69)</f>
        <v>2068.69</v>
      </c>
      <c r="Z230" s="6" t="str">
        <f t="shared" ca="1" si="63"/>
        <v>20188</v>
      </c>
      <c r="AA230" s="6">
        <f t="shared" ca="1" si="64"/>
        <v>2018</v>
      </c>
      <c r="AB230" s="6">
        <f t="shared" ca="1" si="65"/>
        <v>8</v>
      </c>
      <c r="AC230" s="68">
        <f ca="1">IFERROR(__xludf.DUMMYFUNCTION("""COMPUTED_VALUE"""),43333.9986111111)</f>
        <v>43333.998611111099</v>
      </c>
      <c r="AD230" s="6">
        <f ca="1">IFERROR(__xludf.DUMMYFUNCTION("""COMPUTED_VALUE"""),1116.1)</f>
        <v>1116.0999999999999</v>
      </c>
      <c r="AH230" s="6" t="str">
        <f t="shared" ca="1" si="66"/>
        <v>20188</v>
      </c>
      <c r="AI230" s="6">
        <f t="shared" ca="1" si="67"/>
        <v>2018</v>
      </c>
      <c r="AJ230" s="6">
        <f t="shared" ca="1" si="68"/>
        <v>8</v>
      </c>
      <c r="AK230" s="68">
        <f ca="1">IFERROR(__xludf.DUMMYFUNCTION("""COMPUTED_VALUE"""),43322.9986111111)</f>
        <v>43322.998611111099</v>
      </c>
      <c r="AL230" s="6">
        <f ca="1">IFERROR(__xludf.DUMMYFUNCTION("""COMPUTED_VALUE"""),6141.43)</f>
        <v>6141.43</v>
      </c>
      <c r="AP230" s="6" t="str">
        <f t="shared" ca="1" si="69"/>
        <v>201811</v>
      </c>
      <c r="AQ230" s="6">
        <f t="shared" ca="1" si="70"/>
        <v>2018</v>
      </c>
      <c r="AR230" s="6">
        <f t="shared" ca="1" si="71"/>
        <v>11</v>
      </c>
      <c r="AS230" s="68">
        <f ca="1">IFERROR(__xludf.DUMMYFUNCTION("""COMPUTED_VALUE"""),43425.9986111111)</f>
        <v>43425.998611111099</v>
      </c>
      <c r="AT230" s="6">
        <f ca="1">IFERROR(__xludf.DUMMYFUNCTION("""COMPUTED_VALUE"""),1228)</f>
        <v>1228</v>
      </c>
    </row>
    <row r="231" spans="2:46" x14ac:dyDescent="0.35">
      <c r="B231" s="6" t="str">
        <f t="shared" ca="1" si="54"/>
        <v>201811</v>
      </c>
      <c r="C231" s="6">
        <f t="shared" ca="1" si="55"/>
        <v>2018</v>
      </c>
      <c r="D231" s="6">
        <f t="shared" ca="1" si="56"/>
        <v>11</v>
      </c>
      <c r="E231" s="68">
        <f ca="1">IFERROR(__xludf.DUMMYFUNCTION("""COMPUTED_VALUE"""),43423.6666666666)</f>
        <v>43423.666666666599</v>
      </c>
      <c r="F231" s="6">
        <f ca="1">IFERROR(__xludf.DUMMYFUNCTION("""COMPUTED_VALUE"""),2690.73)</f>
        <v>2690.73</v>
      </c>
      <c r="J231" s="6" t="str">
        <f t="shared" ca="1" si="57"/>
        <v>201811</v>
      </c>
      <c r="K231" s="6">
        <f t="shared" ca="1" si="58"/>
        <v>2018</v>
      </c>
      <c r="L231" s="6">
        <f t="shared" ca="1" si="59"/>
        <v>11</v>
      </c>
      <c r="M231" s="68">
        <f ca="1">IFERROR(__xludf.DUMMYFUNCTION("""COMPUTED_VALUE"""),43423.6666666666)</f>
        <v>43423.666666666599</v>
      </c>
      <c r="N231" s="6">
        <f ca="1">IFERROR(__xludf.DUMMYFUNCTION("""COMPUTED_VALUE"""),7028.48)</f>
        <v>7028.48</v>
      </c>
      <c r="R231" s="6" t="str">
        <f t="shared" ca="1" si="60"/>
        <v>201812</v>
      </c>
      <c r="S231" s="6">
        <f t="shared" ca="1" si="61"/>
        <v>2018</v>
      </c>
      <c r="T231" s="6">
        <f t="shared" ca="1" si="62"/>
        <v>12</v>
      </c>
      <c r="U231" s="68">
        <f ca="1">IFERROR(__xludf.DUMMYFUNCTION("""COMPUTED_VALUE"""),43441.6458333333)</f>
        <v>43441.645833333299</v>
      </c>
      <c r="V231" s="6">
        <f ca="1">IFERROR(__xludf.DUMMYFUNCTION("""COMPUTED_VALUE"""),2075.76)</f>
        <v>2075.7600000000002</v>
      </c>
      <c r="Z231" s="6" t="str">
        <f t="shared" ca="1" si="63"/>
        <v>20188</v>
      </c>
      <c r="AA231" s="6">
        <f t="shared" ca="1" si="64"/>
        <v>2018</v>
      </c>
      <c r="AB231" s="6">
        <f t="shared" ca="1" si="65"/>
        <v>8</v>
      </c>
      <c r="AC231" s="68">
        <f ca="1">IFERROR(__xludf.DUMMYFUNCTION("""COMPUTED_VALUE"""),43334.9986111111)</f>
        <v>43334.998611111099</v>
      </c>
      <c r="AD231" s="6">
        <f ca="1">IFERROR(__xludf.DUMMYFUNCTION("""COMPUTED_VALUE"""),1117.5)</f>
        <v>1117.5</v>
      </c>
      <c r="AH231" s="6" t="str">
        <f t="shared" ca="1" si="66"/>
        <v>20188</v>
      </c>
      <c r="AI231" s="6">
        <f t="shared" ca="1" si="67"/>
        <v>2018</v>
      </c>
      <c r="AJ231" s="6">
        <f t="shared" ca="1" si="68"/>
        <v>8</v>
      </c>
      <c r="AK231" s="68">
        <f ca="1">IFERROR(__xludf.DUMMYFUNCTION("""COMPUTED_VALUE"""),43323.9986111111)</f>
        <v>43323.998611111099</v>
      </c>
      <c r="AL231" s="6">
        <f ca="1">IFERROR(__xludf.DUMMYFUNCTION("""COMPUTED_VALUE"""),6227.78)</f>
        <v>6227.78</v>
      </c>
      <c r="AP231" s="6" t="str">
        <f t="shared" ca="1" si="69"/>
        <v>201811</v>
      </c>
      <c r="AQ231" s="6">
        <f t="shared" ca="1" si="70"/>
        <v>2018</v>
      </c>
      <c r="AR231" s="6">
        <f t="shared" ca="1" si="71"/>
        <v>11</v>
      </c>
      <c r="AS231" s="68">
        <f ca="1">IFERROR(__xludf.DUMMYFUNCTION("""COMPUTED_VALUE"""),43427.5416666666)</f>
        <v>43427.541666666599</v>
      </c>
      <c r="AT231" s="6">
        <f ca="1">IFERROR(__xludf.DUMMYFUNCTION("""COMPUTED_VALUE"""),1223.2)</f>
        <v>1223.2</v>
      </c>
    </row>
    <row r="232" spans="2:46" x14ac:dyDescent="0.35">
      <c r="B232" s="6" t="str">
        <f t="shared" ca="1" si="54"/>
        <v>201811</v>
      </c>
      <c r="C232" s="6">
        <f t="shared" ca="1" si="55"/>
        <v>2018</v>
      </c>
      <c r="D232" s="6">
        <f t="shared" ca="1" si="56"/>
        <v>11</v>
      </c>
      <c r="E232" s="68">
        <f ca="1">IFERROR(__xludf.DUMMYFUNCTION("""COMPUTED_VALUE"""),43424.6666666666)</f>
        <v>43424.666666666599</v>
      </c>
      <c r="F232" s="6">
        <f ca="1">IFERROR(__xludf.DUMMYFUNCTION("""COMPUTED_VALUE"""),2641.89)</f>
        <v>2641.89</v>
      </c>
      <c r="J232" s="6" t="str">
        <f t="shared" ca="1" si="57"/>
        <v>201811</v>
      </c>
      <c r="K232" s="6">
        <f t="shared" ca="1" si="58"/>
        <v>2018</v>
      </c>
      <c r="L232" s="6">
        <f t="shared" ca="1" si="59"/>
        <v>11</v>
      </c>
      <c r="M232" s="68">
        <f ca="1">IFERROR(__xludf.DUMMYFUNCTION("""COMPUTED_VALUE"""),43424.6666666666)</f>
        <v>43424.666666666599</v>
      </c>
      <c r="N232" s="6">
        <f ca="1">IFERROR(__xludf.DUMMYFUNCTION("""COMPUTED_VALUE"""),6908.82)</f>
        <v>6908.82</v>
      </c>
      <c r="R232" s="6" t="str">
        <f t="shared" ca="1" si="60"/>
        <v>201812</v>
      </c>
      <c r="S232" s="6">
        <f t="shared" ca="1" si="61"/>
        <v>2018</v>
      </c>
      <c r="T232" s="6">
        <f t="shared" ca="1" si="62"/>
        <v>12</v>
      </c>
      <c r="U232" s="68">
        <f ca="1">IFERROR(__xludf.DUMMYFUNCTION("""COMPUTED_VALUE"""),43444.6458333333)</f>
        <v>43444.645833333299</v>
      </c>
      <c r="V232" s="6">
        <f ca="1">IFERROR(__xludf.DUMMYFUNCTION("""COMPUTED_VALUE"""),2053.79)</f>
        <v>2053.79</v>
      </c>
      <c r="Z232" s="6" t="str">
        <f t="shared" ca="1" si="63"/>
        <v>20188</v>
      </c>
      <c r="AA232" s="6">
        <f t="shared" ca="1" si="64"/>
        <v>2018</v>
      </c>
      <c r="AB232" s="6">
        <f t="shared" ca="1" si="65"/>
        <v>8</v>
      </c>
      <c r="AC232" s="68">
        <f ca="1">IFERROR(__xludf.DUMMYFUNCTION("""COMPUTED_VALUE"""),43335.9986111111)</f>
        <v>43335.998611111099</v>
      </c>
      <c r="AD232" s="6">
        <f ca="1">IFERROR(__xludf.DUMMYFUNCTION("""COMPUTED_VALUE"""),1126.15)</f>
        <v>1126.1500000000001</v>
      </c>
      <c r="AH232" s="6" t="str">
        <f t="shared" ca="1" si="66"/>
        <v>20188</v>
      </c>
      <c r="AI232" s="6">
        <f t="shared" ca="1" si="67"/>
        <v>2018</v>
      </c>
      <c r="AJ232" s="6">
        <f t="shared" ca="1" si="68"/>
        <v>8</v>
      </c>
      <c r="AK232" s="68">
        <f ca="1">IFERROR(__xludf.DUMMYFUNCTION("""COMPUTED_VALUE"""),43324.9986111111)</f>
        <v>43324.998611111099</v>
      </c>
      <c r="AL232" s="6">
        <f ca="1">IFERROR(__xludf.DUMMYFUNCTION("""COMPUTED_VALUE"""),6311.92)</f>
        <v>6311.92</v>
      </c>
      <c r="AP232" s="6" t="str">
        <f t="shared" ca="1" si="69"/>
        <v>201811</v>
      </c>
      <c r="AQ232" s="6">
        <f t="shared" ca="1" si="70"/>
        <v>2018</v>
      </c>
      <c r="AR232" s="6">
        <f t="shared" ca="1" si="71"/>
        <v>11</v>
      </c>
      <c r="AS232" s="68">
        <f ca="1">IFERROR(__xludf.DUMMYFUNCTION("""COMPUTED_VALUE"""),43430.9986111111)</f>
        <v>43430.998611111099</v>
      </c>
      <c r="AT232" s="6">
        <f ca="1">IFERROR(__xludf.DUMMYFUNCTION("""COMPUTED_VALUE"""),1222.4)</f>
        <v>1222.4000000000001</v>
      </c>
    </row>
    <row r="233" spans="2:46" x14ac:dyDescent="0.35">
      <c r="B233" s="6" t="str">
        <f t="shared" ca="1" si="54"/>
        <v>201811</v>
      </c>
      <c r="C233" s="6">
        <f t="shared" ca="1" si="55"/>
        <v>2018</v>
      </c>
      <c r="D233" s="6">
        <f t="shared" ca="1" si="56"/>
        <v>11</v>
      </c>
      <c r="E233" s="68">
        <f ca="1">IFERROR(__xludf.DUMMYFUNCTION("""COMPUTED_VALUE"""),43425.6666666666)</f>
        <v>43425.666666666599</v>
      </c>
      <c r="F233" s="6">
        <f ca="1">IFERROR(__xludf.DUMMYFUNCTION("""COMPUTED_VALUE"""),2649.93)</f>
        <v>2649.93</v>
      </c>
      <c r="J233" s="6" t="str">
        <f t="shared" ca="1" si="57"/>
        <v>201811</v>
      </c>
      <c r="K233" s="6">
        <f t="shared" ca="1" si="58"/>
        <v>2018</v>
      </c>
      <c r="L233" s="6">
        <f t="shared" ca="1" si="59"/>
        <v>11</v>
      </c>
      <c r="M233" s="68">
        <f ca="1">IFERROR(__xludf.DUMMYFUNCTION("""COMPUTED_VALUE"""),43425.6666666666)</f>
        <v>43425.666666666599</v>
      </c>
      <c r="N233" s="6">
        <f ca="1">IFERROR(__xludf.DUMMYFUNCTION("""COMPUTED_VALUE"""),6972.25)</f>
        <v>6972.25</v>
      </c>
      <c r="R233" s="6" t="str">
        <f t="shared" ca="1" si="60"/>
        <v>201812</v>
      </c>
      <c r="S233" s="6">
        <f t="shared" ca="1" si="61"/>
        <v>2018</v>
      </c>
      <c r="T233" s="6">
        <f t="shared" ca="1" si="62"/>
        <v>12</v>
      </c>
      <c r="U233" s="68">
        <f ca="1">IFERROR(__xludf.DUMMYFUNCTION("""COMPUTED_VALUE"""),43445.6458333333)</f>
        <v>43445.645833333299</v>
      </c>
      <c r="V233" s="6">
        <f ca="1">IFERROR(__xludf.DUMMYFUNCTION("""COMPUTED_VALUE"""),2052.97)</f>
        <v>2052.9699999999998</v>
      </c>
      <c r="Z233" s="6" t="str">
        <f t="shared" ca="1" si="63"/>
        <v>20188</v>
      </c>
      <c r="AA233" s="6">
        <f t="shared" ca="1" si="64"/>
        <v>2018</v>
      </c>
      <c r="AB233" s="6">
        <f t="shared" ca="1" si="65"/>
        <v>8</v>
      </c>
      <c r="AC233" s="68">
        <f ca="1">IFERROR(__xludf.DUMMYFUNCTION("""COMPUTED_VALUE"""),43336.9986111111)</f>
        <v>43336.998611111099</v>
      </c>
      <c r="AD233" s="6">
        <f ca="1">IFERROR(__xludf.DUMMYFUNCTION("""COMPUTED_VALUE"""),1113)</f>
        <v>1113</v>
      </c>
      <c r="AH233" s="6" t="str">
        <f t="shared" ca="1" si="66"/>
        <v>20188</v>
      </c>
      <c r="AI233" s="6">
        <f t="shared" ca="1" si="67"/>
        <v>2018</v>
      </c>
      <c r="AJ233" s="6">
        <f t="shared" ca="1" si="68"/>
        <v>8</v>
      </c>
      <c r="AK233" s="68">
        <f ca="1">IFERROR(__xludf.DUMMYFUNCTION("""COMPUTED_VALUE"""),43325.9986111111)</f>
        <v>43325.998611111099</v>
      </c>
      <c r="AL233" s="6">
        <f ca="1">IFERROR(__xludf.DUMMYFUNCTION("""COMPUTED_VALUE"""),6251.54)</f>
        <v>6251.54</v>
      </c>
      <c r="AP233" s="6" t="str">
        <f t="shared" ca="1" si="69"/>
        <v>201811</v>
      </c>
      <c r="AQ233" s="6">
        <f t="shared" ca="1" si="70"/>
        <v>2018</v>
      </c>
      <c r="AR233" s="6">
        <f t="shared" ca="1" si="71"/>
        <v>11</v>
      </c>
      <c r="AS233" s="68">
        <f ca="1">IFERROR(__xludf.DUMMYFUNCTION("""COMPUTED_VALUE"""),43431.9986111111)</f>
        <v>43431.998611111099</v>
      </c>
      <c r="AT233" s="6">
        <f ca="1">IFERROR(__xludf.DUMMYFUNCTION("""COMPUTED_VALUE"""),1219.9)</f>
        <v>1219.9000000000001</v>
      </c>
    </row>
    <row r="234" spans="2:46" x14ac:dyDescent="0.35">
      <c r="B234" s="6" t="str">
        <f t="shared" ca="1" si="54"/>
        <v>201811</v>
      </c>
      <c r="C234" s="6">
        <f t="shared" ca="1" si="55"/>
        <v>2018</v>
      </c>
      <c r="D234" s="6">
        <f t="shared" ca="1" si="56"/>
        <v>11</v>
      </c>
      <c r="E234" s="68">
        <f ca="1">IFERROR(__xludf.DUMMYFUNCTION("""COMPUTED_VALUE"""),43427.5416666666)</f>
        <v>43427.541666666599</v>
      </c>
      <c r="F234" s="6">
        <f ca="1">IFERROR(__xludf.DUMMYFUNCTION("""COMPUTED_VALUE"""),2632.56)</f>
        <v>2632.56</v>
      </c>
      <c r="J234" s="6" t="str">
        <f t="shared" ca="1" si="57"/>
        <v>201811</v>
      </c>
      <c r="K234" s="6">
        <f t="shared" ca="1" si="58"/>
        <v>2018</v>
      </c>
      <c r="L234" s="6">
        <f t="shared" ca="1" si="59"/>
        <v>11</v>
      </c>
      <c r="M234" s="68">
        <f ca="1">IFERROR(__xludf.DUMMYFUNCTION("""COMPUTED_VALUE"""),43427.5416666666)</f>
        <v>43427.541666666599</v>
      </c>
      <c r="N234" s="6">
        <f ca="1">IFERROR(__xludf.DUMMYFUNCTION("""COMPUTED_VALUE"""),6938.98)</f>
        <v>6938.98</v>
      </c>
      <c r="R234" s="6" t="str">
        <f t="shared" ca="1" si="60"/>
        <v>201812</v>
      </c>
      <c r="S234" s="6">
        <f t="shared" ca="1" si="61"/>
        <v>2018</v>
      </c>
      <c r="T234" s="6">
        <f t="shared" ca="1" si="62"/>
        <v>12</v>
      </c>
      <c r="U234" s="68">
        <f ca="1">IFERROR(__xludf.DUMMYFUNCTION("""COMPUTED_VALUE"""),43446.6458333333)</f>
        <v>43446.645833333299</v>
      </c>
      <c r="V234" s="6">
        <f ca="1">IFERROR(__xludf.DUMMYFUNCTION("""COMPUTED_VALUE"""),2082.57)</f>
        <v>2082.5700000000002</v>
      </c>
      <c r="Z234" s="6" t="str">
        <f t="shared" ca="1" si="63"/>
        <v>20188</v>
      </c>
      <c r="AA234" s="6">
        <f t="shared" ca="1" si="64"/>
        <v>2018</v>
      </c>
      <c r="AB234" s="6">
        <f t="shared" ca="1" si="65"/>
        <v>8</v>
      </c>
      <c r="AC234" s="68">
        <f ca="1">IFERROR(__xludf.DUMMYFUNCTION("""COMPUTED_VALUE"""),43338.9986111111)</f>
        <v>43338.998611111099</v>
      </c>
      <c r="AD234" s="6">
        <f ca="1">IFERROR(__xludf.DUMMYFUNCTION("""COMPUTED_VALUE"""),1111.17)</f>
        <v>1111.17</v>
      </c>
      <c r="AH234" s="6" t="str">
        <f t="shared" ca="1" si="66"/>
        <v>20188</v>
      </c>
      <c r="AI234" s="6">
        <f t="shared" ca="1" si="67"/>
        <v>2018</v>
      </c>
      <c r="AJ234" s="6">
        <f t="shared" ca="1" si="68"/>
        <v>8</v>
      </c>
      <c r="AK234" s="68">
        <f ca="1">IFERROR(__xludf.DUMMYFUNCTION("""COMPUTED_VALUE"""),43326.9986111111)</f>
        <v>43326.998611111099</v>
      </c>
      <c r="AL234" s="6">
        <f ca="1">IFERROR(__xludf.DUMMYFUNCTION("""COMPUTED_VALUE"""),6183.14)</f>
        <v>6183.14</v>
      </c>
      <c r="AP234" s="6" t="str">
        <f t="shared" ca="1" si="69"/>
        <v>201811</v>
      </c>
      <c r="AQ234" s="6">
        <f t="shared" ca="1" si="70"/>
        <v>2018</v>
      </c>
      <c r="AR234" s="6">
        <f t="shared" ca="1" si="71"/>
        <v>11</v>
      </c>
      <c r="AS234" s="68">
        <f ca="1">IFERROR(__xludf.DUMMYFUNCTION("""COMPUTED_VALUE"""),43432.9986111111)</f>
        <v>43432.998611111099</v>
      </c>
      <c r="AT234" s="6">
        <f ca="1">IFERROR(__xludf.DUMMYFUNCTION("""COMPUTED_VALUE"""),1229.8)</f>
        <v>1229.8</v>
      </c>
    </row>
    <row r="235" spans="2:46" x14ac:dyDescent="0.35">
      <c r="B235" s="6" t="str">
        <f t="shared" ca="1" si="54"/>
        <v>201811</v>
      </c>
      <c r="C235" s="6">
        <f t="shared" ca="1" si="55"/>
        <v>2018</v>
      </c>
      <c r="D235" s="6">
        <f t="shared" ca="1" si="56"/>
        <v>11</v>
      </c>
      <c r="E235" s="68">
        <f ca="1">IFERROR(__xludf.DUMMYFUNCTION("""COMPUTED_VALUE"""),43430.6666666666)</f>
        <v>43430.666666666599</v>
      </c>
      <c r="F235" s="6">
        <f ca="1">IFERROR(__xludf.DUMMYFUNCTION("""COMPUTED_VALUE"""),2673.45)</f>
        <v>2673.45</v>
      </c>
      <c r="J235" s="6" t="str">
        <f t="shared" ca="1" si="57"/>
        <v>201811</v>
      </c>
      <c r="K235" s="6">
        <f t="shared" ca="1" si="58"/>
        <v>2018</v>
      </c>
      <c r="L235" s="6">
        <f t="shared" ca="1" si="59"/>
        <v>11</v>
      </c>
      <c r="M235" s="68">
        <f ca="1">IFERROR(__xludf.DUMMYFUNCTION("""COMPUTED_VALUE"""),43430.6666666666)</f>
        <v>43430.666666666599</v>
      </c>
      <c r="N235" s="6">
        <f ca="1">IFERROR(__xludf.DUMMYFUNCTION("""COMPUTED_VALUE"""),7081.85)</f>
        <v>7081.85</v>
      </c>
      <c r="R235" s="6" t="str">
        <f t="shared" ca="1" si="60"/>
        <v>201812</v>
      </c>
      <c r="S235" s="6">
        <f t="shared" ca="1" si="61"/>
        <v>2018</v>
      </c>
      <c r="T235" s="6">
        <f t="shared" ca="1" si="62"/>
        <v>12</v>
      </c>
      <c r="U235" s="68">
        <f ca="1">IFERROR(__xludf.DUMMYFUNCTION("""COMPUTED_VALUE"""),43447.6458333333)</f>
        <v>43447.645833333299</v>
      </c>
      <c r="V235" s="6">
        <f ca="1">IFERROR(__xludf.DUMMYFUNCTION("""COMPUTED_VALUE"""),2095.55)</f>
        <v>2095.5500000000002</v>
      </c>
      <c r="Z235" s="6" t="str">
        <f t="shared" ca="1" si="63"/>
        <v>20188</v>
      </c>
      <c r="AA235" s="6">
        <f t="shared" ca="1" si="64"/>
        <v>2018</v>
      </c>
      <c r="AB235" s="6">
        <f t="shared" ca="1" si="65"/>
        <v>8</v>
      </c>
      <c r="AC235" s="68">
        <f ca="1">IFERROR(__xludf.DUMMYFUNCTION("""COMPUTED_VALUE"""),43339.9986111111)</f>
        <v>43339.998611111099</v>
      </c>
      <c r="AD235" s="6">
        <f ca="1">IFERROR(__xludf.DUMMYFUNCTION("""COMPUTED_VALUE"""),1108.23)</f>
        <v>1108.23</v>
      </c>
      <c r="AH235" s="6" t="str">
        <f t="shared" ca="1" si="66"/>
        <v>20188</v>
      </c>
      <c r="AI235" s="6">
        <f t="shared" ca="1" si="67"/>
        <v>2018</v>
      </c>
      <c r="AJ235" s="6">
        <f t="shared" ca="1" si="68"/>
        <v>8</v>
      </c>
      <c r="AK235" s="68">
        <f ca="1">IFERROR(__xludf.DUMMYFUNCTION("""COMPUTED_VALUE"""),43327.9986111111)</f>
        <v>43327.998611111099</v>
      </c>
      <c r="AL235" s="6">
        <f ca="1">IFERROR(__xludf.DUMMYFUNCTION("""COMPUTED_VALUE"""),6269.88)</f>
        <v>6269.88</v>
      </c>
      <c r="AP235" s="6" t="str">
        <f t="shared" ca="1" si="69"/>
        <v>201811</v>
      </c>
      <c r="AQ235" s="6">
        <f t="shared" ca="1" si="70"/>
        <v>2018</v>
      </c>
      <c r="AR235" s="6">
        <f t="shared" ca="1" si="71"/>
        <v>11</v>
      </c>
      <c r="AS235" s="68">
        <f ca="1">IFERROR(__xludf.DUMMYFUNCTION("""COMPUTED_VALUE"""),43433.9986111111)</f>
        <v>43433.998611111099</v>
      </c>
      <c r="AT235" s="6">
        <f ca="1">IFERROR(__xludf.DUMMYFUNCTION("""COMPUTED_VALUE"""),1230.4)</f>
        <v>1230.4000000000001</v>
      </c>
    </row>
    <row r="236" spans="2:46" x14ac:dyDescent="0.35">
      <c r="B236" s="6" t="str">
        <f t="shared" ca="1" si="54"/>
        <v>201811</v>
      </c>
      <c r="C236" s="6">
        <f t="shared" ca="1" si="55"/>
        <v>2018</v>
      </c>
      <c r="D236" s="6">
        <f t="shared" ca="1" si="56"/>
        <v>11</v>
      </c>
      <c r="E236" s="68">
        <f ca="1">IFERROR(__xludf.DUMMYFUNCTION("""COMPUTED_VALUE"""),43431.6666666666)</f>
        <v>43431.666666666599</v>
      </c>
      <c r="F236" s="6">
        <f ca="1">IFERROR(__xludf.DUMMYFUNCTION("""COMPUTED_VALUE"""),2682.17)</f>
        <v>2682.17</v>
      </c>
      <c r="J236" s="6" t="str">
        <f t="shared" ca="1" si="57"/>
        <v>201811</v>
      </c>
      <c r="K236" s="6">
        <f t="shared" ca="1" si="58"/>
        <v>2018</v>
      </c>
      <c r="L236" s="6">
        <f t="shared" ca="1" si="59"/>
        <v>11</v>
      </c>
      <c r="M236" s="68">
        <f ca="1">IFERROR(__xludf.DUMMYFUNCTION("""COMPUTED_VALUE"""),43431.6666666666)</f>
        <v>43431.666666666599</v>
      </c>
      <c r="N236" s="6">
        <f ca="1">IFERROR(__xludf.DUMMYFUNCTION("""COMPUTED_VALUE"""),7082.7)</f>
        <v>7082.7</v>
      </c>
      <c r="R236" s="6" t="str">
        <f t="shared" ca="1" si="60"/>
        <v>201812</v>
      </c>
      <c r="S236" s="6">
        <f t="shared" ca="1" si="61"/>
        <v>2018</v>
      </c>
      <c r="T236" s="6">
        <f t="shared" ca="1" si="62"/>
        <v>12</v>
      </c>
      <c r="U236" s="68">
        <f ca="1">IFERROR(__xludf.DUMMYFUNCTION("""COMPUTED_VALUE"""),43448.6458333333)</f>
        <v>43448.645833333299</v>
      </c>
      <c r="V236" s="6">
        <f ca="1">IFERROR(__xludf.DUMMYFUNCTION("""COMPUTED_VALUE"""),2069.38)</f>
        <v>2069.38</v>
      </c>
      <c r="Z236" s="6" t="str">
        <f t="shared" ca="1" si="63"/>
        <v>20188</v>
      </c>
      <c r="AA236" s="6">
        <f t="shared" ca="1" si="64"/>
        <v>2018</v>
      </c>
      <c r="AB236" s="6">
        <f t="shared" ca="1" si="65"/>
        <v>8</v>
      </c>
      <c r="AC236" s="68">
        <f ca="1">IFERROR(__xludf.DUMMYFUNCTION("""COMPUTED_VALUE"""),43340.9986111111)</f>
        <v>43340.998611111099</v>
      </c>
      <c r="AD236" s="6">
        <f ca="1">IFERROR(__xludf.DUMMYFUNCTION("""COMPUTED_VALUE"""),1106.88)</f>
        <v>1106.8800000000001</v>
      </c>
      <c r="AH236" s="6" t="str">
        <f t="shared" ca="1" si="66"/>
        <v>20188</v>
      </c>
      <c r="AI236" s="6">
        <f t="shared" ca="1" si="67"/>
        <v>2018</v>
      </c>
      <c r="AJ236" s="6">
        <f t="shared" ca="1" si="68"/>
        <v>8</v>
      </c>
      <c r="AK236" s="68">
        <f ca="1">IFERROR(__xludf.DUMMYFUNCTION("""COMPUTED_VALUE"""),43328.9986111111)</f>
        <v>43328.998611111099</v>
      </c>
      <c r="AL236" s="6">
        <f ca="1">IFERROR(__xludf.DUMMYFUNCTION("""COMPUTED_VALUE"""),6312.28)</f>
        <v>6312.28</v>
      </c>
      <c r="AP236" s="6" t="str">
        <f t="shared" ca="1" si="69"/>
        <v>201811</v>
      </c>
      <c r="AQ236" s="6">
        <f t="shared" ca="1" si="70"/>
        <v>2018</v>
      </c>
      <c r="AR236" s="6">
        <f t="shared" ca="1" si="71"/>
        <v>11</v>
      </c>
      <c r="AS236" s="68">
        <f ca="1">IFERROR(__xludf.DUMMYFUNCTION("""COMPUTED_VALUE"""),43434.9986111111)</f>
        <v>43434.998611111099</v>
      </c>
      <c r="AT236" s="6">
        <f ca="1">IFERROR(__xludf.DUMMYFUNCTION("""COMPUTED_VALUE"""),1226)</f>
        <v>1226</v>
      </c>
    </row>
    <row r="237" spans="2:46" x14ac:dyDescent="0.35">
      <c r="B237" s="6" t="str">
        <f t="shared" ca="1" si="54"/>
        <v>201811</v>
      </c>
      <c r="C237" s="6">
        <f t="shared" ca="1" si="55"/>
        <v>2018</v>
      </c>
      <c r="D237" s="6">
        <f t="shared" ca="1" si="56"/>
        <v>11</v>
      </c>
      <c r="E237" s="68">
        <f ca="1">IFERROR(__xludf.DUMMYFUNCTION("""COMPUTED_VALUE"""),43432.6666666666)</f>
        <v>43432.666666666599</v>
      </c>
      <c r="F237" s="6">
        <f ca="1">IFERROR(__xludf.DUMMYFUNCTION("""COMPUTED_VALUE"""),2743.79)</f>
        <v>2743.79</v>
      </c>
      <c r="J237" s="6" t="str">
        <f t="shared" ca="1" si="57"/>
        <v>201811</v>
      </c>
      <c r="K237" s="6">
        <f t="shared" ca="1" si="58"/>
        <v>2018</v>
      </c>
      <c r="L237" s="6">
        <f t="shared" ca="1" si="59"/>
        <v>11</v>
      </c>
      <c r="M237" s="68">
        <f ca="1">IFERROR(__xludf.DUMMYFUNCTION("""COMPUTED_VALUE"""),43432.6666666666)</f>
        <v>43432.666666666599</v>
      </c>
      <c r="N237" s="6">
        <f ca="1">IFERROR(__xludf.DUMMYFUNCTION("""COMPUTED_VALUE"""),7291.59)</f>
        <v>7291.59</v>
      </c>
      <c r="R237" s="6" t="str">
        <f t="shared" ca="1" si="60"/>
        <v>201812</v>
      </c>
      <c r="S237" s="6">
        <f t="shared" ca="1" si="61"/>
        <v>2018</v>
      </c>
      <c r="T237" s="6">
        <f t="shared" ca="1" si="62"/>
        <v>12</v>
      </c>
      <c r="U237" s="68">
        <f ca="1">IFERROR(__xludf.DUMMYFUNCTION("""COMPUTED_VALUE"""),43451.6458333333)</f>
        <v>43451.645833333299</v>
      </c>
      <c r="V237" s="6">
        <f ca="1">IFERROR(__xludf.DUMMYFUNCTION("""COMPUTED_VALUE"""),2071.09)</f>
        <v>2071.09</v>
      </c>
      <c r="Z237" s="6" t="str">
        <f t="shared" ca="1" si="63"/>
        <v>20188</v>
      </c>
      <c r="AA237" s="6">
        <f t="shared" ca="1" si="64"/>
        <v>2018</v>
      </c>
      <c r="AB237" s="6">
        <f t="shared" ca="1" si="65"/>
        <v>8</v>
      </c>
      <c r="AC237" s="68">
        <f ca="1">IFERROR(__xludf.DUMMYFUNCTION("""COMPUTED_VALUE"""),43341.9986111111)</f>
        <v>43341.998611111099</v>
      </c>
      <c r="AD237" s="6">
        <f ca="1">IFERROR(__xludf.DUMMYFUNCTION("""COMPUTED_VALUE"""),1108.45)</f>
        <v>1108.45</v>
      </c>
      <c r="AH237" s="6" t="str">
        <f t="shared" ca="1" si="66"/>
        <v>20188</v>
      </c>
      <c r="AI237" s="6">
        <f t="shared" ca="1" si="67"/>
        <v>2018</v>
      </c>
      <c r="AJ237" s="6">
        <f t="shared" ca="1" si="68"/>
        <v>8</v>
      </c>
      <c r="AK237" s="68">
        <f ca="1">IFERROR(__xludf.DUMMYFUNCTION("""COMPUTED_VALUE"""),43329.9986111111)</f>
        <v>43329.998611111099</v>
      </c>
      <c r="AL237" s="6">
        <f ca="1">IFERROR(__xludf.DUMMYFUNCTION("""COMPUTED_VALUE"""),6567.87)</f>
        <v>6567.87</v>
      </c>
      <c r="AP237" s="6" t="str">
        <f t="shared" ca="1" si="69"/>
        <v>201812</v>
      </c>
      <c r="AQ237" s="6">
        <f t="shared" ca="1" si="70"/>
        <v>2018</v>
      </c>
      <c r="AR237" s="6">
        <f t="shared" ca="1" si="71"/>
        <v>12</v>
      </c>
      <c r="AS237" s="68">
        <f ca="1">IFERROR(__xludf.DUMMYFUNCTION("""COMPUTED_VALUE"""),43437.9986111111)</f>
        <v>43437.998611111099</v>
      </c>
      <c r="AT237" s="6">
        <f ca="1">IFERROR(__xludf.DUMMYFUNCTION("""COMPUTED_VALUE"""),1239.6)</f>
        <v>1239.5999999999999</v>
      </c>
    </row>
    <row r="238" spans="2:46" x14ac:dyDescent="0.35">
      <c r="B238" s="6" t="str">
        <f t="shared" ca="1" si="54"/>
        <v>201811</v>
      </c>
      <c r="C238" s="6">
        <f t="shared" ca="1" si="55"/>
        <v>2018</v>
      </c>
      <c r="D238" s="6">
        <f t="shared" ca="1" si="56"/>
        <v>11</v>
      </c>
      <c r="E238" s="68">
        <f ca="1">IFERROR(__xludf.DUMMYFUNCTION("""COMPUTED_VALUE"""),43433.6666666666)</f>
        <v>43433.666666666599</v>
      </c>
      <c r="F238" s="6">
        <f ca="1">IFERROR(__xludf.DUMMYFUNCTION("""COMPUTED_VALUE"""),2737.76)</f>
        <v>2737.76</v>
      </c>
      <c r="J238" s="6" t="str">
        <f t="shared" ca="1" si="57"/>
        <v>201811</v>
      </c>
      <c r="K238" s="6">
        <f t="shared" ca="1" si="58"/>
        <v>2018</v>
      </c>
      <c r="L238" s="6">
        <f t="shared" ca="1" si="59"/>
        <v>11</v>
      </c>
      <c r="M238" s="68">
        <f ca="1">IFERROR(__xludf.DUMMYFUNCTION("""COMPUTED_VALUE"""),43433.6666666666)</f>
        <v>43433.666666666599</v>
      </c>
      <c r="N238" s="6">
        <f ca="1">IFERROR(__xludf.DUMMYFUNCTION("""COMPUTED_VALUE"""),7273.08)</f>
        <v>7273.08</v>
      </c>
      <c r="R238" s="6" t="str">
        <f t="shared" ca="1" si="60"/>
        <v>201812</v>
      </c>
      <c r="S238" s="6">
        <f t="shared" ca="1" si="61"/>
        <v>2018</v>
      </c>
      <c r="T238" s="6">
        <f t="shared" ca="1" si="62"/>
        <v>12</v>
      </c>
      <c r="U238" s="68">
        <f ca="1">IFERROR(__xludf.DUMMYFUNCTION("""COMPUTED_VALUE"""),43452.6458333333)</f>
        <v>43452.645833333299</v>
      </c>
      <c r="V238" s="6">
        <f ca="1">IFERROR(__xludf.DUMMYFUNCTION("""COMPUTED_VALUE"""),2062.11)</f>
        <v>2062.11</v>
      </c>
      <c r="Z238" s="6" t="str">
        <f t="shared" ca="1" si="63"/>
        <v>20188</v>
      </c>
      <c r="AA238" s="6">
        <f t="shared" ca="1" si="64"/>
        <v>2018</v>
      </c>
      <c r="AB238" s="6">
        <f t="shared" ca="1" si="65"/>
        <v>8</v>
      </c>
      <c r="AC238" s="68">
        <f ca="1">IFERROR(__xludf.DUMMYFUNCTION("""COMPUTED_VALUE"""),43342.9986111111)</f>
        <v>43342.998611111099</v>
      </c>
      <c r="AD238" s="6">
        <f ca="1">IFERROR(__xludf.DUMMYFUNCTION("""COMPUTED_VALUE"""),1115.45)</f>
        <v>1115.45</v>
      </c>
      <c r="AH238" s="6" t="str">
        <f t="shared" ca="1" si="66"/>
        <v>20188</v>
      </c>
      <c r="AI238" s="6">
        <f t="shared" ca="1" si="67"/>
        <v>2018</v>
      </c>
      <c r="AJ238" s="6">
        <f t="shared" ca="1" si="68"/>
        <v>8</v>
      </c>
      <c r="AK238" s="68">
        <f ca="1">IFERROR(__xludf.DUMMYFUNCTION("""COMPUTED_VALUE"""),43330.9986111111)</f>
        <v>43330.998611111099</v>
      </c>
      <c r="AL238" s="6">
        <f ca="1">IFERROR(__xludf.DUMMYFUNCTION("""COMPUTED_VALUE"""),6392.53)</f>
        <v>6392.53</v>
      </c>
      <c r="AP238" s="6" t="str">
        <f t="shared" ca="1" si="69"/>
        <v>201812</v>
      </c>
      <c r="AQ238" s="6">
        <f t="shared" ca="1" si="70"/>
        <v>2018</v>
      </c>
      <c r="AR238" s="6">
        <f t="shared" ca="1" si="71"/>
        <v>12</v>
      </c>
      <c r="AS238" s="68">
        <f ca="1">IFERROR(__xludf.DUMMYFUNCTION("""COMPUTED_VALUE"""),43438.9986111111)</f>
        <v>43438.998611111099</v>
      </c>
      <c r="AT238" s="6">
        <f ca="1">IFERROR(__xludf.DUMMYFUNCTION("""COMPUTED_VALUE"""),1246.6)</f>
        <v>1246.5999999999999</v>
      </c>
    </row>
    <row r="239" spans="2:46" x14ac:dyDescent="0.35">
      <c r="B239" s="6" t="str">
        <f t="shared" ca="1" si="54"/>
        <v>201811</v>
      </c>
      <c r="C239" s="6">
        <f t="shared" ca="1" si="55"/>
        <v>2018</v>
      </c>
      <c r="D239" s="6">
        <f t="shared" ca="1" si="56"/>
        <v>11</v>
      </c>
      <c r="E239" s="68">
        <f ca="1">IFERROR(__xludf.DUMMYFUNCTION("""COMPUTED_VALUE"""),43434.6666666666)</f>
        <v>43434.666666666599</v>
      </c>
      <c r="F239" s="6">
        <f ca="1">IFERROR(__xludf.DUMMYFUNCTION("""COMPUTED_VALUE"""),2760.17)</f>
        <v>2760.17</v>
      </c>
      <c r="J239" s="6" t="str">
        <f t="shared" ca="1" si="57"/>
        <v>201811</v>
      </c>
      <c r="K239" s="6">
        <f t="shared" ca="1" si="58"/>
        <v>2018</v>
      </c>
      <c r="L239" s="6">
        <f t="shared" ca="1" si="59"/>
        <v>11</v>
      </c>
      <c r="M239" s="68">
        <f ca="1">IFERROR(__xludf.DUMMYFUNCTION("""COMPUTED_VALUE"""),43434.6666666666)</f>
        <v>43434.666666666599</v>
      </c>
      <c r="N239" s="6">
        <f ca="1">IFERROR(__xludf.DUMMYFUNCTION("""COMPUTED_VALUE"""),7330.54)</f>
        <v>7330.54</v>
      </c>
      <c r="R239" s="6" t="str">
        <f t="shared" ca="1" si="60"/>
        <v>201812</v>
      </c>
      <c r="S239" s="6">
        <f t="shared" ca="1" si="61"/>
        <v>2018</v>
      </c>
      <c r="T239" s="6">
        <f t="shared" ca="1" si="62"/>
        <v>12</v>
      </c>
      <c r="U239" s="68">
        <f ca="1">IFERROR(__xludf.DUMMYFUNCTION("""COMPUTED_VALUE"""),43453.6458333333)</f>
        <v>43453.645833333299</v>
      </c>
      <c r="V239" s="6">
        <f ca="1">IFERROR(__xludf.DUMMYFUNCTION("""COMPUTED_VALUE"""),2078.84)</f>
        <v>2078.84</v>
      </c>
      <c r="Z239" s="6" t="str">
        <f t="shared" ca="1" si="63"/>
        <v>20188</v>
      </c>
      <c r="AA239" s="6">
        <f t="shared" ca="1" si="64"/>
        <v>2018</v>
      </c>
      <c r="AB239" s="6">
        <f t="shared" ca="1" si="65"/>
        <v>8</v>
      </c>
      <c r="AC239" s="68">
        <f ca="1">IFERROR(__xludf.DUMMYFUNCTION("""COMPUTED_VALUE"""),43343.9986111111)</f>
        <v>43343.998611111099</v>
      </c>
      <c r="AD239" s="6">
        <f ca="1">IFERROR(__xludf.DUMMYFUNCTION("""COMPUTED_VALUE"""),1114.64)</f>
        <v>1114.6400000000001</v>
      </c>
      <c r="AH239" s="6" t="str">
        <f t="shared" ca="1" si="66"/>
        <v>20188</v>
      </c>
      <c r="AI239" s="6">
        <f t="shared" ca="1" si="67"/>
        <v>2018</v>
      </c>
      <c r="AJ239" s="6">
        <f t="shared" ca="1" si="68"/>
        <v>8</v>
      </c>
      <c r="AK239" s="68">
        <f ca="1">IFERROR(__xludf.DUMMYFUNCTION("""COMPUTED_VALUE"""),43331.9986111111)</f>
        <v>43331.998611111099</v>
      </c>
      <c r="AL239" s="6">
        <f ca="1">IFERROR(__xludf.DUMMYFUNCTION("""COMPUTED_VALUE"""),6487.48)</f>
        <v>6487.48</v>
      </c>
      <c r="AP239" s="6" t="str">
        <f t="shared" ca="1" si="69"/>
        <v>201812</v>
      </c>
      <c r="AQ239" s="6">
        <f t="shared" ca="1" si="70"/>
        <v>2018</v>
      </c>
      <c r="AR239" s="6">
        <f t="shared" ca="1" si="71"/>
        <v>12</v>
      </c>
      <c r="AS239" s="68">
        <f ca="1">IFERROR(__xludf.DUMMYFUNCTION("""COMPUTED_VALUE"""),43440.9986111111)</f>
        <v>43440.998611111099</v>
      </c>
      <c r="AT239" s="6">
        <f ca="1">IFERROR(__xludf.DUMMYFUNCTION("""COMPUTED_VALUE"""),1243.6)</f>
        <v>1243.5999999999999</v>
      </c>
    </row>
    <row r="240" spans="2:46" x14ac:dyDescent="0.35">
      <c r="B240" s="6" t="str">
        <f t="shared" ca="1" si="54"/>
        <v>201812</v>
      </c>
      <c r="C240" s="6">
        <f t="shared" ca="1" si="55"/>
        <v>2018</v>
      </c>
      <c r="D240" s="6">
        <f t="shared" ca="1" si="56"/>
        <v>12</v>
      </c>
      <c r="E240" s="68">
        <f ca="1">IFERROR(__xludf.DUMMYFUNCTION("""COMPUTED_VALUE"""),43437.6666666666)</f>
        <v>43437.666666666599</v>
      </c>
      <c r="F240" s="6">
        <f ca="1">IFERROR(__xludf.DUMMYFUNCTION("""COMPUTED_VALUE"""),2790.37)</f>
        <v>2790.37</v>
      </c>
      <c r="J240" s="6" t="str">
        <f t="shared" ca="1" si="57"/>
        <v>201812</v>
      </c>
      <c r="K240" s="6">
        <f t="shared" ca="1" si="58"/>
        <v>2018</v>
      </c>
      <c r="L240" s="6">
        <f t="shared" ca="1" si="59"/>
        <v>12</v>
      </c>
      <c r="M240" s="68">
        <f ca="1">IFERROR(__xludf.DUMMYFUNCTION("""COMPUTED_VALUE"""),43437.6666666666)</f>
        <v>43437.666666666599</v>
      </c>
      <c r="N240" s="6">
        <f ca="1">IFERROR(__xludf.DUMMYFUNCTION("""COMPUTED_VALUE"""),7441.51)</f>
        <v>7441.51</v>
      </c>
      <c r="R240" s="6" t="str">
        <f t="shared" ca="1" si="60"/>
        <v>201812</v>
      </c>
      <c r="S240" s="6">
        <f t="shared" ca="1" si="61"/>
        <v>2018</v>
      </c>
      <c r="T240" s="6">
        <f t="shared" ca="1" si="62"/>
        <v>12</v>
      </c>
      <c r="U240" s="68">
        <f ca="1">IFERROR(__xludf.DUMMYFUNCTION("""COMPUTED_VALUE"""),43454.6458333333)</f>
        <v>43454.645833333299</v>
      </c>
      <c r="V240" s="6">
        <f ca="1">IFERROR(__xludf.DUMMYFUNCTION("""COMPUTED_VALUE"""),2060.12)</f>
        <v>2060.12</v>
      </c>
      <c r="Z240" s="6" t="str">
        <f t="shared" ca="1" si="63"/>
        <v>20189</v>
      </c>
      <c r="AA240" s="6">
        <f t="shared" ca="1" si="64"/>
        <v>2018</v>
      </c>
      <c r="AB240" s="6">
        <f t="shared" ca="1" si="65"/>
        <v>9</v>
      </c>
      <c r="AC240" s="68">
        <f ca="1">IFERROR(__xludf.DUMMYFUNCTION("""COMPUTED_VALUE"""),43344.9986111111)</f>
        <v>43344.998611111099</v>
      </c>
      <c r="AD240" s="6">
        <f ca="1">IFERROR(__xludf.DUMMYFUNCTION("""COMPUTED_VALUE"""),1114.64)</f>
        <v>1114.6400000000001</v>
      </c>
      <c r="AH240" s="6" t="str">
        <f t="shared" ca="1" si="66"/>
        <v>20188</v>
      </c>
      <c r="AI240" s="6">
        <f t="shared" ca="1" si="67"/>
        <v>2018</v>
      </c>
      <c r="AJ240" s="6">
        <f t="shared" ca="1" si="68"/>
        <v>8</v>
      </c>
      <c r="AK240" s="68">
        <f ca="1">IFERROR(__xludf.DUMMYFUNCTION("""COMPUTED_VALUE"""),43332.9986111111)</f>
        <v>43332.998611111099</v>
      </c>
      <c r="AL240" s="6">
        <f ca="1">IFERROR(__xludf.DUMMYFUNCTION("""COMPUTED_VALUE"""),6264.64)</f>
        <v>6264.64</v>
      </c>
      <c r="AP240" s="6" t="str">
        <f t="shared" ca="1" si="69"/>
        <v>201812</v>
      </c>
      <c r="AQ240" s="6">
        <f t="shared" ca="1" si="70"/>
        <v>2018</v>
      </c>
      <c r="AR240" s="6">
        <f t="shared" ca="1" si="71"/>
        <v>12</v>
      </c>
      <c r="AS240" s="68">
        <f ca="1">IFERROR(__xludf.DUMMYFUNCTION("""COMPUTED_VALUE"""),43441.9986111111)</f>
        <v>43441.998611111099</v>
      </c>
      <c r="AT240" s="6">
        <f ca="1">IFERROR(__xludf.DUMMYFUNCTION("""COMPUTED_VALUE"""),1252.6)</f>
        <v>1252.5999999999999</v>
      </c>
    </row>
    <row r="241" spans="2:46" x14ac:dyDescent="0.35">
      <c r="B241" s="6" t="str">
        <f t="shared" ca="1" si="54"/>
        <v>201812</v>
      </c>
      <c r="C241" s="6">
        <f t="shared" ca="1" si="55"/>
        <v>2018</v>
      </c>
      <c r="D241" s="6">
        <f t="shared" ca="1" si="56"/>
        <v>12</v>
      </c>
      <c r="E241" s="68">
        <f ca="1">IFERROR(__xludf.DUMMYFUNCTION("""COMPUTED_VALUE"""),43438.6666666666)</f>
        <v>43438.666666666599</v>
      </c>
      <c r="F241" s="6">
        <f ca="1">IFERROR(__xludf.DUMMYFUNCTION("""COMPUTED_VALUE"""),2700.06)</f>
        <v>2700.06</v>
      </c>
      <c r="J241" s="6" t="str">
        <f t="shared" ca="1" si="57"/>
        <v>201812</v>
      </c>
      <c r="K241" s="6">
        <f t="shared" ca="1" si="58"/>
        <v>2018</v>
      </c>
      <c r="L241" s="6">
        <f t="shared" ca="1" si="59"/>
        <v>12</v>
      </c>
      <c r="M241" s="68">
        <f ca="1">IFERROR(__xludf.DUMMYFUNCTION("""COMPUTED_VALUE"""),43438.6666666666)</f>
        <v>43438.666666666599</v>
      </c>
      <c r="N241" s="6">
        <f ca="1">IFERROR(__xludf.DUMMYFUNCTION("""COMPUTED_VALUE"""),7158.43)</f>
        <v>7158.43</v>
      </c>
      <c r="R241" s="6" t="str">
        <f t="shared" ca="1" si="60"/>
        <v>201812</v>
      </c>
      <c r="S241" s="6">
        <f t="shared" ca="1" si="61"/>
        <v>2018</v>
      </c>
      <c r="T241" s="6">
        <f t="shared" ca="1" si="62"/>
        <v>12</v>
      </c>
      <c r="U241" s="68">
        <f ca="1">IFERROR(__xludf.DUMMYFUNCTION("""COMPUTED_VALUE"""),43455.6458333333)</f>
        <v>43455.645833333299</v>
      </c>
      <c r="V241" s="6">
        <f ca="1">IFERROR(__xludf.DUMMYFUNCTION("""COMPUTED_VALUE"""),2061.49)</f>
        <v>2061.4899999999998</v>
      </c>
      <c r="Z241" s="6" t="str">
        <f t="shared" ca="1" si="63"/>
        <v>20189</v>
      </c>
      <c r="AA241" s="6">
        <f t="shared" ca="1" si="64"/>
        <v>2018</v>
      </c>
      <c r="AB241" s="6">
        <f t="shared" ca="1" si="65"/>
        <v>9</v>
      </c>
      <c r="AC241" s="68">
        <f ca="1">IFERROR(__xludf.DUMMYFUNCTION("""COMPUTED_VALUE"""),43345.9986111111)</f>
        <v>43345.998611111099</v>
      </c>
      <c r="AD241" s="6">
        <f ca="1">IFERROR(__xludf.DUMMYFUNCTION("""COMPUTED_VALUE"""),1114.81)</f>
        <v>1114.81</v>
      </c>
      <c r="AH241" s="6" t="str">
        <f t="shared" ca="1" si="66"/>
        <v>20188</v>
      </c>
      <c r="AI241" s="6">
        <f t="shared" ca="1" si="67"/>
        <v>2018</v>
      </c>
      <c r="AJ241" s="6">
        <f t="shared" ca="1" si="68"/>
        <v>8</v>
      </c>
      <c r="AK241" s="68">
        <f ca="1">IFERROR(__xludf.DUMMYFUNCTION("""COMPUTED_VALUE"""),43333.9986111111)</f>
        <v>43333.998611111099</v>
      </c>
      <c r="AL241" s="6">
        <f ca="1">IFERROR(__xludf.DUMMYFUNCTION("""COMPUTED_VALUE"""),6475.94)</f>
        <v>6475.94</v>
      </c>
      <c r="AP241" s="6" t="str">
        <f t="shared" ca="1" si="69"/>
        <v>201812</v>
      </c>
      <c r="AQ241" s="6">
        <f t="shared" ca="1" si="70"/>
        <v>2018</v>
      </c>
      <c r="AR241" s="6">
        <f t="shared" ca="1" si="71"/>
        <v>12</v>
      </c>
      <c r="AS241" s="68">
        <f ca="1">IFERROR(__xludf.DUMMYFUNCTION("""COMPUTED_VALUE"""),43444.9986111111)</f>
        <v>43444.998611111099</v>
      </c>
      <c r="AT241" s="6">
        <f ca="1">IFERROR(__xludf.DUMMYFUNCTION("""COMPUTED_VALUE"""),1249.4)</f>
        <v>1249.4000000000001</v>
      </c>
    </row>
    <row r="242" spans="2:46" x14ac:dyDescent="0.35">
      <c r="B242" s="6" t="str">
        <f t="shared" ca="1" si="54"/>
        <v>201812</v>
      </c>
      <c r="C242" s="6">
        <f t="shared" ca="1" si="55"/>
        <v>2018</v>
      </c>
      <c r="D242" s="6">
        <f t="shared" ca="1" si="56"/>
        <v>12</v>
      </c>
      <c r="E242" s="68">
        <f ca="1">IFERROR(__xludf.DUMMYFUNCTION("""COMPUTED_VALUE"""),43440.6666666666)</f>
        <v>43440.666666666599</v>
      </c>
      <c r="F242" s="6">
        <f ca="1">IFERROR(__xludf.DUMMYFUNCTION("""COMPUTED_VALUE"""),2695.95)</f>
        <v>2695.95</v>
      </c>
      <c r="J242" s="6" t="str">
        <f t="shared" ca="1" si="57"/>
        <v>201812</v>
      </c>
      <c r="K242" s="6">
        <f t="shared" ca="1" si="58"/>
        <v>2018</v>
      </c>
      <c r="L242" s="6">
        <f t="shared" ca="1" si="59"/>
        <v>12</v>
      </c>
      <c r="M242" s="68">
        <f ca="1">IFERROR(__xludf.DUMMYFUNCTION("""COMPUTED_VALUE"""),43440.6666666666)</f>
        <v>43440.666666666599</v>
      </c>
      <c r="N242" s="6">
        <f ca="1">IFERROR(__xludf.DUMMYFUNCTION("""COMPUTED_VALUE"""),7188.26)</f>
        <v>7188.26</v>
      </c>
      <c r="R242" s="6" t="str">
        <f t="shared" ca="1" si="60"/>
        <v>201812</v>
      </c>
      <c r="S242" s="6">
        <f t="shared" ca="1" si="61"/>
        <v>2018</v>
      </c>
      <c r="T242" s="6">
        <f t="shared" ca="1" si="62"/>
        <v>12</v>
      </c>
      <c r="U242" s="68">
        <f ca="1">IFERROR(__xludf.DUMMYFUNCTION("""COMPUTED_VALUE"""),43458.6458333333)</f>
        <v>43458.645833333299</v>
      </c>
      <c r="V242" s="6">
        <f ca="1">IFERROR(__xludf.DUMMYFUNCTION("""COMPUTED_VALUE"""),2055.01)</f>
        <v>2055.0100000000002</v>
      </c>
      <c r="Z242" s="6" t="str">
        <f t="shared" ca="1" si="63"/>
        <v>20189</v>
      </c>
      <c r="AA242" s="6">
        <f t="shared" ca="1" si="64"/>
        <v>2018</v>
      </c>
      <c r="AB242" s="6">
        <f t="shared" ca="1" si="65"/>
        <v>9</v>
      </c>
      <c r="AC242" s="68">
        <f ca="1">IFERROR(__xludf.DUMMYFUNCTION("""COMPUTED_VALUE"""),43346.9986111111)</f>
        <v>43346.998611111099</v>
      </c>
      <c r="AD242" s="6">
        <f ca="1">IFERROR(__xludf.DUMMYFUNCTION("""COMPUTED_VALUE"""),1113.5)</f>
        <v>1113.5</v>
      </c>
      <c r="AH242" s="6" t="str">
        <f t="shared" ca="1" si="66"/>
        <v>20188</v>
      </c>
      <c r="AI242" s="6">
        <f t="shared" ca="1" si="67"/>
        <v>2018</v>
      </c>
      <c r="AJ242" s="6">
        <f t="shared" ca="1" si="68"/>
        <v>8</v>
      </c>
      <c r="AK242" s="68">
        <f ca="1">IFERROR(__xludf.DUMMYFUNCTION("""COMPUTED_VALUE"""),43334.9986111111)</f>
        <v>43334.998611111099</v>
      </c>
      <c r="AL242" s="6">
        <f ca="1">IFERROR(__xludf.DUMMYFUNCTION("""COMPUTED_VALUE"""),6350.39)</f>
        <v>6350.39</v>
      </c>
      <c r="AP242" s="6" t="str">
        <f t="shared" ca="1" si="69"/>
        <v>201812</v>
      </c>
      <c r="AQ242" s="6">
        <f t="shared" ca="1" si="70"/>
        <v>2018</v>
      </c>
      <c r="AR242" s="6">
        <f t="shared" ca="1" si="71"/>
        <v>12</v>
      </c>
      <c r="AS242" s="68">
        <f ca="1">IFERROR(__xludf.DUMMYFUNCTION("""COMPUTED_VALUE"""),43445.9986111111)</f>
        <v>43445.998611111099</v>
      </c>
      <c r="AT242" s="6">
        <f ca="1">IFERROR(__xludf.DUMMYFUNCTION("""COMPUTED_VALUE"""),1247.2)</f>
        <v>1247.2</v>
      </c>
    </row>
    <row r="243" spans="2:46" x14ac:dyDescent="0.35">
      <c r="B243" s="6" t="str">
        <f t="shared" ca="1" si="54"/>
        <v>201812</v>
      </c>
      <c r="C243" s="6">
        <f t="shared" ca="1" si="55"/>
        <v>2018</v>
      </c>
      <c r="D243" s="6">
        <f t="shared" ca="1" si="56"/>
        <v>12</v>
      </c>
      <c r="E243" s="68">
        <f ca="1">IFERROR(__xludf.DUMMYFUNCTION("""COMPUTED_VALUE"""),43441.6666666666)</f>
        <v>43441.666666666599</v>
      </c>
      <c r="F243" s="6">
        <f ca="1">IFERROR(__xludf.DUMMYFUNCTION("""COMPUTED_VALUE"""),2633.08)</f>
        <v>2633.08</v>
      </c>
      <c r="J243" s="6" t="str">
        <f t="shared" ca="1" si="57"/>
        <v>201812</v>
      </c>
      <c r="K243" s="6">
        <f t="shared" ca="1" si="58"/>
        <v>2018</v>
      </c>
      <c r="L243" s="6">
        <f t="shared" ca="1" si="59"/>
        <v>12</v>
      </c>
      <c r="M243" s="68">
        <f ca="1">IFERROR(__xludf.DUMMYFUNCTION("""COMPUTED_VALUE"""),43441.6666666666)</f>
        <v>43441.666666666599</v>
      </c>
      <c r="N243" s="6">
        <f ca="1">IFERROR(__xludf.DUMMYFUNCTION("""COMPUTED_VALUE"""),6969.25)</f>
        <v>6969.25</v>
      </c>
      <c r="R243" s="6" t="str">
        <f t="shared" ca="1" si="60"/>
        <v>201812</v>
      </c>
      <c r="S243" s="6">
        <f t="shared" ca="1" si="61"/>
        <v>2018</v>
      </c>
      <c r="T243" s="6">
        <f t="shared" ca="1" si="62"/>
        <v>12</v>
      </c>
      <c r="U243" s="68">
        <f ca="1">IFERROR(__xludf.DUMMYFUNCTION("""COMPUTED_VALUE"""),43460.6458333333)</f>
        <v>43460.645833333299</v>
      </c>
      <c r="V243" s="6">
        <f ca="1">IFERROR(__xludf.DUMMYFUNCTION("""COMPUTED_VALUE"""),2028.01)</f>
        <v>2028.01</v>
      </c>
      <c r="Z243" s="6" t="str">
        <f t="shared" ca="1" si="63"/>
        <v>20189</v>
      </c>
      <c r="AA243" s="6">
        <f t="shared" ca="1" si="64"/>
        <v>2018</v>
      </c>
      <c r="AB243" s="6">
        <f t="shared" ca="1" si="65"/>
        <v>9</v>
      </c>
      <c r="AC243" s="68">
        <f ca="1">IFERROR(__xludf.DUMMYFUNCTION("""COMPUTED_VALUE"""),43347.9986111111)</f>
        <v>43347.998611111099</v>
      </c>
      <c r="AD243" s="6">
        <f ca="1">IFERROR(__xludf.DUMMYFUNCTION("""COMPUTED_VALUE"""),1121.3)</f>
        <v>1121.3</v>
      </c>
      <c r="AH243" s="6" t="str">
        <f t="shared" ca="1" si="66"/>
        <v>20188</v>
      </c>
      <c r="AI243" s="6">
        <f t="shared" ca="1" si="67"/>
        <v>2018</v>
      </c>
      <c r="AJ243" s="6">
        <f t="shared" ca="1" si="68"/>
        <v>8</v>
      </c>
      <c r="AK243" s="68">
        <f ca="1">IFERROR(__xludf.DUMMYFUNCTION("""COMPUTED_VALUE"""),43335.9986111111)</f>
        <v>43335.998611111099</v>
      </c>
      <c r="AL243" s="6">
        <f ca="1">IFERROR(__xludf.DUMMYFUNCTION("""COMPUTED_VALUE"""),6515.25)</f>
        <v>6515.25</v>
      </c>
      <c r="AP243" s="6" t="str">
        <f t="shared" ca="1" si="69"/>
        <v>201812</v>
      </c>
      <c r="AQ243" s="6">
        <f t="shared" ca="1" si="70"/>
        <v>2018</v>
      </c>
      <c r="AR243" s="6">
        <f t="shared" ca="1" si="71"/>
        <v>12</v>
      </c>
      <c r="AS243" s="68">
        <f ca="1">IFERROR(__xludf.DUMMYFUNCTION("""COMPUTED_VALUE"""),43446.9986111111)</f>
        <v>43446.998611111099</v>
      </c>
      <c r="AT243" s="6">
        <f ca="1">IFERROR(__xludf.DUMMYFUNCTION("""COMPUTED_VALUE"""),1250)</f>
        <v>1250</v>
      </c>
    </row>
    <row r="244" spans="2:46" x14ac:dyDescent="0.35">
      <c r="B244" s="6" t="str">
        <f t="shared" ca="1" si="54"/>
        <v>201812</v>
      </c>
      <c r="C244" s="6">
        <f t="shared" ca="1" si="55"/>
        <v>2018</v>
      </c>
      <c r="D244" s="6">
        <f t="shared" ca="1" si="56"/>
        <v>12</v>
      </c>
      <c r="E244" s="68">
        <f ca="1">IFERROR(__xludf.DUMMYFUNCTION("""COMPUTED_VALUE"""),43444.6666666666)</f>
        <v>43444.666666666599</v>
      </c>
      <c r="F244" s="6">
        <f ca="1">IFERROR(__xludf.DUMMYFUNCTION("""COMPUTED_VALUE"""),2637.72)</f>
        <v>2637.72</v>
      </c>
      <c r="J244" s="6" t="str">
        <f t="shared" ca="1" si="57"/>
        <v>201812</v>
      </c>
      <c r="K244" s="6">
        <f t="shared" ca="1" si="58"/>
        <v>2018</v>
      </c>
      <c r="L244" s="6">
        <f t="shared" ca="1" si="59"/>
        <v>12</v>
      </c>
      <c r="M244" s="68">
        <f ca="1">IFERROR(__xludf.DUMMYFUNCTION("""COMPUTED_VALUE"""),43444.6666666666)</f>
        <v>43444.666666666599</v>
      </c>
      <c r="N244" s="6">
        <f ca="1">IFERROR(__xludf.DUMMYFUNCTION("""COMPUTED_VALUE"""),7020.52)</f>
        <v>7020.52</v>
      </c>
      <c r="R244" s="6" t="str">
        <f t="shared" ca="1" si="60"/>
        <v>201812</v>
      </c>
      <c r="S244" s="6">
        <f t="shared" ca="1" si="61"/>
        <v>2018</v>
      </c>
      <c r="T244" s="6">
        <f t="shared" ca="1" si="62"/>
        <v>12</v>
      </c>
      <c r="U244" s="68">
        <f ca="1">IFERROR(__xludf.DUMMYFUNCTION("""COMPUTED_VALUE"""),43461.6458333333)</f>
        <v>43461.645833333299</v>
      </c>
      <c r="V244" s="6">
        <f ca="1">IFERROR(__xludf.DUMMYFUNCTION("""COMPUTED_VALUE"""),2028.44)</f>
        <v>2028.44</v>
      </c>
      <c r="Z244" s="6" t="str">
        <f t="shared" ca="1" si="63"/>
        <v>20189</v>
      </c>
      <c r="AA244" s="6">
        <f t="shared" ca="1" si="64"/>
        <v>2018</v>
      </c>
      <c r="AB244" s="6">
        <f t="shared" ca="1" si="65"/>
        <v>9</v>
      </c>
      <c r="AC244" s="68">
        <f ca="1">IFERROR(__xludf.DUMMYFUNCTION("""COMPUTED_VALUE"""),43348.9986111111)</f>
        <v>43348.998611111099</v>
      </c>
      <c r="AD244" s="6">
        <f ca="1">IFERROR(__xludf.DUMMYFUNCTION("""COMPUTED_VALUE"""),1118.1)</f>
        <v>1118.0999999999999</v>
      </c>
      <c r="AH244" s="6" t="str">
        <f t="shared" ca="1" si="66"/>
        <v>20188</v>
      </c>
      <c r="AI244" s="6">
        <f t="shared" ca="1" si="67"/>
        <v>2018</v>
      </c>
      <c r="AJ244" s="6">
        <f t="shared" ca="1" si="68"/>
        <v>8</v>
      </c>
      <c r="AK244" s="68">
        <f ca="1">IFERROR(__xludf.DUMMYFUNCTION("""COMPUTED_VALUE"""),43336.9986111111)</f>
        <v>43336.998611111099</v>
      </c>
      <c r="AL244" s="6">
        <f ca="1">IFERROR(__xludf.DUMMYFUNCTION("""COMPUTED_VALUE"""),6692.49)</f>
        <v>6692.49</v>
      </c>
      <c r="AP244" s="6" t="str">
        <f t="shared" ca="1" si="69"/>
        <v>201812</v>
      </c>
      <c r="AQ244" s="6">
        <f t="shared" ca="1" si="70"/>
        <v>2018</v>
      </c>
      <c r="AR244" s="6">
        <f t="shared" ca="1" si="71"/>
        <v>12</v>
      </c>
      <c r="AS244" s="68">
        <f ca="1">IFERROR(__xludf.DUMMYFUNCTION("""COMPUTED_VALUE"""),43447.9986111111)</f>
        <v>43447.998611111099</v>
      </c>
      <c r="AT244" s="6">
        <f ca="1">IFERROR(__xludf.DUMMYFUNCTION("""COMPUTED_VALUE"""),1247.4)</f>
        <v>1247.4000000000001</v>
      </c>
    </row>
    <row r="245" spans="2:46" x14ac:dyDescent="0.35">
      <c r="B245" s="6" t="str">
        <f t="shared" ca="1" si="54"/>
        <v>201812</v>
      </c>
      <c r="C245" s="6">
        <f t="shared" ca="1" si="55"/>
        <v>2018</v>
      </c>
      <c r="D245" s="6">
        <f t="shared" ca="1" si="56"/>
        <v>12</v>
      </c>
      <c r="E245" s="68">
        <f ca="1">IFERROR(__xludf.DUMMYFUNCTION("""COMPUTED_VALUE"""),43445.6666666666)</f>
        <v>43445.666666666599</v>
      </c>
      <c r="F245" s="6">
        <f ca="1">IFERROR(__xludf.DUMMYFUNCTION("""COMPUTED_VALUE"""),2636.78)</f>
        <v>2636.78</v>
      </c>
      <c r="J245" s="6" t="str">
        <f t="shared" ca="1" si="57"/>
        <v>201812</v>
      </c>
      <c r="K245" s="6">
        <f t="shared" ca="1" si="58"/>
        <v>2018</v>
      </c>
      <c r="L245" s="6">
        <f t="shared" ca="1" si="59"/>
        <v>12</v>
      </c>
      <c r="M245" s="68">
        <f ca="1">IFERROR(__xludf.DUMMYFUNCTION("""COMPUTED_VALUE"""),43445.6666666666)</f>
        <v>43445.666666666599</v>
      </c>
      <c r="N245" s="6">
        <f ca="1">IFERROR(__xludf.DUMMYFUNCTION("""COMPUTED_VALUE"""),7031.83)</f>
        <v>7031.83</v>
      </c>
      <c r="R245" s="6" t="str">
        <f t="shared" ca="1" si="60"/>
        <v>201812</v>
      </c>
      <c r="S245" s="6">
        <f t="shared" ca="1" si="61"/>
        <v>2018</v>
      </c>
      <c r="T245" s="6">
        <f t="shared" ca="1" si="62"/>
        <v>12</v>
      </c>
      <c r="U245" s="68">
        <f ca="1">IFERROR(__xludf.DUMMYFUNCTION("""COMPUTED_VALUE"""),43462.6458333333)</f>
        <v>43462.645833333299</v>
      </c>
      <c r="V245" s="6">
        <f ca="1">IFERROR(__xludf.DUMMYFUNCTION("""COMPUTED_VALUE"""),2041.04)</f>
        <v>2041.04</v>
      </c>
      <c r="Z245" s="6" t="str">
        <f t="shared" ca="1" si="63"/>
        <v>20189</v>
      </c>
      <c r="AA245" s="6">
        <f t="shared" ca="1" si="64"/>
        <v>2018</v>
      </c>
      <c r="AB245" s="6">
        <f t="shared" ca="1" si="65"/>
        <v>9</v>
      </c>
      <c r="AC245" s="68">
        <f ca="1">IFERROR(__xludf.DUMMYFUNCTION("""COMPUTED_VALUE"""),43349.9986111111)</f>
        <v>43349.998611111099</v>
      </c>
      <c r="AD245" s="6">
        <f ca="1">IFERROR(__xludf.DUMMYFUNCTION("""COMPUTED_VALUE"""),1124.7)</f>
        <v>1124.7</v>
      </c>
      <c r="AH245" s="6" t="str">
        <f t="shared" ca="1" si="66"/>
        <v>20188</v>
      </c>
      <c r="AI245" s="6">
        <f t="shared" ca="1" si="67"/>
        <v>2018</v>
      </c>
      <c r="AJ245" s="6">
        <f t="shared" ca="1" si="68"/>
        <v>8</v>
      </c>
      <c r="AK245" s="68">
        <f ca="1">IFERROR(__xludf.DUMMYFUNCTION("""COMPUTED_VALUE"""),43337.9986111111)</f>
        <v>43337.998611111099</v>
      </c>
      <c r="AL245" s="6">
        <f ca="1">IFERROR(__xludf.DUMMYFUNCTION("""COMPUTED_VALUE"""),6715.17)</f>
        <v>6715.17</v>
      </c>
      <c r="AP245" s="6" t="str">
        <f t="shared" ca="1" si="69"/>
        <v>201812</v>
      </c>
      <c r="AQ245" s="6">
        <f t="shared" ca="1" si="70"/>
        <v>2018</v>
      </c>
      <c r="AR245" s="6">
        <f t="shared" ca="1" si="71"/>
        <v>12</v>
      </c>
      <c r="AS245" s="68">
        <f ca="1">IFERROR(__xludf.DUMMYFUNCTION("""COMPUTED_VALUE"""),43448.9986111111)</f>
        <v>43448.998611111099</v>
      </c>
      <c r="AT245" s="6">
        <f ca="1">IFERROR(__xludf.DUMMYFUNCTION("""COMPUTED_VALUE"""),1241.4)</f>
        <v>1241.4000000000001</v>
      </c>
    </row>
    <row r="246" spans="2:46" x14ac:dyDescent="0.35">
      <c r="B246" s="6" t="str">
        <f t="shared" ca="1" si="54"/>
        <v>201812</v>
      </c>
      <c r="C246" s="6">
        <f t="shared" ca="1" si="55"/>
        <v>2018</v>
      </c>
      <c r="D246" s="6">
        <f t="shared" ca="1" si="56"/>
        <v>12</v>
      </c>
      <c r="E246" s="68">
        <f ca="1">IFERROR(__xludf.DUMMYFUNCTION("""COMPUTED_VALUE"""),43446.6666666666)</f>
        <v>43446.666666666599</v>
      </c>
      <c r="F246" s="6">
        <f ca="1">IFERROR(__xludf.DUMMYFUNCTION("""COMPUTED_VALUE"""),2651.07)</f>
        <v>2651.07</v>
      </c>
      <c r="J246" s="6" t="str">
        <f t="shared" ca="1" si="57"/>
        <v>201812</v>
      </c>
      <c r="K246" s="6">
        <f t="shared" ca="1" si="58"/>
        <v>2018</v>
      </c>
      <c r="L246" s="6">
        <f t="shared" ca="1" si="59"/>
        <v>12</v>
      </c>
      <c r="M246" s="68">
        <f ca="1">IFERROR(__xludf.DUMMYFUNCTION("""COMPUTED_VALUE"""),43446.6666666666)</f>
        <v>43446.666666666599</v>
      </c>
      <c r="N246" s="6">
        <f ca="1">IFERROR(__xludf.DUMMYFUNCTION("""COMPUTED_VALUE"""),7098.31)</f>
        <v>7098.31</v>
      </c>
      <c r="R246" s="6" t="str">
        <f t="shared" ca="1" si="60"/>
        <v>20191</v>
      </c>
      <c r="S246" s="6">
        <f t="shared" ca="1" si="61"/>
        <v>2019</v>
      </c>
      <c r="T246" s="6">
        <f t="shared" ca="1" si="62"/>
        <v>1</v>
      </c>
      <c r="U246" s="68">
        <f ca="1">IFERROR(__xludf.DUMMYFUNCTION("""COMPUTED_VALUE"""),43467.6458333333)</f>
        <v>43467.645833333299</v>
      </c>
      <c r="V246" s="6">
        <f ca="1">IFERROR(__xludf.DUMMYFUNCTION("""COMPUTED_VALUE"""),2010)</f>
        <v>2010</v>
      </c>
      <c r="Z246" s="6" t="str">
        <f t="shared" ca="1" si="63"/>
        <v>20189</v>
      </c>
      <c r="AA246" s="6">
        <f t="shared" ca="1" si="64"/>
        <v>2018</v>
      </c>
      <c r="AB246" s="6">
        <f t="shared" ca="1" si="65"/>
        <v>9</v>
      </c>
      <c r="AC246" s="68">
        <f ca="1">IFERROR(__xludf.DUMMYFUNCTION("""COMPUTED_VALUE"""),43350.9986111111)</f>
        <v>43350.998611111099</v>
      </c>
      <c r="AD246" s="6">
        <f ca="1">IFERROR(__xludf.DUMMYFUNCTION("""COMPUTED_VALUE"""),1127.55)</f>
        <v>1127.55</v>
      </c>
      <c r="AH246" s="6" t="str">
        <f t="shared" ca="1" si="66"/>
        <v>20188</v>
      </c>
      <c r="AI246" s="6">
        <f t="shared" ca="1" si="67"/>
        <v>2018</v>
      </c>
      <c r="AJ246" s="6">
        <f t="shared" ca="1" si="68"/>
        <v>8</v>
      </c>
      <c r="AK246" s="68">
        <f ca="1">IFERROR(__xludf.DUMMYFUNCTION("""COMPUTED_VALUE"""),43338.9986111111)</f>
        <v>43338.998611111099</v>
      </c>
      <c r="AL246" s="6">
        <f ca="1">IFERROR(__xludf.DUMMYFUNCTION("""COMPUTED_VALUE"""),6699.59)</f>
        <v>6699.59</v>
      </c>
      <c r="AP246" s="6" t="str">
        <f t="shared" ca="1" si="69"/>
        <v>201812</v>
      </c>
      <c r="AQ246" s="6">
        <f t="shared" ca="1" si="70"/>
        <v>2018</v>
      </c>
      <c r="AR246" s="6">
        <f t="shared" ca="1" si="71"/>
        <v>12</v>
      </c>
      <c r="AS246" s="68">
        <f ca="1">IFERROR(__xludf.DUMMYFUNCTION("""COMPUTED_VALUE"""),43451.9986111111)</f>
        <v>43451.998611111099</v>
      </c>
      <c r="AT246" s="6">
        <f ca="1">IFERROR(__xludf.DUMMYFUNCTION("""COMPUTED_VALUE"""),1251.8)</f>
        <v>1251.8</v>
      </c>
    </row>
    <row r="247" spans="2:46" x14ac:dyDescent="0.35">
      <c r="B247" s="6" t="str">
        <f t="shared" ca="1" si="54"/>
        <v>201812</v>
      </c>
      <c r="C247" s="6">
        <f t="shared" ca="1" si="55"/>
        <v>2018</v>
      </c>
      <c r="D247" s="6">
        <f t="shared" ca="1" si="56"/>
        <v>12</v>
      </c>
      <c r="E247" s="68">
        <f ca="1">IFERROR(__xludf.DUMMYFUNCTION("""COMPUTED_VALUE"""),43447.6666666666)</f>
        <v>43447.666666666599</v>
      </c>
      <c r="F247" s="6">
        <f ca="1">IFERROR(__xludf.DUMMYFUNCTION("""COMPUTED_VALUE"""),2650.54)</f>
        <v>2650.54</v>
      </c>
      <c r="J247" s="6" t="str">
        <f t="shared" ca="1" si="57"/>
        <v>201812</v>
      </c>
      <c r="K247" s="6">
        <f t="shared" ca="1" si="58"/>
        <v>2018</v>
      </c>
      <c r="L247" s="6">
        <f t="shared" ca="1" si="59"/>
        <v>12</v>
      </c>
      <c r="M247" s="68">
        <f ca="1">IFERROR(__xludf.DUMMYFUNCTION("""COMPUTED_VALUE"""),43447.6666666666)</f>
        <v>43447.666666666599</v>
      </c>
      <c r="N247" s="6">
        <f ca="1">IFERROR(__xludf.DUMMYFUNCTION("""COMPUTED_VALUE"""),7070.33)</f>
        <v>7070.33</v>
      </c>
      <c r="R247" s="6" t="str">
        <f t="shared" ca="1" si="60"/>
        <v>20191</v>
      </c>
      <c r="S247" s="6">
        <f t="shared" ca="1" si="61"/>
        <v>2019</v>
      </c>
      <c r="T247" s="6">
        <f t="shared" ca="1" si="62"/>
        <v>1</v>
      </c>
      <c r="U247" s="68">
        <f ca="1">IFERROR(__xludf.DUMMYFUNCTION("""COMPUTED_VALUE"""),43468.6458333333)</f>
        <v>43468.645833333299</v>
      </c>
      <c r="V247" s="6">
        <f ca="1">IFERROR(__xludf.DUMMYFUNCTION("""COMPUTED_VALUE"""),1993.7)</f>
        <v>1993.7</v>
      </c>
      <c r="Z247" s="6" t="str">
        <f t="shared" ca="1" si="63"/>
        <v>20189</v>
      </c>
      <c r="AA247" s="6">
        <f t="shared" ca="1" si="64"/>
        <v>2018</v>
      </c>
      <c r="AB247" s="6">
        <f t="shared" ca="1" si="65"/>
        <v>9</v>
      </c>
      <c r="AC247" s="68">
        <f ca="1">IFERROR(__xludf.DUMMYFUNCTION("""COMPUTED_VALUE"""),43351.9986111111)</f>
        <v>43351.998611111099</v>
      </c>
      <c r="AD247" s="6">
        <f ca="1">IFERROR(__xludf.DUMMYFUNCTION("""COMPUTED_VALUE"""),1127.55)</f>
        <v>1127.55</v>
      </c>
      <c r="AH247" s="6" t="str">
        <f t="shared" ca="1" si="66"/>
        <v>20188</v>
      </c>
      <c r="AI247" s="6">
        <f t="shared" ca="1" si="67"/>
        <v>2018</v>
      </c>
      <c r="AJ247" s="6">
        <f t="shared" ca="1" si="68"/>
        <v>8</v>
      </c>
      <c r="AK247" s="68">
        <f ca="1">IFERROR(__xludf.DUMMYFUNCTION("""COMPUTED_VALUE"""),43339.9986111111)</f>
        <v>43339.998611111099</v>
      </c>
      <c r="AL247" s="6">
        <f ca="1">IFERROR(__xludf.DUMMYFUNCTION("""COMPUTED_VALUE"""),6906.46)</f>
        <v>6906.46</v>
      </c>
      <c r="AP247" s="6" t="str">
        <f t="shared" ca="1" si="69"/>
        <v>201812</v>
      </c>
      <c r="AQ247" s="6">
        <f t="shared" ca="1" si="70"/>
        <v>2018</v>
      </c>
      <c r="AR247" s="6">
        <f t="shared" ca="1" si="71"/>
        <v>12</v>
      </c>
      <c r="AS247" s="68">
        <f ca="1">IFERROR(__xludf.DUMMYFUNCTION("""COMPUTED_VALUE"""),43452.9986111111)</f>
        <v>43452.998611111099</v>
      </c>
      <c r="AT247" s="6">
        <f ca="1">IFERROR(__xludf.DUMMYFUNCTION("""COMPUTED_VALUE"""),1253.6)</f>
        <v>1253.5999999999999</v>
      </c>
    </row>
    <row r="248" spans="2:46" x14ac:dyDescent="0.35">
      <c r="B248" s="6" t="str">
        <f t="shared" ca="1" si="54"/>
        <v>201812</v>
      </c>
      <c r="C248" s="6">
        <f t="shared" ca="1" si="55"/>
        <v>2018</v>
      </c>
      <c r="D248" s="6">
        <f t="shared" ca="1" si="56"/>
        <v>12</v>
      </c>
      <c r="E248" s="68">
        <f ca="1">IFERROR(__xludf.DUMMYFUNCTION("""COMPUTED_VALUE"""),43448.6666666666)</f>
        <v>43448.666666666599</v>
      </c>
      <c r="F248" s="6">
        <f ca="1">IFERROR(__xludf.DUMMYFUNCTION("""COMPUTED_VALUE"""),2599.95)</f>
        <v>2599.9499999999998</v>
      </c>
      <c r="J248" s="6" t="str">
        <f t="shared" ca="1" si="57"/>
        <v>201812</v>
      </c>
      <c r="K248" s="6">
        <f t="shared" ca="1" si="58"/>
        <v>2018</v>
      </c>
      <c r="L248" s="6">
        <f t="shared" ca="1" si="59"/>
        <v>12</v>
      </c>
      <c r="M248" s="68">
        <f ca="1">IFERROR(__xludf.DUMMYFUNCTION("""COMPUTED_VALUE"""),43448.6666666666)</f>
        <v>43448.666666666599</v>
      </c>
      <c r="N248" s="6">
        <f ca="1">IFERROR(__xludf.DUMMYFUNCTION("""COMPUTED_VALUE"""),6910.67)</f>
        <v>6910.67</v>
      </c>
      <c r="R248" s="6" t="str">
        <f t="shared" ca="1" si="60"/>
        <v>20191</v>
      </c>
      <c r="S248" s="6">
        <f t="shared" ca="1" si="61"/>
        <v>2019</v>
      </c>
      <c r="T248" s="6">
        <f t="shared" ca="1" si="62"/>
        <v>1</v>
      </c>
      <c r="U248" s="68">
        <f ca="1">IFERROR(__xludf.DUMMYFUNCTION("""COMPUTED_VALUE"""),43469.6458333333)</f>
        <v>43469.645833333299</v>
      </c>
      <c r="V248" s="6">
        <f ca="1">IFERROR(__xludf.DUMMYFUNCTION("""COMPUTED_VALUE"""),2010.25)</f>
        <v>2010.25</v>
      </c>
      <c r="Z248" s="6" t="str">
        <f t="shared" ca="1" si="63"/>
        <v>20189</v>
      </c>
      <c r="AA248" s="6">
        <f t="shared" ca="1" si="64"/>
        <v>2018</v>
      </c>
      <c r="AB248" s="6">
        <f t="shared" ca="1" si="65"/>
        <v>9</v>
      </c>
      <c r="AC248" s="68">
        <f ca="1">IFERROR(__xludf.DUMMYFUNCTION("""COMPUTED_VALUE"""),43352.9986111111)</f>
        <v>43352.998611111099</v>
      </c>
      <c r="AD248" s="6">
        <f ca="1">IFERROR(__xludf.DUMMYFUNCTION("""COMPUTED_VALUE"""),1126.85)</f>
        <v>1126.8499999999999</v>
      </c>
      <c r="AH248" s="6" t="str">
        <f t="shared" ca="1" si="66"/>
        <v>20188</v>
      </c>
      <c r="AI248" s="6">
        <f t="shared" ca="1" si="67"/>
        <v>2018</v>
      </c>
      <c r="AJ248" s="6">
        <f t="shared" ca="1" si="68"/>
        <v>8</v>
      </c>
      <c r="AK248" s="68">
        <f ca="1">IFERROR(__xludf.DUMMYFUNCTION("""COMPUTED_VALUE"""),43340.9986111111)</f>
        <v>43340.998611111099</v>
      </c>
      <c r="AL248" s="6">
        <f ca="1">IFERROR(__xludf.DUMMYFUNCTION("""COMPUTED_VALUE"""),7075.57)</f>
        <v>7075.57</v>
      </c>
      <c r="AP248" s="6" t="str">
        <f t="shared" ca="1" si="69"/>
        <v>201812</v>
      </c>
      <c r="AQ248" s="6">
        <f t="shared" ca="1" si="70"/>
        <v>2018</v>
      </c>
      <c r="AR248" s="6">
        <f t="shared" ca="1" si="71"/>
        <v>12</v>
      </c>
      <c r="AS248" s="68">
        <f ca="1">IFERROR(__xludf.DUMMYFUNCTION("""COMPUTED_VALUE"""),43453.9986111111)</f>
        <v>43453.998611111099</v>
      </c>
      <c r="AT248" s="6">
        <f ca="1">IFERROR(__xludf.DUMMYFUNCTION("""COMPUTED_VALUE"""),1256.4)</f>
        <v>1256.4000000000001</v>
      </c>
    </row>
    <row r="249" spans="2:46" x14ac:dyDescent="0.35">
      <c r="B249" s="6" t="str">
        <f t="shared" ca="1" si="54"/>
        <v>201812</v>
      </c>
      <c r="C249" s="6">
        <f t="shared" ca="1" si="55"/>
        <v>2018</v>
      </c>
      <c r="D249" s="6">
        <f t="shared" ca="1" si="56"/>
        <v>12</v>
      </c>
      <c r="E249" s="68">
        <f ca="1">IFERROR(__xludf.DUMMYFUNCTION("""COMPUTED_VALUE"""),43451.6666666666)</f>
        <v>43451.666666666599</v>
      </c>
      <c r="F249" s="6">
        <f ca="1">IFERROR(__xludf.DUMMYFUNCTION("""COMPUTED_VALUE"""),2545.94)</f>
        <v>2545.94</v>
      </c>
      <c r="J249" s="6" t="str">
        <f t="shared" ca="1" si="57"/>
        <v>201812</v>
      </c>
      <c r="K249" s="6">
        <f t="shared" ca="1" si="58"/>
        <v>2018</v>
      </c>
      <c r="L249" s="6">
        <f t="shared" ca="1" si="59"/>
        <v>12</v>
      </c>
      <c r="M249" s="68">
        <f ca="1">IFERROR(__xludf.DUMMYFUNCTION("""COMPUTED_VALUE"""),43451.6666666666)</f>
        <v>43451.666666666599</v>
      </c>
      <c r="N249" s="6">
        <f ca="1">IFERROR(__xludf.DUMMYFUNCTION("""COMPUTED_VALUE"""),6753.73)</f>
        <v>6753.73</v>
      </c>
      <c r="R249" s="6" t="str">
        <f t="shared" ca="1" si="60"/>
        <v>20191</v>
      </c>
      <c r="S249" s="6">
        <f t="shared" ca="1" si="61"/>
        <v>2019</v>
      </c>
      <c r="T249" s="6">
        <f t="shared" ca="1" si="62"/>
        <v>1</v>
      </c>
      <c r="U249" s="68">
        <f ca="1">IFERROR(__xludf.DUMMYFUNCTION("""COMPUTED_VALUE"""),43472.6458333333)</f>
        <v>43472.645833333299</v>
      </c>
      <c r="V249" s="6">
        <f ca="1">IFERROR(__xludf.DUMMYFUNCTION("""COMPUTED_VALUE"""),2037.1)</f>
        <v>2037.1</v>
      </c>
      <c r="Z249" s="6" t="str">
        <f t="shared" ca="1" si="63"/>
        <v>20189</v>
      </c>
      <c r="AA249" s="6">
        <f t="shared" ca="1" si="64"/>
        <v>2018</v>
      </c>
      <c r="AB249" s="6">
        <f t="shared" ca="1" si="65"/>
        <v>9</v>
      </c>
      <c r="AC249" s="68">
        <f ca="1">IFERROR(__xludf.DUMMYFUNCTION("""COMPUTED_VALUE"""),43353.9986111111)</f>
        <v>43353.998611111099</v>
      </c>
      <c r="AD249" s="6">
        <f ca="1">IFERROR(__xludf.DUMMYFUNCTION("""COMPUTED_VALUE"""),1136.77)</f>
        <v>1136.77</v>
      </c>
      <c r="AH249" s="6" t="str">
        <f t="shared" ca="1" si="66"/>
        <v>20188</v>
      </c>
      <c r="AI249" s="6">
        <f t="shared" ca="1" si="67"/>
        <v>2018</v>
      </c>
      <c r="AJ249" s="6">
        <f t="shared" ca="1" si="68"/>
        <v>8</v>
      </c>
      <c r="AK249" s="68">
        <f ca="1">IFERROR(__xludf.DUMMYFUNCTION("""COMPUTED_VALUE"""),43341.9986111111)</f>
        <v>43341.998611111099</v>
      </c>
      <c r="AL249" s="6">
        <f ca="1">IFERROR(__xludf.DUMMYFUNCTION("""COMPUTED_VALUE"""),7036)</f>
        <v>7036</v>
      </c>
      <c r="AP249" s="6" t="str">
        <f t="shared" ca="1" si="69"/>
        <v>201812</v>
      </c>
      <c r="AQ249" s="6">
        <f t="shared" ca="1" si="70"/>
        <v>2018</v>
      </c>
      <c r="AR249" s="6">
        <f t="shared" ca="1" si="71"/>
        <v>12</v>
      </c>
      <c r="AS249" s="68">
        <f ca="1">IFERROR(__xludf.DUMMYFUNCTION("""COMPUTED_VALUE"""),43454.9986111111)</f>
        <v>43454.998611111099</v>
      </c>
      <c r="AT249" s="6">
        <f ca="1">IFERROR(__xludf.DUMMYFUNCTION("""COMPUTED_VALUE"""),1267.9)</f>
        <v>1267.9000000000001</v>
      </c>
    </row>
    <row r="250" spans="2:46" x14ac:dyDescent="0.35">
      <c r="B250" s="6" t="str">
        <f t="shared" ca="1" si="54"/>
        <v>201812</v>
      </c>
      <c r="C250" s="6">
        <f t="shared" ca="1" si="55"/>
        <v>2018</v>
      </c>
      <c r="D250" s="6">
        <f t="shared" ca="1" si="56"/>
        <v>12</v>
      </c>
      <c r="E250" s="68">
        <f ca="1">IFERROR(__xludf.DUMMYFUNCTION("""COMPUTED_VALUE"""),43452.6666666666)</f>
        <v>43452.666666666599</v>
      </c>
      <c r="F250" s="6">
        <f ca="1">IFERROR(__xludf.DUMMYFUNCTION("""COMPUTED_VALUE"""),2546.16)</f>
        <v>2546.16</v>
      </c>
      <c r="J250" s="6" t="str">
        <f t="shared" ca="1" si="57"/>
        <v>201812</v>
      </c>
      <c r="K250" s="6">
        <f t="shared" ca="1" si="58"/>
        <v>2018</v>
      </c>
      <c r="L250" s="6">
        <f t="shared" ca="1" si="59"/>
        <v>12</v>
      </c>
      <c r="M250" s="68">
        <f ca="1">IFERROR(__xludf.DUMMYFUNCTION("""COMPUTED_VALUE"""),43452.6666666666)</f>
        <v>43452.666666666599</v>
      </c>
      <c r="N250" s="6">
        <f ca="1">IFERROR(__xludf.DUMMYFUNCTION("""COMPUTED_VALUE"""),6783.91)</f>
        <v>6783.91</v>
      </c>
      <c r="R250" s="6" t="str">
        <f t="shared" ca="1" si="60"/>
        <v>20191</v>
      </c>
      <c r="S250" s="6">
        <f t="shared" ca="1" si="61"/>
        <v>2019</v>
      </c>
      <c r="T250" s="6">
        <f t="shared" ca="1" si="62"/>
        <v>1</v>
      </c>
      <c r="U250" s="68">
        <f ca="1">IFERROR(__xludf.DUMMYFUNCTION("""COMPUTED_VALUE"""),43473.6458333333)</f>
        <v>43473.645833333299</v>
      </c>
      <c r="V250" s="6">
        <f ca="1">IFERROR(__xludf.DUMMYFUNCTION("""COMPUTED_VALUE"""),2025.27)</f>
        <v>2025.27</v>
      </c>
      <c r="Z250" s="6" t="str">
        <f t="shared" ca="1" si="63"/>
        <v>20189</v>
      </c>
      <c r="AA250" s="6">
        <f t="shared" ca="1" si="64"/>
        <v>2018</v>
      </c>
      <c r="AB250" s="6">
        <f t="shared" ca="1" si="65"/>
        <v>9</v>
      </c>
      <c r="AC250" s="68">
        <f ca="1">IFERROR(__xludf.DUMMYFUNCTION("""COMPUTED_VALUE"""),43354.9986111111)</f>
        <v>43354.998611111099</v>
      </c>
      <c r="AD250" s="6">
        <f ca="1">IFERROR(__xludf.DUMMYFUNCTION("""COMPUTED_VALUE"""),1125.3)</f>
        <v>1125.3</v>
      </c>
      <c r="AH250" s="6" t="str">
        <f t="shared" ca="1" si="66"/>
        <v>20188</v>
      </c>
      <c r="AI250" s="6">
        <f t="shared" ca="1" si="67"/>
        <v>2018</v>
      </c>
      <c r="AJ250" s="6">
        <f t="shared" ca="1" si="68"/>
        <v>8</v>
      </c>
      <c r="AK250" s="68">
        <f ca="1">IFERROR(__xludf.DUMMYFUNCTION("""COMPUTED_VALUE"""),43342.9986111111)</f>
        <v>43342.998611111099</v>
      </c>
      <c r="AL250" s="6">
        <f ca="1">IFERROR(__xludf.DUMMYFUNCTION("""COMPUTED_VALUE"""),6985.56)</f>
        <v>6985.56</v>
      </c>
      <c r="AP250" s="6" t="str">
        <f t="shared" ca="1" si="69"/>
        <v>201812</v>
      </c>
      <c r="AQ250" s="6">
        <f t="shared" ca="1" si="70"/>
        <v>2018</v>
      </c>
      <c r="AR250" s="6">
        <f t="shared" ca="1" si="71"/>
        <v>12</v>
      </c>
      <c r="AS250" s="68">
        <f ca="1">IFERROR(__xludf.DUMMYFUNCTION("""COMPUTED_VALUE"""),43455.9986111111)</f>
        <v>43455.998611111099</v>
      </c>
      <c r="AT250" s="6">
        <f ca="1">IFERROR(__xludf.DUMMYFUNCTION("""COMPUTED_VALUE"""),1258.1)</f>
        <v>1258.0999999999999</v>
      </c>
    </row>
    <row r="251" spans="2:46" x14ac:dyDescent="0.35">
      <c r="B251" s="6" t="str">
        <f t="shared" ca="1" si="54"/>
        <v>201812</v>
      </c>
      <c r="C251" s="6">
        <f t="shared" ca="1" si="55"/>
        <v>2018</v>
      </c>
      <c r="D251" s="6">
        <f t="shared" ca="1" si="56"/>
        <v>12</v>
      </c>
      <c r="E251" s="68">
        <f ca="1">IFERROR(__xludf.DUMMYFUNCTION("""COMPUTED_VALUE"""),43453.6666666666)</f>
        <v>43453.666666666599</v>
      </c>
      <c r="F251" s="6">
        <f ca="1">IFERROR(__xludf.DUMMYFUNCTION("""COMPUTED_VALUE"""),2506.96)</f>
        <v>2506.96</v>
      </c>
      <c r="J251" s="6" t="str">
        <f t="shared" ca="1" si="57"/>
        <v>201812</v>
      </c>
      <c r="K251" s="6">
        <f t="shared" ca="1" si="58"/>
        <v>2018</v>
      </c>
      <c r="L251" s="6">
        <f t="shared" ca="1" si="59"/>
        <v>12</v>
      </c>
      <c r="M251" s="68">
        <f ca="1">IFERROR(__xludf.DUMMYFUNCTION("""COMPUTED_VALUE"""),43453.6666666666)</f>
        <v>43453.666666666599</v>
      </c>
      <c r="N251" s="6">
        <f ca="1">IFERROR(__xludf.DUMMYFUNCTION("""COMPUTED_VALUE"""),6636.83)</f>
        <v>6636.83</v>
      </c>
      <c r="R251" s="6" t="str">
        <f t="shared" ca="1" si="60"/>
        <v>20191</v>
      </c>
      <c r="S251" s="6">
        <f t="shared" ca="1" si="61"/>
        <v>2019</v>
      </c>
      <c r="T251" s="6">
        <f t="shared" ca="1" si="62"/>
        <v>1</v>
      </c>
      <c r="U251" s="68">
        <f ca="1">IFERROR(__xludf.DUMMYFUNCTION("""COMPUTED_VALUE"""),43474.6458333333)</f>
        <v>43474.645833333299</v>
      </c>
      <c r="V251" s="6">
        <f ca="1">IFERROR(__xludf.DUMMYFUNCTION("""COMPUTED_VALUE"""),2064.71)</f>
        <v>2064.71</v>
      </c>
      <c r="Z251" s="6" t="str">
        <f t="shared" ca="1" si="63"/>
        <v>20189</v>
      </c>
      <c r="AA251" s="6">
        <f t="shared" ca="1" si="64"/>
        <v>2018</v>
      </c>
      <c r="AB251" s="6">
        <f t="shared" ca="1" si="65"/>
        <v>9</v>
      </c>
      <c r="AC251" s="68">
        <f ca="1">IFERROR(__xludf.DUMMYFUNCTION("""COMPUTED_VALUE"""),43355.9986111111)</f>
        <v>43355.998611111099</v>
      </c>
      <c r="AD251" s="6">
        <f ca="1">IFERROR(__xludf.DUMMYFUNCTION("""COMPUTED_VALUE"""),1125.75)</f>
        <v>1125.75</v>
      </c>
      <c r="AH251" s="6" t="str">
        <f t="shared" ca="1" si="66"/>
        <v>20188</v>
      </c>
      <c r="AI251" s="6">
        <f t="shared" ca="1" si="67"/>
        <v>2018</v>
      </c>
      <c r="AJ251" s="6">
        <f t="shared" ca="1" si="68"/>
        <v>8</v>
      </c>
      <c r="AK251" s="68">
        <f ca="1">IFERROR(__xludf.DUMMYFUNCTION("""COMPUTED_VALUE"""),43343.9986111111)</f>
        <v>43343.998611111099</v>
      </c>
      <c r="AL251" s="6">
        <f ca="1">IFERROR(__xludf.DUMMYFUNCTION("""COMPUTED_VALUE"""),7012.26)</f>
        <v>7012.26</v>
      </c>
      <c r="AP251" s="6" t="str">
        <f t="shared" ca="1" si="69"/>
        <v>201812</v>
      </c>
      <c r="AQ251" s="6">
        <f t="shared" ca="1" si="70"/>
        <v>2018</v>
      </c>
      <c r="AR251" s="6">
        <f t="shared" ca="1" si="71"/>
        <v>12</v>
      </c>
      <c r="AS251" s="68">
        <f ca="1">IFERROR(__xludf.DUMMYFUNCTION("""COMPUTED_VALUE"""),43458.5416666666)</f>
        <v>43458.541666666599</v>
      </c>
      <c r="AT251" s="6">
        <f ca="1">IFERROR(__xludf.DUMMYFUNCTION("""COMPUTED_VALUE"""),1271.8)</f>
        <v>1271.8</v>
      </c>
    </row>
    <row r="252" spans="2:46" x14ac:dyDescent="0.35">
      <c r="B252" s="6" t="str">
        <f t="shared" ca="1" si="54"/>
        <v>201812</v>
      </c>
      <c r="C252" s="6">
        <f t="shared" ca="1" si="55"/>
        <v>2018</v>
      </c>
      <c r="D252" s="6">
        <f t="shared" ca="1" si="56"/>
        <v>12</v>
      </c>
      <c r="E252" s="68">
        <f ca="1">IFERROR(__xludf.DUMMYFUNCTION("""COMPUTED_VALUE"""),43454.6666666666)</f>
        <v>43454.666666666599</v>
      </c>
      <c r="F252" s="6">
        <f ca="1">IFERROR(__xludf.DUMMYFUNCTION("""COMPUTED_VALUE"""),2467.42)</f>
        <v>2467.42</v>
      </c>
      <c r="J252" s="6" t="str">
        <f t="shared" ca="1" si="57"/>
        <v>201812</v>
      </c>
      <c r="K252" s="6">
        <f t="shared" ca="1" si="58"/>
        <v>2018</v>
      </c>
      <c r="L252" s="6">
        <f t="shared" ca="1" si="59"/>
        <v>12</v>
      </c>
      <c r="M252" s="68">
        <f ca="1">IFERROR(__xludf.DUMMYFUNCTION("""COMPUTED_VALUE"""),43454.6666666666)</f>
        <v>43454.666666666599</v>
      </c>
      <c r="N252" s="6">
        <f ca="1">IFERROR(__xludf.DUMMYFUNCTION("""COMPUTED_VALUE"""),6528.41)</f>
        <v>6528.41</v>
      </c>
      <c r="R252" s="6" t="str">
        <f t="shared" ca="1" si="60"/>
        <v>20191</v>
      </c>
      <c r="S252" s="6">
        <f t="shared" ca="1" si="61"/>
        <v>2019</v>
      </c>
      <c r="T252" s="6">
        <f t="shared" ca="1" si="62"/>
        <v>1</v>
      </c>
      <c r="U252" s="68">
        <f ca="1">IFERROR(__xludf.DUMMYFUNCTION("""COMPUTED_VALUE"""),43475.6458333333)</f>
        <v>43475.645833333299</v>
      </c>
      <c r="V252" s="6">
        <f ca="1">IFERROR(__xludf.DUMMYFUNCTION("""COMPUTED_VALUE"""),2063.28)</f>
        <v>2063.2800000000002</v>
      </c>
      <c r="Z252" s="6" t="str">
        <f t="shared" ca="1" si="63"/>
        <v>20189</v>
      </c>
      <c r="AA252" s="6">
        <f t="shared" ca="1" si="64"/>
        <v>2018</v>
      </c>
      <c r="AB252" s="6">
        <f t="shared" ca="1" si="65"/>
        <v>9</v>
      </c>
      <c r="AC252" s="68">
        <f ca="1">IFERROR(__xludf.DUMMYFUNCTION("""COMPUTED_VALUE"""),43356.9986111111)</f>
        <v>43356.998611111099</v>
      </c>
      <c r="AD252" s="6">
        <f ca="1">IFERROR(__xludf.DUMMYFUNCTION("""COMPUTED_VALUE"""),1120.55)</f>
        <v>1120.55</v>
      </c>
      <c r="AH252" s="6" t="str">
        <f t="shared" ca="1" si="66"/>
        <v>20189</v>
      </c>
      <c r="AI252" s="6">
        <f t="shared" ca="1" si="67"/>
        <v>2018</v>
      </c>
      <c r="AJ252" s="6">
        <f t="shared" ca="1" si="68"/>
        <v>9</v>
      </c>
      <c r="AK252" s="68">
        <f ca="1">IFERROR(__xludf.DUMMYFUNCTION("""COMPUTED_VALUE"""),43344.9986111111)</f>
        <v>43344.998611111099</v>
      </c>
      <c r="AL252" s="6">
        <f ca="1">IFERROR(__xludf.DUMMYFUNCTION("""COMPUTED_VALUE"""),7193.82)</f>
        <v>7193.82</v>
      </c>
      <c r="AP252" s="6" t="str">
        <f t="shared" ca="1" si="69"/>
        <v>201812</v>
      </c>
      <c r="AQ252" s="6">
        <f t="shared" ca="1" si="70"/>
        <v>2018</v>
      </c>
      <c r="AR252" s="6">
        <f t="shared" ca="1" si="71"/>
        <v>12</v>
      </c>
      <c r="AS252" s="68">
        <f ca="1">IFERROR(__xludf.DUMMYFUNCTION("""COMPUTED_VALUE"""),43460.9986111111)</f>
        <v>43460.998611111099</v>
      </c>
      <c r="AT252" s="6">
        <f ca="1">IFERROR(__xludf.DUMMYFUNCTION("""COMPUTED_VALUE"""),1273)</f>
        <v>1273</v>
      </c>
    </row>
    <row r="253" spans="2:46" x14ac:dyDescent="0.35">
      <c r="B253" s="6" t="str">
        <f t="shared" ca="1" si="54"/>
        <v>201812</v>
      </c>
      <c r="C253" s="6">
        <f t="shared" ca="1" si="55"/>
        <v>2018</v>
      </c>
      <c r="D253" s="6">
        <f t="shared" ca="1" si="56"/>
        <v>12</v>
      </c>
      <c r="E253" s="68">
        <f ca="1">IFERROR(__xludf.DUMMYFUNCTION("""COMPUTED_VALUE"""),43455.6666666666)</f>
        <v>43455.666666666599</v>
      </c>
      <c r="F253" s="6">
        <f ca="1">IFERROR(__xludf.DUMMYFUNCTION("""COMPUTED_VALUE"""),2416.62)</f>
        <v>2416.62</v>
      </c>
      <c r="J253" s="6" t="str">
        <f t="shared" ca="1" si="57"/>
        <v>201812</v>
      </c>
      <c r="K253" s="6">
        <f t="shared" ca="1" si="58"/>
        <v>2018</v>
      </c>
      <c r="L253" s="6">
        <f t="shared" ca="1" si="59"/>
        <v>12</v>
      </c>
      <c r="M253" s="68">
        <f ca="1">IFERROR(__xludf.DUMMYFUNCTION("""COMPUTED_VALUE"""),43455.6666666666)</f>
        <v>43455.666666666599</v>
      </c>
      <c r="N253" s="6">
        <f ca="1">IFERROR(__xludf.DUMMYFUNCTION("""COMPUTED_VALUE"""),6332.99)</f>
        <v>6332.99</v>
      </c>
      <c r="R253" s="6" t="str">
        <f t="shared" ca="1" si="60"/>
        <v>20191</v>
      </c>
      <c r="S253" s="6">
        <f t="shared" ca="1" si="61"/>
        <v>2019</v>
      </c>
      <c r="T253" s="6">
        <f t="shared" ca="1" si="62"/>
        <v>1</v>
      </c>
      <c r="U253" s="68">
        <f ca="1">IFERROR(__xludf.DUMMYFUNCTION("""COMPUTED_VALUE"""),43476.6458333333)</f>
        <v>43476.645833333299</v>
      </c>
      <c r="V253" s="6">
        <f ca="1">IFERROR(__xludf.DUMMYFUNCTION("""COMPUTED_VALUE"""),2075.57)</f>
        <v>2075.5700000000002</v>
      </c>
      <c r="Z253" s="6" t="str">
        <f t="shared" ca="1" si="63"/>
        <v>20189</v>
      </c>
      <c r="AA253" s="6">
        <f t="shared" ca="1" si="64"/>
        <v>2018</v>
      </c>
      <c r="AB253" s="6">
        <f t="shared" ca="1" si="65"/>
        <v>9</v>
      </c>
      <c r="AC253" s="68">
        <f ca="1">IFERROR(__xludf.DUMMYFUNCTION("""COMPUTED_VALUE"""),43357.9986111111)</f>
        <v>43357.998611111099</v>
      </c>
      <c r="AD253" s="6">
        <f ca="1">IFERROR(__xludf.DUMMYFUNCTION("""COMPUTED_VALUE"""),1120.43)</f>
        <v>1120.43</v>
      </c>
      <c r="AH253" s="6" t="str">
        <f t="shared" ca="1" si="66"/>
        <v>20189</v>
      </c>
      <c r="AI253" s="6">
        <f t="shared" ca="1" si="67"/>
        <v>2018</v>
      </c>
      <c r="AJ253" s="6">
        <f t="shared" ca="1" si="68"/>
        <v>9</v>
      </c>
      <c r="AK253" s="68">
        <f ca="1">IFERROR(__xludf.DUMMYFUNCTION("""COMPUTED_VALUE"""),43345.9986111111)</f>
        <v>43345.998611111099</v>
      </c>
      <c r="AL253" s="6">
        <f ca="1">IFERROR(__xludf.DUMMYFUNCTION("""COMPUTED_VALUE"""),7297.35)</f>
        <v>7297.35</v>
      </c>
      <c r="AP253" s="6" t="str">
        <f t="shared" ca="1" si="69"/>
        <v>201812</v>
      </c>
      <c r="AQ253" s="6">
        <f t="shared" ca="1" si="70"/>
        <v>2018</v>
      </c>
      <c r="AR253" s="6">
        <f t="shared" ca="1" si="71"/>
        <v>12</v>
      </c>
      <c r="AS253" s="68">
        <f ca="1">IFERROR(__xludf.DUMMYFUNCTION("""COMPUTED_VALUE"""),43461.9986111111)</f>
        <v>43461.998611111099</v>
      </c>
      <c r="AT253" s="6">
        <f ca="1">IFERROR(__xludf.DUMMYFUNCTION("""COMPUTED_VALUE"""),1281.1)</f>
        <v>1281.0999999999999</v>
      </c>
    </row>
    <row r="254" spans="2:46" x14ac:dyDescent="0.35">
      <c r="B254" s="6" t="str">
        <f t="shared" ca="1" si="54"/>
        <v>201812</v>
      </c>
      <c r="C254" s="6">
        <f t="shared" ca="1" si="55"/>
        <v>2018</v>
      </c>
      <c r="D254" s="6">
        <f t="shared" ca="1" si="56"/>
        <v>12</v>
      </c>
      <c r="E254" s="68">
        <f ca="1">IFERROR(__xludf.DUMMYFUNCTION("""COMPUTED_VALUE"""),43458.5416666666)</f>
        <v>43458.541666666599</v>
      </c>
      <c r="F254" s="6">
        <f ca="1">IFERROR(__xludf.DUMMYFUNCTION("""COMPUTED_VALUE"""),2351.1)</f>
        <v>2351.1</v>
      </c>
      <c r="J254" s="6" t="str">
        <f t="shared" ca="1" si="57"/>
        <v>201812</v>
      </c>
      <c r="K254" s="6">
        <f t="shared" ca="1" si="58"/>
        <v>2018</v>
      </c>
      <c r="L254" s="6">
        <f t="shared" ca="1" si="59"/>
        <v>12</v>
      </c>
      <c r="M254" s="68">
        <f ca="1">IFERROR(__xludf.DUMMYFUNCTION("""COMPUTED_VALUE"""),43458.5416666666)</f>
        <v>43458.541666666599</v>
      </c>
      <c r="N254" s="6">
        <f ca="1">IFERROR(__xludf.DUMMYFUNCTION("""COMPUTED_VALUE"""),6192.92)</f>
        <v>6192.92</v>
      </c>
      <c r="R254" s="6" t="str">
        <f t="shared" ca="1" si="60"/>
        <v>20191</v>
      </c>
      <c r="S254" s="6">
        <f t="shared" ca="1" si="61"/>
        <v>2019</v>
      </c>
      <c r="T254" s="6">
        <f t="shared" ca="1" si="62"/>
        <v>1</v>
      </c>
      <c r="U254" s="68">
        <f ca="1">IFERROR(__xludf.DUMMYFUNCTION("""COMPUTED_VALUE"""),43479.6458333333)</f>
        <v>43479.645833333299</v>
      </c>
      <c r="V254" s="6">
        <f ca="1">IFERROR(__xludf.DUMMYFUNCTION("""COMPUTED_VALUE"""),2064.52)</f>
        <v>2064.52</v>
      </c>
      <c r="Z254" s="6" t="str">
        <f t="shared" ca="1" si="63"/>
        <v>20189</v>
      </c>
      <c r="AA254" s="6">
        <f t="shared" ca="1" si="64"/>
        <v>2018</v>
      </c>
      <c r="AB254" s="6">
        <f t="shared" ca="1" si="65"/>
        <v>9</v>
      </c>
      <c r="AC254" s="68">
        <f ca="1">IFERROR(__xludf.DUMMYFUNCTION("""COMPUTED_VALUE"""),43359.9986111111)</f>
        <v>43359.998611111099</v>
      </c>
      <c r="AD254" s="6">
        <f ca="1">IFERROR(__xludf.DUMMYFUNCTION("""COMPUTED_VALUE"""),1120.9)</f>
        <v>1120.9000000000001</v>
      </c>
      <c r="AH254" s="6" t="str">
        <f t="shared" ca="1" si="66"/>
        <v>20189</v>
      </c>
      <c r="AI254" s="6">
        <f t="shared" ca="1" si="67"/>
        <v>2018</v>
      </c>
      <c r="AJ254" s="6">
        <f t="shared" ca="1" si="68"/>
        <v>9</v>
      </c>
      <c r="AK254" s="68">
        <f ca="1">IFERROR(__xludf.DUMMYFUNCTION("""COMPUTED_VALUE"""),43346.9986111111)</f>
        <v>43346.998611111099</v>
      </c>
      <c r="AL254" s="6">
        <f ca="1">IFERROR(__xludf.DUMMYFUNCTION("""COMPUTED_VALUE"""),7262.03)</f>
        <v>7262.03</v>
      </c>
      <c r="AP254" s="6" t="str">
        <f t="shared" ca="1" si="69"/>
        <v>201812</v>
      </c>
      <c r="AQ254" s="6">
        <f t="shared" ca="1" si="70"/>
        <v>2018</v>
      </c>
      <c r="AR254" s="6">
        <f t="shared" ca="1" si="71"/>
        <v>12</v>
      </c>
      <c r="AS254" s="68">
        <f ca="1">IFERROR(__xludf.DUMMYFUNCTION("""COMPUTED_VALUE"""),43462.9986111111)</f>
        <v>43462.998611111099</v>
      </c>
      <c r="AT254" s="6">
        <f ca="1">IFERROR(__xludf.DUMMYFUNCTION("""COMPUTED_VALUE"""),1283)</f>
        <v>1283</v>
      </c>
    </row>
    <row r="255" spans="2:46" x14ac:dyDescent="0.35">
      <c r="B255" s="6" t="str">
        <f t="shared" ca="1" si="54"/>
        <v>201812</v>
      </c>
      <c r="C255" s="6">
        <f t="shared" ca="1" si="55"/>
        <v>2018</v>
      </c>
      <c r="D255" s="6">
        <f t="shared" ca="1" si="56"/>
        <v>12</v>
      </c>
      <c r="E255" s="68">
        <f ca="1">IFERROR(__xludf.DUMMYFUNCTION("""COMPUTED_VALUE"""),43460.6666666666)</f>
        <v>43460.666666666599</v>
      </c>
      <c r="F255" s="6">
        <f ca="1">IFERROR(__xludf.DUMMYFUNCTION("""COMPUTED_VALUE"""),2467.7)</f>
        <v>2467.6999999999998</v>
      </c>
      <c r="J255" s="6" t="str">
        <f t="shared" ca="1" si="57"/>
        <v>201812</v>
      </c>
      <c r="K255" s="6">
        <f t="shared" ca="1" si="58"/>
        <v>2018</v>
      </c>
      <c r="L255" s="6">
        <f t="shared" ca="1" si="59"/>
        <v>12</v>
      </c>
      <c r="M255" s="68">
        <f ca="1">IFERROR(__xludf.DUMMYFUNCTION("""COMPUTED_VALUE"""),43460.6666666666)</f>
        <v>43460.666666666599</v>
      </c>
      <c r="N255" s="6">
        <f ca="1">IFERROR(__xludf.DUMMYFUNCTION("""COMPUTED_VALUE"""),6554.36)</f>
        <v>6554.36</v>
      </c>
      <c r="R255" s="6" t="str">
        <f t="shared" ca="1" si="60"/>
        <v>20191</v>
      </c>
      <c r="S255" s="6">
        <f t="shared" ca="1" si="61"/>
        <v>2019</v>
      </c>
      <c r="T255" s="6">
        <f t="shared" ca="1" si="62"/>
        <v>1</v>
      </c>
      <c r="U255" s="68">
        <f ca="1">IFERROR(__xludf.DUMMYFUNCTION("""COMPUTED_VALUE"""),43480.6458333333)</f>
        <v>43480.645833333299</v>
      </c>
      <c r="V255" s="6">
        <f ca="1">IFERROR(__xludf.DUMMYFUNCTION("""COMPUTED_VALUE"""),2097.18)</f>
        <v>2097.1799999999998</v>
      </c>
      <c r="Z255" s="6" t="str">
        <f t="shared" ca="1" si="63"/>
        <v>20189</v>
      </c>
      <c r="AA255" s="6">
        <f t="shared" ca="1" si="64"/>
        <v>2018</v>
      </c>
      <c r="AB255" s="6">
        <f t="shared" ca="1" si="65"/>
        <v>9</v>
      </c>
      <c r="AC255" s="68">
        <f ca="1">IFERROR(__xludf.DUMMYFUNCTION("""COMPUTED_VALUE"""),43360.9986111111)</f>
        <v>43360.998611111099</v>
      </c>
      <c r="AD255" s="6">
        <f ca="1">IFERROR(__xludf.DUMMYFUNCTION("""COMPUTED_VALUE"""),1125.62)</f>
        <v>1125.6199999999999</v>
      </c>
      <c r="AH255" s="6" t="str">
        <f t="shared" ca="1" si="66"/>
        <v>20189</v>
      </c>
      <c r="AI255" s="6">
        <f t="shared" ca="1" si="67"/>
        <v>2018</v>
      </c>
      <c r="AJ255" s="6">
        <f t="shared" ca="1" si="68"/>
        <v>9</v>
      </c>
      <c r="AK255" s="68">
        <f ca="1">IFERROR(__xludf.DUMMYFUNCTION("""COMPUTED_VALUE"""),43347.9986111111)</f>
        <v>43347.998611111099</v>
      </c>
      <c r="AL255" s="6">
        <f ca="1">IFERROR(__xludf.DUMMYFUNCTION("""COMPUTED_VALUE"""),7358.54)</f>
        <v>7358.54</v>
      </c>
      <c r="AP255" s="6" t="str">
        <f t="shared" ca="1" si="69"/>
        <v>201812</v>
      </c>
      <c r="AQ255" s="6">
        <f t="shared" ca="1" si="70"/>
        <v>2018</v>
      </c>
      <c r="AR255" s="6">
        <f t="shared" ca="1" si="71"/>
        <v>12</v>
      </c>
      <c r="AS255" s="68">
        <f ca="1">IFERROR(__xludf.DUMMYFUNCTION("""COMPUTED_VALUE"""),43465.9986111111)</f>
        <v>43465.998611111099</v>
      </c>
      <c r="AT255" s="6">
        <f ca="1">IFERROR(__xludf.DUMMYFUNCTION("""COMPUTED_VALUE"""),1281.3)</f>
        <v>1281.3</v>
      </c>
    </row>
    <row r="256" spans="2:46" x14ac:dyDescent="0.35">
      <c r="B256" s="6" t="str">
        <f t="shared" ca="1" si="54"/>
        <v>201812</v>
      </c>
      <c r="C256" s="6">
        <f t="shared" ca="1" si="55"/>
        <v>2018</v>
      </c>
      <c r="D256" s="6">
        <f t="shared" ca="1" si="56"/>
        <v>12</v>
      </c>
      <c r="E256" s="68">
        <f ca="1">IFERROR(__xludf.DUMMYFUNCTION("""COMPUTED_VALUE"""),43461.6666666666)</f>
        <v>43461.666666666599</v>
      </c>
      <c r="F256" s="6">
        <f ca="1">IFERROR(__xludf.DUMMYFUNCTION("""COMPUTED_VALUE"""),2488.83)</f>
        <v>2488.83</v>
      </c>
      <c r="J256" s="6" t="str">
        <f t="shared" ca="1" si="57"/>
        <v>201812</v>
      </c>
      <c r="K256" s="6">
        <f t="shared" ca="1" si="58"/>
        <v>2018</v>
      </c>
      <c r="L256" s="6">
        <f t="shared" ca="1" si="59"/>
        <v>12</v>
      </c>
      <c r="M256" s="68">
        <f ca="1">IFERROR(__xludf.DUMMYFUNCTION("""COMPUTED_VALUE"""),43461.6666666666)</f>
        <v>43461.666666666599</v>
      </c>
      <c r="N256" s="6">
        <f ca="1">IFERROR(__xludf.DUMMYFUNCTION("""COMPUTED_VALUE"""),6579.49)</f>
        <v>6579.49</v>
      </c>
      <c r="R256" s="6" t="str">
        <f t="shared" ca="1" si="60"/>
        <v>20191</v>
      </c>
      <c r="S256" s="6">
        <f t="shared" ca="1" si="61"/>
        <v>2019</v>
      </c>
      <c r="T256" s="6">
        <f t="shared" ca="1" si="62"/>
        <v>1</v>
      </c>
      <c r="U256" s="68">
        <f ca="1">IFERROR(__xludf.DUMMYFUNCTION("""COMPUTED_VALUE"""),43481.6458333333)</f>
        <v>43481.645833333299</v>
      </c>
      <c r="V256" s="6">
        <f ca="1">IFERROR(__xludf.DUMMYFUNCTION("""COMPUTED_VALUE"""),2106.1)</f>
        <v>2106.1</v>
      </c>
      <c r="Z256" s="6" t="str">
        <f t="shared" ca="1" si="63"/>
        <v>20189</v>
      </c>
      <c r="AA256" s="6">
        <f t="shared" ca="1" si="64"/>
        <v>2018</v>
      </c>
      <c r="AB256" s="6">
        <f t="shared" ca="1" si="65"/>
        <v>9</v>
      </c>
      <c r="AC256" s="68">
        <f ca="1">IFERROR(__xludf.DUMMYFUNCTION("""COMPUTED_VALUE"""),43361.9986111111)</f>
        <v>43361.998611111099</v>
      </c>
      <c r="AD256" s="6">
        <f ca="1">IFERROR(__xludf.DUMMYFUNCTION("""COMPUTED_VALUE"""),1120.8)</f>
        <v>1120.8</v>
      </c>
      <c r="AH256" s="6" t="str">
        <f t="shared" ca="1" si="66"/>
        <v>20189</v>
      </c>
      <c r="AI256" s="6">
        <f t="shared" ca="1" si="67"/>
        <v>2018</v>
      </c>
      <c r="AJ256" s="6">
        <f t="shared" ca="1" si="68"/>
        <v>9</v>
      </c>
      <c r="AK256" s="68">
        <f ca="1">IFERROR(__xludf.DUMMYFUNCTION("""COMPUTED_VALUE"""),43348.9986111111)</f>
        <v>43348.998611111099</v>
      </c>
      <c r="AL256" s="6">
        <f ca="1">IFERROR(__xludf.DUMMYFUNCTION("""COMPUTED_VALUE"""),6723.36)</f>
        <v>6723.36</v>
      </c>
      <c r="AP256" s="6" t="str">
        <f t="shared" ca="1" si="69"/>
        <v>20191</v>
      </c>
      <c r="AQ256" s="6">
        <f t="shared" ca="1" si="70"/>
        <v>2019</v>
      </c>
      <c r="AR256" s="6">
        <f t="shared" ca="1" si="71"/>
        <v>1</v>
      </c>
      <c r="AS256" s="68">
        <f ca="1">IFERROR(__xludf.DUMMYFUNCTION("""COMPUTED_VALUE"""),43467.9986111111)</f>
        <v>43467.998611111099</v>
      </c>
      <c r="AT256" s="6">
        <f ca="1">IFERROR(__xludf.DUMMYFUNCTION("""COMPUTED_VALUE"""),1284.1)</f>
        <v>1284.0999999999999</v>
      </c>
    </row>
    <row r="257" spans="2:46" x14ac:dyDescent="0.35">
      <c r="B257" s="6" t="str">
        <f t="shared" ca="1" si="54"/>
        <v>201812</v>
      </c>
      <c r="C257" s="6">
        <f t="shared" ca="1" si="55"/>
        <v>2018</v>
      </c>
      <c r="D257" s="6">
        <f t="shared" ca="1" si="56"/>
        <v>12</v>
      </c>
      <c r="E257" s="68">
        <f ca="1">IFERROR(__xludf.DUMMYFUNCTION("""COMPUTED_VALUE"""),43462.6666666666)</f>
        <v>43462.666666666599</v>
      </c>
      <c r="F257" s="6">
        <f ca="1">IFERROR(__xludf.DUMMYFUNCTION("""COMPUTED_VALUE"""),2485.74)</f>
        <v>2485.7399999999998</v>
      </c>
      <c r="J257" s="6" t="str">
        <f t="shared" ca="1" si="57"/>
        <v>201812</v>
      </c>
      <c r="K257" s="6">
        <f t="shared" ca="1" si="58"/>
        <v>2018</v>
      </c>
      <c r="L257" s="6">
        <f t="shared" ca="1" si="59"/>
        <v>12</v>
      </c>
      <c r="M257" s="68">
        <f ca="1">IFERROR(__xludf.DUMMYFUNCTION("""COMPUTED_VALUE"""),43462.6666666666)</f>
        <v>43462.666666666599</v>
      </c>
      <c r="N257" s="6">
        <f ca="1">IFERROR(__xludf.DUMMYFUNCTION("""COMPUTED_VALUE"""),6584.52)</f>
        <v>6584.52</v>
      </c>
      <c r="R257" s="6" t="str">
        <f t="shared" ca="1" si="60"/>
        <v>20191</v>
      </c>
      <c r="S257" s="6">
        <f t="shared" ca="1" si="61"/>
        <v>2019</v>
      </c>
      <c r="T257" s="6">
        <f t="shared" ca="1" si="62"/>
        <v>1</v>
      </c>
      <c r="U257" s="68">
        <f ca="1">IFERROR(__xludf.DUMMYFUNCTION("""COMPUTED_VALUE"""),43482.6458333333)</f>
        <v>43482.645833333299</v>
      </c>
      <c r="V257" s="6">
        <f ca="1">IFERROR(__xludf.DUMMYFUNCTION("""COMPUTED_VALUE"""),2107.06)</f>
        <v>2107.06</v>
      </c>
      <c r="Z257" s="6" t="str">
        <f t="shared" ca="1" si="63"/>
        <v>20189</v>
      </c>
      <c r="AA257" s="6">
        <f t="shared" ca="1" si="64"/>
        <v>2018</v>
      </c>
      <c r="AB257" s="6">
        <f t="shared" ca="1" si="65"/>
        <v>9</v>
      </c>
      <c r="AC257" s="68">
        <f ca="1">IFERROR(__xludf.DUMMYFUNCTION("""COMPUTED_VALUE"""),43362.9986111111)</f>
        <v>43362.998611111099</v>
      </c>
      <c r="AD257" s="6">
        <f ca="1">IFERROR(__xludf.DUMMYFUNCTION("""COMPUTED_VALUE"""),1122.25)</f>
        <v>1122.25</v>
      </c>
      <c r="AH257" s="6" t="str">
        <f t="shared" ca="1" si="66"/>
        <v>20189</v>
      </c>
      <c r="AI257" s="6">
        <f t="shared" ca="1" si="67"/>
        <v>2018</v>
      </c>
      <c r="AJ257" s="6">
        <f t="shared" ca="1" si="68"/>
        <v>9</v>
      </c>
      <c r="AK257" s="68">
        <f ca="1">IFERROR(__xludf.DUMMYFUNCTION("""COMPUTED_VALUE"""),43349.9986111111)</f>
        <v>43349.998611111099</v>
      </c>
      <c r="AL257" s="6">
        <f ca="1">IFERROR(__xludf.DUMMYFUNCTION("""COMPUTED_VALUE"""),6493.98)</f>
        <v>6493.98</v>
      </c>
      <c r="AP257" s="6" t="str">
        <f t="shared" ca="1" si="69"/>
        <v>20191</v>
      </c>
      <c r="AQ257" s="6">
        <f t="shared" ca="1" si="70"/>
        <v>2019</v>
      </c>
      <c r="AR257" s="6">
        <f t="shared" ca="1" si="71"/>
        <v>1</v>
      </c>
      <c r="AS257" s="68">
        <f ca="1">IFERROR(__xludf.DUMMYFUNCTION("""COMPUTED_VALUE"""),43468.9986111111)</f>
        <v>43468.998611111099</v>
      </c>
      <c r="AT257" s="6">
        <f ca="1">IFERROR(__xludf.DUMMYFUNCTION("""COMPUTED_VALUE"""),1294.8)</f>
        <v>1294.8</v>
      </c>
    </row>
    <row r="258" spans="2:46" x14ac:dyDescent="0.35">
      <c r="B258" s="6" t="str">
        <f t="shared" ca="1" si="54"/>
        <v>201812</v>
      </c>
      <c r="C258" s="6">
        <f t="shared" ca="1" si="55"/>
        <v>2018</v>
      </c>
      <c r="D258" s="6">
        <f t="shared" ca="1" si="56"/>
        <v>12</v>
      </c>
      <c r="E258" s="68">
        <f ca="1">IFERROR(__xludf.DUMMYFUNCTION("""COMPUTED_VALUE"""),43465.6666666666)</f>
        <v>43465.666666666599</v>
      </c>
      <c r="F258" s="6">
        <f ca="1">IFERROR(__xludf.DUMMYFUNCTION("""COMPUTED_VALUE"""),2506.85)</f>
        <v>2506.85</v>
      </c>
      <c r="J258" s="6" t="str">
        <f t="shared" ca="1" si="57"/>
        <v>201812</v>
      </c>
      <c r="K258" s="6">
        <f t="shared" ca="1" si="58"/>
        <v>2018</v>
      </c>
      <c r="L258" s="6">
        <f t="shared" ca="1" si="59"/>
        <v>12</v>
      </c>
      <c r="M258" s="68">
        <f ca="1">IFERROR(__xludf.DUMMYFUNCTION("""COMPUTED_VALUE"""),43465.6666666666)</f>
        <v>43465.666666666599</v>
      </c>
      <c r="N258" s="6">
        <f ca="1">IFERROR(__xludf.DUMMYFUNCTION("""COMPUTED_VALUE"""),6635.28)</f>
        <v>6635.28</v>
      </c>
      <c r="R258" s="6" t="str">
        <f t="shared" ca="1" si="60"/>
        <v>20191</v>
      </c>
      <c r="S258" s="6">
        <f t="shared" ca="1" si="61"/>
        <v>2019</v>
      </c>
      <c r="T258" s="6">
        <f t="shared" ca="1" si="62"/>
        <v>1</v>
      </c>
      <c r="U258" s="68">
        <f ca="1">IFERROR(__xludf.DUMMYFUNCTION("""COMPUTED_VALUE"""),43483.6458333333)</f>
        <v>43483.645833333299</v>
      </c>
      <c r="V258" s="6">
        <f ca="1">IFERROR(__xludf.DUMMYFUNCTION("""COMPUTED_VALUE"""),2124.28)</f>
        <v>2124.2800000000002</v>
      </c>
      <c r="Z258" s="6" t="str">
        <f t="shared" ca="1" si="63"/>
        <v>20189</v>
      </c>
      <c r="AA258" s="6">
        <f t="shared" ca="1" si="64"/>
        <v>2018</v>
      </c>
      <c r="AB258" s="6">
        <f t="shared" ca="1" si="65"/>
        <v>9</v>
      </c>
      <c r="AC258" s="68">
        <f ca="1">IFERROR(__xludf.DUMMYFUNCTION("""COMPUTED_VALUE"""),43363.9986111111)</f>
        <v>43363.998611111099</v>
      </c>
      <c r="AD258" s="6">
        <f ca="1">IFERROR(__xludf.DUMMYFUNCTION("""COMPUTED_VALUE"""),1116.4)</f>
        <v>1116.4000000000001</v>
      </c>
      <c r="AH258" s="6" t="str">
        <f t="shared" ca="1" si="66"/>
        <v>20189</v>
      </c>
      <c r="AI258" s="6">
        <f t="shared" ca="1" si="67"/>
        <v>2018</v>
      </c>
      <c r="AJ258" s="6">
        <f t="shared" ca="1" si="68"/>
        <v>9</v>
      </c>
      <c r="AK258" s="68">
        <f ca="1">IFERROR(__xludf.DUMMYFUNCTION("""COMPUTED_VALUE"""),43350.9986111111)</f>
        <v>43350.998611111099</v>
      </c>
      <c r="AL258" s="6">
        <f ca="1">IFERROR(__xludf.DUMMYFUNCTION("""COMPUTED_VALUE"""),6414.06)</f>
        <v>6414.06</v>
      </c>
      <c r="AP258" s="6" t="str">
        <f t="shared" ca="1" si="69"/>
        <v>20191</v>
      </c>
      <c r="AQ258" s="6">
        <f t="shared" ca="1" si="70"/>
        <v>2019</v>
      </c>
      <c r="AR258" s="6">
        <f t="shared" ca="1" si="71"/>
        <v>1</v>
      </c>
      <c r="AS258" s="68">
        <f ca="1">IFERROR(__xludf.DUMMYFUNCTION("""COMPUTED_VALUE"""),43469.9986111111)</f>
        <v>43469.998611111099</v>
      </c>
      <c r="AT258" s="6">
        <f ca="1">IFERROR(__xludf.DUMMYFUNCTION("""COMPUTED_VALUE"""),1285.8)</f>
        <v>1285.8</v>
      </c>
    </row>
    <row r="259" spans="2:46" x14ac:dyDescent="0.35">
      <c r="B259" s="6" t="str">
        <f t="shared" ca="1" si="54"/>
        <v>20191</v>
      </c>
      <c r="C259" s="6">
        <f t="shared" ca="1" si="55"/>
        <v>2019</v>
      </c>
      <c r="D259" s="6">
        <f t="shared" ca="1" si="56"/>
        <v>1</v>
      </c>
      <c r="E259" s="68">
        <f ca="1">IFERROR(__xludf.DUMMYFUNCTION("""COMPUTED_VALUE"""),43467.6666666666)</f>
        <v>43467.666666666599</v>
      </c>
      <c r="F259" s="6">
        <f ca="1">IFERROR(__xludf.DUMMYFUNCTION("""COMPUTED_VALUE"""),2510.03)</f>
        <v>2510.0300000000002</v>
      </c>
      <c r="J259" s="6" t="str">
        <f t="shared" ca="1" si="57"/>
        <v>20191</v>
      </c>
      <c r="K259" s="6">
        <f t="shared" ca="1" si="58"/>
        <v>2019</v>
      </c>
      <c r="L259" s="6">
        <f t="shared" ca="1" si="59"/>
        <v>1</v>
      </c>
      <c r="M259" s="68">
        <f ca="1">IFERROR(__xludf.DUMMYFUNCTION("""COMPUTED_VALUE"""),43467.6666666666)</f>
        <v>43467.666666666599</v>
      </c>
      <c r="N259" s="6">
        <f ca="1">IFERROR(__xludf.DUMMYFUNCTION("""COMPUTED_VALUE"""),6665.94)</f>
        <v>6665.94</v>
      </c>
      <c r="R259" s="6" t="str">
        <f t="shared" ca="1" si="60"/>
        <v>20191</v>
      </c>
      <c r="S259" s="6">
        <f t="shared" ca="1" si="61"/>
        <v>2019</v>
      </c>
      <c r="T259" s="6">
        <f t="shared" ca="1" si="62"/>
        <v>1</v>
      </c>
      <c r="U259" s="68">
        <f ca="1">IFERROR(__xludf.DUMMYFUNCTION("""COMPUTED_VALUE"""),43486.6458333333)</f>
        <v>43486.645833333299</v>
      </c>
      <c r="V259" s="6">
        <f ca="1">IFERROR(__xludf.DUMMYFUNCTION("""COMPUTED_VALUE"""),2124.61)</f>
        <v>2124.61</v>
      </c>
      <c r="Z259" s="6" t="str">
        <f t="shared" ca="1" si="63"/>
        <v>20189</v>
      </c>
      <c r="AA259" s="6">
        <f t="shared" ca="1" si="64"/>
        <v>2018</v>
      </c>
      <c r="AB259" s="6">
        <f t="shared" ca="1" si="65"/>
        <v>9</v>
      </c>
      <c r="AC259" s="68">
        <f ca="1">IFERROR(__xludf.DUMMYFUNCTION("""COMPUTED_VALUE"""),43364.9986111111)</f>
        <v>43364.998611111099</v>
      </c>
      <c r="AD259" s="6">
        <f ca="1">IFERROR(__xludf.DUMMYFUNCTION("""COMPUTED_VALUE"""),1113.9)</f>
        <v>1113.9000000000001</v>
      </c>
      <c r="AH259" s="6" t="str">
        <f t="shared" ca="1" si="66"/>
        <v>20189</v>
      </c>
      <c r="AI259" s="6">
        <f t="shared" ca="1" si="67"/>
        <v>2018</v>
      </c>
      <c r="AJ259" s="6">
        <f t="shared" ca="1" si="68"/>
        <v>9</v>
      </c>
      <c r="AK259" s="68">
        <f ca="1">IFERROR(__xludf.DUMMYFUNCTION("""COMPUTED_VALUE"""),43351.9986111111)</f>
        <v>43351.998611111099</v>
      </c>
      <c r="AL259" s="6">
        <f ca="1">IFERROR(__xludf.DUMMYFUNCTION("""COMPUTED_VALUE"""),6184.05)</f>
        <v>6184.05</v>
      </c>
      <c r="AP259" s="6" t="str">
        <f t="shared" ca="1" si="69"/>
        <v>20191</v>
      </c>
      <c r="AQ259" s="6">
        <f t="shared" ca="1" si="70"/>
        <v>2019</v>
      </c>
      <c r="AR259" s="6">
        <f t="shared" ca="1" si="71"/>
        <v>1</v>
      </c>
      <c r="AS259" s="68">
        <f ca="1">IFERROR(__xludf.DUMMYFUNCTION("""COMPUTED_VALUE"""),43472.9986111111)</f>
        <v>43472.998611111099</v>
      </c>
      <c r="AT259" s="6">
        <f ca="1">IFERROR(__xludf.DUMMYFUNCTION("""COMPUTED_VALUE"""),1289.9)</f>
        <v>1289.9000000000001</v>
      </c>
    </row>
    <row r="260" spans="2:46" x14ac:dyDescent="0.35">
      <c r="B260" s="6" t="str">
        <f t="shared" ca="1" si="54"/>
        <v>20191</v>
      </c>
      <c r="C260" s="6">
        <f t="shared" ca="1" si="55"/>
        <v>2019</v>
      </c>
      <c r="D260" s="6">
        <f t="shared" ca="1" si="56"/>
        <v>1</v>
      </c>
      <c r="E260" s="68">
        <f ca="1">IFERROR(__xludf.DUMMYFUNCTION("""COMPUTED_VALUE"""),43468.6666666666)</f>
        <v>43468.666666666599</v>
      </c>
      <c r="F260" s="6">
        <f ca="1">IFERROR(__xludf.DUMMYFUNCTION("""COMPUTED_VALUE"""),2447.89)</f>
        <v>2447.89</v>
      </c>
      <c r="J260" s="6" t="str">
        <f t="shared" ca="1" si="57"/>
        <v>20191</v>
      </c>
      <c r="K260" s="6">
        <f t="shared" ca="1" si="58"/>
        <v>2019</v>
      </c>
      <c r="L260" s="6">
        <f t="shared" ca="1" si="59"/>
        <v>1</v>
      </c>
      <c r="M260" s="68">
        <f ca="1">IFERROR(__xludf.DUMMYFUNCTION("""COMPUTED_VALUE"""),43468.6666666666)</f>
        <v>43468.666666666599</v>
      </c>
      <c r="N260" s="6">
        <f ca="1">IFERROR(__xludf.DUMMYFUNCTION("""COMPUTED_VALUE"""),6463.5)</f>
        <v>6463.5</v>
      </c>
      <c r="R260" s="6" t="str">
        <f t="shared" ca="1" si="60"/>
        <v>20191</v>
      </c>
      <c r="S260" s="6">
        <f t="shared" ca="1" si="61"/>
        <v>2019</v>
      </c>
      <c r="T260" s="6">
        <f t="shared" ca="1" si="62"/>
        <v>1</v>
      </c>
      <c r="U260" s="68">
        <f ca="1">IFERROR(__xludf.DUMMYFUNCTION("""COMPUTED_VALUE"""),43487.6458333333)</f>
        <v>43487.645833333299</v>
      </c>
      <c r="V260" s="6">
        <f ca="1">IFERROR(__xludf.DUMMYFUNCTION("""COMPUTED_VALUE"""),2117.77)</f>
        <v>2117.77</v>
      </c>
      <c r="Z260" s="6" t="str">
        <f t="shared" ca="1" si="63"/>
        <v>20189</v>
      </c>
      <c r="AA260" s="6">
        <f t="shared" ca="1" si="64"/>
        <v>2018</v>
      </c>
      <c r="AB260" s="6">
        <f t="shared" ca="1" si="65"/>
        <v>9</v>
      </c>
      <c r="AC260" s="68">
        <f ca="1">IFERROR(__xludf.DUMMYFUNCTION("""COMPUTED_VALUE"""),43365.9986111111)</f>
        <v>43365.998611111099</v>
      </c>
      <c r="AD260" s="6">
        <f ca="1">IFERROR(__xludf.DUMMYFUNCTION("""COMPUTED_VALUE"""),1113.9)</f>
        <v>1113.9000000000001</v>
      </c>
      <c r="AH260" s="6" t="str">
        <f t="shared" ca="1" si="66"/>
        <v>20189</v>
      </c>
      <c r="AI260" s="6">
        <f t="shared" ca="1" si="67"/>
        <v>2018</v>
      </c>
      <c r="AJ260" s="6">
        <f t="shared" ca="1" si="68"/>
        <v>9</v>
      </c>
      <c r="AK260" s="68">
        <f ca="1">IFERROR(__xludf.DUMMYFUNCTION("""COMPUTED_VALUE"""),43352.9986111111)</f>
        <v>43352.998611111099</v>
      </c>
      <c r="AL260" s="6">
        <f ca="1">IFERROR(__xludf.DUMMYFUNCTION("""COMPUTED_VALUE"""),6239.63)</f>
        <v>6239.63</v>
      </c>
      <c r="AP260" s="6" t="str">
        <f t="shared" ca="1" si="69"/>
        <v>20191</v>
      </c>
      <c r="AQ260" s="6">
        <f t="shared" ca="1" si="70"/>
        <v>2019</v>
      </c>
      <c r="AR260" s="6">
        <f t="shared" ca="1" si="71"/>
        <v>1</v>
      </c>
      <c r="AS260" s="68">
        <f ca="1">IFERROR(__xludf.DUMMYFUNCTION("""COMPUTED_VALUE"""),43473.9986111111)</f>
        <v>43473.998611111099</v>
      </c>
      <c r="AT260" s="6">
        <f ca="1">IFERROR(__xludf.DUMMYFUNCTION("""COMPUTED_VALUE"""),1285.9)</f>
        <v>1285.9000000000001</v>
      </c>
    </row>
    <row r="261" spans="2:46" x14ac:dyDescent="0.35">
      <c r="B261" s="6" t="str">
        <f t="shared" ca="1" si="54"/>
        <v>20191</v>
      </c>
      <c r="C261" s="6">
        <f t="shared" ca="1" si="55"/>
        <v>2019</v>
      </c>
      <c r="D261" s="6">
        <f t="shared" ca="1" si="56"/>
        <v>1</v>
      </c>
      <c r="E261" s="68">
        <f ca="1">IFERROR(__xludf.DUMMYFUNCTION("""COMPUTED_VALUE"""),43469.6666666666)</f>
        <v>43469.666666666599</v>
      </c>
      <c r="F261" s="6">
        <f ca="1">IFERROR(__xludf.DUMMYFUNCTION("""COMPUTED_VALUE"""),2531.94)</f>
        <v>2531.94</v>
      </c>
      <c r="J261" s="6" t="str">
        <f t="shared" ca="1" si="57"/>
        <v>20191</v>
      </c>
      <c r="K261" s="6">
        <f t="shared" ca="1" si="58"/>
        <v>2019</v>
      </c>
      <c r="L261" s="6">
        <f t="shared" ca="1" si="59"/>
        <v>1</v>
      </c>
      <c r="M261" s="68">
        <f ca="1">IFERROR(__xludf.DUMMYFUNCTION("""COMPUTED_VALUE"""),43469.6666666666)</f>
        <v>43469.666666666599</v>
      </c>
      <c r="N261" s="6">
        <f ca="1">IFERROR(__xludf.DUMMYFUNCTION("""COMPUTED_VALUE"""),6738.86)</f>
        <v>6738.86</v>
      </c>
      <c r="R261" s="6" t="str">
        <f t="shared" ca="1" si="60"/>
        <v>20191</v>
      </c>
      <c r="S261" s="6">
        <f t="shared" ca="1" si="61"/>
        <v>2019</v>
      </c>
      <c r="T261" s="6">
        <f t="shared" ca="1" si="62"/>
        <v>1</v>
      </c>
      <c r="U261" s="68">
        <f ca="1">IFERROR(__xludf.DUMMYFUNCTION("""COMPUTED_VALUE"""),43488.6458333333)</f>
        <v>43488.645833333299</v>
      </c>
      <c r="V261" s="6">
        <f ca="1">IFERROR(__xludf.DUMMYFUNCTION("""COMPUTED_VALUE"""),2127.78)</f>
        <v>2127.7800000000002</v>
      </c>
      <c r="Z261" s="6" t="str">
        <f t="shared" ca="1" si="63"/>
        <v>20189</v>
      </c>
      <c r="AA261" s="6">
        <f t="shared" ca="1" si="64"/>
        <v>2018</v>
      </c>
      <c r="AB261" s="6">
        <f t="shared" ca="1" si="65"/>
        <v>9</v>
      </c>
      <c r="AC261" s="68">
        <f ca="1">IFERROR(__xludf.DUMMYFUNCTION("""COMPUTED_VALUE"""),43366.9986111111)</f>
        <v>43366.998611111099</v>
      </c>
      <c r="AD261" s="6">
        <f ca="1">IFERROR(__xludf.DUMMYFUNCTION("""COMPUTED_VALUE"""),1114.1)</f>
        <v>1114.0999999999999</v>
      </c>
      <c r="AH261" s="6" t="str">
        <f t="shared" ca="1" si="66"/>
        <v>20189</v>
      </c>
      <c r="AI261" s="6">
        <f t="shared" ca="1" si="67"/>
        <v>2018</v>
      </c>
      <c r="AJ261" s="6">
        <f t="shared" ca="1" si="68"/>
        <v>9</v>
      </c>
      <c r="AK261" s="68">
        <f ca="1">IFERROR(__xludf.DUMMYFUNCTION("""COMPUTED_VALUE"""),43353.9986111111)</f>
        <v>43353.998611111099</v>
      </c>
      <c r="AL261" s="6">
        <f ca="1">IFERROR(__xludf.DUMMYFUNCTION("""COMPUTED_VALUE"""),6309.37)</f>
        <v>6309.37</v>
      </c>
      <c r="AP261" s="6" t="str">
        <f t="shared" ca="1" si="69"/>
        <v>20191</v>
      </c>
      <c r="AQ261" s="6">
        <f t="shared" ca="1" si="70"/>
        <v>2019</v>
      </c>
      <c r="AR261" s="6">
        <f t="shared" ca="1" si="71"/>
        <v>1</v>
      </c>
      <c r="AS261" s="68">
        <f ca="1">IFERROR(__xludf.DUMMYFUNCTION("""COMPUTED_VALUE"""),43474.9986111111)</f>
        <v>43474.998611111099</v>
      </c>
      <c r="AT261" s="6">
        <f ca="1">IFERROR(__xludf.DUMMYFUNCTION("""COMPUTED_VALUE"""),1292)</f>
        <v>1292</v>
      </c>
    </row>
    <row r="262" spans="2:46" x14ac:dyDescent="0.35">
      <c r="B262" s="6" t="str">
        <f t="shared" ca="1" si="54"/>
        <v>20191</v>
      </c>
      <c r="C262" s="6">
        <f t="shared" ca="1" si="55"/>
        <v>2019</v>
      </c>
      <c r="D262" s="6">
        <f t="shared" ca="1" si="56"/>
        <v>1</v>
      </c>
      <c r="E262" s="68">
        <f ca="1">IFERROR(__xludf.DUMMYFUNCTION("""COMPUTED_VALUE"""),43472.6666666666)</f>
        <v>43472.666666666599</v>
      </c>
      <c r="F262" s="6">
        <f ca="1">IFERROR(__xludf.DUMMYFUNCTION("""COMPUTED_VALUE"""),2549.69)</f>
        <v>2549.69</v>
      </c>
      <c r="J262" s="6" t="str">
        <f t="shared" ca="1" si="57"/>
        <v>20191</v>
      </c>
      <c r="K262" s="6">
        <f t="shared" ca="1" si="58"/>
        <v>2019</v>
      </c>
      <c r="L262" s="6">
        <f t="shared" ca="1" si="59"/>
        <v>1</v>
      </c>
      <c r="M262" s="68">
        <f ca="1">IFERROR(__xludf.DUMMYFUNCTION("""COMPUTED_VALUE"""),43472.6666666666)</f>
        <v>43472.666666666599</v>
      </c>
      <c r="N262" s="6">
        <f ca="1">IFERROR(__xludf.DUMMYFUNCTION("""COMPUTED_VALUE"""),6823.47)</f>
        <v>6823.47</v>
      </c>
      <c r="R262" s="6" t="str">
        <f t="shared" ca="1" si="60"/>
        <v>20191</v>
      </c>
      <c r="S262" s="6">
        <f t="shared" ca="1" si="61"/>
        <v>2019</v>
      </c>
      <c r="T262" s="6">
        <f t="shared" ca="1" si="62"/>
        <v>1</v>
      </c>
      <c r="U262" s="68">
        <f ca="1">IFERROR(__xludf.DUMMYFUNCTION("""COMPUTED_VALUE"""),43489.6458333333)</f>
        <v>43489.645833333299</v>
      </c>
      <c r="V262" s="6">
        <f ca="1">IFERROR(__xludf.DUMMYFUNCTION("""COMPUTED_VALUE"""),2145.03)</f>
        <v>2145.0300000000002</v>
      </c>
      <c r="Z262" s="6" t="str">
        <f t="shared" ca="1" si="63"/>
        <v>20189</v>
      </c>
      <c r="AA262" s="6">
        <f t="shared" ca="1" si="64"/>
        <v>2018</v>
      </c>
      <c r="AB262" s="6">
        <f t="shared" ca="1" si="65"/>
        <v>9</v>
      </c>
      <c r="AC262" s="68">
        <f ca="1">IFERROR(__xludf.DUMMYFUNCTION("""COMPUTED_VALUE"""),43367.9986111111)</f>
        <v>43367.998611111099</v>
      </c>
      <c r="AD262" s="6">
        <f ca="1">IFERROR(__xludf.DUMMYFUNCTION("""COMPUTED_VALUE"""),1117.85)</f>
        <v>1117.8499999999999</v>
      </c>
      <c r="AH262" s="6" t="str">
        <f t="shared" ca="1" si="66"/>
        <v>20189</v>
      </c>
      <c r="AI262" s="6">
        <f t="shared" ca="1" si="67"/>
        <v>2018</v>
      </c>
      <c r="AJ262" s="6">
        <f t="shared" ca="1" si="68"/>
        <v>9</v>
      </c>
      <c r="AK262" s="68">
        <f ca="1">IFERROR(__xludf.DUMMYFUNCTION("""COMPUTED_VALUE"""),43354.9986111111)</f>
        <v>43354.998611111099</v>
      </c>
      <c r="AL262" s="6">
        <f ca="1">IFERROR(__xludf.DUMMYFUNCTION("""COMPUTED_VALUE"""),6290.01)</f>
        <v>6290.01</v>
      </c>
      <c r="AP262" s="6" t="str">
        <f t="shared" ca="1" si="69"/>
        <v>20191</v>
      </c>
      <c r="AQ262" s="6">
        <f t="shared" ca="1" si="70"/>
        <v>2019</v>
      </c>
      <c r="AR262" s="6">
        <f t="shared" ca="1" si="71"/>
        <v>1</v>
      </c>
      <c r="AS262" s="68">
        <f ca="1">IFERROR(__xludf.DUMMYFUNCTION("""COMPUTED_VALUE"""),43475.9986111111)</f>
        <v>43475.998611111099</v>
      </c>
      <c r="AT262" s="6">
        <f ca="1">IFERROR(__xludf.DUMMYFUNCTION("""COMPUTED_VALUE"""),1287.4)</f>
        <v>1287.4000000000001</v>
      </c>
    </row>
    <row r="263" spans="2:46" x14ac:dyDescent="0.35">
      <c r="B263" s="6" t="str">
        <f t="shared" ref="B263:B326" ca="1" si="72">C263&amp;D263</f>
        <v>20191</v>
      </c>
      <c r="C263" s="6">
        <f t="shared" ref="C263:C326" ca="1" si="73">YEAR(E263)</f>
        <v>2019</v>
      </c>
      <c r="D263" s="6">
        <f t="shared" ref="D263:D326" ca="1" si="74">MONTH(E263)</f>
        <v>1</v>
      </c>
      <c r="E263" s="68">
        <f ca="1">IFERROR(__xludf.DUMMYFUNCTION("""COMPUTED_VALUE"""),43473.6666666666)</f>
        <v>43473.666666666599</v>
      </c>
      <c r="F263" s="6">
        <f ca="1">IFERROR(__xludf.DUMMYFUNCTION("""COMPUTED_VALUE"""),2574.41)</f>
        <v>2574.41</v>
      </c>
      <c r="J263" s="6" t="str">
        <f t="shared" ref="J263:J326" ca="1" si="75">K263&amp;L263</f>
        <v>20191</v>
      </c>
      <c r="K263" s="6">
        <f t="shared" ref="K263:K326" ca="1" si="76">YEAR(M263)</f>
        <v>2019</v>
      </c>
      <c r="L263" s="6">
        <f t="shared" ref="L263:L326" ca="1" si="77">MONTH(M263)</f>
        <v>1</v>
      </c>
      <c r="M263" s="68">
        <f ca="1">IFERROR(__xludf.DUMMYFUNCTION("""COMPUTED_VALUE"""),43473.6666666666)</f>
        <v>43473.666666666599</v>
      </c>
      <c r="N263" s="6">
        <f ca="1">IFERROR(__xludf.DUMMYFUNCTION("""COMPUTED_VALUE"""),6897)</f>
        <v>6897</v>
      </c>
      <c r="R263" s="6" t="str">
        <f t="shared" ref="R263:R326" ca="1" si="78">S263&amp;T263</f>
        <v>20191</v>
      </c>
      <c r="S263" s="6">
        <f t="shared" ref="S263:S326" ca="1" si="79">YEAR(U263)</f>
        <v>2019</v>
      </c>
      <c r="T263" s="6">
        <f t="shared" ref="T263:T326" ca="1" si="80">MONTH(U263)</f>
        <v>1</v>
      </c>
      <c r="U263" s="68">
        <f ca="1">IFERROR(__xludf.DUMMYFUNCTION("""COMPUTED_VALUE"""),43490.6458333333)</f>
        <v>43490.645833333299</v>
      </c>
      <c r="V263" s="6">
        <f ca="1">IFERROR(__xludf.DUMMYFUNCTION("""COMPUTED_VALUE"""),2177.73)</f>
        <v>2177.73</v>
      </c>
      <c r="Z263" s="6" t="str">
        <f t="shared" ref="Z263:Z326" ca="1" si="81">AA263&amp;AB263</f>
        <v>20189</v>
      </c>
      <c r="AA263" s="6">
        <f t="shared" ref="AA263:AA326" ca="1" si="82">YEAR(AC263)</f>
        <v>2018</v>
      </c>
      <c r="AB263" s="6">
        <f t="shared" ref="AB263:AB326" ca="1" si="83">MONTH(AC263)</f>
        <v>9</v>
      </c>
      <c r="AC263" s="68">
        <f ca="1">IFERROR(__xludf.DUMMYFUNCTION("""COMPUTED_VALUE"""),43368.9986111111)</f>
        <v>43368.998611111099</v>
      </c>
      <c r="AD263" s="6">
        <f ca="1">IFERROR(__xludf.DUMMYFUNCTION("""COMPUTED_VALUE"""),1115.83)</f>
        <v>1115.83</v>
      </c>
      <c r="AH263" s="6" t="str">
        <f t="shared" ref="AH263:AH326" ca="1" si="84">AI263&amp;AJ263</f>
        <v>20189</v>
      </c>
      <c r="AI263" s="6">
        <f t="shared" ref="AI263:AI326" ca="1" si="85">YEAR(AK263)</f>
        <v>2018</v>
      </c>
      <c r="AJ263" s="6">
        <f t="shared" ref="AJ263:AJ326" ca="1" si="86">MONTH(AK263)</f>
        <v>9</v>
      </c>
      <c r="AK263" s="68">
        <f ca="1">IFERROR(__xludf.DUMMYFUNCTION("""COMPUTED_VALUE"""),43355.9986111111)</f>
        <v>43355.998611111099</v>
      </c>
      <c r="AL263" s="6">
        <f ca="1">IFERROR(__xludf.DUMMYFUNCTION("""COMPUTED_VALUE"""),6330.41)</f>
        <v>6330.41</v>
      </c>
      <c r="AP263" s="6" t="str">
        <f t="shared" ref="AP263:AP326" ca="1" si="87">AQ263&amp;AR263</f>
        <v>20191</v>
      </c>
      <c r="AQ263" s="6">
        <f t="shared" ref="AQ263:AQ326" ca="1" si="88">YEAR(AS263)</f>
        <v>2019</v>
      </c>
      <c r="AR263" s="6">
        <f t="shared" ref="AR263:AR326" ca="1" si="89">MONTH(AS263)</f>
        <v>1</v>
      </c>
      <c r="AS263" s="68">
        <f ca="1">IFERROR(__xludf.DUMMYFUNCTION("""COMPUTED_VALUE"""),43476.9986111111)</f>
        <v>43476.998611111099</v>
      </c>
      <c r="AT263" s="6">
        <f ca="1">IFERROR(__xludf.DUMMYFUNCTION("""COMPUTED_VALUE"""),1289.5)</f>
        <v>1289.5</v>
      </c>
    </row>
    <row r="264" spans="2:46" x14ac:dyDescent="0.35">
      <c r="B264" s="6" t="str">
        <f t="shared" ca="1" si="72"/>
        <v>20191</v>
      </c>
      <c r="C264" s="6">
        <f t="shared" ca="1" si="73"/>
        <v>2019</v>
      </c>
      <c r="D264" s="6">
        <f t="shared" ca="1" si="74"/>
        <v>1</v>
      </c>
      <c r="E264" s="68">
        <f ca="1">IFERROR(__xludf.DUMMYFUNCTION("""COMPUTED_VALUE"""),43474.6666666666)</f>
        <v>43474.666666666599</v>
      </c>
      <c r="F264" s="6">
        <f ca="1">IFERROR(__xludf.DUMMYFUNCTION("""COMPUTED_VALUE"""),2584.96)</f>
        <v>2584.96</v>
      </c>
      <c r="J264" s="6" t="str">
        <f t="shared" ca="1" si="75"/>
        <v>20191</v>
      </c>
      <c r="K264" s="6">
        <f t="shared" ca="1" si="76"/>
        <v>2019</v>
      </c>
      <c r="L264" s="6">
        <f t="shared" ca="1" si="77"/>
        <v>1</v>
      </c>
      <c r="M264" s="68">
        <f ca="1">IFERROR(__xludf.DUMMYFUNCTION("""COMPUTED_VALUE"""),43474.6666666666)</f>
        <v>43474.666666666599</v>
      </c>
      <c r="N264" s="6">
        <f ca="1">IFERROR(__xludf.DUMMYFUNCTION("""COMPUTED_VALUE"""),6957.08)</f>
        <v>6957.08</v>
      </c>
      <c r="R264" s="6" t="str">
        <f t="shared" ca="1" si="78"/>
        <v>20191</v>
      </c>
      <c r="S264" s="6">
        <f t="shared" ca="1" si="79"/>
        <v>2019</v>
      </c>
      <c r="T264" s="6">
        <f t="shared" ca="1" si="80"/>
        <v>1</v>
      </c>
      <c r="U264" s="68">
        <f ca="1">IFERROR(__xludf.DUMMYFUNCTION("""COMPUTED_VALUE"""),43493.6458333333)</f>
        <v>43493.645833333299</v>
      </c>
      <c r="V264" s="6">
        <f ca="1">IFERROR(__xludf.DUMMYFUNCTION("""COMPUTED_VALUE"""),2177.3)</f>
        <v>2177.3000000000002</v>
      </c>
      <c r="Z264" s="6" t="str">
        <f t="shared" ca="1" si="81"/>
        <v>20189</v>
      </c>
      <c r="AA264" s="6">
        <f t="shared" ca="1" si="82"/>
        <v>2018</v>
      </c>
      <c r="AB264" s="6">
        <f t="shared" ca="1" si="83"/>
        <v>9</v>
      </c>
      <c r="AC264" s="68">
        <f ca="1">IFERROR(__xludf.DUMMYFUNCTION("""COMPUTED_VALUE"""),43369.9986111111)</f>
        <v>43369.998611111099</v>
      </c>
      <c r="AD264" s="6">
        <f ca="1">IFERROR(__xludf.DUMMYFUNCTION("""COMPUTED_VALUE"""),1114.17)</f>
        <v>1114.17</v>
      </c>
      <c r="AH264" s="6" t="str">
        <f t="shared" ca="1" si="84"/>
        <v>20189</v>
      </c>
      <c r="AI264" s="6">
        <f t="shared" ca="1" si="85"/>
        <v>2018</v>
      </c>
      <c r="AJ264" s="6">
        <f t="shared" ca="1" si="86"/>
        <v>9</v>
      </c>
      <c r="AK264" s="68">
        <f ca="1">IFERROR(__xludf.DUMMYFUNCTION("""COMPUTED_VALUE"""),43356.9986111111)</f>
        <v>43356.998611111099</v>
      </c>
      <c r="AL264" s="6">
        <f ca="1">IFERROR(__xludf.DUMMYFUNCTION("""COMPUTED_VALUE"""),6484.96)</f>
        <v>6484.96</v>
      </c>
      <c r="AP264" s="6" t="str">
        <f t="shared" ca="1" si="87"/>
        <v>20191</v>
      </c>
      <c r="AQ264" s="6">
        <f t="shared" ca="1" si="88"/>
        <v>2019</v>
      </c>
      <c r="AR264" s="6">
        <f t="shared" ca="1" si="89"/>
        <v>1</v>
      </c>
      <c r="AS264" s="68">
        <f ca="1">IFERROR(__xludf.DUMMYFUNCTION("""COMPUTED_VALUE"""),43479.9986111111)</f>
        <v>43479.998611111099</v>
      </c>
      <c r="AT264" s="6">
        <f ca="1">IFERROR(__xludf.DUMMYFUNCTION("""COMPUTED_VALUE"""),1291.3)</f>
        <v>1291.3</v>
      </c>
    </row>
    <row r="265" spans="2:46" x14ac:dyDescent="0.35">
      <c r="B265" s="6" t="str">
        <f t="shared" ca="1" si="72"/>
        <v>20191</v>
      </c>
      <c r="C265" s="6">
        <f t="shared" ca="1" si="73"/>
        <v>2019</v>
      </c>
      <c r="D265" s="6">
        <f t="shared" ca="1" si="74"/>
        <v>1</v>
      </c>
      <c r="E265" s="68">
        <f ca="1">IFERROR(__xludf.DUMMYFUNCTION("""COMPUTED_VALUE"""),43475.6666666666)</f>
        <v>43475.666666666599</v>
      </c>
      <c r="F265" s="6">
        <f ca="1">IFERROR(__xludf.DUMMYFUNCTION("""COMPUTED_VALUE"""),2596.64)</f>
        <v>2596.64</v>
      </c>
      <c r="J265" s="6" t="str">
        <f t="shared" ca="1" si="75"/>
        <v>20191</v>
      </c>
      <c r="K265" s="6">
        <f t="shared" ca="1" si="76"/>
        <v>2019</v>
      </c>
      <c r="L265" s="6">
        <f t="shared" ca="1" si="77"/>
        <v>1</v>
      </c>
      <c r="M265" s="68">
        <f ca="1">IFERROR(__xludf.DUMMYFUNCTION("""COMPUTED_VALUE"""),43475.6666666666)</f>
        <v>43475.666666666599</v>
      </c>
      <c r="N265" s="6">
        <f ca="1">IFERROR(__xludf.DUMMYFUNCTION("""COMPUTED_VALUE"""),6986.07)</f>
        <v>6986.07</v>
      </c>
      <c r="R265" s="6" t="str">
        <f t="shared" ca="1" si="78"/>
        <v>20191</v>
      </c>
      <c r="S265" s="6">
        <f t="shared" ca="1" si="79"/>
        <v>2019</v>
      </c>
      <c r="T265" s="6">
        <f t="shared" ca="1" si="80"/>
        <v>1</v>
      </c>
      <c r="U265" s="68">
        <f ca="1">IFERROR(__xludf.DUMMYFUNCTION("""COMPUTED_VALUE"""),43494.6458333333)</f>
        <v>43494.645833333299</v>
      </c>
      <c r="V265" s="6">
        <f ca="1">IFERROR(__xludf.DUMMYFUNCTION("""COMPUTED_VALUE"""),2183.36)</f>
        <v>2183.36</v>
      </c>
      <c r="Z265" s="6" t="str">
        <f t="shared" ca="1" si="81"/>
        <v>20189</v>
      </c>
      <c r="AA265" s="6">
        <f t="shared" ca="1" si="82"/>
        <v>2018</v>
      </c>
      <c r="AB265" s="6">
        <f t="shared" ca="1" si="83"/>
        <v>9</v>
      </c>
      <c r="AC265" s="68">
        <f ca="1">IFERROR(__xludf.DUMMYFUNCTION("""COMPUTED_VALUE"""),43370.9986111111)</f>
        <v>43370.998611111099</v>
      </c>
      <c r="AD265" s="6">
        <f ca="1">IFERROR(__xludf.DUMMYFUNCTION("""COMPUTED_VALUE"""),1112.31)</f>
        <v>1112.31</v>
      </c>
      <c r="AH265" s="6" t="str">
        <f t="shared" ca="1" si="84"/>
        <v>20189</v>
      </c>
      <c r="AI265" s="6">
        <f t="shared" ca="1" si="85"/>
        <v>2018</v>
      </c>
      <c r="AJ265" s="6">
        <f t="shared" ca="1" si="86"/>
        <v>9</v>
      </c>
      <c r="AK265" s="68">
        <f ca="1">IFERROR(__xludf.DUMMYFUNCTION("""COMPUTED_VALUE"""),43357.9986111111)</f>
        <v>43357.998611111099</v>
      </c>
      <c r="AL265" s="6">
        <f ca="1">IFERROR(__xludf.DUMMYFUNCTION("""COMPUTED_VALUE"""),6488.08)</f>
        <v>6488.08</v>
      </c>
      <c r="AP265" s="6" t="str">
        <f t="shared" ca="1" si="87"/>
        <v>20191</v>
      </c>
      <c r="AQ265" s="6">
        <f t="shared" ca="1" si="88"/>
        <v>2019</v>
      </c>
      <c r="AR265" s="6">
        <f t="shared" ca="1" si="89"/>
        <v>1</v>
      </c>
      <c r="AS265" s="68">
        <f ca="1">IFERROR(__xludf.DUMMYFUNCTION("""COMPUTED_VALUE"""),43480.9986111111)</f>
        <v>43480.998611111099</v>
      </c>
      <c r="AT265" s="6">
        <f ca="1">IFERROR(__xludf.DUMMYFUNCTION("""COMPUTED_VALUE"""),1288.4)</f>
        <v>1288.4000000000001</v>
      </c>
    </row>
    <row r="266" spans="2:46" x14ac:dyDescent="0.35">
      <c r="B266" s="6" t="str">
        <f t="shared" ca="1" si="72"/>
        <v>20191</v>
      </c>
      <c r="C266" s="6">
        <f t="shared" ca="1" si="73"/>
        <v>2019</v>
      </c>
      <c r="D266" s="6">
        <f t="shared" ca="1" si="74"/>
        <v>1</v>
      </c>
      <c r="E266" s="68">
        <f ca="1">IFERROR(__xludf.DUMMYFUNCTION("""COMPUTED_VALUE"""),43476.6666666666)</f>
        <v>43476.666666666599</v>
      </c>
      <c r="F266" s="6">
        <f ca="1">IFERROR(__xludf.DUMMYFUNCTION("""COMPUTED_VALUE"""),2596.26)</f>
        <v>2596.2600000000002</v>
      </c>
      <c r="J266" s="6" t="str">
        <f t="shared" ca="1" si="75"/>
        <v>20191</v>
      </c>
      <c r="K266" s="6">
        <f t="shared" ca="1" si="76"/>
        <v>2019</v>
      </c>
      <c r="L266" s="6">
        <f t="shared" ca="1" si="77"/>
        <v>1</v>
      </c>
      <c r="M266" s="68">
        <f ca="1">IFERROR(__xludf.DUMMYFUNCTION("""COMPUTED_VALUE"""),43476.6666666666)</f>
        <v>43476.666666666599</v>
      </c>
      <c r="N266" s="6">
        <f ca="1">IFERROR(__xludf.DUMMYFUNCTION("""COMPUTED_VALUE"""),6971.48)</f>
        <v>6971.48</v>
      </c>
      <c r="R266" s="6" t="str">
        <f t="shared" ca="1" si="78"/>
        <v>20191</v>
      </c>
      <c r="S266" s="6">
        <f t="shared" ca="1" si="79"/>
        <v>2019</v>
      </c>
      <c r="T266" s="6">
        <f t="shared" ca="1" si="80"/>
        <v>1</v>
      </c>
      <c r="U266" s="68">
        <f ca="1">IFERROR(__xludf.DUMMYFUNCTION("""COMPUTED_VALUE"""),43495.6458333333)</f>
        <v>43495.645833333299</v>
      </c>
      <c r="V266" s="6">
        <f ca="1">IFERROR(__xludf.DUMMYFUNCTION("""COMPUTED_VALUE"""),2206.2)</f>
        <v>2206.1999999999998</v>
      </c>
      <c r="Z266" s="6" t="str">
        <f t="shared" ca="1" si="81"/>
        <v>20189</v>
      </c>
      <c r="AA266" s="6">
        <f t="shared" ca="1" si="82"/>
        <v>2018</v>
      </c>
      <c r="AB266" s="6">
        <f t="shared" ca="1" si="83"/>
        <v>9</v>
      </c>
      <c r="AC266" s="68">
        <f ca="1">IFERROR(__xludf.DUMMYFUNCTION("""COMPUTED_VALUE"""),43371.9986111111)</f>
        <v>43371.998611111099</v>
      </c>
      <c r="AD266" s="6">
        <f ca="1">IFERROR(__xludf.DUMMYFUNCTION("""COMPUTED_VALUE"""),1109.16)</f>
        <v>1109.1600000000001</v>
      </c>
      <c r="AH266" s="6" t="str">
        <f t="shared" ca="1" si="84"/>
        <v>20189</v>
      </c>
      <c r="AI266" s="6">
        <f t="shared" ca="1" si="85"/>
        <v>2018</v>
      </c>
      <c r="AJ266" s="6">
        <f t="shared" ca="1" si="86"/>
        <v>9</v>
      </c>
      <c r="AK266" s="68">
        <f ca="1">IFERROR(__xludf.DUMMYFUNCTION("""COMPUTED_VALUE"""),43358.9986111111)</f>
        <v>43358.998611111099</v>
      </c>
      <c r="AL266" s="6">
        <f ca="1">IFERROR(__xludf.DUMMYFUNCTION("""COMPUTED_VALUE"""),6519.52)</f>
        <v>6519.52</v>
      </c>
      <c r="AP266" s="6" t="str">
        <f t="shared" ca="1" si="87"/>
        <v>20191</v>
      </c>
      <c r="AQ266" s="6">
        <f t="shared" ca="1" si="88"/>
        <v>2019</v>
      </c>
      <c r="AR266" s="6">
        <f t="shared" ca="1" si="89"/>
        <v>1</v>
      </c>
      <c r="AS266" s="68">
        <f ca="1">IFERROR(__xludf.DUMMYFUNCTION("""COMPUTED_VALUE"""),43481.9986111111)</f>
        <v>43481.998611111099</v>
      </c>
      <c r="AT266" s="6">
        <f ca="1">IFERROR(__xludf.DUMMYFUNCTION("""COMPUTED_VALUE"""),1293.8)</f>
        <v>1293.8</v>
      </c>
    </row>
    <row r="267" spans="2:46" x14ac:dyDescent="0.35">
      <c r="B267" s="6" t="str">
        <f t="shared" ca="1" si="72"/>
        <v>20191</v>
      </c>
      <c r="C267" s="6">
        <f t="shared" ca="1" si="73"/>
        <v>2019</v>
      </c>
      <c r="D267" s="6">
        <f t="shared" ca="1" si="74"/>
        <v>1</v>
      </c>
      <c r="E267" s="68">
        <f ca="1">IFERROR(__xludf.DUMMYFUNCTION("""COMPUTED_VALUE"""),43479.6666666666)</f>
        <v>43479.666666666599</v>
      </c>
      <c r="F267" s="6">
        <f ca="1">IFERROR(__xludf.DUMMYFUNCTION("""COMPUTED_VALUE"""),2582.61)</f>
        <v>2582.61</v>
      </c>
      <c r="J267" s="6" t="str">
        <f t="shared" ca="1" si="75"/>
        <v>20191</v>
      </c>
      <c r="K267" s="6">
        <f t="shared" ca="1" si="76"/>
        <v>2019</v>
      </c>
      <c r="L267" s="6">
        <f t="shared" ca="1" si="77"/>
        <v>1</v>
      </c>
      <c r="M267" s="68">
        <f ca="1">IFERROR(__xludf.DUMMYFUNCTION("""COMPUTED_VALUE"""),43479.6666666666)</f>
        <v>43479.666666666599</v>
      </c>
      <c r="N267" s="6">
        <f ca="1">IFERROR(__xludf.DUMMYFUNCTION("""COMPUTED_VALUE"""),6905.92)</f>
        <v>6905.92</v>
      </c>
      <c r="R267" s="6" t="str">
        <f t="shared" ca="1" si="78"/>
        <v>20191</v>
      </c>
      <c r="S267" s="6">
        <f t="shared" ca="1" si="79"/>
        <v>2019</v>
      </c>
      <c r="T267" s="6">
        <f t="shared" ca="1" si="80"/>
        <v>1</v>
      </c>
      <c r="U267" s="68">
        <f ca="1">IFERROR(__xludf.DUMMYFUNCTION("""COMPUTED_VALUE"""),43496.6458333333)</f>
        <v>43496.645833333299</v>
      </c>
      <c r="V267" s="6">
        <f ca="1">IFERROR(__xludf.DUMMYFUNCTION("""COMPUTED_VALUE"""),2204.85)</f>
        <v>2204.85</v>
      </c>
      <c r="Z267" s="6" t="str">
        <f t="shared" ca="1" si="81"/>
        <v>20189</v>
      </c>
      <c r="AA267" s="6">
        <f t="shared" ca="1" si="82"/>
        <v>2018</v>
      </c>
      <c r="AB267" s="6">
        <f t="shared" ca="1" si="83"/>
        <v>9</v>
      </c>
      <c r="AC267" s="68">
        <f ca="1">IFERROR(__xludf.DUMMYFUNCTION("""COMPUTED_VALUE"""),43373.9986111111)</f>
        <v>43373.998611111099</v>
      </c>
      <c r="AD267" s="6">
        <f ca="1">IFERROR(__xludf.DUMMYFUNCTION("""COMPUTED_VALUE"""),1109.01)</f>
        <v>1109.01</v>
      </c>
      <c r="AH267" s="6" t="str">
        <f t="shared" ca="1" si="84"/>
        <v>20189</v>
      </c>
      <c r="AI267" s="6">
        <f t="shared" ca="1" si="85"/>
        <v>2018</v>
      </c>
      <c r="AJ267" s="6">
        <f t="shared" ca="1" si="86"/>
        <v>9</v>
      </c>
      <c r="AK267" s="68">
        <f ca="1">IFERROR(__xludf.DUMMYFUNCTION("""COMPUTED_VALUE"""),43359.9986111111)</f>
        <v>43359.998611111099</v>
      </c>
      <c r="AL267" s="6">
        <f ca="1">IFERROR(__xludf.DUMMYFUNCTION("""COMPUTED_VALUE"""),6501.13)</f>
        <v>6501.13</v>
      </c>
      <c r="AP267" s="6" t="str">
        <f t="shared" ca="1" si="87"/>
        <v>20191</v>
      </c>
      <c r="AQ267" s="6">
        <f t="shared" ca="1" si="88"/>
        <v>2019</v>
      </c>
      <c r="AR267" s="6">
        <f t="shared" ca="1" si="89"/>
        <v>1</v>
      </c>
      <c r="AS267" s="68">
        <f ca="1">IFERROR(__xludf.DUMMYFUNCTION("""COMPUTED_VALUE"""),43482.9986111111)</f>
        <v>43482.998611111099</v>
      </c>
      <c r="AT267" s="6">
        <f ca="1">IFERROR(__xludf.DUMMYFUNCTION("""COMPUTED_VALUE"""),1292.3)</f>
        <v>1292.3</v>
      </c>
    </row>
    <row r="268" spans="2:46" x14ac:dyDescent="0.35">
      <c r="B268" s="6" t="str">
        <f t="shared" ca="1" si="72"/>
        <v>20191</v>
      </c>
      <c r="C268" s="6">
        <f t="shared" ca="1" si="73"/>
        <v>2019</v>
      </c>
      <c r="D268" s="6">
        <f t="shared" ca="1" si="74"/>
        <v>1</v>
      </c>
      <c r="E268" s="68">
        <f ca="1">IFERROR(__xludf.DUMMYFUNCTION("""COMPUTED_VALUE"""),43480.6666666666)</f>
        <v>43480.666666666599</v>
      </c>
      <c r="F268" s="6">
        <f ca="1">IFERROR(__xludf.DUMMYFUNCTION("""COMPUTED_VALUE"""),2610.3)</f>
        <v>2610.3000000000002</v>
      </c>
      <c r="J268" s="6" t="str">
        <f t="shared" ca="1" si="75"/>
        <v>20191</v>
      </c>
      <c r="K268" s="6">
        <f t="shared" ca="1" si="76"/>
        <v>2019</v>
      </c>
      <c r="L268" s="6">
        <f t="shared" ca="1" si="77"/>
        <v>1</v>
      </c>
      <c r="M268" s="68">
        <f ca="1">IFERROR(__xludf.DUMMYFUNCTION("""COMPUTED_VALUE"""),43480.6666666666)</f>
        <v>43480.666666666599</v>
      </c>
      <c r="N268" s="6">
        <f ca="1">IFERROR(__xludf.DUMMYFUNCTION("""COMPUTED_VALUE"""),7023.83)</f>
        <v>7023.83</v>
      </c>
      <c r="R268" s="6" t="str">
        <f t="shared" ca="1" si="78"/>
        <v>20192</v>
      </c>
      <c r="S268" s="6">
        <f t="shared" ca="1" si="79"/>
        <v>2019</v>
      </c>
      <c r="T268" s="6">
        <f t="shared" ca="1" si="80"/>
        <v>2</v>
      </c>
      <c r="U268" s="68">
        <f ca="1">IFERROR(__xludf.DUMMYFUNCTION("""COMPUTED_VALUE"""),43497.6458333333)</f>
        <v>43497.645833333299</v>
      </c>
      <c r="V268" s="6">
        <f ca="1">IFERROR(__xludf.DUMMYFUNCTION("""COMPUTED_VALUE"""),2203.46)</f>
        <v>2203.46</v>
      </c>
      <c r="Z268" s="6" t="str">
        <f t="shared" ca="1" si="81"/>
        <v>201810</v>
      </c>
      <c r="AA268" s="6">
        <f t="shared" ca="1" si="82"/>
        <v>2018</v>
      </c>
      <c r="AB268" s="6">
        <f t="shared" ca="1" si="83"/>
        <v>10</v>
      </c>
      <c r="AC268" s="68">
        <f ca="1">IFERROR(__xludf.DUMMYFUNCTION("""COMPUTED_VALUE"""),43374.9986111111)</f>
        <v>43374.998611111099</v>
      </c>
      <c r="AD268" s="6">
        <f ca="1">IFERROR(__xludf.DUMMYFUNCTION("""COMPUTED_VALUE"""),1112.25)</f>
        <v>1112.25</v>
      </c>
      <c r="AH268" s="6" t="str">
        <f t="shared" ca="1" si="84"/>
        <v>20189</v>
      </c>
      <c r="AI268" s="6">
        <f t="shared" ca="1" si="85"/>
        <v>2018</v>
      </c>
      <c r="AJ268" s="6">
        <f t="shared" ca="1" si="86"/>
        <v>9</v>
      </c>
      <c r="AK268" s="68">
        <f ca="1">IFERROR(__xludf.DUMMYFUNCTION("""COMPUTED_VALUE"""),43360.9986111111)</f>
        <v>43360.998611111099</v>
      </c>
      <c r="AL268" s="6">
        <f ca="1">IFERROR(__xludf.DUMMYFUNCTION("""COMPUTED_VALUE"""),6252.05)</f>
        <v>6252.05</v>
      </c>
      <c r="AP268" s="6" t="str">
        <f t="shared" ca="1" si="87"/>
        <v>20191</v>
      </c>
      <c r="AQ268" s="6">
        <f t="shared" ca="1" si="88"/>
        <v>2019</v>
      </c>
      <c r="AR268" s="6">
        <f t="shared" ca="1" si="89"/>
        <v>1</v>
      </c>
      <c r="AS268" s="68">
        <f ca="1">IFERROR(__xludf.DUMMYFUNCTION("""COMPUTED_VALUE"""),43483.9986111111)</f>
        <v>43483.998611111099</v>
      </c>
      <c r="AT268" s="6">
        <f ca="1">IFERROR(__xludf.DUMMYFUNCTION("""COMPUTED_VALUE"""),1282.6)</f>
        <v>1282.5999999999999</v>
      </c>
    </row>
    <row r="269" spans="2:46" x14ac:dyDescent="0.35">
      <c r="B269" s="6" t="str">
        <f t="shared" ca="1" si="72"/>
        <v>20191</v>
      </c>
      <c r="C269" s="6">
        <f t="shared" ca="1" si="73"/>
        <v>2019</v>
      </c>
      <c r="D269" s="6">
        <f t="shared" ca="1" si="74"/>
        <v>1</v>
      </c>
      <c r="E269" s="68">
        <f ca="1">IFERROR(__xludf.DUMMYFUNCTION("""COMPUTED_VALUE"""),43481.6666666666)</f>
        <v>43481.666666666599</v>
      </c>
      <c r="F269" s="6">
        <f ca="1">IFERROR(__xludf.DUMMYFUNCTION("""COMPUTED_VALUE"""),2616.1)</f>
        <v>2616.1</v>
      </c>
      <c r="J269" s="6" t="str">
        <f t="shared" ca="1" si="75"/>
        <v>20191</v>
      </c>
      <c r="K269" s="6">
        <f t="shared" ca="1" si="76"/>
        <v>2019</v>
      </c>
      <c r="L269" s="6">
        <f t="shared" ca="1" si="77"/>
        <v>1</v>
      </c>
      <c r="M269" s="68">
        <f ca="1">IFERROR(__xludf.DUMMYFUNCTION("""COMPUTED_VALUE"""),43481.6666666666)</f>
        <v>43481.666666666599</v>
      </c>
      <c r="N269" s="6">
        <f ca="1">IFERROR(__xludf.DUMMYFUNCTION("""COMPUTED_VALUE"""),7034.69)</f>
        <v>7034.69</v>
      </c>
      <c r="R269" s="6" t="str">
        <f t="shared" ca="1" si="78"/>
        <v>20192</v>
      </c>
      <c r="S269" s="6">
        <f t="shared" ca="1" si="79"/>
        <v>2019</v>
      </c>
      <c r="T269" s="6">
        <f t="shared" ca="1" si="80"/>
        <v>2</v>
      </c>
      <c r="U269" s="68">
        <f ca="1">IFERROR(__xludf.DUMMYFUNCTION("""COMPUTED_VALUE"""),43503.6458333333)</f>
        <v>43503.645833333299</v>
      </c>
      <c r="V269" s="6">
        <f ca="1">IFERROR(__xludf.DUMMYFUNCTION("""COMPUTED_VALUE"""),2203.42)</f>
        <v>2203.42</v>
      </c>
      <c r="Z269" s="6" t="str">
        <f t="shared" ca="1" si="81"/>
        <v>201810</v>
      </c>
      <c r="AA269" s="6">
        <f t="shared" ca="1" si="82"/>
        <v>2018</v>
      </c>
      <c r="AB269" s="6">
        <f t="shared" ca="1" si="83"/>
        <v>10</v>
      </c>
      <c r="AC269" s="68">
        <f ca="1">IFERROR(__xludf.DUMMYFUNCTION("""COMPUTED_VALUE"""),43375.9986111111)</f>
        <v>43375.998611111099</v>
      </c>
      <c r="AD269" s="6">
        <f ca="1">IFERROR(__xludf.DUMMYFUNCTION("""COMPUTED_VALUE"""),1117.5)</f>
        <v>1117.5</v>
      </c>
      <c r="AH269" s="6" t="str">
        <f t="shared" ca="1" si="84"/>
        <v>20189</v>
      </c>
      <c r="AI269" s="6">
        <f t="shared" ca="1" si="85"/>
        <v>2018</v>
      </c>
      <c r="AJ269" s="6">
        <f t="shared" ca="1" si="86"/>
        <v>9</v>
      </c>
      <c r="AK269" s="68">
        <f ca="1">IFERROR(__xludf.DUMMYFUNCTION("""COMPUTED_VALUE"""),43361.9986111111)</f>
        <v>43361.998611111099</v>
      </c>
      <c r="AL269" s="6">
        <f ca="1">IFERROR(__xludf.DUMMYFUNCTION("""COMPUTED_VALUE"""),6351.71)</f>
        <v>6351.71</v>
      </c>
      <c r="AP269" s="6" t="str">
        <f t="shared" ca="1" si="87"/>
        <v>20191</v>
      </c>
      <c r="AQ269" s="6">
        <f t="shared" ca="1" si="88"/>
        <v>2019</v>
      </c>
      <c r="AR269" s="6">
        <f t="shared" ca="1" si="89"/>
        <v>1</v>
      </c>
      <c r="AS269" s="68">
        <f ca="1">IFERROR(__xludf.DUMMYFUNCTION("""COMPUTED_VALUE"""),43487.9986111111)</f>
        <v>43487.998611111099</v>
      </c>
      <c r="AT269" s="6">
        <f ca="1">IFERROR(__xludf.DUMMYFUNCTION("""COMPUTED_VALUE"""),1283.4)</f>
        <v>1283.4000000000001</v>
      </c>
    </row>
    <row r="270" spans="2:46" x14ac:dyDescent="0.35">
      <c r="B270" s="6" t="str">
        <f t="shared" ca="1" si="72"/>
        <v>20191</v>
      </c>
      <c r="C270" s="6">
        <f t="shared" ca="1" si="73"/>
        <v>2019</v>
      </c>
      <c r="D270" s="6">
        <f t="shared" ca="1" si="74"/>
        <v>1</v>
      </c>
      <c r="E270" s="68">
        <f ca="1">IFERROR(__xludf.DUMMYFUNCTION("""COMPUTED_VALUE"""),43482.6666666666)</f>
        <v>43482.666666666599</v>
      </c>
      <c r="F270" s="6">
        <f ca="1">IFERROR(__xludf.DUMMYFUNCTION("""COMPUTED_VALUE"""),2635.96)</f>
        <v>2635.96</v>
      </c>
      <c r="J270" s="6" t="str">
        <f t="shared" ca="1" si="75"/>
        <v>20191</v>
      </c>
      <c r="K270" s="6">
        <f t="shared" ca="1" si="76"/>
        <v>2019</v>
      </c>
      <c r="L270" s="6">
        <f t="shared" ca="1" si="77"/>
        <v>1</v>
      </c>
      <c r="M270" s="68">
        <f ca="1">IFERROR(__xludf.DUMMYFUNCTION("""COMPUTED_VALUE"""),43482.6666666666)</f>
        <v>43482.666666666599</v>
      </c>
      <c r="N270" s="6">
        <f ca="1">IFERROR(__xludf.DUMMYFUNCTION("""COMPUTED_VALUE"""),7084.46)</f>
        <v>7084.46</v>
      </c>
      <c r="R270" s="6" t="str">
        <f t="shared" ca="1" si="78"/>
        <v>20192</v>
      </c>
      <c r="S270" s="6">
        <f t="shared" ca="1" si="79"/>
        <v>2019</v>
      </c>
      <c r="T270" s="6">
        <f t="shared" ca="1" si="80"/>
        <v>2</v>
      </c>
      <c r="U270" s="68">
        <f ca="1">IFERROR(__xludf.DUMMYFUNCTION("""COMPUTED_VALUE"""),43504.6458333333)</f>
        <v>43504.645833333299</v>
      </c>
      <c r="V270" s="6">
        <f ca="1">IFERROR(__xludf.DUMMYFUNCTION("""COMPUTED_VALUE"""),2177.05)</f>
        <v>2177.0500000000002</v>
      </c>
      <c r="Z270" s="6" t="str">
        <f t="shared" ca="1" si="81"/>
        <v>201810</v>
      </c>
      <c r="AA270" s="6">
        <f t="shared" ca="1" si="82"/>
        <v>2018</v>
      </c>
      <c r="AB270" s="6">
        <f t="shared" ca="1" si="83"/>
        <v>10</v>
      </c>
      <c r="AC270" s="68">
        <f ca="1">IFERROR(__xludf.DUMMYFUNCTION("""COMPUTED_VALUE"""),43376.9986111111)</f>
        <v>43376.998611111099</v>
      </c>
      <c r="AD270" s="6">
        <f ca="1">IFERROR(__xludf.DUMMYFUNCTION("""COMPUTED_VALUE"""),1125.42)</f>
        <v>1125.42</v>
      </c>
      <c r="AH270" s="6" t="str">
        <f t="shared" ca="1" si="84"/>
        <v>20189</v>
      </c>
      <c r="AI270" s="6">
        <f t="shared" ca="1" si="85"/>
        <v>2018</v>
      </c>
      <c r="AJ270" s="6">
        <f t="shared" ca="1" si="86"/>
        <v>9</v>
      </c>
      <c r="AK270" s="68">
        <f ca="1">IFERROR(__xludf.DUMMYFUNCTION("""COMPUTED_VALUE"""),43362.9986111111)</f>
        <v>43362.998611111099</v>
      </c>
      <c r="AL270" s="6">
        <f ca="1">IFERROR(__xludf.DUMMYFUNCTION("""COMPUTED_VALUE"""),6390.73)</f>
        <v>6390.73</v>
      </c>
      <c r="AP270" s="6" t="str">
        <f t="shared" ca="1" si="87"/>
        <v>20191</v>
      </c>
      <c r="AQ270" s="6">
        <f t="shared" ca="1" si="88"/>
        <v>2019</v>
      </c>
      <c r="AR270" s="6">
        <f t="shared" ca="1" si="89"/>
        <v>1</v>
      </c>
      <c r="AS270" s="68">
        <f ca="1">IFERROR(__xludf.DUMMYFUNCTION("""COMPUTED_VALUE"""),43488.9986111111)</f>
        <v>43488.998611111099</v>
      </c>
      <c r="AT270" s="6">
        <f ca="1">IFERROR(__xludf.DUMMYFUNCTION("""COMPUTED_VALUE"""),1284)</f>
        <v>1284</v>
      </c>
    </row>
    <row r="271" spans="2:46" x14ac:dyDescent="0.35">
      <c r="B271" s="6" t="str">
        <f t="shared" ca="1" si="72"/>
        <v>20191</v>
      </c>
      <c r="C271" s="6">
        <f t="shared" ca="1" si="73"/>
        <v>2019</v>
      </c>
      <c r="D271" s="6">
        <f t="shared" ca="1" si="74"/>
        <v>1</v>
      </c>
      <c r="E271" s="68">
        <f ca="1">IFERROR(__xludf.DUMMYFUNCTION("""COMPUTED_VALUE"""),43483.6666666666)</f>
        <v>43483.666666666599</v>
      </c>
      <c r="F271" s="6">
        <f ca="1">IFERROR(__xludf.DUMMYFUNCTION("""COMPUTED_VALUE"""),2670.71)</f>
        <v>2670.71</v>
      </c>
      <c r="J271" s="6" t="str">
        <f t="shared" ca="1" si="75"/>
        <v>20191</v>
      </c>
      <c r="K271" s="6">
        <f t="shared" ca="1" si="76"/>
        <v>2019</v>
      </c>
      <c r="L271" s="6">
        <f t="shared" ca="1" si="77"/>
        <v>1</v>
      </c>
      <c r="M271" s="68">
        <f ca="1">IFERROR(__xludf.DUMMYFUNCTION("""COMPUTED_VALUE"""),43483.6666666666)</f>
        <v>43483.666666666599</v>
      </c>
      <c r="N271" s="6">
        <f ca="1">IFERROR(__xludf.DUMMYFUNCTION("""COMPUTED_VALUE"""),7157.23)</f>
        <v>7157.23</v>
      </c>
      <c r="R271" s="6" t="str">
        <f t="shared" ca="1" si="78"/>
        <v>20192</v>
      </c>
      <c r="S271" s="6">
        <f t="shared" ca="1" si="79"/>
        <v>2019</v>
      </c>
      <c r="T271" s="6">
        <f t="shared" ca="1" si="80"/>
        <v>2</v>
      </c>
      <c r="U271" s="68">
        <f ca="1">IFERROR(__xludf.DUMMYFUNCTION("""COMPUTED_VALUE"""),43507.6458333333)</f>
        <v>43507.645833333299</v>
      </c>
      <c r="V271" s="6">
        <f ca="1">IFERROR(__xludf.DUMMYFUNCTION("""COMPUTED_VALUE"""),2180.73)</f>
        <v>2180.73</v>
      </c>
      <c r="Z271" s="6" t="str">
        <f t="shared" ca="1" si="81"/>
        <v>201810</v>
      </c>
      <c r="AA271" s="6">
        <f t="shared" ca="1" si="82"/>
        <v>2018</v>
      </c>
      <c r="AB271" s="6">
        <f t="shared" ca="1" si="83"/>
        <v>10</v>
      </c>
      <c r="AC271" s="68">
        <f ca="1">IFERROR(__xludf.DUMMYFUNCTION("""COMPUTED_VALUE"""),43377.9986111111)</f>
        <v>43377.998611111099</v>
      </c>
      <c r="AD271" s="6">
        <f ca="1">IFERROR(__xludf.DUMMYFUNCTION("""COMPUTED_VALUE"""),1132.9)</f>
        <v>1132.9000000000001</v>
      </c>
      <c r="AH271" s="6" t="str">
        <f t="shared" ca="1" si="84"/>
        <v>20189</v>
      </c>
      <c r="AI271" s="6">
        <f t="shared" ca="1" si="85"/>
        <v>2018</v>
      </c>
      <c r="AJ271" s="6">
        <f t="shared" ca="1" si="86"/>
        <v>9</v>
      </c>
      <c r="AK271" s="68">
        <f ca="1">IFERROR(__xludf.DUMMYFUNCTION("""COMPUTED_VALUE"""),43363.9986111111)</f>
        <v>43363.998611111099</v>
      </c>
      <c r="AL271" s="6">
        <f ca="1">IFERROR(__xludf.DUMMYFUNCTION("""COMPUTED_VALUE"""),6494.14)</f>
        <v>6494.14</v>
      </c>
      <c r="AP271" s="6" t="str">
        <f t="shared" ca="1" si="87"/>
        <v>20191</v>
      </c>
      <c r="AQ271" s="6">
        <f t="shared" ca="1" si="88"/>
        <v>2019</v>
      </c>
      <c r="AR271" s="6">
        <f t="shared" ca="1" si="89"/>
        <v>1</v>
      </c>
      <c r="AS271" s="68">
        <f ca="1">IFERROR(__xludf.DUMMYFUNCTION("""COMPUTED_VALUE"""),43489.9986111111)</f>
        <v>43489.998611111099</v>
      </c>
      <c r="AT271" s="6">
        <f ca="1">IFERROR(__xludf.DUMMYFUNCTION("""COMPUTED_VALUE"""),1285.9)</f>
        <v>1285.9000000000001</v>
      </c>
    </row>
    <row r="272" spans="2:46" x14ac:dyDescent="0.35">
      <c r="B272" s="6" t="str">
        <f t="shared" ca="1" si="72"/>
        <v>20191</v>
      </c>
      <c r="C272" s="6">
        <f t="shared" ca="1" si="73"/>
        <v>2019</v>
      </c>
      <c r="D272" s="6">
        <f t="shared" ca="1" si="74"/>
        <v>1</v>
      </c>
      <c r="E272" s="68">
        <f ca="1">IFERROR(__xludf.DUMMYFUNCTION("""COMPUTED_VALUE"""),43487.6666666666)</f>
        <v>43487.666666666599</v>
      </c>
      <c r="F272" s="6">
        <f ca="1">IFERROR(__xludf.DUMMYFUNCTION("""COMPUTED_VALUE"""),2632.9)</f>
        <v>2632.9</v>
      </c>
      <c r="J272" s="6" t="str">
        <f t="shared" ca="1" si="75"/>
        <v>20191</v>
      </c>
      <c r="K272" s="6">
        <f t="shared" ca="1" si="76"/>
        <v>2019</v>
      </c>
      <c r="L272" s="6">
        <f t="shared" ca="1" si="77"/>
        <v>1</v>
      </c>
      <c r="M272" s="68">
        <f ca="1">IFERROR(__xludf.DUMMYFUNCTION("""COMPUTED_VALUE"""),43487.6666666666)</f>
        <v>43487.666666666599</v>
      </c>
      <c r="N272" s="6">
        <f ca="1">IFERROR(__xludf.DUMMYFUNCTION("""COMPUTED_VALUE"""),7020.36)</f>
        <v>7020.36</v>
      </c>
      <c r="R272" s="6" t="str">
        <f t="shared" ca="1" si="78"/>
        <v>20192</v>
      </c>
      <c r="S272" s="6">
        <f t="shared" ca="1" si="79"/>
        <v>2019</v>
      </c>
      <c r="T272" s="6">
        <f t="shared" ca="1" si="80"/>
        <v>2</v>
      </c>
      <c r="U272" s="68">
        <f ca="1">IFERROR(__xludf.DUMMYFUNCTION("""COMPUTED_VALUE"""),43508.6458333333)</f>
        <v>43508.645833333299</v>
      </c>
      <c r="V272" s="6">
        <f ca="1">IFERROR(__xludf.DUMMYFUNCTION("""COMPUTED_VALUE"""),2190.47)</f>
        <v>2190.4699999999998</v>
      </c>
      <c r="Z272" s="6" t="str">
        <f t="shared" ca="1" si="81"/>
        <v>201810</v>
      </c>
      <c r="AA272" s="6">
        <f t="shared" ca="1" si="82"/>
        <v>2018</v>
      </c>
      <c r="AB272" s="6">
        <f t="shared" ca="1" si="83"/>
        <v>10</v>
      </c>
      <c r="AC272" s="68">
        <f ca="1">IFERROR(__xludf.DUMMYFUNCTION("""COMPUTED_VALUE"""),43378.9986111111)</f>
        <v>43378.998611111099</v>
      </c>
      <c r="AD272" s="6">
        <f ca="1">IFERROR(__xludf.DUMMYFUNCTION("""COMPUTED_VALUE"""),1131)</f>
        <v>1131</v>
      </c>
      <c r="AH272" s="6" t="str">
        <f t="shared" ca="1" si="84"/>
        <v>20189</v>
      </c>
      <c r="AI272" s="6">
        <f t="shared" ca="1" si="85"/>
        <v>2018</v>
      </c>
      <c r="AJ272" s="6">
        <f t="shared" ca="1" si="86"/>
        <v>9</v>
      </c>
      <c r="AK272" s="68">
        <f ca="1">IFERROR(__xludf.DUMMYFUNCTION("""COMPUTED_VALUE"""),43364.9986111111)</f>
        <v>43364.998611111099</v>
      </c>
      <c r="AL272" s="6">
        <f ca="1">IFERROR(__xludf.DUMMYFUNCTION("""COMPUTED_VALUE"""),6755.04)</f>
        <v>6755.04</v>
      </c>
      <c r="AP272" s="6" t="str">
        <f t="shared" ca="1" si="87"/>
        <v>20191</v>
      </c>
      <c r="AQ272" s="6">
        <f t="shared" ca="1" si="88"/>
        <v>2019</v>
      </c>
      <c r="AR272" s="6">
        <f t="shared" ca="1" si="89"/>
        <v>1</v>
      </c>
      <c r="AS272" s="68">
        <f ca="1">IFERROR(__xludf.DUMMYFUNCTION("""COMPUTED_VALUE"""),43490.9986111111)</f>
        <v>43490.998611111099</v>
      </c>
      <c r="AT272" s="6">
        <f ca="1">IFERROR(__xludf.DUMMYFUNCTION("""COMPUTED_VALUE"""),1304.2)</f>
        <v>1304.2</v>
      </c>
    </row>
    <row r="273" spans="2:46" x14ac:dyDescent="0.35">
      <c r="B273" s="6" t="str">
        <f t="shared" ca="1" si="72"/>
        <v>20191</v>
      </c>
      <c r="C273" s="6">
        <f t="shared" ca="1" si="73"/>
        <v>2019</v>
      </c>
      <c r="D273" s="6">
        <f t="shared" ca="1" si="74"/>
        <v>1</v>
      </c>
      <c r="E273" s="68">
        <f ca="1">IFERROR(__xludf.DUMMYFUNCTION("""COMPUTED_VALUE"""),43488.6666666666)</f>
        <v>43488.666666666599</v>
      </c>
      <c r="F273" s="6">
        <f ca="1">IFERROR(__xludf.DUMMYFUNCTION("""COMPUTED_VALUE"""),2638.7)</f>
        <v>2638.7</v>
      </c>
      <c r="J273" s="6" t="str">
        <f t="shared" ca="1" si="75"/>
        <v>20191</v>
      </c>
      <c r="K273" s="6">
        <f t="shared" ca="1" si="76"/>
        <v>2019</v>
      </c>
      <c r="L273" s="6">
        <f t="shared" ca="1" si="77"/>
        <v>1</v>
      </c>
      <c r="M273" s="68">
        <f ca="1">IFERROR(__xludf.DUMMYFUNCTION("""COMPUTED_VALUE"""),43488.6666666666)</f>
        <v>43488.666666666599</v>
      </c>
      <c r="N273" s="6">
        <f ca="1">IFERROR(__xludf.DUMMYFUNCTION("""COMPUTED_VALUE"""),7025.77)</f>
        <v>7025.77</v>
      </c>
      <c r="R273" s="6" t="str">
        <f t="shared" ca="1" si="78"/>
        <v>20192</v>
      </c>
      <c r="S273" s="6">
        <f t="shared" ca="1" si="79"/>
        <v>2019</v>
      </c>
      <c r="T273" s="6">
        <f t="shared" ca="1" si="80"/>
        <v>2</v>
      </c>
      <c r="U273" s="68">
        <f ca="1">IFERROR(__xludf.DUMMYFUNCTION("""COMPUTED_VALUE"""),43509.6458333333)</f>
        <v>43509.645833333299</v>
      </c>
      <c r="V273" s="6">
        <f ca="1">IFERROR(__xludf.DUMMYFUNCTION("""COMPUTED_VALUE"""),2201.48)</f>
        <v>2201.48</v>
      </c>
      <c r="Z273" s="6" t="str">
        <f t="shared" ca="1" si="81"/>
        <v>201810</v>
      </c>
      <c r="AA273" s="6">
        <f t="shared" ca="1" si="82"/>
        <v>2018</v>
      </c>
      <c r="AB273" s="6">
        <f t="shared" ca="1" si="83"/>
        <v>10</v>
      </c>
      <c r="AC273" s="68">
        <f ca="1">IFERROR(__xludf.DUMMYFUNCTION("""COMPUTED_VALUE"""),43379.9986111111)</f>
        <v>43379.998611111099</v>
      </c>
      <c r="AD273" s="6">
        <f ca="1">IFERROR(__xludf.DUMMYFUNCTION("""COMPUTED_VALUE"""),1130.1)</f>
        <v>1130.0999999999999</v>
      </c>
      <c r="AH273" s="6" t="str">
        <f t="shared" ca="1" si="84"/>
        <v>20189</v>
      </c>
      <c r="AI273" s="6">
        <f t="shared" ca="1" si="85"/>
        <v>2018</v>
      </c>
      <c r="AJ273" s="6">
        <f t="shared" ca="1" si="86"/>
        <v>9</v>
      </c>
      <c r="AK273" s="68">
        <f ca="1">IFERROR(__xludf.DUMMYFUNCTION("""COMPUTED_VALUE"""),43365.9986111111)</f>
        <v>43365.998611111099</v>
      </c>
      <c r="AL273" s="6">
        <f ca="1">IFERROR(__xludf.DUMMYFUNCTION("""COMPUTED_VALUE"""),6717.5)</f>
        <v>6717.5</v>
      </c>
      <c r="AP273" s="6" t="str">
        <f t="shared" ca="1" si="87"/>
        <v>20191</v>
      </c>
      <c r="AQ273" s="6">
        <f t="shared" ca="1" si="88"/>
        <v>2019</v>
      </c>
      <c r="AR273" s="6">
        <f t="shared" ca="1" si="89"/>
        <v>1</v>
      </c>
      <c r="AS273" s="68">
        <f ca="1">IFERROR(__xludf.DUMMYFUNCTION("""COMPUTED_VALUE"""),43493.9986111111)</f>
        <v>43493.998611111099</v>
      </c>
      <c r="AT273" s="6">
        <f ca="1">IFERROR(__xludf.DUMMYFUNCTION("""COMPUTED_VALUE"""),1309.3)</f>
        <v>1309.3</v>
      </c>
    </row>
    <row r="274" spans="2:46" x14ac:dyDescent="0.35">
      <c r="B274" s="6" t="str">
        <f t="shared" ca="1" si="72"/>
        <v>20191</v>
      </c>
      <c r="C274" s="6">
        <f t="shared" ca="1" si="73"/>
        <v>2019</v>
      </c>
      <c r="D274" s="6">
        <f t="shared" ca="1" si="74"/>
        <v>1</v>
      </c>
      <c r="E274" s="68">
        <f ca="1">IFERROR(__xludf.DUMMYFUNCTION("""COMPUTED_VALUE"""),43489.6666666666)</f>
        <v>43489.666666666599</v>
      </c>
      <c r="F274" s="6">
        <f ca="1">IFERROR(__xludf.DUMMYFUNCTION("""COMPUTED_VALUE"""),2642.33)</f>
        <v>2642.33</v>
      </c>
      <c r="J274" s="6" t="str">
        <f t="shared" ca="1" si="75"/>
        <v>20191</v>
      </c>
      <c r="K274" s="6">
        <f t="shared" ca="1" si="76"/>
        <v>2019</v>
      </c>
      <c r="L274" s="6">
        <f t="shared" ca="1" si="77"/>
        <v>1</v>
      </c>
      <c r="M274" s="68">
        <f ca="1">IFERROR(__xludf.DUMMYFUNCTION("""COMPUTED_VALUE"""),43489.6666666666)</f>
        <v>43489.666666666599</v>
      </c>
      <c r="N274" s="6">
        <f ca="1">IFERROR(__xludf.DUMMYFUNCTION("""COMPUTED_VALUE"""),7073.46)</f>
        <v>7073.46</v>
      </c>
      <c r="R274" s="6" t="str">
        <f t="shared" ca="1" si="78"/>
        <v>20192</v>
      </c>
      <c r="S274" s="6">
        <f t="shared" ca="1" si="79"/>
        <v>2019</v>
      </c>
      <c r="T274" s="6">
        <f t="shared" ca="1" si="80"/>
        <v>2</v>
      </c>
      <c r="U274" s="68">
        <f ca="1">IFERROR(__xludf.DUMMYFUNCTION("""COMPUTED_VALUE"""),43510.6458333333)</f>
        <v>43510.645833333299</v>
      </c>
      <c r="V274" s="6">
        <f ca="1">IFERROR(__xludf.DUMMYFUNCTION("""COMPUTED_VALUE"""),2225.85)</f>
        <v>2225.85</v>
      </c>
      <c r="Z274" s="6" t="str">
        <f t="shared" ca="1" si="81"/>
        <v>201810</v>
      </c>
      <c r="AA274" s="6">
        <f t="shared" ca="1" si="82"/>
        <v>2018</v>
      </c>
      <c r="AB274" s="6">
        <f t="shared" ca="1" si="83"/>
        <v>10</v>
      </c>
      <c r="AC274" s="68">
        <f ca="1">IFERROR(__xludf.DUMMYFUNCTION("""COMPUTED_VALUE"""),43380.9986111111)</f>
        <v>43380.998611111099</v>
      </c>
      <c r="AD274" s="6">
        <f ca="1">IFERROR(__xludf.DUMMYFUNCTION("""COMPUTED_VALUE"""),1131.1)</f>
        <v>1131.0999999999999</v>
      </c>
      <c r="AH274" s="6" t="str">
        <f t="shared" ca="1" si="84"/>
        <v>20189</v>
      </c>
      <c r="AI274" s="6">
        <f t="shared" ca="1" si="85"/>
        <v>2018</v>
      </c>
      <c r="AJ274" s="6">
        <f t="shared" ca="1" si="86"/>
        <v>9</v>
      </c>
      <c r="AK274" s="68">
        <f ca="1">IFERROR(__xludf.DUMMYFUNCTION("""COMPUTED_VALUE"""),43366.9986111111)</f>
        <v>43366.998611111099</v>
      </c>
      <c r="AL274" s="6">
        <f ca="1">IFERROR(__xludf.DUMMYFUNCTION("""COMPUTED_VALUE"""),6703.87)</f>
        <v>6703.87</v>
      </c>
      <c r="AP274" s="6" t="str">
        <f t="shared" ca="1" si="87"/>
        <v>20191</v>
      </c>
      <c r="AQ274" s="6">
        <f t="shared" ca="1" si="88"/>
        <v>2019</v>
      </c>
      <c r="AR274" s="6">
        <f t="shared" ca="1" si="89"/>
        <v>1</v>
      </c>
      <c r="AS274" s="68">
        <f ca="1">IFERROR(__xludf.DUMMYFUNCTION("""COMPUTED_VALUE"""),43494.9986111111)</f>
        <v>43494.998611111099</v>
      </c>
      <c r="AT274" s="6">
        <f ca="1">IFERROR(__xludf.DUMMYFUNCTION("""COMPUTED_VALUE"""),1315.2)</f>
        <v>1315.2</v>
      </c>
    </row>
    <row r="275" spans="2:46" x14ac:dyDescent="0.35">
      <c r="B275" s="6" t="str">
        <f t="shared" ca="1" si="72"/>
        <v>20191</v>
      </c>
      <c r="C275" s="6">
        <f t="shared" ca="1" si="73"/>
        <v>2019</v>
      </c>
      <c r="D275" s="6">
        <f t="shared" ca="1" si="74"/>
        <v>1</v>
      </c>
      <c r="E275" s="68">
        <f ca="1">IFERROR(__xludf.DUMMYFUNCTION("""COMPUTED_VALUE"""),43490.6666666666)</f>
        <v>43490.666666666599</v>
      </c>
      <c r="F275" s="6">
        <f ca="1">IFERROR(__xludf.DUMMYFUNCTION("""COMPUTED_VALUE"""),2664.76)</f>
        <v>2664.76</v>
      </c>
      <c r="J275" s="6" t="str">
        <f t="shared" ca="1" si="75"/>
        <v>20191</v>
      </c>
      <c r="K275" s="6">
        <f t="shared" ca="1" si="76"/>
        <v>2019</v>
      </c>
      <c r="L275" s="6">
        <f t="shared" ca="1" si="77"/>
        <v>1</v>
      </c>
      <c r="M275" s="68">
        <f ca="1">IFERROR(__xludf.DUMMYFUNCTION("""COMPUTED_VALUE"""),43490.6666666666)</f>
        <v>43490.666666666599</v>
      </c>
      <c r="N275" s="6">
        <f ca="1">IFERROR(__xludf.DUMMYFUNCTION("""COMPUTED_VALUE"""),7164.86)</f>
        <v>7164.86</v>
      </c>
      <c r="R275" s="6" t="str">
        <f t="shared" ca="1" si="78"/>
        <v>20192</v>
      </c>
      <c r="S275" s="6">
        <f t="shared" ca="1" si="79"/>
        <v>2019</v>
      </c>
      <c r="T275" s="6">
        <f t="shared" ca="1" si="80"/>
        <v>2</v>
      </c>
      <c r="U275" s="68">
        <f ca="1">IFERROR(__xludf.DUMMYFUNCTION("""COMPUTED_VALUE"""),43511.6458333333)</f>
        <v>43511.645833333299</v>
      </c>
      <c r="V275" s="6">
        <f ca="1">IFERROR(__xludf.DUMMYFUNCTION("""COMPUTED_VALUE"""),2196.09)</f>
        <v>2196.09</v>
      </c>
      <c r="Z275" s="6" t="str">
        <f t="shared" ca="1" si="81"/>
        <v>201810</v>
      </c>
      <c r="AA275" s="6">
        <f t="shared" ca="1" si="82"/>
        <v>2018</v>
      </c>
      <c r="AB275" s="6">
        <f t="shared" ca="1" si="83"/>
        <v>10</v>
      </c>
      <c r="AC275" s="68">
        <f ca="1">IFERROR(__xludf.DUMMYFUNCTION("""COMPUTED_VALUE"""),43381.9986111111)</f>
        <v>43381.998611111099</v>
      </c>
      <c r="AD275" s="6">
        <f ca="1">IFERROR(__xludf.DUMMYFUNCTION("""COMPUTED_VALUE"""),1133.2)</f>
        <v>1133.2</v>
      </c>
      <c r="AH275" s="6" t="str">
        <f t="shared" ca="1" si="84"/>
        <v>20189</v>
      </c>
      <c r="AI275" s="6">
        <f t="shared" ca="1" si="85"/>
        <v>2018</v>
      </c>
      <c r="AJ275" s="6">
        <f t="shared" ca="1" si="86"/>
        <v>9</v>
      </c>
      <c r="AK275" s="68">
        <f ca="1">IFERROR(__xludf.DUMMYFUNCTION("""COMPUTED_VALUE"""),43367.9986111111)</f>
        <v>43367.998611111099</v>
      </c>
      <c r="AL275" s="6">
        <f ca="1">IFERROR(__xludf.DUMMYFUNCTION("""COMPUTED_VALUE"""),6574.98)</f>
        <v>6574.98</v>
      </c>
      <c r="AP275" s="6" t="str">
        <f t="shared" ca="1" si="87"/>
        <v>20191</v>
      </c>
      <c r="AQ275" s="6">
        <f t="shared" ca="1" si="88"/>
        <v>2019</v>
      </c>
      <c r="AR275" s="6">
        <f t="shared" ca="1" si="89"/>
        <v>1</v>
      </c>
      <c r="AS275" s="68">
        <f ca="1">IFERROR(__xludf.DUMMYFUNCTION("""COMPUTED_VALUE"""),43495.9986111111)</f>
        <v>43495.998611111099</v>
      </c>
      <c r="AT275" s="6">
        <f ca="1">IFERROR(__xludf.DUMMYFUNCTION("""COMPUTED_VALUE"""),1315.5)</f>
        <v>1315.5</v>
      </c>
    </row>
    <row r="276" spans="2:46" x14ac:dyDescent="0.35">
      <c r="B276" s="6" t="str">
        <f t="shared" ca="1" si="72"/>
        <v>20191</v>
      </c>
      <c r="C276" s="6">
        <f t="shared" ca="1" si="73"/>
        <v>2019</v>
      </c>
      <c r="D276" s="6">
        <f t="shared" ca="1" si="74"/>
        <v>1</v>
      </c>
      <c r="E276" s="68">
        <f ca="1">IFERROR(__xludf.DUMMYFUNCTION("""COMPUTED_VALUE"""),43493.6666666666)</f>
        <v>43493.666666666599</v>
      </c>
      <c r="F276" s="6">
        <f ca="1">IFERROR(__xludf.DUMMYFUNCTION("""COMPUTED_VALUE"""),2643.85)</f>
        <v>2643.85</v>
      </c>
      <c r="J276" s="6" t="str">
        <f t="shared" ca="1" si="75"/>
        <v>20191</v>
      </c>
      <c r="K276" s="6">
        <f t="shared" ca="1" si="76"/>
        <v>2019</v>
      </c>
      <c r="L276" s="6">
        <f t="shared" ca="1" si="77"/>
        <v>1</v>
      </c>
      <c r="M276" s="68">
        <f ca="1">IFERROR(__xludf.DUMMYFUNCTION("""COMPUTED_VALUE"""),43493.6666666666)</f>
        <v>43493.666666666599</v>
      </c>
      <c r="N276" s="6">
        <f ca="1">IFERROR(__xludf.DUMMYFUNCTION("""COMPUTED_VALUE"""),7085.69)</f>
        <v>7085.69</v>
      </c>
      <c r="R276" s="6" t="str">
        <f t="shared" ca="1" si="78"/>
        <v>20192</v>
      </c>
      <c r="S276" s="6">
        <f t="shared" ca="1" si="79"/>
        <v>2019</v>
      </c>
      <c r="T276" s="6">
        <f t="shared" ca="1" si="80"/>
        <v>2</v>
      </c>
      <c r="U276" s="68">
        <f ca="1">IFERROR(__xludf.DUMMYFUNCTION("""COMPUTED_VALUE"""),43515.6458333333)</f>
        <v>43515.645833333299</v>
      </c>
      <c r="V276" s="6">
        <f ca="1">IFERROR(__xludf.DUMMYFUNCTION("""COMPUTED_VALUE"""),2205.63)</f>
        <v>2205.63</v>
      </c>
      <c r="Z276" s="6" t="str">
        <f t="shared" ca="1" si="81"/>
        <v>201810</v>
      </c>
      <c r="AA276" s="6">
        <f t="shared" ca="1" si="82"/>
        <v>2018</v>
      </c>
      <c r="AB276" s="6">
        <f t="shared" ca="1" si="83"/>
        <v>10</v>
      </c>
      <c r="AC276" s="68">
        <f ca="1">IFERROR(__xludf.DUMMYFUNCTION("""COMPUTED_VALUE"""),43382.9986111111)</f>
        <v>43382.998611111099</v>
      </c>
      <c r="AD276" s="6">
        <f ca="1">IFERROR(__xludf.DUMMYFUNCTION("""COMPUTED_VALUE"""),1132.4)</f>
        <v>1132.4000000000001</v>
      </c>
      <c r="AH276" s="6" t="str">
        <f t="shared" ca="1" si="84"/>
        <v>20189</v>
      </c>
      <c r="AI276" s="6">
        <f t="shared" ca="1" si="85"/>
        <v>2018</v>
      </c>
      <c r="AJ276" s="6">
        <f t="shared" ca="1" si="86"/>
        <v>9</v>
      </c>
      <c r="AK276" s="68">
        <f ca="1">IFERROR(__xludf.DUMMYFUNCTION("""COMPUTED_VALUE"""),43368.9986111111)</f>
        <v>43368.998611111099</v>
      </c>
      <c r="AL276" s="6">
        <f ca="1">IFERROR(__xludf.DUMMYFUNCTION("""COMPUTED_VALUE"""),6436.6)</f>
        <v>6436.6</v>
      </c>
      <c r="AP276" s="6" t="str">
        <f t="shared" ca="1" si="87"/>
        <v>20191</v>
      </c>
      <c r="AQ276" s="6">
        <f t="shared" ca="1" si="88"/>
        <v>2019</v>
      </c>
      <c r="AR276" s="6">
        <f t="shared" ca="1" si="89"/>
        <v>1</v>
      </c>
      <c r="AS276" s="68">
        <f ca="1">IFERROR(__xludf.DUMMYFUNCTION("""COMPUTED_VALUE"""),43496.9986111111)</f>
        <v>43496.998611111099</v>
      </c>
      <c r="AT276" s="6">
        <f ca="1">IFERROR(__xludf.DUMMYFUNCTION("""COMPUTED_VALUE"""),1325.2)</f>
        <v>1325.2</v>
      </c>
    </row>
    <row r="277" spans="2:46" x14ac:dyDescent="0.35">
      <c r="B277" s="6" t="str">
        <f t="shared" ca="1" si="72"/>
        <v>20191</v>
      </c>
      <c r="C277" s="6">
        <f t="shared" ca="1" si="73"/>
        <v>2019</v>
      </c>
      <c r="D277" s="6">
        <f t="shared" ca="1" si="74"/>
        <v>1</v>
      </c>
      <c r="E277" s="68">
        <f ca="1">IFERROR(__xludf.DUMMYFUNCTION("""COMPUTED_VALUE"""),43494.6666666666)</f>
        <v>43494.666666666599</v>
      </c>
      <c r="F277" s="6">
        <f ca="1">IFERROR(__xludf.DUMMYFUNCTION("""COMPUTED_VALUE"""),2640)</f>
        <v>2640</v>
      </c>
      <c r="J277" s="6" t="str">
        <f t="shared" ca="1" si="75"/>
        <v>20191</v>
      </c>
      <c r="K277" s="6">
        <f t="shared" ca="1" si="76"/>
        <v>2019</v>
      </c>
      <c r="L277" s="6">
        <f t="shared" ca="1" si="77"/>
        <v>1</v>
      </c>
      <c r="M277" s="68">
        <f ca="1">IFERROR(__xludf.DUMMYFUNCTION("""COMPUTED_VALUE"""),43494.6666666666)</f>
        <v>43494.666666666599</v>
      </c>
      <c r="N277" s="6">
        <f ca="1">IFERROR(__xludf.DUMMYFUNCTION("""COMPUTED_VALUE"""),7028.29)</f>
        <v>7028.29</v>
      </c>
      <c r="R277" s="6" t="str">
        <f t="shared" ca="1" si="78"/>
        <v>20192</v>
      </c>
      <c r="S277" s="6">
        <f t="shared" ca="1" si="79"/>
        <v>2019</v>
      </c>
      <c r="T277" s="6">
        <f t="shared" ca="1" si="80"/>
        <v>2</v>
      </c>
      <c r="U277" s="68">
        <f ca="1">IFERROR(__xludf.DUMMYFUNCTION("""COMPUTED_VALUE"""),43516.6458333333)</f>
        <v>43516.645833333299</v>
      </c>
      <c r="V277" s="6">
        <f ca="1">IFERROR(__xludf.DUMMYFUNCTION("""COMPUTED_VALUE"""),2229.76)</f>
        <v>2229.7600000000002</v>
      </c>
      <c r="Z277" s="6" t="str">
        <f t="shared" ca="1" si="81"/>
        <v>201810</v>
      </c>
      <c r="AA277" s="6">
        <f t="shared" ca="1" si="82"/>
        <v>2018</v>
      </c>
      <c r="AB277" s="6">
        <f t="shared" ca="1" si="83"/>
        <v>10</v>
      </c>
      <c r="AC277" s="68">
        <f ca="1">IFERROR(__xludf.DUMMYFUNCTION("""COMPUTED_VALUE"""),43383.9986111111)</f>
        <v>43383.998611111099</v>
      </c>
      <c r="AD277" s="6">
        <f ca="1">IFERROR(__xludf.DUMMYFUNCTION("""COMPUTED_VALUE"""),1142.85)</f>
        <v>1142.8499999999999</v>
      </c>
      <c r="AH277" s="6" t="str">
        <f t="shared" ca="1" si="84"/>
        <v>20189</v>
      </c>
      <c r="AI277" s="6">
        <f t="shared" ca="1" si="85"/>
        <v>2018</v>
      </c>
      <c r="AJ277" s="6">
        <f t="shared" ca="1" si="86"/>
        <v>9</v>
      </c>
      <c r="AK277" s="68">
        <f ca="1">IFERROR(__xludf.DUMMYFUNCTION("""COMPUTED_VALUE"""),43369.9986111111)</f>
        <v>43369.998611111099</v>
      </c>
      <c r="AL277" s="6">
        <f ca="1">IFERROR(__xludf.DUMMYFUNCTION("""COMPUTED_VALUE"""),6460.57)</f>
        <v>6460.57</v>
      </c>
      <c r="AP277" s="6" t="str">
        <f t="shared" ca="1" si="87"/>
        <v>20192</v>
      </c>
      <c r="AQ277" s="6">
        <f t="shared" ca="1" si="88"/>
        <v>2019</v>
      </c>
      <c r="AR277" s="6">
        <f t="shared" ca="1" si="89"/>
        <v>2</v>
      </c>
      <c r="AS277" s="68">
        <f ca="1">IFERROR(__xludf.DUMMYFUNCTION("""COMPUTED_VALUE"""),43497.9986111111)</f>
        <v>43497.998611111099</v>
      </c>
      <c r="AT277" s="6">
        <f ca="1">IFERROR(__xludf.DUMMYFUNCTION("""COMPUTED_VALUE"""),1322.1)</f>
        <v>1322.1</v>
      </c>
    </row>
    <row r="278" spans="2:46" x14ac:dyDescent="0.35">
      <c r="B278" s="6" t="str">
        <f t="shared" ca="1" si="72"/>
        <v>20191</v>
      </c>
      <c r="C278" s="6">
        <f t="shared" ca="1" si="73"/>
        <v>2019</v>
      </c>
      <c r="D278" s="6">
        <f t="shared" ca="1" si="74"/>
        <v>1</v>
      </c>
      <c r="E278" s="68">
        <f ca="1">IFERROR(__xludf.DUMMYFUNCTION("""COMPUTED_VALUE"""),43495.6666666666)</f>
        <v>43495.666666666599</v>
      </c>
      <c r="F278" s="6">
        <f ca="1">IFERROR(__xludf.DUMMYFUNCTION("""COMPUTED_VALUE"""),2681.05)</f>
        <v>2681.05</v>
      </c>
      <c r="J278" s="6" t="str">
        <f t="shared" ca="1" si="75"/>
        <v>20191</v>
      </c>
      <c r="K278" s="6">
        <f t="shared" ca="1" si="76"/>
        <v>2019</v>
      </c>
      <c r="L278" s="6">
        <f t="shared" ca="1" si="77"/>
        <v>1</v>
      </c>
      <c r="M278" s="68">
        <f ca="1">IFERROR(__xludf.DUMMYFUNCTION("""COMPUTED_VALUE"""),43495.6666666666)</f>
        <v>43495.666666666599</v>
      </c>
      <c r="N278" s="6">
        <f ca="1">IFERROR(__xludf.DUMMYFUNCTION("""COMPUTED_VALUE"""),7183.08)</f>
        <v>7183.08</v>
      </c>
      <c r="R278" s="6" t="str">
        <f t="shared" ca="1" si="78"/>
        <v>20192</v>
      </c>
      <c r="S278" s="6">
        <f t="shared" ca="1" si="79"/>
        <v>2019</v>
      </c>
      <c r="T278" s="6">
        <f t="shared" ca="1" si="80"/>
        <v>2</v>
      </c>
      <c r="U278" s="68">
        <f ca="1">IFERROR(__xludf.DUMMYFUNCTION("""COMPUTED_VALUE"""),43517.6458333333)</f>
        <v>43517.645833333299</v>
      </c>
      <c r="V278" s="6">
        <f ca="1">IFERROR(__xludf.DUMMYFUNCTION("""COMPUTED_VALUE"""),2228.66)</f>
        <v>2228.66</v>
      </c>
      <c r="Z278" s="6" t="str">
        <f t="shared" ca="1" si="81"/>
        <v>201810</v>
      </c>
      <c r="AA278" s="6">
        <f t="shared" ca="1" si="82"/>
        <v>2018</v>
      </c>
      <c r="AB278" s="6">
        <f t="shared" ca="1" si="83"/>
        <v>10</v>
      </c>
      <c r="AC278" s="68">
        <f ca="1">IFERROR(__xludf.DUMMYFUNCTION("""COMPUTED_VALUE"""),43384.9986111111)</f>
        <v>43384.998611111099</v>
      </c>
      <c r="AD278" s="6">
        <f ca="1">IFERROR(__xludf.DUMMYFUNCTION("""COMPUTED_VALUE"""),1134.3)</f>
        <v>1134.3</v>
      </c>
      <c r="AH278" s="6" t="str">
        <f t="shared" ca="1" si="84"/>
        <v>20189</v>
      </c>
      <c r="AI278" s="6">
        <f t="shared" ca="1" si="85"/>
        <v>2018</v>
      </c>
      <c r="AJ278" s="6">
        <f t="shared" ca="1" si="86"/>
        <v>9</v>
      </c>
      <c r="AK278" s="68">
        <f ca="1">IFERROR(__xludf.DUMMYFUNCTION("""COMPUTED_VALUE"""),43370.9986111111)</f>
        <v>43370.998611111099</v>
      </c>
      <c r="AL278" s="6">
        <f ca="1">IFERROR(__xludf.DUMMYFUNCTION("""COMPUTED_VALUE"""),6688.11)</f>
        <v>6688.11</v>
      </c>
      <c r="AP278" s="6" t="str">
        <f t="shared" ca="1" si="87"/>
        <v>20192</v>
      </c>
      <c r="AQ278" s="6">
        <f t="shared" ca="1" si="88"/>
        <v>2019</v>
      </c>
      <c r="AR278" s="6">
        <f t="shared" ca="1" si="89"/>
        <v>2</v>
      </c>
      <c r="AS278" s="68">
        <f ca="1">IFERROR(__xludf.DUMMYFUNCTION("""COMPUTED_VALUE"""),43500.9986111111)</f>
        <v>43500.998611111099</v>
      </c>
      <c r="AT278" s="6">
        <f ca="1">IFERROR(__xludf.DUMMYFUNCTION("""COMPUTED_VALUE"""),1319.3)</f>
        <v>1319.3</v>
      </c>
    </row>
    <row r="279" spans="2:46" x14ac:dyDescent="0.35">
      <c r="B279" s="6" t="str">
        <f t="shared" ca="1" si="72"/>
        <v>20191</v>
      </c>
      <c r="C279" s="6">
        <f t="shared" ca="1" si="73"/>
        <v>2019</v>
      </c>
      <c r="D279" s="6">
        <f t="shared" ca="1" si="74"/>
        <v>1</v>
      </c>
      <c r="E279" s="68">
        <f ca="1">IFERROR(__xludf.DUMMYFUNCTION("""COMPUTED_VALUE"""),43496.6666666666)</f>
        <v>43496.666666666599</v>
      </c>
      <c r="F279" s="6">
        <f ca="1">IFERROR(__xludf.DUMMYFUNCTION("""COMPUTED_VALUE"""),2704.1)</f>
        <v>2704.1</v>
      </c>
      <c r="J279" s="6" t="str">
        <f t="shared" ca="1" si="75"/>
        <v>20191</v>
      </c>
      <c r="K279" s="6">
        <f t="shared" ca="1" si="76"/>
        <v>2019</v>
      </c>
      <c r="L279" s="6">
        <f t="shared" ca="1" si="77"/>
        <v>1</v>
      </c>
      <c r="M279" s="68">
        <f ca="1">IFERROR(__xludf.DUMMYFUNCTION("""COMPUTED_VALUE"""),43496.6666666666)</f>
        <v>43496.666666666599</v>
      </c>
      <c r="N279" s="6">
        <f ca="1">IFERROR(__xludf.DUMMYFUNCTION("""COMPUTED_VALUE"""),7281.74)</f>
        <v>7281.74</v>
      </c>
      <c r="R279" s="6" t="str">
        <f t="shared" ca="1" si="78"/>
        <v>20192</v>
      </c>
      <c r="S279" s="6">
        <f t="shared" ca="1" si="79"/>
        <v>2019</v>
      </c>
      <c r="T279" s="6">
        <f t="shared" ca="1" si="80"/>
        <v>2</v>
      </c>
      <c r="U279" s="68">
        <f ca="1">IFERROR(__xludf.DUMMYFUNCTION("""COMPUTED_VALUE"""),43518.6458333333)</f>
        <v>43518.645833333299</v>
      </c>
      <c r="V279" s="6">
        <f ca="1">IFERROR(__xludf.DUMMYFUNCTION("""COMPUTED_VALUE"""),2230.5)</f>
        <v>2230.5</v>
      </c>
      <c r="Z279" s="6" t="str">
        <f t="shared" ca="1" si="81"/>
        <v>201810</v>
      </c>
      <c r="AA279" s="6">
        <f t="shared" ca="1" si="82"/>
        <v>2018</v>
      </c>
      <c r="AB279" s="6">
        <f t="shared" ca="1" si="83"/>
        <v>10</v>
      </c>
      <c r="AC279" s="68">
        <f ca="1">IFERROR(__xludf.DUMMYFUNCTION("""COMPUTED_VALUE"""),43385.9986111111)</f>
        <v>43385.998611111099</v>
      </c>
      <c r="AD279" s="6">
        <f ca="1">IFERROR(__xludf.DUMMYFUNCTION("""COMPUTED_VALUE"""),1130.35)</f>
        <v>1130.3499999999999</v>
      </c>
      <c r="AH279" s="6" t="str">
        <f t="shared" ca="1" si="84"/>
        <v>20189</v>
      </c>
      <c r="AI279" s="6">
        <f t="shared" ca="1" si="85"/>
        <v>2018</v>
      </c>
      <c r="AJ279" s="6">
        <f t="shared" ca="1" si="86"/>
        <v>9</v>
      </c>
      <c r="AK279" s="68">
        <f ca="1">IFERROR(__xludf.DUMMYFUNCTION("""COMPUTED_VALUE"""),43371.9986111111)</f>
        <v>43371.998611111099</v>
      </c>
      <c r="AL279" s="6">
        <f ca="1">IFERROR(__xludf.DUMMYFUNCTION("""COMPUTED_VALUE"""),6629.4)</f>
        <v>6629.4</v>
      </c>
      <c r="AP279" s="6" t="str">
        <f t="shared" ca="1" si="87"/>
        <v>20192</v>
      </c>
      <c r="AQ279" s="6">
        <f t="shared" ca="1" si="88"/>
        <v>2019</v>
      </c>
      <c r="AR279" s="6">
        <f t="shared" ca="1" si="89"/>
        <v>2</v>
      </c>
      <c r="AS279" s="68">
        <f ca="1">IFERROR(__xludf.DUMMYFUNCTION("""COMPUTED_VALUE"""),43501.9986111111)</f>
        <v>43501.998611111099</v>
      </c>
      <c r="AT279" s="6">
        <f ca="1">IFERROR(__xludf.DUMMYFUNCTION("""COMPUTED_VALUE"""),1319.2)</f>
        <v>1319.2</v>
      </c>
    </row>
    <row r="280" spans="2:46" x14ac:dyDescent="0.35">
      <c r="B280" s="6" t="str">
        <f t="shared" ca="1" si="72"/>
        <v>20192</v>
      </c>
      <c r="C280" s="6">
        <f t="shared" ca="1" si="73"/>
        <v>2019</v>
      </c>
      <c r="D280" s="6">
        <f t="shared" ca="1" si="74"/>
        <v>2</v>
      </c>
      <c r="E280" s="68">
        <f ca="1">IFERROR(__xludf.DUMMYFUNCTION("""COMPUTED_VALUE"""),43497.6666666666)</f>
        <v>43497.666666666599</v>
      </c>
      <c r="F280" s="6">
        <f ca="1">IFERROR(__xludf.DUMMYFUNCTION("""COMPUTED_VALUE"""),2706.53)</f>
        <v>2706.53</v>
      </c>
      <c r="J280" s="6" t="str">
        <f t="shared" ca="1" si="75"/>
        <v>20192</v>
      </c>
      <c r="K280" s="6">
        <f t="shared" ca="1" si="76"/>
        <v>2019</v>
      </c>
      <c r="L280" s="6">
        <f t="shared" ca="1" si="77"/>
        <v>2</v>
      </c>
      <c r="M280" s="68">
        <f ca="1">IFERROR(__xludf.DUMMYFUNCTION("""COMPUTED_VALUE"""),43497.6666666666)</f>
        <v>43497.666666666599</v>
      </c>
      <c r="N280" s="6">
        <f ca="1">IFERROR(__xludf.DUMMYFUNCTION("""COMPUTED_VALUE"""),7263.87)</f>
        <v>7263.87</v>
      </c>
      <c r="R280" s="6" t="str">
        <f t="shared" ca="1" si="78"/>
        <v>20192</v>
      </c>
      <c r="S280" s="6">
        <f t="shared" ca="1" si="79"/>
        <v>2019</v>
      </c>
      <c r="T280" s="6">
        <f t="shared" ca="1" si="80"/>
        <v>2</v>
      </c>
      <c r="U280" s="68">
        <f ca="1">IFERROR(__xludf.DUMMYFUNCTION("""COMPUTED_VALUE"""),43521.6458333333)</f>
        <v>43521.645833333299</v>
      </c>
      <c r="V280" s="6">
        <f ca="1">IFERROR(__xludf.DUMMYFUNCTION("""COMPUTED_VALUE"""),2232.56)</f>
        <v>2232.56</v>
      </c>
      <c r="Z280" s="6" t="str">
        <f t="shared" ca="1" si="81"/>
        <v>201810</v>
      </c>
      <c r="AA280" s="6">
        <f t="shared" ca="1" si="82"/>
        <v>2018</v>
      </c>
      <c r="AB280" s="6">
        <f t="shared" ca="1" si="83"/>
        <v>10</v>
      </c>
      <c r="AC280" s="68">
        <f ca="1">IFERROR(__xludf.DUMMYFUNCTION("""COMPUTED_VALUE"""),43387.9986111111)</f>
        <v>43387.998611111099</v>
      </c>
      <c r="AD280" s="6">
        <f ca="1">IFERROR(__xludf.DUMMYFUNCTION("""COMPUTED_VALUE"""),1131.19)</f>
        <v>1131.19</v>
      </c>
      <c r="AH280" s="6" t="str">
        <f t="shared" ca="1" si="84"/>
        <v>20189</v>
      </c>
      <c r="AI280" s="6">
        <f t="shared" ca="1" si="85"/>
        <v>2018</v>
      </c>
      <c r="AJ280" s="6">
        <f t="shared" ca="1" si="86"/>
        <v>9</v>
      </c>
      <c r="AK280" s="68">
        <f ca="1">IFERROR(__xludf.DUMMYFUNCTION("""COMPUTED_VALUE"""),43372.9986111111)</f>
        <v>43372.998611111099</v>
      </c>
      <c r="AL280" s="6">
        <f ca="1">IFERROR(__xludf.DUMMYFUNCTION("""COMPUTED_VALUE"""),6593.03)</f>
        <v>6593.03</v>
      </c>
      <c r="AP280" s="6" t="str">
        <f t="shared" ca="1" si="87"/>
        <v>20192</v>
      </c>
      <c r="AQ280" s="6">
        <f t="shared" ca="1" si="88"/>
        <v>2019</v>
      </c>
      <c r="AR280" s="6">
        <f t="shared" ca="1" si="89"/>
        <v>2</v>
      </c>
      <c r="AS280" s="68">
        <f ca="1">IFERROR(__xludf.DUMMYFUNCTION("""COMPUTED_VALUE"""),43502.9986111111)</f>
        <v>43502.998611111099</v>
      </c>
      <c r="AT280" s="6">
        <f ca="1">IFERROR(__xludf.DUMMYFUNCTION("""COMPUTED_VALUE"""),1314.4)</f>
        <v>1314.4</v>
      </c>
    </row>
    <row r="281" spans="2:46" x14ac:dyDescent="0.35">
      <c r="B281" s="6" t="str">
        <f t="shared" ca="1" si="72"/>
        <v>20192</v>
      </c>
      <c r="C281" s="6">
        <f t="shared" ca="1" si="73"/>
        <v>2019</v>
      </c>
      <c r="D281" s="6">
        <f t="shared" ca="1" si="74"/>
        <v>2</v>
      </c>
      <c r="E281" s="68">
        <f ca="1">IFERROR(__xludf.DUMMYFUNCTION("""COMPUTED_VALUE"""),43500.6666666666)</f>
        <v>43500.666666666599</v>
      </c>
      <c r="F281" s="6">
        <f ca="1">IFERROR(__xludf.DUMMYFUNCTION("""COMPUTED_VALUE"""),2724.87)</f>
        <v>2724.87</v>
      </c>
      <c r="J281" s="6" t="str">
        <f t="shared" ca="1" si="75"/>
        <v>20192</v>
      </c>
      <c r="K281" s="6">
        <f t="shared" ca="1" si="76"/>
        <v>2019</v>
      </c>
      <c r="L281" s="6">
        <f t="shared" ca="1" si="77"/>
        <v>2</v>
      </c>
      <c r="M281" s="68">
        <f ca="1">IFERROR(__xludf.DUMMYFUNCTION("""COMPUTED_VALUE"""),43500.6666666666)</f>
        <v>43500.666666666599</v>
      </c>
      <c r="N281" s="6">
        <f ca="1">IFERROR(__xludf.DUMMYFUNCTION("""COMPUTED_VALUE"""),7347.54)</f>
        <v>7347.54</v>
      </c>
      <c r="R281" s="6" t="str">
        <f t="shared" ca="1" si="78"/>
        <v>20192</v>
      </c>
      <c r="S281" s="6">
        <f t="shared" ca="1" si="79"/>
        <v>2019</v>
      </c>
      <c r="T281" s="6">
        <f t="shared" ca="1" si="80"/>
        <v>2</v>
      </c>
      <c r="U281" s="68">
        <f ca="1">IFERROR(__xludf.DUMMYFUNCTION("""COMPUTED_VALUE"""),43522.6458333333)</f>
        <v>43522.645833333299</v>
      </c>
      <c r="V281" s="6">
        <f ca="1">IFERROR(__xludf.DUMMYFUNCTION("""COMPUTED_VALUE"""),2226.6)</f>
        <v>2226.6</v>
      </c>
      <c r="Z281" s="6" t="str">
        <f t="shared" ca="1" si="81"/>
        <v>201810</v>
      </c>
      <c r="AA281" s="6">
        <f t="shared" ca="1" si="82"/>
        <v>2018</v>
      </c>
      <c r="AB281" s="6">
        <f t="shared" ca="1" si="83"/>
        <v>10</v>
      </c>
      <c r="AC281" s="68">
        <f ca="1">IFERROR(__xludf.DUMMYFUNCTION("""COMPUTED_VALUE"""),43388.9986111111)</f>
        <v>43388.998611111099</v>
      </c>
      <c r="AD281" s="6">
        <f ca="1">IFERROR(__xludf.DUMMYFUNCTION("""COMPUTED_VALUE"""),1135.17)</f>
        <v>1135.17</v>
      </c>
      <c r="AH281" s="6" t="str">
        <f t="shared" ca="1" si="84"/>
        <v>20189</v>
      </c>
      <c r="AI281" s="6">
        <f t="shared" ca="1" si="85"/>
        <v>2018</v>
      </c>
      <c r="AJ281" s="6">
        <f t="shared" ca="1" si="86"/>
        <v>9</v>
      </c>
      <c r="AK281" s="68">
        <f ca="1">IFERROR(__xludf.DUMMYFUNCTION("""COMPUTED_VALUE"""),43373.9986111111)</f>
        <v>43373.998611111099</v>
      </c>
      <c r="AL281" s="6">
        <f ca="1">IFERROR(__xludf.DUMMYFUNCTION("""COMPUTED_VALUE"""),6618.76)</f>
        <v>6618.76</v>
      </c>
      <c r="AP281" s="6" t="str">
        <f t="shared" ca="1" si="87"/>
        <v>20192</v>
      </c>
      <c r="AQ281" s="6">
        <f t="shared" ca="1" si="88"/>
        <v>2019</v>
      </c>
      <c r="AR281" s="6">
        <f t="shared" ca="1" si="89"/>
        <v>2</v>
      </c>
      <c r="AS281" s="68">
        <f ca="1">IFERROR(__xludf.DUMMYFUNCTION("""COMPUTED_VALUE"""),43503.9986111111)</f>
        <v>43503.998611111099</v>
      </c>
      <c r="AT281" s="6">
        <f ca="1">IFERROR(__xludf.DUMMYFUNCTION("""COMPUTED_VALUE"""),1314.2)</f>
        <v>1314.2</v>
      </c>
    </row>
    <row r="282" spans="2:46" x14ac:dyDescent="0.35">
      <c r="B282" s="6" t="str">
        <f t="shared" ca="1" si="72"/>
        <v>20192</v>
      </c>
      <c r="C282" s="6">
        <f t="shared" ca="1" si="73"/>
        <v>2019</v>
      </c>
      <c r="D282" s="6">
        <f t="shared" ca="1" si="74"/>
        <v>2</v>
      </c>
      <c r="E282" s="68">
        <f ca="1">IFERROR(__xludf.DUMMYFUNCTION("""COMPUTED_VALUE"""),43501.6666666666)</f>
        <v>43501.666666666599</v>
      </c>
      <c r="F282" s="6">
        <f ca="1">IFERROR(__xludf.DUMMYFUNCTION("""COMPUTED_VALUE"""),2737.7)</f>
        <v>2737.7</v>
      </c>
      <c r="J282" s="6" t="str">
        <f t="shared" ca="1" si="75"/>
        <v>20192</v>
      </c>
      <c r="K282" s="6">
        <f t="shared" ca="1" si="76"/>
        <v>2019</v>
      </c>
      <c r="L282" s="6">
        <f t="shared" ca="1" si="77"/>
        <v>2</v>
      </c>
      <c r="M282" s="68">
        <f ca="1">IFERROR(__xludf.DUMMYFUNCTION("""COMPUTED_VALUE"""),43501.6666666666)</f>
        <v>43501.666666666599</v>
      </c>
      <c r="N282" s="6">
        <f ca="1">IFERROR(__xludf.DUMMYFUNCTION("""COMPUTED_VALUE"""),7402.08)</f>
        <v>7402.08</v>
      </c>
      <c r="R282" s="6" t="str">
        <f t="shared" ca="1" si="78"/>
        <v>20192</v>
      </c>
      <c r="S282" s="6">
        <f t="shared" ca="1" si="79"/>
        <v>2019</v>
      </c>
      <c r="T282" s="6">
        <f t="shared" ca="1" si="80"/>
        <v>2</v>
      </c>
      <c r="U282" s="68">
        <f ca="1">IFERROR(__xludf.DUMMYFUNCTION("""COMPUTED_VALUE"""),43523.6458333333)</f>
        <v>43523.645833333299</v>
      </c>
      <c r="V282" s="6">
        <f ca="1">IFERROR(__xludf.DUMMYFUNCTION("""COMPUTED_VALUE"""),2234.79)</f>
        <v>2234.79</v>
      </c>
      <c r="Z282" s="6" t="str">
        <f t="shared" ca="1" si="81"/>
        <v>201810</v>
      </c>
      <c r="AA282" s="6">
        <f t="shared" ca="1" si="82"/>
        <v>2018</v>
      </c>
      <c r="AB282" s="6">
        <f t="shared" ca="1" si="83"/>
        <v>10</v>
      </c>
      <c r="AC282" s="68">
        <f ca="1">IFERROR(__xludf.DUMMYFUNCTION("""COMPUTED_VALUE"""),43389.9986111111)</f>
        <v>43389.998611111099</v>
      </c>
      <c r="AD282" s="6">
        <f ca="1">IFERROR(__xludf.DUMMYFUNCTION("""COMPUTED_VALUE"""),1122.15)</f>
        <v>1122.1500000000001</v>
      </c>
      <c r="AH282" s="6" t="str">
        <f t="shared" ca="1" si="84"/>
        <v>201810</v>
      </c>
      <c r="AI282" s="6">
        <f t="shared" ca="1" si="85"/>
        <v>2018</v>
      </c>
      <c r="AJ282" s="6">
        <f t="shared" ca="1" si="86"/>
        <v>10</v>
      </c>
      <c r="AK282" s="68">
        <f ca="1">IFERROR(__xludf.DUMMYFUNCTION("""COMPUTED_VALUE"""),43374.9986111111)</f>
        <v>43374.998611111099</v>
      </c>
      <c r="AL282" s="6">
        <f ca="1">IFERROR(__xludf.DUMMYFUNCTION("""COMPUTED_VALUE"""),6591.01)</f>
        <v>6591.01</v>
      </c>
      <c r="AP282" s="6" t="str">
        <f t="shared" ca="1" si="87"/>
        <v>20192</v>
      </c>
      <c r="AQ282" s="6">
        <f t="shared" ca="1" si="88"/>
        <v>2019</v>
      </c>
      <c r="AR282" s="6">
        <f t="shared" ca="1" si="89"/>
        <v>2</v>
      </c>
      <c r="AS282" s="68">
        <f ca="1">IFERROR(__xludf.DUMMYFUNCTION("""COMPUTED_VALUE"""),43504.9986111111)</f>
        <v>43504.998611111099</v>
      </c>
      <c r="AT282" s="6">
        <f ca="1">IFERROR(__xludf.DUMMYFUNCTION("""COMPUTED_VALUE"""),1318.5)</f>
        <v>1318.5</v>
      </c>
    </row>
    <row r="283" spans="2:46" x14ac:dyDescent="0.35">
      <c r="B283" s="6" t="str">
        <f t="shared" ca="1" si="72"/>
        <v>20192</v>
      </c>
      <c r="C283" s="6">
        <f t="shared" ca="1" si="73"/>
        <v>2019</v>
      </c>
      <c r="D283" s="6">
        <f t="shared" ca="1" si="74"/>
        <v>2</v>
      </c>
      <c r="E283" s="68">
        <f ca="1">IFERROR(__xludf.DUMMYFUNCTION("""COMPUTED_VALUE"""),43502.6666666666)</f>
        <v>43502.666666666599</v>
      </c>
      <c r="F283" s="6">
        <f ca="1">IFERROR(__xludf.DUMMYFUNCTION("""COMPUTED_VALUE"""),2731.61)</f>
        <v>2731.61</v>
      </c>
      <c r="J283" s="6" t="str">
        <f t="shared" ca="1" si="75"/>
        <v>20192</v>
      </c>
      <c r="K283" s="6">
        <f t="shared" ca="1" si="76"/>
        <v>2019</v>
      </c>
      <c r="L283" s="6">
        <f t="shared" ca="1" si="77"/>
        <v>2</v>
      </c>
      <c r="M283" s="68">
        <f ca="1">IFERROR(__xludf.DUMMYFUNCTION("""COMPUTED_VALUE"""),43502.6666666666)</f>
        <v>43502.666666666599</v>
      </c>
      <c r="N283" s="6">
        <f ca="1">IFERROR(__xludf.DUMMYFUNCTION("""COMPUTED_VALUE"""),7375.28)</f>
        <v>7375.28</v>
      </c>
      <c r="R283" s="6" t="str">
        <f t="shared" ca="1" si="78"/>
        <v>20192</v>
      </c>
      <c r="S283" s="6">
        <f t="shared" ca="1" si="79"/>
        <v>2019</v>
      </c>
      <c r="T283" s="6">
        <f t="shared" ca="1" si="80"/>
        <v>2</v>
      </c>
      <c r="U283" s="68">
        <f ca="1">IFERROR(__xludf.DUMMYFUNCTION("""COMPUTED_VALUE"""),43524.6458333333)</f>
        <v>43524.645833333299</v>
      </c>
      <c r="V283" s="6">
        <f ca="1">IFERROR(__xludf.DUMMYFUNCTION("""COMPUTED_VALUE"""),2195.44)</f>
        <v>2195.44</v>
      </c>
      <c r="Z283" s="6" t="str">
        <f t="shared" ca="1" si="81"/>
        <v>201810</v>
      </c>
      <c r="AA283" s="6">
        <f t="shared" ca="1" si="82"/>
        <v>2018</v>
      </c>
      <c r="AB283" s="6">
        <f t="shared" ca="1" si="83"/>
        <v>10</v>
      </c>
      <c r="AC283" s="68">
        <f ca="1">IFERROR(__xludf.DUMMYFUNCTION("""COMPUTED_VALUE"""),43390.9986111111)</f>
        <v>43390.998611111099</v>
      </c>
      <c r="AD283" s="6">
        <f ca="1">IFERROR(__xludf.DUMMYFUNCTION("""COMPUTED_VALUE"""),1127.1)</f>
        <v>1127.0999999999999</v>
      </c>
      <c r="AH283" s="6" t="str">
        <f t="shared" ca="1" si="84"/>
        <v>201810</v>
      </c>
      <c r="AI283" s="6">
        <f t="shared" ca="1" si="85"/>
        <v>2018</v>
      </c>
      <c r="AJ283" s="6">
        <f t="shared" ca="1" si="86"/>
        <v>10</v>
      </c>
      <c r="AK283" s="68">
        <f ca="1">IFERROR(__xludf.DUMMYFUNCTION("""COMPUTED_VALUE"""),43375.9986111111)</f>
        <v>43375.998611111099</v>
      </c>
      <c r="AL283" s="6">
        <f ca="1">IFERROR(__xludf.DUMMYFUNCTION("""COMPUTED_VALUE"""),6518.96)</f>
        <v>6518.96</v>
      </c>
      <c r="AP283" s="6" t="str">
        <f t="shared" ca="1" si="87"/>
        <v>20192</v>
      </c>
      <c r="AQ283" s="6">
        <f t="shared" ca="1" si="88"/>
        <v>2019</v>
      </c>
      <c r="AR283" s="6">
        <f t="shared" ca="1" si="89"/>
        <v>2</v>
      </c>
      <c r="AS283" s="68">
        <f ca="1">IFERROR(__xludf.DUMMYFUNCTION("""COMPUTED_VALUE"""),43507.9986111111)</f>
        <v>43507.998611111099</v>
      </c>
      <c r="AT283" s="6">
        <f ca="1">IFERROR(__xludf.DUMMYFUNCTION("""COMPUTED_VALUE"""),1311.9)</f>
        <v>1311.9</v>
      </c>
    </row>
    <row r="284" spans="2:46" x14ac:dyDescent="0.35">
      <c r="B284" s="6" t="str">
        <f t="shared" ca="1" si="72"/>
        <v>20192</v>
      </c>
      <c r="C284" s="6">
        <f t="shared" ca="1" si="73"/>
        <v>2019</v>
      </c>
      <c r="D284" s="6">
        <f t="shared" ca="1" si="74"/>
        <v>2</v>
      </c>
      <c r="E284" s="68">
        <f ca="1">IFERROR(__xludf.DUMMYFUNCTION("""COMPUTED_VALUE"""),43503.6666666666)</f>
        <v>43503.666666666599</v>
      </c>
      <c r="F284" s="6">
        <f ca="1">IFERROR(__xludf.DUMMYFUNCTION("""COMPUTED_VALUE"""),2706.05)</f>
        <v>2706.05</v>
      </c>
      <c r="J284" s="6" t="str">
        <f t="shared" ca="1" si="75"/>
        <v>20192</v>
      </c>
      <c r="K284" s="6">
        <f t="shared" ca="1" si="76"/>
        <v>2019</v>
      </c>
      <c r="L284" s="6">
        <f t="shared" ca="1" si="77"/>
        <v>2</v>
      </c>
      <c r="M284" s="68">
        <f ca="1">IFERROR(__xludf.DUMMYFUNCTION("""COMPUTED_VALUE"""),43503.6666666666)</f>
        <v>43503.666666666599</v>
      </c>
      <c r="N284" s="6">
        <f ca="1">IFERROR(__xludf.DUMMYFUNCTION("""COMPUTED_VALUE"""),7288.35)</f>
        <v>7288.35</v>
      </c>
      <c r="R284" s="6" t="str">
        <f t="shared" ca="1" si="78"/>
        <v>20193</v>
      </c>
      <c r="S284" s="6">
        <f t="shared" ca="1" si="79"/>
        <v>2019</v>
      </c>
      <c r="T284" s="6">
        <f t="shared" ca="1" si="80"/>
        <v>3</v>
      </c>
      <c r="U284" s="68">
        <f ca="1">IFERROR(__xludf.DUMMYFUNCTION("""COMPUTED_VALUE"""),43528.6458333333)</f>
        <v>43528.645833333299</v>
      </c>
      <c r="V284" s="6">
        <f ca="1">IFERROR(__xludf.DUMMYFUNCTION("""COMPUTED_VALUE"""),2190.66)</f>
        <v>2190.66</v>
      </c>
      <c r="Z284" s="6" t="str">
        <f t="shared" ca="1" si="81"/>
        <v>201810</v>
      </c>
      <c r="AA284" s="6">
        <f t="shared" ca="1" si="82"/>
        <v>2018</v>
      </c>
      <c r="AB284" s="6">
        <f t="shared" ca="1" si="83"/>
        <v>10</v>
      </c>
      <c r="AC284" s="68">
        <f ca="1">IFERROR(__xludf.DUMMYFUNCTION("""COMPUTED_VALUE"""),43391.9986111111)</f>
        <v>43391.998611111099</v>
      </c>
      <c r="AD284" s="6">
        <f ca="1">IFERROR(__xludf.DUMMYFUNCTION("""COMPUTED_VALUE"""),1136.6)</f>
        <v>1136.5999999999999</v>
      </c>
      <c r="AH284" s="6" t="str">
        <f t="shared" ca="1" si="84"/>
        <v>201810</v>
      </c>
      <c r="AI284" s="6">
        <f t="shared" ca="1" si="85"/>
        <v>2018</v>
      </c>
      <c r="AJ284" s="6">
        <f t="shared" ca="1" si="86"/>
        <v>10</v>
      </c>
      <c r="AK284" s="68">
        <f ca="1">IFERROR(__xludf.DUMMYFUNCTION("""COMPUTED_VALUE"""),43376.9986111111)</f>
        <v>43376.998611111099</v>
      </c>
      <c r="AL284" s="6">
        <f ca="1">IFERROR(__xludf.DUMMYFUNCTION("""COMPUTED_VALUE"""),6484.92)</f>
        <v>6484.92</v>
      </c>
      <c r="AP284" s="6" t="str">
        <f t="shared" ca="1" si="87"/>
        <v>20192</v>
      </c>
      <c r="AQ284" s="6">
        <f t="shared" ca="1" si="88"/>
        <v>2019</v>
      </c>
      <c r="AR284" s="6">
        <f t="shared" ca="1" si="89"/>
        <v>2</v>
      </c>
      <c r="AS284" s="68">
        <f ca="1">IFERROR(__xludf.DUMMYFUNCTION("""COMPUTED_VALUE"""),43508.9986111111)</f>
        <v>43508.998611111099</v>
      </c>
      <c r="AT284" s="6">
        <f ca="1">IFERROR(__xludf.DUMMYFUNCTION("""COMPUTED_VALUE"""),1314)</f>
        <v>1314</v>
      </c>
    </row>
    <row r="285" spans="2:46" x14ac:dyDescent="0.35">
      <c r="B285" s="6" t="str">
        <f t="shared" ca="1" si="72"/>
        <v>20192</v>
      </c>
      <c r="C285" s="6">
        <f t="shared" ca="1" si="73"/>
        <v>2019</v>
      </c>
      <c r="D285" s="6">
        <f t="shared" ca="1" si="74"/>
        <v>2</v>
      </c>
      <c r="E285" s="68">
        <f ca="1">IFERROR(__xludf.DUMMYFUNCTION("""COMPUTED_VALUE"""),43504.6666666666)</f>
        <v>43504.666666666599</v>
      </c>
      <c r="F285" s="6">
        <f ca="1">IFERROR(__xludf.DUMMYFUNCTION("""COMPUTED_VALUE"""),2707.88)</f>
        <v>2707.88</v>
      </c>
      <c r="J285" s="6" t="str">
        <f t="shared" ca="1" si="75"/>
        <v>20192</v>
      </c>
      <c r="K285" s="6">
        <f t="shared" ca="1" si="76"/>
        <v>2019</v>
      </c>
      <c r="L285" s="6">
        <f t="shared" ca="1" si="77"/>
        <v>2</v>
      </c>
      <c r="M285" s="68">
        <f ca="1">IFERROR(__xludf.DUMMYFUNCTION("""COMPUTED_VALUE"""),43504.6666666666)</f>
        <v>43504.666666666599</v>
      </c>
      <c r="N285" s="6">
        <f ca="1">IFERROR(__xludf.DUMMYFUNCTION("""COMPUTED_VALUE"""),7298.2)</f>
        <v>7298.2</v>
      </c>
      <c r="R285" s="6" t="str">
        <f t="shared" ca="1" si="78"/>
        <v>20193</v>
      </c>
      <c r="S285" s="6">
        <f t="shared" ca="1" si="79"/>
        <v>2019</v>
      </c>
      <c r="T285" s="6">
        <f t="shared" ca="1" si="80"/>
        <v>3</v>
      </c>
      <c r="U285" s="68">
        <f ca="1">IFERROR(__xludf.DUMMYFUNCTION("""COMPUTED_VALUE"""),43529.6458333333)</f>
        <v>43529.645833333299</v>
      </c>
      <c r="V285" s="6">
        <f ca="1">IFERROR(__xludf.DUMMYFUNCTION("""COMPUTED_VALUE"""),2179.23)</f>
        <v>2179.23</v>
      </c>
      <c r="Z285" s="6" t="str">
        <f t="shared" ca="1" si="81"/>
        <v>201810</v>
      </c>
      <c r="AA285" s="6">
        <f t="shared" ca="1" si="82"/>
        <v>2018</v>
      </c>
      <c r="AB285" s="6">
        <f t="shared" ca="1" si="83"/>
        <v>10</v>
      </c>
      <c r="AC285" s="68">
        <f ca="1">IFERROR(__xludf.DUMMYFUNCTION("""COMPUTED_VALUE"""),43392.9986111111)</f>
        <v>43392.998611111099</v>
      </c>
      <c r="AD285" s="6">
        <f ca="1">IFERROR(__xludf.DUMMYFUNCTION("""COMPUTED_VALUE"""),1131.12)</f>
        <v>1131.1199999999999</v>
      </c>
      <c r="AH285" s="6" t="str">
        <f t="shared" ca="1" si="84"/>
        <v>201810</v>
      </c>
      <c r="AI285" s="6">
        <f t="shared" ca="1" si="85"/>
        <v>2018</v>
      </c>
      <c r="AJ285" s="6">
        <f t="shared" ca="1" si="86"/>
        <v>10</v>
      </c>
      <c r="AK285" s="68">
        <f ca="1">IFERROR(__xludf.DUMMYFUNCTION("""COMPUTED_VALUE"""),43377.9986111111)</f>
        <v>43377.998611111099</v>
      </c>
      <c r="AL285" s="6">
        <f ca="1">IFERROR(__xludf.DUMMYFUNCTION("""COMPUTED_VALUE"""),6576.6)</f>
        <v>6576.6</v>
      </c>
      <c r="AP285" s="6" t="str">
        <f t="shared" ca="1" si="87"/>
        <v>20192</v>
      </c>
      <c r="AQ285" s="6">
        <f t="shared" ca="1" si="88"/>
        <v>2019</v>
      </c>
      <c r="AR285" s="6">
        <f t="shared" ca="1" si="89"/>
        <v>2</v>
      </c>
      <c r="AS285" s="68">
        <f ca="1">IFERROR(__xludf.DUMMYFUNCTION("""COMPUTED_VALUE"""),43509.9986111111)</f>
        <v>43509.998611111099</v>
      </c>
      <c r="AT285" s="6">
        <f ca="1">IFERROR(__xludf.DUMMYFUNCTION("""COMPUTED_VALUE"""),1315.1)</f>
        <v>1315.1</v>
      </c>
    </row>
    <row r="286" spans="2:46" x14ac:dyDescent="0.35">
      <c r="B286" s="6" t="str">
        <f t="shared" ca="1" si="72"/>
        <v>20192</v>
      </c>
      <c r="C286" s="6">
        <f t="shared" ca="1" si="73"/>
        <v>2019</v>
      </c>
      <c r="D286" s="6">
        <f t="shared" ca="1" si="74"/>
        <v>2</v>
      </c>
      <c r="E286" s="68">
        <f ca="1">IFERROR(__xludf.DUMMYFUNCTION("""COMPUTED_VALUE"""),43507.6666666666)</f>
        <v>43507.666666666599</v>
      </c>
      <c r="F286" s="6">
        <f ca="1">IFERROR(__xludf.DUMMYFUNCTION("""COMPUTED_VALUE"""),2709.8)</f>
        <v>2709.8</v>
      </c>
      <c r="J286" s="6" t="str">
        <f t="shared" ca="1" si="75"/>
        <v>20192</v>
      </c>
      <c r="K286" s="6">
        <f t="shared" ca="1" si="76"/>
        <v>2019</v>
      </c>
      <c r="L286" s="6">
        <f t="shared" ca="1" si="77"/>
        <v>2</v>
      </c>
      <c r="M286" s="68">
        <f ca="1">IFERROR(__xludf.DUMMYFUNCTION("""COMPUTED_VALUE"""),43507.6666666666)</f>
        <v>43507.666666666599</v>
      </c>
      <c r="N286" s="6">
        <f ca="1">IFERROR(__xludf.DUMMYFUNCTION("""COMPUTED_VALUE"""),7307.91)</f>
        <v>7307.91</v>
      </c>
      <c r="R286" s="6" t="str">
        <f t="shared" ca="1" si="78"/>
        <v>20193</v>
      </c>
      <c r="S286" s="6">
        <f t="shared" ca="1" si="79"/>
        <v>2019</v>
      </c>
      <c r="T286" s="6">
        <f t="shared" ca="1" si="80"/>
        <v>3</v>
      </c>
      <c r="U286" s="68">
        <f ca="1">IFERROR(__xludf.DUMMYFUNCTION("""COMPUTED_VALUE"""),43530.6458333333)</f>
        <v>43530.645833333299</v>
      </c>
      <c r="V286" s="6">
        <f ca="1">IFERROR(__xludf.DUMMYFUNCTION("""COMPUTED_VALUE"""),2175.6)</f>
        <v>2175.6</v>
      </c>
      <c r="Z286" s="6" t="str">
        <f t="shared" ca="1" si="81"/>
        <v>201810</v>
      </c>
      <c r="AA286" s="6">
        <f t="shared" ca="1" si="82"/>
        <v>2018</v>
      </c>
      <c r="AB286" s="6">
        <f t="shared" ca="1" si="83"/>
        <v>10</v>
      </c>
      <c r="AC286" s="68">
        <f ca="1">IFERROR(__xludf.DUMMYFUNCTION("""COMPUTED_VALUE"""),43394.9986111111)</f>
        <v>43394.998611111099</v>
      </c>
      <c r="AD286" s="6">
        <f ca="1">IFERROR(__xludf.DUMMYFUNCTION("""COMPUTED_VALUE"""),1131.6)</f>
        <v>1131.5999999999999</v>
      </c>
      <c r="AH286" s="6" t="str">
        <f t="shared" ca="1" si="84"/>
        <v>201810</v>
      </c>
      <c r="AI286" s="6">
        <f t="shared" ca="1" si="85"/>
        <v>2018</v>
      </c>
      <c r="AJ286" s="6">
        <f t="shared" ca="1" si="86"/>
        <v>10</v>
      </c>
      <c r="AK286" s="68">
        <f ca="1">IFERROR(__xludf.DUMMYFUNCTION("""COMPUTED_VALUE"""),43378.9986111111)</f>
        <v>43378.998611111099</v>
      </c>
      <c r="AL286" s="6">
        <f ca="1">IFERROR(__xludf.DUMMYFUNCTION("""COMPUTED_VALUE"""),6614.16)</f>
        <v>6614.16</v>
      </c>
      <c r="AP286" s="6" t="str">
        <f t="shared" ca="1" si="87"/>
        <v>20192</v>
      </c>
      <c r="AQ286" s="6">
        <f t="shared" ca="1" si="88"/>
        <v>2019</v>
      </c>
      <c r="AR286" s="6">
        <f t="shared" ca="1" si="89"/>
        <v>2</v>
      </c>
      <c r="AS286" s="68">
        <f ca="1">IFERROR(__xludf.DUMMYFUNCTION("""COMPUTED_VALUE"""),43510.9986111111)</f>
        <v>43510.998611111099</v>
      </c>
      <c r="AT286" s="6">
        <f ca="1">IFERROR(__xludf.DUMMYFUNCTION("""COMPUTED_VALUE"""),1313.9)</f>
        <v>1313.9</v>
      </c>
    </row>
    <row r="287" spans="2:46" x14ac:dyDescent="0.35">
      <c r="B287" s="6" t="str">
        <f t="shared" ca="1" si="72"/>
        <v>20192</v>
      </c>
      <c r="C287" s="6">
        <f t="shared" ca="1" si="73"/>
        <v>2019</v>
      </c>
      <c r="D287" s="6">
        <f t="shared" ca="1" si="74"/>
        <v>2</v>
      </c>
      <c r="E287" s="68">
        <f ca="1">IFERROR(__xludf.DUMMYFUNCTION("""COMPUTED_VALUE"""),43508.6666666666)</f>
        <v>43508.666666666599</v>
      </c>
      <c r="F287" s="6">
        <f ca="1">IFERROR(__xludf.DUMMYFUNCTION("""COMPUTED_VALUE"""),2744.73)</f>
        <v>2744.73</v>
      </c>
      <c r="J287" s="6" t="str">
        <f t="shared" ca="1" si="75"/>
        <v>20192</v>
      </c>
      <c r="K287" s="6">
        <f t="shared" ca="1" si="76"/>
        <v>2019</v>
      </c>
      <c r="L287" s="6">
        <f t="shared" ca="1" si="77"/>
        <v>2</v>
      </c>
      <c r="M287" s="68">
        <f ca="1">IFERROR(__xludf.DUMMYFUNCTION("""COMPUTED_VALUE"""),43508.6666666666)</f>
        <v>43508.666666666599</v>
      </c>
      <c r="N287" s="6">
        <f ca="1">IFERROR(__xludf.DUMMYFUNCTION("""COMPUTED_VALUE"""),7414.62)</f>
        <v>7414.62</v>
      </c>
      <c r="R287" s="6" t="str">
        <f t="shared" ca="1" si="78"/>
        <v>20193</v>
      </c>
      <c r="S287" s="6">
        <f t="shared" ca="1" si="79"/>
        <v>2019</v>
      </c>
      <c r="T287" s="6">
        <f t="shared" ca="1" si="80"/>
        <v>3</v>
      </c>
      <c r="U287" s="68">
        <f ca="1">IFERROR(__xludf.DUMMYFUNCTION("""COMPUTED_VALUE"""),43531.6458333333)</f>
        <v>43531.645833333299</v>
      </c>
      <c r="V287" s="6">
        <f ca="1">IFERROR(__xludf.DUMMYFUNCTION("""COMPUTED_VALUE"""),2165.79)</f>
        <v>2165.79</v>
      </c>
      <c r="Z287" s="6" t="str">
        <f t="shared" ca="1" si="81"/>
        <v>201810</v>
      </c>
      <c r="AA287" s="6">
        <f t="shared" ca="1" si="82"/>
        <v>2018</v>
      </c>
      <c r="AB287" s="6">
        <f t="shared" ca="1" si="83"/>
        <v>10</v>
      </c>
      <c r="AC287" s="68">
        <f ca="1">IFERROR(__xludf.DUMMYFUNCTION("""COMPUTED_VALUE"""),43395.9986111111)</f>
        <v>43395.998611111099</v>
      </c>
      <c r="AD287" s="6">
        <f ca="1">IFERROR(__xludf.DUMMYFUNCTION("""COMPUTED_VALUE"""),1131.25)</f>
        <v>1131.25</v>
      </c>
      <c r="AH287" s="6" t="str">
        <f t="shared" ca="1" si="84"/>
        <v>201810</v>
      </c>
      <c r="AI287" s="6">
        <f t="shared" ca="1" si="85"/>
        <v>2018</v>
      </c>
      <c r="AJ287" s="6">
        <f t="shared" ca="1" si="86"/>
        <v>10</v>
      </c>
      <c r="AK287" s="68">
        <f ca="1">IFERROR(__xludf.DUMMYFUNCTION("""COMPUTED_VALUE"""),43379.9986111111)</f>
        <v>43379.998611111099</v>
      </c>
      <c r="AL287" s="6">
        <f ca="1">IFERROR(__xludf.DUMMYFUNCTION("""COMPUTED_VALUE"""),6580.74)</f>
        <v>6580.74</v>
      </c>
      <c r="AP287" s="6" t="str">
        <f t="shared" ca="1" si="87"/>
        <v>20192</v>
      </c>
      <c r="AQ287" s="6">
        <f t="shared" ca="1" si="88"/>
        <v>2019</v>
      </c>
      <c r="AR287" s="6">
        <f t="shared" ca="1" si="89"/>
        <v>2</v>
      </c>
      <c r="AS287" s="68">
        <f ca="1">IFERROR(__xludf.DUMMYFUNCTION("""COMPUTED_VALUE"""),43515.9986111111)</f>
        <v>43515.998611111099</v>
      </c>
      <c r="AT287" s="6">
        <f ca="1">IFERROR(__xludf.DUMMYFUNCTION("""COMPUTED_VALUE"""),1344.8)</f>
        <v>1344.8</v>
      </c>
    </row>
    <row r="288" spans="2:46" x14ac:dyDescent="0.35">
      <c r="B288" s="6" t="str">
        <f t="shared" ca="1" si="72"/>
        <v>20192</v>
      </c>
      <c r="C288" s="6">
        <f t="shared" ca="1" si="73"/>
        <v>2019</v>
      </c>
      <c r="D288" s="6">
        <f t="shared" ca="1" si="74"/>
        <v>2</v>
      </c>
      <c r="E288" s="68">
        <f ca="1">IFERROR(__xludf.DUMMYFUNCTION("""COMPUTED_VALUE"""),43509.6666666666)</f>
        <v>43509.666666666599</v>
      </c>
      <c r="F288" s="6">
        <f ca="1">IFERROR(__xludf.DUMMYFUNCTION("""COMPUTED_VALUE"""),2753.03)</f>
        <v>2753.03</v>
      </c>
      <c r="J288" s="6" t="str">
        <f t="shared" ca="1" si="75"/>
        <v>20192</v>
      </c>
      <c r="K288" s="6">
        <f t="shared" ca="1" si="76"/>
        <v>2019</v>
      </c>
      <c r="L288" s="6">
        <f t="shared" ca="1" si="77"/>
        <v>2</v>
      </c>
      <c r="M288" s="68">
        <f ca="1">IFERROR(__xludf.DUMMYFUNCTION("""COMPUTED_VALUE"""),43509.6666666666)</f>
        <v>43509.666666666599</v>
      </c>
      <c r="N288" s="6">
        <f ca="1">IFERROR(__xludf.DUMMYFUNCTION("""COMPUTED_VALUE"""),7420.38)</f>
        <v>7420.38</v>
      </c>
      <c r="R288" s="6" t="str">
        <f t="shared" ca="1" si="78"/>
        <v>20193</v>
      </c>
      <c r="S288" s="6">
        <f t="shared" ca="1" si="79"/>
        <v>2019</v>
      </c>
      <c r="T288" s="6">
        <f t="shared" ca="1" si="80"/>
        <v>3</v>
      </c>
      <c r="U288" s="68">
        <f ca="1">IFERROR(__xludf.DUMMYFUNCTION("""COMPUTED_VALUE"""),43532.6458333333)</f>
        <v>43532.645833333299</v>
      </c>
      <c r="V288" s="6">
        <f ca="1">IFERROR(__xludf.DUMMYFUNCTION("""COMPUTED_VALUE"""),2137.44)</f>
        <v>2137.44</v>
      </c>
      <c r="Z288" s="6" t="str">
        <f t="shared" ca="1" si="81"/>
        <v>201810</v>
      </c>
      <c r="AA288" s="6">
        <f t="shared" ca="1" si="82"/>
        <v>2018</v>
      </c>
      <c r="AB288" s="6">
        <f t="shared" ca="1" si="83"/>
        <v>10</v>
      </c>
      <c r="AC288" s="68">
        <f ca="1">IFERROR(__xludf.DUMMYFUNCTION("""COMPUTED_VALUE"""),43396.9986111111)</f>
        <v>43396.998611111099</v>
      </c>
      <c r="AD288" s="6">
        <f ca="1">IFERROR(__xludf.DUMMYFUNCTION("""COMPUTED_VALUE"""),1136.64)</f>
        <v>1136.6400000000001</v>
      </c>
      <c r="AH288" s="6" t="str">
        <f t="shared" ca="1" si="84"/>
        <v>201810</v>
      </c>
      <c r="AI288" s="6">
        <f t="shared" ca="1" si="85"/>
        <v>2018</v>
      </c>
      <c r="AJ288" s="6">
        <f t="shared" ca="1" si="86"/>
        <v>10</v>
      </c>
      <c r="AK288" s="68">
        <f ca="1">IFERROR(__xludf.DUMMYFUNCTION("""COMPUTED_VALUE"""),43380.9986111111)</f>
        <v>43380.998611111099</v>
      </c>
      <c r="AL288" s="6">
        <f ca="1">IFERROR(__xludf.DUMMYFUNCTION("""COMPUTED_VALUE"""),6587.88)</f>
        <v>6587.88</v>
      </c>
      <c r="AP288" s="6" t="str">
        <f t="shared" ca="1" si="87"/>
        <v>20192</v>
      </c>
      <c r="AQ288" s="6">
        <f t="shared" ca="1" si="88"/>
        <v>2019</v>
      </c>
      <c r="AR288" s="6">
        <f t="shared" ca="1" si="89"/>
        <v>2</v>
      </c>
      <c r="AS288" s="68">
        <f ca="1">IFERROR(__xludf.DUMMYFUNCTION("""COMPUTED_VALUE"""),43516.9986111111)</f>
        <v>43516.998611111099</v>
      </c>
      <c r="AT288" s="6">
        <f ca="1">IFERROR(__xludf.DUMMYFUNCTION("""COMPUTED_VALUE"""),1347.9)</f>
        <v>1347.9</v>
      </c>
    </row>
    <row r="289" spans="2:46" x14ac:dyDescent="0.35">
      <c r="B289" s="6" t="str">
        <f t="shared" ca="1" si="72"/>
        <v>20192</v>
      </c>
      <c r="C289" s="6">
        <f t="shared" ca="1" si="73"/>
        <v>2019</v>
      </c>
      <c r="D289" s="6">
        <f t="shared" ca="1" si="74"/>
        <v>2</v>
      </c>
      <c r="E289" s="68">
        <f ca="1">IFERROR(__xludf.DUMMYFUNCTION("""COMPUTED_VALUE"""),43510.6666666666)</f>
        <v>43510.666666666599</v>
      </c>
      <c r="F289" s="6">
        <f ca="1">IFERROR(__xludf.DUMMYFUNCTION("""COMPUTED_VALUE"""),2745.73)</f>
        <v>2745.73</v>
      </c>
      <c r="J289" s="6" t="str">
        <f t="shared" ca="1" si="75"/>
        <v>20192</v>
      </c>
      <c r="K289" s="6">
        <f t="shared" ca="1" si="76"/>
        <v>2019</v>
      </c>
      <c r="L289" s="6">
        <f t="shared" ca="1" si="77"/>
        <v>2</v>
      </c>
      <c r="M289" s="68">
        <f ca="1">IFERROR(__xludf.DUMMYFUNCTION("""COMPUTED_VALUE"""),43510.6666666666)</f>
        <v>43510.666666666599</v>
      </c>
      <c r="N289" s="6">
        <f ca="1">IFERROR(__xludf.DUMMYFUNCTION("""COMPUTED_VALUE"""),7426.96)</f>
        <v>7426.96</v>
      </c>
      <c r="R289" s="6" t="str">
        <f t="shared" ca="1" si="78"/>
        <v>20193</v>
      </c>
      <c r="S289" s="6">
        <f t="shared" ca="1" si="79"/>
        <v>2019</v>
      </c>
      <c r="T289" s="6">
        <f t="shared" ca="1" si="80"/>
        <v>3</v>
      </c>
      <c r="U289" s="68">
        <f ca="1">IFERROR(__xludf.DUMMYFUNCTION("""COMPUTED_VALUE"""),43535.6458333333)</f>
        <v>43535.645833333299</v>
      </c>
      <c r="V289" s="6">
        <f ca="1">IFERROR(__xludf.DUMMYFUNCTION("""COMPUTED_VALUE"""),2138.1)</f>
        <v>2138.1</v>
      </c>
      <c r="Z289" s="6" t="str">
        <f t="shared" ca="1" si="81"/>
        <v>201810</v>
      </c>
      <c r="AA289" s="6">
        <f t="shared" ca="1" si="82"/>
        <v>2018</v>
      </c>
      <c r="AB289" s="6">
        <f t="shared" ca="1" si="83"/>
        <v>10</v>
      </c>
      <c r="AC289" s="68">
        <f ca="1">IFERROR(__xludf.DUMMYFUNCTION("""COMPUTED_VALUE"""),43397.9986111111)</f>
        <v>43397.998611111099</v>
      </c>
      <c r="AD289" s="6">
        <f ca="1">IFERROR(__xludf.DUMMYFUNCTION("""COMPUTED_VALUE"""),1137.56)</f>
        <v>1137.56</v>
      </c>
      <c r="AH289" s="6" t="str">
        <f t="shared" ca="1" si="84"/>
        <v>201810</v>
      </c>
      <c r="AI289" s="6">
        <f t="shared" ca="1" si="85"/>
        <v>2018</v>
      </c>
      <c r="AJ289" s="6">
        <f t="shared" ca="1" si="86"/>
        <v>10</v>
      </c>
      <c r="AK289" s="68">
        <f ca="1">IFERROR(__xludf.DUMMYFUNCTION("""COMPUTED_VALUE"""),43381.9986111111)</f>
        <v>43381.998611111099</v>
      </c>
      <c r="AL289" s="6">
        <f ca="1">IFERROR(__xludf.DUMMYFUNCTION("""COMPUTED_VALUE"""),6648.31)</f>
        <v>6648.31</v>
      </c>
      <c r="AP289" s="6" t="str">
        <f t="shared" ca="1" si="87"/>
        <v>20192</v>
      </c>
      <c r="AQ289" s="6">
        <f t="shared" ca="1" si="88"/>
        <v>2019</v>
      </c>
      <c r="AR289" s="6">
        <f t="shared" ca="1" si="89"/>
        <v>2</v>
      </c>
      <c r="AS289" s="68">
        <f ca="1">IFERROR(__xludf.DUMMYFUNCTION("""COMPUTED_VALUE"""),43517.9986111111)</f>
        <v>43517.998611111099</v>
      </c>
      <c r="AT289" s="6">
        <f ca="1">IFERROR(__xludf.DUMMYFUNCTION("""COMPUTED_VALUE"""),1327.8)</f>
        <v>1327.8</v>
      </c>
    </row>
    <row r="290" spans="2:46" x14ac:dyDescent="0.35">
      <c r="B290" s="6" t="str">
        <f t="shared" ca="1" si="72"/>
        <v>20192</v>
      </c>
      <c r="C290" s="6">
        <f t="shared" ca="1" si="73"/>
        <v>2019</v>
      </c>
      <c r="D290" s="6">
        <f t="shared" ca="1" si="74"/>
        <v>2</v>
      </c>
      <c r="E290" s="68">
        <f ca="1">IFERROR(__xludf.DUMMYFUNCTION("""COMPUTED_VALUE"""),43511.6666666666)</f>
        <v>43511.666666666599</v>
      </c>
      <c r="F290" s="6">
        <f ca="1">IFERROR(__xludf.DUMMYFUNCTION("""COMPUTED_VALUE"""),2775.6)</f>
        <v>2775.6</v>
      </c>
      <c r="J290" s="6" t="str">
        <f t="shared" ca="1" si="75"/>
        <v>20192</v>
      </c>
      <c r="K290" s="6">
        <f t="shared" ca="1" si="76"/>
        <v>2019</v>
      </c>
      <c r="L290" s="6">
        <f t="shared" ca="1" si="77"/>
        <v>2</v>
      </c>
      <c r="M290" s="68">
        <f ca="1">IFERROR(__xludf.DUMMYFUNCTION("""COMPUTED_VALUE"""),43511.6666666666)</f>
        <v>43511.666666666599</v>
      </c>
      <c r="N290" s="6">
        <f ca="1">IFERROR(__xludf.DUMMYFUNCTION("""COMPUTED_VALUE"""),7472.41)</f>
        <v>7472.41</v>
      </c>
      <c r="R290" s="6" t="str">
        <f t="shared" ca="1" si="78"/>
        <v>20193</v>
      </c>
      <c r="S290" s="6">
        <f t="shared" ca="1" si="79"/>
        <v>2019</v>
      </c>
      <c r="T290" s="6">
        <f t="shared" ca="1" si="80"/>
        <v>3</v>
      </c>
      <c r="U290" s="68">
        <f ca="1">IFERROR(__xludf.DUMMYFUNCTION("""COMPUTED_VALUE"""),43536.6458333333)</f>
        <v>43536.645833333299</v>
      </c>
      <c r="V290" s="6">
        <f ca="1">IFERROR(__xludf.DUMMYFUNCTION("""COMPUTED_VALUE"""),2157.18)</f>
        <v>2157.1799999999998</v>
      </c>
      <c r="Z290" s="6" t="str">
        <f t="shared" ca="1" si="81"/>
        <v>201810</v>
      </c>
      <c r="AA290" s="6">
        <f t="shared" ca="1" si="82"/>
        <v>2018</v>
      </c>
      <c r="AB290" s="6">
        <f t="shared" ca="1" si="83"/>
        <v>10</v>
      </c>
      <c r="AC290" s="68">
        <f ca="1">IFERROR(__xludf.DUMMYFUNCTION("""COMPUTED_VALUE"""),43398.9986111111)</f>
        <v>43398.998611111099</v>
      </c>
      <c r="AD290" s="6">
        <f ca="1">IFERROR(__xludf.DUMMYFUNCTION("""COMPUTED_VALUE"""),1135.23)</f>
        <v>1135.23</v>
      </c>
      <c r="AH290" s="6" t="str">
        <f t="shared" ca="1" si="84"/>
        <v>201810</v>
      </c>
      <c r="AI290" s="6">
        <f t="shared" ca="1" si="85"/>
        <v>2018</v>
      </c>
      <c r="AJ290" s="6">
        <f t="shared" ca="1" si="86"/>
        <v>10</v>
      </c>
      <c r="AK290" s="68">
        <f ca="1">IFERROR(__xludf.DUMMYFUNCTION("""COMPUTED_VALUE"""),43382.9986111111)</f>
        <v>43382.998611111099</v>
      </c>
      <c r="AL290" s="6">
        <f ca="1">IFERROR(__xludf.DUMMYFUNCTION("""COMPUTED_VALUE"""),6632.57)</f>
        <v>6632.57</v>
      </c>
      <c r="AP290" s="6" t="str">
        <f t="shared" ca="1" si="87"/>
        <v>20192</v>
      </c>
      <c r="AQ290" s="6">
        <f t="shared" ca="1" si="88"/>
        <v>2019</v>
      </c>
      <c r="AR290" s="6">
        <f t="shared" ca="1" si="89"/>
        <v>2</v>
      </c>
      <c r="AS290" s="68">
        <f ca="1">IFERROR(__xludf.DUMMYFUNCTION("""COMPUTED_VALUE"""),43518.9986111111)</f>
        <v>43518.998611111099</v>
      </c>
      <c r="AT290" s="6">
        <f ca="1">IFERROR(__xludf.DUMMYFUNCTION("""COMPUTED_VALUE"""),1332.8)</f>
        <v>1332.8</v>
      </c>
    </row>
    <row r="291" spans="2:46" x14ac:dyDescent="0.35">
      <c r="B291" s="6" t="str">
        <f t="shared" ca="1" si="72"/>
        <v>20192</v>
      </c>
      <c r="C291" s="6">
        <f t="shared" ca="1" si="73"/>
        <v>2019</v>
      </c>
      <c r="D291" s="6">
        <f t="shared" ca="1" si="74"/>
        <v>2</v>
      </c>
      <c r="E291" s="68">
        <f ca="1">IFERROR(__xludf.DUMMYFUNCTION("""COMPUTED_VALUE"""),43515.6666666666)</f>
        <v>43515.666666666599</v>
      </c>
      <c r="F291" s="6">
        <f ca="1">IFERROR(__xludf.DUMMYFUNCTION("""COMPUTED_VALUE"""),2779.76)</f>
        <v>2779.76</v>
      </c>
      <c r="J291" s="6" t="str">
        <f t="shared" ca="1" si="75"/>
        <v>20192</v>
      </c>
      <c r="K291" s="6">
        <f t="shared" ca="1" si="76"/>
        <v>2019</v>
      </c>
      <c r="L291" s="6">
        <f t="shared" ca="1" si="77"/>
        <v>2</v>
      </c>
      <c r="M291" s="68">
        <f ca="1">IFERROR(__xludf.DUMMYFUNCTION("""COMPUTED_VALUE"""),43515.6666666666)</f>
        <v>43515.666666666599</v>
      </c>
      <c r="N291" s="6">
        <f ca="1">IFERROR(__xludf.DUMMYFUNCTION("""COMPUTED_VALUE"""),7486.77)</f>
        <v>7486.77</v>
      </c>
      <c r="R291" s="6" t="str">
        <f t="shared" ca="1" si="78"/>
        <v>20193</v>
      </c>
      <c r="S291" s="6">
        <f t="shared" ca="1" si="79"/>
        <v>2019</v>
      </c>
      <c r="T291" s="6">
        <f t="shared" ca="1" si="80"/>
        <v>3</v>
      </c>
      <c r="U291" s="68">
        <f ca="1">IFERROR(__xludf.DUMMYFUNCTION("""COMPUTED_VALUE"""),43537.6458333333)</f>
        <v>43537.645833333299</v>
      </c>
      <c r="V291" s="6">
        <f ca="1">IFERROR(__xludf.DUMMYFUNCTION("""COMPUTED_VALUE"""),2148.41)</f>
        <v>2148.41</v>
      </c>
      <c r="Z291" s="6" t="str">
        <f t="shared" ca="1" si="81"/>
        <v>201810</v>
      </c>
      <c r="AA291" s="6">
        <f t="shared" ca="1" si="82"/>
        <v>2018</v>
      </c>
      <c r="AB291" s="6">
        <f t="shared" ca="1" si="83"/>
        <v>10</v>
      </c>
      <c r="AC291" s="68">
        <f ca="1">IFERROR(__xludf.DUMMYFUNCTION("""COMPUTED_VALUE"""),43399.9986111111)</f>
        <v>43399.998611111099</v>
      </c>
      <c r="AD291" s="6">
        <f ca="1">IFERROR(__xludf.DUMMYFUNCTION("""COMPUTED_VALUE"""),1139.35)</f>
        <v>1139.3499999999999</v>
      </c>
      <c r="AH291" s="6" t="str">
        <f t="shared" ca="1" si="84"/>
        <v>201810</v>
      </c>
      <c r="AI291" s="6">
        <f t="shared" ca="1" si="85"/>
        <v>2018</v>
      </c>
      <c r="AJ291" s="6">
        <f t="shared" ca="1" si="86"/>
        <v>10</v>
      </c>
      <c r="AK291" s="68">
        <f ca="1">IFERROR(__xludf.DUMMYFUNCTION("""COMPUTED_VALUE"""),43383.9986111111)</f>
        <v>43383.998611111099</v>
      </c>
      <c r="AL291" s="6">
        <f ca="1">IFERROR(__xludf.DUMMYFUNCTION("""COMPUTED_VALUE"""),6555.78)</f>
        <v>6555.78</v>
      </c>
      <c r="AP291" s="6" t="str">
        <f t="shared" ca="1" si="87"/>
        <v>20192</v>
      </c>
      <c r="AQ291" s="6">
        <f t="shared" ca="1" si="88"/>
        <v>2019</v>
      </c>
      <c r="AR291" s="6">
        <f t="shared" ca="1" si="89"/>
        <v>2</v>
      </c>
      <c r="AS291" s="68">
        <f ca="1">IFERROR(__xludf.DUMMYFUNCTION("""COMPUTED_VALUE"""),43521.9986111111)</f>
        <v>43521.998611111099</v>
      </c>
      <c r="AT291" s="6">
        <f ca="1">IFERROR(__xludf.DUMMYFUNCTION("""COMPUTED_VALUE"""),1329.5)</f>
        <v>1329.5</v>
      </c>
    </row>
    <row r="292" spans="2:46" x14ac:dyDescent="0.35">
      <c r="B292" s="6" t="str">
        <f t="shared" ca="1" si="72"/>
        <v>20192</v>
      </c>
      <c r="C292" s="6">
        <f t="shared" ca="1" si="73"/>
        <v>2019</v>
      </c>
      <c r="D292" s="6">
        <f t="shared" ca="1" si="74"/>
        <v>2</v>
      </c>
      <c r="E292" s="68">
        <f ca="1">IFERROR(__xludf.DUMMYFUNCTION("""COMPUTED_VALUE"""),43516.6666666666)</f>
        <v>43516.666666666599</v>
      </c>
      <c r="F292" s="6">
        <f ca="1">IFERROR(__xludf.DUMMYFUNCTION("""COMPUTED_VALUE"""),2784.7)</f>
        <v>2784.7</v>
      </c>
      <c r="J292" s="6" t="str">
        <f t="shared" ca="1" si="75"/>
        <v>20192</v>
      </c>
      <c r="K292" s="6">
        <f t="shared" ca="1" si="76"/>
        <v>2019</v>
      </c>
      <c r="L292" s="6">
        <f t="shared" ca="1" si="77"/>
        <v>2</v>
      </c>
      <c r="M292" s="68">
        <f ca="1">IFERROR(__xludf.DUMMYFUNCTION("""COMPUTED_VALUE"""),43516.6666666666)</f>
        <v>43516.666666666599</v>
      </c>
      <c r="N292" s="6">
        <f ca="1">IFERROR(__xludf.DUMMYFUNCTION("""COMPUTED_VALUE"""),7489.07)</f>
        <v>7489.07</v>
      </c>
      <c r="R292" s="6" t="str">
        <f t="shared" ca="1" si="78"/>
        <v>20193</v>
      </c>
      <c r="S292" s="6">
        <f t="shared" ca="1" si="79"/>
        <v>2019</v>
      </c>
      <c r="T292" s="6">
        <f t="shared" ca="1" si="80"/>
        <v>3</v>
      </c>
      <c r="U292" s="68">
        <f ca="1">IFERROR(__xludf.DUMMYFUNCTION("""COMPUTED_VALUE"""),43538.6458333333)</f>
        <v>43538.645833333299</v>
      </c>
      <c r="V292" s="6">
        <f ca="1">IFERROR(__xludf.DUMMYFUNCTION("""COMPUTED_VALUE"""),2155.68)</f>
        <v>2155.6799999999998</v>
      </c>
      <c r="Z292" s="6" t="str">
        <f t="shared" ca="1" si="81"/>
        <v>201810</v>
      </c>
      <c r="AA292" s="6">
        <f t="shared" ca="1" si="82"/>
        <v>2018</v>
      </c>
      <c r="AB292" s="6">
        <f t="shared" ca="1" si="83"/>
        <v>10</v>
      </c>
      <c r="AC292" s="68">
        <f ca="1">IFERROR(__xludf.DUMMYFUNCTION("""COMPUTED_VALUE"""),43400.9986111111)</f>
        <v>43400.998611111099</v>
      </c>
      <c r="AD292" s="6">
        <f ca="1">IFERROR(__xludf.DUMMYFUNCTION("""COMPUTED_VALUE"""),1139.35)</f>
        <v>1139.3499999999999</v>
      </c>
      <c r="AH292" s="6" t="str">
        <f t="shared" ca="1" si="84"/>
        <v>201810</v>
      </c>
      <c r="AI292" s="6">
        <f t="shared" ca="1" si="85"/>
        <v>2018</v>
      </c>
      <c r="AJ292" s="6">
        <f t="shared" ca="1" si="86"/>
        <v>10</v>
      </c>
      <c r="AK292" s="68">
        <f ca="1">IFERROR(__xludf.DUMMYFUNCTION("""COMPUTED_VALUE"""),43384.9986111111)</f>
        <v>43384.998611111099</v>
      </c>
      <c r="AL292" s="6">
        <f ca="1">IFERROR(__xludf.DUMMYFUNCTION("""COMPUTED_VALUE"""),6210.11)</f>
        <v>6210.11</v>
      </c>
      <c r="AP292" s="6" t="str">
        <f t="shared" ca="1" si="87"/>
        <v>20192</v>
      </c>
      <c r="AQ292" s="6">
        <f t="shared" ca="1" si="88"/>
        <v>2019</v>
      </c>
      <c r="AR292" s="6">
        <f t="shared" ca="1" si="89"/>
        <v>2</v>
      </c>
      <c r="AS292" s="68">
        <f ca="1">IFERROR(__xludf.DUMMYFUNCTION("""COMPUTED_VALUE"""),43522.9986111111)</f>
        <v>43522.998611111099</v>
      </c>
      <c r="AT292" s="6">
        <f ca="1">IFERROR(__xludf.DUMMYFUNCTION("""COMPUTED_VALUE"""),1328.5)</f>
        <v>1328.5</v>
      </c>
    </row>
    <row r="293" spans="2:46" x14ac:dyDescent="0.35">
      <c r="B293" s="6" t="str">
        <f t="shared" ca="1" si="72"/>
        <v>20192</v>
      </c>
      <c r="C293" s="6">
        <f t="shared" ca="1" si="73"/>
        <v>2019</v>
      </c>
      <c r="D293" s="6">
        <f t="shared" ca="1" si="74"/>
        <v>2</v>
      </c>
      <c r="E293" s="68">
        <f ca="1">IFERROR(__xludf.DUMMYFUNCTION("""COMPUTED_VALUE"""),43517.6666666666)</f>
        <v>43517.666666666599</v>
      </c>
      <c r="F293" s="6">
        <f ca="1">IFERROR(__xludf.DUMMYFUNCTION("""COMPUTED_VALUE"""),2774.88)</f>
        <v>2774.88</v>
      </c>
      <c r="J293" s="6" t="str">
        <f t="shared" ca="1" si="75"/>
        <v>20192</v>
      </c>
      <c r="K293" s="6">
        <f t="shared" ca="1" si="76"/>
        <v>2019</v>
      </c>
      <c r="L293" s="6">
        <f t="shared" ca="1" si="77"/>
        <v>2</v>
      </c>
      <c r="M293" s="68">
        <f ca="1">IFERROR(__xludf.DUMMYFUNCTION("""COMPUTED_VALUE"""),43517.6666666666)</f>
        <v>43517.666666666599</v>
      </c>
      <c r="N293" s="6">
        <f ca="1">IFERROR(__xludf.DUMMYFUNCTION("""COMPUTED_VALUE"""),7459.71)</f>
        <v>7459.71</v>
      </c>
      <c r="R293" s="6" t="str">
        <f t="shared" ca="1" si="78"/>
        <v>20193</v>
      </c>
      <c r="S293" s="6">
        <f t="shared" ca="1" si="79"/>
        <v>2019</v>
      </c>
      <c r="T293" s="6">
        <f t="shared" ca="1" si="80"/>
        <v>3</v>
      </c>
      <c r="U293" s="68">
        <f ca="1">IFERROR(__xludf.DUMMYFUNCTION("""COMPUTED_VALUE"""),43539.6458333333)</f>
        <v>43539.645833333299</v>
      </c>
      <c r="V293" s="6">
        <f ca="1">IFERROR(__xludf.DUMMYFUNCTION("""COMPUTED_VALUE"""),2176.11)</f>
        <v>2176.11</v>
      </c>
      <c r="Z293" s="6" t="str">
        <f t="shared" ca="1" si="81"/>
        <v>201810</v>
      </c>
      <c r="AA293" s="6">
        <f t="shared" ca="1" si="82"/>
        <v>2018</v>
      </c>
      <c r="AB293" s="6">
        <f t="shared" ca="1" si="83"/>
        <v>10</v>
      </c>
      <c r="AC293" s="68">
        <f ca="1">IFERROR(__xludf.DUMMYFUNCTION("""COMPUTED_VALUE"""),43401.9986111111)</f>
        <v>43401.998611111099</v>
      </c>
      <c r="AD293" s="6">
        <f ca="1">IFERROR(__xludf.DUMMYFUNCTION("""COMPUTED_VALUE"""),1139.5)</f>
        <v>1139.5</v>
      </c>
      <c r="AH293" s="6" t="str">
        <f t="shared" ca="1" si="84"/>
        <v>201810</v>
      </c>
      <c r="AI293" s="6">
        <f t="shared" ca="1" si="85"/>
        <v>2018</v>
      </c>
      <c r="AJ293" s="6">
        <f t="shared" ca="1" si="86"/>
        <v>10</v>
      </c>
      <c r="AK293" s="68">
        <f ca="1">IFERROR(__xludf.DUMMYFUNCTION("""COMPUTED_VALUE"""),43385.9986111111)</f>
        <v>43385.998611111099</v>
      </c>
      <c r="AL293" s="6">
        <f ca="1">IFERROR(__xludf.DUMMYFUNCTION("""COMPUTED_VALUE"""),6214.35)</f>
        <v>6214.35</v>
      </c>
      <c r="AP293" s="6" t="str">
        <f t="shared" ca="1" si="87"/>
        <v>20192</v>
      </c>
      <c r="AQ293" s="6">
        <f t="shared" ca="1" si="88"/>
        <v>2019</v>
      </c>
      <c r="AR293" s="6">
        <f t="shared" ca="1" si="89"/>
        <v>2</v>
      </c>
      <c r="AS293" s="68">
        <f ca="1">IFERROR(__xludf.DUMMYFUNCTION("""COMPUTED_VALUE"""),43523.9986111111)</f>
        <v>43523.998611111099</v>
      </c>
      <c r="AT293" s="6">
        <f ca="1">IFERROR(__xludf.DUMMYFUNCTION("""COMPUTED_VALUE"""),1321.2)</f>
        <v>1321.2</v>
      </c>
    </row>
    <row r="294" spans="2:46" x14ac:dyDescent="0.35">
      <c r="B294" s="6" t="str">
        <f t="shared" ca="1" si="72"/>
        <v>20192</v>
      </c>
      <c r="C294" s="6">
        <f t="shared" ca="1" si="73"/>
        <v>2019</v>
      </c>
      <c r="D294" s="6">
        <f t="shared" ca="1" si="74"/>
        <v>2</v>
      </c>
      <c r="E294" s="68">
        <f ca="1">IFERROR(__xludf.DUMMYFUNCTION("""COMPUTED_VALUE"""),43518.6666666666)</f>
        <v>43518.666666666599</v>
      </c>
      <c r="F294" s="6">
        <f ca="1">IFERROR(__xludf.DUMMYFUNCTION("""COMPUTED_VALUE"""),2792.67)</f>
        <v>2792.67</v>
      </c>
      <c r="J294" s="6" t="str">
        <f t="shared" ca="1" si="75"/>
        <v>20192</v>
      </c>
      <c r="K294" s="6">
        <f t="shared" ca="1" si="76"/>
        <v>2019</v>
      </c>
      <c r="L294" s="6">
        <f t="shared" ca="1" si="77"/>
        <v>2</v>
      </c>
      <c r="M294" s="68">
        <f ca="1">IFERROR(__xludf.DUMMYFUNCTION("""COMPUTED_VALUE"""),43518.6666666666)</f>
        <v>43518.666666666599</v>
      </c>
      <c r="N294" s="6">
        <f ca="1">IFERROR(__xludf.DUMMYFUNCTION("""COMPUTED_VALUE"""),7527.55)</f>
        <v>7527.55</v>
      </c>
      <c r="R294" s="6" t="str">
        <f t="shared" ca="1" si="78"/>
        <v>20193</v>
      </c>
      <c r="S294" s="6">
        <f t="shared" ca="1" si="79"/>
        <v>2019</v>
      </c>
      <c r="T294" s="6">
        <f t="shared" ca="1" si="80"/>
        <v>3</v>
      </c>
      <c r="U294" s="68">
        <f ca="1">IFERROR(__xludf.DUMMYFUNCTION("""COMPUTED_VALUE"""),43542.6458333333)</f>
        <v>43542.645833333299</v>
      </c>
      <c r="V294" s="6">
        <f ca="1">IFERROR(__xludf.DUMMYFUNCTION("""COMPUTED_VALUE"""),2179.49)</f>
        <v>2179.4899999999998</v>
      </c>
      <c r="Z294" s="6" t="str">
        <f t="shared" ca="1" si="81"/>
        <v>201810</v>
      </c>
      <c r="AA294" s="6">
        <f t="shared" ca="1" si="82"/>
        <v>2018</v>
      </c>
      <c r="AB294" s="6">
        <f t="shared" ca="1" si="83"/>
        <v>10</v>
      </c>
      <c r="AC294" s="68">
        <f ca="1">IFERROR(__xludf.DUMMYFUNCTION("""COMPUTED_VALUE"""),43402.9986111111)</f>
        <v>43402.998611111099</v>
      </c>
      <c r="AD294" s="6">
        <f ca="1">IFERROR(__xludf.DUMMYFUNCTION("""COMPUTED_VALUE"""),1142.08)</f>
        <v>1142.08</v>
      </c>
      <c r="AH294" s="6" t="str">
        <f t="shared" ca="1" si="84"/>
        <v>201810</v>
      </c>
      <c r="AI294" s="6">
        <f t="shared" ca="1" si="85"/>
        <v>2018</v>
      </c>
      <c r="AJ294" s="6">
        <f t="shared" ca="1" si="86"/>
        <v>10</v>
      </c>
      <c r="AK294" s="68">
        <f ca="1">IFERROR(__xludf.DUMMYFUNCTION("""COMPUTED_VALUE"""),43386.9986111111)</f>
        <v>43386.998611111099</v>
      </c>
      <c r="AL294" s="6">
        <f ca="1">IFERROR(__xludf.DUMMYFUNCTION("""COMPUTED_VALUE"""),6288.44)</f>
        <v>6288.44</v>
      </c>
      <c r="AP294" s="6" t="str">
        <f t="shared" ca="1" si="87"/>
        <v>20192</v>
      </c>
      <c r="AQ294" s="6">
        <f t="shared" ca="1" si="88"/>
        <v>2019</v>
      </c>
      <c r="AR294" s="6">
        <f t="shared" ca="1" si="89"/>
        <v>2</v>
      </c>
      <c r="AS294" s="68">
        <f ca="1">IFERROR(__xludf.DUMMYFUNCTION("""COMPUTED_VALUE"""),43524.9986111111)</f>
        <v>43524.998611111099</v>
      </c>
      <c r="AT294" s="6">
        <f ca="1">IFERROR(__xludf.DUMMYFUNCTION("""COMPUTED_VALUE"""),1316.1)</f>
        <v>1316.1</v>
      </c>
    </row>
    <row r="295" spans="2:46" x14ac:dyDescent="0.35">
      <c r="B295" s="6" t="str">
        <f t="shared" ca="1" si="72"/>
        <v>20192</v>
      </c>
      <c r="C295" s="6">
        <f t="shared" ca="1" si="73"/>
        <v>2019</v>
      </c>
      <c r="D295" s="6">
        <f t="shared" ca="1" si="74"/>
        <v>2</v>
      </c>
      <c r="E295" s="68">
        <f ca="1">IFERROR(__xludf.DUMMYFUNCTION("""COMPUTED_VALUE"""),43521.6666666666)</f>
        <v>43521.666666666599</v>
      </c>
      <c r="F295" s="6">
        <f ca="1">IFERROR(__xludf.DUMMYFUNCTION("""COMPUTED_VALUE"""),2796.11)</f>
        <v>2796.11</v>
      </c>
      <c r="J295" s="6" t="str">
        <f t="shared" ca="1" si="75"/>
        <v>20192</v>
      </c>
      <c r="K295" s="6">
        <f t="shared" ca="1" si="76"/>
        <v>2019</v>
      </c>
      <c r="L295" s="6">
        <f t="shared" ca="1" si="77"/>
        <v>2</v>
      </c>
      <c r="M295" s="68">
        <f ca="1">IFERROR(__xludf.DUMMYFUNCTION("""COMPUTED_VALUE"""),43521.6666666666)</f>
        <v>43521.666666666599</v>
      </c>
      <c r="N295" s="6">
        <f ca="1">IFERROR(__xludf.DUMMYFUNCTION("""COMPUTED_VALUE"""),7554.46)</f>
        <v>7554.46</v>
      </c>
      <c r="R295" s="6" t="str">
        <f t="shared" ca="1" si="78"/>
        <v>20193</v>
      </c>
      <c r="S295" s="6">
        <f t="shared" ca="1" si="79"/>
        <v>2019</v>
      </c>
      <c r="T295" s="6">
        <f t="shared" ca="1" si="80"/>
        <v>3</v>
      </c>
      <c r="U295" s="68">
        <f ca="1">IFERROR(__xludf.DUMMYFUNCTION("""COMPUTED_VALUE"""),43543.6458333333)</f>
        <v>43543.645833333299</v>
      </c>
      <c r="V295" s="6">
        <f ca="1">IFERROR(__xludf.DUMMYFUNCTION("""COMPUTED_VALUE"""),2177.62)</f>
        <v>2177.62</v>
      </c>
      <c r="Z295" s="6" t="str">
        <f t="shared" ca="1" si="81"/>
        <v>201810</v>
      </c>
      <c r="AA295" s="6">
        <f t="shared" ca="1" si="82"/>
        <v>2018</v>
      </c>
      <c r="AB295" s="6">
        <f t="shared" ca="1" si="83"/>
        <v>10</v>
      </c>
      <c r="AC295" s="68">
        <f ca="1">IFERROR(__xludf.DUMMYFUNCTION("""COMPUTED_VALUE"""),43403.9986111111)</f>
        <v>43403.998611111099</v>
      </c>
      <c r="AD295" s="6">
        <f ca="1">IFERROR(__xludf.DUMMYFUNCTION("""COMPUTED_VALUE"""),1137.7)</f>
        <v>1137.7</v>
      </c>
      <c r="AH295" s="6" t="str">
        <f t="shared" ca="1" si="84"/>
        <v>201810</v>
      </c>
      <c r="AI295" s="6">
        <f t="shared" ca="1" si="85"/>
        <v>2018</v>
      </c>
      <c r="AJ295" s="6">
        <f t="shared" ca="1" si="86"/>
        <v>10</v>
      </c>
      <c r="AK295" s="68">
        <f ca="1">IFERROR(__xludf.DUMMYFUNCTION("""COMPUTED_VALUE"""),43387.9986111111)</f>
        <v>43387.998611111099</v>
      </c>
      <c r="AL295" s="6">
        <f ca="1">IFERROR(__xludf.DUMMYFUNCTION("""COMPUTED_VALUE"""),6267.51)</f>
        <v>6267.51</v>
      </c>
      <c r="AP295" s="6" t="str">
        <f t="shared" ca="1" si="87"/>
        <v>20193</v>
      </c>
      <c r="AQ295" s="6">
        <f t="shared" ca="1" si="88"/>
        <v>2019</v>
      </c>
      <c r="AR295" s="6">
        <f t="shared" ca="1" si="89"/>
        <v>3</v>
      </c>
      <c r="AS295" s="68">
        <f ca="1">IFERROR(__xludf.DUMMYFUNCTION("""COMPUTED_VALUE"""),43525.9986111111)</f>
        <v>43525.998611111099</v>
      </c>
      <c r="AT295" s="6">
        <f ca="1">IFERROR(__xludf.DUMMYFUNCTION("""COMPUTED_VALUE"""),1299.2)</f>
        <v>1299.2</v>
      </c>
    </row>
    <row r="296" spans="2:46" x14ac:dyDescent="0.35">
      <c r="B296" s="6" t="str">
        <f t="shared" ca="1" si="72"/>
        <v>20192</v>
      </c>
      <c r="C296" s="6">
        <f t="shared" ca="1" si="73"/>
        <v>2019</v>
      </c>
      <c r="D296" s="6">
        <f t="shared" ca="1" si="74"/>
        <v>2</v>
      </c>
      <c r="E296" s="68">
        <f ca="1">IFERROR(__xludf.DUMMYFUNCTION("""COMPUTED_VALUE"""),43522.6666666666)</f>
        <v>43522.666666666599</v>
      </c>
      <c r="F296" s="6">
        <f ca="1">IFERROR(__xludf.DUMMYFUNCTION("""COMPUTED_VALUE"""),2793.9)</f>
        <v>2793.9</v>
      </c>
      <c r="J296" s="6" t="str">
        <f t="shared" ca="1" si="75"/>
        <v>20192</v>
      </c>
      <c r="K296" s="6">
        <f t="shared" ca="1" si="76"/>
        <v>2019</v>
      </c>
      <c r="L296" s="6">
        <f t="shared" ca="1" si="77"/>
        <v>2</v>
      </c>
      <c r="M296" s="68">
        <f ca="1">IFERROR(__xludf.DUMMYFUNCTION("""COMPUTED_VALUE"""),43522.6666666666)</f>
        <v>43522.666666666599</v>
      </c>
      <c r="N296" s="6">
        <f ca="1">IFERROR(__xludf.DUMMYFUNCTION("""COMPUTED_VALUE"""),7549.3)</f>
        <v>7549.3</v>
      </c>
      <c r="R296" s="6" t="str">
        <f t="shared" ca="1" si="78"/>
        <v>20193</v>
      </c>
      <c r="S296" s="6">
        <f t="shared" ca="1" si="79"/>
        <v>2019</v>
      </c>
      <c r="T296" s="6">
        <f t="shared" ca="1" si="80"/>
        <v>3</v>
      </c>
      <c r="U296" s="68">
        <f ca="1">IFERROR(__xludf.DUMMYFUNCTION("""COMPUTED_VALUE"""),43544.6458333333)</f>
        <v>43544.645833333299</v>
      </c>
      <c r="V296" s="6">
        <f ca="1">IFERROR(__xludf.DUMMYFUNCTION("""COMPUTED_VALUE"""),2177.1)</f>
        <v>2177.1</v>
      </c>
      <c r="Z296" s="6" t="str">
        <f t="shared" ca="1" si="81"/>
        <v>201810</v>
      </c>
      <c r="AA296" s="6">
        <f t="shared" ca="1" si="82"/>
        <v>2018</v>
      </c>
      <c r="AB296" s="6">
        <f t="shared" ca="1" si="83"/>
        <v>10</v>
      </c>
      <c r="AC296" s="68">
        <f ca="1">IFERROR(__xludf.DUMMYFUNCTION("""COMPUTED_VALUE"""),43404.9986111111)</f>
        <v>43404.998611111099</v>
      </c>
      <c r="AD296" s="6">
        <f ca="1">IFERROR(__xludf.DUMMYFUNCTION("""COMPUTED_VALUE"""),1140.97)</f>
        <v>1140.97</v>
      </c>
      <c r="AH296" s="6" t="str">
        <f t="shared" ca="1" si="84"/>
        <v>201810</v>
      </c>
      <c r="AI296" s="6">
        <f t="shared" ca="1" si="85"/>
        <v>2018</v>
      </c>
      <c r="AJ296" s="6">
        <f t="shared" ca="1" si="86"/>
        <v>10</v>
      </c>
      <c r="AK296" s="68">
        <f ca="1">IFERROR(__xludf.DUMMYFUNCTION("""COMPUTED_VALUE"""),43388.9986111111)</f>
        <v>43388.998611111099</v>
      </c>
      <c r="AL296" s="6">
        <f ca="1">IFERROR(__xludf.DUMMYFUNCTION("""COMPUTED_VALUE"""),6508.55)</f>
        <v>6508.55</v>
      </c>
      <c r="AP296" s="6" t="str">
        <f t="shared" ca="1" si="87"/>
        <v>20193</v>
      </c>
      <c r="AQ296" s="6">
        <f t="shared" ca="1" si="88"/>
        <v>2019</v>
      </c>
      <c r="AR296" s="6">
        <f t="shared" ca="1" si="89"/>
        <v>3</v>
      </c>
      <c r="AS296" s="68">
        <f ca="1">IFERROR(__xludf.DUMMYFUNCTION("""COMPUTED_VALUE"""),43528.9986111111)</f>
        <v>43528.998611111099</v>
      </c>
      <c r="AT296" s="6">
        <f ca="1">IFERROR(__xludf.DUMMYFUNCTION("""COMPUTED_VALUE"""),1287.5)</f>
        <v>1287.5</v>
      </c>
    </row>
    <row r="297" spans="2:46" x14ac:dyDescent="0.35">
      <c r="B297" s="6" t="str">
        <f t="shared" ca="1" si="72"/>
        <v>20192</v>
      </c>
      <c r="C297" s="6">
        <f t="shared" ca="1" si="73"/>
        <v>2019</v>
      </c>
      <c r="D297" s="6">
        <f t="shared" ca="1" si="74"/>
        <v>2</v>
      </c>
      <c r="E297" s="68">
        <f ca="1">IFERROR(__xludf.DUMMYFUNCTION("""COMPUTED_VALUE"""),43523.6666666666)</f>
        <v>43523.666666666599</v>
      </c>
      <c r="F297" s="6">
        <f ca="1">IFERROR(__xludf.DUMMYFUNCTION("""COMPUTED_VALUE"""),2792.38)</f>
        <v>2792.38</v>
      </c>
      <c r="J297" s="6" t="str">
        <f t="shared" ca="1" si="75"/>
        <v>20192</v>
      </c>
      <c r="K297" s="6">
        <f t="shared" ca="1" si="76"/>
        <v>2019</v>
      </c>
      <c r="L297" s="6">
        <f t="shared" ca="1" si="77"/>
        <v>2</v>
      </c>
      <c r="M297" s="68">
        <f ca="1">IFERROR(__xludf.DUMMYFUNCTION("""COMPUTED_VALUE"""),43523.6666666666)</f>
        <v>43523.666666666599</v>
      </c>
      <c r="N297" s="6">
        <f ca="1">IFERROR(__xludf.DUMMYFUNCTION("""COMPUTED_VALUE"""),7554.51)</f>
        <v>7554.51</v>
      </c>
      <c r="R297" s="6" t="str">
        <f t="shared" ca="1" si="78"/>
        <v>20193</v>
      </c>
      <c r="S297" s="6">
        <f t="shared" ca="1" si="79"/>
        <v>2019</v>
      </c>
      <c r="T297" s="6">
        <f t="shared" ca="1" si="80"/>
        <v>3</v>
      </c>
      <c r="U297" s="68">
        <f ca="1">IFERROR(__xludf.DUMMYFUNCTION("""COMPUTED_VALUE"""),43545.6458333333)</f>
        <v>43545.645833333299</v>
      </c>
      <c r="V297" s="6">
        <f ca="1">IFERROR(__xludf.DUMMYFUNCTION("""COMPUTED_VALUE"""),2184.88)</f>
        <v>2184.88</v>
      </c>
      <c r="Z297" s="6" t="str">
        <f t="shared" ca="1" si="81"/>
        <v>201811</v>
      </c>
      <c r="AA297" s="6">
        <f t="shared" ca="1" si="82"/>
        <v>2018</v>
      </c>
      <c r="AB297" s="6">
        <f t="shared" ca="1" si="83"/>
        <v>11</v>
      </c>
      <c r="AC297" s="68">
        <f ca="1">IFERROR(__xludf.DUMMYFUNCTION("""COMPUTED_VALUE"""),43405.9986111111)</f>
        <v>43405.998611111099</v>
      </c>
      <c r="AD297" s="6">
        <f ca="1">IFERROR(__xludf.DUMMYFUNCTION("""COMPUTED_VALUE"""),1129.05)</f>
        <v>1129.05</v>
      </c>
      <c r="AH297" s="6" t="str">
        <f t="shared" ca="1" si="84"/>
        <v>201810</v>
      </c>
      <c r="AI297" s="6">
        <f t="shared" ca="1" si="85"/>
        <v>2018</v>
      </c>
      <c r="AJ297" s="6">
        <f t="shared" ca="1" si="86"/>
        <v>10</v>
      </c>
      <c r="AK297" s="68">
        <f ca="1">IFERROR(__xludf.DUMMYFUNCTION("""COMPUTED_VALUE"""),43389.9986111111)</f>
        <v>43389.998611111099</v>
      </c>
      <c r="AL297" s="6">
        <f ca="1">IFERROR(__xludf.DUMMYFUNCTION("""COMPUTED_VALUE"""),6512.89)</f>
        <v>6512.89</v>
      </c>
      <c r="AP297" s="6" t="str">
        <f t="shared" ca="1" si="87"/>
        <v>20193</v>
      </c>
      <c r="AQ297" s="6">
        <f t="shared" ca="1" si="88"/>
        <v>2019</v>
      </c>
      <c r="AR297" s="6">
        <f t="shared" ca="1" si="89"/>
        <v>3</v>
      </c>
      <c r="AS297" s="68">
        <f ca="1">IFERROR(__xludf.DUMMYFUNCTION("""COMPUTED_VALUE"""),43529.9986111111)</f>
        <v>43529.998611111099</v>
      </c>
      <c r="AT297" s="6">
        <f ca="1">IFERROR(__xludf.DUMMYFUNCTION("""COMPUTED_VALUE"""),1284.7)</f>
        <v>1284.7</v>
      </c>
    </row>
    <row r="298" spans="2:46" x14ac:dyDescent="0.35">
      <c r="B298" s="6" t="str">
        <f t="shared" ca="1" si="72"/>
        <v>20192</v>
      </c>
      <c r="C298" s="6">
        <f t="shared" ca="1" si="73"/>
        <v>2019</v>
      </c>
      <c r="D298" s="6">
        <f t="shared" ca="1" si="74"/>
        <v>2</v>
      </c>
      <c r="E298" s="68">
        <f ca="1">IFERROR(__xludf.DUMMYFUNCTION("""COMPUTED_VALUE"""),43524.6666666666)</f>
        <v>43524.666666666599</v>
      </c>
      <c r="F298" s="6">
        <f ca="1">IFERROR(__xludf.DUMMYFUNCTION("""COMPUTED_VALUE"""),2784.49)</f>
        <v>2784.49</v>
      </c>
      <c r="J298" s="6" t="str">
        <f t="shared" ca="1" si="75"/>
        <v>20192</v>
      </c>
      <c r="K298" s="6">
        <f t="shared" ca="1" si="76"/>
        <v>2019</v>
      </c>
      <c r="L298" s="6">
        <f t="shared" ca="1" si="77"/>
        <v>2</v>
      </c>
      <c r="M298" s="68">
        <f ca="1">IFERROR(__xludf.DUMMYFUNCTION("""COMPUTED_VALUE"""),43524.6666666666)</f>
        <v>43524.666666666599</v>
      </c>
      <c r="N298" s="6">
        <f ca="1">IFERROR(__xludf.DUMMYFUNCTION("""COMPUTED_VALUE"""),7532.53)</f>
        <v>7532.53</v>
      </c>
      <c r="R298" s="6" t="str">
        <f t="shared" ca="1" si="78"/>
        <v>20193</v>
      </c>
      <c r="S298" s="6">
        <f t="shared" ca="1" si="79"/>
        <v>2019</v>
      </c>
      <c r="T298" s="6">
        <f t="shared" ca="1" si="80"/>
        <v>3</v>
      </c>
      <c r="U298" s="68">
        <f ca="1">IFERROR(__xludf.DUMMYFUNCTION("""COMPUTED_VALUE"""),43546.6458333333)</f>
        <v>43546.645833333299</v>
      </c>
      <c r="V298" s="6">
        <f ca="1">IFERROR(__xludf.DUMMYFUNCTION("""COMPUTED_VALUE"""),2186.95)</f>
        <v>2186.9499999999998</v>
      </c>
      <c r="Z298" s="6" t="str">
        <f t="shared" ca="1" si="81"/>
        <v>201811</v>
      </c>
      <c r="AA298" s="6">
        <f t="shared" ca="1" si="82"/>
        <v>2018</v>
      </c>
      <c r="AB298" s="6">
        <f t="shared" ca="1" si="83"/>
        <v>11</v>
      </c>
      <c r="AC298" s="68">
        <f ca="1">IFERROR(__xludf.DUMMYFUNCTION("""COMPUTED_VALUE"""),43406.9986111111)</f>
        <v>43406.998611111099</v>
      </c>
      <c r="AD298" s="6">
        <f ca="1">IFERROR(__xludf.DUMMYFUNCTION("""COMPUTED_VALUE"""),1117)</f>
        <v>1117</v>
      </c>
      <c r="AH298" s="6" t="str">
        <f t="shared" ca="1" si="84"/>
        <v>201810</v>
      </c>
      <c r="AI298" s="6">
        <f t="shared" ca="1" si="85"/>
        <v>2018</v>
      </c>
      <c r="AJ298" s="6">
        <f t="shared" ca="1" si="86"/>
        <v>10</v>
      </c>
      <c r="AK298" s="68">
        <f ca="1">IFERROR(__xludf.DUMMYFUNCTION("""COMPUTED_VALUE"""),43390.9986111111)</f>
        <v>43390.998611111099</v>
      </c>
      <c r="AL298" s="6">
        <f ca="1">IFERROR(__xludf.DUMMYFUNCTION("""COMPUTED_VALUE"""),6524.91)</f>
        <v>6524.91</v>
      </c>
      <c r="AP298" s="6" t="str">
        <f t="shared" ca="1" si="87"/>
        <v>20193</v>
      </c>
      <c r="AQ298" s="6">
        <f t="shared" ca="1" si="88"/>
        <v>2019</v>
      </c>
      <c r="AR298" s="6">
        <f t="shared" ca="1" si="89"/>
        <v>3</v>
      </c>
      <c r="AS298" s="68">
        <f ca="1">IFERROR(__xludf.DUMMYFUNCTION("""COMPUTED_VALUE"""),43530.9986111111)</f>
        <v>43530.998611111099</v>
      </c>
      <c r="AT298" s="6">
        <f ca="1">IFERROR(__xludf.DUMMYFUNCTION("""COMPUTED_VALUE"""),1287.6)</f>
        <v>1287.5999999999999</v>
      </c>
    </row>
    <row r="299" spans="2:46" x14ac:dyDescent="0.35">
      <c r="B299" s="6" t="str">
        <f t="shared" ca="1" si="72"/>
        <v>20193</v>
      </c>
      <c r="C299" s="6">
        <f t="shared" ca="1" si="73"/>
        <v>2019</v>
      </c>
      <c r="D299" s="6">
        <f t="shared" ca="1" si="74"/>
        <v>3</v>
      </c>
      <c r="E299" s="68">
        <f ca="1">IFERROR(__xludf.DUMMYFUNCTION("""COMPUTED_VALUE"""),43525.6666666666)</f>
        <v>43525.666666666599</v>
      </c>
      <c r="F299" s="6">
        <f ca="1">IFERROR(__xludf.DUMMYFUNCTION("""COMPUTED_VALUE"""),2803.69)</f>
        <v>2803.69</v>
      </c>
      <c r="J299" s="6" t="str">
        <f t="shared" ca="1" si="75"/>
        <v>20193</v>
      </c>
      <c r="K299" s="6">
        <f t="shared" ca="1" si="76"/>
        <v>2019</v>
      </c>
      <c r="L299" s="6">
        <f t="shared" ca="1" si="77"/>
        <v>3</v>
      </c>
      <c r="M299" s="68">
        <f ca="1">IFERROR(__xludf.DUMMYFUNCTION("""COMPUTED_VALUE"""),43525.6666666666)</f>
        <v>43525.666666666599</v>
      </c>
      <c r="N299" s="6">
        <f ca="1">IFERROR(__xludf.DUMMYFUNCTION("""COMPUTED_VALUE"""),7595.35)</f>
        <v>7595.35</v>
      </c>
      <c r="R299" s="6" t="str">
        <f t="shared" ca="1" si="78"/>
        <v>20193</v>
      </c>
      <c r="S299" s="6">
        <f t="shared" ca="1" si="79"/>
        <v>2019</v>
      </c>
      <c r="T299" s="6">
        <f t="shared" ca="1" si="80"/>
        <v>3</v>
      </c>
      <c r="U299" s="68">
        <f ca="1">IFERROR(__xludf.DUMMYFUNCTION("""COMPUTED_VALUE"""),43549.6458333333)</f>
        <v>43549.645833333299</v>
      </c>
      <c r="V299" s="6">
        <f ca="1">IFERROR(__xludf.DUMMYFUNCTION("""COMPUTED_VALUE"""),2144.86)</f>
        <v>2144.86</v>
      </c>
      <c r="Z299" s="6" t="str">
        <f t="shared" ca="1" si="81"/>
        <v>201811</v>
      </c>
      <c r="AA299" s="6">
        <f t="shared" ca="1" si="82"/>
        <v>2018</v>
      </c>
      <c r="AB299" s="6">
        <f t="shared" ca="1" si="83"/>
        <v>11</v>
      </c>
      <c r="AC299" s="68">
        <f ca="1">IFERROR(__xludf.DUMMYFUNCTION("""COMPUTED_VALUE"""),43408.9986111111)</f>
        <v>43408.998611111099</v>
      </c>
      <c r="AD299" s="6">
        <f ca="1">IFERROR(__xludf.DUMMYFUNCTION("""COMPUTED_VALUE"""),1116.1)</f>
        <v>1116.0999999999999</v>
      </c>
      <c r="AH299" s="6" t="str">
        <f t="shared" ca="1" si="84"/>
        <v>201810</v>
      </c>
      <c r="AI299" s="6">
        <f t="shared" ca="1" si="85"/>
        <v>2018</v>
      </c>
      <c r="AJ299" s="6">
        <f t="shared" ca="1" si="86"/>
        <v>10</v>
      </c>
      <c r="AK299" s="68">
        <f ca="1">IFERROR(__xludf.DUMMYFUNCTION("""COMPUTED_VALUE"""),43391.9986111111)</f>
        <v>43391.998611111099</v>
      </c>
      <c r="AL299" s="6">
        <f ca="1">IFERROR(__xludf.DUMMYFUNCTION("""COMPUTED_VALUE"""),6462.59)</f>
        <v>6462.59</v>
      </c>
      <c r="AP299" s="6" t="str">
        <f t="shared" ca="1" si="87"/>
        <v>20193</v>
      </c>
      <c r="AQ299" s="6">
        <f t="shared" ca="1" si="88"/>
        <v>2019</v>
      </c>
      <c r="AR299" s="6">
        <f t="shared" ca="1" si="89"/>
        <v>3</v>
      </c>
      <c r="AS299" s="68">
        <f ca="1">IFERROR(__xludf.DUMMYFUNCTION("""COMPUTED_VALUE"""),43531.9986111111)</f>
        <v>43531.998611111099</v>
      </c>
      <c r="AT299" s="6">
        <f ca="1">IFERROR(__xludf.DUMMYFUNCTION("""COMPUTED_VALUE"""),1286.1)</f>
        <v>1286.0999999999999</v>
      </c>
    </row>
    <row r="300" spans="2:46" x14ac:dyDescent="0.35">
      <c r="B300" s="6" t="str">
        <f t="shared" ca="1" si="72"/>
        <v>20193</v>
      </c>
      <c r="C300" s="6">
        <f t="shared" ca="1" si="73"/>
        <v>2019</v>
      </c>
      <c r="D300" s="6">
        <f t="shared" ca="1" si="74"/>
        <v>3</v>
      </c>
      <c r="E300" s="68">
        <f ca="1">IFERROR(__xludf.DUMMYFUNCTION("""COMPUTED_VALUE"""),43528.6666666666)</f>
        <v>43528.666666666599</v>
      </c>
      <c r="F300" s="6">
        <f ca="1">IFERROR(__xludf.DUMMYFUNCTION("""COMPUTED_VALUE"""),2792.81)</f>
        <v>2792.81</v>
      </c>
      <c r="J300" s="6" t="str">
        <f t="shared" ca="1" si="75"/>
        <v>20193</v>
      </c>
      <c r="K300" s="6">
        <f t="shared" ca="1" si="76"/>
        <v>2019</v>
      </c>
      <c r="L300" s="6">
        <f t="shared" ca="1" si="77"/>
        <v>3</v>
      </c>
      <c r="M300" s="68">
        <f ca="1">IFERROR(__xludf.DUMMYFUNCTION("""COMPUTED_VALUE"""),43528.6666666666)</f>
        <v>43528.666666666599</v>
      </c>
      <c r="N300" s="6">
        <f ca="1">IFERROR(__xludf.DUMMYFUNCTION("""COMPUTED_VALUE"""),7577.57)</f>
        <v>7577.57</v>
      </c>
      <c r="R300" s="6" t="str">
        <f t="shared" ca="1" si="78"/>
        <v>20193</v>
      </c>
      <c r="S300" s="6">
        <f t="shared" ca="1" si="79"/>
        <v>2019</v>
      </c>
      <c r="T300" s="6">
        <f t="shared" ca="1" si="80"/>
        <v>3</v>
      </c>
      <c r="U300" s="68">
        <f ca="1">IFERROR(__xludf.DUMMYFUNCTION("""COMPUTED_VALUE"""),43550.6458333333)</f>
        <v>43550.645833333299</v>
      </c>
      <c r="V300" s="6">
        <f ca="1">IFERROR(__xludf.DUMMYFUNCTION("""COMPUTED_VALUE"""),2148.8)</f>
        <v>2148.8000000000002</v>
      </c>
      <c r="Z300" s="6" t="str">
        <f t="shared" ca="1" si="81"/>
        <v>201811</v>
      </c>
      <c r="AA300" s="6">
        <f t="shared" ca="1" si="82"/>
        <v>2018</v>
      </c>
      <c r="AB300" s="6">
        <f t="shared" ca="1" si="83"/>
        <v>11</v>
      </c>
      <c r="AC300" s="68">
        <f ca="1">IFERROR(__xludf.DUMMYFUNCTION("""COMPUTED_VALUE"""),43409.9986111111)</f>
        <v>43409.998611111099</v>
      </c>
      <c r="AD300" s="6">
        <f ca="1">IFERROR(__xludf.DUMMYFUNCTION("""COMPUTED_VALUE"""),1121.56)</f>
        <v>1121.56</v>
      </c>
      <c r="AH300" s="6" t="str">
        <f t="shared" ca="1" si="84"/>
        <v>201810</v>
      </c>
      <c r="AI300" s="6">
        <f t="shared" ca="1" si="85"/>
        <v>2018</v>
      </c>
      <c r="AJ300" s="6">
        <f t="shared" ca="1" si="86"/>
        <v>10</v>
      </c>
      <c r="AK300" s="68">
        <f ca="1">IFERROR(__xludf.DUMMYFUNCTION("""COMPUTED_VALUE"""),43392.9986111111)</f>
        <v>43392.998611111099</v>
      </c>
      <c r="AL300" s="6">
        <f ca="1">IFERROR(__xludf.DUMMYFUNCTION("""COMPUTED_VALUE"""),6462.98)</f>
        <v>6462.98</v>
      </c>
      <c r="AP300" s="6" t="str">
        <f t="shared" ca="1" si="87"/>
        <v>20193</v>
      </c>
      <c r="AQ300" s="6">
        <f t="shared" ca="1" si="88"/>
        <v>2019</v>
      </c>
      <c r="AR300" s="6">
        <f t="shared" ca="1" si="89"/>
        <v>3</v>
      </c>
      <c r="AS300" s="68">
        <f ca="1">IFERROR(__xludf.DUMMYFUNCTION("""COMPUTED_VALUE"""),43532.9986111111)</f>
        <v>43532.998611111099</v>
      </c>
      <c r="AT300" s="6">
        <f ca="1">IFERROR(__xludf.DUMMYFUNCTION("""COMPUTED_VALUE"""),1299.3)</f>
        <v>1299.3</v>
      </c>
    </row>
    <row r="301" spans="2:46" x14ac:dyDescent="0.35">
      <c r="B301" s="6" t="str">
        <f t="shared" ca="1" si="72"/>
        <v>20193</v>
      </c>
      <c r="C301" s="6">
        <f t="shared" ca="1" si="73"/>
        <v>2019</v>
      </c>
      <c r="D301" s="6">
        <f t="shared" ca="1" si="74"/>
        <v>3</v>
      </c>
      <c r="E301" s="68">
        <f ca="1">IFERROR(__xludf.DUMMYFUNCTION("""COMPUTED_VALUE"""),43529.6666666666)</f>
        <v>43529.666666666599</v>
      </c>
      <c r="F301" s="6">
        <f ca="1">IFERROR(__xludf.DUMMYFUNCTION("""COMPUTED_VALUE"""),2789.65)</f>
        <v>2789.65</v>
      </c>
      <c r="J301" s="6" t="str">
        <f t="shared" ca="1" si="75"/>
        <v>20193</v>
      </c>
      <c r="K301" s="6">
        <f t="shared" ca="1" si="76"/>
        <v>2019</v>
      </c>
      <c r="L301" s="6">
        <f t="shared" ca="1" si="77"/>
        <v>3</v>
      </c>
      <c r="M301" s="68">
        <f ca="1">IFERROR(__xludf.DUMMYFUNCTION("""COMPUTED_VALUE"""),43529.6666666666)</f>
        <v>43529.666666666599</v>
      </c>
      <c r="N301" s="6">
        <f ca="1">IFERROR(__xludf.DUMMYFUNCTION("""COMPUTED_VALUE"""),7576.36)</f>
        <v>7576.36</v>
      </c>
      <c r="R301" s="6" t="str">
        <f t="shared" ca="1" si="78"/>
        <v>20193</v>
      </c>
      <c r="S301" s="6">
        <f t="shared" ca="1" si="79"/>
        <v>2019</v>
      </c>
      <c r="T301" s="6">
        <f t="shared" ca="1" si="80"/>
        <v>3</v>
      </c>
      <c r="U301" s="68">
        <f ca="1">IFERROR(__xludf.DUMMYFUNCTION("""COMPUTED_VALUE"""),43551.6458333333)</f>
        <v>43551.645833333299</v>
      </c>
      <c r="V301" s="6">
        <f ca="1">IFERROR(__xludf.DUMMYFUNCTION("""COMPUTED_VALUE"""),2145.62)</f>
        <v>2145.62</v>
      </c>
      <c r="Z301" s="6" t="str">
        <f t="shared" ca="1" si="81"/>
        <v>201811</v>
      </c>
      <c r="AA301" s="6">
        <f t="shared" ca="1" si="82"/>
        <v>2018</v>
      </c>
      <c r="AB301" s="6">
        <f t="shared" ca="1" si="83"/>
        <v>11</v>
      </c>
      <c r="AC301" s="68">
        <f ca="1">IFERROR(__xludf.DUMMYFUNCTION("""COMPUTED_VALUE"""),43410.9986111111)</f>
        <v>43410.998611111099</v>
      </c>
      <c r="AD301" s="6">
        <f ca="1">IFERROR(__xludf.DUMMYFUNCTION("""COMPUTED_VALUE"""),1119.95)</f>
        <v>1119.95</v>
      </c>
      <c r="AH301" s="6" t="str">
        <f t="shared" ca="1" si="84"/>
        <v>201810</v>
      </c>
      <c r="AI301" s="6">
        <f t="shared" ca="1" si="85"/>
        <v>2018</v>
      </c>
      <c r="AJ301" s="6">
        <f t="shared" ca="1" si="86"/>
        <v>10</v>
      </c>
      <c r="AK301" s="68">
        <f ca="1">IFERROR(__xludf.DUMMYFUNCTION("""COMPUTED_VALUE"""),43393.9986111111)</f>
        <v>43393.998611111099</v>
      </c>
      <c r="AL301" s="6">
        <f ca="1">IFERROR(__xludf.DUMMYFUNCTION("""COMPUTED_VALUE"""),6427.48)</f>
        <v>6427.48</v>
      </c>
      <c r="AP301" s="6" t="str">
        <f t="shared" ca="1" si="87"/>
        <v>20193</v>
      </c>
      <c r="AQ301" s="6">
        <f t="shared" ca="1" si="88"/>
        <v>2019</v>
      </c>
      <c r="AR301" s="6">
        <f t="shared" ca="1" si="89"/>
        <v>3</v>
      </c>
      <c r="AS301" s="68">
        <f ca="1">IFERROR(__xludf.DUMMYFUNCTION("""COMPUTED_VALUE"""),43535.9986111111)</f>
        <v>43535.998611111099</v>
      </c>
      <c r="AT301" s="6">
        <f ca="1">IFERROR(__xludf.DUMMYFUNCTION("""COMPUTED_VALUE"""),1291.1)</f>
        <v>1291.0999999999999</v>
      </c>
    </row>
    <row r="302" spans="2:46" x14ac:dyDescent="0.35">
      <c r="B302" s="6" t="str">
        <f t="shared" ca="1" si="72"/>
        <v>20193</v>
      </c>
      <c r="C302" s="6">
        <f t="shared" ca="1" si="73"/>
        <v>2019</v>
      </c>
      <c r="D302" s="6">
        <f t="shared" ca="1" si="74"/>
        <v>3</v>
      </c>
      <c r="E302" s="68">
        <f ca="1">IFERROR(__xludf.DUMMYFUNCTION("""COMPUTED_VALUE"""),43530.6666666666)</f>
        <v>43530.666666666599</v>
      </c>
      <c r="F302" s="6">
        <f ca="1">IFERROR(__xludf.DUMMYFUNCTION("""COMPUTED_VALUE"""),2771.45)</f>
        <v>2771.45</v>
      </c>
      <c r="J302" s="6" t="str">
        <f t="shared" ca="1" si="75"/>
        <v>20193</v>
      </c>
      <c r="K302" s="6">
        <f t="shared" ca="1" si="76"/>
        <v>2019</v>
      </c>
      <c r="L302" s="6">
        <f t="shared" ca="1" si="77"/>
        <v>3</v>
      </c>
      <c r="M302" s="68">
        <f ca="1">IFERROR(__xludf.DUMMYFUNCTION("""COMPUTED_VALUE"""),43530.6666666666)</f>
        <v>43530.666666666599</v>
      </c>
      <c r="N302" s="6">
        <f ca="1">IFERROR(__xludf.DUMMYFUNCTION("""COMPUTED_VALUE"""),7505.92)</f>
        <v>7505.92</v>
      </c>
      <c r="R302" s="6" t="str">
        <f t="shared" ca="1" si="78"/>
        <v>20193</v>
      </c>
      <c r="S302" s="6">
        <f t="shared" ca="1" si="79"/>
        <v>2019</v>
      </c>
      <c r="T302" s="6">
        <f t="shared" ca="1" si="80"/>
        <v>3</v>
      </c>
      <c r="U302" s="68">
        <f ca="1">IFERROR(__xludf.DUMMYFUNCTION("""COMPUTED_VALUE"""),43552.6458333333)</f>
        <v>43552.645833333299</v>
      </c>
      <c r="V302" s="6">
        <f ca="1">IFERROR(__xludf.DUMMYFUNCTION("""COMPUTED_VALUE"""),2128.1)</f>
        <v>2128.1</v>
      </c>
      <c r="Z302" s="6" t="str">
        <f t="shared" ca="1" si="81"/>
        <v>201811</v>
      </c>
      <c r="AA302" s="6">
        <f t="shared" ca="1" si="82"/>
        <v>2018</v>
      </c>
      <c r="AB302" s="6">
        <f t="shared" ca="1" si="83"/>
        <v>11</v>
      </c>
      <c r="AC302" s="68">
        <f ca="1">IFERROR(__xludf.DUMMYFUNCTION("""COMPUTED_VALUE"""),43411.9986111111)</f>
        <v>43411.998611111099</v>
      </c>
      <c r="AD302" s="6">
        <f ca="1">IFERROR(__xludf.DUMMYFUNCTION("""COMPUTED_VALUE"""),1115.37)</f>
        <v>1115.3699999999999</v>
      </c>
      <c r="AH302" s="6" t="str">
        <f t="shared" ca="1" si="84"/>
        <v>201810</v>
      </c>
      <c r="AI302" s="6">
        <f t="shared" ca="1" si="85"/>
        <v>2018</v>
      </c>
      <c r="AJ302" s="6">
        <f t="shared" ca="1" si="86"/>
        <v>10</v>
      </c>
      <c r="AK302" s="68">
        <f ca="1">IFERROR(__xludf.DUMMYFUNCTION("""COMPUTED_VALUE"""),43394.9986111111)</f>
        <v>43394.998611111099</v>
      </c>
      <c r="AL302" s="6">
        <f ca="1">IFERROR(__xludf.DUMMYFUNCTION("""COMPUTED_VALUE"""),6452.49)</f>
        <v>6452.49</v>
      </c>
      <c r="AP302" s="6" t="str">
        <f t="shared" ca="1" si="87"/>
        <v>20193</v>
      </c>
      <c r="AQ302" s="6">
        <f t="shared" ca="1" si="88"/>
        <v>2019</v>
      </c>
      <c r="AR302" s="6">
        <f t="shared" ca="1" si="89"/>
        <v>3</v>
      </c>
      <c r="AS302" s="68">
        <f ca="1">IFERROR(__xludf.DUMMYFUNCTION("""COMPUTED_VALUE"""),43536.9986111111)</f>
        <v>43536.998611111099</v>
      </c>
      <c r="AT302" s="6">
        <f ca="1">IFERROR(__xludf.DUMMYFUNCTION("""COMPUTED_VALUE"""),1298.1)</f>
        <v>1298.0999999999999</v>
      </c>
    </row>
    <row r="303" spans="2:46" x14ac:dyDescent="0.35">
      <c r="B303" s="6" t="str">
        <f t="shared" ca="1" si="72"/>
        <v>20193</v>
      </c>
      <c r="C303" s="6">
        <f t="shared" ca="1" si="73"/>
        <v>2019</v>
      </c>
      <c r="D303" s="6">
        <f t="shared" ca="1" si="74"/>
        <v>3</v>
      </c>
      <c r="E303" s="68">
        <f ca="1">IFERROR(__xludf.DUMMYFUNCTION("""COMPUTED_VALUE"""),43531.6666666666)</f>
        <v>43531.666666666599</v>
      </c>
      <c r="F303" s="6">
        <f ca="1">IFERROR(__xludf.DUMMYFUNCTION("""COMPUTED_VALUE"""),2748.93)</f>
        <v>2748.93</v>
      </c>
      <c r="J303" s="6" t="str">
        <f t="shared" ca="1" si="75"/>
        <v>20193</v>
      </c>
      <c r="K303" s="6">
        <f t="shared" ca="1" si="76"/>
        <v>2019</v>
      </c>
      <c r="L303" s="6">
        <f t="shared" ca="1" si="77"/>
        <v>3</v>
      </c>
      <c r="M303" s="68">
        <f ca="1">IFERROR(__xludf.DUMMYFUNCTION("""COMPUTED_VALUE"""),43531.6666666666)</f>
        <v>43531.666666666599</v>
      </c>
      <c r="N303" s="6">
        <f ca="1">IFERROR(__xludf.DUMMYFUNCTION("""COMPUTED_VALUE"""),7421.46)</f>
        <v>7421.46</v>
      </c>
      <c r="R303" s="6" t="str">
        <f t="shared" ca="1" si="78"/>
        <v>20193</v>
      </c>
      <c r="S303" s="6">
        <f t="shared" ca="1" si="79"/>
        <v>2019</v>
      </c>
      <c r="T303" s="6">
        <f t="shared" ca="1" si="80"/>
        <v>3</v>
      </c>
      <c r="U303" s="68">
        <f ca="1">IFERROR(__xludf.DUMMYFUNCTION("""COMPUTED_VALUE"""),43553.6458333333)</f>
        <v>43553.645833333299</v>
      </c>
      <c r="V303" s="6">
        <f ca="1">IFERROR(__xludf.DUMMYFUNCTION("""COMPUTED_VALUE"""),2140.67)</f>
        <v>2140.67</v>
      </c>
      <c r="Z303" s="6" t="str">
        <f t="shared" ca="1" si="81"/>
        <v>201811</v>
      </c>
      <c r="AA303" s="6">
        <f t="shared" ca="1" si="82"/>
        <v>2018</v>
      </c>
      <c r="AB303" s="6">
        <f t="shared" ca="1" si="83"/>
        <v>11</v>
      </c>
      <c r="AC303" s="68">
        <f ca="1">IFERROR(__xludf.DUMMYFUNCTION("""COMPUTED_VALUE"""),43412.9986111111)</f>
        <v>43412.998611111099</v>
      </c>
      <c r="AD303" s="6">
        <f ca="1">IFERROR(__xludf.DUMMYFUNCTION("""COMPUTED_VALUE"""),1119.57)</f>
        <v>1119.57</v>
      </c>
      <c r="AH303" s="6" t="str">
        <f t="shared" ca="1" si="84"/>
        <v>201810</v>
      </c>
      <c r="AI303" s="6">
        <f t="shared" ca="1" si="85"/>
        <v>2018</v>
      </c>
      <c r="AJ303" s="6">
        <f t="shared" ca="1" si="86"/>
        <v>10</v>
      </c>
      <c r="AK303" s="68">
        <f ca="1">IFERROR(__xludf.DUMMYFUNCTION("""COMPUTED_VALUE"""),43395.9986111111)</f>
        <v>43395.998611111099</v>
      </c>
      <c r="AL303" s="6">
        <f ca="1">IFERROR(__xludf.DUMMYFUNCTION("""COMPUTED_VALUE"""),6438.33)</f>
        <v>6438.33</v>
      </c>
      <c r="AP303" s="6" t="str">
        <f t="shared" ca="1" si="87"/>
        <v>20193</v>
      </c>
      <c r="AQ303" s="6">
        <f t="shared" ca="1" si="88"/>
        <v>2019</v>
      </c>
      <c r="AR303" s="6">
        <f t="shared" ca="1" si="89"/>
        <v>3</v>
      </c>
      <c r="AS303" s="68">
        <f ca="1">IFERROR(__xludf.DUMMYFUNCTION("""COMPUTED_VALUE"""),43537.9986111111)</f>
        <v>43537.998611111099</v>
      </c>
      <c r="AT303" s="6">
        <f ca="1">IFERROR(__xludf.DUMMYFUNCTION("""COMPUTED_VALUE"""),1309.3)</f>
        <v>1309.3</v>
      </c>
    </row>
    <row r="304" spans="2:46" x14ac:dyDescent="0.35">
      <c r="B304" s="6" t="str">
        <f t="shared" ca="1" si="72"/>
        <v>20193</v>
      </c>
      <c r="C304" s="6">
        <f t="shared" ca="1" si="73"/>
        <v>2019</v>
      </c>
      <c r="D304" s="6">
        <f t="shared" ca="1" si="74"/>
        <v>3</v>
      </c>
      <c r="E304" s="68">
        <f ca="1">IFERROR(__xludf.DUMMYFUNCTION("""COMPUTED_VALUE"""),43532.6666666666)</f>
        <v>43532.666666666599</v>
      </c>
      <c r="F304" s="6">
        <f ca="1">IFERROR(__xludf.DUMMYFUNCTION("""COMPUTED_VALUE"""),2743.07)</f>
        <v>2743.07</v>
      </c>
      <c r="J304" s="6" t="str">
        <f t="shared" ca="1" si="75"/>
        <v>20193</v>
      </c>
      <c r="K304" s="6">
        <f t="shared" ca="1" si="76"/>
        <v>2019</v>
      </c>
      <c r="L304" s="6">
        <f t="shared" ca="1" si="77"/>
        <v>3</v>
      </c>
      <c r="M304" s="68">
        <f ca="1">IFERROR(__xludf.DUMMYFUNCTION("""COMPUTED_VALUE"""),43532.6666666666)</f>
        <v>43532.666666666599</v>
      </c>
      <c r="N304" s="6">
        <f ca="1">IFERROR(__xludf.DUMMYFUNCTION("""COMPUTED_VALUE"""),7408.14)</f>
        <v>7408.14</v>
      </c>
      <c r="R304" s="6" t="str">
        <f t="shared" ca="1" si="78"/>
        <v>20194</v>
      </c>
      <c r="S304" s="6">
        <f t="shared" ca="1" si="79"/>
        <v>2019</v>
      </c>
      <c r="T304" s="6">
        <f t="shared" ca="1" si="80"/>
        <v>4</v>
      </c>
      <c r="U304" s="68">
        <f ca="1">IFERROR(__xludf.DUMMYFUNCTION("""COMPUTED_VALUE"""),43556.6458333333)</f>
        <v>43556.645833333299</v>
      </c>
      <c r="V304" s="6">
        <f ca="1">IFERROR(__xludf.DUMMYFUNCTION("""COMPUTED_VALUE"""),2168.28)</f>
        <v>2168.2800000000002</v>
      </c>
      <c r="Z304" s="6" t="str">
        <f t="shared" ca="1" si="81"/>
        <v>201811</v>
      </c>
      <c r="AA304" s="6">
        <f t="shared" ca="1" si="82"/>
        <v>2018</v>
      </c>
      <c r="AB304" s="6">
        <f t="shared" ca="1" si="83"/>
        <v>11</v>
      </c>
      <c r="AC304" s="68">
        <f ca="1">IFERROR(__xludf.DUMMYFUNCTION("""COMPUTED_VALUE"""),43413.9986111111)</f>
        <v>43413.998611111099</v>
      </c>
      <c r="AD304" s="6">
        <f ca="1">IFERROR(__xludf.DUMMYFUNCTION("""COMPUTED_VALUE"""),1129.64)</f>
        <v>1129.6400000000001</v>
      </c>
      <c r="AH304" s="6" t="str">
        <f t="shared" ca="1" si="84"/>
        <v>201810</v>
      </c>
      <c r="AI304" s="6">
        <f t="shared" ca="1" si="85"/>
        <v>2018</v>
      </c>
      <c r="AJ304" s="6">
        <f t="shared" ca="1" si="86"/>
        <v>10</v>
      </c>
      <c r="AK304" s="68">
        <f ca="1">IFERROR(__xludf.DUMMYFUNCTION("""COMPUTED_VALUE"""),43396.9986111111)</f>
        <v>43396.998611111099</v>
      </c>
      <c r="AL304" s="6">
        <f ca="1">IFERROR(__xludf.DUMMYFUNCTION("""COMPUTED_VALUE"""),6500.33)</f>
        <v>6500.33</v>
      </c>
      <c r="AP304" s="6" t="str">
        <f t="shared" ca="1" si="87"/>
        <v>20193</v>
      </c>
      <c r="AQ304" s="6">
        <f t="shared" ca="1" si="88"/>
        <v>2019</v>
      </c>
      <c r="AR304" s="6">
        <f t="shared" ca="1" si="89"/>
        <v>3</v>
      </c>
      <c r="AS304" s="68">
        <f ca="1">IFERROR(__xludf.DUMMYFUNCTION("""COMPUTED_VALUE"""),43538.9986111111)</f>
        <v>43538.998611111099</v>
      </c>
      <c r="AT304" s="6">
        <f ca="1">IFERROR(__xludf.DUMMYFUNCTION("""COMPUTED_VALUE"""),1295.1)</f>
        <v>1295.0999999999999</v>
      </c>
    </row>
    <row r="305" spans="2:46" x14ac:dyDescent="0.35">
      <c r="B305" s="6" t="str">
        <f t="shared" ca="1" si="72"/>
        <v>20193</v>
      </c>
      <c r="C305" s="6">
        <f t="shared" ca="1" si="73"/>
        <v>2019</v>
      </c>
      <c r="D305" s="6">
        <f t="shared" ca="1" si="74"/>
        <v>3</v>
      </c>
      <c r="E305" s="68">
        <f ca="1">IFERROR(__xludf.DUMMYFUNCTION("""COMPUTED_VALUE"""),43535.6666666666)</f>
        <v>43535.666666666599</v>
      </c>
      <c r="F305" s="6">
        <f ca="1">IFERROR(__xludf.DUMMYFUNCTION("""COMPUTED_VALUE"""),2783.3)</f>
        <v>2783.3</v>
      </c>
      <c r="J305" s="6" t="str">
        <f t="shared" ca="1" si="75"/>
        <v>20193</v>
      </c>
      <c r="K305" s="6">
        <f t="shared" ca="1" si="76"/>
        <v>2019</v>
      </c>
      <c r="L305" s="6">
        <f t="shared" ca="1" si="77"/>
        <v>3</v>
      </c>
      <c r="M305" s="68">
        <f ca="1">IFERROR(__xludf.DUMMYFUNCTION("""COMPUTED_VALUE"""),43535.6666666666)</f>
        <v>43535.666666666599</v>
      </c>
      <c r="N305" s="6">
        <f ca="1">IFERROR(__xludf.DUMMYFUNCTION("""COMPUTED_VALUE"""),7558.06)</f>
        <v>7558.06</v>
      </c>
      <c r="R305" s="6" t="str">
        <f t="shared" ca="1" si="78"/>
        <v>20194</v>
      </c>
      <c r="S305" s="6">
        <f t="shared" ca="1" si="79"/>
        <v>2019</v>
      </c>
      <c r="T305" s="6">
        <f t="shared" ca="1" si="80"/>
        <v>4</v>
      </c>
      <c r="U305" s="68">
        <f ca="1">IFERROR(__xludf.DUMMYFUNCTION("""COMPUTED_VALUE"""),43557.6458333333)</f>
        <v>43557.645833333299</v>
      </c>
      <c r="V305" s="6">
        <f ca="1">IFERROR(__xludf.DUMMYFUNCTION("""COMPUTED_VALUE"""),2177.18)</f>
        <v>2177.1799999999998</v>
      </c>
      <c r="Z305" s="6" t="str">
        <f t="shared" ca="1" si="81"/>
        <v>201811</v>
      </c>
      <c r="AA305" s="6">
        <f t="shared" ca="1" si="82"/>
        <v>2018</v>
      </c>
      <c r="AB305" s="6">
        <f t="shared" ca="1" si="83"/>
        <v>11</v>
      </c>
      <c r="AC305" s="68">
        <f ca="1">IFERROR(__xludf.DUMMYFUNCTION("""COMPUTED_VALUE"""),43414.9986111111)</f>
        <v>43414.998611111099</v>
      </c>
      <c r="AD305" s="6">
        <f ca="1">IFERROR(__xludf.DUMMYFUNCTION("""COMPUTED_VALUE"""),1129.62)</f>
        <v>1129.6199999999999</v>
      </c>
      <c r="AH305" s="6" t="str">
        <f t="shared" ca="1" si="84"/>
        <v>201810</v>
      </c>
      <c r="AI305" s="6">
        <f t="shared" ca="1" si="85"/>
        <v>2018</v>
      </c>
      <c r="AJ305" s="6">
        <f t="shared" ca="1" si="86"/>
        <v>10</v>
      </c>
      <c r="AK305" s="68">
        <f ca="1">IFERROR(__xludf.DUMMYFUNCTION("""COMPUTED_VALUE"""),43397.9986111111)</f>
        <v>43397.998611111099</v>
      </c>
      <c r="AL305" s="6">
        <f ca="1">IFERROR(__xludf.DUMMYFUNCTION("""COMPUTED_VALUE"""),6501.4)</f>
        <v>6501.4</v>
      </c>
      <c r="AP305" s="6" t="str">
        <f t="shared" ca="1" si="87"/>
        <v>20193</v>
      </c>
      <c r="AQ305" s="6">
        <f t="shared" ca="1" si="88"/>
        <v>2019</v>
      </c>
      <c r="AR305" s="6">
        <f t="shared" ca="1" si="89"/>
        <v>3</v>
      </c>
      <c r="AS305" s="68">
        <f ca="1">IFERROR(__xludf.DUMMYFUNCTION("""COMPUTED_VALUE"""),43539.9986111111)</f>
        <v>43539.998611111099</v>
      </c>
      <c r="AT305" s="6">
        <f ca="1">IFERROR(__xludf.DUMMYFUNCTION("""COMPUTED_VALUE"""),1302.9)</f>
        <v>1302.9000000000001</v>
      </c>
    </row>
    <row r="306" spans="2:46" x14ac:dyDescent="0.35">
      <c r="B306" s="6" t="str">
        <f t="shared" ca="1" si="72"/>
        <v>20193</v>
      </c>
      <c r="C306" s="6">
        <f t="shared" ca="1" si="73"/>
        <v>2019</v>
      </c>
      <c r="D306" s="6">
        <f t="shared" ca="1" si="74"/>
        <v>3</v>
      </c>
      <c r="E306" s="68">
        <f ca="1">IFERROR(__xludf.DUMMYFUNCTION("""COMPUTED_VALUE"""),43536.6666666666)</f>
        <v>43536.666666666599</v>
      </c>
      <c r="F306" s="6">
        <f ca="1">IFERROR(__xludf.DUMMYFUNCTION("""COMPUTED_VALUE"""),2791.52)</f>
        <v>2791.52</v>
      </c>
      <c r="J306" s="6" t="str">
        <f t="shared" ca="1" si="75"/>
        <v>20193</v>
      </c>
      <c r="K306" s="6">
        <f t="shared" ca="1" si="76"/>
        <v>2019</v>
      </c>
      <c r="L306" s="6">
        <f t="shared" ca="1" si="77"/>
        <v>3</v>
      </c>
      <c r="M306" s="68">
        <f ca="1">IFERROR(__xludf.DUMMYFUNCTION("""COMPUTED_VALUE"""),43536.6666666666)</f>
        <v>43536.666666666599</v>
      </c>
      <c r="N306" s="6">
        <f ca="1">IFERROR(__xludf.DUMMYFUNCTION("""COMPUTED_VALUE"""),7591.03)</f>
        <v>7591.03</v>
      </c>
      <c r="R306" s="6" t="str">
        <f t="shared" ca="1" si="78"/>
        <v>20194</v>
      </c>
      <c r="S306" s="6">
        <f t="shared" ca="1" si="79"/>
        <v>2019</v>
      </c>
      <c r="T306" s="6">
        <f t="shared" ca="1" si="80"/>
        <v>4</v>
      </c>
      <c r="U306" s="68">
        <f ca="1">IFERROR(__xludf.DUMMYFUNCTION("""COMPUTED_VALUE"""),43558.6458333333)</f>
        <v>43558.645833333299</v>
      </c>
      <c r="V306" s="6">
        <f ca="1">IFERROR(__xludf.DUMMYFUNCTION("""COMPUTED_VALUE"""),2203.27)</f>
        <v>2203.27</v>
      </c>
      <c r="Z306" s="6" t="str">
        <f t="shared" ca="1" si="81"/>
        <v>201811</v>
      </c>
      <c r="AA306" s="6">
        <f t="shared" ca="1" si="82"/>
        <v>2018</v>
      </c>
      <c r="AB306" s="6">
        <f t="shared" ca="1" si="83"/>
        <v>11</v>
      </c>
      <c r="AC306" s="68">
        <f ca="1">IFERROR(__xludf.DUMMYFUNCTION("""COMPUTED_VALUE"""),43415.9986111111)</f>
        <v>43415.998611111099</v>
      </c>
      <c r="AD306" s="6">
        <f ca="1">IFERROR(__xludf.DUMMYFUNCTION("""COMPUTED_VALUE"""),1130.95)</f>
        <v>1130.95</v>
      </c>
      <c r="AH306" s="6" t="str">
        <f t="shared" ca="1" si="84"/>
        <v>201810</v>
      </c>
      <c r="AI306" s="6">
        <f t="shared" ca="1" si="85"/>
        <v>2018</v>
      </c>
      <c r="AJ306" s="6">
        <f t="shared" ca="1" si="86"/>
        <v>10</v>
      </c>
      <c r="AK306" s="68">
        <f ca="1">IFERROR(__xludf.DUMMYFUNCTION("""COMPUTED_VALUE"""),43398.9986111111)</f>
        <v>43398.998611111099</v>
      </c>
      <c r="AL306" s="6">
        <f ca="1">IFERROR(__xludf.DUMMYFUNCTION("""COMPUTED_VALUE"""),6478.63)</f>
        <v>6478.63</v>
      </c>
      <c r="AP306" s="6" t="str">
        <f t="shared" ca="1" si="87"/>
        <v>20193</v>
      </c>
      <c r="AQ306" s="6">
        <f t="shared" ca="1" si="88"/>
        <v>2019</v>
      </c>
      <c r="AR306" s="6">
        <f t="shared" ca="1" si="89"/>
        <v>3</v>
      </c>
      <c r="AS306" s="68">
        <f ca="1">IFERROR(__xludf.DUMMYFUNCTION("""COMPUTED_VALUE"""),43542.9986111111)</f>
        <v>43542.998611111099</v>
      </c>
      <c r="AT306" s="6">
        <f ca="1">IFERROR(__xludf.DUMMYFUNCTION("""COMPUTED_VALUE"""),1301.5)</f>
        <v>1301.5</v>
      </c>
    </row>
    <row r="307" spans="2:46" x14ac:dyDescent="0.35">
      <c r="B307" s="6" t="str">
        <f t="shared" ca="1" si="72"/>
        <v>20193</v>
      </c>
      <c r="C307" s="6">
        <f t="shared" ca="1" si="73"/>
        <v>2019</v>
      </c>
      <c r="D307" s="6">
        <f t="shared" ca="1" si="74"/>
        <v>3</v>
      </c>
      <c r="E307" s="68">
        <f ca="1">IFERROR(__xludf.DUMMYFUNCTION("""COMPUTED_VALUE"""),43537.6666666666)</f>
        <v>43537.666666666599</v>
      </c>
      <c r="F307" s="6">
        <f ca="1">IFERROR(__xludf.DUMMYFUNCTION("""COMPUTED_VALUE"""),2810.92)</f>
        <v>2810.92</v>
      </c>
      <c r="J307" s="6" t="str">
        <f t="shared" ca="1" si="75"/>
        <v>20193</v>
      </c>
      <c r="K307" s="6">
        <f t="shared" ca="1" si="76"/>
        <v>2019</v>
      </c>
      <c r="L307" s="6">
        <f t="shared" ca="1" si="77"/>
        <v>3</v>
      </c>
      <c r="M307" s="68">
        <f ca="1">IFERROR(__xludf.DUMMYFUNCTION("""COMPUTED_VALUE"""),43537.6666666666)</f>
        <v>43537.666666666599</v>
      </c>
      <c r="N307" s="6">
        <f ca="1">IFERROR(__xludf.DUMMYFUNCTION("""COMPUTED_VALUE"""),7643.41)</f>
        <v>7643.41</v>
      </c>
      <c r="R307" s="6" t="str">
        <f t="shared" ca="1" si="78"/>
        <v>20194</v>
      </c>
      <c r="S307" s="6">
        <f t="shared" ca="1" si="79"/>
        <v>2019</v>
      </c>
      <c r="T307" s="6">
        <f t="shared" ca="1" si="80"/>
        <v>4</v>
      </c>
      <c r="U307" s="68">
        <f ca="1">IFERROR(__xludf.DUMMYFUNCTION("""COMPUTED_VALUE"""),43559.6458333333)</f>
        <v>43559.645833333299</v>
      </c>
      <c r="V307" s="6">
        <f ca="1">IFERROR(__xludf.DUMMYFUNCTION("""COMPUTED_VALUE"""),2206.53)</f>
        <v>2206.5300000000002</v>
      </c>
      <c r="Z307" s="6" t="str">
        <f t="shared" ca="1" si="81"/>
        <v>201811</v>
      </c>
      <c r="AA307" s="6">
        <f t="shared" ca="1" si="82"/>
        <v>2018</v>
      </c>
      <c r="AB307" s="6">
        <f t="shared" ca="1" si="83"/>
        <v>11</v>
      </c>
      <c r="AC307" s="68">
        <f ca="1">IFERROR(__xludf.DUMMYFUNCTION("""COMPUTED_VALUE"""),43416.9986111111)</f>
        <v>43416.998611111099</v>
      </c>
      <c r="AD307" s="6">
        <f ca="1">IFERROR(__xludf.DUMMYFUNCTION("""COMPUTED_VALUE"""),1137.46)</f>
        <v>1137.46</v>
      </c>
      <c r="AH307" s="6" t="str">
        <f t="shared" ca="1" si="84"/>
        <v>201810</v>
      </c>
      <c r="AI307" s="6">
        <f t="shared" ca="1" si="85"/>
        <v>2018</v>
      </c>
      <c r="AJ307" s="6">
        <f t="shared" ca="1" si="86"/>
        <v>10</v>
      </c>
      <c r="AK307" s="68">
        <f ca="1">IFERROR(__xludf.DUMMYFUNCTION("""COMPUTED_VALUE"""),43399.9986111111)</f>
        <v>43399.998611111099</v>
      </c>
      <c r="AL307" s="6">
        <f ca="1">IFERROR(__xludf.DUMMYFUNCTION("""COMPUTED_VALUE"""),6475.54)</f>
        <v>6475.54</v>
      </c>
      <c r="AP307" s="6" t="str">
        <f t="shared" ca="1" si="87"/>
        <v>20193</v>
      </c>
      <c r="AQ307" s="6">
        <f t="shared" ca="1" si="88"/>
        <v>2019</v>
      </c>
      <c r="AR307" s="6">
        <f t="shared" ca="1" si="89"/>
        <v>3</v>
      </c>
      <c r="AS307" s="68">
        <f ca="1">IFERROR(__xludf.DUMMYFUNCTION("""COMPUTED_VALUE"""),43543.9986111111)</f>
        <v>43543.998611111099</v>
      </c>
      <c r="AT307" s="6">
        <f ca="1">IFERROR(__xludf.DUMMYFUNCTION("""COMPUTED_VALUE"""),1306.5)</f>
        <v>1306.5</v>
      </c>
    </row>
    <row r="308" spans="2:46" x14ac:dyDescent="0.35">
      <c r="B308" s="6" t="str">
        <f t="shared" ca="1" si="72"/>
        <v>20193</v>
      </c>
      <c r="C308" s="6">
        <f t="shared" ca="1" si="73"/>
        <v>2019</v>
      </c>
      <c r="D308" s="6">
        <f t="shared" ca="1" si="74"/>
        <v>3</v>
      </c>
      <c r="E308" s="68">
        <f ca="1">IFERROR(__xludf.DUMMYFUNCTION("""COMPUTED_VALUE"""),43538.6666666666)</f>
        <v>43538.666666666599</v>
      </c>
      <c r="F308" s="6">
        <f ca="1">IFERROR(__xludf.DUMMYFUNCTION("""COMPUTED_VALUE"""),2808.48)</f>
        <v>2808.48</v>
      </c>
      <c r="J308" s="6" t="str">
        <f t="shared" ca="1" si="75"/>
        <v>20193</v>
      </c>
      <c r="K308" s="6">
        <f t="shared" ca="1" si="76"/>
        <v>2019</v>
      </c>
      <c r="L308" s="6">
        <f t="shared" ca="1" si="77"/>
        <v>3</v>
      </c>
      <c r="M308" s="68">
        <f ca="1">IFERROR(__xludf.DUMMYFUNCTION("""COMPUTED_VALUE"""),43538.6666666666)</f>
        <v>43538.666666666599</v>
      </c>
      <c r="N308" s="6">
        <f ca="1">IFERROR(__xludf.DUMMYFUNCTION("""COMPUTED_VALUE"""),7630.91)</f>
        <v>7630.91</v>
      </c>
      <c r="R308" s="6" t="str">
        <f t="shared" ca="1" si="78"/>
        <v>20194</v>
      </c>
      <c r="S308" s="6">
        <f t="shared" ca="1" si="79"/>
        <v>2019</v>
      </c>
      <c r="T308" s="6">
        <f t="shared" ca="1" si="80"/>
        <v>4</v>
      </c>
      <c r="U308" s="68">
        <f ca="1">IFERROR(__xludf.DUMMYFUNCTION("""COMPUTED_VALUE"""),43560.6458333333)</f>
        <v>43560.645833333299</v>
      </c>
      <c r="V308" s="6">
        <f ca="1">IFERROR(__xludf.DUMMYFUNCTION("""COMPUTED_VALUE"""),2209.61)</f>
        <v>2209.61</v>
      </c>
      <c r="Z308" s="6" t="str">
        <f t="shared" ca="1" si="81"/>
        <v>201811</v>
      </c>
      <c r="AA308" s="6">
        <f t="shared" ca="1" si="82"/>
        <v>2018</v>
      </c>
      <c r="AB308" s="6">
        <f t="shared" ca="1" si="83"/>
        <v>11</v>
      </c>
      <c r="AC308" s="68">
        <f ca="1">IFERROR(__xludf.DUMMYFUNCTION("""COMPUTED_VALUE"""),43417.9986111111)</f>
        <v>43417.998611111099</v>
      </c>
      <c r="AD308" s="6">
        <f ca="1">IFERROR(__xludf.DUMMYFUNCTION("""COMPUTED_VALUE"""),1131.13)</f>
        <v>1131.1300000000001</v>
      </c>
      <c r="AH308" s="6" t="str">
        <f t="shared" ca="1" si="84"/>
        <v>201810</v>
      </c>
      <c r="AI308" s="6">
        <f t="shared" ca="1" si="85"/>
        <v>2018</v>
      </c>
      <c r="AJ308" s="6">
        <f t="shared" ca="1" si="86"/>
        <v>10</v>
      </c>
      <c r="AK308" s="68">
        <f ca="1">IFERROR(__xludf.DUMMYFUNCTION("""COMPUTED_VALUE"""),43400.9986111111)</f>
        <v>43400.998611111099</v>
      </c>
      <c r="AL308" s="6">
        <f ca="1">IFERROR(__xludf.DUMMYFUNCTION("""COMPUTED_VALUE"""),6479.03)</f>
        <v>6479.03</v>
      </c>
      <c r="AP308" s="6" t="str">
        <f t="shared" ca="1" si="87"/>
        <v>20193</v>
      </c>
      <c r="AQ308" s="6">
        <f t="shared" ca="1" si="88"/>
        <v>2019</v>
      </c>
      <c r="AR308" s="6">
        <f t="shared" ca="1" si="89"/>
        <v>3</v>
      </c>
      <c r="AS308" s="68">
        <f ca="1">IFERROR(__xludf.DUMMYFUNCTION("""COMPUTED_VALUE"""),43544.9986111111)</f>
        <v>43544.998611111099</v>
      </c>
      <c r="AT308" s="6">
        <f ca="1">IFERROR(__xludf.DUMMYFUNCTION("""COMPUTED_VALUE"""),1301.7)</f>
        <v>1301.7</v>
      </c>
    </row>
    <row r="309" spans="2:46" x14ac:dyDescent="0.35">
      <c r="B309" s="6" t="str">
        <f t="shared" ca="1" si="72"/>
        <v>20193</v>
      </c>
      <c r="C309" s="6">
        <f t="shared" ca="1" si="73"/>
        <v>2019</v>
      </c>
      <c r="D309" s="6">
        <f t="shared" ca="1" si="74"/>
        <v>3</v>
      </c>
      <c r="E309" s="68">
        <f ca="1">IFERROR(__xludf.DUMMYFUNCTION("""COMPUTED_VALUE"""),43539.6666666666)</f>
        <v>43539.666666666599</v>
      </c>
      <c r="F309" s="6">
        <f ca="1">IFERROR(__xludf.DUMMYFUNCTION("""COMPUTED_VALUE"""),2822.48)</f>
        <v>2822.48</v>
      </c>
      <c r="J309" s="6" t="str">
        <f t="shared" ca="1" si="75"/>
        <v>20193</v>
      </c>
      <c r="K309" s="6">
        <f t="shared" ca="1" si="76"/>
        <v>2019</v>
      </c>
      <c r="L309" s="6">
        <f t="shared" ca="1" si="77"/>
        <v>3</v>
      </c>
      <c r="M309" s="68">
        <f ca="1">IFERROR(__xludf.DUMMYFUNCTION("""COMPUTED_VALUE"""),43539.6666666666)</f>
        <v>43539.666666666599</v>
      </c>
      <c r="N309" s="6">
        <f ca="1">IFERROR(__xludf.DUMMYFUNCTION("""COMPUTED_VALUE"""),7688.53)</f>
        <v>7688.53</v>
      </c>
      <c r="R309" s="6" t="str">
        <f t="shared" ca="1" si="78"/>
        <v>20194</v>
      </c>
      <c r="S309" s="6">
        <f t="shared" ca="1" si="79"/>
        <v>2019</v>
      </c>
      <c r="T309" s="6">
        <f t="shared" ca="1" si="80"/>
        <v>4</v>
      </c>
      <c r="U309" s="68">
        <f ca="1">IFERROR(__xludf.DUMMYFUNCTION("""COMPUTED_VALUE"""),43563.6458333333)</f>
        <v>43563.645833333299</v>
      </c>
      <c r="V309" s="6">
        <f ca="1">IFERROR(__xludf.DUMMYFUNCTION("""COMPUTED_VALUE"""),2210.6)</f>
        <v>2210.6</v>
      </c>
      <c r="Z309" s="6" t="str">
        <f t="shared" ca="1" si="81"/>
        <v>201811</v>
      </c>
      <c r="AA309" s="6">
        <f t="shared" ca="1" si="82"/>
        <v>2018</v>
      </c>
      <c r="AB309" s="6">
        <f t="shared" ca="1" si="83"/>
        <v>11</v>
      </c>
      <c r="AC309" s="68">
        <f ca="1">IFERROR(__xludf.DUMMYFUNCTION("""COMPUTED_VALUE"""),43418.9986111111)</f>
        <v>43418.998611111099</v>
      </c>
      <c r="AD309" s="6">
        <f ca="1">IFERROR(__xludf.DUMMYFUNCTION("""COMPUTED_VALUE"""),1131.2)</f>
        <v>1131.2</v>
      </c>
      <c r="AH309" s="6" t="str">
        <f t="shared" ca="1" si="84"/>
        <v>201810</v>
      </c>
      <c r="AI309" s="6">
        <f t="shared" ca="1" si="85"/>
        <v>2018</v>
      </c>
      <c r="AJ309" s="6">
        <f t="shared" ca="1" si="86"/>
        <v>10</v>
      </c>
      <c r="AK309" s="68">
        <f ca="1">IFERROR(__xludf.DUMMYFUNCTION("""COMPUTED_VALUE"""),43401.9986111111)</f>
        <v>43401.998611111099</v>
      </c>
      <c r="AL309" s="6">
        <f ca="1">IFERROR(__xludf.DUMMYFUNCTION("""COMPUTED_VALUE"""),6476.76)</f>
        <v>6476.76</v>
      </c>
      <c r="AP309" s="6" t="str">
        <f t="shared" ca="1" si="87"/>
        <v>20193</v>
      </c>
      <c r="AQ309" s="6">
        <f t="shared" ca="1" si="88"/>
        <v>2019</v>
      </c>
      <c r="AR309" s="6">
        <f t="shared" ca="1" si="89"/>
        <v>3</v>
      </c>
      <c r="AS309" s="68">
        <f ca="1">IFERROR(__xludf.DUMMYFUNCTION("""COMPUTED_VALUE"""),43545.9986111111)</f>
        <v>43545.998611111099</v>
      </c>
      <c r="AT309" s="6">
        <f ca="1">IFERROR(__xludf.DUMMYFUNCTION("""COMPUTED_VALUE"""),1313.6)</f>
        <v>1313.6</v>
      </c>
    </row>
    <row r="310" spans="2:46" x14ac:dyDescent="0.35">
      <c r="B310" s="6" t="str">
        <f t="shared" ca="1" si="72"/>
        <v>20193</v>
      </c>
      <c r="C310" s="6">
        <f t="shared" ca="1" si="73"/>
        <v>2019</v>
      </c>
      <c r="D310" s="6">
        <f t="shared" ca="1" si="74"/>
        <v>3</v>
      </c>
      <c r="E310" s="68">
        <f ca="1">IFERROR(__xludf.DUMMYFUNCTION("""COMPUTED_VALUE"""),43542.6666666666)</f>
        <v>43542.666666666599</v>
      </c>
      <c r="F310" s="6">
        <f ca="1">IFERROR(__xludf.DUMMYFUNCTION("""COMPUTED_VALUE"""),2832.94)</f>
        <v>2832.94</v>
      </c>
      <c r="J310" s="6" t="str">
        <f t="shared" ca="1" si="75"/>
        <v>20193</v>
      </c>
      <c r="K310" s="6">
        <f t="shared" ca="1" si="76"/>
        <v>2019</v>
      </c>
      <c r="L310" s="6">
        <f t="shared" ca="1" si="77"/>
        <v>3</v>
      </c>
      <c r="M310" s="68">
        <f ca="1">IFERROR(__xludf.DUMMYFUNCTION("""COMPUTED_VALUE"""),43542.6666666666)</f>
        <v>43542.666666666599</v>
      </c>
      <c r="N310" s="6">
        <f ca="1">IFERROR(__xludf.DUMMYFUNCTION("""COMPUTED_VALUE"""),7714.48)</f>
        <v>7714.48</v>
      </c>
      <c r="R310" s="6" t="str">
        <f t="shared" ca="1" si="78"/>
        <v>20194</v>
      </c>
      <c r="S310" s="6">
        <f t="shared" ca="1" si="79"/>
        <v>2019</v>
      </c>
      <c r="T310" s="6">
        <f t="shared" ca="1" si="80"/>
        <v>4</v>
      </c>
      <c r="U310" s="68">
        <f ca="1">IFERROR(__xludf.DUMMYFUNCTION("""COMPUTED_VALUE"""),43564.6458333333)</f>
        <v>43564.645833333299</v>
      </c>
      <c r="V310" s="6">
        <f ca="1">IFERROR(__xludf.DUMMYFUNCTION("""COMPUTED_VALUE"""),2213.56)</f>
        <v>2213.56</v>
      </c>
      <c r="Z310" s="6" t="str">
        <f t="shared" ca="1" si="81"/>
        <v>201811</v>
      </c>
      <c r="AA310" s="6">
        <f t="shared" ca="1" si="82"/>
        <v>2018</v>
      </c>
      <c r="AB310" s="6">
        <f t="shared" ca="1" si="83"/>
        <v>11</v>
      </c>
      <c r="AC310" s="68">
        <f ca="1">IFERROR(__xludf.DUMMYFUNCTION("""COMPUTED_VALUE"""),43419.9986111111)</f>
        <v>43419.998611111099</v>
      </c>
      <c r="AD310" s="6">
        <f ca="1">IFERROR(__xludf.DUMMYFUNCTION("""COMPUTED_VALUE"""),1127)</f>
        <v>1127</v>
      </c>
      <c r="AH310" s="6" t="str">
        <f t="shared" ca="1" si="84"/>
        <v>201810</v>
      </c>
      <c r="AI310" s="6">
        <f t="shared" ca="1" si="85"/>
        <v>2018</v>
      </c>
      <c r="AJ310" s="6">
        <f t="shared" ca="1" si="86"/>
        <v>10</v>
      </c>
      <c r="AK310" s="68">
        <f ca="1">IFERROR(__xludf.DUMMYFUNCTION("""COMPUTED_VALUE"""),43402.9986111111)</f>
        <v>43402.998611111099</v>
      </c>
      <c r="AL310" s="6">
        <f ca="1">IFERROR(__xludf.DUMMYFUNCTION("""COMPUTED_VALUE"""),6313.7)</f>
        <v>6313.7</v>
      </c>
      <c r="AP310" s="6" t="str">
        <f t="shared" ca="1" si="87"/>
        <v>20193</v>
      </c>
      <c r="AQ310" s="6">
        <f t="shared" ca="1" si="88"/>
        <v>2019</v>
      </c>
      <c r="AR310" s="6">
        <f t="shared" ca="1" si="89"/>
        <v>3</v>
      </c>
      <c r="AS310" s="68">
        <f ca="1">IFERROR(__xludf.DUMMYFUNCTION("""COMPUTED_VALUE"""),43546.9986111111)</f>
        <v>43546.998611111099</v>
      </c>
      <c r="AT310" s="6">
        <f ca="1">IFERROR(__xludf.DUMMYFUNCTION("""COMPUTED_VALUE"""),1318.7)</f>
        <v>1318.7</v>
      </c>
    </row>
    <row r="311" spans="2:46" x14ac:dyDescent="0.35">
      <c r="B311" s="6" t="str">
        <f t="shared" ca="1" si="72"/>
        <v>20193</v>
      </c>
      <c r="C311" s="6">
        <f t="shared" ca="1" si="73"/>
        <v>2019</v>
      </c>
      <c r="D311" s="6">
        <f t="shared" ca="1" si="74"/>
        <v>3</v>
      </c>
      <c r="E311" s="68">
        <f ca="1">IFERROR(__xludf.DUMMYFUNCTION("""COMPUTED_VALUE"""),43543.6666666666)</f>
        <v>43543.666666666599</v>
      </c>
      <c r="F311" s="6">
        <f ca="1">IFERROR(__xludf.DUMMYFUNCTION("""COMPUTED_VALUE"""),2832.57)</f>
        <v>2832.57</v>
      </c>
      <c r="J311" s="6" t="str">
        <f t="shared" ca="1" si="75"/>
        <v>20193</v>
      </c>
      <c r="K311" s="6">
        <f t="shared" ca="1" si="76"/>
        <v>2019</v>
      </c>
      <c r="L311" s="6">
        <f t="shared" ca="1" si="77"/>
        <v>3</v>
      </c>
      <c r="M311" s="68">
        <f ca="1">IFERROR(__xludf.DUMMYFUNCTION("""COMPUTED_VALUE"""),43543.6666666666)</f>
        <v>43543.666666666599</v>
      </c>
      <c r="N311" s="6">
        <f ca="1">IFERROR(__xludf.DUMMYFUNCTION("""COMPUTED_VALUE"""),7723.95)</f>
        <v>7723.95</v>
      </c>
      <c r="R311" s="6" t="str">
        <f t="shared" ca="1" si="78"/>
        <v>20194</v>
      </c>
      <c r="S311" s="6">
        <f t="shared" ca="1" si="79"/>
        <v>2019</v>
      </c>
      <c r="T311" s="6">
        <f t="shared" ca="1" si="80"/>
        <v>4</v>
      </c>
      <c r="U311" s="68">
        <f ca="1">IFERROR(__xludf.DUMMYFUNCTION("""COMPUTED_VALUE"""),43565.6458333333)</f>
        <v>43565.645833333299</v>
      </c>
      <c r="V311" s="6">
        <f ca="1">IFERROR(__xludf.DUMMYFUNCTION("""COMPUTED_VALUE"""),2224.39)</f>
        <v>2224.39</v>
      </c>
      <c r="Z311" s="6" t="str">
        <f t="shared" ca="1" si="81"/>
        <v>201811</v>
      </c>
      <c r="AA311" s="6">
        <f t="shared" ca="1" si="82"/>
        <v>2018</v>
      </c>
      <c r="AB311" s="6">
        <f t="shared" ca="1" si="83"/>
        <v>11</v>
      </c>
      <c r="AC311" s="68">
        <f ca="1">IFERROR(__xludf.DUMMYFUNCTION("""COMPUTED_VALUE"""),43420.9986111111)</f>
        <v>43420.998611111099</v>
      </c>
      <c r="AD311" s="6">
        <f ca="1">IFERROR(__xludf.DUMMYFUNCTION("""COMPUTED_VALUE"""),1120.5)</f>
        <v>1120.5</v>
      </c>
      <c r="AH311" s="6" t="str">
        <f t="shared" ca="1" si="84"/>
        <v>201810</v>
      </c>
      <c r="AI311" s="6">
        <f t="shared" ca="1" si="85"/>
        <v>2018</v>
      </c>
      <c r="AJ311" s="6">
        <f t="shared" ca="1" si="86"/>
        <v>10</v>
      </c>
      <c r="AK311" s="68">
        <f ca="1">IFERROR(__xludf.DUMMYFUNCTION("""COMPUTED_VALUE"""),43403.9986111111)</f>
        <v>43403.998611111099</v>
      </c>
      <c r="AL311" s="6">
        <f ca="1">IFERROR(__xludf.DUMMYFUNCTION("""COMPUTED_VALUE"""),6309.67)</f>
        <v>6309.67</v>
      </c>
      <c r="AP311" s="6" t="str">
        <f t="shared" ca="1" si="87"/>
        <v>20193</v>
      </c>
      <c r="AQ311" s="6">
        <f t="shared" ca="1" si="88"/>
        <v>2019</v>
      </c>
      <c r="AR311" s="6">
        <f t="shared" ca="1" si="89"/>
        <v>3</v>
      </c>
      <c r="AS311" s="68">
        <f ca="1">IFERROR(__xludf.DUMMYFUNCTION("""COMPUTED_VALUE"""),43549.9986111111)</f>
        <v>43549.998611111099</v>
      </c>
      <c r="AT311" s="6">
        <f ca="1">IFERROR(__xludf.DUMMYFUNCTION("""COMPUTED_VALUE"""),1329)</f>
        <v>1329</v>
      </c>
    </row>
    <row r="312" spans="2:46" x14ac:dyDescent="0.35">
      <c r="B312" s="6" t="str">
        <f t="shared" ca="1" si="72"/>
        <v>20193</v>
      </c>
      <c r="C312" s="6">
        <f t="shared" ca="1" si="73"/>
        <v>2019</v>
      </c>
      <c r="D312" s="6">
        <f t="shared" ca="1" si="74"/>
        <v>3</v>
      </c>
      <c r="E312" s="68">
        <f ca="1">IFERROR(__xludf.DUMMYFUNCTION("""COMPUTED_VALUE"""),43544.6666666666)</f>
        <v>43544.666666666599</v>
      </c>
      <c r="F312" s="6">
        <f ca="1">IFERROR(__xludf.DUMMYFUNCTION("""COMPUTED_VALUE"""),2824.23)</f>
        <v>2824.23</v>
      </c>
      <c r="J312" s="6" t="str">
        <f t="shared" ca="1" si="75"/>
        <v>20193</v>
      </c>
      <c r="K312" s="6">
        <f t="shared" ca="1" si="76"/>
        <v>2019</v>
      </c>
      <c r="L312" s="6">
        <f t="shared" ca="1" si="77"/>
        <v>3</v>
      </c>
      <c r="M312" s="68">
        <f ca="1">IFERROR(__xludf.DUMMYFUNCTION("""COMPUTED_VALUE"""),43544.6666666666)</f>
        <v>43544.666666666599</v>
      </c>
      <c r="N312" s="6">
        <f ca="1">IFERROR(__xludf.DUMMYFUNCTION("""COMPUTED_VALUE"""),7728.97)</f>
        <v>7728.97</v>
      </c>
      <c r="R312" s="6" t="str">
        <f t="shared" ca="1" si="78"/>
        <v>20194</v>
      </c>
      <c r="S312" s="6">
        <f t="shared" ca="1" si="79"/>
        <v>2019</v>
      </c>
      <c r="T312" s="6">
        <f t="shared" ca="1" si="80"/>
        <v>4</v>
      </c>
      <c r="U312" s="68">
        <f ca="1">IFERROR(__xludf.DUMMYFUNCTION("""COMPUTED_VALUE"""),43566.6458333333)</f>
        <v>43566.645833333299</v>
      </c>
      <c r="V312" s="6">
        <f ca="1">IFERROR(__xludf.DUMMYFUNCTION("""COMPUTED_VALUE"""),2224.44)</f>
        <v>2224.44</v>
      </c>
      <c r="Z312" s="6" t="str">
        <f t="shared" ca="1" si="81"/>
        <v>201811</v>
      </c>
      <c r="AA312" s="6">
        <f t="shared" ca="1" si="82"/>
        <v>2018</v>
      </c>
      <c r="AB312" s="6">
        <f t="shared" ca="1" si="83"/>
        <v>11</v>
      </c>
      <c r="AC312" s="68">
        <f ca="1">IFERROR(__xludf.DUMMYFUNCTION("""COMPUTED_VALUE"""),43421.9986111111)</f>
        <v>43421.998611111099</v>
      </c>
      <c r="AD312" s="6">
        <f ca="1">IFERROR(__xludf.DUMMYFUNCTION("""COMPUTED_VALUE"""),1119.4)</f>
        <v>1119.4000000000001</v>
      </c>
      <c r="AH312" s="6" t="str">
        <f t="shared" ca="1" si="84"/>
        <v>201810</v>
      </c>
      <c r="AI312" s="6">
        <f t="shared" ca="1" si="85"/>
        <v>2018</v>
      </c>
      <c r="AJ312" s="6">
        <f t="shared" ca="1" si="86"/>
        <v>10</v>
      </c>
      <c r="AK312" s="68">
        <f ca="1">IFERROR(__xludf.DUMMYFUNCTION("""COMPUTED_VALUE"""),43404.9986111111)</f>
        <v>43404.998611111099</v>
      </c>
      <c r="AL312" s="6">
        <f ca="1">IFERROR(__xludf.DUMMYFUNCTION("""COMPUTED_VALUE"""),6340.38)</f>
        <v>6340.38</v>
      </c>
      <c r="AP312" s="6" t="str">
        <f t="shared" ca="1" si="87"/>
        <v>20193</v>
      </c>
      <c r="AQ312" s="6">
        <f t="shared" ca="1" si="88"/>
        <v>2019</v>
      </c>
      <c r="AR312" s="6">
        <f t="shared" ca="1" si="89"/>
        <v>3</v>
      </c>
      <c r="AS312" s="68">
        <f ca="1">IFERROR(__xludf.DUMMYFUNCTION("""COMPUTED_VALUE"""),43550.9986111111)</f>
        <v>43550.998611111099</v>
      </c>
      <c r="AT312" s="6">
        <f ca="1">IFERROR(__xludf.DUMMYFUNCTION("""COMPUTED_VALUE"""),1321.4)</f>
        <v>1321.4</v>
      </c>
    </row>
    <row r="313" spans="2:46" x14ac:dyDescent="0.35">
      <c r="B313" s="6" t="str">
        <f t="shared" ca="1" si="72"/>
        <v>20193</v>
      </c>
      <c r="C313" s="6">
        <f t="shared" ca="1" si="73"/>
        <v>2019</v>
      </c>
      <c r="D313" s="6">
        <f t="shared" ca="1" si="74"/>
        <v>3</v>
      </c>
      <c r="E313" s="68">
        <f ca="1">IFERROR(__xludf.DUMMYFUNCTION("""COMPUTED_VALUE"""),43545.6666666666)</f>
        <v>43545.666666666599</v>
      </c>
      <c r="F313" s="6">
        <f ca="1">IFERROR(__xludf.DUMMYFUNCTION("""COMPUTED_VALUE"""),2854.88)</f>
        <v>2854.88</v>
      </c>
      <c r="J313" s="6" t="str">
        <f t="shared" ca="1" si="75"/>
        <v>20193</v>
      </c>
      <c r="K313" s="6">
        <f t="shared" ca="1" si="76"/>
        <v>2019</v>
      </c>
      <c r="L313" s="6">
        <f t="shared" ca="1" si="77"/>
        <v>3</v>
      </c>
      <c r="M313" s="68">
        <f ca="1">IFERROR(__xludf.DUMMYFUNCTION("""COMPUTED_VALUE"""),43545.6666666666)</f>
        <v>43545.666666666599</v>
      </c>
      <c r="N313" s="6">
        <f ca="1">IFERROR(__xludf.DUMMYFUNCTION("""COMPUTED_VALUE"""),7838.96)</f>
        <v>7838.96</v>
      </c>
      <c r="R313" s="6" t="str">
        <f t="shared" ca="1" si="78"/>
        <v>20194</v>
      </c>
      <c r="S313" s="6">
        <f t="shared" ca="1" si="79"/>
        <v>2019</v>
      </c>
      <c r="T313" s="6">
        <f t="shared" ca="1" si="80"/>
        <v>4</v>
      </c>
      <c r="U313" s="68">
        <f ca="1">IFERROR(__xludf.DUMMYFUNCTION("""COMPUTED_VALUE"""),43567.6458333333)</f>
        <v>43567.645833333299</v>
      </c>
      <c r="V313" s="6">
        <f ca="1">IFERROR(__xludf.DUMMYFUNCTION("""COMPUTED_VALUE"""),2233.45)</f>
        <v>2233.4499999999998</v>
      </c>
      <c r="Z313" s="6" t="str">
        <f t="shared" ca="1" si="81"/>
        <v>201811</v>
      </c>
      <c r="AA313" s="6">
        <f t="shared" ca="1" si="82"/>
        <v>2018</v>
      </c>
      <c r="AB313" s="6">
        <f t="shared" ca="1" si="83"/>
        <v>11</v>
      </c>
      <c r="AC313" s="68">
        <f ca="1">IFERROR(__xludf.DUMMYFUNCTION("""COMPUTED_VALUE"""),43422.9986111111)</f>
        <v>43422.998611111099</v>
      </c>
      <c r="AD313" s="6">
        <f ca="1">IFERROR(__xludf.DUMMYFUNCTION("""COMPUTED_VALUE"""),1120.4)</f>
        <v>1120.4000000000001</v>
      </c>
      <c r="AH313" s="6" t="str">
        <f t="shared" ca="1" si="84"/>
        <v>201811</v>
      </c>
      <c r="AI313" s="6">
        <f t="shared" ca="1" si="85"/>
        <v>2018</v>
      </c>
      <c r="AJ313" s="6">
        <f t="shared" ca="1" si="86"/>
        <v>11</v>
      </c>
      <c r="AK313" s="68">
        <f ca="1">IFERROR(__xludf.DUMMYFUNCTION("""COMPUTED_VALUE"""),43405.9986111111)</f>
        <v>43405.998611111099</v>
      </c>
      <c r="AL313" s="6">
        <f ca="1">IFERROR(__xludf.DUMMYFUNCTION("""COMPUTED_VALUE"""),6385.378)</f>
        <v>6385.3779999999997</v>
      </c>
      <c r="AP313" s="6" t="str">
        <f t="shared" ca="1" si="87"/>
        <v>20193</v>
      </c>
      <c r="AQ313" s="6">
        <f t="shared" ca="1" si="88"/>
        <v>2019</v>
      </c>
      <c r="AR313" s="6">
        <f t="shared" ca="1" si="89"/>
        <v>3</v>
      </c>
      <c r="AS313" s="68">
        <f ca="1">IFERROR(__xludf.DUMMYFUNCTION("""COMPUTED_VALUE"""),43551.9986111111)</f>
        <v>43551.998611111099</v>
      </c>
      <c r="AT313" s="6">
        <f ca="1">IFERROR(__xludf.DUMMYFUNCTION("""COMPUTED_VALUE"""),1316.9)</f>
        <v>1316.9</v>
      </c>
    </row>
    <row r="314" spans="2:46" x14ac:dyDescent="0.35">
      <c r="B314" s="6" t="str">
        <f t="shared" ca="1" si="72"/>
        <v>20193</v>
      </c>
      <c r="C314" s="6">
        <f t="shared" ca="1" si="73"/>
        <v>2019</v>
      </c>
      <c r="D314" s="6">
        <f t="shared" ca="1" si="74"/>
        <v>3</v>
      </c>
      <c r="E314" s="68">
        <f ca="1">IFERROR(__xludf.DUMMYFUNCTION("""COMPUTED_VALUE"""),43546.6666666666)</f>
        <v>43546.666666666599</v>
      </c>
      <c r="F314" s="6">
        <f ca="1">IFERROR(__xludf.DUMMYFUNCTION("""COMPUTED_VALUE"""),2800.71)</f>
        <v>2800.71</v>
      </c>
      <c r="J314" s="6" t="str">
        <f t="shared" ca="1" si="75"/>
        <v>20193</v>
      </c>
      <c r="K314" s="6">
        <f t="shared" ca="1" si="76"/>
        <v>2019</v>
      </c>
      <c r="L314" s="6">
        <f t="shared" ca="1" si="77"/>
        <v>3</v>
      </c>
      <c r="M314" s="68">
        <f ca="1">IFERROR(__xludf.DUMMYFUNCTION("""COMPUTED_VALUE"""),43546.6666666666)</f>
        <v>43546.666666666599</v>
      </c>
      <c r="N314" s="6">
        <f ca="1">IFERROR(__xludf.DUMMYFUNCTION("""COMPUTED_VALUE"""),7642.67)</f>
        <v>7642.67</v>
      </c>
      <c r="R314" s="6" t="str">
        <f t="shared" ca="1" si="78"/>
        <v>20194</v>
      </c>
      <c r="S314" s="6">
        <f t="shared" ca="1" si="79"/>
        <v>2019</v>
      </c>
      <c r="T314" s="6">
        <f t="shared" ca="1" si="80"/>
        <v>4</v>
      </c>
      <c r="U314" s="68">
        <f ca="1">IFERROR(__xludf.DUMMYFUNCTION("""COMPUTED_VALUE"""),43570.6458333333)</f>
        <v>43570.645833333299</v>
      </c>
      <c r="V314" s="6">
        <f ca="1">IFERROR(__xludf.DUMMYFUNCTION("""COMPUTED_VALUE"""),2242.88)</f>
        <v>2242.88</v>
      </c>
      <c r="Z314" s="6" t="str">
        <f t="shared" ca="1" si="81"/>
        <v>201811</v>
      </c>
      <c r="AA314" s="6">
        <f t="shared" ca="1" si="82"/>
        <v>2018</v>
      </c>
      <c r="AB314" s="6">
        <f t="shared" ca="1" si="83"/>
        <v>11</v>
      </c>
      <c r="AC314" s="68">
        <f ca="1">IFERROR(__xludf.DUMMYFUNCTION("""COMPUTED_VALUE"""),43423.9986111111)</f>
        <v>43423.998611111099</v>
      </c>
      <c r="AD314" s="6">
        <f ca="1">IFERROR(__xludf.DUMMYFUNCTION("""COMPUTED_VALUE"""),1126.19)</f>
        <v>1126.19</v>
      </c>
      <c r="AH314" s="6" t="str">
        <f t="shared" ca="1" si="84"/>
        <v>201811</v>
      </c>
      <c r="AI314" s="6">
        <f t="shared" ca="1" si="85"/>
        <v>2018</v>
      </c>
      <c r="AJ314" s="6">
        <f t="shared" ca="1" si="86"/>
        <v>11</v>
      </c>
      <c r="AK314" s="68">
        <f ca="1">IFERROR(__xludf.DUMMYFUNCTION("""COMPUTED_VALUE"""),43406.9986111111)</f>
        <v>43406.998611111099</v>
      </c>
      <c r="AL314" s="6">
        <f ca="1">IFERROR(__xludf.DUMMYFUNCTION("""COMPUTED_VALUE"""),6397.465)</f>
        <v>6397.4650000000001</v>
      </c>
      <c r="AP314" s="6" t="str">
        <f t="shared" ca="1" si="87"/>
        <v>20193</v>
      </c>
      <c r="AQ314" s="6">
        <f t="shared" ca="1" si="88"/>
        <v>2019</v>
      </c>
      <c r="AR314" s="6">
        <f t="shared" ca="1" si="89"/>
        <v>3</v>
      </c>
      <c r="AS314" s="68">
        <f ca="1">IFERROR(__xludf.DUMMYFUNCTION("""COMPUTED_VALUE"""),43552.9986111111)</f>
        <v>43552.998611111099</v>
      </c>
      <c r="AT314" s="6">
        <f ca="1">IFERROR(__xludf.DUMMYFUNCTION("""COMPUTED_VALUE"""),1295.3)</f>
        <v>1295.3</v>
      </c>
    </row>
    <row r="315" spans="2:46" x14ac:dyDescent="0.35">
      <c r="B315" s="6" t="str">
        <f t="shared" ca="1" si="72"/>
        <v>20193</v>
      </c>
      <c r="C315" s="6">
        <f t="shared" ca="1" si="73"/>
        <v>2019</v>
      </c>
      <c r="D315" s="6">
        <f t="shared" ca="1" si="74"/>
        <v>3</v>
      </c>
      <c r="E315" s="68">
        <f ca="1">IFERROR(__xludf.DUMMYFUNCTION("""COMPUTED_VALUE"""),43549.6666666666)</f>
        <v>43549.666666666599</v>
      </c>
      <c r="F315" s="6">
        <f ca="1">IFERROR(__xludf.DUMMYFUNCTION("""COMPUTED_VALUE"""),2798.36)</f>
        <v>2798.36</v>
      </c>
      <c r="J315" s="6" t="str">
        <f t="shared" ca="1" si="75"/>
        <v>20193</v>
      </c>
      <c r="K315" s="6">
        <f t="shared" ca="1" si="76"/>
        <v>2019</v>
      </c>
      <c r="L315" s="6">
        <f t="shared" ca="1" si="77"/>
        <v>3</v>
      </c>
      <c r="M315" s="68">
        <f ca="1">IFERROR(__xludf.DUMMYFUNCTION("""COMPUTED_VALUE"""),43549.6666666666)</f>
        <v>43549.666666666599</v>
      </c>
      <c r="N315" s="6">
        <f ca="1">IFERROR(__xludf.DUMMYFUNCTION("""COMPUTED_VALUE"""),7637.54)</f>
        <v>7637.54</v>
      </c>
      <c r="R315" s="6" t="str">
        <f t="shared" ca="1" si="78"/>
        <v>20194</v>
      </c>
      <c r="S315" s="6">
        <f t="shared" ca="1" si="79"/>
        <v>2019</v>
      </c>
      <c r="T315" s="6">
        <f t="shared" ca="1" si="80"/>
        <v>4</v>
      </c>
      <c r="U315" s="68">
        <f ca="1">IFERROR(__xludf.DUMMYFUNCTION("""COMPUTED_VALUE"""),43571.6458333333)</f>
        <v>43571.645833333299</v>
      </c>
      <c r="V315" s="6">
        <f ca="1">IFERROR(__xludf.DUMMYFUNCTION("""COMPUTED_VALUE"""),2248.63)</f>
        <v>2248.63</v>
      </c>
      <c r="Z315" s="6" t="str">
        <f t="shared" ca="1" si="81"/>
        <v>201811</v>
      </c>
      <c r="AA315" s="6">
        <f t="shared" ca="1" si="82"/>
        <v>2018</v>
      </c>
      <c r="AB315" s="6">
        <f t="shared" ca="1" si="83"/>
        <v>11</v>
      </c>
      <c r="AC315" s="68">
        <f ca="1">IFERROR(__xludf.DUMMYFUNCTION("""COMPUTED_VALUE"""),43424.9986111111)</f>
        <v>43424.998611111099</v>
      </c>
      <c r="AD315" s="6">
        <f ca="1">IFERROR(__xludf.DUMMYFUNCTION("""COMPUTED_VALUE"""),1128.4)</f>
        <v>1128.4000000000001</v>
      </c>
      <c r="AH315" s="6" t="str">
        <f t="shared" ca="1" si="84"/>
        <v>201811</v>
      </c>
      <c r="AI315" s="6">
        <f t="shared" ca="1" si="85"/>
        <v>2018</v>
      </c>
      <c r="AJ315" s="6">
        <f t="shared" ca="1" si="86"/>
        <v>11</v>
      </c>
      <c r="AK315" s="68">
        <f ca="1">IFERROR(__xludf.DUMMYFUNCTION("""COMPUTED_VALUE"""),43407.9986111111)</f>
        <v>43407.998611111099</v>
      </c>
      <c r="AL315" s="6">
        <f ca="1">IFERROR(__xludf.DUMMYFUNCTION("""COMPUTED_VALUE"""),6371.697)</f>
        <v>6371.6970000000001</v>
      </c>
      <c r="AP315" s="6" t="str">
        <f t="shared" ca="1" si="87"/>
        <v>20193</v>
      </c>
      <c r="AQ315" s="6">
        <f t="shared" ca="1" si="88"/>
        <v>2019</v>
      </c>
      <c r="AR315" s="6">
        <f t="shared" ca="1" si="89"/>
        <v>3</v>
      </c>
      <c r="AS315" s="68">
        <f ca="1">IFERROR(__xludf.DUMMYFUNCTION("""COMPUTED_VALUE"""),43553.9986111111)</f>
        <v>43553.998611111099</v>
      </c>
      <c r="AT315" s="6">
        <f ca="1">IFERROR(__xludf.DUMMYFUNCTION("""COMPUTED_VALUE"""),1298.5)</f>
        <v>1298.5</v>
      </c>
    </row>
    <row r="316" spans="2:46" x14ac:dyDescent="0.35">
      <c r="B316" s="6" t="str">
        <f t="shared" ca="1" si="72"/>
        <v>20193</v>
      </c>
      <c r="C316" s="6">
        <f t="shared" ca="1" si="73"/>
        <v>2019</v>
      </c>
      <c r="D316" s="6">
        <f t="shared" ca="1" si="74"/>
        <v>3</v>
      </c>
      <c r="E316" s="68">
        <f ca="1">IFERROR(__xludf.DUMMYFUNCTION("""COMPUTED_VALUE"""),43550.6666666666)</f>
        <v>43550.666666666599</v>
      </c>
      <c r="F316" s="6">
        <f ca="1">IFERROR(__xludf.DUMMYFUNCTION("""COMPUTED_VALUE"""),2818.46)</f>
        <v>2818.46</v>
      </c>
      <c r="J316" s="6" t="str">
        <f t="shared" ca="1" si="75"/>
        <v>20193</v>
      </c>
      <c r="K316" s="6">
        <f t="shared" ca="1" si="76"/>
        <v>2019</v>
      </c>
      <c r="L316" s="6">
        <f t="shared" ca="1" si="77"/>
        <v>3</v>
      </c>
      <c r="M316" s="68">
        <f ca="1">IFERROR(__xludf.DUMMYFUNCTION("""COMPUTED_VALUE"""),43550.6666666666)</f>
        <v>43550.666666666599</v>
      </c>
      <c r="N316" s="6">
        <f ca="1">IFERROR(__xludf.DUMMYFUNCTION("""COMPUTED_VALUE"""),7691.52)</f>
        <v>7691.52</v>
      </c>
      <c r="R316" s="6" t="str">
        <f t="shared" ca="1" si="78"/>
        <v>20194</v>
      </c>
      <c r="S316" s="6">
        <f t="shared" ca="1" si="79"/>
        <v>2019</v>
      </c>
      <c r="T316" s="6">
        <f t="shared" ca="1" si="80"/>
        <v>4</v>
      </c>
      <c r="U316" s="68">
        <f ca="1">IFERROR(__xludf.DUMMYFUNCTION("""COMPUTED_VALUE"""),43572.6458333333)</f>
        <v>43572.645833333299</v>
      </c>
      <c r="V316" s="6">
        <f ca="1">IFERROR(__xludf.DUMMYFUNCTION("""COMPUTED_VALUE"""),2245.89)</f>
        <v>2245.89</v>
      </c>
      <c r="Z316" s="6" t="str">
        <f t="shared" ca="1" si="81"/>
        <v>201811</v>
      </c>
      <c r="AA316" s="6">
        <f t="shared" ca="1" si="82"/>
        <v>2018</v>
      </c>
      <c r="AB316" s="6">
        <f t="shared" ca="1" si="83"/>
        <v>11</v>
      </c>
      <c r="AC316" s="68">
        <f ca="1">IFERROR(__xludf.DUMMYFUNCTION("""COMPUTED_VALUE"""),43425.9986111111)</f>
        <v>43425.998611111099</v>
      </c>
      <c r="AD316" s="6">
        <f ca="1">IFERROR(__xludf.DUMMYFUNCTION("""COMPUTED_VALUE"""),1137.31)</f>
        <v>1137.31</v>
      </c>
      <c r="AH316" s="6" t="str">
        <f t="shared" ca="1" si="84"/>
        <v>201811</v>
      </c>
      <c r="AI316" s="6">
        <f t="shared" ca="1" si="85"/>
        <v>2018</v>
      </c>
      <c r="AJ316" s="6">
        <f t="shared" ca="1" si="86"/>
        <v>11</v>
      </c>
      <c r="AK316" s="68">
        <f ca="1">IFERROR(__xludf.DUMMYFUNCTION("""COMPUTED_VALUE"""),43408.9986111111)</f>
        <v>43408.998611111099</v>
      </c>
      <c r="AL316" s="6">
        <f ca="1">IFERROR(__xludf.DUMMYFUNCTION("""COMPUTED_VALUE"""),6449.641)</f>
        <v>6449.6409999999996</v>
      </c>
      <c r="AP316" s="6" t="str">
        <f t="shared" ca="1" si="87"/>
        <v>20194</v>
      </c>
      <c r="AQ316" s="6">
        <f t="shared" ca="1" si="88"/>
        <v>2019</v>
      </c>
      <c r="AR316" s="6">
        <f t="shared" ca="1" si="89"/>
        <v>4</v>
      </c>
      <c r="AS316" s="68">
        <f ca="1">IFERROR(__xludf.DUMMYFUNCTION("""COMPUTED_VALUE"""),43556.9986111111)</f>
        <v>43556.998611111099</v>
      </c>
      <c r="AT316" s="6">
        <f ca="1">IFERROR(__xludf.DUMMYFUNCTION("""COMPUTED_VALUE"""),1294.2)</f>
        <v>1294.2</v>
      </c>
    </row>
    <row r="317" spans="2:46" x14ac:dyDescent="0.35">
      <c r="B317" s="6" t="str">
        <f t="shared" ca="1" si="72"/>
        <v>20193</v>
      </c>
      <c r="C317" s="6">
        <f t="shared" ca="1" si="73"/>
        <v>2019</v>
      </c>
      <c r="D317" s="6">
        <f t="shared" ca="1" si="74"/>
        <v>3</v>
      </c>
      <c r="E317" s="68">
        <f ca="1">IFERROR(__xludf.DUMMYFUNCTION("""COMPUTED_VALUE"""),43551.6666666666)</f>
        <v>43551.666666666599</v>
      </c>
      <c r="F317" s="6">
        <f ca="1">IFERROR(__xludf.DUMMYFUNCTION("""COMPUTED_VALUE"""),2805.37)</f>
        <v>2805.37</v>
      </c>
      <c r="J317" s="6" t="str">
        <f t="shared" ca="1" si="75"/>
        <v>20193</v>
      </c>
      <c r="K317" s="6">
        <f t="shared" ca="1" si="76"/>
        <v>2019</v>
      </c>
      <c r="L317" s="6">
        <f t="shared" ca="1" si="77"/>
        <v>3</v>
      </c>
      <c r="M317" s="68">
        <f ca="1">IFERROR(__xludf.DUMMYFUNCTION("""COMPUTED_VALUE"""),43551.6666666666)</f>
        <v>43551.666666666599</v>
      </c>
      <c r="N317" s="6">
        <f ca="1">IFERROR(__xludf.DUMMYFUNCTION("""COMPUTED_VALUE"""),7643.38)</f>
        <v>7643.38</v>
      </c>
      <c r="R317" s="6" t="str">
        <f t="shared" ca="1" si="78"/>
        <v>20194</v>
      </c>
      <c r="S317" s="6">
        <f t="shared" ca="1" si="79"/>
        <v>2019</v>
      </c>
      <c r="T317" s="6">
        <f t="shared" ca="1" si="80"/>
        <v>4</v>
      </c>
      <c r="U317" s="68">
        <f ca="1">IFERROR(__xludf.DUMMYFUNCTION("""COMPUTED_VALUE"""),43573.6458333333)</f>
        <v>43573.645833333299</v>
      </c>
      <c r="V317" s="6">
        <f ca="1">IFERROR(__xludf.DUMMYFUNCTION("""COMPUTED_VALUE"""),2213.77)</f>
        <v>2213.77</v>
      </c>
      <c r="Z317" s="6" t="str">
        <f t="shared" ca="1" si="81"/>
        <v>201811</v>
      </c>
      <c r="AA317" s="6">
        <f t="shared" ca="1" si="82"/>
        <v>2018</v>
      </c>
      <c r="AB317" s="6">
        <f t="shared" ca="1" si="83"/>
        <v>11</v>
      </c>
      <c r="AC317" s="68">
        <f ca="1">IFERROR(__xludf.DUMMYFUNCTION("""COMPUTED_VALUE"""),43426.9986111111)</f>
        <v>43426.998611111099</v>
      </c>
      <c r="AD317" s="6">
        <f ca="1">IFERROR(__xludf.DUMMYFUNCTION("""COMPUTED_VALUE"""),1135.5)</f>
        <v>1135.5</v>
      </c>
      <c r="AH317" s="6" t="str">
        <f t="shared" ca="1" si="84"/>
        <v>201811</v>
      </c>
      <c r="AI317" s="6">
        <f t="shared" ca="1" si="85"/>
        <v>2018</v>
      </c>
      <c r="AJ317" s="6">
        <f t="shared" ca="1" si="86"/>
        <v>11</v>
      </c>
      <c r="AK317" s="68">
        <f ca="1">IFERROR(__xludf.DUMMYFUNCTION("""COMPUTED_VALUE"""),43409.9986111111)</f>
        <v>43409.998611111099</v>
      </c>
      <c r="AL317" s="6">
        <f ca="1">IFERROR(__xludf.DUMMYFUNCTION("""COMPUTED_VALUE"""),6427.679)</f>
        <v>6427.6790000000001</v>
      </c>
      <c r="AP317" s="6" t="str">
        <f t="shared" ca="1" si="87"/>
        <v>20194</v>
      </c>
      <c r="AQ317" s="6">
        <f t="shared" ca="1" si="88"/>
        <v>2019</v>
      </c>
      <c r="AR317" s="6">
        <f t="shared" ca="1" si="89"/>
        <v>4</v>
      </c>
      <c r="AS317" s="68">
        <f ca="1">IFERROR(__xludf.DUMMYFUNCTION("""COMPUTED_VALUE"""),43557.9986111111)</f>
        <v>43557.998611111099</v>
      </c>
      <c r="AT317" s="6">
        <f ca="1">IFERROR(__xludf.DUMMYFUNCTION("""COMPUTED_VALUE"""),1295.4)</f>
        <v>1295.4000000000001</v>
      </c>
    </row>
    <row r="318" spans="2:46" x14ac:dyDescent="0.35">
      <c r="B318" s="6" t="str">
        <f t="shared" ca="1" si="72"/>
        <v>20193</v>
      </c>
      <c r="C318" s="6">
        <f t="shared" ca="1" si="73"/>
        <v>2019</v>
      </c>
      <c r="D318" s="6">
        <f t="shared" ca="1" si="74"/>
        <v>3</v>
      </c>
      <c r="E318" s="68">
        <f ca="1">IFERROR(__xludf.DUMMYFUNCTION("""COMPUTED_VALUE"""),43552.6666666666)</f>
        <v>43552.666666666599</v>
      </c>
      <c r="F318" s="6">
        <f ca="1">IFERROR(__xludf.DUMMYFUNCTION("""COMPUTED_VALUE"""),2815.44)</f>
        <v>2815.44</v>
      </c>
      <c r="J318" s="6" t="str">
        <f t="shared" ca="1" si="75"/>
        <v>20193</v>
      </c>
      <c r="K318" s="6">
        <f t="shared" ca="1" si="76"/>
        <v>2019</v>
      </c>
      <c r="L318" s="6">
        <f t="shared" ca="1" si="77"/>
        <v>3</v>
      </c>
      <c r="M318" s="68">
        <f ca="1">IFERROR(__xludf.DUMMYFUNCTION("""COMPUTED_VALUE"""),43552.6666666666)</f>
        <v>43552.666666666599</v>
      </c>
      <c r="N318" s="6">
        <f ca="1">IFERROR(__xludf.DUMMYFUNCTION("""COMPUTED_VALUE"""),7669.17)</f>
        <v>7669.17</v>
      </c>
      <c r="R318" s="6" t="str">
        <f t="shared" ca="1" si="78"/>
        <v>20194</v>
      </c>
      <c r="S318" s="6">
        <f t="shared" ca="1" si="79"/>
        <v>2019</v>
      </c>
      <c r="T318" s="6">
        <f t="shared" ca="1" si="80"/>
        <v>4</v>
      </c>
      <c r="U318" s="68">
        <f ca="1">IFERROR(__xludf.DUMMYFUNCTION("""COMPUTED_VALUE"""),43574.6458333333)</f>
        <v>43574.645833333299</v>
      </c>
      <c r="V318" s="6">
        <f ca="1">IFERROR(__xludf.DUMMYFUNCTION("""COMPUTED_VALUE"""),2216.15)</f>
        <v>2216.15</v>
      </c>
      <c r="Z318" s="6" t="str">
        <f t="shared" ca="1" si="81"/>
        <v>201811</v>
      </c>
      <c r="AA318" s="6">
        <f t="shared" ca="1" si="82"/>
        <v>2018</v>
      </c>
      <c r="AB318" s="6">
        <f t="shared" ca="1" si="83"/>
        <v>11</v>
      </c>
      <c r="AC318" s="68">
        <f ca="1">IFERROR(__xludf.DUMMYFUNCTION("""COMPUTED_VALUE"""),43427.9986111111)</f>
        <v>43427.998611111099</v>
      </c>
      <c r="AD318" s="6">
        <f ca="1">IFERROR(__xludf.DUMMYFUNCTION("""COMPUTED_VALUE"""),1132.9)</f>
        <v>1132.9000000000001</v>
      </c>
      <c r="AH318" s="6" t="str">
        <f t="shared" ca="1" si="84"/>
        <v>201811</v>
      </c>
      <c r="AI318" s="6">
        <f t="shared" ca="1" si="85"/>
        <v>2018</v>
      </c>
      <c r="AJ318" s="6">
        <f t="shared" ca="1" si="86"/>
        <v>11</v>
      </c>
      <c r="AK318" s="68">
        <f ca="1">IFERROR(__xludf.DUMMYFUNCTION("""COMPUTED_VALUE"""),43410.9986111111)</f>
        <v>43410.998611111099</v>
      </c>
      <c r="AL318" s="6">
        <f ca="1">IFERROR(__xludf.DUMMYFUNCTION("""COMPUTED_VALUE"""),6465.923)</f>
        <v>6465.9229999999998</v>
      </c>
      <c r="AP318" s="6" t="str">
        <f t="shared" ca="1" si="87"/>
        <v>20194</v>
      </c>
      <c r="AQ318" s="6">
        <f t="shared" ca="1" si="88"/>
        <v>2019</v>
      </c>
      <c r="AR318" s="6">
        <f t="shared" ca="1" si="89"/>
        <v>4</v>
      </c>
      <c r="AS318" s="68">
        <f ca="1">IFERROR(__xludf.DUMMYFUNCTION("""COMPUTED_VALUE"""),43558.9986111111)</f>
        <v>43558.998611111099</v>
      </c>
      <c r="AT318" s="6">
        <f ca="1">IFERROR(__xludf.DUMMYFUNCTION("""COMPUTED_VALUE"""),1295.3)</f>
        <v>1295.3</v>
      </c>
    </row>
    <row r="319" spans="2:46" x14ac:dyDescent="0.35">
      <c r="B319" s="6" t="str">
        <f t="shared" ca="1" si="72"/>
        <v>20193</v>
      </c>
      <c r="C319" s="6">
        <f t="shared" ca="1" si="73"/>
        <v>2019</v>
      </c>
      <c r="D319" s="6">
        <f t="shared" ca="1" si="74"/>
        <v>3</v>
      </c>
      <c r="E319" s="68">
        <f ca="1">IFERROR(__xludf.DUMMYFUNCTION("""COMPUTED_VALUE"""),43553.6666666666)</f>
        <v>43553.666666666599</v>
      </c>
      <c r="F319" s="6">
        <f ca="1">IFERROR(__xludf.DUMMYFUNCTION("""COMPUTED_VALUE"""),2834.4)</f>
        <v>2834.4</v>
      </c>
      <c r="J319" s="6" t="str">
        <f t="shared" ca="1" si="75"/>
        <v>20193</v>
      </c>
      <c r="K319" s="6">
        <f t="shared" ca="1" si="76"/>
        <v>2019</v>
      </c>
      <c r="L319" s="6">
        <f t="shared" ca="1" si="77"/>
        <v>3</v>
      </c>
      <c r="M319" s="68">
        <f ca="1">IFERROR(__xludf.DUMMYFUNCTION("""COMPUTED_VALUE"""),43553.6666666666)</f>
        <v>43553.666666666599</v>
      </c>
      <c r="N319" s="6">
        <f ca="1">IFERROR(__xludf.DUMMYFUNCTION("""COMPUTED_VALUE"""),7729.32)</f>
        <v>7729.32</v>
      </c>
      <c r="R319" s="6" t="str">
        <f t="shared" ca="1" si="78"/>
        <v>20194</v>
      </c>
      <c r="S319" s="6">
        <f t="shared" ca="1" si="79"/>
        <v>2019</v>
      </c>
      <c r="T319" s="6">
        <f t="shared" ca="1" si="80"/>
        <v>4</v>
      </c>
      <c r="U319" s="68">
        <f ca="1">IFERROR(__xludf.DUMMYFUNCTION("""COMPUTED_VALUE"""),43577.6458333333)</f>
        <v>43577.645833333299</v>
      </c>
      <c r="V319" s="6">
        <f ca="1">IFERROR(__xludf.DUMMYFUNCTION("""COMPUTED_VALUE"""),2216.65)</f>
        <v>2216.65</v>
      </c>
      <c r="Z319" s="6" t="str">
        <f t="shared" ca="1" si="81"/>
        <v>201811</v>
      </c>
      <c r="AA319" s="6">
        <f t="shared" ca="1" si="82"/>
        <v>2018</v>
      </c>
      <c r="AB319" s="6">
        <f t="shared" ca="1" si="83"/>
        <v>11</v>
      </c>
      <c r="AC319" s="68">
        <f ca="1">IFERROR(__xludf.DUMMYFUNCTION("""COMPUTED_VALUE"""),43428.9986111111)</f>
        <v>43428.998611111099</v>
      </c>
      <c r="AD319" s="6">
        <f ca="1">IFERROR(__xludf.DUMMYFUNCTION("""COMPUTED_VALUE"""),1131.5)</f>
        <v>1131.5</v>
      </c>
      <c r="AH319" s="6" t="str">
        <f t="shared" ca="1" si="84"/>
        <v>201811</v>
      </c>
      <c r="AI319" s="6">
        <f t="shared" ca="1" si="85"/>
        <v>2018</v>
      </c>
      <c r="AJ319" s="6">
        <f t="shared" ca="1" si="86"/>
        <v>11</v>
      </c>
      <c r="AK319" s="68">
        <f ca="1">IFERROR(__xludf.DUMMYFUNCTION("""COMPUTED_VALUE"""),43411.9986111111)</f>
        <v>43411.998611111099</v>
      </c>
      <c r="AL319" s="6">
        <f ca="1">IFERROR(__xludf.DUMMYFUNCTION("""COMPUTED_VALUE"""),6541.703)</f>
        <v>6541.7030000000004</v>
      </c>
      <c r="AP319" s="6" t="str">
        <f t="shared" ca="1" si="87"/>
        <v>20194</v>
      </c>
      <c r="AQ319" s="6">
        <f t="shared" ca="1" si="88"/>
        <v>2019</v>
      </c>
      <c r="AR319" s="6">
        <f t="shared" ca="1" si="89"/>
        <v>4</v>
      </c>
      <c r="AS319" s="68">
        <f ca="1">IFERROR(__xludf.DUMMYFUNCTION("""COMPUTED_VALUE"""),43559.9986111111)</f>
        <v>43559.998611111099</v>
      </c>
      <c r="AT319" s="6">
        <f ca="1">IFERROR(__xludf.DUMMYFUNCTION("""COMPUTED_VALUE"""),1294.3)</f>
        <v>1294.3</v>
      </c>
    </row>
    <row r="320" spans="2:46" x14ac:dyDescent="0.35">
      <c r="B320" s="6" t="str">
        <f t="shared" ca="1" si="72"/>
        <v>20194</v>
      </c>
      <c r="C320" s="6">
        <f t="shared" ca="1" si="73"/>
        <v>2019</v>
      </c>
      <c r="D320" s="6">
        <f t="shared" ca="1" si="74"/>
        <v>4</v>
      </c>
      <c r="E320" s="68">
        <f ca="1">IFERROR(__xludf.DUMMYFUNCTION("""COMPUTED_VALUE"""),43556.6666666666)</f>
        <v>43556.666666666599</v>
      </c>
      <c r="F320" s="6">
        <f ca="1">IFERROR(__xludf.DUMMYFUNCTION("""COMPUTED_VALUE"""),2867.19)</f>
        <v>2867.19</v>
      </c>
      <c r="J320" s="6" t="str">
        <f t="shared" ca="1" si="75"/>
        <v>20194</v>
      </c>
      <c r="K320" s="6">
        <f t="shared" ca="1" si="76"/>
        <v>2019</v>
      </c>
      <c r="L320" s="6">
        <f t="shared" ca="1" si="77"/>
        <v>4</v>
      </c>
      <c r="M320" s="68">
        <f ca="1">IFERROR(__xludf.DUMMYFUNCTION("""COMPUTED_VALUE"""),43556.6666666666)</f>
        <v>43556.666666666599</v>
      </c>
      <c r="N320" s="6">
        <f ca="1">IFERROR(__xludf.DUMMYFUNCTION("""COMPUTED_VALUE"""),7828.91)</f>
        <v>7828.91</v>
      </c>
      <c r="R320" s="6" t="str">
        <f t="shared" ca="1" si="78"/>
        <v>20194</v>
      </c>
      <c r="S320" s="6">
        <f t="shared" ca="1" si="79"/>
        <v>2019</v>
      </c>
      <c r="T320" s="6">
        <f t="shared" ca="1" si="80"/>
        <v>4</v>
      </c>
      <c r="U320" s="68">
        <f ca="1">IFERROR(__xludf.DUMMYFUNCTION("""COMPUTED_VALUE"""),43578.6458333333)</f>
        <v>43578.645833333299</v>
      </c>
      <c r="V320" s="6">
        <f ca="1">IFERROR(__xludf.DUMMYFUNCTION("""COMPUTED_VALUE"""),2220.51)</f>
        <v>2220.5100000000002</v>
      </c>
      <c r="Z320" s="6" t="str">
        <f t="shared" ca="1" si="81"/>
        <v>201811</v>
      </c>
      <c r="AA320" s="6">
        <f t="shared" ca="1" si="82"/>
        <v>2018</v>
      </c>
      <c r="AB320" s="6">
        <f t="shared" ca="1" si="83"/>
        <v>11</v>
      </c>
      <c r="AC320" s="68">
        <f ca="1">IFERROR(__xludf.DUMMYFUNCTION("""COMPUTED_VALUE"""),43429.9986111111)</f>
        <v>43429.998611111099</v>
      </c>
      <c r="AD320" s="6">
        <f ca="1">IFERROR(__xludf.DUMMYFUNCTION("""COMPUTED_VALUE"""),1133.5)</f>
        <v>1133.5</v>
      </c>
      <c r="AH320" s="6" t="str">
        <f t="shared" ca="1" si="84"/>
        <v>201811</v>
      </c>
      <c r="AI320" s="6">
        <f t="shared" ca="1" si="85"/>
        <v>2018</v>
      </c>
      <c r="AJ320" s="6">
        <f t="shared" ca="1" si="86"/>
        <v>11</v>
      </c>
      <c r="AK320" s="68">
        <f ca="1">IFERROR(__xludf.DUMMYFUNCTION("""COMPUTED_VALUE"""),43412.9986111111)</f>
        <v>43412.998611111099</v>
      </c>
      <c r="AL320" s="6">
        <f ca="1">IFERROR(__xludf.DUMMYFUNCTION("""COMPUTED_VALUE"""),6444.971)</f>
        <v>6444.9709999999995</v>
      </c>
      <c r="AP320" s="6" t="str">
        <f t="shared" ca="1" si="87"/>
        <v>20194</v>
      </c>
      <c r="AQ320" s="6">
        <f t="shared" ca="1" si="88"/>
        <v>2019</v>
      </c>
      <c r="AR320" s="6">
        <f t="shared" ca="1" si="89"/>
        <v>4</v>
      </c>
      <c r="AS320" s="68">
        <f ca="1">IFERROR(__xludf.DUMMYFUNCTION("""COMPUTED_VALUE"""),43560.9986111111)</f>
        <v>43560.998611111099</v>
      </c>
      <c r="AT320" s="6">
        <f ca="1">IFERROR(__xludf.DUMMYFUNCTION("""COMPUTED_VALUE"""),1295.6)</f>
        <v>1295.5999999999999</v>
      </c>
    </row>
    <row r="321" spans="2:46" x14ac:dyDescent="0.35">
      <c r="B321" s="6" t="str">
        <f t="shared" ca="1" si="72"/>
        <v>20194</v>
      </c>
      <c r="C321" s="6">
        <f t="shared" ca="1" si="73"/>
        <v>2019</v>
      </c>
      <c r="D321" s="6">
        <f t="shared" ca="1" si="74"/>
        <v>4</v>
      </c>
      <c r="E321" s="68">
        <f ca="1">IFERROR(__xludf.DUMMYFUNCTION("""COMPUTED_VALUE"""),43557.6666666666)</f>
        <v>43557.666666666599</v>
      </c>
      <c r="F321" s="6">
        <f ca="1">IFERROR(__xludf.DUMMYFUNCTION("""COMPUTED_VALUE"""),2867.24)</f>
        <v>2867.24</v>
      </c>
      <c r="J321" s="6" t="str">
        <f t="shared" ca="1" si="75"/>
        <v>20194</v>
      </c>
      <c r="K321" s="6">
        <f t="shared" ca="1" si="76"/>
        <v>2019</v>
      </c>
      <c r="L321" s="6">
        <f t="shared" ca="1" si="77"/>
        <v>4</v>
      </c>
      <c r="M321" s="68">
        <f ca="1">IFERROR(__xludf.DUMMYFUNCTION("""COMPUTED_VALUE"""),43557.6666666666)</f>
        <v>43557.666666666599</v>
      </c>
      <c r="N321" s="6">
        <f ca="1">IFERROR(__xludf.DUMMYFUNCTION("""COMPUTED_VALUE"""),7848.69)</f>
        <v>7848.69</v>
      </c>
      <c r="R321" s="6" t="str">
        <f t="shared" ca="1" si="78"/>
        <v>20194</v>
      </c>
      <c r="S321" s="6">
        <f t="shared" ca="1" si="79"/>
        <v>2019</v>
      </c>
      <c r="T321" s="6">
        <f t="shared" ca="1" si="80"/>
        <v>4</v>
      </c>
      <c r="U321" s="68">
        <f ca="1">IFERROR(__xludf.DUMMYFUNCTION("""COMPUTED_VALUE"""),43579.6458333333)</f>
        <v>43579.645833333299</v>
      </c>
      <c r="V321" s="6">
        <f ca="1">IFERROR(__xludf.DUMMYFUNCTION("""COMPUTED_VALUE"""),2201.03)</f>
        <v>2201.0300000000002</v>
      </c>
      <c r="Z321" s="6" t="str">
        <f t="shared" ca="1" si="81"/>
        <v>201811</v>
      </c>
      <c r="AA321" s="6">
        <f t="shared" ca="1" si="82"/>
        <v>2018</v>
      </c>
      <c r="AB321" s="6">
        <f t="shared" ca="1" si="83"/>
        <v>11</v>
      </c>
      <c r="AC321" s="68">
        <f ca="1">IFERROR(__xludf.DUMMYFUNCTION("""COMPUTED_VALUE"""),43430.9986111111)</f>
        <v>43430.998611111099</v>
      </c>
      <c r="AD321" s="6">
        <f ca="1">IFERROR(__xludf.DUMMYFUNCTION("""COMPUTED_VALUE"""),1129.03)</f>
        <v>1129.03</v>
      </c>
      <c r="AH321" s="6" t="str">
        <f t="shared" ca="1" si="84"/>
        <v>201811</v>
      </c>
      <c r="AI321" s="6">
        <f t="shared" ca="1" si="85"/>
        <v>2018</v>
      </c>
      <c r="AJ321" s="6">
        <f t="shared" ca="1" si="86"/>
        <v>11</v>
      </c>
      <c r="AK321" s="68">
        <f ca="1">IFERROR(__xludf.DUMMYFUNCTION("""COMPUTED_VALUE"""),43413.9986111111)</f>
        <v>43413.998611111099</v>
      </c>
      <c r="AL321" s="6">
        <f ca="1">IFERROR(__xludf.DUMMYFUNCTION("""COMPUTED_VALUE"""),6386.765)</f>
        <v>6386.7650000000003</v>
      </c>
      <c r="AP321" s="6" t="str">
        <f t="shared" ca="1" si="87"/>
        <v>20194</v>
      </c>
      <c r="AQ321" s="6">
        <f t="shared" ca="1" si="88"/>
        <v>2019</v>
      </c>
      <c r="AR321" s="6">
        <f t="shared" ca="1" si="89"/>
        <v>4</v>
      </c>
      <c r="AS321" s="68">
        <f ca="1">IFERROR(__xludf.DUMMYFUNCTION("""COMPUTED_VALUE"""),43563.9986111111)</f>
        <v>43563.998611111099</v>
      </c>
      <c r="AT321" s="6">
        <f ca="1">IFERROR(__xludf.DUMMYFUNCTION("""COMPUTED_VALUE"""),1301.9)</f>
        <v>1301.9000000000001</v>
      </c>
    </row>
    <row r="322" spans="2:46" x14ac:dyDescent="0.35">
      <c r="B322" s="6" t="str">
        <f t="shared" ca="1" si="72"/>
        <v>20194</v>
      </c>
      <c r="C322" s="6">
        <f t="shared" ca="1" si="73"/>
        <v>2019</v>
      </c>
      <c r="D322" s="6">
        <f t="shared" ca="1" si="74"/>
        <v>4</v>
      </c>
      <c r="E322" s="68">
        <f ca="1">IFERROR(__xludf.DUMMYFUNCTION("""COMPUTED_VALUE"""),43558.6666666666)</f>
        <v>43558.666666666599</v>
      </c>
      <c r="F322" s="6">
        <f ca="1">IFERROR(__xludf.DUMMYFUNCTION("""COMPUTED_VALUE"""),2873.4)</f>
        <v>2873.4</v>
      </c>
      <c r="J322" s="6" t="str">
        <f t="shared" ca="1" si="75"/>
        <v>20194</v>
      </c>
      <c r="K322" s="6">
        <f t="shared" ca="1" si="76"/>
        <v>2019</v>
      </c>
      <c r="L322" s="6">
        <f t="shared" ca="1" si="77"/>
        <v>4</v>
      </c>
      <c r="M322" s="68">
        <f ca="1">IFERROR(__xludf.DUMMYFUNCTION("""COMPUTED_VALUE"""),43558.6666666666)</f>
        <v>43558.666666666599</v>
      </c>
      <c r="N322" s="6">
        <f ca="1">IFERROR(__xludf.DUMMYFUNCTION("""COMPUTED_VALUE"""),7895.55)</f>
        <v>7895.55</v>
      </c>
      <c r="R322" s="6" t="str">
        <f t="shared" ca="1" si="78"/>
        <v>20194</v>
      </c>
      <c r="S322" s="6">
        <f t="shared" ca="1" si="79"/>
        <v>2019</v>
      </c>
      <c r="T322" s="6">
        <f t="shared" ca="1" si="80"/>
        <v>4</v>
      </c>
      <c r="U322" s="68">
        <f ca="1">IFERROR(__xludf.DUMMYFUNCTION("""COMPUTED_VALUE"""),43580.6458333333)</f>
        <v>43580.645833333299</v>
      </c>
      <c r="V322" s="6">
        <f ca="1">IFERROR(__xludf.DUMMYFUNCTION("""COMPUTED_VALUE"""),2190.5)</f>
        <v>2190.5</v>
      </c>
      <c r="Z322" s="6" t="str">
        <f t="shared" ca="1" si="81"/>
        <v>201811</v>
      </c>
      <c r="AA322" s="6">
        <f t="shared" ca="1" si="82"/>
        <v>2018</v>
      </c>
      <c r="AB322" s="6">
        <f t="shared" ca="1" si="83"/>
        <v>11</v>
      </c>
      <c r="AC322" s="68">
        <f ca="1">IFERROR(__xludf.DUMMYFUNCTION("""COMPUTED_VALUE"""),43431.9986111111)</f>
        <v>43431.998611111099</v>
      </c>
      <c r="AD322" s="6">
        <f ca="1">IFERROR(__xludf.DUMMYFUNCTION("""COMPUTED_VALUE"""),1130.37)</f>
        <v>1130.3699999999999</v>
      </c>
      <c r="AH322" s="6" t="str">
        <f t="shared" ca="1" si="84"/>
        <v>201811</v>
      </c>
      <c r="AI322" s="6">
        <f t="shared" ca="1" si="85"/>
        <v>2018</v>
      </c>
      <c r="AJ322" s="6">
        <f t="shared" ca="1" si="86"/>
        <v>11</v>
      </c>
      <c r="AK322" s="68">
        <f ca="1">IFERROR(__xludf.DUMMYFUNCTION("""COMPUTED_VALUE"""),43414.9986111111)</f>
        <v>43414.998611111099</v>
      </c>
      <c r="AL322" s="6">
        <f ca="1">IFERROR(__xludf.DUMMYFUNCTION("""COMPUTED_VALUE"""),6399.844)</f>
        <v>6399.8440000000001</v>
      </c>
      <c r="AP322" s="6" t="str">
        <f t="shared" ca="1" si="87"/>
        <v>20194</v>
      </c>
      <c r="AQ322" s="6">
        <f t="shared" ca="1" si="88"/>
        <v>2019</v>
      </c>
      <c r="AR322" s="6">
        <f t="shared" ca="1" si="89"/>
        <v>4</v>
      </c>
      <c r="AS322" s="68">
        <f ca="1">IFERROR(__xludf.DUMMYFUNCTION("""COMPUTED_VALUE"""),43564.9986111111)</f>
        <v>43564.998611111099</v>
      </c>
      <c r="AT322" s="6">
        <f ca="1">IFERROR(__xludf.DUMMYFUNCTION("""COMPUTED_VALUE"""),1308.3)</f>
        <v>1308.3</v>
      </c>
    </row>
    <row r="323" spans="2:46" x14ac:dyDescent="0.35">
      <c r="B323" s="6" t="str">
        <f t="shared" ca="1" si="72"/>
        <v>20194</v>
      </c>
      <c r="C323" s="6">
        <f t="shared" ca="1" si="73"/>
        <v>2019</v>
      </c>
      <c r="D323" s="6">
        <f t="shared" ca="1" si="74"/>
        <v>4</v>
      </c>
      <c r="E323" s="68">
        <f ca="1">IFERROR(__xludf.DUMMYFUNCTION("""COMPUTED_VALUE"""),43559.6666666666)</f>
        <v>43559.666666666599</v>
      </c>
      <c r="F323" s="6">
        <f ca="1">IFERROR(__xludf.DUMMYFUNCTION("""COMPUTED_VALUE"""),2879.39)</f>
        <v>2879.39</v>
      </c>
      <c r="J323" s="6" t="str">
        <f t="shared" ca="1" si="75"/>
        <v>20194</v>
      </c>
      <c r="K323" s="6">
        <f t="shared" ca="1" si="76"/>
        <v>2019</v>
      </c>
      <c r="L323" s="6">
        <f t="shared" ca="1" si="77"/>
        <v>4</v>
      </c>
      <c r="M323" s="68">
        <f ca="1">IFERROR(__xludf.DUMMYFUNCTION("""COMPUTED_VALUE"""),43559.6666666666)</f>
        <v>43559.666666666599</v>
      </c>
      <c r="N323" s="6">
        <f ca="1">IFERROR(__xludf.DUMMYFUNCTION("""COMPUTED_VALUE"""),7891.78)</f>
        <v>7891.78</v>
      </c>
      <c r="R323" s="6" t="str">
        <f t="shared" ca="1" si="78"/>
        <v>20194</v>
      </c>
      <c r="S323" s="6">
        <f t="shared" ca="1" si="79"/>
        <v>2019</v>
      </c>
      <c r="T323" s="6">
        <f t="shared" ca="1" si="80"/>
        <v>4</v>
      </c>
      <c r="U323" s="68">
        <f ca="1">IFERROR(__xludf.DUMMYFUNCTION("""COMPUTED_VALUE"""),43581.6458333333)</f>
        <v>43581.645833333299</v>
      </c>
      <c r="V323" s="6">
        <f ca="1">IFERROR(__xludf.DUMMYFUNCTION("""COMPUTED_VALUE"""),2179.31)</f>
        <v>2179.31</v>
      </c>
      <c r="Z323" s="6" t="str">
        <f t="shared" ca="1" si="81"/>
        <v>201811</v>
      </c>
      <c r="AA323" s="6">
        <f t="shared" ca="1" si="82"/>
        <v>2018</v>
      </c>
      <c r="AB323" s="6">
        <f t="shared" ca="1" si="83"/>
        <v>11</v>
      </c>
      <c r="AC323" s="68">
        <f ca="1">IFERROR(__xludf.DUMMYFUNCTION("""COMPUTED_VALUE"""),43432.9986111111)</f>
        <v>43432.998611111099</v>
      </c>
      <c r="AD323" s="6">
        <f ca="1">IFERROR(__xludf.DUMMYFUNCTION("""COMPUTED_VALUE"""),1121.12)</f>
        <v>1121.1199999999999</v>
      </c>
      <c r="AH323" s="6" t="str">
        <f t="shared" ca="1" si="84"/>
        <v>201811</v>
      </c>
      <c r="AI323" s="6">
        <f t="shared" ca="1" si="85"/>
        <v>2018</v>
      </c>
      <c r="AJ323" s="6">
        <f t="shared" ca="1" si="86"/>
        <v>11</v>
      </c>
      <c r="AK323" s="68">
        <f ca="1">IFERROR(__xludf.DUMMYFUNCTION("""COMPUTED_VALUE"""),43415.9986111111)</f>
        <v>43415.998611111099</v>
      </c>
      <c r="AL323" s="6">
        <f ca="1">IFERROR(__xludf.DUMMYFUNCTION("""COMPUTED_VALUE"""),6409.501)</f>
        <v>6409.5010000000002</v>
      </c>
      <c r="AP323" s="6" t="str">
        <f t="shared" ca="1" si="87"/>
        <v>20194</v>
      </c>
      <c r="AQ323" s="6">
        <f t="shared" ca="1" si="88"/>
        <v>2019</v>
      </c>
      <c r="AR323" s="6">
        <f t="shared" ca="1" si="89"/>
        <v>4</v>
      </c>
      <c r="AS323" s="68">
        <f ca="1">IFERROR(__xludf.DUMMYFUNCTION("""COMPUTED_VALUE"""),43565.9986111111)</f>
        <v>43565.998611111099</v>
      </c>
      <c r="AT323" s="6">
        <f ca="1">IFERROR(__xludf.DUMMYFUNCTION("""COMPUTED_VALUE"""),1313.9)</f>
        <v>1313.9</v>
      </c>
    </row>
    <row r="324" spans="2:46" x14ac:dyDescent="0.35">
      <c r="B324" s="6" t="str">
        <f t="shared" ca="1" si="72"/>
        <v>20194</v>
      </c>
      <c r="C324" s="6">
        <f t="shared" ca="1" si="73"/>
        <v>2019</v>
      </c>
      <c r="D324" s="6">
        <f t="shared" ca="1" si="74"/>
        <v>4</v>
      </c>
      <c r="E324" s="68">
        <f ca="1">IFERROR(__xludf.DUMMYFUNCTION("""COMPUTED_VALUE"""),43560.6666666666)</f>
        <v>43560.666666666599</v>
      </c>
      <c r="F324" s="6">
        <f ca="1">IFERROR(__xludf.DUMMYFUNCTION("""COMPUTED_VALUE"""),2892.74)</f>
        <v>2892.74</v>
      </c>
      <c r="J324" s="6" t="str">
        <f t="shared" ca="1" si="75"/>
        <v>20194</v>
      </c>
      <c r="K324" s="6">
        <f t="shared" ca="1" si="76"/>
        <v>2019</v>
      </c>
      <c r="L324" s="6">
        <f t="shared" ca="1" si="77"/>
        <v>4</v>
      </c>
      <c r="M324" s="68">
        <f ca="1">IFERROR(__xludf.DUMMYFUNCTION("""COMPUTED_VALUE"""),43560.6666666666)</f>
        <v>43560.666666666599</v>
      </c>
      <c r="N324" s="6">
        <f ca="1">IFERROR(__xludf.DUMMYFUNCTION("""COMPUTED_VALUE"""),7938.69)</f>
        <v>7938.69</v>
      </c>
      <c r="R324" s="6" t="str">
        <f t="shared" ca="1" si="78"/>
        <v>20194</v>
      </c>
      <c r="S324" s="6">
        <f t="shared" ca="1" si="79"/>
        <v>2019</v>
      </c>
      <c r="T324" s="6">
        <f t="shared" ca="1" si="80"/>
        <v>4</v>
      </c>
      <c r="U324" s="68">
        <f ca="1">IFERROR(__xludf.DUMMYFUNCTION("""COMPUTED_VALUE"""),43584.6458333333)</f>
        <v>43584.645833333299</v>
      </c>
      <c r="V324" s="6">
        <f ca="1">IFERROR(__xludf.DUMMYFUNCTION("""COMPUTED_VALUE"""),2216.43)</f>
        <v>2216.4299999999998</v>
      </c>
      <c r="Z324" s="6" t="str">
        <f t="shared" ca="1" si="81"/>
        <v>201811</v>
      </c>
      <c r="AA324" s="6">
        <f t="shared" ca="1" si="82"/>
        <v>2018</v>
      </c>
      <c r="AB324" s="6">
        <f t="shared" ca="1" si="83"/>
        <v>11</v>
      </c>
      <c r="AC324" s="68">
        <f ca="1">IFERROR(__xludf.DUMMYFUNCTION("""COMPUTED_VALUE"""),43433.9986111111)</f>
        <v>43433.998611111099</v>
      </c>
      <c r="AD324" s="6">
        <f ca="1">IFERROR(__xludf.DUMMYFUNCTION("""COMPUTED_VALUE"""),1117.02)</f>
        <v>1117.02</v>
      </c>
      <c r="AH324" s="6" t="str">
        <f t="shared" ca="1" si="84"/>
        <v>201811</v>
      </c>
      <c r="AI324" s="6">
        <f t="shared" ca="1" si="85"/>
        <v>2018</v>
      </c>
      <c r="AJ324" s="6">
        <f t="shared" ca="1" si="86"/>
        <v>11</v>
      </c>
      <c r="AK324" s="68">
        <f ca="1">IFERROR(__xludf.DUMMYFUNCTION("""COMPUTED_VALUE"""),43416.9986111111)</f>
        <v>43416.998611111099</v>
      </c>
      <c r="AL324" s="6">
        <f ca="1">IFERROR(__xludf.DUMMYFUNCTION("""COMPUTED_VALUE"""),6388.272)</f>
        <v>6388.2719999999999</v>
      </c>
      <c r="AP324" s="6" t="str">
        <f t="shared" ca="1" si="87"/>
        <v>20194</v>
      </c>
      <c r="AQ324" s="6">
        <f t="shared" ca="1" si="88"/>
        <v>2019</v>
      </c>
      <c r="AR324" s="6">
        <f t="shared" ca="1" si="89"/>
        <v>4</v>
      </c>
      <c r="AS324" s="68">
        <f ca="1">IFERROR(__xludf.DUMMYFUNCTION("""COMPUTED_VALUE"""),43566.9986111111)</f>
        <v>43566.998611111099</v>
      </c>
      <c r="AT324" s="6">
        <f ca="1">IFERROR(__xludf.DUMMYFUNCTION("""COMPUTED_VALUE"""),1293.3)</f>
        <v>1293.3</v>
      </c>
    </row>
    <row r="325" spans="2:46" x14ac:dyDescent="0.35">
      <c r="B325" s="6" t="str">
        <f t="shared" ca="1" si="72"/>
        <v>20194</v>
      </c>
      <c r="C325" s="6">
        <f t="shared" ca="1" si="73"/>
        <v>2019</v>
      </c>
      <c r="D325" s="6">
        <f t="shared" ca="1" si="74"/>
        <v>4</v>
      </c>
      <c r="E325" s="68">
        <f ca="1">IFERROR(__xludf.DUMMYFUNCTION("""COMPUTED_VALUE"""),43563.6666666666)</f>
        <v>43563.666666666599</v>
      </c>
      <c r="F325" s="6">
        <f ca="1">IFERROR(__xludf.DUMMYFUNCTION("""COMPUTED_VALUE"""),2895.77)</f>
        <v>2895.77</v>
      </c>
      <c r="J325" s="6" t="str">
        <f t="shared" ca="1" si="75"/>
        <v>20194</v>
      </c>
      <c r="K325" s="6">
        <f t="shared" ca="1" si="76"/>
        <v>2019</v>
      </c>
      <c r="L325" s="6">
        <f t="shared" ca="1" si="77"/>
        <v>4</v>
      </c>
      <c r="M325" s="68">
        <f ca="1">IFERROR(__xludf.DUMMYFUNCTION("""COMPUTED_VALUE"""),43563.6666666666)</f>
        <v>43563.666666666599</v>
      </c>
      <c r="N325" s="6">
        <f ca="1">IFERROR(__xludf.DUMMYFUNCTION("""COMPUTED_VALUE"""),7953.88)</f>
        <v>7953.88</v>
      </c>
      <c r="R325" s="6" t="str">
        <f t="shared" ca="1" si="78"/>
        <v>20194</v>
      </c>
      <c r="S325" s="6">
        <f t="shared" ca="1" si="79"/>
        <v>2019</v>
      </c>
      <c r="T325" s="6">
        <f t="shared" ca="1" si="80"/>
        <v>4</v>
      </c>
      <c r="U325" s="68">
        <f ca="1">IFERROR(__xludf.DUMMYFUNCTION("""COMPUTED_VALUE"""),43585.6458333333)</f>
        <v>43585.645833333299</v>
      </c>
      <c r="V325" s="6">
        <f ca="1">IFERROR(__xludf.DUMMYFUNCTION("""COMPUTED_VALUE"""),2203.59)</f>
        <v>2203.59</v>
      </c>
      <c r="Z325" s="6" t="str">
        <f t="shared" ca="1" si="81"/>
        <v>201811</v>
      </c>
      <c r="AA325" s="6">
        <f t="shared" ca="1" si="82"/>
        <v>2018</v>
      </c>
      <c r="AB325" s="6">
        <f t="shared" ca="1" si="83"/>
        <v>11</v>
      </c>
      <c r="AC325" s="68">
        <f ca="1">IFERROR(__xludf.DUMMYFUNCTION("""COMPUTED_VALUE"""),43434.9986111111)</f>
        <v>43434.998611111099</v>
      </c>
      <c r="AD325" s="6">
        <f ca="1">IFERROR(__xludf.DUMMYFUNCTION("""COMPUTED_VALUE"""),1119.53)</f>
        <v>1119.53</v>
      </c>
      <c r="AH325" s="6" t="str">
        <f t="shared" ca="1" si="84"/>
        <v>201811</v>
      </c>
      <c r="AI325" s="6">
        <f t="shared" ca="1" si="85"/>
        <v>2018</v>
      </c>
      <c r="AJ325" s="6">
        <f t="shared" ca="1" si="86"/>
        <v>11</v>
      </c>
      <c r="AK325" s="68">
        <f ca="1">IFERROR(__xludf.DUMMYFUNCTION("""COMPUTED_VALUE"""),43417.9986111111)</f>
        <v>43417.998611111099</v>
      </c>
      <c r="AL325" s="6">
        <f ca="1">IFERROR(__xludf.DUMMYFUNCTION("""COMPUTED_VALUE"""),6323.938)</f>
        <v>6323.9380000000001</v>
      </c>
      <c r="AP325" s="6" t="str">
        <f t="shared" ca="1" si="87"/>
        <v>20194</v>
      </c>
      <c r="AQ325" s="6">
        <f t="shared" ca="1" si="88"/>
        <v>2019</v>
      </c>
      <c r="AR325" s="6">
        <f t="shared" ca="1" si="89"/>
        <v>4</v>
      </c>
      <c r="AS325" s="68">
        <f ca="1">IFERROR(__xludf.DUMMYFUNCTION("""COMPUTED_VALUE"""),43567.9986111111)</f>
        <v>43567.998611111099</v>
      </c>
      <c r="AT325" s="6">
        <f ca="1">IFERROR(__xludf.DUMMYFUNCTION("""COMPUTED_VALUE"""),1295.2)</f>
        <v>1295.2</v>
      </c>
    </row>
    <row r="326" spans="2:46" x14ac:dyDescent="0.35">
      <c r="B326" s="6" t="str">
        <f t="shared" ca="1" si="72"/>
        <v>20194</v>
      </c>
      <c r="C326" s="6">
        <f t="shared" ca="1" si="73"/>
        <v>2019</v>
      </c>
      <c r="D326" s="6">
        <f t="shared" ca="1" si="74"/>
        <v>4</v>
      </c>
      <c r="E326" s="68">
        <f ca="1">IFERROR(__xludf.DUMMYFUNCTION("""COMPUTED_VALUE"""),43564.6666666666)</f>
        <v>43564.666666666599</v>
      </c>
      <c r="F326" s="6">
        <f ca="1">IFERROR(__xludf.DUMMYFUNCTION("""COMPUTED_VALUE"""),2878.2)</f>
        <v>2878.2</v>
      </c>
      <c r="J326" s="6" t="str">
        <f t="shared" ca="1" si="75"/>
        <v>20194</v>
      </c>
      <c r="K326" s="6">
        <f t="shared" ca="1" si="76"/>
        <v>2019</v>
      </c>
      <c r="L326" s="6">
        <f t="shared" ca="1" si="77"/>
        <v>4</v>
      </c>
      <c r="M326" s="68">
        <f ca="1">IFERROR(__xludf.DUMMYFUNCTION("""COMPUTED_VALUE"""),43564.6666666666)</f>
        <v>43564.666666666599</v>
      </c>
      <c r="N326" s="6">
        <f ca="1">IFERROR(__xludf.DUMMYFUNCTION("""COMPUTED_VALUE"""),7909.28)</f>
        <v>7909.28</v>
      </c>
      <c r="R326" s="6" t="str">
        <f t="shared" ca="1" si="78"/>
        <v>20195</v>
      </c>
      <c r="S326" s="6">
        <f t="shared" ca="1" si="79"/>
        <v>2019</v>
      </c>
      <c r="T326" s="6">
        <f t="shared" ca="1" si="80"/>
        <v>5</v>
      </c>
      <c r="U326" s="68">
        <f ca="1">IFERROR(__xludf.DUMMYFUNCTION("""COMPUTED_VALUE"""),43587.6458333333)</f>
        <v>43587.645833333299</v>
      </c>
      <c r="V326" s="6">
        <f ca="1">IFERROR(__xludf.DUMMYFUNCTION("""COMPUTED_VALUE"""),2212.75)</f>
        <v>2212.75</v>
      </c>
      <c r="Z326" s="6" t="str">
        <f t="shared" ca="1" si="81"/>
        <v>201812</v>
      </c>
      <c r="AA326" s="6">
        <f t="shared" ca="1" si="82"/>
        <v>2018</v>
      </c>
      <c r="AB326" s="6">
        <f t="shared" ca="1" si="83"/>
        <v>12</v>
      </c>
      <c r="AC326" s="68">
        <f ca="1">IFERROR(__xludf.DUMMYFUNCTION("""COMPUTED_VALUE"""),43435.9986111111)</f>
        <v>43435.998611111099</v>
      </c>
      <c r="AD326" s="6">
        <f ca="1">IFERROR(__xludf.DUMMYFUNCTION("""COMPUTED_VALUE"""),1118.5)</f>
        <v>1118.5</v>
      </c>
      <c r="AH326" s="6" t="str">
        <f t="shared" ca="1" si="84"/>
        <v>201811</v>
      </c>
      <c r="AI326" s="6">
        <f t="shared" ca="1" si="85"/>
        <v>2018</v>
      </c>
      <c r="AJ326" s="6">
        <f t="shared" ca="1" si="86"/>
        <v>11</v>
      </c>
      <c r="AK326" s="68">
        <f ca="1">IFERROR(__xludf.DUMMYFUNCTION("""COMPUTED_VALUE"""),43418.9986111111)</f>
        <v>43418.998611111099</v>
      </c>
      <c r="AL326" s="6">
        <f ca="1">IFERROR(__xludf.DUMMYFUNCTION("""COMPUTED_VALUE"""),5788.644)</f>
        <v>5788.6440000000002</v>
      </c>
      <c r="AP326" s="6" t="str">
        <f t="shared" ca="1" si="87"/>
        <v>20194</v>
      </c>
      <c r="AQ326" s="6">
        <f t="shared" ca="1" si="88"/>
        <v>2019</v>
      </c>
      <c r="AR326" s="6">
        <f t="shared" ca="1" si="89"/>
        <v>4</v>
      </c>
      <c r="AS326" s="68">
        <f ca="1">IFERROR(__xludf.DUMMYFUNCTION("""COMPUTED_VALUE"""),43570.9986111111)</f>
        <v>43570.998611111099</v>
      </c>
      <c r="AT326" s="6">
        <f ca="1">IFERROR(__xludf.DUMMYFUNCTION("""COMPUTED_VALUE"""),1291.3)</f>
        <v>1291.3</v>
      </c>
    </row>
    <row r="327" spans="2:46" x14ac:dyDescent="0.35">
      <c r="B327" s="6" t="str">
        <f t="shared" ref="B327:B390" ca="1" si="90">C327&amp;D327</f>
        <v>20194</v>
      </c>
      <c r="C327" s="6">
        <f t="shared" ref="C327:C390" ca="1" si="91">YEAR(E327)</f>
        <v>2019</v>
      </c>
      <c r="D327" s="6">
        <f t="shared" ref="D327:D390" ca="1" si="92">MONTH(E327)</f>
        <v>4</v>
      </c>
      <c r="E327" s="68">
        <f ca="1">IFERROR(__xludf.DUMMYFUNCTION("""COMPUTED_VALUE"""),43565.6666666666)</f>
        <v>43565.666666666599</v>
      </c>
      <c r="F327" s="6">
        <f ca="1">IFERROR(__xludf.DUMMYFUNCTION("""COMPUTED_VALUE"""),2888.21)</f>
        <v>2888.21</v>
      </c>
      <c r="J327" s="6" t="str">
        <f t="shared" ref="J327:J390" ca="1" si="93">K327&amp;L327</f>
        <v>20194</v>
      </c>
      <c r="K327" s="6">
        <f t="shared" ref="K327:K390" ca="1" si="94">YEAR(M327)</f>
        <v>2019</v>
      </c>
      <c r="L327" s="6">
        <f t="shared" ref="L327:L390" ca="1" si="95">MONTH(M327)</f>
        <v>4</v>
      </c>
      <c r="M327" s="68">
        <f ca="1">IFERROR(__xludf.DUMMYFUNCTION("""COMPUTED_VALUE"""),43565.6666666666)</f>
        <v>43565.666666666599</v>
      </c>
      <c r="N327" s="6">
        <f ca="1">IFERROR(__xludf.DUMMYFUNCTION("""COMPUTED_VALUE"""),7964.24)</f>
        <v>7964.24</v>
      </c>
      <c r="R327" s="6" t="str">
        <f t="shared" ref="R327:R390" ca="1" si="96">S327&amp;T327</f>
        <v>20195</v>
      </c>
      <c r="S327" s="6">
        <f t="shared" ref="S327:S390" ca="1" si="97">YEAR(U327)</f>
        <v>2019</v>
      </c>
      <c r="T327" s="6">
        <f t="shared" ref="T327:T390" ca="1" si="98">MONTH(U327)</f>
        <v>5</v>
      </c>
      <c r="U327" s="68">
        <f ca="1">IFERROR(__xludf.DUMMYFUNCTION("""COMPUTED_VALUE"""),43588.6458333333)</f>
        <v>43588.645833333299</v>
      </c>
      <c r="V327" s="6">
        <f ca="1">IFERROR(__xludf.DUMMYFUNCTION("""COMPUTED_VALUE"""),2196.32)</f>
        <v>2196.3200000000002</v>
      </c>
      <c r="Z327" s="6" t="str">
        <f t="shared" ref="Z327:Z390" ca="1" si="99">AA327&amp;AB327</f>
        <v>201812</v>
      </c>
      <c r="AA327" s="6">
        <f t="shared" ref="AA327:AA390" ca="1" si="100">YEAR(AC327)</f>
        <v>2018</v>
      </c>
      <c r="AB327" s="6">
        <f t="shared" ref="AB327:AB390" ca="1" si="101">MONTH(AC327)</f>
        <v>12</v>
      </c>
      <c r="AC327" s="68">
        <f ca="1">IFERROR(__xludf.DUMMYFUNCTION("""COMPUTED_VALUE"""),43436.9986111111)</f>
        <v>43436.998611111099</v>
      </c>
      <c r="AD327" s="6">
        <f ca="1">IFERROR(__xludf.DUMMYFUNCTION("""COMPUTED_VALUE"""),1117.15)</f>
        <v>1117.1500000000001</v>
      </c>
      <c r="AH327" s="6" t="str">
        <f t="shared" ref="AH327:AH390" ca="1" si="102">AI327&amp;AJ327</f>
        <v>201811</v>
      </c>
      <c r="AI327" s="6">
        <f t="shared" ref="AI327:AI390" ca="1" si="103">YEAR(AK327)</f>
        <v>2018</v>
      </c>
      <c r="AJ327" s="6">
        <f t="shared" ref="AJ327:AJ390" ca="1" si="104">MONTH(AK327)</f>
        <v>11</v>
      </c>
      <c r="AK327" s="68">
        <f ca="1">IFERROR(__xludf.DUMMYFUNCTION("""COMPUTED_VALUE"""),43419.9986111111)</f>
        <v>43419.998611111099</v>
      </c>
      <c r="AL327" s="6">
        <f ca="1">IFERROR(__xludf.DUMMYFUNCTION("""COMPUTED_VALUE"""),5673.032)</f>
        <v>5673.0320000000002</v>
      </c>
      <c r="AP327" s="6" t="str">
        <f t="shared" ref="AP327:AP390" ca="1" si="105">AQ327&amp;AR327</f>
        <v>20194</v>
      </c>
      <c r="AQ327" s="6">
        <f t="shared" ref="AQ327:AQ390" ca="1" si="106">YEAR(AS327)</f>
        <v>2019</v>
      </c>
      <c r="AR327" s="6">
        <f t="shared" ref="AR327:AR390" ca="1" si="107">MONTH(AS327)</f>
        <v>4</v>
      </c>
      <c r="AS327" s="68">
        <f ca="1">IFERROR(__xludf.DUMMYFUNCTION("""COMPUTED_VALUE"""),43571.9986111111)</f>
        <v>43571.998611111099</v>
      </c>
      <c r="AT327" s="6">
        <f ca="1">IFERROR(__xludf.DUMMYFUNCTION("""COMPUTED_VALUE"""),1277.2)</f>
        <v>1277.2</v>
      </c>
    </row>
    <row r="328" spans="2:46" x14ac:dyDescent="0.35">
      <c r="B328" s="6" t="str">
        <f t="shared" ca="1" si="90"/>
        <v>20194</v>
      </c>
      <c r="C328" s="6">
        <f t="shared" ca="1" si="91"/>
        <v>2019</v>
      </c>
      <c r="D328" s="6">
        <f t="shared" ca="1" si="92"/>
        <v>4</v>
      </c>
      <c r="E328" s="68">
        <f ca="1">IFERROR(__xludf.DUMMYFUNCTION("""COMPUTED_VALUE"""),43566.6666666666)</f>
        <v>43566.666666666599</v>
      </c>
      <c r="F328" s="6">
        <f ca="1">IFERROR(__xludf.DUMMYFUNCTION("""COMPUTED_VALUE"""),2888.32)</f>
        <v>2888.32</v>
      </c>
      <c r="J328" s="6" t="str">
        <f t="shared" ca="1" si="93"/>
        <v>20194</v>
      </c>
      <c r="K328" s="6">
        <f t="shared" ca="1" si="94"/>
        <v>2019</v>
      </c>
      <c r="L328" s="6">
        <f t="shared" ca="1" si="95"/>
        <v>4</v>
      </c>
      <c r="M328" s="68">
        <f ca="1">IFERROR(__xludf.DUMMYFUNCTION("""COMPUTED_VALUE"""),43566.6666666666)</f>
        <v>43566.666666666599</v>
      </c>
      <c r="N328" s="6">
        <f ca="1">IFERROR(__xludf.DUMMYFUNCTION("""COMPUTED_VALUE"""),7947.36)</f>
        <v>7947.36</v>
      </c>
      <c r="R328" s="6" t="str">
        <f t="shared" ca="1" si="96"/>
        <v>20195</v>
      </c>
      <c r="S328" s="6">
        <f t="shared" ca="1" si="97"/>
        <v>2019</v>
      </c>
      <c r="T328" s="6">
        <f t="shared" ca="1" si="98"/>
        <v>5</v>
      </c>
      <c r="U328" s="68">
        <f ca="1">IFERROR(__xludf.DUMMYFUNCTION("""COMPUTED_VALUE"""),43592.6458333333)</f>
        <v>43592.645833333299</v>
      </c>
      <c r="V328" s="6">
        <f ca="1">IFERROR(__xludf.DUMMYFUNCTION("""COMPUTED_VALUE"""),2176.99)</f>
        <v>2176.9899999999998</v>
      </c>
      <c r="Z328" s="6" t="str">
        <f t="shared" ca="1" si="99"/>
        <v>201812</v>
      </c>
      <c r="AA328" s="6">
        <f t="shared" ca="1" si="100"/>
        <v>2018</v>
      </c>
      <c r="AB328" s="6">
        <f t="shared" ca="1" si="101"/>
        <v>12</v>
      </c>
      <c r="AC328" s="68">
        <f ca="1">IFERROR(__xludf.DUMMYFUNCTION("""COMPUTED_VALUE"""),43437.9986111111)</f>
        <v>43437.998611111099</v>
      </c>
      <c r="AD328" s="6">
        <f ca="1">IFERROR(__xludf.DUMMYFUNCTION("""COMPUTED_VALUE"""),1108.3)</f>
        <v>1108.3</v>
      </c>
      <c r="AH328" s="6" t="str">
        <f t="shared" ca="1" si="102"/>
        <v>201811</v>
      </c>
      <c r="AI328" s="6">
        <f t="shared" ca="1" si="103"/>
        <v>2018</v>
      </c>
      <c r="AJ328" s="6">
        <f t="shared" ca="1" si="104"/>
        <v>11</v>
      </c>
      <c r="AK328" s="68">
        <f ca="1">IFERROR(__xludf.DUMMYFUNCTION("""COMPUTED_VALUE"""),43420.9986111111)</f>
        <v>43420.998611111099</v>
      </c>
      <c r="AL328" s="6">
        <f ca="1">IFERROR(__xludf.DUMMYFUNCTION("""COMPUTED_VALUE"""),5617.132)</f>
        <v>5617.1319999999996</v>
      </c>
      <c r="AP328" s="6" t="str">
        <f t="shared" ca="1" si="105"/>
        <v>20194</v>
      </c>
      <c r="AQ328" s="6">
        <f t="shared" ca="1" si="106"/>
        <v>2019</v>
      </c>
      <c r="AR328" s="6">
        <f t="shared" ca="1" si="107"/>
        <v>4</v>
      </c>
      <c r="AS328" s="68">
        <f ca="1">IFERROR(__xludf.DUMMYFUNCTION("""COMPUTED_VALUE"""),43572.9986111111)</f>
        <v>43572.998611111099</v>
      </c>
      <c r="AT328" s="6">
        <f ca="1">IFERROR(__xludf.DUMMYFUNCTION("""COMPUTED_VALUE"""),1276.8)</f>
        <v>1276.8</v>
      </c>
    </row>
    <row r="329" spans="2:46" x14ac:dyDescent="0.35">
      <c r="B329" s="6" t="str">
        <f t="shared" ca="1" si="90"/>
        <v>20194</v>
      </c>
      <c r="C329" s="6">
        <f t="shared" ca="1" si="91"/>
        <v>2019</v>
      </c>
      <c r="D329" s="6">
        <f t="shared" ca="1" si="92"/>
        <v>4</v>
      </c>
      <c r="E329" s="68">
        <f ca="1">IFERROR(__xludf.DUMMYFUNCTION("""COMPUTED_VALUE"""),43567.6666666666)</f>
        <v>43567.666666666599</v>
      </c>
      <c r="F329" s="6">
        <f ca="1">IFERROR(__xludf.DUMMYFUNCTION("""COMPUTED_VALUE"""),2907.41)</f>
        <v>2907.41</v>
      </c>
      <c r="J329" s="6" t="str">
        <f t="shared" ca="1" si="93"/>
        <v>20194</v>
      </c>
      <c r="K329" s="6">
        <f t="shared" ca="1" si="94"/>
        <v>2019</v>
      </c>
      <c r="L329" s="6">
        <f t="shared" ca="1" si="95"/>
        <v>4</v>
      </c>
      <c r="M329" s="68">
        <f ca="1">IFERROR(__xludf.DUMMYFUNCTION("""COMPUTED_VALUE"""),43567.6666666666)</f>
        <v>43567.666666666599</v>
      </c>
      <c r="N329" s="6">
        <f ca="1">IFERROR(__xludf.DUMMYFUNCTION("""COMPUTED_VALUE"""),7984.16)</f>
        <v>7984.16</v>
      </c>
      <c r="R329" s="6" t="str">
        <f t="shared" ca="1" si="96"/>
        <v>20195</v>
      </c>
      <c r="S329" s="6">
        <f t="shared" ca="1" si="97"/>
        <v>2019</v>
      </c>
      <c r="T329" s="6">
        <f t="shared" ca="1" si="98"/>
        <v>5</v>
      </c>
      <c r="U329" s="68">
        <f ca="1">IFERROR(__xludf.DUMMYFUNCTION("""COMPUTED_VALUE"""),43593.6458333333)</f>
        <v>43593.645833333299</v>
      </c>
      <c r="V329" s="6">
        <f ca="1">IFERROR(__xludf.DUMMYFUNCTION("""COMPUTED_VALUE"""),2168.01)</f>
        <v>2168.0100000000002</v>
      </c>
      <c r="Z329" s="6" t="str">
        <f t="shared" ca="1" si="99"/>
        <v>201812</v>
      </c>
      <c r="AA329" s="6">
        <f t="shared" ca="1" si="100"/>
        <v>2018</v>
      </c>
      <c r="AB329" s="6">
        <f t="shared" ca="1" si="101"/>
        <v>12</v>
      </c>
      <c r="AC329" s="68">
        <f ca="1">IFERROR(__xludf.DUMMYFUNCTION("""COMPUTED_VALUE"""),43438.9986111111)</f>
        <v>43438.998611111099</v>
      </c>
      <c r="AD329" s="6">
        <f ca="1">IFERROR(__xludf.DUMMYFUNCTION("""COMPUTED_VALUE"""),1110.63)</f>
        <v>1110.6300000000001</v>
      </c>
      <c r="AH329" s="6" t="str">
        <f t="shared" ca="1" si="102"/>
        <v>201811</v>
      </c>
      <c r="AI329" s="6">
        <f t="shared" ca="1" si="103"/>
        <v>2018</v>
      </c>
      <c r="AJ329" s="6">
        <f t="shared" ca="1" si="104"/>
        <v>11</v>
      </c>
      <c r="AK329" s="68">
        <f ca="1">IFERROR(__xludf.DUMMYFUNCTION("""COMPUTED_VALUE"""),43421.9986111111)</f>
        <v>43421.998611111099</v>
      </c>
      <c r="AL329" s="6">
        <f ca="1">IFERROR(__xludf.DUMMYFUNCTION("""COMPUTED_VALUE"""),5592.834)</f>
        <v>5592.8339999999998</v>
      </c>
      <c r="AP329" s="6" t="str">
        <f t="shared" ca="1" si="105"/>
        <v>20194</v>
      </c>
      <c r="AQ329" s="6">
        <f t="shared" ca="1" si="106"/>
        <v>2019</v>
      </c>
      <c r="AR329" s="6">
        <f t="shared" ca="1" si="107"/>
        <v>4</v>
      </c>
      <c r="AS329" s="68">
        <f ca="1">IFERROR(__xludf.DUMMYFUNCTION("""COMPUTED_VALUE"""),43577.9986111111)</f>
        <v>43577.998611111099</v>
      </c>
      <c r="AT329" s="6">
        <f ca="1">IFERROR(__xludf.DUMMYFUNCTION("""COMPUTED_VALUE"""),1277.6)</f>
        <v>1277.5999999999999</v>
      </c>
    </row>
    <row r="330" spans="2:46" x14ac:dyDescent="0.35">
      <c r="B330" s="6" t="str">
        <f t="shared" ca="1" si="90"/>
        <v>20194</v>
      </c>
      <c r="C330" s="6">
        <f t="shared" ca="1" si="91"/>
        <v>2019</v>
      </c>
      <c r="D330" s="6">
        <f t="shared" ca="1" si="92"/>
        <v>4</v>
      </c>
      <c r="E330" s="68">
        <f ca="1">IFERROR(__xludf.DUMMYFUNCTION("""COMPUTED_VALUE"""),43570.6666666666)</f>
        <v>43570.666666666599</v>
      </c>
      <c r="F330" s="6">
        <f ca="1">IFERROR(__xludf.DUMMYFUNCTION("""COMPUTED_VALUE"""),2905.58)</f>
        <v>2905.58</v>
      </c>
      <c r="J330" s="6" t="str">
        <f t="shared" ca="1" si="93"/>
        <v>20194</v>
      </c>
      <c r="K330" s="6">
        <f t="shared" ca="1" si="94"/>
        <v>2019</v>
      </c>
      <c r="L330" s="6">
        <f t="shared" ca="1" si="95"/>
        <v>4</v>
      </c>
      <c r="M330" s="68">
        <f ca="1">IFERROR(__xludf.DUMMYFUNCTION("""COMPUTED_VALUE"""),43570.6666666666)</f>
        <v>43570.666666666599</v>
      </c>
      <c r="N330" s="6">
        <f ca="1">IFERROR(__xludf.DUMMYFUNCTION("""COMPUTED_VALUE"""),7976.01)</f>
        <v>7976.01</v>
      </c>
      <c r="R330" s="6" t="str">
        <f t="shared" ca="1" si="96"/>
        <v>20195</v>
      </c>
      <c r="S330" s="6">
        <f t="shared" ca="1" si="97"/>
        <v>2019</v>
      </c>
      <c r="T330" s="6">
        <f t="shared" ca="1" si="98"/>
        <v>5</v>
      </c>
      <c r="U330" s="68">
        <f ca="1">IFERROR(__xludf.DUMMYFUNCTION("""COMPUTED_VALUE"""),43594.6458333333)</f>
        <v>43594.645833333299</v>
      </c>
      <c r="V330" s="6">
        <f ca="1">IFERROR(__xludf.DUMMYFUNCTION("""COMPUTED_VALUE"""),2102.01)</f>
        <v>2102.0100000000002</v>
      </c>
      <c r="Z330" s="6" t="str">
        <f t="shared" ca="1" si="99"/>
        <v>201812</v>
      </c>
      <c r="AA330" s="6">
        <f t="shared" ca="1" si="100"/>
        <v>2018</v>
      </c>
      <c r="AB330" s="6">
        <f t="shared" ca="1" si="101"/>
        <v>12</v>
      </c>
      <c r="AC330" s="68">
        <f ca="1">IFERROR(__xludf.DUMMYFUNCTION("""COMPUTED_VALUE"""),43439.9986111111)</f>
        <v>43439.998611111099</v>
      </c>
      <c r="AD330" s="6">
        <f ca="1">IFERROR(__xludf.DUMMYFUNCTION("""COMPUTED_VALUE"""),1111.66)</f>
        <v>1111.6600000000001</v>
      </c>
      <c r="AH330" s="6" t="str">
        <f t="shared" ca="1" si="102"/>
        <v>201811</v>
      </c>
      <c r="AI330" s="6">
        <f t="shared" ca="1" si="103"/>
        <v>2018</v>
      </c>
      <c r="AJ330" s="6">
        <f t="shared" ca="1" si="104"/>
        <v>11</v>
      </c>
      <c r="AK330" s="68">
        <f ca="1">IFERROR(__xludf.DUMMYFUNCTION("""COMPUTED_VALUE"""),43422.9986111111)</f>
        <v>43422.998611111099</v>
      </c>
      <c r="AL330" s="6">
        <f ca="1">IFERROR(__xludf.DUMMYFUNCTION("""COMPUTED_VALUE"""),5639.368)</f>
        <v>5639.3680000000004</v>
      </c>
      <c r="AP330" s="6" t="str">
        <f t="shared" ca="1" si="105"/>
        <v>20194</v>
      </c>
      <c r="AQ330" s="6">
        <f t="shared" ca="1" si="106"/>
        <v>2019</v>
      </c>
      <c r="AR330" s="6">
        <f t="shared" ca="1" si="107"/>
        <v>4</v>
      </c>
      <c r="AS330" s="68">
        <f ca="1">IFERROR(__xludf.DUMMYFUNCTION("""COMPUTED_VALUE"""),43578.9986111111)</f>
        <v>43578.998611111099</v>
      </c>
      <c r="AT330" s="6">
        <f ca="1">IFERROR(__xludf.DUMMYFUNCTION("""COMPUTED_VALUE"""),1273.2)</f>
        <v>1273.2</v>
      </c>
    </row>
    <row r="331" spans="2:46" x14ac:dyDescent="0.35">
      <c r="B331" s="6" t="str">
        <f t="shared" ca="1" si="90"/>
        <v>20194</v>
      </c>
      <c r="C331" s="6">
        <f t="shared" ca="1" si="91"/>
        <v>2019</v>
      </c>
      <c r="D331" s="6">
        <f t="shared" ca="1" si="92"/>
        <v>4</v>
      </c>
      <c r="E331" s="68">
        <f ca="1">IFERROR(__xludf.DUMMYFUNCTION("""COMPUTED_VALUE"""),43571.6666666666)</f>
        <v>43571.666666666599</v>
      </c>
      <c r="F331" s="6">
        <f ca="1">IFERROR(__xludf.DUMMYFUNCTION("""COMPUTED_VALUE"""),2907.06)</f>
        <v>2907.06</v>
      </c>
      <c r="J331" s="6" t="str">
        <f t="shared" ca="1" si="93"/>
        <v>20194</v>
      </c>
      <c r="K331" s="6">
        <f t="shared" ca="1" si="94"/>
        <v>2019</v>
      </c>
      <c r="L331" s="6">
        <f t="shared" ca="1" si="95"/>
        <v>4</v>
      </c>
      <c r="M331" s="68">
        <f ca="1">IFERROR(__xludf.DUMMYFUNCTION("""COMPUTED_VALUE"""),43571.6666666666)</f>
        <v>43571.666666666599</v>
      </c>
      <c r="N331" s="6">
        <f ca="1">IFERROR(__xludf.DUMMYFUNCTION("""COMPUTED_VALUE"""),8000.23)</f>
        <v>8000.23</v>
      </c>
      <c r="R331" s="6" t="str">
        <f t="shared" ca="1" si="96"/>
        <v>20195</v>
      </c>
      <c r="S331" s="6">
        <f t="shared" ca="1" si="97"/>
        <v>2019</v>
      </c>
      <c r="T331" s="6">
        <f t="shared" ca="1" si="98"/>
        <v>5</v>
      </c>
      <c r="U331" s="68">
        <f ca="1">IFERROR(__xludf.DUMMYFUNCTION("""COMPUTED_VALUE"""),43595.6458333333)</f>
        <v>43595.645833333299</v>
      </c>
      <c r="V331" s="6">
        <f ca="1">IFERROR(__xludf.DUMMYFUNCTION("""COMPUTED_VALUE"""),2108.04)</f>
        <v>2108.04</v>
      </c>
      <c r="Z331" s="6" t="str">
        <f t="shared" ca="1" si="99"/>
        <v>201812</v>
      </c>
      <c r="AA331" s="6">
        <f t="shared" ca="1" si="100"/>
        <v>2018</v>
      </c>
      <c r="AB331" s="6">
        <f t="shared" ca="1" si="101"/>
        <v>12</v>
      </c>
      <c r="AC331" s="68">
        <f ca="1">IFERROR(__xludf.DUMMYFUNCTION("""COMPUTED_VALUE"""),43440.9986111111)</f>
        <v>43440.998611111099</v>
      </c>
      <c r="AD331" s="6">
        <f ca="1">IFERROR(__xludf.DUMMYFUNCTION("""COMPUTED_VALUE"""),1119.6)</f>
        <v>1119.5999999999999</v>
      </c>
      <c r="AH331" s="6" t="str">
        <f t="shared" ca="1" si="102"/>
        <v>201811</v>
      </c>
      <c r="AI331" s="6">
        <f t="shared" ca="1" si="103"/>
        <v>2018</v>
      </c>
      <c r="AJ331" s="6">
        <f t="shared" ca="1" si="104"/>
        <v>11</v>
      </c>
      <c r="AK331" s="68">
        <f ca="1">IFERROR(__xludf.DUMMYFUNCTION("""COMPUTED_VALUE"""),43423.9986111111)</f>
        <v>43423.998611111099</v>
      </c>
      <c r="AL331" s="6">
        <f ca="1">IFERROR(__xludf.DUMMYFUNCTION("""COMPUTED_VALUE"""),4833.181)</f>
        <v>4833.1809999999996</v>
      </c>
      <c r="AP331" s="6" t="str">
        <f t="shared" ca="1" si="105"/>
        <v>20194</v>
      </c>
      <c r="AQ331" s="6">
        <f t="shared" ca="1" si="106"/>
        <v>2019</v>
      </c>
      <c r="AR331" s="6">
        <f t="shared" ca="1" si="107"/>
        <v>4</v>
      </c>
      <c r="AS331" s="68">
        <f ca="1">IFERROR(__xludf.DUMMYFUNCTION("""COMPUTED_VALUE"""),43579.9986111111)</f>
        <v>43579.998611111099</v>
      </c>
      <c r="AT331" s="6">
        <f ca="1">IFERROR(__xludf.DUMMYFUNCTION("""COMPUTED_VALUE"""),1279.4)</f>
        <v>1279.4000000000001</v>
      </c>
    </row>
    <row r="332" spans="2:46" x14ac:dyDescent="0.35">
      <c r="B332" s="6" t="str">
        <f t="shared" ca="1" si="90"/>
        <v>20194</v>
      </c>
      <c r="C332" s="6">
        <f t="shared" ca="1" si="91"/>
        <v>2019</v>
      </c>
      <c r="D332" s="6">
        <f t="shared" ca="1" si="92"/>
        <v>4</v>
      </c>
      <c r="E332" s="68">
        <f ca="1">IFERROR(__xludf.DUMMYFUNCTION("""COMPUTED_VALUE"""),43572.6666666666)</f>
        <v>43572.666666666599</v>
      </c>
      <c r="F332" s="6">
        <f ca="1">IFERROR(__xludf.DUMMYFUNCTION("""COMPUTED_VALUE"""),2900.45)</f>
        <v>2900.45</v>
      </c>
      <c r="J332" s="6" t="str">
        <f t="shared" ca="1" si="93"/>
        <v>20194</v>
      </c>
      <c r="K332" s="6">
        <f t="shared" ca="1" si="94"/>
        <v>2019</v>
      </c>
      <c r="L332" s="6">
        <f t="shared" ca="1" si="95"/>
        <v>4</v>
      </c>
      <c r="M332" s="68">
        <f ca="1">IFERROR(__xludf.DUMMYFUNCTION("""COMPUTED_VALUE"""),43572.6666666666)</f>
        <v>43572.666666666599</v>
      </c>
      <c r="N332" s="6">
        <f ca="1">IFERROR(__xludf.DUMMYFUNCTION("""COMPUTED_VALUE"""),7996.08)</f>
        <v>7996.08</v>
      </c>
      <c r="R332" s="6" t="str">
        <f t="shared" ca="1" si="96"/>
        <v>20195</v>
      </c>
      <c r="S332" s="6">
        <f t="shared" ca="1" si="97"/>
        <v>2019</v>
      </c>
      <c r="T332" s="6">
        <f t="shared" ca="1" si="98"/>
        <v>5</v>
      </c>
      <c r="U332" s="68">
        <f ca="1">IFERROR(__xludf.DUMMYFUNCTION("""COMPUTED_VALUE"""),43598.6458333333)</f>
        <v>43598.645833333299</v>
      </c>
      <c r="V332" s="6">
        <f ca="1">IFERROR(__xludf.DUMMYFUNCTION("""COMPUTED_VALUE"""),2079.01)</f>
        <v>2079.0100000000002</v>
      </c>
      <c r="Z332" s="6" t="str">
        <f t="shared" ca="1" si="99"/>
        <v>201812</v>
      </c>
      <c r="AA332" s="6">
        <f t="shared" ca="1" si="100"/>
        <v>2018</v>
      </c>
      <c r="AB332" s="6">
        <f t="shared" ca="1" si="101"/>
        <v>12</v>
      </c>
      <c r="AC332" s="68">
        <f ca="1">IFERROR(__xludf.DUMMYFUNCTION("""COMPUTED_VALUE"""),43441.9986111111)</f>
        <v>43441.998611111099</v>
      </c>
      <c r="AD332" s="6">
        <f ca="1">IFERROR(__xludf.DUMMYFUNCTION("""COMPUTED_VALUE"""),1123.93)</f>
        <v>1123.93</v>
      </c>
      <c r="AH332" s="6" t="str">
        <f t="shared" ca="1" si="102"/>
        <v>201811</v>
      </c>
      <c r="AI332" s="6">
        <f t="shared" ca="1" si="103"/>
        <v>2018</v>
      </c>
      <c r="AJ332" s="6">
        <f t="shared" ca="1" si="104"/>
        <v>11</v>
      </c>
      <c r="AK332" s="68">
        <f ca="1">IFERROR(__xludf.DUMMYFUNCTION("""COMPUTED_VALUE"""),43424.9986111111)</f>
        <v>43424.998611111099</v>
      </c>
      <c r="AL332" s="6">
        <f ca="1">IFERROR(__xludf.DUMMYFUNCTION("""COMPUTED_VALUE"""),4480.384)</f>
        <v>4480.384</v>
      </c>
      <c r="AP332" s="6" t="str">
        <f t="shared" ca="1" si="105"/>
        <v>20194</v>
      </c>
      <c r="AQ332" s="6">
        <f t="shared" ca="1" si="106"/>
        <v>2019</v>
      </c>
      <c r="AR332" s="6">
        <f t="shared" ca="1" si="107"/>
        <v>4</v>
      </c>
      <c r="AS332" s="68">
        <f ca="1">IFERROR(__xludf.DUMMYFUNCTION("""COMPUTED_VALUE"""),43580.9986111111)</f>
        <v>43580.998611111099</v>
      </c>
      <c r="AT332" s="6">
        <f ca="1">IFERROR(__xludf.DUMMYFUNCTION("""COMPUTED_VALUE"""),1279.7)</f>
        <v>1279.7</v>
      </c>
    </row>
    <row r="333" spans="2:46" x14ac:dyDescent="0.35">
      <c r="B333" s="6" t="str">
        <f t="shared" ca="1" si="90"/>
        <v>20194</v>
      </c>
      <c r="C333" s="6">
        <f t="shared" ca="1" si="91"/>
        <v>2019</v>
      </c>
      <c r="D333" s="6">
        <f t="shared" ca="1" si="92"/>
        <v>4</v>
      </c>
      <c r="E333" s="68">
        <f ca="1">IFERROR(__xludf.DUMMYFUNCTION("""COMPUTED_VALUE"""),43573.6666666666)</f>
        <v>43573.666666666599</v>
      </c>
      <c r="F333" s="6">
        <f ca="1">IFERROR(__xludf.DUMMYFUNCTION("""COMPUTED_VALUE"""),2905.03)</f>
        <v>2905.03</v>
      </c>
      <c r="J333" s="6" t="str">
        <f t="shared" ca="1" si="93"/>
        <v>20194</v>
      </c>
      <c r="K333" s="6">
        <f t="shared" ca="1" si="94"/>
        <v>2019</v>
      </c>
      <c r="L333" s="6">
        <f t="shared" ca="1" si="95"/>
        <v>4</v>
      </c>
      <c r="M333" s="68">
        <f ca="1">IFERROR(__xludf.DUMMYFUNCTION("""COMPUTED_VALUE"""),43573.6666666666)</f>
        <v>43573.666666666599</v>
      </c>
      <c r="N333" s="6">
        <f ca="1">IFERROR(__xludf.DUMMYFUNCTION("""COMPUTED_VALUE"""),7998.06)</f>
        <v>7998.06</v>
      </c>
      <c r="R333" s="6" t="str">
        <f t="shared" ca="1" si="96"/>
        <v>20195</v>
      </c>
      <c r="S333" s="6">
        <f t="shared" ca="1" si="97"/>
        <v>2019</v>
      </c>
      <c r="T333" s="6">
        <f t="shared" ca="1" si="98"/>
        <v>5</v>
      </c>
      <c r="U333" s="68">
        <f ca="1">IFERROR(__xludf.DUMMYFUNCTION("""COMPUTED_VALUE"""),43599.6458333333)</f>
        <v>43599.645833333299</v>
      </c>
      <c r="V333" s="6">
        <f ca="1">IFERROR(__xludf.DUMMYFUNCTION("""COMPUTED_VALUE"""),2081.84)</f>
        <v>2081.84</v>
      </c>
      <c r="Z333" s="6" t="str">
        <f t="shared" ca="1" si="99"/>
        <v>201812</v>
      </c>
      <c r="AA333" s="6">
        <f t="shared" ca="1" si="100"/>
        <v>2018</v>
      </c>
      <c r="AB333" s="6">
        <f t="shared" ca="1" si="101"/>
        <v>12</v>
      </c>
      <c r="AC333" s="68">
        <f ca="1">IFERROR(__xludf.DUMMYFUNCTION("""COMPUTED_VALUE"""),43443.9986111111)</f>
        <v>43443.998611111099</v>
      </c>
      <c r="AD333" s="6">
        <f ca="1">IFERROR(__xludf.DUMMYFUNCTION("""COMPUTED_VALUE"""),1122.7)</f>
        <v>1122.7</v>
      </c>
      <c r="AH333" s="6" t="str">
        <f t="shared" ca="1" si="102"/>
        <v>201811</v>
      </c>
      <c r="AI333" s="6">
        <f t="shared" ca="1" si="103"/>
        <v>2018</v>
      </c>
      <c r="AJ333" s="6">
        <f t="shared" ca="1" si="104"/>
        <v>11</v>
      </c>
      <c r="AK333" s="68">
        <f ca="1">IFERROR(__xludf.DUMMYFUNCTION("""COMPUTED_VALUE"""),43425.9986111111)</f>
        <v>43425.998611111099</v>
      </c>
      <c r="AL333" s="6">
        <f ca="1">IFERROR(__xludf.DUMMYFUNCTION("""COMPUTED_VALUE"""),4614.355)</f>
        <v>4614.3549999999996</v>
      </c>
      <c r="AP333" s="6" t="str">
        <f t="shared" ca="1" si="105"/>
        <v>20194</v>
      </c>
      <c r="AQ333" s="6">
        <f t="shared" ca="1" si="106"/>
        <v>2019</v>
      </c>
      <c r="AR333" s="6">
        <f t="shared" ca="1" si="107"/>
        <v>4</v>
      </c>
      <c r="AS333" s="68">
        <f ca="1">IFERROR(__xludf.DUMMYFUNCTION("""COMPUTED_VALUE"""),43581.9986111111)</f>
        <v>43581.998611111099</v>
      </c>
      <c r="AT333" s="6">
        <f ca="1">IFERROR(__xludf.DUMMYFUNCTION("""COMPUTED_VALUE"""),1288.8)</f>
        <v>1288.8</v>
      </c>
    </row>
    <row r="334" spans="2:46" x14ac:dyDescent="0.35">
      <c r="B334" s="6" t="str">
        <f t="shared" ca="1" si="90"/>
        <v>20194</v>
      </c>
      <c r="C334" s="6">
        <f t="shared" ca="1" si="91"/>
        <v>2019</v>
      </c>
      <c r="D334" s="6">
        <f t="shared" ca="1" si="92"/>
        <v>4</v>
      </c>
      <c r="E334" s="68">
        <f ca="1">IFERROR(__xludf.DUMMYFUNCTION("""COMPUTED_VALUE"""),43577.6666666666)</f>
        <v>43577.666666666599</v>
      </c>
      <c r="F334" s="6">
        <f ca="1">IFERROR(__xludf.DUMMYFUNCTION("""COMPUTED_VALUE"""),2907.97)</f>
        <v>2907.97</v>
      </c>
      <c r="J334" s="6" t="str">
        <f t="shared" ca="1" si="93"/>
        <v>20194</v>
      </c>
      <c r="K334" s="6">
        <f t="shared" ca="1" si="94"/>
        <v>2019</v>
      </c>
      <c r="L334" s="6">
        <f t="shared" ca="1" si="95"/>
        <v>4</v>
      </c>
      <c r="M334" s="68">
        <f ca="1">IFERROR(__xludf.DUMMYFUNCTION("""COMPUTED_VALUE"""),43577.6666666666)</f>
        <v>43577.666666666599</v>
      </c>
      <c r="N334" s="6">
        <f ca="1">IFERROR(__xludf.DUMMYFUNCTION("""COMPUTED_VALUE"""),8015.27)</f>
        <v>8015.27</v>
      </c>
      <c r="R334" s="6" t="str">
        <f t="shared" ca="1" si="96"/>
        <v>20195</v>
      </c>
      <c r="S334" s="6">
        <f t="shared" ca="1" si="97"/>
        <v>2019</v>
      </c>
      <c r="T334" s="6">
        <f t="shared" ca="1" si="98"/>
        <v>5</v>
      </c>
      <c r="U334" s="68">
        <f ca="1">IFERROR(__xludf.DUMMYFUNCTION("""COMPUTED_VALUE"""),43600.6458333333)</f>
        <v>43600.645833333299</v>
      </c>
      <c r="V334" s="6">
        <f ca="1">IFERROR(__xludf.DUMMYFUNCTION("""COMPUTED_VALUE"""),2092.78)</f>
        <v>2092.7800000000002</v>
      </c>
      <c r="Z334" s="6" t="str">
        <f t="shared" ca="1" si="99"/>
        <v>201812</v>
      </c>
      <c r="AA334" s="6">
        <f t="shared" ca="1" si="100"/>
        <v>2018</v>
      </c>
      <c r="AB334" s="6">
        <f t="shared" ca="1" si="101"/>
        <v>12</v>
      </c>
      <c r="AC334" s="68">
        <f ca="1">IFERROR(__xludf.DUMMYFUNCTION("""COMPUTED_VALUE"""),43444.9986111111)</f>
        <v>43444.998611111099</v>
      </c>
      <c r="AD334" s="6">
        <f ca="1">IFERROR(__xludf.DUMMYFUNCTION("""COMPUTED_VALUE"""),1131.5)</f>
        <v>1131.5</v>
      </c>
      <c r="AH334" s="6" t="str">
        <f t="shared" ca="1" si="102"/>
        <v>201811</v>
      </c>
      <c r="AI334" s="6">
        <f t="shared" ca="1" si="103"/>
        <v>2018</v>
      </c>
      <c r="AJ334" s="6">
        <f t="shared" ca="1" si="104"/>
        <v>11</v>
      </c>
      <c r="AK334" s="68">
        <f ca="1">IFERROR(__xludf.DUMMYFUNCTION("""COMPUTED_VALUE"""),43426.9986111111)</f>
        <v>43426.998611111099</v>
      </c>
      <c r="AL334" s="6">
        <f ca="1">IFERROR(__xludf.DUMMYFUNCTION("""COMPUTED_VALUE"""),4323.035)</f>
        <v>4323.0349999999999</v>
      </c>
      <c r="AP334" s="6" t="str">
        <f t="shared" ca="1" si="105"/>
        <v>20194</v>
      </c>
      <c r="AQ334" s="6">
        <f t="shared" ca="1" si="106"/>
        <v>2019</v>
      </c>
      <c r="AR334" s="6">
        <f t="shared" ca="1" si="107"/>
        <v>4</v>
      </c>
      <c r="AS334" s="68">
        <f ca="1">IFERROR(__xludf.DUMMYFUNCTION("""COMPUTED_VALUE"""),43584.9986111111)</f>
        <v>43584.998611111099</v>
      </c>
      <c r="AT334" s="6">
        <f ca="1">IFERROR(__xludf.DUMMYFUNCTION("""COMPUTED_VALUE"""),1281.5)</f>
        <v>1281.5</v>
      </c>
    </row>
    <row r="335" spans="2:46" x14ac:dyDescent="0.35">
      <c r="B335" s="6" t="str">
        <f t="shared" ca="1" si="90"/>
        <v>20194</v>
      </c>
      <c r="C335" s="6">
        <f t="shared" ca="1" si="91"/>
        <v>2019</v>
      </c>
      <c r="D335" s="6">
        <f t="shared" ca="1" si="92"/>
        <v>4</v>
      </c>
      <c r="E335" s="68">
        <f ca="1">IFERROR(__xludf.DUMMYFUNCTION("""COMPUTED_VALUE"""),43578.6666666666)</f>
        <v>43578.666666666599</v>
      </c>
      <c r="F335" s="6">
        <f ca="1">IFERROR(__xludf.DUMMYFUNCTION("""COMPUTED_VALUE"""),2933.68)</f>
        <v>2933.68</v>
      </c>
      <c r="J335" s="6" t="str">
        <f t="shared" ca="1" si="93"/>
        <v>20194</v>
      </c>
      <c r="K335" s="6">
        <f t="shared" ca="1" si="94"/>
        <v>2019</v>
      </c>
      <c r="L335" s="6">
        <f t="shared" ca="1" si="95"/>
        <v>4</v>
      </c>
      <c r="M335" s="68">
        <f ca="1">IFERROR(__xludf.DUMMYFUNCTION("""COMPUTED_VALUE"""),43578.6666666666)</f>
        <v>43578.666666666599</v>
      </c>
      <c r="N335" s="6">
        <f ca="1">IFERROR(__xludf.DUMMYFUNCTION("""COMPUTED_VALUE"""),8120.82)</f>
        <v>8120.82</v>
      </c>
      <c r="R335" s="6" t="str">
        <f t="shared" ca="1" si="96"/>
        <v>20195</v>
      </c>
      <c r="S335" s="6">
        <f t="shared" ca="1" si="97"/>
        <v>2019</v>
      </c>
      <c r="T335" s="6">
        <f t="shared" ca="1" si="98"/>
        <v>5</v>
      </c>
      <c r="U335" s="68">
        <f ca="1">IFERROR(__xludf.DUMMYFUNCTION("""COMPUTED_VALUE"""),43601.6458333333)</f>
        <v>43601.645833333299</v>
      </c>
      <c r="V335" s="6">
        <f ca="1">IFERROR(__xludf.DUMMYFUNCTION("""COMPUTED_VALUE"""),2067.69)</f>
        <v>2067.69</v>
      </c>
      <c r="Z335" s="6" t="str">
        <f t="shared" ca="1" si="99"/>
        <v>201812</v>
      </c>
      <c r="AA335" s="6">
        <f t="shared" ca="1" si="100"/>
        <v>2018</v>
      </c>
      <c r="AB335" s="6">
        <f t="shared" ca="1" si="101"/>
        <v>12</v>
      </c>
      <c r="AC335" s="68">
        <f ca="1">IFERROR(__xludf.DUMMYFUNCTION("""COMPUTED_VALUE"""),43445.9986111111)</f>
        <v>43445.998611111099</v>
      </c>
      <c r="AD335" s="6">
        <f ca="1">IFERROR(__xludf.DUMMYFUNCTION("""COMPUTED_VALUE"""),1127.62)</f>
        <v>1127.6199999999999</v>
      </c>
      <c r="AH335" s="6" t="str">
        <f t="shared" ca="1" si="102"/>
        <v>201811</v>
      </c>
      <c r="AI335" s="6">
        <f t="shared" ca="1" si="103"/>
        <v>2018</v>
      </c>
      <c r="AJ335" s="6">
        <f t="shared" ca="1" si="104"/>
        <v>11</v>
      </c>
      <c r="AK335" s="68">
        <f ca="1">IFERROR(__xludf.DUMMYFUNCTION("""COMPUTED_VALUE"""),43427.9986111111)</f>
        <v>43427.998611111099</v>
      </c>
      <c r="AL335" s="6">
        <f ca="1">IFERROR(__xludf.DUMMYFUNCTION("""COMPUTED_VALUE"""),4337.543)</f>
        <v>4337.5429999999997</v>
      </c>
      <c r="AP335" s="6" t="str">
        <f t="shared" ca="1" si="105"/>
        <v>20194</v>
      </c>
      <c r="AQ335" s="6">
        <f t="shared" ca="1" si="106"/>
        <v>2019</v>
      </c>
      <c r="AR335" s="6">
        <f t="shared" ca="1" si="107"/>
        <v>4</v>
      </c>
      <c r="AS335" s="68">
        <f ca="1">IFERROR(__xludf.DUMMYFUNCTION("""COMPUTED_VALUE"""),43585.9986111111)</f>
        <v>43585.998611111099</v>
      </c>
      <c r="AT335" s="6">
        <f ca="1">IFERROR(__xludf.DUMMYFUNCTION("""COMPUTED_VALUE"""),1285.7)</f>
        <v>1285.7</v>
      </c>
    </row>
    <row r="336" spans="2:46" x14ac:dyDescent="0.35">
      <c r="B336" s="6" t="str">
        <f t="shared" ca="1" si="90"/>
        <v>20194</v>
      </c>
      <c r="C336" s="6">
        <f t="shared" ca="1" si="91"/>
        <v>2019</v>
      </c>
      <c r="D336" s="6">
        <f t="shared" ca="1" si="92"/>
        <v>4</v>
      </c>
      <c r="E336" s="68">
        <f ca="1">IFERROR(__xludf.DUMMYFUNCTION("""COMPUTED_VALUE"""),43579.6666666666)</f>
        <v>43579.666666666599</v>
      </c>
      <c r="F336" s="6">
        <f ca="1">IFERROR(__xludf.DUMMYFUNCTION("""COMPUTED_VALUE"""),2927.25)</f>
        <v>2927.25</v>
      </c>
      <c r="J336" s="6" t="str">
        <f t="shared" ca="1" si="93"/>
        <v>20194</v>
      </c>
      <c r="K336" s="6">
        <f t="shared" ca="1" si="94"/>
        <v>2019</v>
      </c>
      <c r="L336" s="6">
        <f t="shared" ca="1" si="95"/>
        <v>4</v>
      </c>
      <c r="M336" s="68">
        <f ca="1">IFERROR(__xludf.DUMMYFUNCTION("""COMPUTED_VALUE"""),43579.6666666666)</f>
        <v>43579.666666666599</v>
      </c>
      <c r="N336" s="6">
        <f ca="1">IFERROR(__xludf.DUMMYFUNCTION("""COMPUTED_VALUE"""),8102.02)</f>
        <v>8102.02</v>
      </c>
      <c r="R336" s="6" t="str">
        <f t="shared" ca="1" si="96"/>
        <v>20195</v>
      </c>
      <c r="S336" s="6">
        <f t="shared" ca="1" si="97"/>
        <v>2019</v>
      </c>
      <c r="T336" s="6">
        <f t="shared" ca="1" si="98"/>
        <v>5</v>
      </c>
      <c r="U336" s="68">
        <f ca="1">IFERROR(__xludf.DUMMYFUNCTION("""COMPUTED_VALUE"""),43602.6458333333)</f>
        <v>43602.645833333299</v>
      </c>
      <c r="V336" s="6">
        <f ca="1">IFERROR(__xludf.DUMMYFUNCTION("""COMPUTED_VALUE"""),2055.8)</f>
        <v>2055.8000000000002</v>
      </c>
      <c r="Z336" s="6" t="str">
        <f t="shared" ca="1" si="99"/>
        <v>201812</v>
      </c>
      <c r="AA336" s="6">
        <f t="shared" ca="1" si="100"/>
        <v>2018</v>
      </c>
      <c r="AB336" s="6">
        <f t="shared" ca="1" si="101"/>
        <v>12</v>
      </c>
      <c r="AC336" s="68">
        <f ca="1">IFERROR(__xludf.DUMMYFUNCTION("""COMPUTED_VALUE"""),43446.9986111111)</f>
        <v>43446.998611111099</v>
      </c>
      <c r="AD336" s="6">
        <f ca="1">IFERROR(__xludf.DUMMYFUNCTION("""COMPUTED_VALUE"""),1123.85)</f>
        <v>1123.8499999999999</v>
      </c>
      <c r="AH336" s="6" t="str">
        <f t="shared" ca="1" si="102"/>
        <v>201811</v>
      </c>
      <c r="AI336" s="6">
        <f t="shared" ca="1" si="103"/>
        <v>2018</v>
      </c>
      <c r="AJ336" s="6">
        <f t="shared" ca="1" si="104"/>
        <v>11</v>
      </c>
      <c r="AK336" s="68">
        <f ca="1">IFERROR(__xludf.DUMMYFUNCTION("""COMPUTED_VALUE"""),43428.9986111111)</f>
        <v>43428.998611111099</v>
      </c>
      <c r="AL336" s="6">
        <f ca="1">IFERROR(__xludf.DUMMYFUNCTION("""COMPUTED_VALUE"""),3899.059)</f>
        <v>3899.0590000000002</v>
      </c>
      <c r="AP336" s="6" t="str">
        <f t="shared" ca="1" si="105"/>
        <v>20195</v>
      </c>
      <c r="AQ336" s="6">
        <f t="shared" ca="1" si="106"/>
        <v>2019</v>
      </c>
      <c r="AR336" s="6">
        <f t="shared" ca="1" si="107"/>
        <v>5</v>
      </c>
      <c r="AS336" s="68">
        <f ca="1">IFERROR(__xludf.DUMMYFUNCTION("""COMPUTED_VALUE"""),43586.9986111111)</f>
        <v>43586.998611111099</v>
      </c>
      <c r="AT336" s="6">
        <f ca="1">IFERROR(__xludf.DUMMYFUNCTION("""COMPUTED_VALUE"""),1284.2)</f>
        <v>1284.2</v>
      </c>
    </row>
    <row r="337" spans="2:46" x14ac:dyDescent="0.35">
      <c r="B337" s="6" t="str">
        <f t="shared" ca="1" si="90"/>
        <v>20194</v>
      </c>
      <c r="C337" s="6">
        <f t="shared" ca="1" si="91"/>
        <v>2019</v>
      </c>
      <c r="D337" s="6">
        <f t="shared" ca="1" si="92"/>
        <v>4</v>
      </c>
      <c r="E337" s="68">
        <f ca="1">IFERROR(__xludf.DUMMYFUNCTION("""COMPUTED_VALUE"""),43580.6666666666)</f>
        <v>43580.666666666599</v>
      </c>
      <c r="F337" s="6">
        <f ca="1">IFERROR(__xludf.DUMMYFUNCTION("""COMPUTED_VALUE"""),2926.17)</f>
        <v>2926.17</v>
      </c>
      <c r="J337" s="6" t="str">
        <f t="shared" ca="1" si="93"/>
        <v>20194</v>
      </c>
      <c r="K337" s="6">
        <f t="shared" ca="1" si="94"/>
        <v>2019</v>
      </c>
      <c r="L337" s="6">
        <f t="shared" ca="1" si="95"/>
        <v>4</v>
      </c>
      <c r="M337" s="68">
        <f ca="1">IFERROR(__xludf.DUMMYFUNCTION("""COMPUTED_VALUE"""),43580.6666666666)</f>
        <v>43580.666666666599</v>
      </c>
      <c r="N337" s="6">
        <f ca="1">IFERROR(__xludf.DUMMYFUNCTION("""COMPUTED_VALUE"""),8118.68)</f>
        <v>8118.68</v>
      </c>
      <c r="R337" s="6" t="str">
        <f t="shared" ca="1" si="96"/>
        <v>20195</v>
      </c>
      <c r="S337" s="6">
        <f t="shared" ca="1" si="97"/>
        <v>2019</v>
      </c>
      <c r="T337" s="6">
        <f t="shared" ca="1" si="98"/>
        <v>5</v>
      </c>
      <c r="U337" s="68">
        <f ca="1">IFERROR(__xludf.DUMMYFUNCTION("""COMPUTED_VALUE"""),43605.6458333333)</f>
        <v>43605.645833333299</v>
      </c>
      <c r="V337" s="6">
        <f ca="1">IFERROR(__xludf.DUMMYFUNCTION("""COMPUTED_VALUE"""),2055.71)</f>
        <v>2055.71</v>
      </c>
      <c r="Z337" s="6" t="str">
        <f t="shared" ca="1" si="99"/>
        <v>201812</v>
      </c>
      <c r="AA337" s="6">
        <f t="shared" ca="1" si="100"/>
        <v>2018</v>
      </c>
      <c r="AB337" s="6">
        <f t="shared" ca="1" si="101"/>
        <v>12</v>
      </c>
      <c r="AC337" s="68">
        <f ca="1">IFERROR(__xludf.DUMMYFUNCTION("""COMPUTED_VALUE"""),43447.9986111111)</f>
        <v>43447.998611111099</v>
      </c>
      <c r="AD337" s="6">
        <f ca="1">IFERROR(__xludf.DUMMYFUNCTION("""COMPUTED_VALUE"""),1127.02)</f>
        <v>1127.02</v>
      </c>
      <c r="AH337" s="6" t="str">
        <f t="shared" ca="1" si="102"/>
        <v>201811</v>
      </c>
      <c r="AI337" s="6">
        <f t="shared" ca="1" si="103"/>
        <v>2018</v>
      </c>
      <c r="AJ337" s="6">
        <f t="shared" ca="1" si="104"/>
        <v>11</v>
      </c>
      <c r="AK337" s="68">
        <f ca="1">IFERROR(__xludf.DUMMYFUNCTION("""COMPUTED_VALUE"""),43429.9986111111)</f>
        <v>43429.998611111099</v>
      </c>
      <c r="AL337" s="6">
        <f ca="1">IFERROR(__xludf.DUMMYFUNCTION("""COMPUTED_VALUE"""),4028.184)</f>
        <v>4028.1840000000002</v>
      </c>
      <c r="AP337" s="6" t="str">
        <f t="shared" ca="1" si="105"/>
        <v>20195</v>
      </c>
      <c r="AQ337" s="6">
        <f t="shared" ca="1" si="106"/>
        <v>2019</v>
      </c>
      <c r="AR337" s="6">
        <f t="shared" ca="1" si="107"/>
        <v>5</v>
      </c>
      <c r="AS337" s="68">
        <f ca="1">IFERROR(__xludf.DUMMYFUNCTION("""COMPUTED_VALUE"""),43587.9986111111)</f>
        <v>43587.998611111099</v>
      </c>
      <c r="AT337" s="6">
        <f ca="1">IFERROR(__xludf.DUMMYFUNCTION("""COMPUTED_VALUE"""),1272)</f>
        <v>1272</v>
      </c>
    </row>
    <row r="338" spans="2:46" x14ac:dyDescent="0.35">
      <c r="B338" s="6" t="str">
        <f t="shared" ca="1" si="90"/>
        <v>20194</v>
      </c>
      <c r="C338" s="6">
        <f t="shared" ca="1" si="91"/>
        <v>2019</v>
      </c>
      <c r="D338" s="6">
        <f t="shared" ca="1" si="92"/>
        <v>4</v>
      </c>
      <c r="E338" s="68">
        <f ca="1">IFERROR(__xludf.DUMMYFUNCTION("""COMPUTED_VALUE"""),43581.6666666666)</f>
        <v>43581.666666666599</v>
      </c>
      <c r="F338" s="6">
        <f ca="1">IFERROR(__xludf.DUMMYFUNCTION("""COMPUTED_VALUE"""),2939.88)</f>
        <v>2939.88</v>
      </c>
      <c r="J338" s="6" t="str">
        <f t="shared" ca="1" si="93"/>
        <v>20194</v>
      </c>
      <c r="K338" s="6">
        <f t="shared" ca="1" si="94"/>
        <v>2019</v>
      </c>
      <c r="L338" s="6">
        <f t="shared" ca="1" si="95"/>
        <v>4</v>
      </c>
      <c r="M338" s="68">
        <f ca="1">IFERROR(__xludf.DUMMYFUNCTION("""COMPUTED_VALUE"""),43581.6666666666)</f>
        <v>43581.666666666599</v>
      </c>
      <c r="N338" s="6">
        <f ca="1">IFERROR(__xludf.DUMMYFUNCTION("""COMPUTED_VALUE"""),8146.4)</f>
        <v>8146.4</v>
      </c>
      <c r="R338" s="6" t="str">
        <f t="shared" ca="1" si="96"/>
        <v>20195</v>
      </c>
      <c r="S338" s="6">
        <f t="shared" ca="1" si="97"/>
        <v>2019</v>
      </c>
      <c r="T338" s="6">
        <f t="shared" ca="1" si="98"/>
        <v>5</v>
      </c>
      <c r="U338" s="68">
        <f ca="1">IFERROR(__xludf.DUMMYFUNCTION("""COMPUTED_VALUE"""),43606.6458333333)</f>
        <v>43606.645833333299</v>
      </c>
      <c r="V338" s="6">
        <f ca="1">IFERROR(__xludf.DUMMYFUNCTION("""COMPUTED_VALUE"""),2061.25)</f>
        <v>2061.25</v>
      </c>
      <c r="Z338" s="6" t="str">
        <f t="shared" ca="1" si="99"/>
        <v>201812</v>
      </c>
      <c r="AA338" s="6">
        <f t="shared" ca="1" si="100"/>
        <v>2018</v>
      </c>
      <c r="AB338" s="6">
        <f t="shared" ca="1" si="101"/>
        <v>12</v>
      </c>
      <c r="AC338" s="68">
        <f ca="1">IFERROR(__xludf.DUMMYFUNCTION("""COMPUTED_VALUE"""),43448.9986111111)</f>
        <v>43448.998611111099</v>
      </c>
      <c r="AD338" s="6">
        <f ca="1">IFERROR(__xludf.DUMMYFUNCTION("""COMPUTED_VALUE"""),1131.69)</f>
        <v>1131.69</v>
      </c>
      <c r="AH338" s="6" t="str">
        <f t="shared" ca="1" si="102"/>
        <v>201811</v>
      </c>
      <c r="AI338" s="6">
        <f t="shared" ca="1" si="103"/>
        <v>2018</v>
      </c>
      <c r="AJ338" s="6">
        <f t="shared" ca="1" si="104"/>
        <v>11</v>
      </c>
      <c r="AK338" s="68">
        <f ca="1">IFERROR(__xludf.DUMMYFUNCTION("""COMPUTED_VALUE"""),43430.9986111111)</f>
        <v>43430.998611111099</v>
      </c>
      <c r="AL338" s="6">
        <f ca="1">IFERROR(__xludf.DUMMYFUNCTION("""COMPUTED_VALUE"""),3777.838)</f>
        <v>3777.8380000000002</v>
      </c>
      <c r="AP338" s="6" t="str">
        <f t="shared" ca="1" si="105"/>
        <v>20195</v>
      </c>
      <c r="AQ338" s="6">
        <f t="shared" ca="1" si="106"/>
        <v>2019</v>
      </c>
      <c r="AR338" s="6">
        <f t="shared" ca="1" si="107"/>
        <v>5</v>
      </c>
      <c r="AS338" s="68">
        <f ca="1">IFERROR(__xludf.DUMMYFUNCTION("""COMPUTED_VALUE"""),43588.9986111111)</f>
        <v>43588.998611111099</v>
      </c>
      <c r="AT338" s="6">
        <f ca="1">IFERROR(__xludf.DUMMYFUNCTION("""COMPUTED_VALUE"""),1281.3)</f>
        <v>1281.3</v>
      </c>
    </row>
    <row r="339" spans="2:46" x14ac:dyDescent="0.35">
      <c r="B339" s="6" t="str">
        <f t="shared" ca="1" si="90"/>
        <v>20194</v>
      </c>
      <c r="C339" s="6">
        <f t="shared" ca="1" si="91"/>
        <v>2019</v>
      </c>
      <c r="D339" s="6">
        <f t="shared" ca="1" si="92"/>
        <v>4</v>
      </c>
      <c r="E339" s="68">
        <f ca="1">IFERROR(__xludf.DUMMYFUNCTION("""COMPUTED_VALUE"""),43584.6666666666)</f>
        <v>43584.666666666599</v>
      </c>
      <c r="F339" s="6">
        <f ca="1">IFERROR(__xludf.DUMMYFUNCTION("""COMPUTED_VALUE"""),2943.03)</f>
        <v>2943.03</v>
      </c>
      <c r="J339" s="6" t="str">
        <f t="shared" ca="1" si="93"/>
        <v>20194</v>
      </c>
      <c r="K339" s="6">
        <f t="shared" ca="1" si="94"/>
        <v>2019</v>
      </c>
      <c r="L339" s="6">
        <f t="shared" ca="1" si="95"/>
        <v>4</v>
      </c>
      <c r="M339" s="68">
        <f ca="1">IFERROR(__xludf.DUMMYFUNCTION("""COMPUTED_VALUE"""),43584.6666666666)</f>
        <v>43584.666666666599</v>
      </c>
      <c r="N339" s="6">
        <f ca="1">IFERROR(__xludf.DUMMYFUNCTION("""COMPUTED_VALUE"""),8161.85)</f>
        <v>8161.85</v>
      </c>
      <c r="R339" s="6" t="str">
        <f t="shared" ca="1" si="96"/>
        <v>20195</v>
      </c>
      <c r="S339" s="6">
        <f t="shared" ca="1" si="97"/>
        <v>2019</v>
      </c>
      <c r="T339" s="6">
        <f t="shared" ca="1" si="98"/>
        <v>5</v>
      </c>
      <c r="U339" s="68">
        <f ca="1">IFERROR(__xludf.DUMMYFUNCTION("""COMPUTED_VALUE"""),43607.6458333333)</f>
        <v>43607.645833333299</v>
      </c>
      <c r="V339" s="6">
        <f ca="1">IFERROR(__xludf.DUMMYFUNCTION("""COMPUTED_VALUE"""),2064.86)</f>
        <v>2064.86</v>
      </c>
      <c r="Z339" s="6" t="str">
        <f t="shared" ca="1" si="99"/>
        <v>201812</v>
      </c>
      <c r="AA339" s="6">
        <f t="shared" ca="1" si="100"/>
        <v>2018</v>
      </c>
      <c r="AB339" s="6">
        <f t="shared" ca="1" si="101"/>
        <v>12</v>
      </c>
      <c r="AC339" s="68">
        <f ca="1">IFERROR(__xludf.DUMMYFUNCTION("""COMPUTED_VALUE"""),43450.9986111111)</f>
        <v>43450.998611111099</v>
      </c>
      <c r="AD339" s="6">
        <f ca="1">IFERROR(__xludf.DUMMYFUNCTION("""COMPUTED_VALUE"""),1131.65)</f>
        <v>1131.6500000000001</v>
      </c>
      <c r="AH339" s="6" t="str">
        <f t="shared" ca="1" si="102"/>
        <v>201811</v>
      </c>
      <c r="AI339" s="6">
        <f t="shared" ca="1" si="103"/>
        <v>2018</v>
      </c>
      <c r="AJ339" s="6">
        <f t="shared" ca="1" si="104"/>
        <v>11</v>
      </c>
      <c r="AK339" s="68">
        <f ca="1">IFERROR(__xludf.DUMMYFUNCTION("""COMPUTED_VALUE"""),43431.9986111111)</f>
        <v>43431.998611111099</v>
      </c>
      <c r="AL339" s="6">
        <f ca="1">IFERROR(__xludf.DUMMYFUNCTION("""COMPUTED_VALUE"""),3843.184)</f>
        <v>3843.1840000000002</v>
      </c>
      <c r="AP339" s="6" t="str">
        <f t="shared" ca="1" si="105"/>
        <v>20195</v>
      </c>
      <c r="AQ339" s="6">
        <f t="shared" ca="1" si="106"/>
        <v>2019</v>
      </c>
      <c r="AR339" s="6">
        <f t="shared" ca="1" si="107"/>
        <v>5</v>
      </c>
      <c r="AS339" s="68">
        <f ca="1">IFERROR(__xludf.DUMMYFUNCTION("""COMPUTED_VALUE"""),43591.9986111111)</f>
        <v>43591.998611111099</v>
      </c>
      <c r="AT339" s="6">
        <f ca="1">IFERROR(__xludf.DUMMYFUNCTION("""COMPUTED_VALUE"""),1283.8)</f>
        <v>1283.8</v>
      </c>
    </row>
    <row r="340" spans="2:46" x14ac:dyDescent="0.35">
      <c r="B340" s="6" t="str">
        <f t="shared" ca="1" si="90"/>
        <v>20194</v>
      </c>
      <c r="C340" s="6">
        <f t="shared" ca="1" si="91"/>
        <v>2019</v>
      </c>
      <c r="D340" s="6">
        <f t="shared" ca="1" si="92"/>
        <v>4</v>
      </c>
      <c r="E340" s="68">
        <f ca="1">IFERROR(__xludf.DUMMYFUNCTION("""COMPUTED_VALUE"""),43585.6666666666)</f>
        <v>43585.666666666599</v>
      </c>
      <c r="F340" s="6">
        <f ca="1">IFERROR(__xludf.DUMMYFUNCTION("""COMPUTED_VALUE"""),2945.83)</f>
        <v>2945.83</v>
      </c>
      <c r="J340" s="6" t="str">
        <f t="shared" ca="1" si="93"/>
        <v>20194</v>
      </c>
      <c r="K340" s="6">
        <f t="shared" ca="1" si="94"/>
        <v>2019</v>
      </c>
      <c r="L340" s="6">
        <f t="shared" ca="1" si="95"/>
        <v>4</v>
      </c>
      <c r="M340" s="68">
        <f ca="1">IFERROR(__xludf.DUMMYFUNCTION("""COMPUTED_VALUE"""),43585.6666666666)</f>
        <v>43585.666666666599</v>
      </c>
      <c r="N340" s="6">
        <f ca="1">IFERROR(__xludf.DUMMYFUNCTION("""COMPUTED_VALUE"""),8095.39)</f>
        <v>8095.39</v>
      </c>
      <c r="R340" s="6" t="str">
        <f t="shared" ca="1" si="96"/>
        <v>20195</v>
      </c>
      <c r="S340" s="6">
        <f t="shared" ca="1" si="97"/>
        <v>2019</v>
      </c>
      <c r="T340" s="6">
        <f t="shared" ca="1" si="98"/>
        <v>5</v>
      </c>
      <c r="U340" s="68">
        <f ca="1">IFERROR(__xludf.DUMMYFUNCTION("""COMPUTED_VALUE"""),43608.6458333333)</f>
        <v>43608.645833333299</v>
      </c>
      <c r="V340" s="6">
        <f ca="1">IFERROR(__xludf.DUMMYFUNCTION("""COMPUTED_VALUE"""),2059.59)</f>
        <v>2059.59</v>
      </c>
      <c r="Z340" s="6" t="str">
        <f t="shared" ca="1" si="99"/>
        <v>201812</v>
      </c>
      <c r="AA340" s="6">
        <f t="shared" ca="1" si="100"/>
        <v>2018</v>
      </c>
      <c r="AB340" s="6">
        <f t="shared" ca="1" si="101"/>
        <v>12</v>
      </c>
      <c r="AC340" s="68">
        <f ca="1">IFERROR(__xludf.DUMMYFUNCTION("""COMPUTED_VALUE"""),43451.9986111111)</f>
        <v>43451.998611111099</v>
      </c>
      <c r="AD340" s="6">
        <f ca="1">IFERROR(__xludf.DUMMYFUNCTION("""COMPUTED_VALUE"""),1128.15)</f>
        <v>1128.1500000000001</v>
      </c>
      <c r="AH340" s="6" t="str">
        <f t="shared" ca="1" si="102"/>
        <v>201811</v>
      </c>
      <c r="AI340" s="6">
        <f t="shared" ca="1" si="103"/>
        <v>2018</v>
      </c>
      <c r="AJ340" s="6">
        <f t="shared" ca="1" si="104"/>
        <v>11</v>
      </c>
      <c r="AK340" s="68">
        <f ca="1">IFERROR(__xludf.DUMMYFUNCTION("""COMPUTED_VALUE"""),43432.9986111111)</f>
        <v>43432.998611111099</v>
      </c>
      <c r="AL340" s="6">
        <f ca="1">IFERROR(__xludf.DUMMYFUNCTION("""COMPUTED_VALUE"""),4252.598)</f>
        <v>4252.598</v>
      </c>
      <c r="AP340" s="6" t="str">
        <f t="shared" ca="1" si="105"/>
        <v>20195</v>
      </c>
      <c r="AQ340" s="6">
        <f t="shared" ca="1" si="106"/>
        <v>2019</v>
      </c>
      <c r="AR340" s="6">
        <f t="shared" ca="1" si="107"/>
        <v>5</v>
      </c>
      <c r="AS340" s="68">
        <f ca="1">IFERROR(__xludf.DUMMYFUNCTION("""COMPUTED_VALUE"""),43592.9986111111)</f>
        <v>43592.998611111099</v>
      </c>
      <c r="AT340" s="6">
        <f ca="1">IFERROR(__xludf.DUMMYFUNCTION("""COMPUTED_VALUE"""),1285.6)</f>
        <v>1285.5999999999999</v>
      </c>
    </row>
    <row r="341" spans="2:46" x14ac:dyDescent="0.35">
      <c r="B341" s="6" t="str">
        <f t="shared" ca="1" si="90"/>
        <v>20195</v>
      </c>
      <c r="C341" s="6">
        <f t="shared" ca="1" si="91"/>
        <v>2019</v>
      </c>
      <c r="D341" s="6">
        <f t="shared" ca="1" si="92"/>
        <v>5</v>
      </c>
      <c r="E341" s="68">
        <f ca="1">IFERROR(__xludf.DUMMYFUNCTION("""COMPUTED_VALUE"""),43586.6666666666)</f>
        <v>43586.666666666599</v>
      </c>
      <c r="F341" s="6">
        <f ca="1">IFERROR(__xludf.DUMMYFUNCTION("""COMPUTED_VALUE"""),2923.73)</f>
        <v>2923.73</v>
      </c>
      <c r="J341" s="6" t="str">
        <f t="shared" ca="1" si="93"/>
        <v>20195</v>
      </c>
      <c r="K341" s="6">
        <f t="shared" ca="1" si="94"/>
        <v>2019</v>
      </c>
      <c r="L341" s="6">
        <f t="shared" ca="1" si="95"/>
        <v>5</v>
      </c>
      <c r="M341" s="68">
        <f ca="1">IFERROR(__xludf.DUMMYFUNCTION("""COMPUTED_VALUE"""),43586.6666666666)</f>
        <v>43586.666666666599</v>
      </c>
      <c r="N341" s="6">
        <f ca="1">IFERROR(__xludf.DUMMYFUNCTION("""COMPUTED_VALUE"""),8049.64)</f>
        <v>8049.64</v>
      </c>
      <c r="R341" s="6" t="str">
        <f t="shared" ca="1" si="96"/>
        <v>20195</v>
      </c>
      <c r="S341" s="6">
        <f t="shared" ca="1" si="97"/>
        <v>2019</v>
      </c>
      <c r="T341" s="6">
        <f t="shared" ca="1" si="98"/>
        <v>5</v>
      </c>
      <c r="U341" s="68">
        <f ca="1">IFERROR(__xludf.DUMMYFUNCTION("""COMPUTED_VALUE"""),43609.6458333333)</f>
        <v>43609.645833333299</v>
      </c>
      <c r="V341" s="6">
        <f ca="1">IFERROR(__xludf.DUMMYFUNCTION("""COMPUTED_VALUE"""),2045.31)</f>
        <v>2045.31</v>
      </c>
      <c r="Z341" s="6" t="str">
        <f t="shared" ca="1" si="99"/>
        <v>201812</v>
      </c>
      <c r="AA341" s="6">
        <f t="shared" ca="1" si="100"/>
        <v>2018</v>
      </c>
      <c r="AB341" s="6">
        <f t="shared" ca="1" si="101"/>
        <v>12</v>
      </c>
      <c r="AC341" s="68">
        <f ca="1">IFERROR(__xludf.DUMMYFUNCTION("""COMPUTED_VALUE"""),43452.9986111111)</f>
        <v>43452.998611111099</v>
      </c>
      <c r="AD341" s="6">
        <f ca="1">IFERROR(__xludf.DUMMYFUNCTION("""COMPUTED_VALUE"""),1125.07)</f>
        <v>1125.07</v>
      </c>
      <c r="AH341" s="6" t="str">
        <f t="shared" ca="1" si="102"/>
        <v>201811</v>
      </c>
      <c r="AI341" s="6">
        <f t="shared" ca="1" si="103"/>
        <v>2018</v>
      </c>
      <c r="AJ341" s="6">
        <f t="shared" ca="1" si="104"/>
        <v>11</v>
      </c>
      <c r="AK341" s="68">
        <f ca="1">IFERROR(__xludf.DUMMYFUNCTION("""COMPUTED_VALUE"""),43433.9986111111)</f>
        <v>43433.998611111099</v>
      </c>
      <c r="AL341" s="6">
        <f ca="1">IFERROR(__xludf.DUMMYFUNCTION("""COMPUTED_VALUE"""),4285.418)</f>
        <v>4285.4179999999997</v>
      </c>
      <c r="AP341" s="6" t="str">
        <f t="shared" ca="1" si="105"/>
        <v>20195</v>
      </c>
      <c r="AQ341" s="6">
        <f t="shared" ca="1" si="106"/>
        <v>2019</v>
      </c>
      <c r="AR341" s="6">
        <f t="shared" ca="1" si="107"/>
        <v>5</v>
      </c>
      <c r="AS341" s="68">
        <f ca="1">IFERROR(__xludf.DUMMYFUNCTION("""COMPUTED_VALUE"""),43593.9986111111)</f>
        <v>43593.998611111099</v>
      </c>
      <c r="AT341" s="6">
        <f ca="1">IFERROR(__xludf.DUMMYFUNCTION("""COMPUTED_VALUE"""),1281.4)</f>
        <v>1281.4000000000001</v>
      </c>
    </row>
    <row r="342" spans="2:46" x14ac:dyDescent="0.35">
      <c r="B342" s="6" t="str">
        <f t="shared" ca="1" si="90"/>
        <v>20195</v>
      </c>
      <c r="C342" s="6">
        <f t="shared" ca="1" si="91"/>
        <v>2019</v>
      </c>
      <c r="D342" s="6">
        <f t="shared" ca="1" si="92"/>
        <v>5</v>
      </c>
      <c r="E342" s="68">
        <f ca="1">IFERROR(__xludf.DUMMYFUNCTION("""COMPUTED_VALUE"""),43587.6666666666)</f>
        <v>43587.666666666599</v>
      </c>
      <c r="F342" s="6">
        <f ca="1">IFERROR(__xludf.DUMMYFUNCTION("""COMPUTED_VALUE"""),2917.52)</f>
        <v>2917.52</v>
      </c>
      <c r="J342" s="6" t="str">
        <f t="shared" ca="1" si="93"/>
        <v>20195</v>
      </c>
      <c r="K342" s="6">
        <f t="shared" ca="1" si="94"/>
        <v>2019</v>
      </c>
      <c r="L342" s="6">
        <f t="shared" ca="1" si="95"/>
        <v>5</v>
      </c>
      <c r="M342" s="68">
        <f ca="1">IFERROR(__xludf.DUMMYFUNCTION("""COMPUTED_VALUE"""),43587.6666666666)</f>
        <v>43587.666666666599</v>
      </c>
      <c r="N342" s="6">
        <f ca="1">IFERROR(__xludf.DUMMYFUNCTION("""COMPUTED_VALUE"""),8036.77)</f>
        <v>8036.77</v>
      </c>
      <c r="R342" s="6" t="str">
        <f t="shared" ca="1" si="96"/>
        <v>20195</v>
      </c>
      <c r="S342" s="6">
        <f t="shared" ca="1" si="97"/>
        <v>2019</v>
      </c>
      <c r="T342" s="6">
        <f t="shared" ca="1" si="98"/>
        <v>5</v>
      </c>
      <c r="U342" s="68">
        <f ca="1">IFERROR(__xludf.DUMMYFUNCTION("""COMPUTED_VALUE"""),43612.6458333333)</f>
        <v>43612.645833333299</v>
      </c>
      <c r="V342" s="6">
        <f ca="1">IFERROR(__xludf.DUMMYFUNCTION("""COMPUTED_VALUE"""),2044.21)</f>
        <v>2044.21</v>
      </c>
      <c r="Z342" s="6" t="str">
        <f t="shared" ca="1" si="99"/>
        <v>201812</v>
      </c>
      <c r="AA342" s="6">
        <f t="shared" ca="1" si="100"/>
        <v>2018</v>
      </c>
      <c r="AB342" s="6">
        <f t="shared" ca="1" si="101"/>
        <v>12</v>
      </c>
      <c r="AC342" s="68">
        <f ca="1">IFERROR(__xludf.DUMMYFUNCTION("""COMPUTED_VALUE"""),43453.9986111111)</f>
        <v>43453.998611111099</v>
      </c>
      <c r="AD342" s="6">
        <f ca="1">IFERROR(__xludf.DUMMYFUNCTION("""COMPUTED_VALUE"""),1128.13)</f>
        <v>1128.1300000000001</v>
      </c>
      <c r="AH342" s="6" t="str">
        <f t="shared" ca="1" si="102"/>
        <v>201811</v>
      </c>
      <c r="AI342" s="6">
        <f t="shared" ca="1" si="103"/>
        <v>2018</v>
      </c>
      <c r="AJ342" s="6">
        <f t="shared" ca="1" si="104"/>
        <v>11</v>
      </c>
      <c r="AK342" s="68">
        <f ca="1">IFERROR(__xludf.DUMMYFUNCTION("""COMPUTED_VALUE"""),43434.9986111111)</f>
        <v>43434.998611111099</v>
      </c>
      <c r="AL342" s="6">
        <f ca="1">IFERROR(__xludf.DUMMYFUNCTION("""COMPUTED_VALUE"""),4021.237)</f>
        <v>4021.2370000000001</v>
      </c>
      <c r="AP342" s="6" t="str">
        <f t="shared" ca="1" si="105"/>
        <v>20195</v>
      </c>
      <c r="AQ342" s="6">
        <f t="shared" ca="1" si="106"/>
        <v>2019</v>
      </c>
      <c r="AR342" s="6">
        <f t="shared" ca="1" si="107"/>
        <v>5</v>
      </c>
      <c r="AS342" s="68">
        <f ca="1">IFERROR(__xludf.DUMMYFUNCTION("""COMPUTED_VALUE"""),43594.9986111111)</f>
        <v>43594.998611111099</v>
      </c>
      <c r="AT342" s="6">
        <f ca="1">IFERROR(__xludf.DUMMYFUNCTION("""COMPUTED_VALUE"""),1285.2)</f>
        <v>1285.2</v>
      </c>
    </row>
    <row r="343" spans="2:46" x14ac:dyDescent="0.35">
      <c r="B343" s="6" t="str">
        <f t="shared" ca="1" si="90"/>
        <v>20195</v>
      </c>
      <c r="C343" s="6">
        <f t="shared" ca="1" si="91"/>
        <v>2019</v>
      </c>
      <c r="D343" s="6">
        <f t="shared" ca="1" si="92"/>
        <v>5</v>
      </c>
      <c r="E343" s="68">
        <f ca="1">IFERROR(__xludf.DUMMYFUNCTION("""COMPUTED_VALUE"""),43588.6666666666)</f>
        <v>43588.666666666599</v>
      </c>
      <c r="F343" s="6">
        <f ca="1">IFERROR(__xludf.DUMMYFUNCTION("""COMPUTED_VALUE"""),2945.64)</f>
        <v>2945.64</v>
      </c>
      <c r="J343" s="6" t="str">
        <f t="shared" ca="1" si="93"/>
        <v>20195</v>
      </c>
      <c r="K343" s="6">
        <f t="shared" ca="1" si="94"/>
        <v>2019</v>
      </c>
      <c r="L343" s="6">
        <f t="shared" ca="1" si="95"/>
        <v>5</v>
      </c>
      <c r="M343" s="68">
        <f ca="1">IFERROR(__xludf.DUMMYFUNCTION("""COMPUTED_VALUE"""),43588.6666666666)</f>
        <v>43588.666666666599</v>
      </c>
      <c r="N343" s="6">
        <f ca="1">IFERROR(__xludf.DUMMYFUNCTION("""COMPUTED_VALUE"""),8164)</f>
        <v>8164</v>
      </c>
      <c r="R343" s="6" t="str">
        <f t="shared" ca="1" si="96"/>
        <v>20195</v>
      </c>
      <c r="S343" s="6">
        <f t="shared" ca="1" si="97"/>
        <v>2019</v>
      </c>
      <c r="T343" s="6">
        <f t="shared" ca="1" si="98"/>
        <v>5</v>
      </c>
      <c r="U343" s="68">
        <f ca="1">IFERROR(__xludf.DUMMYFUNCTION("""COMPUTED_VALUE"""),43613.6458333333)</f>
        <v>43613.645833333299</v>
      </c>
      <c r="V343" s="6">
        <f ca="1">IFERROR(__xludf.DUMMYFUNCTION("""COMPUTED_VALUE"""),2048.83)</f>
        <v>2048.83</v>
      </c>
      <c r="Z343" s="6" t="str">
        <f t="shared" ca="1" si="99"/>
        <v>201812</v>
      </c>
      <c r="AA343" s="6">
        <f t="shared" ca="1" si="100"/>
        <v>2018</v>
      </c>
      <c r="AB343" s="6">
        <f t="shared" ca="1" si="101"/>
        <v>12</v>
      </c>
      <c r="AC343" s="68">
        <f ca="1">IFERROR(__xludf.DUMMYFUNCTION("""COMPUTED_VALUE"""),43454.9986111111)</f>
        <v>43454.998611111099</v>
      </c>
      <c r="AD343" s="6">
        <f ca="1">IFERROR(__xludf.DUMMYFUNCTION("""COMPUTED_VALUE"""),1120.03)</f>
        <v>1120.03</v>
      </c>
      <c r="AH343" s="6" t="str">
        <f t="shared" ca="1" si="102"/>
        <v>201812</v>
      </c>
      <c r="AI343" s="6">
        <f t="shared" ca="1" si="103"/>
        <v>2018</v>
      </c>
      <c r="AJ343" s="6">
        <f t="shared" ca="1" si="104"/>
        <v>12</v>
      </c>
      <c r="AK343" s="68">
        <f ca="1">IFERROR(__xludf.DUMMYFUNCTION("""COMPUTED_VALUE"""),43435.9986111111)</f>
        <v>43435.998611111099</v>
      </c>
      <c r="AL343" s="6">
        <f ca="1">IFERROR(__xludf.DUMMYFUNCTION("""COMPUTED_VALUE"""),4211.155)</f>
        <v>4211.1549999999997</v>
      </c>
      <c r="AP343" s="6" t="str">
        <f t="shared" ca="1" si="105"/>
        <v>20195</v>
      </c>
      <c r="AQ343" s="6">
        <f t="shared" ca="1" si="106"/>
        <v>2019</v>
      </c>
      <c r="AR343" s="6">
        <f t="shared" ca="1" si="107"/>
        <v>5</v>
      </c>
      <c r="AS343" s="68">
        <f ca="1">IFERROR(__xludf.DUMMYFUNCTION("""COMPUTED_VALUE"""),43595.9986111111)</f>
        <v>43595.998611111099</v>
      </c>
      <c r="AT343" s="6">
        <f ca="1">IFERROR(__xludf.DUMMYFUNCTION("""COMPUTED_VALUE"""),1287.4)</f>
        <v>1287.4000000000001</v>
      </c>
    </row>
    <row r="344" spans="2:46" x14ac:dyDescent="0.35">
      <c r="B344" s="6" t="str">
        <f t="shared" ca="1" si="90"/>
        <v>20195</v>
      </c>
      <c r="C344" s="6">
        <f t="shared" ca="1" si="91"/>
        <v>2019</v>
      </c>
      <c r="D344" s="6">
        <f t="shared" ca="1" si="92"/>
        <v>5</v>
      </c>
      <c r="E344" s="68">
        <f ca="1">IFERROR(__xludf.DUMMYFUNCTION("""COMPUTED_VALUE"""),43591.6666666666)</f>
        <v>43591.666666666599</v>
      </c>
      <c r="F344" s="6">
        <f ca="1">IFERROR(__xludf.DUMMYFUNCTION("""COMPUTED_VALUE"""),2932.47)</f>
        <v>2932.47</v>
      </c>
      <c r="J344" s="6" t="str">
        <f t="shared" ca="1" si="93"/>
        <v>20195</v>
      </c>
      <c r="K344" s="6">
        <f t="shared" ca="1" si="94"/>
        <v>2019</v>
      </c>
      <c r="L344" s="6">
        <f t="shared" ca="1" si="95"/>
        <v>5</v>
      </c>
      <c r="M344" s="68">
        <f ca="1">IFERROR(__xludf.DUMMYFUNCTION("""COMPUTED_VALUE"""),43591.6666666666)</f>
        <v>43591.666666666599</v>
      </c>
      <c r="N344" s="6">
        <f ca="1">IFERROR(__xludf.DUMMYFUNCTION("""COMPUTED_VALUE"""),8123.29)</f>
        <v>8123.29</v>
      </c>
      <c r="R344" s="6" t="str">
        <f t="shared" ca="1" si="96"/>
        <v>20195</v>
      </c>
      <c r="S344" s="6">
        <f t="shared" ca="1" si="97"/>
        <v>2019</v>
      </c>
      <c r="T344" s="6">
        <f t="shared" ca="1" si="98"/>
        <v>5</v>
      </c>
      <c r="U344" s="68">
        <f ca="1">IFERROR(__xludf.DUMMYFUNCTION("""COMPUTED_VALUE"""),43614.6458333333)</f>
        <v>43614.645833333299</v>
      </c>
      <c r="V344" s="6">
        <f ca="1">IFERROR(__xludf.DUMMYFUNCTION("""COMPUTED_VALUE"""),2023.32)</f>
        <v>2023.32</v>
      </c>
      <c r="Z344" s="6" t="str">
        <f t="shared" ca="1" si="99"/>
        <v>201812</v>
      </c>
      <c r="AA344" s="6">
        <f t="shared" ca="1" si="100"/>
        <v>2018</v>
      </c>
      <c r="AB344" s="6">
        <f t="shared" ca="1" si="101"/>
        <v>12</v>
      </c>
      <c r="AC344" s="68">
        <f ca="1">IFERROR(__xludf.DUMMYFUNCTION("""COMPUTED_VALUE"""),43455.9986111111)</f>
        <v>43455.998611111099</v>
      </c>
      <c r="AD344" s="6">
        <f ca="1">IFERROR(__xludf.DUMMYFUNCTION("""COMPUTED_VALUE"""),1128.02)</f>
        <v>1128.02</v>
      </c>
      <c r="AH344" s="6" t="str">
        <f t="shared" ca="1" si="102"/>
        <v>201812</v>
      </c>
      <c r="AI344" s="6">
        <f t="shared" ca="1" si="103"/>
        <v>2018</v>
      </c>
      <c r="AJ344" s="6">
        <f t="shared" ca="1" si="104"/>
        <v>12</v>
      </c>
      <c r="AK344" s="68">
        <f ca="1">IFERROR(__xludf.DUMMYFUNCTION("""COMPUTED_VALUE"""),43436.9986111111)</f>
        <v>43436.998611111099</v>
      </c>
      <c r="AL344" s="6">
        <f ca="1">IFERROR(__xludf.DUMMYFUNCTION("""COMPUTED_VALUE"""),4134.864)</f>
        <v>4134.8639999999996</v>
      </c>
      <c r="AP344" s="6" t="str">
        <f t="shared" ca="1" si="105"/>
        <v>20195</v>
      </c>
      <c r="AQ344" s="6">
        <f t="shared" ca="1" si="106"/>
        <v>2019</v>
      </c>
      <c r="AR344" s="6">
        <f t="shared" ca="1" si="107"/>
        <v>5</v>
      </c>
      <c r="AS344" s="68">
        <f ca="1">IFERROR(__xludf.DUMMYFUNCTION("""COMPUTED_VALUE"""),43598.9986111111)</f>
        <v>43598.998611111099</v>
      </c>
      <c r="AT344" s="6">
        <f ca="1">IFERROR(__xludf.DUMMYFUNCTION("""COMPUTED_VALUE"""),1301.8)</f>
        <v>1301.8</v>
      </c>
    </row>
    <row r="345" spans="2:46" x14ac:dyDescent="0.35">
      <c r="B345" s="6" t="str">
        <f t="shared" ca="1" si="90"/>
        <v>20195</v>
      </c>
      <c r="C345" s="6">
        <f t="shared" ca="1" si="91"/>
        <v>2019</v>
      </c>
      <c r="D345" s="6">
        <f t="shared" ca="1" si="92"/>
        <v>5</v>
      </c>
      <c r="E345" s="68">
        <f ca="1">IFERROR(__xludf.DUMMYFUNCTION("""COMPUTED_VALUE"""),43592.6666666666)</f>
        <v>43592.666666666599</v>
      </c>
      <c r="F345" s="6">
        <f ca="1">IFERROR(__xludf.DUMMYFUNCTION("""COMPUTED_VALUE"""),2884.05)</f>
        <v>2884.05</v>
      </c>
      <c r="J345" s="6" t="str">
        <f t="shared" ca="1" si="93"/>
        <v>20195</v>
      </c>
      <c r="K345" s="6">
        <f t="shared" ca="1" si="94"/>
        <v>2019</v>
      </c>
      <c r="L345" s="6">
        <f t="shared" ca="1" si="95"/>
        <v>5</v>
      </c>
      <c r="M345" s="68">
        <f ca="1">IFERROR(__xludf.DUMMYFUNCTION("""COMPUTED_VALUE"""),43592.6666666666)</f>
        <v>43592.666666666599</v>
      </c>
      <c r="N345" s="6">
        <f ca="1">IFERROR(__xludf.DUMMYFUNCTION("""COMPUTED_VALUE"""),7963.76)</f>
        <v>7963.76</v>
      </c>
      <c r="R345" s="6" t="str">
        <f t="shared" ca="1" si="96"/>
        <v>20195</v>
      </c>
      <c r="S345" s="6">
        <f t="shared" ca="1" si="97"/>
        <v>2019</v>
      </c>
      <c r="T345" s="6">
        <f t="shared" ca="1" si="98"/>
        <v>5</v>
      </c>
      <c r="U345" s="68">
        <f ca="1">IFERROR(__xludf.DUMMYFUNCTION("""COMPUTED_VALUE"""),43615.6458333333)</f>
        <v>43615.645833333299</v>
      </c>
      <c r="V345" s="6">
        <f ca="1">IFERROR(__xludf.DUMMYFUNCTION("""COMPUTED_VALUE"""),2038.8)</f>
        <v>2038.8</v>
      </c>
      <c r="Z345" s="6" t="str">
        <f t="shared" ca="1" si="99"/>
        <v>201812</v>
      </c>
      <c r="AA345" s="6">
        <f t="shared" ca="1" si="100"/>
        <v>2018</v>
      </c>
      <c r="AB345" s="6">
        <f t="shared" ca="1" si="101"/>
        <v>12</v>
      </c>
      <c r="AC345" s="68">
        <f ca="1">IFERROR(__xludf.DUMMYFUNCTION("""COMPUTED_VALUE"""),43456.9986111111)</f>
        <v>43456.998611111099</v>
      </c>
      <c r="AD345" s="6">
        <f ca="1">IFERROR(__xludf.DUMMYFUNCTION("""COMPUTED_VALUE"""),1128.02)</f>
        <v>1128.02</v>
      </c>
      <c r="AH345" s="6" t="str">
        <f t="shared" ca="1" si="102"/>
        <v>201812</v>
      </c>
      <c r="AI345" s="6">
        <f t="shared" ca="1" si="103"/>
        <v>2018</v>
      </c>
      <c r="AJ345" s="6">
        <f t="shared" ca="1" si="104"/>
        <v>12</v>
      </c>
      <c r="AK345" s="68">
        <f ca="1">IFERROR(__xludf.DUMMYFUNCTION("""COMPUTED_VALUE"""),43437.9986111111)</f>
        <v>43437.998611111099</v>
      </c>
      <c r="AL345" s="6">
        <f ca="1">IFERROR(__xludf.DUMMYFUNCTION("""COMPUTED_VALUE"""),3883.534)</f>
        <v>3883.5340000000001</v>
      </c>
      <c r="AP345" s="6" t="str">
        <f t="shared" ca="1" si="105"/>
        <v>20195</v>
      </c>
      <c r="AQ345" s="6">
        <f t="shared" ca="1" si="106"/>
        <v>2019</v>
      </c>
      <c r="AR345" s="6">
        <f t="shared" ca="1" si="107"/>
        <v>5</v>
      </c>
      <c r="AS345" s="68">
        <f ca="1">IFERROR(__xludf.DUMMYFUNCTION("""COMPUTED_VALUE"""),43599.9986111111)</f>
        <v>43599.998611111099</v>
      </c>
      <c r="AT345" s="6">
        <f ca="1">IFERROR(__xludf.DUMMYFUNCTION("""COMPUTED_VALUE"""),1296.3)</f>
        <v>1296.3</v>
      </c>
    </row>
    <row r="346" spans="2:46" x14ac:dyDescent="0.35">
      <c r="B346" s="6" t="str">
        <f t="shared" ca="1" si="90"/>
        <v>20195</v>
      </c>
      <c r="C346" s="6">
        <f t="shared" ca="1" si="91"/>
        <v>2019</v>
      </c>
      <c r="D346" s="6">
        <f t="shared" ca="1" si="92"/>
        <v>5</v>
      </c>
      <c r="E346" s="68">
        <f ca="1">IFERROR(__xludf.DUMMYFUNCTION("""COMPUTED_VALUE"""),43593.6666666666)</f>
        <v>43593.666666666599</v>
      </c>
      <c r="F346" s="6">
        <f ca="1">IFERROR(__xludf.DUMMYFUNCTION("""COMPUTED_VALUE"""),2879.42)</f>
        <v>2879.42</v>
      </c>
      <c r="J346" s="6" t="str">
        <f t="shared" ca="1" si="93"/>
        <v>20195</v>
      </c>
      <c r="K346" s="6">
        <f t="shared" ca="1" si="94"/>
        <v>2019</v>
      </c>
      <c r="L346" s="6">
        <f t="shared" ca="1" si="95"/>
        <v>5</v>
      </c>
      <c r="M346" s="68">
        <f ca="1">IFERROR(__xludf.DUMMYFUNCTION("""COMPUTED_VALUE"""),43593.6666666666)</f>
        <v>43593.666666666599</v>
      </c>
      <c r="N346" s="6">
        <f ca="1">IFERROR(__xludf.DUMMYFUNCTION("""COMPUTED_VALUE"""),7943.32)</f>
        <v>7943.32</v>
      </c>
      <c r="R346" s="6" t="str">
        <f t="shared" ca="1" si="96"/>
        <v>20195</v>
      </c>
      <c r="S346" s="6">
        <f t="shared" ca="1" si="97"/>
        <v>2019</v>
      </c>
      <c r="T346" s="6">
        <f t="shared" ca="1" si="98"/>
        <v>5</v>
      </c>
      <c r="U346" s="68">
        <f ca="1">IFERROR(__xludf.DUMMYFUNCTION("""COMPUTED_VALUE"""),43616.6458333333)</f>
        <v>43616.645833333299</v>
      </c>
      <c r="V346" s="6">
        <f ca="1">IFERROR(__xludf.DUMMYFUNCTION("""COMPUTED_VALUE"""),2041.74)</f>
        <v>2041.74</v>
      </c>
      <c r="Z346" s="6" t="str">
        <f t="shared" ca="1" si="99"/>
        <v>201812</v>
      </c>
      <c r="AA346" s="6">
        <f t="shared" ca="1" si="100"/>
        <v>2018</v>
      </c>
      <c r="AB346" s="6">
        <f t="shared" ca="1" si="101"/>
        <v>12</v>
      </c>
      <c r="AC346" s="68">
        <f ca="1">IFERROR(__xludf.DUMMYFUNCTION("""COMPUTED_VALUE"""),43457.9986111111)</f>
        <v>43457.998611111099</v>
      </c>
      <c r="AD346" s="6">
        <f ca="1">IFERROR(__xludf.DUMMYFUNCTION("""COMPUTED_VALUE"""),1127.5)</f>
        <v>1127.5</v>
      </c>
      <c r="AH346" s="6" t="str">
        <f t="shared" ca="1" si="102"/>
        <v>201812</v>
      </c>
      <c r="AI346" s="6">
        <f t="shared" ca="1" si="103"/>
        <v>2018</v>
      </c>
      <c r="AJ346" s="6">
        <f t="shared" ca="1" si="104"/>
        <v>12</v>
      </c>
      <c r="AK346" s="68">
        <f ca="1">IFERROR(__xludf.DUMMYFUNCTION("""COMPUTED_VALUE"""),43438.9986111111)</f>
        <v>43438.998611111099</v>
      </c>
      <c r="AL346" s="6">
        <f ca="1">IFERROR(__xludf.DUMMYFUNCTION("""COMPUTED_VALUE"""),3932.983)</f>
        <v>3932.9830000000002</v>
      </c>
      <c r="AP346" s="6" t="str">
        <f t="shared" ca="1" si="105"/>
        <v>20195</v>
      </c>
      <c r="AQ346" s="6">
        <f t="shared" ca="1" si="106"/>
        <v>2019</v>
      </c>
      <c r="AR346" s="6">
        <f t="shared" ca="1" si="107"/>
        <v>5</v>
      </c>
      <c r="AS346" s="68">
        <f ca="1">IFERROR(__xludf.DUMMYFUNCTION("""COMPUTED_VALUE"""),43600.9986111111)</f>
        <v>43600.998611111099</v>
      </c>
      <c r="AT346" s="6">
        <f ca="1">IFERROR(__xludf.DUMMYFUNCTION("""COMPUTED_VALUE"""),1297.8)</f>
        <v>1297.8</v>
      </c>
    </row>
    <row r="347" spans="2:46" x14ac:dyDescent="0.35">
      <c r="B347" s="6" t="str">
        <f t="shared" ca="1" si="90"/>
        <v>20195</v>
      </c>
      <c r="C347" s="6">
        <f t="shared" ca="1" si="91"/>
        <v>2019</v>
      </c>
      <c r="D347" s="6">
        <f t="shared" ca="1" si="92"/>
        <v>5</v>
      </c>
      <c r="E347" s="68">
        <f ca="1">IFERROR(__xludf.DUMMYFUNCTION("""COMPUTED_VALUE"""),43594.6666666666)</f>
        <v>43594.666666666599</v>
      </c>
      <c r="F347" s="6">
        <f ca="1">IFERROR(__xludf.DUMMYFUNCTION("""COMPUTED_VALUE"""),2870.72)</f>
        <v>2870.72</v>
      </c>
      <c r="J347" s="6" t="str">
        <f t="shared" ca="1" si="93"/>
        <v>20195</v>
      </c>
      <c r="K347" s="6">
        <f t="shared" ca="1" si="94"/>
        <v>2019</v>
      </c>
      <c r="L347" s="6">
        <f t="shared" ca="1" si="95"/>
        <v>5</v>
      </c>
      <c r="M347" s="68">
        <f ca="1">IFERROR(__xludf.DUMMYFUNCTION("""COMPUTED_VALUE"""),43594.6666666666)</f>
        <v>43594.666666666599</v>
      </c>
      <c r="N347" s="6">
        <f ca="1">IFERROR(__xludf.DUMMYFUNCTION("""COMPUTED_VALUE"""),7910.59)</f>
        <v>7910.59</v>
      </c>
      <c r="R347" s="6" t="str">
        <f t="shared" ca="1" si="96"/>
        <v>20196</v>
      </c>
      <c r="S347" s="6">
        <f t="shared" ca="1" si="97"/>
        <v>2019</v>
      </c>
      <c r="T347" s="6">
        <f t="shared" ca="1" si="98"/>
        <v>6</v>
      </c>
      <c r="U347" s="68">
        <f ca="1">IFERROR(__xludf.DUMMYFUNCTION("""COMPUTED_VALUE"""),43619.6458333333)</f>
        <v>43619.645833333299</v>
      </c>
      <c r="V347" s="6">
        <f ca="1">IFERROR(__xludf.DUMMYFUNCTION("""COMPUTED_VALUE"""),2067.85)</f>
        <v>2067.85</v>
      </c>
      <c r="Z347" s="6" t="str">
        <f t="shared" ca="1" si="99"/>
        <v>201812</v>
      </c>
      <c r="AA347" s="6">
        <f t="shared" ca="1" si="100"/>
        <v>2018</v>
      </c>
      <c r="AB347" s="6">
        <f t="shared" ca="1" si="101"/>
        <v>12</v>
      </c>
      <c r="AC347" s="68">
        <f ca="1">IFERROR(__xludf.DUMMYFUNCTION("""COMPUTED_VALUE"""),43458.9986111111)</f>
        <v>43458.998611111099</v>
      </c>
      <c r="AD347" s="6">
        <f ca="1">IFERROR(__xludf.DUMMYFUNCTION("""COMPUTED_VALUE"""),1123.23)</f>
        <v>1123.23</v>
      </c>
      <c r="AH347" s="6" t="str">
        <f t="shared" ca="1" si="102"/>
        <v>201812</v>
      </c>
      <c r="AI347" s="6">
        <f t="shared" ca="1" si="103"/>
        <v>2018</v>
      </c>
      <c r="AJ347" s="6">
        <f t="shared" ca="1" si="104"/>
        <v>12</v>
      </c>
      <c r="AK347" s="68">
        <f ca="1">IFERROR(__xludf.DUMMYFUNCTION("""COMPUTED_VALUE"""),43439.9986111111)</f>
        <v>43439.998611111099</v>
      </c>
      <c r="AL347" s="6">
        <f ca="1">IFERROR(__xludf.DUMMYFUNCTION("""COMPUTED_VALUE"""),3754.666)</f>
        <v>3754.6660000000002</v>
      </c>
      <c r="AP347" s="6" t="str">
        <f t="shared" ca="1" si="105"/>
        <v>20195</v>
      </c>
      <c r="AQ347" s="6">
        <f t="shared" ca="1" si="106"/>
        <v>2019</v>
      </c>
      <c r="AR347" s="6">
        <f t="shared" ca="1" si="107"/>
        <v>5</v>
      </c>
      <c r="AS347" s="68">
        <f ca="1">IFERROR(__xludf.DUMMYFUNCTION("""COMPUTED_VALUE"""),43601.9986111111)</f>
        <v>43601.998611111099</v>
      </c>
      <c r="AT347" s="6">
        <f ca="1">IFERROR(__xludf.DUMMYFUNCTION("""COMPUTED_VALUE"""),1286.2)</f>
        <v>1286.2</v>
      </c>
    </row>
    <row r="348" spans="2:46" x14ac:dyDescent="0.35">
      <c r="B348" s="6" t="str">
        <f t="shared" ca="1" si="90"/>
        <v>20195</v>
      </c>
      <c r="C348" s="6">
        <f t="shared" ca="1" si="91"/>
        <v>2019</v>
      </c>
      <c r="D348" s="6">
        <f t="shared" ca="1" si="92"/>
        <v>5</v>
      </c>
      <c r="E348" s="68">
        <f ca="1">IFERROR(__xludf.DUMMYFUNCTION("""COMPUTED_VALUE"""),43595.6666666666)</f>
        <v>43595.666666666599</v>
      </c>
      <c r="F348" s="6">
        <f ca="1">IFERROR(__xludf.DUMMYFUNCTION("""COMPUTED_VALUE"""),2881.4)</f>
        <v>2881.4</v>
      </c>
      <c r="J348" s="6" t="str">
        <f t="shared" ca="1" si="93"/>
        <v>20195</v>
      </c>
      <c r="K348" s="6">
        <f t="shared" ca="1" si="94"/>
        <v>2019</v>
      </c>
      <c r="L348" s="6">
        <f t="shared" ca="1" si="95"/>
        <v>5</v>
      </c>
      <c r="M348" s="68">
        <f ca="1">IFERROR(__xludf.DUMMYFUNCTION("""COMPUTED_VALUE"""),43595.6666666666)</f>
        <v>43595.666666666599</v>
      </c>
      <c r="N348" s="6">
        <f ca="1">IFERROR(__xludf.DUMMYFUNCTION("""COMPUTED_VALUE"""),7916.94)</f>
        <v>7916.94</v>
      </c>
      <c r="R348" s="6" t="str">
        <f t="shared" ca="1" si="96"/>
        <v>20196</v>
      </c>
      <c r="S348" s="6">
        <f t="shared" ca="1" si="97"/>
        <v>2019</v>
      </c>
      <c r="T348" s="6">
        <f t="shared" ca="1" si="98"/>
        <v>6</v>
      </c>
      <c r="U348" s="68">
        <f ca="1">IFERROR(__xludf.DUMMYFUNCTION("""COMPUTED_VALUE"""),43620.6458333333)</f>
        <v>43620.645833333299</v>
      </c>
      <c r="V348" s="6">
        <f ca="1">IFERROR(__xludf.DUMMYFUNCTION("""COMPUTED_VALUE"""),2066.97)</f>
        <v>2066.9699999999998</v>
      </c>
      <c r="Z348" s="6" t="str">
        <f t="shared" ca="1" si="99"/>
        <v>201812</v>
      </c>
      <c r="AA348" s="6">
        <f t="shared" ca="1" si="100"/>
        <v>2018</v>
      </c>
      <c r="AB348" s="6">
        <f t="shared" ca="1" si="101"/>
        <v>12</v>
      </c>
      <c r="AC348" s="68">
        <f ca="1">IFERROR(__xludf.DUMMYFUNCTION("""COMPUTED_VALUE"""),43459.9986111111)</f>
        <v>43459.998611111099</v>
      </c>
      <c r="AD348" s="6">
        <f ca="1">IFERROR(__xludf.DUMMYFUNCTION("""COMPUTED_VALUE"""),1122.63)</f>
        <v>1122.6300000000001</v>
      </c>
      <c r="AH348" s="6" t="str">
        <f t="shared" ca="1" si="102"/>
        <v>201812</v>
      </c>
      <c r="AI348" s="6">
        <f t="shared" ca="1" si="103"/>
        <v>2018</v>
      </c>
      <c r="AJ348" s="6">
        <f t="shared" ca="1" si="104"/>
        <v>12</v>
      </c>
      <c r="AK348" s="68">
        <f ca="1">IFERROR(__xludf.DUMMYFUNCTION("""COMPUTED_VALUE"""),43440.9986111111)</f>
        <v>43440.998611111099</v>
      </c>
      <c r="AL348" s="6">
        <f ca="1">IFERROR(__xludf.DUMMYFUNCTION("""COMPUTED_VALUE"""),3506.049)</f>
        <v>3506.049</v>
      </c>
      <c r="AP348" s="6" t="str">
        <f t="shared" ca="1" si="105"/>
        <v>20195</v>
      </c>
      <c r="AQ348" s="6">
        <f t="shared" ca="1" si="106"/>
        <v>2019</v>
      </c>
      <c r="AR348" s="6">
        <f t="shared" ca="1" si="107"/>
        <v>5</v>
      </c>
      <c r="AS348" s="68">
        <f ca="1">IFERROR(__xludf.DUMMYFUNCTION("""COMPUTED_VALUE"""),43602.9986111111)</f>
        <v>43602.998611111099</v>
      </c>
      <c r="AT348" s="6">
        <f ca="1">IFERROR(__xludf.DUMMYFUNCTION("""COMPUTED_VALUE"""),1275.7)</f>
        <v>1275.7</v>
      </c>
    </row>
    <row r="349" spans="2:46" x14ac:dyDescent="0.35">
      <c r="B349" s="6" t="str">
        <f t="shared" ca="1" si="90"/>
        <v>20195</v>
      </c>
      <c r="C349" s="6">
        <f t="shared" ca="1" si="91"/>
        <v>2019</v>
      </c>
      <c r="D349" s="6">
        <f t="shared" ca="1" si="92"/>
        <v>5</v>
      </c>
      <c r="E349" s="68">
        <f ca="1">IFERROR(__xludf.DUMMYFUNCTION("""COMPUTED_VALUE"""),43598.6666666666)</f>
        <v>43598.666666666599</v>
      </c>
      <c r="F349" s="6">
        <f ca="1">IFERROR(__xludf.DUMMYFUNCTION("""COMPUTED_VALUE"""),2811.87)</f>
        <v>2811.87</v>
      </c>
      <c r="J349" s="6" t="str">
        <f t="shared" ca="1" si="93"/>
        <v>20195</v>
      </c>
      <c r="K349" s="6">
        <f t="shared" ca="1" si="94"/>
        <v>2019</v>
      </c>
      <c r="L349" s="6">
        <f t="shared" ca="1" si="95"/>
        <v>5</v>
      </c>
      <c r="M349" s="68">
        <f ca="1">IFERROR(__xludf.DUMMYFUNCTION("""COMPUTED_VALUE"""),43598.6666666666)</f>
        <v>43598.666666666599</v>
      </c>
      <c r="N349" s="6">
        <f ca="1">IFERROR(__xludf.DUMMYFUNCTION("""COMPUTED_VALUE"""),7647.02)</f>
        <v>7647.02</v>
      </c>
      <c r="R349" s="6" t="str">
        <f t="shared" ca="1" si="96"/>
        <v>20196</v>
      </c>
      <c r="S349" s="6">
        <f t="shared" ca="1" si="97"/>
        <v>2019</v>
      </c>
      <c r="T349" s="6">
        <f t="shared" ca="1" si="98"/>
        <v>6</v>
      </c>
      <c r="U349" s="68">
        <f ca="1">IFERROR(__xludf.DUMMYFUNCTION("""COMPUTED_VALUE"""),43621.6458333333)</f>
        <v>43621.645833333299</v>
      </c>
      <c r="V349" s="6">
        <f ca="1">IFERROR(__xludf.DUMMYFUNCTION("""COMPUTED_VALUE"""),2069.11)</f>
        <v>2069.11</v>
      </c>
      <c r="Z349" s="6" t="str">
        <f t="shared" ca="1" si="99"/>
        <v>201812</v>
      </c>
      <c r="AA349" s="6">
        <f t="shared" ca="1" si="100"/>
        <v>2018</v>
      </c>
      <c r="AB349" s="6">
        <f t="shared" ca="1" si="101"/>
        <v>12</v>
      </c>
      <c r="AC349" s="68">
        <f ca="1">IFERROR(__xludf.DUMMYFUNCTION("""COMPUTED_VALUE"""),43460.9986111111)</f>
        <v>43460.998611111099</v>
      </c>
      <c r="AD349" s="6">
        <f ca="1">IFERROR(__xludf.DUMMYFUNCTION("""COMPUTED_VALUE"""),1123.52)</f>
        <v>1123.52</v>
      </c>
      <c r="AH349" s="6" t="str">
        <f t="shared" ca="1" si="102"/>
        <v>201812</v>
      </c>
      <c r="AI349" s="6">
        <f t="shared" ca="1" si="103"/>
        <v>2018</v>
      </c>
      <c r="AJ349" s="6">
        <f t="shared" ca="1" si="104"/>
        <v>12</v>
      </c>
      <c r="AK349" s="68">
        <f ca="1">IFERROR(__xludf.DUMMYFUNCTION("""COMPUTED_VALUE"""),43441.9986111111)</f>
        <v>43441.998611111099</v>
      </c>
      <c r="AL349" s="6">
        <f ca="1">IFERROR(__xludf.DUMMYFUNCTION("""COMPUTED_VALUE"""),3404.299)</f>
        <v>3404.299</v>
      </c>
      <c r="AP349" s="6" t="str">
        <f t="shared" ca="1" si="105"/>
        <v>20195</v>
      </c>
      <c r="AQ349" s="6">
        <f t="shared" ca="1" si="106"/>
        <v>2019</v>
      </c>
      <c r="AR349" s="6">
        <f t="shared" ca="1" si="107"/>
        <v>5</v>
      </c>
      <c r="AS349" s="68">
        <f ca="1">IFERROR(__xludf.DUMMYFUNCTION("""COMPUTED_VALUE"""),43605.9986111111)</f>
        <v>43605.998611111099</v>
      </c>
      <c r="AT349" s="6">
        <f ca="1">IFERROR(__xludf.DUMMYFUNCTION("""COMPUTED_VALUE"""),1277.3)</f>
        <v>1277.3</v>
      </c>
    </row>
    <row r="350" spans="2:46" x14ac:dyDescent="0.35">
      <c r="B350" s="6" t="str">
        <f t="shared" ca="1" si="90"/>
        <v>20195</v>
      </c>
      <c r="C350" s="6">
        <f t="shared" ca="1" si="91"/>
        <v>2019</v>
      </c>
      <c r="D350" s="6">
        <f t="shared" ca="1" si="92"/>
        <v>5</v>
      </c>
      <c r="E350" s="68">
        <f ca="1">IFERROR(__xludf.DUMMYFUNCTION("""COMPUTED_VALUE"""),43599.6666666666)</f>
        <v>43599.666666666599</v>
      </c>
      <c r="F350" s="6">
        <f ca="1">IFERROR(__xludf.DUMMYFUNCTION("""COMPUTED_VALUE"""),2834.41)</f>
        <v>2834.41</v>
      </c>
      <c r="J350" s="6" t="str">
        <f t="shared" ca="1" si="93"/>
        <v>20195</v>
      </c>
      <c r="K350" s="6">
        <f t="shared" ca="1" si="94"/>
        <v>2019</v>
      </c>
      <c r="L350" s="6">
        <f t="shared" ca="1" si="95"/>
        <v>5</v>
      </c>
      <c r="M350" s="68">
        <f ca="1">IFERROR(__xludf.DUMMYFUNCTION("""COMPUTED_VALUE"""),43599.6666666666)</f>
        <v>43599.666666666599</v>
      </c>
      <c r="N350" s="6">
        <f ca="1">IFERROR(__xludf.DUMMYFUNCTION("""COMPUTED_VALUE"""),7734.49)</f>
        <v>7734.49</v>
      </c>
      <c r="R350" s="6" t="str">
        <f t="shared" ca="1" si="96"/>
        <v>20196</v>
      </c>
      <c r="S350" s="6">
        <f t="shared" ca="1" si="97"/>
        <v>2019</v>
      </c>
      <c r="T350" s="6">
        <f t="shared" ca="1" si="98"/>
        <v>6</v>
      </c>
      <c r="U350" s="68">
        <f ca="1">IFERROR(__xludf.DUMMYFUNCTION("""COMPUTED_VALUE"""),43623.6458333333)</f>
        <v>43623.645833333299</v>
      </c>
      <c r="V350" s="6">
        <f ca="1">IFERROR(__xludf.DUMMYFUNCTION("""COMPUTED_VALUE"""),2072.33)</f>
        <v>2072.33</v>
      </c>
      <c r="Z350" s="6" t="str">
        <f t="shared" ca="1" si="99"/>
        <v>201812</v>
      </c>
      <c r="AA350" s="6">
        <f t="shared" ca="1" si="100"/>
        <v>2018</v>
      </c>
      <c r="AB350" s="6">
        <f t="shared" ca="1" si="101"/>
        <v>12</v>
      </c>
      <c r="AC350" s="68">
        <f ca="1">IFERROR(__xludf.DUMMYFUNCTION("""COMPUTED_VALUE"""),43461.9986111111)</f>
        <v>43461.998611111099</v>
      </c>
      <c r="AD350" s="6">
        <f ca="1">IFERROR(__xludf.DUMMYFUNCTION("""COMPUTED_VALUE"""),1119.6)</f>
        <v>1119.5999999999999</v>
      </c>
      <c r="AH350" s="6" t="str">
        <f t="shared" ca="1" si="102"/>
        <v>201812</v>
      </c>
      <c r="AI350" s="6">
        <f t="shared" ca="1" si="103"/>
        <v>2018</v>
      </c>
      <c r="AJ350" s="6">
        <f t="shared" ca="1" si="104"/>
        <v>12</v>
      </c>
      <c r="AK350" s="68">
        <f ca="1">IFERROR(__xludf.DUMMYFUNCTION("""COMPUTED_VALUE"""),43442.9986111111)</f>
        <v>43442.998611111099</v>
      </c>
      <c r="AL350" s="6">
        <f ca="1">IFERROR(__xludf.DUMMYFUNCTION("""COMPUTED_VALUE"""),3458.882)</f>
        <v>3458.8820000000001</v>
      </c>
      <c r="AP350" s="6" t="str">
        <f t="shared" ca="1" si="105"/>
        <v>20195</v>
      </c>
      <c r="AQ350" s="6">
        <f t="shared" ca="1" si="106"/>
        <v>2019</v>
      </c>
      <c r="AR350" s="6">
        <f t="shared" ca="1" si="107"/>
        <v>5</v>
      </c>
      <c r="AS350" s="68">
        <f ca="1">IFERROR(__xludf.DUMMYFUNCTION("""COMPUTED_VALUE"""),43606.9986111111)</f>
        <v>43606.998611111099</v>
      </c>
      <c r="AT350" s="6">
        <f ca="1">IFERROR(__xludf.DUMMYFUNCTION("""COMPUTED_VALUE"""),1273.2)</f>
        <v>1273.2</v>
      </c>
    </row>
    <row r="351" spans="2:46" x14ac:dyDescent="0.35">
      <c r="B351" s="6" t="str">
        <f t="shared" ca="1" si="90"/>
        <v>20195</v>
      </c>
      <c r="C351" s="6">
        <f t="shared" ca="1" si="91"/>
        <v>2019</v>
      </c>
      <c r="D351" s="6">
        <f t="shared" ca="1" si="92"/>
        <v>5</v>
      </c>
      <c r="E351" s="68">
        <f ca="1">IFERROR(__xludf.DUMMYFUNCTION("""COMPUTED_VALUE"""),43600.6666666666)</f>
        <v>43600.666666666599</v>
      </c>
      <c r="F351" s="6">
        <f ca="1">IFERROR(__xludf.DUMMYFUNCTION("""COMPUTED_VALUE"""),2850.96)</f>
        <v>2850.96</v>
      </c>
      <c r="J351" s="6" t="str">
        <f t="shared" ca="1" si="93"/>
        <v>20195</v>
      </c>
      <c r="K351" s="6">
        <f t="shared" ca="1" si="94"/>
        <v>2019</v>
      </c>
      <c r="L351" s="6">
        <f t="shared" ca="1" si="95"/>
        <v>5</v>
      </c>
      <c r="M351" s="68">
        <f ca="1">IFERROR(__xludf.DUMMYFUNCTION("""COMPUTED_VALUE"""),43600.6666666666)</f>
        <v>43600.666666666599</v>
      </c>
      <c r="N351" s="6">
        <f ca="1">IFERROR(__xludf.DUMMYFUNCTION("""COMPUTED_VALUE"""),7822.15)</f>
        <v>7822.15</v>
      </c>
      <c r="R351" s="6" t="str">
        <f t="shared" ca="1" si="96"/>
        <v>20196</v>
      </c>
      <c r="S351" s="6">
        <f t="shared" ca="1" si="97"/>
        <v>2019</v>
      </c>
      <c r="T351" s="6">
        <f t="shared" ca="1" si="98"/>
        <v>6</v>
      </c>
      <c r="U351" s="68">
        <f ca="1">IFERROR(__xludf.DUMMYFUNCTION("""COMPUTED_VALUE"""),43626.6458333333)</f>
        <v>43626.645833333299</v>
      </c>
      <c r="V351" s="6">
        <f ca="1">IFERROR(__xludf.DUMMYFUNCTION("""COMPUTED_VALUE"""),2099.49)</f>
        <v>2099.4899999999998</v>
      </c>
      <c r="Z351" s="6" t="str">
        <f t="shared" ca="1" si="99"/>
        <v>201812</v>
      </c>
      <c r="AA351" s="6">
        <f t="shared" ca="1" si="100"/>
        <v>2018</v>
      </c>
      <c r="AB351" s="6">
        <f t="shared" ca="1" si="101"/>
        <v>12</v>
      </c>
      <c r="AC351" s="68">
        <f ca="1">IFERROR(__xludf.DUMMYFUNCTION("""COMPUTED_VALUE"""),43462.9986111111)</f>
        <v>43462.998611111099</v>
      </c>
      <c r="AD351" s="6">
        <f ca="1">IFERROR(__xludf.DUMMYFUNCTION("""COMPUTED_VALUE"""),1116.05)</f>
        <v>1116.05</v>
      </c>
      <c r="AH351" s="6" t="str">
        <f t="shared" ca="1" si="102"/>
        <v>201812</v>
      </c>
      <c r="AI351" s="6">
        <f t="shared" ca="1" si="103"/>
        <v>2018</v>
      </c>
      <c r="AJ351" s="6">
        <f t="shared" ca="1" si="104"/>
        <v>12</v>
      </c>
      <c r="AK351" s="68">
        <f ca="1">IFERROR(__xludf.DUMMYFUNCTION("""COMPUTED_VALUE"""),43443.9986111111)</f>
        <v>43443.998611111099</v>
      </c>
      <c r="AL351" s="6">
        <f ca="1">IFERROR(__xludf.DUMMYFUNCTION("""COMPUTED_VALUE"""),3585.145)</f>
        <v>3585.145</v>
      </c>
      <c r="AP351" s="6" t="str">
        <f t="shared" ca="1" si="105"/>
        <v>20195</v>
      </c>
      <c r="AQ351" s="6">
        <f t="shared" ca="1" si="106"/>
        <v>2019</v>
      </c>
      <c r="AR351" s="6">
        <f t="shared" ca="1" si="107"/>
        <v>5</v>
      </c>
      <c r="AS351" s="68">
        <f ca="1">IFERROR(__xludf.DUMMYFUNCTION("""COMPUTED_VALUE"""),43607.9986111111)</f>
        <v>43607.998611111099</v>
      </c>
      <c r="AT351" s="6">
        <f ca="1">IFERROR(__xludf.DUMMYFUNCTION("""COMPUTED_VALUE"""),1274.2)</f>
        <v>1274.2</v>
      </c>
    </row>
    <row r="352" spans="2:46" x14ac:dyDescent="0.35">
      <c r="B352" s="6" t="str">
        <f t="shared" ca="1" si="90"/>
        <v>20195</v>
      </c>
      <c r="C352" s="6">
        <f t="shared" ca="1" si="91"/>
        <v>2019</v>
      </c>
      <c r="D352" s="6">
        <f t="shared" ca="1" si="92"/>
        <v>5</v>
      </c>
      <c r="E352" s="68">
        <f ca="1">IFERROR(__xludf.DUMMYFUNCTION("""COMPUTED_VALUE"""),43601.6666666666)</f>
        <v>43601.666666666599</v>
      </c>
      <c r="F352" s="6">
        <f ca="1">IFERROR(__xludf.DUMMYFUNCTION("""COMPUTED_VALUE"""),2876.32)</f>
        <v>2876.32</v>
      </c>
      <c r="J352" s="6" t="str">
        <f t="shared" ca="1" si="93"/>
        <v>20195</v>
      </c>
      <c r="K352" s="6">
        <f t="shared" ca="1" si="94"/>
        <v>2019</v>
      </c>
      <c r="L352" s="6">
        <f t="shared" ca="1" si="95"/>
        <v>5</v>
      </c>
      <c r="M352" s="68">
        <f ca="1">IFERROR(__xludf.DUMMYFUNCTION("""COMPUTED_VALUE"""),43601.6666666666)</f>
        <v>43601.666666666599</v>
      </c>
      <c r="N352" s="6">
        <f ca="1">IFERROR(__xludf.DUMMYFUNCTION("""COMPUTED_VALUE"""),7898.05)</f>
        <v>7898.05</v>
      </c>
      <c r="R352" s="6" t="str">
        <f t="shared" ca="1" si="96"/>
        <v>20196</v>
      </c>
      <c r="S352" s="6">
        <f t="shared" ca="1" si="97"/>
        <v>2019</v>
      </c>
      <c r="T352" s="6">
        <f t="shared" ca="1" si="98"/>
        <v>6</v>
      </c>
      <c r="U352" s="68">
        <f ca="1">IFERROR(__xludf.DUMMYFUNCTION("""COMPUTED_VALUE"""),43627.6458333333)</f>
        <v>43627.645833333299</v>
      </c>
      <c r="V352" s="6">
        <f ca="1">IFERROR(__xludf.DUMMYFUNCTION("""COMPUTED_VALUE"""),2111.81)</f>
        <v>2111.81</v>
      </c>
      <c r="Z352" s="6" t="str">
        <f t="shared" ca="1" si="99"/>
        <v>201812</v>
      </c>
      <c r="AA352" s="6">
        <f t="shared" ca="1" si="100"/>
        <v>2018</v>
      </c>
      <c r="AB352" s="6">
        <f t="shared" ca="1" si="101"/>
        <v>12</v>
      </c>
      <c r="AC352" s="68">
        <f ca="1">IFERROR(__xludf.DUMMYFUNCTION("""COMPUTED_VALUE"""),43464.9986111111)</f>
        <v>43464.998611111099</v>
      </c>
      <c r="AD352" s="6">
        <f ca="1">IFERROR(__xludf.DUMMYFUNCTION("""COMPUTED_VALUE"""),1116.3)</f>
        <v>1116.3</v>
      </c>
      <c r="AH352" s="6" t="str">
        <f t="shared" ca="1" si="102"/>
        <v>201812</v>
      </c>
      <c r="AI352" s="6">
        <f t="shared" ca="1" si="103"/>
        <v>2018</v>
      </c>
      <c r="AJ352" s="6">
        <f t="shared" ca="1" si="104"/>
        <v>12</v>
      </c>
      <c r="AK352" s="68">
        <f ca="1">IFERROR(__xludf.DUMMYFUNCTION("""COMPUTED_VALUE"""),43444.9986111111)</f>
        <v>43444.998611111099</v>
      </c>
      <c r="AL352" s="6">
        <f ca="1">IFERROR(__xludf.DUMMYFUNCTION("""COMPUTED_VALUE"""),3434.177)</f>
        <v>3434.1770000000001</v>
      </c>
      <c r="AP352" s="6" t="str">
        <f t="shared" ca="1" si="105"/>
        <v>20195</v>
      </c>
      <c r="AQ352" s="6">
        <f t="shared" ca="1" si="106"/>
        <v>2019</v>
      </c>
      <c r="AR352" s="6">
        <f t="shared" ca="1" si="107"/>
        <v>5</v>
      </c>
      <c r="AS352" s="68">
        <f ca="1">IFERROR(__xludf.DUMMYFUNCTION("""COMPUTED_VALUE"""),43608.9986111111)</f>
        <v>43608.998611111099</v>
      </c>
      <c r="AT352" s="6">
        <f ca="1">IFERROR(__xludf.DUMMYFUNCTION("""COMPUTED_VALUE"""),1285.4)</f>
        <v>1285.4000000000001</v>
      </c>
    </row>
    <row r="353" spans="2:46" x14ac:dyDescent="0.35">
      <c r="B353" s="6" t="str">
        <f t="shared" ca="1" si="90"/>
        <v>20195</v>
      </c>
      <c r="C353" s="6">
        <f t="shared" ca="1" si="91"/>
        <v>2019</v>
      </c>
      <c r="D353" s="6">
        <f t="shared" ca="1" si="92"/>
        <v>5</v>
      </c>
      <c r="E353" s="68">
        <f ca="1">IFERROR(__xludf.DUMMYFUNCTION("""COMPUTED_VALUE"""),43602.6666666666)</f>
        <v>43602.666666666599</v>
      </c>
      <c r="F353" s="6">
        <f ca="1">IFERROR(__xludf.DUMMYFUNCTION("""COMPUTED_VALUE"""),2859.53)</f>
        <v>2859.53</v>
      </c>
      <c r="J353" s="6" t="str">
        <f t="shared" ca="1" si="93"/>
        <v>20195</v>
      </c>
      <c r="K353" s="6">
        <f t="shared" ca="1" si="94"/>
        <v>2019</v>
      </c>
      <c r="L353" s="6">
        <f t="shared" ca="1" si="95"/>
        <v>5</v>
      </c>
      <c r="M353" s="68">
        <f ca="1">IFERROR(__xludf.DUMMYFUNCTION("""COMPUTED_VALUE"""),43602.6666666666)</f>
        <v>43602.666666666599</v>
      </c>
      <c r="N353" s="6">
        <f ca="1">IFERROR(__xludf.DUMMYFUNCTION("""COMPUTED_VALUE"""),7816.29)</f>
        <v>7816.29</v>
      </c>
      <c r="R353" s="6" t="str">
        <f t="shared" ca="1" si="96"/>
        <v>20196</v>
      </c>
      <c r="S353" s="6">
        <f t="shared" ca="1" si="97"/>
        <v>2019</v>
      </c>
      <c r="T353" s="6">
        <f t="shared" ca="1" si="98"/>
        <v>6</v>
      </c>
      <c r="U353" s="68">
        <f ca="1">IFERROR(__xludf.DUMMYFUNCTION("""COMPUTED_VALUE"""),43628.6458333333)</f>
        <v>43628.645833333299</v>
      </c>
      <c r="V353" s="6">
        <f ca="1">IFERROR(__xludf.DUMMYFUNCTION("""COMPUTED_VALUE"""),2108.75)</f>
        <v>2108.75</v>
      </c>
      <c r="Z353" s="6" t="str">
        <f t="shared" ca="1" si="99"/>
        <v>201812</v>
      </c>
      <c r="AA353" s="6">
        <f t="shared" ca="1" si="100"/>
        <v>2018</v>
      </c>
      <c r="AB353" s="6">
        <f t="shared" ca="1" si="101"/>
        <v>12</v>
      </c>
      <c r="AC353" s="68">
        <f ca="1">IFERROR(__xludf.DUMMYFUNCTION("""COMPUTED_VALUE"""),43465.9986111111)</f>
        <v>43465.998611111099</v>
      </c>
      <c r="AD353" s="6">
        <f ca="1">IFERROR(__xludf.DUMMYFUNCTION("""COMPUTED_VALUE"""),1112.5)</f>
        <v>1112.5</v>
      </c>
      <c r="AH353" s="6" t="str">
        <f t="shared" ca="1" si="102"/>
        <v>201812</v>
      </c>
      <c r="AI353" s="6">
        <f t="shared" ca="1" si="103"/>
        <v>2018</v>
      </c>
      <c r="AJ353" s="6">
        <f t="shared" ca="1" si="104"/>
        <v>12</v>
      </c>
      <c r="AK353" s="68">
        <f ca="1">IFERROR(__xludf.DUMMYFUNCTION("""COMPUTED_VALUE"""),43445.9986111111)</f>
        <v>43445.998611111099</v>
      </c>
      <c r="AL353" s="6">
        <f ca="1">IFERROR(__xludf.DUMMYFUNCTION("""COMPUTED_VALUE"""),3404.865)</f>
        <v>3404.8649999999998</v>
      </c>
      <c r="AP353" s="6" t="str">
        <f t="shared" ca="1" si="105"/>
        <v>20195</v>
      </c>
      <c r="AQ353" s="6">
        <f t="shared" ca="1" si="106"/>
        <v>2019</v>
      </c>
      <c r="AR353" s="6">
        <f t="shared" ca="1" si="107"/>
        <v>5</v>
      </c>
      <c r="AS353" s="68">
        <f ca="1">IFERROR(__xludf.DUMMYFUNCTION("""COMPUTED_VALUE"""),43613.9986111111)</f>
        <v>43613.998611111099</v>
      </c>
      <c r="AT353" s="6">
        <f ca="1">IFERROR(__xludf.DUMMYFUNCTION("""COMPUTED_VALUE"""),1282.5)</f>
        <v>1282.5</v>
      </c>
    </row>
    <row r="354" spans="2:46" x14ac:dyDescent="0.35">
      <c r="B354" s="6" t="str">
        <f t="shared" ca="1" si="90"/>
        <v>20195</v>
      </c>
      <c r="C354" s="6">
        <f t="shared" ca="1" si="91"/>
        <v>2019</v>
      </c>
      <c r="D354" s="6">
        <f t="shared" ca="1" si="92"/>
        <v>5</v>
      </c>
      <c r="E354" s="68">
        <f ca="1">IFERROR(__xludf.DUMMYFUNCTION("""COMPUTED_VALUE"""),43605.6666666666)</f>
        <v>43605.666666666599</v>
      </c>
      <c r="F354" s="6">
        <f ca="1">IFERROR(__xludf.DUMMYFUNCTION("""COMPUTED_VALUE"""),2840.23)</f>
        <v>2840.23</v>
      </c>
      <c r="J354" s="6" t="str">
        <f t="shared" ca="1" si="93"/>
        <v>20195</v>
      </c>
      <c r="K354" s="6">
        <f t="shared" ca="1" si="94"/>
        <v>2019</v>
      </c>
      <c r="L354" s="6">
        <f t="shared" ca="1" si="95"/>
        <v>5</v>
      </c>
      <c r="M354" s="68">
        <f ca="1">IFERROR(__xludf.DUMMYFUNCTION("""COMPUTED_VALUE"""),43605.6666666666)</f>
        <v>43605.666666666599</v>
      </c>
      <c r="N354" s="6">
        <f ca="1">IFERROR(__xludf.DUMMYFUNCTION("""COMPUTED_VALUE"""),7702.38)</f>
        <v>7702.38</v>
      </c>
      <c r="R354" s="6" t="str">
        <f t="shared" ca="1" si="96"/>
        <v>20196</v>
      </c>
      <c r="S354" s="6">
        <f t="shared" ca="1" si="97"/>
        <v>2019</v>
      </c>
      <c r="T354" s="6">
        <f t="shared" ca="1" si="98"/>
        <v>6</v>
      </c>
      <c r="U354" s="68">
        <f ca="1">IFERROR(__xludf.DUMMYFUNCTION("""COMPUTED_VALUE"""),43629.6458333333)</f>
        <v>43629.645833333299</v>
      </c>
      <c r="V354" s="6">
        <f ca="1">IFERROR(__xludf.DUMMYFUNCTION("""COMPUTED_VALUE"""),2103.15)</f>
        <v>2103.15</v>
      </c>
      <c r="Z354" s="6" t="str">
        <f t="shared" ca="1" si="99"/>
        <v>20191</v>
      </c>
      <c r="AA354" s="6">
        <f t="shared" ca="1" si="100"/>
        <v>2019</v>
      </c>
      <c r="AB354" s="6">
        <f t="shared" ca="1" si="101"/>
        <v>1</v>
      </c>
      <c r="AC354" s="68">
        <f ca="1">IFERROR(__xludf.DUMMYFUNCTION("""COMPUTED_VALUE"""),43466.9986111111)</f>
        <v>43466.998611111099</v>
      </c>
      <c r="AD354" s="6">
        <f ca="1">IFERROR(__xludf.DUMMYFUNCTION("""COMPUTED_VALUE"""),1113.8)</f>
        <v>1113.8</v>
      </c>
      <c r="AH354" s="6" t="str">
        <f t="shared" ca="1" si="102"/>
        <v>201812</v>
      </c>
      <c r="AI354" s="6">
        <f t="shared" ca="1" si="103"/>
        <v>2018</v>
      </c>
      <c r="AJ354" s="6">
        <f t="shared" ca="1" si="104"/>
        <v>12</v>
      </c>
      <c r="AK354" s="68">
        <f ca="1">IFERROR(__xludf.DUMMYFUNCTION("""COMPUTED_VALUE"""),43446.9986111111)</f>
        <v>43446.998611111099</v>
      </c>
      <c r="AL354" s="6">
        <f ca="1">IFERROR(__xludf.DUMMYFUNCTION("""COMPUTED_VALUE"""),3472.654)</f>
        <v>3472.654</v>
      </c>
      <c r="AP354" s="6" t="str">
        <f t="shared" ca="1" si="105"/>
        <v>20195</v>
      </c>
      <c r="AQ354" s="6">
        <f t="shared" ca="1" si="106"/>
        <v>2019</v>
      </c>
      <c r="AR354" s="6">
        <f t="shared" ca="1" si="107"/>
        <v>5</v>
      </c>
      <c r="AS354" s="68">
        <f ca="1">IFERROR(__xludf.DUMMYFUNCTION("""COMPUTED_VALUE"""),43614.9986111111)</f>
        <v>43614.998611111099</v>
      </c>
      <c r="AT354" s="6">
        <f ca="1">IFERROR(__xludf.DUMMYFUNCTION("""COMPUTED_VALUE"""),1286.3)</f>
        <v>1286.3</v>
      </c>
    </row>
    <row r="355" spans="2:46" x14ac:dyDescent="0.35">
      <c r="B355" s="6" t="str">
        <f t="shared" ca="1" si="90"/>
        <v>20195</v>
      </c>
      <c r="C355" s="6">
        <f t="shared" ca="1" si="91"/>
        <v>2019</v>
      </c>
      <c r="D355" s="6">
        <f t="shared" ca="1" si="92"/>
        <v>5</v>
      </c>
      <c r="E355" s="68">
        <f ca="1">IFERROR(__xludf.DUMMYFUNCTION("""COMPUTED_VALUE"""),43606.6666666666)</f>
        <v>43606.666666666599</v>
      </c>
      <c r="F355" s="6">
        <f ca="1">IFERROR(__xludf.DUMMYFUNCTION("""COMPUTED_VALUE"""),2864.36)</f>
        <v>2864.36</v>
      </c>
      <c r="J355" s="6" t="str">
        <f t="shared" ca="1" si="93"/>
        <v>20195</v>
      </c>
      <c r="K355" s="6">
        <f t="shared" ca="1" si="94"/>
        <v>2019</v>
      </c>
      <c r="L355" s="6">
        <f t="shared" ca="1" si="95"/>
        <v>5</v>
      </c>
      <c r="M355" s="68">
        <f ca="1">IFERROR(__xludf.DUMMYFUNCTION("""COMPUTED_VALUE"""),43606.6666666666)</f>
        <v>43606.666666666599</v>
      </c>
      <c r="N355" s="6">
        <f ca="1">IFERROR(__xludf.DUMMYFUNCTION("""COMPUTED_VALUE"""),7785.72)</f>
        <v>7785.72</v>
      </c>
      <c r="R355" s="6" t="str">
        <f t="shared" ca="1" si="96"/>
        <v>20196</v>
      </c>
      <c r="S355" s="6">
        <f t="shared" ca="1" si="97"/>
        <v>2019</v>
      </c>
      <c r="T355" s="6">
        <f t="shared" ca="1" si="98"/>
        <v>6</v>
      </c>
      <c r="U355" s="68">
        <f ca="1">IFERROR(__xludf.DUMMYFUNCTION("""COMPUTED_VALUE"""),43630.6458333333)</f>
        <v>43630.645833333299</v>
      </c>
      <c r="V355" s="6">
        <f ca="1">IFERROR(__xludf.DUMMYFUNCTION("""COMPUTED_VALUE"""),2095.41)</f>
        <v>2095.41</v>
      </c>
      <c r="Z355" s="6" t="str">
        <f t="shared" ca="1" si="99"/>
        <v>20191</v>
      </c>
      <c r="AA355" s="6">
        <f t="shared" ca="1" si="100"/>
        <v>2019</v>
      </c>
      <c r="AB355" s="6">
        <f t="shared" ca="1" si="101"/>
        <v>1</v>
      </c>
      <c r="AC355" s="68">
        <f ca="1">IFERROR(__xludf.DUMMYFUNCTION("""COMPUTED_VALUE"""),43467.9986111111)</f>
        <v>43467.998611111099</v>
      </c>
      <c r="AD355" s="6">
        <f ca="1">IFERROR(__xludf.DUMMYFUNCTION("""COMPUTED_VALUE"""),1122.18)</f>
        <v>1122.18</v>
      </c>
      <c r="AH355" s="6" t="str">
        <f t="shared" ca="1" si="102"/>
        <v>201812</v>
      </c>
      <c r="AI355" s="6">
        <f t="shared" ca="1" si="103"/>
        <v>2018</v>
      </c>
      <c r="AJ355" s="6">
        <f t="shared" ca="1" si="104"/>
        <v>12</v>
      </c>
      <c r="AK355" s="68">
        <f ca="1">IFERROR(__xludf.DUMMYFUNCTION("""COMPUTED_VALUE"""),43447.9986111111)</f>
        <v>43447.998611111099</v>
      </c>
      <c r="AL355" s="6">
        <f ca="1">IFERROR(__xludf.DUMMYFUNCTION("""COMPUTED_VALUE"""),3313.618)</f>
        <v>3313.6179999999999</v>
      </c>
      <c r="AP355" s="6" t="str">
        <f t="shared" ca="1" si="105"/>
        <v>20195</v>
      </c>
      <c r="AQ355" s="6">
        <f t="shared" ca="1" si="106"/>
        <v>2019</v>
      </c>
      <c r="AR355" s="6">
        <f t="shared" ca="1" si="107"/>
        <v>5</v>
      </c>
      <c r="AS355" s="68">
        <f ca="1">IFERROR(__xludf.DUMMYFUNCTION("""COMPUTED_VALUE"""),43615.9986111111)</f>
        <v>43615.998611111099</v>
      </c>
      <c r="AT355" s="6">
        <f ca="1">IFERROR(__xludf.DUMMYFUNCTION("""COMPUTED_VALUE"""),1292.4)</f>
        <v>1292.4000000000001</v>
      </c>
    </row>
    <row r="356" spans="2:46" x14ac:dyDescent="0.35">
      <c r="B356" s="6" t="str">
        <f t="shared" ca="1" si="90"/>
        <v>20195</v>
      </c>
      <c r="C356" s="6">
        <f t="shared" ca="1" si="91"/>
        <v>2019</v>
      </c>
      <c r="D356" s="6">
        <f t="shared" ca="1" si="92"/>
        <v>5</v>
      </c>
      <c r="E356" s="68">
        <f ca="1">IFERROR(__xludf.DUMMYFUNCTION("""COMPUTED_VALUE"""),43607.6666666666)</f>
        <v>43607.666666666599</v>
      </c>
      <c r="F356" s="6">
        <f ca="1">IFERROR(__xludf.DUMMYFUNCTION("""COMPUTED_VALUE"""),2856.27)</f>
        <v>2856.27</v>
      </c>
      <c r="J356" s="6" t="str">
        <f t="shared" ca="1" si="93"/>
        <v>20195</v>
      </c>
      <c r="K356" s="6">
        <f t="shared" ca="1" si="94"/>
        <v>2019</v>
      </c>
      <c r="L356" s="6">
        <f t="shared" ca="1" si="95"/>
        <v>5</v>
      </c>
      <c r="M356" s="68">
        <f ca="1">IFERROR(__xludf.DUMMYFUNCTION("""COMPUTED_VALUE"""),43607.6666666666)</f>
        <v>43607.666666666599</v>
      </c>
      <c r="N356" s="6">
        <f ca="1">IFERROR(__xludf.DUMMYFUNCTION("""COMPUTED_VALUE"""),7750.84)</f>
        <v>7750.84</v>
      </c>
      <c r="R356" s="6" t="str">
        <f t="shared" ca="1" si="96"/>
        <v>20196</v>
      </c>
      <c r="S356" s="6">
        <f t="shared" ca="1" si="97"/>
        <v>2019</v>
      </c>
      <c r="T356" s="6">
        <f t="shared" ca="1" si="98"/>
        <v>6</v>
      </c>
      <c r="U356" s="68">
        <f ca="1">IFERROR(__xludf.DUMMYFUNCTION("""COMPUTED_VALUE"""),43633.6458333333)</f>
        <v>43633.645833333299</v>
      </c>
      <c r="V356" s="6">
        <f ca="1">IFERROR(__xludf.DUMMYFUNCTION("""COMPUTED_VALUE"""),2090.73)</f>
        <v>2090.73</v>
      </c>
      <c r="Z356" s="6" t="str">
        <f t="shared" ca="1" si="99"/>
        <v>20191</v>
      </c>
      <c r="AA356" s="6">
        <f t="shared" ca="1" si="100"/>
        <v>2019</v>
      </c>
      <c r="AB356" s="6">
        <f t="shared" ca="1" si="101"/>
        <v>1</v>
      </c>
      <c r="AC356" s="68">
        <f ca="1">IFERROR(__xludf.DUMMYFUNCTION("""COMPUTED_VALUE"""),43468.9986111111)</f>
        <v>43468.998611111099</v>
      </c>
      <c r="AD356" s="6">
        <f ca="1">IFERROR(__xludf.DUMMYFUNCTION("""COMPUTED_VALUE"""),1124.12)</f>
        <v>1124.1199999999999</v>
      </c>
      <c r="AH356" s="6" t="str">
        <f t="shared" ca="1" si="102"/>
        <v>201812</v>
      </c>
      <c r="AI356" s="6">
        <f t="shared" ca="1" si="103"/>
        <v>2018</v>
      </c>
      <c r="AJ356" s="6">
        <f t="shared" ca="1" si="104"/>
        <v>12</v>
      </c>
      <c r="AK356" s="68">
        <f ca="1">IFERROR(__xludf.DUMMYFUNCTION("""COMPUTED_VALUE"""),43448.9986111111)</f>
        <v>43448.998611111099</v>
      </c>
      <c r="AL356" s="6">
        <f ca="1">IFERROR(__xludf.DUMMYFUNCTION("""COMPUTED_VALUE"""),3253.172)</f>
        <v>3253.172</v>
      </c>
      <c r="AP356" s="6" t="str">
        <f t="shared" ca="1" si="105"/>
        <v>20195</v>
      </c>
      <c r="AQ356" s="6">
        <f t="shared" ca="1" si="106"/>
        <v>2019</v>
      </c>
      <c r="AR356" s="6">
        <f t="shared" ca="1" si="107"/>
        <v>5</v>
      </c>
      <c r="AS356" s="68">
        <f ca="1">IFERROR(__xludf.DUMMYFUNCTION("""COMPUTED_VALUE"""),43616.9986111111)</f>
        <v>43616.998611111099</v>
      </c>
      <c r="AT356" s="6">
        <f ca="1">IFERROR(__xludf.DUMMYFUNCTION("""COMPUTED_VALUE"""),1311.1)</f>
        <v>1311.1</v>
      </c>
    </row>
    <row r="357" spans="2:46" x14ac:dyDescent="0.35">
      <c r="B357" s="6" t="str">
        <f t="shared" ca="1" si="90"/>
        <v>20195</v>
      </c>
      <c r="C357" s="6">
        <f t="shared" ca="1" si="91"/>
        <v>2019</v>
      </c>
      <c r="D357" s="6">
        <f t="shared" ca="1" si="92"/>
        <v>5</v>
      </c>
      <c r="E357" s="68">
        <f ca="1">IFERROR(__xludf.DUMMYFUNCTION("""COMPUTED_VALUE"""),43608.6666666666)</f>
        <v>43608.666666666599</v>
      </c>
      <c r="F357" s="6">
        <f ca="1">IFERROR(__xludf.DUMMYFUNCTION("""COMPUTED_VALUE"""),2822.24)</f>
        <v>2822.24</v>
      </c>
      <c r="J357" s="6" t="str">
        <f t="shared" ca="1" si="93"/>
        <v>20195</v>
      </c>
      <c r="K357" s="6">
        <f t="shared" ca="1" si="94"/>
        <v>2019</v>
      </c>
      <c r="L357" s="6">
        <f t="shared" ca="1" si="95"/>
        <v>5</v>
      </c>
      <c r="M357" s="68">
        <f ca="1">IFERROR(__xludf.DUMMYFUNCTION("""COMPUTED_VALUE"""),43608.6666666666)</f>
        <v>43608.666666666599</v>
      </c>
      <c r="N357" s="6">
        <f ca="1">IFERROR(__xludf.DUMMYFUNCTION("""COMPUTED_VALUE"""),7628.28)</f>
        <v>7628.28</v>
      </c>
      <c r="R357" s="6" t="str">
        <f t="shared" ca="1" si="96"/>
        <v>20196</v>
      </c>
      <c r="S357" s="6">
        <f t="shared" ca="1" si="97"/>
        <v>2019</v>
      </c>
      <c r="T357" s="6">
        <f t="shared" ca="1" si="98"/>
        <v>6</v>
      </c>
      <c r="U357" s="68">
        <f ca="1">IFERROR(__xludf.DUMMYFUNCTION("""COMPUTED_VALUE"""),43634.6458333333)</f>
        <v>43634.645833333299</v>
      </c>
      <c r="V357" s="6">
        <f ca="1">IFERROR(__xludf.DUMMYFUNCTION("""COMPUTED_VALUE"""),2098.71)</f>
        <v>2098.71</v>
      </c>
      <c r="Z357" s="6" t="str">
        <f t="shared" ca="1" si="99"/>
        <v>20191</v>
      </c>
      <c r="AA357" s="6">
        <f t="shared" ca="1" si="100"/>
        <v>2019</v>
      </c>
      <c r="AB357" s="6">
        <f t="shared" ca="1" si="101"/>
        <v>1</v>
      </c>
      <c r="AC357" s="68">
        <f ca="1">IFERROR(__xludf.DUMMYFUNCTION("""COMPUTED_VALUE"""),43469.9986111111)</f>
        <v>43469.998611111099</v>
      </c>
      <c r="AD357" s="6">
        <f ca="1">IFERROR(__xludf.DUMMYFUNCTION("""COMPUTED_VALUE"""),1116.42)</f>
        <v>1116.42</v>
      </c>
      <c r="AH357" s="6" t="str">
        <f t="shared" ca="1" si="102"/>
        <v>201812</v>
      </c>
      <c r="AI357" s="6">
        <f t="shared" ca="1" si="103"/>
        <v>2018</v>
      </c>
      <c r="AJ357" s="6">
        <f t="shared" ca="1" si="104"/>
        <v>12</v>
      </c>
      <c r="AK357" s="68">
        <f ca="1">IFERROR(__xludf.DUMMYFUNCTION("""COMPUTED_VALUE"""),43449.9986111111)</f>
        <v>43449.998611111099</v>
      </c>
      <c r="AL357" s="6">
        <f ca="1">IFERROR(__xludf.DUMMYFUNCTION("""COMPUTED_VALUE"""),3223.352)</f>
        <v>3223.3519999999999</v>
      </c>
      <c r="AP357" s="6" t="str">
        <f t="shared" ca="1" si="105"/>
        <v>20196</v>
      </c>
      <c r="AQ357" s="6">
        <f t="shared" ca="1" si="106"/>
        <v>2019</v>
      </c>
      <c r="AR357" s="6">
        <f t="shared" ca="1" si="107"/>
        <v>6</v>
      </c>
      <c r="AS357" s="68">
        <f ca="1">IFERROR(__xludf.DUMMYFUNCTION("""COMPUTED_VALUE"""),43619.9986111111)</f>
        <v>43619.998611111099</v>
      </c>
      <c r="AT357" s="6">
        <f ca="1">IFERROR(__xludf.DUMMYFUNCTION("""COMPUTED_VALUE"""),1327.9)</f>
        <v>1327.9</v>
      </c>
    </row>
    <row r="358" spans="2:46" x14ac:dyDescent="0.35">
      <c r="B358" s="6" t="str">
        <f t="shared" ca="1" si="90"/>
        <v>20195</v>
      </c>
      <c r="C358" s="6">
        <f t="shared" ca="1" si="91"/>
        <v>2019</v>
      </c>
      <c r="D358" s="6">
        <f t="shared" ca="1" si="92"/>
        <v>5</v>
      </c>
      <c r="E358" s="68">
        <f ca="1">IFERROR(__xludf.DUMMYFUNCTION("""COMPUTED_VALUE"""),43609.6666666666)</f>
        <v>43609.666666666599</v>
      </c>
      <c r="F358" s="6">
        <f ca="1">IFERROR(__xludf.DUMMYFUNCTION("""COMPUTED_VALUE"""),2826.06)</f>
        <v>2826.06</v>
      </c>
      <c r="J358" s="6" t="str">
        <f t="shared" ca="1" si="93"/>
        <v>20195</v>
      </c>
      <c r="K358" s="6">
        <f t="shared" ca="1" si="94"/>
        <v>2019</v>
      </c>
      <c r="L358" s="6">
        <f t="shared" ca="1" si="95"/>
        <v>5</v>
      </c>
      <c r="M358" s="68">
        <f ca="1">IFERROR(__xludf.DUMMYFUNCTION("""COMPUTED_VALUE"""),43609.6666666666)</f>
        <v>43609.666666666599</v>
      </c>
      <c r="N358" s="6">
        <f ca="1">IFERROR(__xludf.DUMMYFUNCTION("""COMPUTED_VALUE"""),7637.01)</f>
        <v>7637.01</v>
      </c>
      <c r="R358" s="6" t="str">
        <f t="shared" ca="1" si="96"/>
        <v>20196</v>
      </c>
      <c r="S358" s="6">
        <f t="shared" ca="1" si="97"/>
        <v>2019</v>
      </c>
      <c r="T358" s="6">
        <f t="shared" ca="1" si="98"/>
        <v>6</v>
      </c>
      <c r="U358" s="68">
        <f ca="1">IFERROR(__xludf.DUMMYFUNCTION("""COMPUTED_VALUE"""),43635.6458333333)</f>
        <v>43635.645833333299</v>
      </c>
      <c r="V358" s="6">
        <f ca="1">IFERROR(__xludf.DUMMYFUNCTION("""COMPUTED_VALUE"""),2124.78)</f>
        <v>2124.7800000000002</v>
      </c>
      <c r="Z358" s="6" t="str">
        <f t="shared" ca="1" si="99"/>
        <v>20191</v>
      </c>
      <c r="AA358" s="6">
        <f t="shared" ca="1" si="100"/>
        <v>2019</v>
      </c>
      <c r="AB358" s="6">
        <f t="shared" ca="1" si="101"/>
        <v>1</v>
      </c>
      <c r="AC358" s="68">
        <f ca="1">IFERROR(__xludf.DUMMYFUNCTION("""COMPUTED_VALUE"""),43470.9986111111)</f>
        <v>43470.998611111099</v>
      </c>
      <c r="AD358" s="6">
        <f ca="1">IFERROR(__xludf.DUMMYFUNCTION("""COMPUTED_VALUE"""),1115.85)</f>
        <v>1115.8499999999999</v>
      </c>
      <c r="AH358" s="6" t="str">
        <f t="shared" ca="1" si="102"/>
        <v>201812</v>
      </c>
      <c r="AI358" s="6">
        <f t="shared" ca="1" si="103"/>
        <v>2018</v>
      </c>
      <c r="AJ358" s="6">
        <f t="shared" ca="1" si="104"/>
        <v>12</v>
      </c>
      <c r="AK358" s="68">
        <f ca="1">IFERROR(__xludf.DUMMYFUNCTION("""COMPUTED_VALUE"""),43450.9986111111)</f>
        <v>43450.998611111099</v>
      </c>
      <c r="AL358" s="6">
        <f ca="1">IFERROR(__xludf.DUMMYFUNCTION("""COMPUTED_VALUE"""),3225.617)</f>
        <v>3225.6170000000002</v>
      </c>
      <c r="AP358" s="6" t="str">
        <f t="shared" ca="1" si="105"/>
        <v>20196</v>
      </c>
      <c r="AQ358" s="6">
        <f t="shared" ca="1" si="106"/>
        <v>2019</v>
      </c>
      <c r="AR358" s="6">
        <f t="shared" ca="1" si="107"/>
        <v>6</v>
      </c>
      <c r="AS358" s="68">
        <f ca="1">IFERROR(__xludf.DUMMYFUNCTION("""COMPUTED_VALUE"""),43620.9986111111)</f>
        <v>43620.998611111099</v>
      </c>
      <c r="AT358" s="6">
        <f ca="1">IFERROR(__xludf.DUMMYFUNCTION("""COMPUTED_VALUE"""),1328.7)</f>
        <v>1328.7</v>
      </c>
    </row>
    <row r="359" spans="2:46" x14ac:dyDescent="0.35">
      <c r="B359" s="6" t="str">
        <f t="shared" ca="1" si="90"/>
        <v>20195</v>
      </c>
      <c r="C359" s="6">
        <f t="shared" ca="1" si="91"/>
        <v>2019</v>
      </c>
      <c r="D359" s="6">
        <f t="shared" ca="1" si="92"/>
        <v>5</v>
      </c>
      <c r="E359" s="68">
        <f ca="1">IFERROR(__xludf.DUMMYFUNCTION("""COMPUTED_VALUE"""),43613.6666666666)</f>
        <v>43613.666666666599</v>
      </c>
      <c r="F359" s="6">
        <f ca="1">IFERROR(__xludf.DUMMYFUNCTION("""COMPUTED_VALUE"""),2802.39)</f>
        <v>2802.39</v>
      </c>
      <c r="J359" s="6" t="str">
        <f t="shared" ca="1" si="93"/>
        <v>20195</v>
      </c>
      <c r="K359" s="6">
        <f t="shared" ca="1" si="94"/>
        <v>2019</v>
      </c>
      <c r="L359" s="6">
        <f t="shared" ca="1" si="95"/>
        <v>5</v>
      </c>
      <c r="M359" s="68">
        <f ca="1">IFERROR(__xludf.DUMMYFUNCTION("""COMPUTED_VALUE"""),43613.6666666666)</f>
        <v>43613.666666666599</v>
      </c>
      <c r="N359" s="6">
        <f ca="1">IFERROR(__xludf.DUMMYFUNCTION("""COMPUTED_VALUE"""),7607.35)</f>
        <v>7607.35</v>
      </c>
      <c r="R359" s="6" t="str">
        <f t="shared" ca="1" si="96"/>
        <v>20196</v>
      </c>
      <c r="S359" s="6">
        <f t="shared" ca="1" si="97"/>
        <v>2019</v>
      </c>
      <c r="T359" s="6">
        <f t="shared" ca="1" si="98"/>
        <v>6</v>
      </c>
      <c r="U359" s="68">
        <f ca="1">IFERROR(__xludf.DUMMYFUNCTION("""COMPUTED_VALUE"""),43636.6458333333)</f>
        <v>43636.645833333299</v>
      </c>
      <c r="V359" s="6">
        <f ca="1">IFERROR(__xludf.DUMMYFUNCTION("""COMPUTED_VALUE"""),2131.29)</f>
        <v>2131.29</v>
      </c>
      <c r="Z359" s="6" t="str">
        <f t="shared" ca="1" si="99"/>
        <v>20191</v>
      </c>
      <c r="AA359" s="6">
        <f t="shared" ca="1" si="100"/>
        <v>2019</v>
      </c>
      <c r="AB359" s="6">
        <f t="shared" ca="1" si="101"/>
        <v>1</v>
      </c>
      <c r="AC359" s="68">
        <f ca="1">IFERROR(__xludf.DUMMYFUNCTION("""COMPUTED_VALUE"""),43471.9986111111)</f>
        <v>43471.998611111099</v>
      </c>
      <c r="AD359" s="6">
        <f ca="1">IFERROR(__xludf.DUMMYFUNCTION("""COMPUTED_VALUE"""),1114.4)</f>
        <v>1114.4000000000001</v>
      </c>
      <c r="AH359" s="6" t="str">
        <f t="shared" ca="1" si="102"/>
        <v>201812</v>
      </c>
      <c r="AI359" s="6">
        <f t="shared" ca="1" si="103"/>
        <v>2018</v>
      </c>
      <c r="AJ359" s="6">
        <f t="shared" ca="1" si="104"/>
        <v>12</v>
      </c>
      <c r="AK359" s="68">
        <f ca="1">IFERROR(__xludf.DUMMYFUNCTION("""COMPUTED_VALUE"""),43451.9986111111)</f>
        <v>43451.998611111099</v>
      </c>
      <c r="AL359" s="6">
        <f ca="1">IFERROR(__xludf.DUMMYFUNCTION("""COMPUTED_VALUE"""),3534.36)</f>
        <v>3534.36</v>
      </c>
      <c r="AP359" s="6" t="str">
        <f t="shared" ca="1" si="105"/>
        <v>20196</v>
      </c>
      <c r="AQ359" s="6">
        <f t="shared" ca="1" si="106"/>
        <v>2019</v>
      </c>
      <c r="AR359" s="6">
        <f t="shared" ca="1" si="107"/>
        <v>6</v>
      </c>
      <c r="AS359" s="68">
        <f ca="1">IFERROR(__xludf.DUMMYFUNCTION("""COMPUTED_VALUE"""),43621.9986111111)</f>
        <v>43621.998611111099</v>
      </c>
      <c r="AT359" s="6">
        <f ca="1">IFERROR(__xludf.DUMMYFUNCTION("""COMPUTED_VALUE"""),1333.6)</f>
        <v>1333.6</v>
      </c>
    </row>
    <row r="360" spans="2:46" x14ac:dyDescent="0.35">
      <c r="B360" s="6" t="str">
        <f t="shared" ca="1" si="90"/>
        <v>20195</v>
      </c>
      <c r="C360" s="6">
        <f t="shared" ca="1" si="91"/>
        <v>2019</v>
      </c>
      <c r="D360" s="6">
        <f t="shared" ca="1" si="92"/>
        <v>5</v>
      </c>
      <c r="E360" s="68">
        <f ca="1">IFERROR(__xludf.DUMMYFUNCTION("""COMPUTED_VALUE"""),43614.6666666666)</f>
        <v>43614.666666666599</v>
      </c>
      <c r="F360" s="6">
        <f ca="1">IFERROR(__xludf.DUMMYFUNCTION("""COMPUTED_VALUE"""),2783.02)</f>
        <v>2783.02</v>
      </c>
      <c r="J360" s="6" t="str">
        <f t="shared" ca="1" si="93"/>
        <v>20195</v>
      </c>
      <c r="K360" s="6">
        <f t="shared" ca="1" si="94"/>
        <v>2019</v>
      </c>
      <c r="L360" s="6">
        <f t="shared" ca="1" si="95"/>
        <v>5</v>
      </c>
      <c r="M360" s="68">
        <f ca="1">IFERROR(__xludf.DUMMYFUNCTION("""COMPUTED_VALUE"""),43614.6666666666)</f>
        <v>43614.666666666599</v>
      </c>
      <c r="N360" s="6">
        <f ca="1">IFERROR(__xludf.DUMMYFUNCTION("""COMPUTED_VALUE"""),7547.31)</f>
        <v>7547.31</v>
      </c>
      <c r="R360" s="6" t="str">
        <f t="shared" ca="1" si="96"/>
        <v>20196</v>
      </c>
      <c r="S360" s="6">
        <f t="shared" ca="1" si="97"/>
        <v>2019</v>
      </c>
      <c r="T360" s="6">
        <f t="shared" ca="1" si="98"/>
        <v>6</v>
      </c>
      <c r="U360" s="68">
        <f ca="1">IFERROR(__xludf.DUMMYFUNCTION("""COMPUTED_VALUE"""),43637.6458333333)</f>
        <v>43637.645833333299</v>
      </c>
      <c r="V360" s="6">
        <f ca="1">IFERROR(__xludf.DUMMYFUNCTION("""COMPUTED_VALUE"""),2125.62)</f>
        <v>2125.62</v>
      </c>
      <c r="Z360" s="6" t="str">
        <f t="shared" ca="1" si="99"/>
        <v>20191</v>
      </c>
      <c r="AA360" s="6">
        <f t="shared" ca="1" si="100"/>
        <v>2019</v>
      </c>
      <c r="AB360" s="6">
        <f t="shared" ca="1" si="101"/>
        <v>1</v>
      </c>
      <c r="AC360" s="68">
        <f ca="1">IFERROR(__xludf.DUMMYFUNCTION("""COMPUTED_VALUE"""),43472.9986111111)</f>
        <v>43472.998611111099</v>
      </c>
      <c r="AD360" s="6">
        <f ca="1">IFERROR(__xludf.DUMMYFUNCTION("""COMPUTED_VALUE"""),1116.4)</f>
        <v>1116.4000000000001</v>
      </c>
      <c r="AH360" s="6" t="str">
        <f t="shared" ca="1" si="102"/>
        <v>201812</v>
      </c>
      <c r="AI360" s="6">
        <f t="shared" ca="1" si="103"/>
        <v>2018</v>
      </c>
      <c r="AJ360" s="6">
        <f t="shared" ca="1" si="104"/>
        <v>12</v>
      </c>
      <c r="AK360" s="68">
        <f ca="1">IFERROR(__xludf.DUMMYFUNCTION("""COMPUTED_VALUE"""),43452.9986111111)</f>
        <v>43452.998611111099</v>
      </c>
      <c r="AL360" s="6">
        <f ca="1">IFERROR(__xludf.DUMMYFUNCTION("""COMPUTED_VALUE"""),3690.134)</f>
        <v>3690.134</v>
      </c>
      <c r="AP360" s="6" t="str">
        <f t="shared" ca="1" si="105"/>
        <v>20196</v>
      </c>
      <c r="AQ360" s="6">
        <f t="shared" ca="1" si="106"/>
        <v>2019</v>
      </c>
      <c r="AR360" s="6">
        <f t="shared" ca="1" si="107"/>
        <v>6</v>
      </c>
      <c r="AS360" s="68">
        <f ca="1">IFERROR(__xludf.DUMMYFUNCTION("""COMPUTED_VALUE"""),43622.9986111111)</f>
        <v>43622.998611111099</v>
      </c>
      <c r="AT360" s="6">
        <f ca="1">IFERROR(__xludf.DUMMYFUNCTION("""COMPUTED_VALUE"""),1342.7)</f>
        <v>1342.7</v>
      </c>
    </row>
    <row r="361" spans="2:46" x14ac:dyDescent="0.35">
      <c r="B361" s="6" t="str">
        <f t="shared" ca="1" si="90"/>
        <v>20195</v>
      </c>
      <c r="C361" s="6">
        <f t="shared" ca="1" si="91"/>
        <v>2019</v>
      </c>
      <c r="D361" s="6">
        <f t="shared" ca="1" si="92"/>
        <v>5</v>
      </c>
      <c r="E361" s="68">
        <f ca="1">IFERROR(__xludf.DUMMYFUNCTION("""COMPUTED_VALUE"""),43615.6666666666)</f>
        <v>43615.666666666599</v>
      </c>
      <c r="F361" s="6">
        <f ca="1">IFERROR(__xludf.DUMMYFUNCTION("""COMPUTED_VALUE"""),2788.86)</f>
        <v>2788.86</v>
      </c>
      <c r="J361" s="6" t="str">
        <f t="shared" ca="1" si="93"/>
        <v>20195</v>
      </c>
      <c r="K361" s="6">
        <f t="shared" ca="1" si="94"/>
        <v>2019</v>
      </c>
      <c r="L361" s="6">
        <f t="shared" ca="1" si="95"/>
        <v>5</v>
      </c>
      <c r="M361" s="68">
        <f ca="1">IFERROR(__xludf.DUMMYFUNCTION("""COMPUTED_VALUE"""),43615.6666666666)</f>
        <v>43615.666666666599</v>
      </c>
      <c r="N361" s="6">
        <f ca="1">IFERROR(__xludf.DUMMYFUNCTION("""COMPUTED_VALUE"""),7567.72)</f>
        <v>7567.72</v>
      </c>
      <c r="R361" s="6" t="str">
        <f t="shared" ca="1" si="96"/>
        <v>20196</v>
      </c>
      <c r="S361" s="6">
        <f t="shared" ca="1" si="97"/>
        <v>2019</v>
      </c>
      <c r="T361" s="6">
        <f t="shared" ca="1" si="98"/>
        <v>6</v>
      </c>
      <c r="U361" s="68">
        <f ca="1">IFERROR(__xludf.DUMMYFUNCTION("""COMPUTED_VALUE"""),43640.6458333333)</f>
        <v>43640.645833333299</v>
      </c>
      <c r="V361" s="6">
        <f ca="1">IFERROR(__xludf.DUMMYFUNCTION("""COMPUTED_VALUE"""),2126.33)</f>
        <v>2126.33</v>
      </c>
      <c r="Z361" s="6" t="str">
        <f t="shared" ca="1" si="99"/>
        <v>20191</v>
      </c>
      <c r="AA361" s="6">
        <f t="shared" ca="1" si="100"/>
        <v>2019</v>
      </c>
      <c r="AB361" s="6">
        <f t="shared" ca="1" si="101"/>
        <v>1</v>
      </c>
      <c r="AC361" s="68">
        <f ca="1">IFERROR(__xludf.DUMMYFUNCTION("""COMPUTED_VALUE"""),43473.9986111111)</f>
        <v>43473.998611111099</v>
      </c>
      <c r="AD361" s="6">
        <f ca="1">IFERROR(__xludf.DUMMYFUNCTION("""COMPUTED_VALUE"""),1121.05)</f>
        <v>1121.05</v>
      </c>
      <c r="AH361" s="6" t="str">
        <f t="shared" ca="1" si="102"/>
        <v>201812</v>
      </c>
      <c r="AI361" s="6">
        <f t="shared" ca="1" si="103"/>
        <v>2018</v>
      </c>
      <c r="AJ361" s="6">
        <f t="shared" ca="1" si="104"/>
        <v>12</v>
      </c>
      <c r="AK361" s="68">
        <f ca="1">IFERROR(__xludf.DUMMYFUNCTION("""COMPUTED_VALUE"""),43453.9986111111)</f>
        <v>43453.998611111099</v>
      </c>
      <c r="AL361" s="6">
        <f ca="1">IFERROR(__xludf.DUMMYFUNCTION("""COMPUTED_VALUE"""),3723.869)</f>
        <v>3723.8690000000001</v>
      </c>
      <c r="AP361" s="6" t="str">
        <f t="shared" ca="1" si="105"/>
        <v>20196</v>
      </c>
      <c r="AQ361" s="6">
        <f t="shared" ca="1" si="106"/>
        <v>2019</v>
      </c>
      <c r="AR361" s="6">
        <f t="shared" ca="1" si="107"/>
        <v>6</v>
      </c>
      <c r="AS361" s="68">
        <f ca="1">IFERROR(__xludf.DUMMYFUNCTION("""COMPUTED_VALUE"""),43623.9986111111)</f>
        <v>43623.998611111099</v>
      </c>
      <c r="AT361" s="6">
        <f ca="1">IFERROR(__xludf.DUMMYFUNCTION("""COMPUTED_VALUE"""),1346.1)</f>
        <v>1346.1</v>
      </c>
    </row>
    <row r="362" spans="2:46" x14ac:dyDescent="0.35">
      <c r="B362" s="6" t="str">
        <f t="shared" ca="1" si="90"/>
        <v>20195</v>
      </c>
      <c r="C362" s="6">
        <f t="shared" ca="1" si="91"/>
        <v>2019</v>
      </c>
      <c r="D362" s="6">
        <f t="shared" ca="1" si="92"/>
        <v>5</v>
      </c>
      <c r="E362" s="68">
        <f ca="1">IFERROR(__xludf.DUMMYFUNCTION("""COMPUTED_VALUE"""),43616.6666666666)</f>
        <v>43616.666666666599</v>
      </c>
      <c r="F362" s="6">
        <f ca="1">IFERROR(__xludf.DUMMYFUNCTION("""COMPUTED_VALUE"""),2752.06)</f>
        <v>2752.06</v>
      </c>
      <c r="J362" s="6" t="str">
        <f t="shared" ca="1" si="93"/>
        <v>20195</v>
      </c>
      <c r="K362" s="6">
        <f t="shared" ca="1" si="94"/>
        <v>2019</v>
      </c>
      <c r="L362" s="6">
        <f t="shared" ca="1" si="95"/>
        <v>5</v>
      </c>
      <c r="M362" s="68">
        <f ca="1">IFERROR(__xludf.DUMMYFUNCTION("""COMPUTED_VALUE"""),43616.6666666666)</f>
        <v>43616.666666666599</v>
      </c>
      <c r="N362" s="6">
        <f ca="1">IFERROR(__xludf.DUMMYFUNCTION("""COMPUTED_VALUE"""),7453.15)</f>
        <v>7453.15</v>
      </c>
      <c r="R362" s="6" t="str">
        <f t="shared" ca="1" si="96"/>
        <v>20196</v>
      </c>
      <c r="S362" s="6">
        <f t="shared" ca="1" si="97"/>
        <v>2019</v>
      </c>
      <c r="T362" s="6">
        <f t="shared" ca="1" si="98"/>
        <v>6</v>
      </c>
      <c r="U362" s="68">
        <f ca="1">IFERROR(__xludf.DUMMYFUNCTION("""COMPUTED_VALUE"""),43641.6458333333)</f>
        <v>43641.645833333299</v>
      </c>
      <c r="V362" s="6">
        <f ca="1">IFERROR(__xludf.DUMMYFUNCTION("""COMPUTED_VALUE"""),2121.64)</f>
        <v>2121.64</v>
      </c>
      <c r="Z362" s="6" t="str">
        <f t="shared" ca="1" si="99"/>
        <v>20191</v>
      </c>
      <c r="AA362" s="6">
        <f t="shared" ca="1" si="100"/>
        <v>2019</v>
      </c>
      <c r="AB362" s="6">
        <f t="shared" ca="1" si="101"/>
        <v>1</v>
      </c>
      <c r="AC362" s="68">
        <f ca="1">IFERROR(__xludf.DUMMYFUNCTION("""COMPUTED_VALUE"""),43474.9986111111)</f>
        <v>43474.998611111099</v>
      </c>
      <c r="AD362" s="6">
        <f ca="1">IFERROR(__xludf.DUMMYFUNCTION("""COMPUTED_VALUE"""),1118.67)</f>
        <v>1118.67</v>
      </c>
      <c r="AH362" s="6" t="str">
        <f t="shared" ca="1" si="102"/>
        <v>201812</v>
      </c>
      <c r="AI362" s="6">
        <f t="shared" ca="1" si="103"/>
        <v>2018</v>
      </c>
      <c r="AJ362" s="6">
        <f t="shared" ca="1" si="104"/>
        <v>12</v>
      </c>
      <c r="AK362" s="68">
        <f ca="1">IFERROR(__xludf.DUMMYFUNCTION("""COMPUTED_VALUE"""),43454.9986111111)</f>
        <v>43454.998611111099</v>
      </c>
      <c r="AL362" s="6">
        <f ca="1">IFERROR(__xludf.DUMMYFUNCTION("""COMPUTED_VALUE"""),4117.111)</f>
        <v>4117.1109999999999</v>
      </c>
      <c r="AP362" s="6" t="str">
        <f t="shared" ca="1" si="105"/>
        <v>20196</v>
      </c>
      <c r="AQ362" s="6">
        <f t="shared" ca="1" si="106"/>
        <v>2019</v>
      </c>
      <c r="AR362" s="6">
        <f t="shared" ca="1" si="107"/>
        <v>6</v>
      </c>
      <c r="AS362" s="68">
        <f ca="1">IFERROR(__xludf.DUMMYFUNCTION("""COMPUTED_VALUE"""),43626.9986111111)</f>
        <v>43626.998611111099</v>
      </c>
      <c r="AT362" s="6">
        <f ca="1">IFERROR(__xludf.DUMMYFUNCTION("""COMPUTED_VALUE"""),1329.3)</f>
        <v>1329.3</v>
      </c>
    </row>
    <row r="363" spans="2:46" x14ac:dyDescent="0.35">
      <c r="B363" s="6" t="str">
        <f t="shared" ca="1" si="90"/>
        <v>20196</v>
      </c>
      <c r="C363" s="6">
        <f t="shared" ca="1" si="91"/>
        <v>2019</v>
      </c>
      <c r="D363" s="6">
        <f t="shared" ca="1" si="92"/>
        <v>6</v>
      </c>
      <c r="E363" s="68">
        <f ca="1">IFERROR(__xludf.DUMMYFUNCTION("""COMPUTED_VALUE"""),43619.6666666666)</f>
        <v>43619.666666666599</v>
      </c>
      <c r="F363" s="6">
        <f ca="1">IFERROR(__xludf.DUMMYFUNCTION("""COMPUTED_VALUE"""),2744.45)</f>
        <v>2744.45</v>
      </c>
      <c r="J363" s="6" t="str">
        <f t="shared" ca="1" si="93"/>
        <v>20196</v>
      </c>
      <c r="K363" s="6">
        <f t="shared" ca="1" si="94"/>
        <v>2019</v>
      </c>
      <c r="L363" s="6">
        <f t="shared" ca="1" si="95"/>
        <v>6</v>
      </c>
      <c r="M363" s="68">
        <f ca="1">IFERROR(__xludf.DUMMYFUNCTION("""COMPUTED_VALUE"""),43619.6666666666)</f>
        <v>43619.666666666599</v>
      </c>
      <c r="N363" s="6">
        <f ca="1">IFERROR(__xludf.DUMMYFUNCTION("""COMPUTED_VALUE"""),7333.02)</f>
        <v>7333.02</v>
      </c>
      <c r="R363" s="6" t="str">
        <f t="shared" ca="1" si="96"/>
        <v>20196</v>
      </c>
      <c r="S363" s="6">
        <f t="shared" ca="1" si="97"/>
        <v>2019</v>
      </c>
      <c r="T363" s="6">
        <f t="shared" ca="1" si="98"/>
        <v>6</v>
      </c>
      <c r="U363" s="68">
        <f ca="1">IFERROR(__xludf.DUMMYFUNCTION("""COMPUTED_VALUE"""),43642.6458333333)</f>
        <v>43642.645833333299</v>
      </c>
      <c r="V363" s="6">
        <f ca="1">IFERROR(__xludf.DUMMYFUNCTION("""COMPUTED_VALUE"""),2121.85)</f>
        <v>2121.85</v>
      </c>
      <c r="Z363" s="6" t="str">
        <f t="shared" ca="1" si="99"/>
        <v>20191</v>
      </c>
      <c r="AA363" s="6">
        <f t="shared" ca="1" si="100"/>
        <v>2019</v>
      </c>
      <c r="AB363" s="6">
        <f t="shared" ca="1" si="101"/>
        <v>1</v>
      </c>
      <c r="AC363" s="68">
        <f ca="1">IFERROR(__xludf.DUMMYFUNCTION("""COMPUTED_VALUE"""),43475.9986111111)</f>
        <v>43475.998611111099</v>
      </c>
      <c r="AD363" s="6">
        <f ca="1">IFERROR(__xludf.DUMMYFUNCTION("""COMPUTED_VALUE"""),1116.55)</f>
        <v>1116.55</v>
      </c>
      <c r="AH363" s="6" t="str">
        <f t="shared" ca="1" si="102"/>
        <v>201812</v>
      </c>
      <c r="AI363" s="6">
        <f t="shared" ca="1" si="103"/>
        <v>2018</v>
      </c>
      <c r="AJ363" s="6">
        <f t="shared" ca="1" si="104"/>
        <v>12</v>
      </c>
      <c r="AK363" s="68">
        <f ca="1">IFERROR(__xludf.DUMMYFUNCTION("""COMPUTED_VALUE"""),43455.9986111111)</f>
        <v>43455.998611111099</v>
      </c>
      <c r="AL363" s="6">
        <f ca="1">IFERROR(__xludf.DUMMYFUNCTION("""COMPUTED_VALUE"""),3878.206)</f>
        <v>3878.2060000000001</v>
      </c>
      <c r="AP363" s="6" t="str">
        <f t="shared" ca="1" si="105"/>
        <v>20196</v>
      </c>
      <c r="AQ363" s="6">
        <f t="shared" ca="1" si="106"/>
        <v>2019</v>
      </c>
      <c r="AR363" s="6">
        <f t="shared" ca="1" si="107"/>
        <v>6</v>
      </c>
      <c r="AS363" s="68">
        <f ca="1">IFERROR(__xludf.DUMMYFUNCTION("""COMPUTED_VALUE"""),43627.9986111111)</f>
        <v>43627.998611111099</v>
      </c>
      <c r="AT363" s="6">
        <f ca="1">IFERROR(__xludf.DUMMYFUNCTION("""COMPUTED_VALUE"""),1331.2)</f>
        <v>1331.2</v>
      </c>
    </row>
    <row r="364" spans="2:46" x14ac:dyDescent="0.35">
      <c r="B364" s="6" t="str">
        <f t="shared" ca="1" si="90"/>
        <v>20196</v>
      </c>
      <c r="C364" s="6">
        <f t="shared" ca="1" si="91"/>
        <v>2019</v>
      </c>
      <c r="D364" s="6">
        <f t="shared" ca="1" si="92"/>
        <v>6</v>
      </c>
      <c r="E364" s="68">
        <f ca="1">IFERROR(__xludf.DUMMYFUNCTION("""COMPUTED_VALUE"""),43620.6666666666)</f>
        <v>43620.666666666599</v>
      </c>
      <c r="F364" s="6">
        <f ca="1">IFERROR(__xludf.DUMMYFUNCTION("""COMPUTED_VALUE"""),2803.27)</f>
        <v>2803.27</v>
      </c>
      <c r="J364" s="6" t="str">
        <f t="shared" ca="1" si="93"/>
        <v>20196</v>
      </c>
      <c r="K364" s="6">
        <f t="shared" ca="1" si="94"/>
        <v>2019</v>
      </c>
      <c r="L364" s="6">
        <f t="shared" ca="1" si="95"/>
        <v>6</v>
      </c>
      <c r="M364" s="68">
        <f ca="1">IFERROR(__xludf.DUMMYFUNCTION("""COMPUTED_VALUE"""),43620.6666666666)</f>
        <v>43620.666666666599</v>
      </c>
      <c r="N364" s="6">
        <f ca="1">IFERROR(__xludf.DUMMYFUNCTION("""COMPUTED_VALUE"""),7527.12)</f>
        <v>7527.12</v>
      </c>
      <c r="R364" s="6" t="str">
        <f t="shared" ca="1" si="96"/>
        <v>20196</v>
      </c>
      <c r="S364" s="6">
        <f t="shared" ca="1" si="97"/>
        <v>2019</v>
      </c>
      <c r="T364" s="6">
        <f t="shared" ca="1" si="98"/>
        <v>6</v>
      </c>
      <c r="U364" s="68">
        <f ca="1">IFERROR(__xludf.DUMMYFUNCTION("""COMPUTED_VALUE"""),43643.6458333333)</f>
        <v>43643.645833333299</v>
      </c>
      <c r="V364" s="6">
        <f ca="1">IFERROR(__xludf.DUMMYFUNCTION("""COMPUTED_VALUE"""),2134.32)</f>
        <v>2134.3200000000002</v>
      </c>
      <c r="Z364" s="6" t="str">
        <f t="shared" ca="1" si="99"/>
        <v>20191</v>
      </c>
      <c r="AA364" s="6">
        <f t="shared" ca="1" si="100"/>
        <v>2019</v>
      </c>
      <c r="AB364" s="6">
        <f t="shared" ca="1" si="101"/>
        <v>1</v>
      </c>
      <c r="AC364" s="68">
        <f ca="1">IFERROR(__xludf.DUMMYFUNCTION("""COMPUTED_VALUE"""),43476.9986111111)</f>
        <v>43476.998611111099</v>
      </c>
      <c r="AD364" s="6">
        <f ca="1">IFERROR(__xludf.DUMMYFUNCTION("""COMPUTED_VALUE"""),1117.46)</f>
        <v>1117.46</v>
      </c>
      <c r="AH364" s="6" t="str">
        <f t="shared" ca="1" si="102"/>
        <v>201812</v>
      </c>
      <c r="AI364" s="6">
        <f t="shared" ca="1" si="103"/>
        <v>2018</v>
      </c>
      <c r="AJ364" s="6">
        <f t="shared" ca="1" si="104"/>
        <v>12</v>
      </c>
      <c r="AK364" s="68">
        <f ca="1">IFERROR(__xludf.DUMMYFUNCTION("""COMPUTED_VALUE"""),43456.9986111111)</f>
        <v>43456.998611111099</v>
      </c>
      <c r="AL364" s="6">
        <f ca="1">IFERROR(__xludf.DUMMYFUNCTION("""COMPUTED_VALUE"""),4013.565)</f>
        <v>4013.5650000000001</v>
      </c>
      <c r="AP364" s="6" t="str">
        <f t="shared" ca="1" si="105"/>
        <v>20196</v>
      </c>
      <c r="AQ364" s="6">
        <f t="shared" ca="1" si="106"/>
        <v>2019</v>
      </c>
      <c r="AR364" s="6">
        <f t="shared" ca="1" si="107"/>
        <v>6</v>
      </c>
      <c r="AS364" s="68">
        <f ca="1">IFERROR(__xludf.DUMMYFUNCTION("""COMPUTED_VALUE"""),43628.9986111111)</f>
        <v>43628.998611111099</v>
      </c>
      <c r="AT364" s="6">
        <f ca="1">IFERROR(__xludf.DUMMYFUNCTION("""COMPUTED_VALUE"""),1336.8)</f>
        <v>1336.8</v>
      </c>
    </row>
    <row r="365" spans="2:46" x14ac:dyDescent="0.35">
      <c r="B365" s="6" t="str">
        <f t="shared" ca="1" si="90"/>
        <v>20196</v>
      </c>
      <c r="C365" s="6">
        <f t="shared" ca="1" si="91"/>
        <v>2019</v>
      </c>
      <c r="D365" s="6">
        <f t="shared" ca="1" si="92"/>
        <v>6</v>
      </c>
      <c r="E365" s="68">
        <f ca="1">IFERROR(__xludf.DUMMYFUNCTION("""COMPUTED_VALUE"""),43621.6666666666)</f>
        <v>43621.666666666599</v>
      </c>
      <c r="F365" s="6">
        <f ca="1">IFERROR(__xludf.DUMMYFUNCTION("""COMPUTED_VALUE"""),2826.15)</f>
        <v>2826.15</v>
      </c>
      <c r="J365" s="6" t="str">
        <f t="shared" ca="1" si="93"/>
        <v>20196</v>
      </c>
      <c r="K365" s="6">
        <f t="shared" ca="1" si="94"/>
        <v>2019</v>
      </c>
      <c r="L365" s="6">
        <f t="shared" ca="1" si="95"/>
        <v>6</v>
      </c>
      <c r="M365" s="68">
        <f ca="1">IFERROR(__xludf.DUMMYFUNCTION("""COMPUTED_VALUE"""),43621.6666666666)</f>
        <v>43621.666666666599</v>
      </c>
      <c r="N365" s="6">
        <f ca="1">IFERROR(__xludf.DUMMYFUNCTION("""COMPUTED_VALUE"""),7575.48)</f>
        <v>7575.48</v>
      </c>
      <c r="R365" s="6" t="str">
        <f t="shared" ca="1" si="96"/>
        <v>20196</v>
      </c>
      <c r="S365" s="6">
        <f t="shared" ca="1" si="97"/>
        <v>2019</v>
      </c>
      <c r="T365" s="6">
        <f t="shared" ca="1" si="98"/>
        <v>6</v>
      </c>
      <c r="U365" s="68">
        <f ca="1">IFERROR(__xludf.DUMMYFUNCTION("""COMPUTED_VALUE"""),43644.6458333333)</f>
        <v>43644.645833333299</v>
      </c>
      <c r="V365" s="6">
        <f ca="1">IFERROR(__xludf.DUMMYFUNCTION("""COMPUTED_VALUE"""),2130.62)</f>
        <v>2130.62</v>
      </c>
      <c r="Z365" s="6" t="str">
        <f t="shared" ca="1" si="99"/>
        <v>20191</v>
      </c>
      <c r="AA365" s="6">
        <f t="shared" ca="1" si="100"/>
        <v>2019</v>
      </c>
      <c r="AB365" s="6">
        <f t="shared" ca="1" si="101"/>
        <v>1</v>
      </c>
      <c r="AC365" s="68">
        <f ca="1">IFERROR(__xludf.DUMMYFUNCTION("""COMPUTED_VALUE"""),43477.9986111111)</f>
        <v>43477.998611111099</v>
      </c>
      <c r="AD365" s="6">
        <f ca="1">IFERROR(__xludf.DUMMYFUNCTION("""COMPUTED_VALUE"""),1117.46)</f>
        <v>1117.46</v>
      </c>
      <c r="AH365" s="6" t="str">
        <f t="shared" ca="1" si="102"/>
        <v>201812</v>
      </c>
      <c r="AI365" s="6">
        <f t="shared" ca="1" si="103"/>
        <v>2018</v>
      </c>
      <c r="AJ365" s="6">
        <f t="shared" ca="1" si="104"/>
        <v>12</v>
      </c>
      <c r="AK365" s="68">
        <f ca="1">IFERROR(__xludf.DUMMYFUNCTION("""COMPUTED_VALUE"""),43457.9986111111)</f>
        <v>43457.998611111099</v>
      </c>
      <c r="AL365" s="6">
        <f ca="1">IFERROR(__xludf.DUMMYFUNCTION("""COMPUTED_VALUE"""),3986.246)</f>
        <v>3986.2460000000001</v>
      </c>
      <c r="AP365" s="6" t="str">
        <f t="shared" ca="1" si="105"/>
        <v>20196</v>
      </c>
      <c r="AQ365" s="6">
        <f t="shared" ca="1" si="106"/>
        <v>2019</v>
      </c>
      <c r="AR365" s="6">
        <f t="shared" ca="1" si="107"/>
        <v>6</v>
      </c>
      <c r="AS365" s="68">
        <f ca="1">IFERROR(__xludf.DUMMYFUNCTION("""COMPUTED_VALUE"""),43629.9986111111)</f>
        <v>43629.998611111099</v>
      </c>
      <c r="AT365" s="6">
        <f ca="1">IFERROR(__xludf.DUMMYFUNCTION("""COMPUTED_VALUE"""),1343.7)</f>
        <v>1343.7</v>
      </c>
    </row>
    <row r="366" spans="2:46" x14ac:dyDescent="0.35">
      <c r="B366" s="6" t="str">
        <f t="shared" ca="1" si="90"/>
        <v>20196</v>
      </c>
      <c r="C366" s="6">
        <f t="shared" ca="1" si="91"/>
        <v>2019</v>
      </c>
      <c r="D366" s="6">
        <f t="shared" ca="1" si="92"/>
        <v>6</v>
      </c>
      <c r="E366" s="68">
        <f ca="1">IFERROR(__xludf.DUMMYFUNCTION("""COMPUTED_VALUE"""),43622.6666666666)</f>
        <v>43622.666666666599</v>
      </c>
      <c r="F366" s="6">
        <f ca="1">IFERROR(__xludf.DUMMYFUNCTION("""COMPUTED_VALUE"""),2843.49)</f>
        <v>2843.49</v>
      </c>
      <c r="J366" s="6" t="str">
        <f t="shared" ca="1" si="93"/>
        <v>20196</v>
      </c>
      <c r="K366" s="6">
        <f t="shared" ca="1" si="94"/>
        <v>2019</v>
      </c>
      <c r="L366" s="6">
        <f t="shared" ca="1" si="95"/>
        <v>6</v>
      </c>
      <c r="M366" s="68">
        <f ca="1">IFERROR(__xludf.DUMMYFUNCTION("""COMPUTED_VALUE"""),43622.6666666666)</f>
        <v>43622.666666666599</v>
      </c>
      <c r="N366" s="6">
        <f ca="1">IFERROR(__xludf.DUMMYFUNCTION("""COMPUTED_VALUE"""),7615.55)</f>
        <v>7615.55</v>
      </c>
      <c r="R366" s="6" t="str">
        <f t="shared" ca="1" si="96"/>
        <v>20197</v>
      </c>
      <c r="S366" s="6">
        <f t="shared" ca="1" si="97"/>
        <v>2019</v>
      </c>
      <c r="T366" s="6">
        <f t="shared" ca="1" si="98"/>
        <v>7</v>
      </c>
      <c r="U366" s="68">
        <f ca="1">IFERROR(__xludf.DUMMYFUNCTION("""COMPUTED_VALUE"""),43647.6458333333)</f>
        <v>43647.645833333299</v>
      </c>
      <c r="V366" s="6">
        <f ca="1">IFERROR(__xludf.DUMMYFUNCTION("""COMPUTED_VALUE"""),2129.74)</f>
        <v>2129.7399999999998</v>
      </c>
      <c r="Z366" s="6" t="str">
        <f t="shared" ca="1" si="99"/>
        <v>20191</v>
      </c>
      <c r="AA366" s="6">
        <f t="shared" ca="1" si="100"/>
        <v>2019</v>
      </c>
      <c r="AB366" s="6">
        <f t="shared" ca="1" si="101"/>
        <v>1</v>
      </c>
      <c r="AC366" s="68">
        <f ca="1">IFERROR(__xludf.DUMMYFUNCTION("""COMPUTED_VALUE"""),43478.9986111111)</f>
        <v>43478.998611111099</v>
      </c>
      <c r="AD366" s="6">
        <f ca="1">IFERROR(__xludf.DUMMYFUNCTION("""COMPUTED_VALUE"""),1118.6)</f>
        <v>1118.5999999999999</v>
      </c>
      <c r="AH366" s="6" t="str">
        <f t="shared" ca="1" si="102"/>
        <v>201812</v>
      </c>
      <c r="AI366" s="6">
        <f t="shared" ca="1" si="103"/>
        <v>2018</v>
      </c>
      <c r="AJ366" s="6">
        <f t="shared" ca="1" si="104"/>
        <v>12</v>
      </c>
      <c r="AK366" s="68">
        <f ca="1">IFERROR(__xludf.DUMMYFUNCTION("""COMPUTED_VALUE"""),43458.9986111111)</f>
        <v>43458.998611111099</v>
      </c>
      <c r="AL366" s="6">
        <f ca="1">IFERROR(__xludf.DUMMYFUNCTION("""COMPUTED_VALUE"""),4052.492)</f>
        <v>4052.4920000000002</v>
      </c>
      <c r="AP366" s="6" t="str">
        <f t="shared" ca="1" si="105"/>
        <v>20196</v>
      </c>
      <c r="AQ366" s="6">
        <f t="shared" ca="1" si="106"/>
        <v>2019</v>
      </c>
      <c r="AR366" s="6">
        <f t="shared" ca="1" si="107"/>
        <v>6</v>
      </c>
      <c r="AS366" s="68">
        <f ca="1">IFERROR(__xludf.DUMMYFUNCTION("""COMPUTED_VALUE"""),43630.9986111111)</f>
        <v>43630.998611111099</v>
      </c>
      <c r="AT366" s="6">
        <f ca="1">IFERROR(__xludf.DUMMYFUNCTION("""COMPUTED_VALUE"""),1344.5)</f>
        <v>1344.5</v>
      </c>
    </row>
    <row r="367" spans="2:46" x14ac:dyDescent="0.35">
      <c r="B367" s="6" t="str">
        <f t="shared" ca="1" si="90"/>
        <v>20196</v>
      </c>
      <c r="C367" s="6">
        <f t="shared" ca="1" si="91"/>
        <v>2019</v>
      </c>
      <c r="D367" s="6">
        <f t="shared" ca="1" si="92"/>
        <v>6</v>
      </c>
      <c r="E367" s="68">
        <f ca="1">IFERROR(__xludf.DUMMYFUNCTION("""COMPUTED_VALUE"""),43623.6666666666)</f>
        <v>43623.666666666599</v>
      </c>
      <c r="F367" s="6">
        <f ca="1">IFERROR(__xludf.DUMMYFUNCTION("""COMPUTED_VALUE"""),2873.34)</f>
        <v>2873.34</v>
      </c>
      <c r="J367" s="6" t="str">
        <f t="shared" ca="1" si="93"/>
        <v>20196</v>
      </c>
      <c r="K367" s="6">
        <f t="shared" ca="1" si="94"/>
        <v>2019</v>
      </c>
      <c r="L367" s="6">
        <f t="shared" ca="1" si="95"/>
        <v>6</v>
      </c>
      <c r="M367" s="68">
        <f ca="1">IFERROR(__xludf.DUMMYFUNCTION("""COMPUTED_VALUE"""),43623.6666666666)</f>
        <v>43623.666666666599</v>
      </c>
      <c r="N367" s="6">
        <f ca="1">IFERROR(__xludf.DUMMYFUNCTION("""COMPUTED_VALUE"""),7742.1)</f>
        <v>7742.1</v>
      </c>
      <c r="R367" s="6" t="str">
        <f t="shared" ca="1" si="96"/>
        <v>20197</v>
      </c>
      <c r="S367" s="6">
        <f t="shared" ca="1" si="97"/>
        <v>2019</v>
      </c>
      <c r="T367" s="6">
        <f t="shared" ca="1" si="98"/>
        <v>7</v>
      </c>
      <c r="U367" s="68">
        <f ca="1">IFERROR(__xludf.DUMMYFUNCTION("""COMPUTED_VALUE"""),43648.6458333333)</f>
        <v>43648.645833333299</v>
      </c>
      <c r="V367" s="6">
        <f ca="1">IFERROR(__xludf.DUMMYFUNCTION("""COMPUTED_VALUE"""),2122.02)</f>
        <v>2122.02</v>
      </c>
      <c r="Z367" s="6" t="str">
        <f t="shared" ca="1" si="99"/>
        <v>20191</v>
      </c>
      <c r="AA367" s="6">
        <f t="shared" ca="1" si="100"/>
        <v>2019</v>
      </c>
      <c r="AB367" s="6">
        <f t="shared" ca="1" si="101"/>
        <v>1</v>
      </c>
      <c r="AC367" s="68">
        <f ca="1">IFERROR(__xludf.DUMMYFUNCTION("""COMPUTED_VALUE"""),43479.9986111111)</f>
        <v>43479.998611111099</v>
      </c>
      <c r="AD367" s="6">
        <f ca="1">IFERROR(__xludf.DUMMYFUNCTION("""COMPUTED_VALUE"""),1122)</f>
        <v>1122</v>
      </c>
      <c r="AH367" s="6" t="str">
        <f t="shared" ca="1" si="102"/>
        <v>201812</v>
      </c>
      <c r="AI367" s="6">
        <f t="shared" ca="1" si="103"/>
        <v>2018</v>
      </c>
      <c r="AJ367" s="6">
        <f t="shared" ca="1" si="104"/>
        <v>12</v>
      </c>
      <c r="AK367" s="68">
        <f ca="1">IFERROR(__xludf.DUMMYFUNCTION("""COMPUTED_VALUE"""),43459.9986111111)</f>
        <v>43459.998611111099</v>
      </c>
      <c r="AL367" s="6">
        <f ca="1">IFERROR(__xludf.DUMMYFUNCTION("""COMPUTED_VALUE"""),3798.141)</f>
        <v>3798.1410000000001</v>
      </c>
      <c r="AP367" s="6" t="str">
        <f t="shared" ca="1" si="105"/>
        <v>20196</v>
      </c>
      <c r="AQ367" s="6">
        <f t="shared" ca="1" si="106"/>
        <v>2019</v>
      </c>
      <c r="AR367" s="6">
        <f t="shared" ca="1" si="107"/>
        <v>6</v>
      </c>
      <c r="AS367" s="68">
        <f ca="1">IFERROR(__xludf.DUMMYFUNCTION("""COMPUTED_VALUE"""),43633.9986111111)</f>
        <v>43633.998611111099</v>
      </c>
      <c r="AT367" s="6">
        <f ca="1">IFERROR(__xludf.DUMMYFUNCTION("""COMPUTED_VALUE"""),1342.9)</f>
        <v>1342.9</v>
      </c>
    </row>
    <row r="368" spans="2:46" x14ac:dyDescent="0.35">
      <c r="B368" s="6" t="str">
        <f t="shared" ca="1" si="90"/>
        <v>20196</v>
      </c>
      <c r="C368" s="6">
        <f t="shared" ca="1" si="91"/>
        <v>2019</v>
      </c>
      <c r="D368" s="6">
        <f t="shared" ca="1" si="92"/>
        <v>6</v>
      </c>
      <c r="E368" s="68">
        <f ca="1">IFERROR(__xludf.DUMMYFUNCTION("""COMPUTED_VALUE"""),43626.6666666666)</f>
        <v>43626.666666666599</v>
      </c>
      <c r="F368" s="6">
        <f ca="1">IFERROR(__xludf.DUMMYFUNCTION("""COMPUTED_VALUE"""),2886.73)</f>
        <v>2886.73</v>
      </c>
      <c r="J368" s="6" t="str">
        <f t="shared" ca="1" si="93"/>
        <v>20196</v>
      </c>
      <c r="K368" s="6">
        <f t="shared" ca="1" si="94"/>
        <v>2019</v>
      </c>
      <c r="L368" s="6">
        <f t="shared" ca="1" si="95"/>
        <v>6</v>
      </c>
      <c r="M368" s="68">
        <f ca="1">IFERROR(__xludf.DUMMYFUNCTION("""COMPUTED_VALUE"""),43626.6666666666)</f>
        <v>43626.666666666599</v>
      </c>
      <c r="N368" s="6">
        <f ca="1">IFERROR(__xludf.DUMMYFUNCTION("""COMPUTED_VALUE"""),7823.17)</f>
        <v>7823.17</v>
      </c>
      <c r="R368" s="6" t="str">
        <f t="shared" ca="1" si="96"/>
        <v>20197</v>
      </c>
      <c r="S368" s="6">
        <f t="shared" ca="1" si="97"/>
        <v>2019</v>
      </c>
      <c r="T368" s="6">
        <f t="shared" ca="1" si="98"/>
        <v>7</v>
      </c>
      <c r="U368" s="68">
        <f ca="1">IFERROR(__xludf.DUMMYFUNCTION("""COMPUTED_VALUE"""),43649.6458333333)</f>
        <v>43649.645833333299</v>
      </c>
      <c r="V368" s="6">
        <f ca="1">IFERROR(__xludf.DUMMYFUNCTION("""COMPUTED_VALUE"""),2096.02)</f>
        <v>2096.02</v>
      </c>
      <c r="Z368" s="6" t="str">
        <f t="shared" ca="1" si="99"/>
        <v>20191</v>
      </c>
      <c r="AA368" s="6">
        <f t="shared" ca="1" si="100"/>
        <v>2019</v>
      </c>
      <c r="AB368" s="6">
        <f t="shared" ca="1" si="101"/>
        <v>1</v>
      </c>
      <c r="AC368" s="68">
        <f ca="1">IFERROR(__xludf.DUMMYFUNCTION("""COMPUTED_VALUE"""),43480.9986111111)</f>
        <v>43480.998611111099</v>
      </c>
      <c r="AD368" s="6">
        <f ca="1">IFERROR(__xludf.DUMMYFUNCTION("""COMPUTED_VALUE"""),1122.4)</f>
        <v>1122.4000000000001</v>
      </c>
      <c r="AH368" s="6" t="str">
        <f t="shared" ca="1" si="102"/>
        <v>201812</v>
      </c>
      <c r="AI368" s="6">
        <f t="shared" ca="1" si="103"/>
        <v>2018</v>
      </c>
      <c r="AJ368" s="6">
        <f t="shared" ca="1" si="104"/>
        <v>12</v>
      </c>
      <c r="AK368" s="68">
        <f ca="1">IFERROR(__xludf.DUMMYFUNCTION("""COMPUTED_VALUE"""),43460.9986111111)</f>
        <v>43460.998611111099</v>
      </c>
      <c r="AL368" s="6">
        <f ca="1">IFERROR(__xludf.DUMMYFUNCTION("""COMPUTED_VALUE"""),3824.445)</f>
        <v>3824.4450000000002</v>
      </c>
      <c r="AP368" s="6" t="str">
        <f t="shared" ca="1" si="105"/>
        <v>20196</v>
      </c>
      <c r="AQ368" s="6">
        <f t="shared" ca="1" si="106"/>
        <v>2019</v>
      </c>
      <c r="AR368" s="6">
        <f t="shared" ca="1" si="107"/>
        <v>6</v>
      </c>
      <c r="AS368" s="68">
        <f ca="1">IFERROR(__xludf.DUMMYFUNCTION("""COMPUTED_VALUE"""),43634.9986111111)</f>
        <v>43634.998611111099</v>
      </c>
      <c r="AT368" s="6">
        <f ca="1">IFERROR(__xludf.DUMMYFUNCTION("""COMPUTED_VALUE"""),1350.7)</f>
        <v>1350.7</v>
      </c>
    </row>
    <row r="369" spans="2:46" x14ac:dyDescent="0.35">
      <c r="B369" s="6" t="str">
        <f t="shared" ca="1" si="90"/>
        <v>20196</v>
      </c>
      <c r="C369" s="6">
        <f t="shared" ca="1" si="91"/>
        <v>2019</v>
      </c>
      <c r="D369" s="6">
        <f t="shared" ca="1" si="92"/>
        <v>6</v>
      </c>
      <c r="E369" s="68">
        <f ca="1">IFERROR(__xludf.DUMMYFUNCTION("""COMPUTED_VALUE"""),43627.6666666666)</f>
        <v>43627.666666666599</v>
      </c>
      <c r="F369" s="6">
        <f ca="1">IFERROR(__xludf.DUMMYFUNCTION("""COMPUTED_VALUE"""),2885.72)</f>
        <v>2885.72</v>
      </c>
      <c r="J369" s="6" t="str">
        <f t="shared" ca="1" si="93"/>
        <v>20196</v>
      </c>
      <c r="K369" s="6">
        <f t="shared" ca="1" si="94"/>
        <v>2019</v>
      </c>
      <c r="L369" s="6">
        <f t="shared" ca="1" si="95"/>
        <v>6</v>
      </c>
      <c r="M369" s="68">
        <f ca="1">IFERROR(__xludf.DUMMYFUNCTION("""COMPUTED_VALUE"""),43627.6666666666)</f>
        <v>43627.666666666599</v>
      </c>
      <c r="N369" s="6">
        <f ca="1">IFERROR(__xludf.DUMMYFUNCTION("""COMPUTED_VALUE"""),7822.57)</f>
        <v>7822.57</v>
      </c>
      <c r="R369" s="6" t="str">
        <f t="shared" ca="1" si="96"/>
        <v>20197</v>
      </c>
      <c r="S369" s="6">
        <f t="shared" ca="1" si="97"/>
        <v>2019</v>
      </c>
      <c r="T369" s="6">
        <f t="shared" ca="1" si="98"/>
        <v>7</v>
      </c>
      <c r="U369" s="68">
        <f ca="1">IFERROR(__xludf.DUMMYFUNCTION("""COMPUTED_VALUE"""),43650.6458333333)</f>
        <v>43650.645833333299</v>
      </c>
      <c r="V369" s="6">
        <f ca="1">IFERROR(__xludf.DUMMYFUNCTION("""COMPUTED_VALUE"""),2108.73)</f>
        <v>2108.73</v>
      </c>
      <c r="Z369" s="6" t="str">
        <f t="shared" ca="1" si="99"/>
        <v>20191</v>
      </c>
      <c r="AA369" s="6">
        <f t="shared" ca="1" si="100"/>
        <v>2019</v>
      </c>
      <c r="AB369" s="6">
        <f t="shared" ca="1" si="101"/>
        <v>1</v>
      </c>
      <c r="AC369" s="68">
        <f ca="1">IFERROR(__xludf.DUMMYFUNCTION("""COMPUTED_VALUE"""),43481.9986111111)</f>
        <v>43481.998611111099</v>
      </c>
      <c r="AD369" s="6">
        <f ca="1">IFERROR(__xludf.DUMMYFUNCTION("""COMPUTED_VALUE"""),1118.77)</f>
        <v>1118.77</v>
      </c>
      <c r="AH369" s="6" t="str">
        <f t="shared" ca="1" si="102"/>
        <v>201812</v>
      </c>
      <c r="AI369" s="6">
        <f t="shared" ca="1" si="103"/>
        <v>2018</v>
      </c>
      <c r="AJ369" s="6">
        <f t="shared" ca="1" si="104"/>
        <v>12</v>
      </c>
      <c r="AK369" s="68">
        <f ca="1">IFERROR(__xludf.DUMMYFUNCTION("""COMPUTED_VALUE"""),43461.9986111111)</f>
        <v>43461.998611111099</v>
      </c>
      <c r="AL369" s="6">
        <f ca="1">IFERROR(__xludf.DUMMYFUNCTION("""COMPUTED_VALUE"""),3618.055)</f>
        <v>3618.0549999999998</v>
      </c>
      <c r="AP369" s="6" t="str">
        <f t="shared" ca="1" si="105"/>
        <v>20196</v>
      </c>
      <c r="AQ369" s="6">
        <f t="shared" ca="1" si="106"/>
        <v>2019</v>
      </c>
      <c r="AR369" s="6">
        <f t="shared" ca="1" si="107"/>
        <v>6</v>
      </c>
      <c r="AS369" s="68">
        <f ca="1">IFERROR(__xludf.DUMMYFUNCTION("""COMPUTED_VALUE"""),43635.9986111111)</f>
        <v>43635.998611111099</v>
      </c>
      <c r="AT369" s="6">
        <f ca="1">IFERROR(__xludf.DUMMYFUNCTION("""COMPUTED_VALUE"""),1348.8)</f>
        <v>1348.8</v>
      </c>
    </row>
    <row r="370" spans="2:46" x14ac:dyDescent="0.35">
      <c r="B370" s="6" t="str">
        <f t="shared" ca="1" si="90"/>
        <v>20196</v>
      </c>
      <c r="C370" s="6">
        <f t="shared" ca="1" si="91"/>
        <v>2019</v>
      </c>
      <c r="D370" s="6">
        <f t="shared" ca="1" si="92"/>
        <v>6</v>
      </c>
      <c r="E370" s="68">
        <f ca="1">IFERROR(__xludf.DUMMYFUNCTION("""COMPUTED_VALUE"""),43628.6666666666)</f>
        <v>43628.666666666599</v>
      </c>
      <c r="F370" s="6">
        <f ca="1">IFERROR(__xludf.DUMMYFUNCTION("""COMPUTED_VALUE"""),2879.84)</f>
        <v>2879.84</v>
      </c>
      <c r="J370" s="6" t="str">
        <f t="shared" ca="1" si="93"/>
        <v>20196</v>
      </c>
      <c r="K370" s="6">
        <f t="shared" ca="1" si="94"/>
        <v>2019</v>
      </c>
      <c r="L370" s="6">
        <f t="shared" ca="1" si="95"/>
        <v>6</v>
      </c>
      <c r="M370" s="68">
        <f ca="1">IFERROR(__xludf.DUMMYFUNCTION("""COMPUTED_VALUE"""),43628.6666666666)</f>
        <v>43628.666666666599</v>
      </c>
      <c r="N370" s="6">
        <f ca="1">IFERROR(__xludf.DUMMYFUNCTION("""COMPUTED_VALUE"""),7792.72)</f>
        <v>7792.72</v>
      </c>
      <c r="R370" s="6" t="str">
        <f t="shared" ca="1" si="96"/>
        <v>20197</v>
      </c>
      <c r="S370" s="6">
        <f t="shared" ca="1" si="97"/>
        <v>2019</v>
      </c>
      <c r="T370" s="6">
        <f t="shared" ca="1" si="98"/>
        <v>7</v>
      </c>
      <c r="U370" s="68">
        <f ca="1">IFERROR(__xludf.DUMMYFUNCTION("""COMPUTED_VALUE"""),43651.6458333333)</f>
        <v>43651.645833333299</v>
      </c>
      <c r="V370" s="6">
        <f ca="1">IFERROR(__xludf.DUMMYFUNCTION("""COMPUTED_VALUE"""),2110.59)</f>
        <v>2110.59</v>
      </c>
      <c r="Z370" s="6" t="str">
        <f t="shared" ca="1" si="99"/>
        <v>20191</v>
      </c>
      <c r="AA370" s="6">
        <f t="shared" ca="1" si="100"/>
        <v>2019</v>
      </c>
      <c r="AB370" s="6">
        <f t="shared" ca="1" si="101"/>
        <v>1</v>
      </c>
      <c r="AC370" s="68">
        <f ca="1">IFERROR(__xludf.DUMMYFUNCTION("""COMPUTED_VALUE"""),43482.9986111111)</f>
        <v>43482.998611111099</v>
      </c>
      <c r="AD370" s="6">
        <f ca="1">IFERROR(__xludf.DUMMYFUNCTION("""COMPUTED_VALUE"""),1120.55)</f>
        <v>1120.55</v>
      </c>
      <c r="AH370" s="6" t="str">
        <f t="shared" ca="1" si="102"/>
        <v>201812</v>
      </c>
      <c r="AI370" s="6">
        <f t="shared" ca="1" si="103"/>
        <v>2018</v>
      </c>
      <c r="AJ370" s="6">
        <f t="shared" ca="1" si="104"/>
        <v>12</v>
      </c>
      <c r="AK370" s="68">
        <f ca="1">IFERROR(__xludf.DUMMYFUNCTION("""COMPUTED_VALUE"""),43462.9986111111)</f>
        <v>43462.998611111099</v>
      </c>
      <c r="AL370" s="6">
        <f ca="1">IFERROR(__xludf.DUMMYFUNCTION("""COMPUTED_VALUE"""),3888.177)</f>
        <v>3888.1770000000001</v>
      </c>
      <c r="AP370" s="6" t="str">
        <f t="shared" ca="1" si="105"/>
        <v>20196</v>
      </c>
      <c r="AQ370" s="6">
        <f t="shared" ca="1" si="106"/>
        <v>2019</v>
      </c>
      <c r="AR370" s="6">
        <f t="shared" ca="1" si="107"/>
        <v>6</v>
      </c>
      <c r="AS370" s="68">
        <f ca="1">IFERROR(__xludf.DUMMYFUNCTION("""COMPUTED_VALUE"""),43636.9986111111)</f>
        <v>43636.998611111099</v>
      </c>
      <c r="AT370" s="6">
        <f ca="1">IFERROR(__xludf.DUMMYFUNCTION("""COMPUTED_VALUE"""),1396.9)</f>
        <v>1396.9</v>
      </c>
    </row>
    <row r="371" spans="2:46" x14ac:dyDescent="0.35">
      <c r="B371" s="6" t="str">
        <f t="shared" ca="1" si="90"/>
        <v>20196</v>
      </c>
      <c r="C371" s="6">
        <f t="shared" ca="1" si="91"/>
        <v>2019</v>
      </c>
      <c r="D371" s="6">
        <f t="shared" ca="1" si="92"/>
        <v>6</v>
      </c>
      <c r="E371" s="68">
        <f ca="1">IFERROR(__xludf.DUMMYFUNCTION("""COMPUTED_VALUE"""),43629.6666666666)</f>
        <v>43629.666666666599</v>
      </c>
      <c r="F371" s="6">
        <f ca="1">IFERROR(__xludf.DUMMYFUNCTION("""COMPUTED_VALUE"""),2891.64)</f>
        <v>2891.64</v>
      </c>
      <c r="J371" s="6" t="str">
        <f t="shared" ca="1" si="93"/>
        <v>20196</v>
      </c>
      <c r="K371" s="6">
        <f t="shared" ca="1" si="94"/>
        <v>2019</v>
      </c>
      <c r="L371" s="6">
        <f t="shared" ca="1" si="95"/>
        <v>6</v>
      </c>
      <c r="M371" s="68">
        <f ca="1">IFERROR(__xludf.DUMMYFUNCTION("""COMPUTED_VALUE"""),43629.6666666666)</f>
        <v>43629.666666666599</v>
      </c>
      <c r="N371" s="6">
        <f ca="1">IFERROR(__xludf.DUMMYFUNCTION("""COMPUTED_VALUE"""),7837.13)</f>
        <v>7837.13</v>
      </c>
      <c r="R371" s="6" t="str">
        <f t="shared" ca="1" si="96"/>
        <v>20197</v>
      </c>
      <c r="S371" s="6">
        <f t="shared" ca="1" si="97"/>
        <v>2019</v>
      </c>
      <c r="T371" s="6">
        <f t="shared" ca="1" si="98"/>
        <v>7</v>
      </c>
      <c r="U371" s="68">
        <f ca="1">IFERROR(__xludf.DUMMYFUNCTION("""COMPUTED_VALUE"""),43654.6458333333)</f>
        <v>43654.645833333299</v>
      </c>
      <c r="V371" s="6">
        <f ca="1">IFERROR(__xludf.DUMMYFUNCTION("""COMPUTED_VALUE"""),2064.17)</f>
        <v>2064.17</v>
      </c>
      <c r="Z371" s="6" t="str">
        <f t="shared" ca="1" si="99"/>
        <v>20191</v>
      </c>
      <c r="AA371" s="6">
        <f t="shared" ca="1" si="100"/>
        <v>2019</v>
      </c>
      <c r="AB371" s="6">
        <f t="shared" ca="1" si="101"/>
        <v>1</v>
      </c>
      <c r="AC371" s="68">
        <f ca="1">IFERROR(__xludf.DUMMYFUNCTION("""COMPUTED_VALUE"""),43483.9986111111)</f>
        <v>43483.998611111099</v>
      </c>
      <c r="AD371" s="6">
        <f ca="1">IFERROR(__xludf.DUMMYFUNCTION("""COMPUTED_VALUE"""),1124.8)</f>
        <v>1124.8</v>
      </c>
      <c r="AH371" s="6" t="str">
        <f t="shared" ca="1" si="102"/>
        <v>201812</v>
      </c>
      <c r="AI371" s="6">
        <f t="shared" ca="1" si="103"/>
        <v>2018</v>
      </c>
      <c r="AJ371" s="6">
        <f t="shared" ca="1" si="104"/>
        <v>12</v>
      </c>
      <c r="AK371" s="68">
        <f ca="1">IFERROR(__xludf.DUMMYFUNCTION("""COMPUTED_VALUE"""),43463.9986111111)</f>
        <v>43463.998611111099</v>
      </c>
      <c r="AL371" s="6">
        <f ca="1">IFERROR(__xludf.DUMMYFUNCTION("""COMPUTED_VALUE"""),3730.59)</f>
        <v>3730.59</v>
      </c>
      <c r="AP371" s="6" t="str">
        <f t="shared" ca="1" si="105"/>
        <v>20196</v>
      </c>
      <c r="AQ371" s="6">
        <f t="shared" ca="1" si="106"/>
        <v>2019</v>
      </c>
      <c r="AR371" s="6">
        <f t="shared" ca="1" si="107"/>
        <v>6</v>
      </c>
      <c r="AS371" s="68">
        <f ca="1">IFERROR(__xludf.DUMMYFUNCTION("""COMPUTED_VALUE"""),43637.9986111111)</f>
        <v>43637.998611111099</v>
      </c>
      <c r="AT371" s="6">
        <f ca="1">IFERROR(__xludf.DUMMYFUNCTION("""COMPUTED_VALUE"""),1400.1)</f>
        <v>1400.1</v>
      </c>
    </row>
    <row r="372" spans="2:46" x14ac:dyDescent="0.35">
      <c r="B372" s="6" t="str">
        <f t="shared" ca="1" si="90"/>
        <v>20196</v>
      </c>
      <c r="C372" s="6">
        <f t="shared" ca="1" si="91"/>
        <v>2019</v>
      </c>
      <c r="D372" s="6">
        <f t="shared" ca="1" si="92"/>
        <v>6</v>
      </c>
      <c r="E372" s="68">
        <f ca="1">IFERROR(__xludf.DUMMYFUNCTION("""COMPUTED_VALUE"""),43630.6666666666)</f>
        <v>43630.666666666599</v>
      </c>
      <c r="F372" s="6">
        <f ca="1">IFERROR(__xludf.DUMMYFUNCTION("""COMPUTED_VALUE"""),2886.98)</f>
        <v>2886.98</v>
      </c>
      <c r="J372" s="6" t="str">
        <f t="shared" ca="1" si="93"/>
        <v>20196</v>
      </c>
      <c r="K372" s="6">
        <f t="shared" ca="1" si="94"/>
        <v>2019</v>
      </c>
      <c r="L372" s="6">
        <f t="shared" ca="1" si="95"/>
        <v>6</v>
      </c>
      <c r="M372" s="68">
        <f ca="1">IFERROR(__xludf.DUMMYFUNCTION("""COMPUTED_VALUE"""),43630.6666666666)</f>
        <v>43630.666666666599</v>
      </c>
      <c r="N372" s="6">
        <f ca="1">IFERROR(__xludf.DUMMYFUNCTION("""COMPUTED_VALUE"""),7796.66)</f>
        <v>7796.66</v>
      </c>
      <c r="R372" s="6" t="str">
        <f t="shared" ca="1" si="96"/>
        <v>20197</v>
      </c>
      <c r="S372" s="6">
        <f t="shared" ca="1" si="97"/>
        <v>2019</v>
      </c>
      <c r="T372" s="6">
        <f t="shared" ca="1" si="98"/>
        <v>7</v>
      </c>
      <c r="U372" s="68">
        <f ca="1">IFERROR(__xludf.DUMMYFUNCTION("""COMPUTED_VALUE"""),43655.6458333333)</f>
        <v>43655.645833333299</v>
      </c>
      <c r="V372" s="6">
        <f ca="1">IFERROR(__xludf.DUMMYFUNCTION("""COMPUTED_VALUE"""),2052.03)</f>
        <v>2052.0300000000002</v>
      </c>
      <c r="Z372" s="6" t="str">
        <f t="shared" ca="1" si="99"/>
        <v>20191</v>
      </c>
      <c r="AA372" s="6">
        <f t="shared" ca="1" si="100"/>
        <v>2019</v>
      </c>
      <c r="AB372" s="6">
        <f t="shared" ca="1" si="101"/>
        <v>1</v>
      </c>
      <c r="AC372" s="68">
        <f ca="1">IFERROR(__xludf.DUMMYFUNCTION("""COMPUTED_VALUE"""),43485.9986111111)</f>
        <v>43485.998611111099</v>
      </c>
      <c r="AD372" s="6">
        <f ca="1">IFERROR(__xludf.DUMMYFUNCTION("""COMPUTED_VALUE"""),1125.79)</f>
        <v>1125.79</v>
      </c>
      <c r="AH372" s="6" t="str">
        <f t="shared" ca="1" si="102"/>
        <v>201812</v>
      </c>
      <c r="AI372" s="6">
        <f t="shared" ca="1" si="103"/>
        <v>2018</v>
      </c>
      <c r="AJ372" s="6">
        <f t="shared" ca="1" si="104"/>
        <v>12</v>
      </c>
      <c r="AK372" s="68">
        <f ca="1">IFERROR(__xludf.DUMMYFUNCTION("""COMPUTED_VALUE"""),43464.9986111111)</f>
        <v>43464.998611111099</v>
      </c>
      <c r="AL372" s="6">
        <f ca="1">IFERROR(__xludf.DUMMYFUNCTION("""COMPUTED_VALUE"""),3831.982)</f>
        <v>3831.982</v>
      </c>
      <c r="AP372" s="6" t="str">
        <f t="shared" ca="1" si="105"/>
        <v>20196</v>
      </c>
      <c r="AQ372" s="6">
        <f t="shared" ca="1" si="106"/>
        <v>2019</v>
      </c>
      <c r="AR372" s="6">
        <f t="shared" ca="1" si="107"/>
        <v>6</v>
      </c>
      <c r="AS372" s="68">
        <f ca="1">IFERROR(__xludf.DUMMYFUNCTION("""COMPUTED_VALUE"""),43640.9986111111)</f>
        <v>43640.998611111099</v>
      </c>
      <c r="AT372" s="6">
        <f ca="1">IFERROR(__xludf.DUMMYFUNCTION("""COMPUTED_VALUE"""),1418.2)</f>
        <v>1418.2</v>
      </c>
    </row>
    <row r="373" spans="2:46" x14ac:dyDescent="0.35">
      <c r="B373" s="6" t="str">
        <f t="shared" ca="1" si="90"/>
        <v>20196</v>
      </c>
      <c r="C373" s="6">
        <f t="shared" ca="1" si="91"/>
        <v>2019</v>
      </c>
      <c r="D373" s="6">
        <f t="shared" ca="1" si="92"/>
        <v>6</v>
      </c>
      <c r="E373" s="68">
        <f ca="1">IFERROR(__xludf.DUMMYFUNCTION("""COMPUTED_VALUE"""),43633.6666666666)</f>
        <v>43633.666666666599</v>
      </c>
      <c r="F373" s="6">
        <f ca="1">IFERROR(__xludf.DUMMYFUNCTION("""COMPUTED_VALUE"""),2889.67)</f>
        <v>2889.67</v>
      </c>
      <c r="J373" s="6" t="str">
        <f t="shared" ca="1" si="93"/>
        <v>20196</v>
      </c>
      <c r="K373" s="6">
        <f t="shared" ca="1" si="94"/>
        <v>2019</v>
      </c>
      <c r="L373" s="6">
        <f t="shared" ca="1" si="95"/>
        <v>6</v>
      </c>
      <c r="M373" s="68">
        <f ca="1">IFERROR(__xludf.DUMMYFUNCTION("""COMPUTED_VALUE"""),43633.6666666666)</f>
        <v>43633.666666666599</v>
      </c>
      <c r="N373" s="6">
        <f ca="1">IFERROR(__xludf.DUMMYFUNCTION("""COMPUTED_VALUE"""),7845.02)</f>
        <v>7845.02</v>
      </c>
      <c r="R373" s="6" t="str">
        <f t="shared" ca="1" si="96"/>
        <v>20197</v>
      </c>
      <c r="S373" s="6">
        <f t="shared" ca="1" si="97"/>
        <v>2019</v>
      </c>
      <c r="T373" s="6">
        <f t="shared" ca="1" si="98"/>
        <v>7</v>
      </c>
      <c r="U373" s="68">
        <f ca="1">IFERROR(__xludf.DUMMYFUNCTION("""COMPUTED_VALUE"""),43656.6458333333)</f>
        <v>43656.645833333299</v>
      </c>
      <c r="V373" s="6">
        <f ca="1">IFERROR(__xludf.DUMMYFUNCTION("""COMPUTED_VALUE"""),2058.78)</f>
        <v>2058.7800000000002</v>
      </c>
      <c r="Z373" s="6" t="str">
        <f t="shared" ca="1" si="99"/>
        <v>20191</v>
      </c>
      <c r="AA373" s="6">
        <f t="shared" ca="1" si="100"/>
        <v>2019</v>
      </c>
      <c r="AB373" s="6">
        <f t="shared" ca="1" si="101"/>
        <v>1</v>
      </c>
      <c r="AC373" s="68">
        <f ca="1">IFERROR(__xludf.DUMMYFUNCTION("""COMPUTED_VALUE"""),43486.9986111111)</f>
        <v>43486.998611111099</v>
      </c>
      <c r="AD373" s="6">
        <f ca="1">IFERROR(__xludf.DUMMYFUNCTION("""COMPUTED_VALUE"""),1132.37)</f>
        <v>1132.3699999999999</v>
      </c>
      <c r="AH373" s="6" t="str">
        <f t="shared" ca="1" si="102"/>
        <v>201812</v>
      </c>
      <c r="AI373" s="6">
        <f t="shared" ca="1" si="103"/>
        <v>2018</v>
      </c>
      <c r="AJ373" s="6">
        <f t="shared" ca="1" si="104"/>
        <v>12</v>
      </c>
      <c r="AK373" s="68">
        <f ca="1">IFERROR(__xludf.DUMMYFUNCTION("""COMPUTED_VALUE"""),43465.9986111111)</f>
        <v>43465.998611111099</v>
      </c>
      <c r="AL373" s="6">
        <f ca="1">IFERROR(__xludf.DUMMYFUNCTION("""COMPUTED_VALUE"""),3711.907)</f>
        <v>3711.9070000000002</v>
      </c>
      <c r="AP373" s="6" t="str">
        <f t="shared" ca="1" si="105"/>
        <v>20196</v>
      </c>
      <c r="AQ373" s="6">
        <f t="shared" ca="1" si="106"/>
        <v>2019</v>
      </c>
      <c r="AR373" s="6">
        <f t="shared" ca="1" si="107"/>
        <v>6</v>
      </c>
      <c r="AS373" s="68">
        <f ca="1">IFERROR(__xludf.DUMMYFUNCTION("""COMPUTED_VALUE"""),43641.9986111111)</f>
        <v>43641.998611111099</v>
      </c>
      <c r="AT373" s="6">
        <f ca="1">IFERROR(__xludf.DUMMYFUNCTION("""COMPUTED_VALUE"""),1418.7)</f>
        <v>1418.7</v>
      </c>
    </row>
    <row r="374" spans="2:46" x14ac:dyDescent="0.35">
      <c r="B374" s="6" t="str">
        <f t="shared" ca="1" si="90"/>
        <v>20196</v>
      </c>
      <c r="C374" s="6">
        <f t="shared" ca="1" si="91"/>
        <v>2019</v>
      </c>
      <c r="D374" s="6">
        <f t="shared" ca="1" si="92"/>
        <v>6</v>
      </c>
      <c r="E374" s="68">
        <f ca="1">IFERROR(__xludf.DUMMYFUNCTION("""COMPUTED_VALUE"""),43634.6666666666)</f>
        <v>43634.666666666599</v>
      </c>
      <c r="F374" s="6">
        <f ca="1">IFERROR(__xludf.DUMMYFUNCTION("""COMPUTED_VALUE"""),2917.75)</f>
        <v>2917.75</v>
      </c>
      <c r="J374" s="6" t="str">
        <f t="shared" ca="1" si="93"/>
        <v>20196</v>
      </c>
      <c r="K374" s="6">
        <f t="shared" ca="1" si="94"/>
        <v>2019</v>
      </c>
      <c r="L374" s="6">
        <f t="shared" ca="1" si="95"/>
        <v>6</v>
      </c>
      <c r="M374" s="68">
        <f ca="1">IFERROR(__xludf.DUMMYFUNCTION("""COMPUTED_VALUE"""),43634.6666666666)</f>
        <v>43634.666666666599</v>
      </c>
      <c r="N374" s="6">
        <f ca="1">IFERROR(__xludf.DUMMYFUNCTION("""COMPUTED_VALUE"""),7953.88)</f>
        <v>7953.88</v>
      </c>
      <c r="R374" s="6" t="str">
        <f t="shared" ca="1" si="96"/>
        <v>20197</v>
      </c>
      <c r="S374" s="6">
        <f t="shared" ca="1" si="97"/>
        <v>2019</v>
      </c>
      <c r="T374" s="6">
        <f t="shared" ca="1" si="98"/>
        <v>7</v>
      </c>
      <c r="U374" s="68">
        <f ca="1">IFERROR(__xludf.DUMMYFUNCTION("""COMPUTED_VALUE"""),43657.6458333333)</f>
        <v>43657.645833333299</v>
      </c>
      <c r="V374" s="6">
        <f ca="1">IFERROR(__xludf.DUMMYFUNCTION("""COMPUTED_VALUE"""),2080.58)</f>
        <v>2080.58</v>
      </c>
      <c r="Z374" s="6" t="str">
        <f t="shared" ca="1" si="99"/>
        <v>20191</v>
      </c>
      <c r="AA374" s="6">
        <f t="shared" ca="1" si="100"/>
        <v>2019</v>
      </c>
      <c r="AB374" s="6">
        <f t="shared" ca="1" si="101"/>
        <v>1</v>
      </c>
      <c r="AC374" s="68">
        <f ca="1">IFERROR(__xludf.DUMMYFUNCTION("""COMPUTED_VALUE"""),43487.9986111111)</f>
        <v>43487.998611111099</v>
      </c>
      <c r="AD374" s="6">
        <f ca="1">IFERROR(__xludf.DUMMYFUNCTION("""COMPUTED_VALUE"""),1130.15)</f>
        <v>1130.1500000000001</v>
      </c>
      <c r="AH374" s="6" t="str">
        <f t="shared" ca="1" si="102"/>
        <v>20191</v>
      </c>
      <c r="AI374" s="6">
        <f t="shared" ca="1" si="103"/>
        <v>2019</v>
      </c>
      <c r="AJ374" s="6">
        <f t="shared" ca="1" si="104"/>
        <v>1</v>
      </c>
      <c r="AK374" s="68">
        <f ca="1">IFERROR(__xludf.DUMMYFUNCTION("""COMPUTED_VALUE"""),43466.9986111111)</f>
        <v>43466.998611111099</v>
      </c>
      <c r="AL374" s="6">
        <f ca="1">IFERROR(__xludf.DUMMYFUNCTION("""COMPUTED_VALUE"""),3827.963)</f>
        <v>3827.9630000000002</v>
      </c>
      <c r="AP374" s="6" t="str">
        <f t="shared" ca="1" si="105"/>
        <v>20196</v>
      </c>
      <c r="AQ374" s="6">
        <f t="shared" ca="1" si="106"/>
        <v>2019</v>
      </c>
      <c r="AR374" s="6">
        <f t="shared" ca="1" si="107"/>
        <v>6</v>
      </c>
      <c r="AS374" s="68">
        <f ca="1">IFERROR(__xludf.DUMMYFUNCTION("""COMPUTED_VALUE"""),43642.9986111111)</f>
        <v>43642.998611111099</v>
      </c>
      <c r="AT374" s="6">
        <f ca="1">IFERROR(__xludf.DUMMYFUNCTION("""COMPUTED_VALUE"""),1415.4)</f>
        <v>1415.4</v>
      </c>
    </row>
    <row r="375" spans="2:46" x14ac:dyDescent="0.35">
      <c r="B375" s="6" t="str">
        <f t="shared" ca="1" si="90"/>
        <v>20196</v>
      </c>
      <c r="C375" s="6">
        <f t="shared" ca="1" si="91"/>
        <v>2019</v>
      </c>
      <c r="D375" s="6">
        <f t="shared" ca="1" si="92"/>
        <v>6</v>
      </c>
      <c r="E375" s="68">
        <f ca="1">IFERROR(__xludf.DUMMYFUNCTION("""COMPUTED_VALUE"""),43635.6666666666)</f>
        <v>43635.666666666599</v>
      </c>
      <c r="F375" s="6">
        <f ca="1">IFERROR(__xludf.DUMMYFUNCTION("""COMPUTED_VALUE"""),2926.46)</f>
        <v>2926.46</v>
      </c>
      <c r="J375" s="6" t="str">
        <f t="shared" ca="1" si="93"/>
        <v>20196</v>
      </c>
      <c r="K375" s="6">
        <f t="shared" ca="1" si="94"/>
        <v>2019</v>
      </c>
      <c r="L375" s="6">
        <f t="shared" ca="1" si="95"/>
        <v>6</v>
      </c>
      <c r="M375" s="68">
        <f ca="1">IFERROR(__xludf.DUMMYFUNCTION("""COMPUTED_VALUE"""),43635.6666666666)</f>
        <v>43635.666666666599</v>
      </c>
      <c r="N375" s="6">
        <f ca="1">IFERROR(__xludf.DUMMYFUNCTION("""COMPUTED_VALUE"""),7987.32)</f>
        <v>7987.32</v>
      </c>
      <c r="R375" s="6" t="str">
        <f t="shared" ca="1" si="96"/>
        <v>20197</v>
      </c>
      <c r="S375" s="6">
        <f t="shared" ca="1" si="97"/>
        <v>2019</v>
      </c>
      <c r="T375" s="6">
        <f t="shared" ca="1" si="98"/>
        <v>7</v>
      </c>
      <c r="U375" s="68">
        <f ca="1">IFERROR(__xludf.DUMMYFUNCTION("""COMPUTED_VALUE"""),43658.6458333333)</f>
        <v>43658.645833333299</v>
      </c>
      <c r="V375" s="6">
        <f ca="1">IFERROR(__xludf.DUMMYFUNCTION("""COMPUTED_VALUE"""),2086.66)</f>
        <v>2086.66</v>
      </c>
      <c r="Z375" s="6" t="str">
        <f t="shared" ca="1" si="99"/>
        <v>20191</v>
      </c>
      <c r="AA375" s="6">
        <f t="shared" ca="1" si="100"/>
        <v>2019</v>
      </c>
      <c r="AB375" s="6">
        <f t="shared" ca="1" si="101"/>
        <v>1</v>
      </c>
      <c r="AC375" s="68">
        <f ca="1">IFERROR(__xludf.DUMMYFUNCTION("""COMPUTED_VALUE"""),43488.9986111111)</f>
        <v>43488.998611111099</v>
      </c>
      <c r="AD375" s="6">
        <f ca="1">IFERROR(__xludf.DUMMYFUNCTION("""COMPUTED_VALUE"""),1125.33)</f>
        <v>1125.33</v>
      </c>
      <c r="AH375" s="6" t="str">
        <f t="shared" ca="1" si="102"/>
        <v>20191</v>
      </c>
      <c r="AI375" s="6">
        <f t="shared" ca="1" si="103"/>
        <v>2019</v>
      </c>
      <c r="AJ375" s="6">
        <f t="shared" ca="1" si="104"/>
        <v>1</v>
      </c>
      <c r="AK375" s="68">
        <f ca="1">IFERROR(__xludf.DUMMYFUNCTION("""COMPUTED_VALUE"""),43467.9986111111)</f>
        <v>43467.998611111099</v>
      </c>
      <c r="AL375" s="6">
        <f ca="1">IFERROR(__xludf.DUMMYFUNCTION("""COMPUTED_VALUE"""),3914.791)</f>
        <v>3914.7910000000002</v>
      </c>
      <c r="AP375" s="6" t="str">
        <f t="shared" ca="1" si="105"/>
        <v>20196</v>
      </c>
      <c r="AQ375" s="6">
        <f t="shared" ca="1" si="106"/>
        <v>2019</v>
      </c>
      <c r="AR375" s="6">
        <f t="shared" ca="1" si="107"/>
        <v>6</v>
      </c>
      <c r="AS375" s="68">
        <f ca="1">IFERROR(__xludf.DUMMYFUNCTION("""COMPUTED_VALUE"""),43643.9986111111)</f>
        <v>43643.998611111099</v>
      </c>
      <c r="AT375" s="6">
        <f ca="1">IFERROR(__xludf.DUMMYFUNCTION("""COMPUTED_VALUE"""),1412)</f>
        <v>1412</v>
      </c>
    </row>
    <row r="376" spans="2:46" x14ac:dyDescent="0.35">
      <c r="B376" s="6" t="str">
        <f t="shared" ca="1" si="90"/>
        <v>20196</v>
      </c>
      <c r="C376" s="6">
        <f t="shared" ca="1" si="91"/>
        <v>2019</v>
      </c>
      <c r="D376" s="6">
        <f t="shared" ca="1" si="92"/>
        <v>6</v>
      </c>
      <c r="E376" s="68">
        <f ca="1">IFERROR(__xludf.DUMMYFUNCTION("""COMPUTED_VALUE"""),43636.6666666666)</f>
        <v>43636.666666666599</v>
      </c>
      <c r="F376" s="6">
        <f ca="1">IFERROR(__xludf.DUMMYFUNCTION("""COMPUTED_VALUE"""),2954.18)</f>
        <v>2954.18</v>
      </c>
      <c r="J376" s="6" t="str">
        <f t="shared" ca="1" si="93"/>
        <v>20196</v>
      </c>
      <c r="K376" s="6">
        <f t="shared" ca="1" si="94"/>
        <v>2019</v>
      </c>
      <c r="L376" s="6">
        <f t="shared" ca="1" si="95"/>
        <v>6</v>
      </c>
      <c r="M376" s="68">
        <f ca="1">IFERROR(__xludf.DUMMYFUNCTION("""COMPUTED_VALUE"""),43636.6666666666)</f>
        <v>43636.666666666599</v>
      </c>
      <c r="N376" s="6">
        <f ca="1">IFERROR(__xludf.DUMMYFUNCTION("""COMPUTED_VALUE"""),8051.34)</f>
        <v>8051.34</v>
      </c>
      <c r="R376" s="6" t="str">
        <f t="shared" ca="1" si="96"/>
        <v>20197</v>
      </c>
      <c r="S376" s="6">
        <f t="shared" ca="1" si="97"/>
        <v>2019</v>
      </c>
      <c r="T376" s="6">
        <f t="shared" ca="1" si="98"/>
        <v>7</v>
      </c>
      <c r="U376" s="68">
        <f ca="1">IFERROR(__xludf.DUMMYFUNCTION("""COMPUTED_VALUE"""),43661.6458333333)</f>
        <v>43661.645833333299</v>
      </c>
      <c r="V376" s="6">
        <f ca="1">IFERROR(__xludf.DUMMYFUNCTION("""COMPUTED_VALUE"""),2082.48)</f>
        <v>2082.48</v>
      </c>
      <c r="Z376" s="6" t="str">
        <f t="shared" ca="1" si="99"/>
        <v>20191</v>
      </c>
      <c r="AA376" s="6">
        <f t="shared" ca="1" si="100"/>
        <v>2019</v>
      </c>
      <c r="AB376" s="6">
        <f t="shared" ca="1" si="101"/>
        <v>1</v>
      </c>
      <c r="AC376" s="68">
        <f ca="1">IFERROR(__xludf.DUMMYFUNCTION("""COMPUTED_VALUE"""),43489.9986111111)</f>
        <v>43489.998611111099</v>
      </c>
      <c r="AD376" s="6">
        <f ca="1">IFERROR(__xludf.DUMMYFUNCTION("""COMPUTED_VALUE"""),1126.75)</f>
        <v>1126.75</v>
      </c>
      <c r="AH376" s="6" t="str">
        <f t="shared" ca="1" si="102"/>
        <v>20191</v>
      </c>
      <c r="AI376" s="6">
        <f t="shared" ca="1" si="103"/>
        <v>2019</v>
      </c>
      <c r="AJ376" s="6">
        <f t="shared" ca="1" si="104"/>
        <v>1</v>
      </c>
      <c r="AK376" s="68">
        <f ca="1">IFERROR(__xludf.DUMMYFUNCTION("""COMPUTED_VALUE"""),43468.9986111111)</f>
        <v>43468.998611111099</v>
      </c>
      <c r="AL376" s="6">
        <f ca="1">IFERROR(__xludf.DUMMYFUNCTION("""COMPUTED_VALUE"""),3792.064)</f>
        <v>3792.0639999999999</v>
      </c>
      <c r="AP376" s="6" t="str">
        <f t="shared" ca="1" si="105"/>
        <v>20196</v>
      </c>
      <c r="AQ376" s="6">
        <f t="shared" ca="1" si="106"/>
        <v>2019</v>
      </c>
      <c r="AR376" s="6">
        <f t="shared" ca="1" si="107"/>
        <v>6</v>
      </c>
      <c r="AS376" s="68">
        <f ca="1">IFERROR(__xludf.DUMMYFUNCTION("""COMPUTED_VALUE"""),43644.9986111111)</f>
        <v>43644.998611111099</v>
      </c>
      <c r="AT376" s="6">
        <f ca="1">IFERROR(__xludf.DUMMYFUNCTION("""COMPUTED_VALUE"""),1413.7)</f>
        <v>1413.7</v>
      </c>
    </row>
    <row r="377" spans="2:46" x14ac:dyDescent="0.35">
      <c r="B377" s="6" t="str">
        <f t="shared" ca="1" si="90"/>
        <v>20196</v>
      </c>
      <c r="C377" s="6">
        <f t="shared" ca="1" si="91"/>
        <v>2019</v>
      </c>
      <c r="D377" s="6">
        <f t="shared" ca="1" si="92"/>
        <v>6</v>
      </c>
      <c r="E377" s="68">
        <f ca="1">IFERROR(__xludf.DUMMYFUNCTION("""COMPUTED_VALUE"""),43637.6666666666)</f>
        <v>43637.666666666599</v>
      </c>
      <c r="F377" s="6">
        <f ca="1">IFERROR(__xludf.DUMMYFUNCTION("""COMPUTED_VALUE"""),2950.46)</f>
        <v>2950.46</v>
      </c>
      <c r="J377" s="6" t="str">
        <f t="shared" ca="1" si="93"/>
        <v>20196</v>
      </c>
      <c r="K377" s="6">
        <f t="shared" ca="1" si="94"/>
        <v>2019</v>
      </c>
      <c r="L377" s="6">
        <f t="shared" ca="1" si="95"/>
        <v>6</v>
      </c>
      <c r="M377" s="68">
        <f ca="1">IFERROR(__xludf.DUMMYFUNCTION("""COMPUTED_VALUE"""),43637.6666666666)</f>
        <v>43637.666666666599</v>
      </c>
      <c r="N377" s="6">
        <f ca="1">IFERROR(__xludf.DUMMYFUNCTION("""COMPUTED_VALUE"""),8031.71)</f>
        <v>8031.71</v>
      </c>
      <c r="R377" s="6" t="str">
        <f t="shared" ca="1" si="96"/>
        <v>20197</v>
      </c>
      <c r="S377" s="6">
        <f t="shared" ca="1" si="97"/>
        <v>2019</v>
      </c>
      <c r="T377" s="6">
        <f t="shared" ca="1" si="98"/>
        <v>7</v>
      </c>
      <c r="U377" s="68">
        <f ca="1">IFERROR(__xludf.DUMMYFUNCTION("""COMPUTED_VALUE"""),43662.6458333333)</f>
        <v>43662.645833333299</v>
      </c>
      <c r="V377" s="6">
        <f ca="1">IFERROR(__xludf.DUMMYFUNCTION("""COMPUTED_VALUE"""),2091.87)</f>
        <v>2091.87</v>
      </c>
      <c r="Z377" s="6" t="str">
        <f t="shared" ca="1" si="99"/>
        <v>20191</v>
      </c>
      <c r="AA377" s="6">
        <f t="shared" ca="1" si="100"/>
        <v>2019</v>
      </c>
      <c r="AB377" s="6">
        <f t="shared" ca="1" si="101"/>
        <v>1</v>
      </c>
      <c r="AC377" s="68">
        <f ca="1">IFERROR(__xludf.DUMMYFUNCTION("""COMPUTED_VALUE"""),43490.9986111111)</f>
        <v>43490.998611111099</v>
      </c>
      <c r="AD377" s="6">
        <f ca="1">IFERROR(__xludf.DUMMYFUNCTION("""COMPUTED_VALUE"""),1117.32)</f>
        <v>1117.32</v>
      </c>
      <c r="AH377" s="6" t="str">
        <f t="shared" ca="1" si="102"/>
        <v>20191</v>
      </c>
      <c r="AI377" s="6">
        <f t="shared" ca="1" si="103"/>
        <v>2019</v>
      </c>
      <c r="AJ377" s="6">
        <f t="shared" ca="1" si="104"/>
        <v>1</v>
      </c>
      <c r="AK377" s="68">
        <f ca="1">IFERROR(__xludf.DUMMYFUNCTION("""COMPUTED_VALUE"""),43469.9986111111)</f>
        <v>43469.998611111099</v>
      </c>
      <c r="AL377" s="6">
        <f ca="1">IFERROR(__xludf.DUMMYFUNCTION("""COMPUTED_VALUE"""),3831.475)</f>
        <v>3831.4749999999999</v>
      </c>
      <c r="AP377" s="6" t="str">
        <f t="shared" ca="1" si="105"/>
        <v>20197</v>
      </c>
      <c r="AQ377" s="6">
        <f t="shared" ca="1" si="106"/>
        <v>2019</v>
      </c>
      <c r="AR377" s="6">
        <f t="shared" ca="1" si="107"/>
        <v>7</v>
      </c>
      <c r="AS377" s="68">
        <f ca="1">IFERROR(__xludf.DUMMYFUNCTION("""COMPUTED_VALUE"""),43647.9986111111)</f>
        <v>43647.998611111099</v>
      </c>
      <c r="AT377" s="6">
        <f ca="1">IFERROR(__xludf.DUMMYFUNCTION("""COMPUTED_VALUE"""),1389.3)</f>
        <v>1389.3</v>
      </c>
    </row>
    <row r="378" spans="2:46" x14ac:dyDescent="0.35">
      <c r="B378" s="6" t="str">
        <f t="shared" ca="1" si="90"/>
        <v>20196</v>
      </c>
      <c r="C378" s="6">
        <f t="shared" ca="1" si="91"/>
        <v>2019</v>
      </c>
      <c r="D378" s="6">
        <f t="shared" ca="1" si="92"/>
        <v>6</v>
      </c>
      <c r="E378" s="68">
        <f ca="1">IFERROR(__xludf.DUMMYFUNCTION("""COMPUTED_VALUE"""),43640.6666666666)</f>
        <v>43640.666666666599</v>
      </c>
      <c r="F378" s="6">
        <f ca="1">IFERROR(__xludf.DUMMYFUNCTION("""COMPUTED_VALUE"""),2945.35)</f>
        <v>2945.35</v>
      </c>
      <c r="J378" s="6" t="str">
        <f t="shared" ca="1" si="93"/>
        <v>20196</v>
      </c>
      <c r="K378" s="6">
        <f t="shared" ca="1" si="94"/>
        <v>2019</v>
      </c>
      <c r="L378" s="6">
        <f t="shared" ca="1" si="95"/>
        <v>6</v>
      </c>
      <c r="M378" s="68">
        <f ca="1">IFERROR(__xludf.DUMMYFUNCTION("""COMPUTED_VALUE"""),43640.6666666666)</f>
        <v>43640.666666666599</v>
      </c>
      <c r="N378" s="6">
        <f ca="1">IFERROR(__xludf.DUMMYFUNCTION("""COMPUTED_VALUE"""),8005.7)</f>
        <v>8005.7</v>
      </c>
      <c r="R378" s="6" t="str">
        <f t="shared" ca="1" si="96"/>
        <v>20197</v>
      </c>
      <c r="S378" s="6">
        <f t="shared" ca="1" si="97"/>
        <v>2019</v>
      </c>
      <c r="T378" s="6">
        <f t="shared" ca="1" si="98"/>
        <v>7</v>
      </c>
      <c r="U378" s="68">
        <f ca="1">IFERROR(__xludf.DUMMYFUNCTION("""COMPUTED_VALUE"""),43663.6458333333)</f>
        <v>43663.645833333299</v>
      </c>
      <c r="V378" s="6">
        <f ca="1">IFERROR(__xludf.DUMMYFUNCTION("""COMPUTED_VALUE"""),2072.92)</f>
        <v>2072.92</v>
      </c>
      <c r="Z378" s="6" t="str">
        <f t="shared" ca="1" si="99"/>
        <v>20191</v>
      </c>
      <c r="AA378" s="6">
        <f t="shared" ca="1" si="100"/>
        <v>2019</v>
      </c>
      <c r="AB378" s="6">
        <f t="shared" ca="1" si="101"/>
        <v>1</v>
      </c>
      <c r="AC378" s="68">
        <f ca="1">IFERROR(__xludf.DUMMYFUNCTION("""COMPUTED_VALUE"""),43491.9986111111)</f>
        <v>43491.998611111099</v>
      </c>
      <c r="AD378" s="6">
        <f ca="1">IFERROR(__xludf.DUMMYFUNCTION("""COMPUTED_VALUE"""),1117)</f>
        <v>1117</v>
      </c>
      <c r="AH378" s="6" t="str">
        <f t="shared" ca="1" si="102"/>
        <v>20191</v>
      </c>
      <c r="AI378" s="6">
        <f t="shared" ca="1" si="103"/>
        <v>2019</v>
      </c>
      <c r="AJ378" s="6">
        <f t="shared" ca="1" si="104"/>
        <v>1</v>
      </c>
      <c r="AK378" s="68">
        <f ca="1">IFERROR(__xludf.DUMMYFUNCTION("""COMPUTED_VALUE"""),43470.9986111111)</f>
        <v>43470.998611111099</v>
      </c>
      <c r="AL378" s="6">
        <f ca="1">IFERROR(__xludf.DUMMYFUNCTION("""COMPUTED_VALUE"""),3802.392)</f>
        <v>3802.3919999999998</v>
      </c>
      <c r="AP378" s="6" t="str">
        <f t="shared" ca="1" si="105"/>
        <v>20197</v>
      </c>
      <c r="AQ378" s="6">
        <f t="shared" ca="1" si="106"/>
        <v>2019</v>
      </c>
      <c r="AR378" s="6">
        <f t="shared" ca="1" si="107"/>
        <v>7</v>
      </c>
      <c r="AS378" s="68">
        <f ca="1">IFERROR(__xludf.DUMMYFUNCTION("""COMPUTED_VALUE"""),43648.9986111111)</f>
        <v>43648.998611111099</v>
      </c>
      <c r="AT378" s="6">
        <f ca="1">IFERROR(__xludf.DUMMYFUNCTION("""COMPUTED_VALUE"""),1408)</f>
        <v>1408</v>
      </c>
    </row>
    <row r="379" spans="2:46" x14ac:dyDescent="0.35">
      <c r="B379" s="6" t="str">
        <f t="shared" ca="1" si="90"/>
        <v>20196</v>
      </c>
      <c r="C379" s="6">
        <f t="shared" ca="1" si="91"/>
        <v>2019</v>
      </c>
      <c r="D379" s="6">
        <f t="shared" ca="1" si="92"/>
        <v>6</v>
      </c>
      <c r="E379" s="68">
        <f ca="1">IFERROR(__xludf.DUMMYFUNCTION("""COMPUTED_VALUE"""),43641.6666666666)</f>
        <v>43641.666666666599</v>
      </c>
      <c r="F379" s="6">
        <f ca="1">IFERROR(__xludf.DUMMYFUNCTION("""COMPUTED_VALUE"""),2917.38)</f>
        <v>2917.38</v>
      </c>
      <c r="J379" s="6" t="str">
        <f t="shared" ca="1" si="93"/>
        <v>20196</v>
      </c>
      <c r="K379" s="6">
        <f t="shared" ca="1" si="94"/>
        <v>2019</v>
      </c>
      <c r="L379" s="6">
        <f t="shared" ca="1" si="95"/>
        <v>6</v>
      </c>
      <c r="M379" s="68">
        <f ca="1">IFERROR(__xludf.DUMMYFUNCTION("""COMPUTED_VALUE"""),43641.6666666666)</f>
        <v>43641.666666666599</v>
      </c>
      <c r="N379" s="6">
        <f ca="1">IFERROR(__xludf.DUMMYFUNCTION("""COMPUTED_VALUE"""),7884.72)</f>
        <v>7884.72</v>
      </c>
      <c r="R379" s="6" t="str">
        <f t="shared" ca="1" si="96"/>
        <v>20197</v>
      </c>
      <c r="S379" s="6">
        <f t="shared" ca="1" si="97"/>
        <v>2019</v>
      </c>
      <c r="T379" s="6">
        <f t="shared" ca="1" si="98"/>
        <v>7</v>
      </c>
      <c r="U379" s="68">
        <f ca="1">IFERROR(__xludf.DUMMYFUNCTION("""COMPUTED_VALUE"""),43664.6458333333)</f>
        <v>43664.645833333299</v>
      </c>
      <c r="V379" s="6">
        <f ca="1">IFERROR(__xludf.DUMMYFUNCTION("""COMPUTED_VALUE"""),2066.55)</f>
        <v>2066.5500000000002</v>
      </c>
      <c r="Z379" s="6" t="str">
        <f t="shared" ca="1" si="99"/>
        <v>20191</v>
      </c>
      <c r="AA379" s="6">
        <f t="shared" ca="1" si="100"/>
        <v>2019</v>
      </c>
      <c r="AB379" s="6">
        <f t="shared" ca="1" si="101"/>
        <v>1</v>
      </c>
      <c r="AC379" s="68">
        <f ca="1">IFERROR(__xludf.DUMMYFUNCTION("""COMPUTED_VALUE"""),43492.9986111111)</f>
        <v>43492.998611111099</v>
      </c>
      <c r="AD379" s="6">
        <f ca="1">IFERROR(__xludf.DUMMYFUNCTION("""COMPUTED_VALUE"""),1118.01)</f>
        <v>1118.01</v>
      </c>
      <c r="AH379" s="6" t="str">
        <f t="shared" ca="1" si="102"/>
        <v>20191</v>
      </c>
      <c r="AI379" s="6">
        <f t="shared" ca="1" si="103"/>
        <v>2019</v>
      </c>
      <c r="AJ379" s="6">
        <f t="shared" ca="1" si="104"/>
        <v>1</v>
      </c>
      <c r="AK379" s="68">
        <f ca="1">IFERROR(__xludf.DUMMYFUNCTION("""COMPUTED_VALUE"""),43471.9986111111)</f>
        <v>43471.998611111099</v>
      </c>
      <c r="AL379" s="6">
        <f ca="1">IFERROR(__xludf.DUMMYFUNCTION("""COMPUTED_VALUE"""),4053.686)</f>
        <v>4053.6860000000001</v>
      </c>
      <c r="AP379" s="6" t="str">
        <f t="shared" ca="1" si="105"/>
        <v>20197</v>
      </c>
      <c r="AQ379" s="6">
        <f t="shared" ca="1" si="106"/>
        <v>2019</v>
      </c>
      <c r="AR379" s="6">
        <f t="shared" ca="1" si="107"/>
        <v>7</v>
      </c>
      <c r="AS379" s="68">
        <f ca="1">IFERROR(__xludf.DUMMYFUNCTION("""COMPUTED_VALUE"""),43651.9986111111)</f>
        <v>43651.998611111099</v>
      </c>
      <c r="AT379" s="6">
        <f ca="1">IFERROR(__xludf.DUMMYFUNCTION("""COMPUTED_VALUE"""),1400.1)</f>
        <v>1400.1</v>
      </c>
    </row>
    <row r="380" spans="2:46" x14ac:dyDescent="0.35">
      <c r="B380" s="6" t="str">
        <f t="shared" ca="1" si="90"/>
        <v>20196</v>
      </c>
      <c r="C380" s="6">
        <f t="shared" ca="1" si="91"/>
        <v>2019</v>
      </c>
      <c r="D380" s="6">
        <f t="shared" ca="1" si="92"/>
        <v>6</v>
      </c>
      <c r="E380" s="68">
        <f ca="1">IFERROR(__xludf.DUMMYFUNCTION("""COMPUTED_VALUE"""),43642.6666666666)</f>
        <v>43642.666666666599</v>
      </c>
      <c r="F380" s="6">
        <f ca="1">IFERROR(__xludf.DUMMYFUNCTION("""COMPUTED_VALUE"""),2913.78)</f>
        <v>2913.78</v>
      </c>
      <c r="J380" s="6" t="str">
        <f t="shared" ca="1" si="93"/>
        <v>20196</v>
      </c>
      <c r="K380" s="6">
        <f t="shared" ca="1" si="94"/>
        <v>2019</v>
      </c>
      <c r="L380" s="6">
        <f t="shared" ca="1" si="95"/>
        <v>6</v>
      </c>
      <c r="M380" s="68">
        <f ca="1">IFERROR(__xludf.DUMMYFUNCTION("""COMPUTED_VALUE"""),43642.6666666666)</f>
        <v>43642.666666666599</v>
      </c>
      <c r="N380" s="6">
        <f ca="1">IFERROR(__xludf.DUMMYFUNCTION("""COMPUTED_VALUE"""),7909.97)</f>
        <v>7909.97</v>
      </c>
      <c r="R380" s="6" t="str">
        <f t="shared" ca="1" si="96"/>
        <v>20197</v>
      </c>
      <c r="S380" s="6">
        <f t="shared" ca="1" si="97"/>
        <v>2019</v>
      </c>
      <c r="T380" s="6">
        <f t="shared" ca="1" si="98"/>
        <v>7</v>
      </c>
      <c r="U380" s="68">
        <f ca="1">IFERROR(__xludf.DUMMYFUNCTION("""COMPUTED_VALUE"""),43665.6458333333)</f>
        <v>43665.645833333299</v>
      </c>
      <c r="V380" s="6">
        <f ca="1">IFERROR(__xludf.DUMMYFUNCTION("""COMPUTED_VALUE"""),2094.36)</f>
        <v>2094.36</v>
      </c>
      <c r="Z380" s="6" t="str">
        <f t="shared" ca="1" si="99"/>
        <v>20191</v>
      </c>
      <c r="AA380" s="6">
        <f t="shared" ca="1" si="100"/>
        <v>2019</v>
      </c>
      <c r="AB380" s="6">
        <f t="shared" ca="1" si="101"/>
        <v>1</v>
      </c>
      <c r="AC380" s="68">
        <f ca="1">IFERROR(__xludf.DUMMYFUNCTION("""COMPUTED_VALUE"""),43493.9986111111)</f>
        <v>43493.998611111099</v>
      </c>
      <c r="AD380" s="6">
        <f ca="1">IFERROR(__xludf.DUMMYFUNCTION("""COMPUTED_VALUE"""),1119.7)</f>
        <v>1119.7</v>
      </c>
      <c r="AH380" s="6" t="str">
        <f t="shared" ca="1" si="102"/>
        <v>20191</v>
      </c>
      <c r="AI380" s="6">
        <f t="shared" ca="1" si="103"/>
        <v>2019</v>
      </c>
      <c r="AJ380" s="6">
        <f t="shared" ca="1" si="104"/>
        <v>1</v>
      </c>
      <c r="AK380" s="68">
        <f ca="1">IFERROR(__xludf.DUMMYFUNCTION("""COMPUTED_VALUE"""),43472.9986111111)</f>
        <v>43472.998611111099</v>
      </c>
      <c r="AL380" s="6">
        <f ca="1">IFERROR(__xludf.DUMMYFUNCTION("""COMPUTED_VALUE"""),4014.808)</f>
        <v>4014.808</v>
      </c>
      <c r="AP380" s="6" t="str">
        <f t="shared" ca="1" si="105"/>
        <v>20197</v>
      </c>
      <c r="AQ380" s="6">
        <f t="shared" ca="1" si="106"/>
        <v>2019</v>
      </c>
      <c r="AR380" s="6">
        <f t="shared" ca="1" si="107"/>
        <v>7</v>
      </c>
      <c r="AS380" s="68">
        <f ca="1">IFERROR(__xludf.DUMMYFUNCTION("""COMPUTED_VALUE"""),43654.9986111111)</f>
        <v>43654.998611111099</v>
      </c>
      <c r="AT380" s="6">
        <f ca="1">IFERROR(__xludf.DUMMYFUNCTION("""COMPUTED_VALUE"""),1400)</f>
        <v>1400</v>
      </c>
    </row>
    <row r="381" spans="2:46" x14ac:dyDescent="0.35">
      <c r="B381" s="6" t="str">
        <f t="shared" ca="1" si="90"/>
        <v>20196</v>
      </c>
      <c r="C381" s="6">
        <f t="shared" ca="1" si="91"/>
        <v>2019</v>
      </c>
      <c r="D381" s="6">
        <f t="shared" ca="1" si="92"/>
        <v>6</v>
      </c>
      <c r="E381" s="68">
        <f ca="1">IFERROR(__xludf.DUMMYFUNCTION("""COMPUTED_VALUE"""),43643.6666666666)</f>
        <v>43643.666666666599</v>
      </c>
      <c r="F381" s="6">
        <f ca="1">IFERROR(__xludf.DUMMYFUNCTION("""COMPUTED_VALUE"""),2924.92)</f>
        <v>2924.92</v>
      </c>
      <c r="J381" s="6" t="str">
        <f t="shared" ca="1" si="93"/>
        <v>20196</v>
      </c>
      <c r="K381" s="6">
        <f t="shared" ca="1" si="94"/>
        <v>2019</v>
      </c>
      <c r="L381" s="6">
        <f t="shared" ca="1" si="95"/>
        <v>6</v>
      </c>
      <c r="M381" s="68">
        <f ca="1">IFERROR(__xludf.DUMMYFUNCTION("""COMPUTED_VALUE"""),43643.6666666666)</f>
        <v>43643.666666666599</v>
      </c>
      <c r="N381" s="6">
        <f ca="1">IFERROR(__xludf.DUMMYFUNCTION("""COMPUTED_VALUE"""),7967.76)</f>
        <v>7967.76</v>
      </c>
      <c r="R381" s="6" t="str">
        <f t="shared" ca="1" si="96"/>
        <v>20197</v>
      </c>
      <c r="S381" s="6">
        <f t="shared" ca="1" si="97"/>
        <v>2019</v>
      </c>
      <c r="T381" s="6">
        <f t="shared" ca="1" si="98"/>
        <v>7</v>
      </c>
      <c r="U381" s="68">
        <f ca="1">IFERROR(__xludf.DUMMYFUNCTION("""COMPUTED_VALUE"""),43668.6458333333)</f>
        <v>43668.645833333299</v>
      </c>
      <c r="V381" s="6">
        <f ca="1">IFERROR(__xludf.DUMMYFUNCTION("""COMPUTED_VALUE"""),2093.34)</f>
        <v>2093.34</v>
      </c>
      <c r="Z381" s="6" t="str">
        <f t="shared" ca="1" si="99"/>
        <v>20191</v>
      </c>
      <c r="AA381" s="6">
        <f t="shared" ca="1" si="100"/>
        <v>2019</v>
      </c>
      <c r="AB381" s="6">
        <f t="shared" ca="1" si="101"/>
        <v>1</v>
      </c>
      <c r="AC381" s="68">
        <f ca="1">IFERROR(__xludf.DUMMYFUNCTION("""COMPUTED_VALUE"""),43494.9986111111)</f>
        <v>43494.998611111099</v>
      </c>
      <c r="AD381" s="6">
        <f ca="1">IFERROR(__xludf.DUMMYFUNCTION("""COMPUTED_VALUE"""),1117.87)</f>
        <v>1117.8699999999999</v>
      </c>
      <c r="AH381" s="6" t="str">
        <f t="shared" ca="1" si="102"/>
        <v>20191</v>
      </c>
      <c r="AI381" s="6">
        <f t="shared" ca="1" si="103"/>
        <v>2019</v>
      </c>
      <c r="AJ381" s="6">
        <f t="shared" ca="1" si="104"/>
        <v>1</v>
      </c>
      <c r="AK381" s="68">
        <f ca="1">IFERROR(__xludf.DUMMYFUNCTION("""COMPUTED_VALUE"""),43473.9986111111)</f>
        <v>43473.998611111099</v>
      </c>
      <c r="AL381" s="6">
        <f ca="1">IFERROR(__xludf.DUMMYFUNCTION("""COMPUTED_VALUE"""),3997.441)</f>
        <v>3997.4409999999998</v>
      </c>
      <c r="AP381" s="6" t="str">
        <f t="shared" ca="1" si="105"/>
        <v>20197</v>
      </c>
      <c r="AQ381" s="6">
        <f t="shared" ca="1" si="106"/>
        <v>2019</v>
      </c>
      <c r="AR381" s="6">
        <f t="shared" ca="1" si="107"/>
        <v>7</v>
      </c>
      <c r="AS381" s="68">
        <f ca="1">IFERROR(__xludf.DUMMYFUNCTION("""COMPUTED_VALUE"""),43655.9986111111)</f>
        <v>43655.998611111099</v>
      </c>
      <c r="AT381" s="6">
        <f ca="1">IFERROR(__xludf.DUMMYFUNCTION("""COMPUTED_VALUE"""),1400.5)</f>
        <v>1400.5</v>
      </c>
    </row>
    <row r="382" spans="2:46" x14ac:dyDescent="0.35">
      <c r="B382" s="6" t="str">
        <f t="shared" ca="1" si="90"/>
        <v>20196</v>
      </c>
      <c r="C382" s="6">
        <f t="shared" ca="1" si="91"/>
        <v>2019</v>
      </c>
      <c r="D382" s="6">
        <f t="shared" ca="1" si="92"/>
        <v>6</v>
      </c>
      <c r="E382" s="68">
        <f ca="1">IFERROR(__xludf.DUMMYFUNCTION("""COMPUTED_VALUE"""),43644.6666666666)</f>
        <v>43644.666666666599</v>
      </c>
      <c r="F382" s="6">
        <f ca="1">IFERROR(__xludf.DUMMYFUNCTION("""COMPUTED_VALUE"""),2941.76)</f>
        <v>2941.76</v>
      </c>
      <c r="J382" s="6" t="str">
        <f t="shared" ca="1" si="93"/>
        <v>20196</v>
      </c>
      <c r="K382" s="6">
        <f t="shared" ca="1" si="94"/>
        <v>2019</v>
      </c>
      <c r="L382" s="6">
        <f t="shared" ca="1" si="95"/>
        <v>6</v>
      </c>
      <c r="M382" s="68">
        <f ca="1">IFERROR(__xludf.DUMMYFUNCTION("""COMPUTED_VALUE"""),43644.6666666666)</f>
        <v>43644.666666666599</v>
      </c>
      <c r="N382" s="6">
        <f ca="1">IFERROR(__xludf.DUMMYFUNCTION("""COMPUTED_VALUE"""),8006.24)</f>
        <v>8006.24</v>
      </c>
      <c r="R382" s="6" t="str">
        <f t="shared" ca="1" si="96"/>
        <v>20197</v>
      </c>
      <c r="S382" s="6">
        <f t="shared" ca="1" si="97"/>
        <v>2019</v>
      </c>
      <c r="T382" s="6">
        <f t="shared" ca="1" si="98"/>
        <v>7</v>
      </c>
      <c r="U382" s="68">
        <f ca="1">IFERROR(__xludf.DUMMYFUNCTION("""COMPUTED_VALUE"""),43669.6458333333)</f>
        <v>43669.645833333299</v>
      </c>
      <c r="V382" s="6">
        <f ca="1">IFERROR(__xludf.DUMMYFUNCTION("""COMPUTED_VALUE"""),2101.45)</f>
        <v>2101.4499999999998</v>
      </c>
      <c r="Z382" s="6" t="str">
        <f t="shared" ca="1" si="99"/>
        <v>20191</v>
      </c>
      <c r="AA382" s="6">
        <f t="shared" ca="1" si="100"/>
        <v>2019</v>
      </c>
      <c r="AB382" s="6">
        <f t="shared" ca="1" si="101"/>
        <v>1</v>
      </c>
      <c r="AC382" s="68">
        <f ca="1">IFERROR(__xludf.DUMMYFUNCTION("""COMPUTED_VALUE"""),43495.9986111111)</f>
        <v>43495.998611111099</v>
      </c>
      <c r="AD382" s="6">
        <f ca="1">IFERROR(__xludf.DUMMYFUNCTION("""COMPUTED_VALUE"""),1109)</f>
        <v>1109</v>
      </c>
      <c r="AH382" s="6" t="str">
        <f t="shared" ca="1" si="102"/>
        <v>20191</v>
      </c>
      <c r="AI382" s="6">
        <f t="shared" ca="1" si="103"/>
        <v>2019</v>
      </c>
      <c r="AJ382" s="6">
        <f t="shared" ca="1" si="104"/>
        <v>1</v>
      </c>
      <c r="AK382" s="68">
        <f ca="1">IFERROR(__xludf.DUMMYFUNCTION("""COMPUTED_VALUE"""),43474.9986111111)</f>
        <v>43474.998611111099</v>
      </c>
      <c r="AL382" s="6">
        <f ca="1">IFERROR(__xludf.DUMMYFUNCTION("""COMPUTED_VALUE"""),4018.623)</f>
        <v>4018.623</v>
      </c>
      <c r="AP382" s="6" t="str">
        <f t="shared" ca="1" si="105"/>
        <v>20197</v>
      </c>
      <c r="AQ382" s="6">
        <f t="shared" ca="1" si="106"/>
        <v>2019</v>
      </c>
      <c r="AR382" s="6">
        <f t="shared" ca="1" si="107"/>
        <v>7</v>
      </c>
      <c r="AS382" s="68">
        <f ca="1">IFERROR(__xludf.DUMMYFUNCTION("""COMPUTED_VALUE"""),43656.9986111111)</f>
        <v>43656.998611111099</v>
      </c>
      <c r="AT382" s="6">
        <f ca="1">IFERROR(__xludf.DUMMYFUNCTION("""COMPUTED_VALUE"""),1412.5)</f>
        <v>1412.5</v>
      </c>
    </row>
    <row r="383" spans="2:46" x14ac:dyDescent="0.35">
      <c r="B383" s="6" t="str">
        <f t="shared" ca="1" si="90"/>
        <v>20197</v>
      </c>
      <c r="C383" s="6">
        <f t="shared" ca="1" si="91"/>
        <v>2019</v>
      </c>
      <c r="D383" s="6">
        <f t="shared" ca="1" si="92"/>
        <v>7</v>
      </c>
      <c r="E383" s="68">
        <f ca="1">IFERROR(__xludf.DUMMYFUNCTION("""COMPUTED_VALUE"""),43647.6666666666)</f>
        <v>43647.666666666599</v>
      </c>
      <c r="F383" s="6">
        <f ca="1">IFERROR(__xludf.DUMMYFUNCTION("""COMPUTED_VALUE"""),2964.33)</f>
        <v>2964.33</v>
      </c>
      <c r="J383" s="6" t="str">
        <f t="shared" ca="1" si="93"/>
        <v>20197</v>
      </c>
      <c r="K383" s="6">
        <f t="shared" ca="1" si="94"/>
        <v>2019</v>
      </c>
      <c r="L383" s="6">
        <f t="shared" ca="1" si="95"/>
        <v>7</v>
      </c>
      <c r="M383" s="68">
        <f ca="1">IFERROR(__xludf.DUMMYFUNCTION("""COMPUTED_VALUE"""),43647.6666666666)</f>
        <v>43647.666666666599</v>
      </c>
      <c r="N383" s="6">
        <f ca="1">IFERROR(__xludf.DUMMYFUNCTION("""COMPUTED_VALUE"""),8091.16)</f>
        <v>8091.16</v>
      </c>
      <c r="R383" s="6" t="str">
        <f t="shared" ca="1" si="96"/>
        <v>20197</v>
      </c>
      <c r="S383" s="6">
        <f t="shared" ca="1" si="97"/>
        <v>2019</v>
      </c>
      <c r="T383" s="6">
        <f t="shared" ca="1" si="98"/>
        <v>7</v>
      </c>
      <c r="U383" s="68">
        <f ca="1">IFERROR(__xludf.DUMMYFUNCTION("""COMPUTED_VALUE"""),43670.6458333333)</f>
        <v>43670.645833333299</v>
      </c>
      <c r="V383" s="6">
        <f ca="1">IFERROR(__xludf.DUMMYFUNCTION("""COMPUTED_VALUE"""),2082.3)</f>
        <v>2082.3000000000002</v>
      </c>
      <c r="Z383" s="6" t="str">
        <f t="shared" ca="1" si="99"/>
        <v>20191</v>
      </c>
      <c r="AA383" s="6">
        <f t="shared" ca="1" si="100"/>
        <v>2019</v>
      </c>
      <c r="AB383" s="6">
        <f t="shared" ca="1" si="101"/>
        <v>1</v>
      </c>
      <c r="AC383" s="68">
        <f ca="1">IFERROR(__xludf.DUMMYFUNCTION("""COMPUTED_VALUE"""),43496.9986111111)</f>
        <v>43496.998611111099</v>
      </c>
      <c r="AD383" s="6">
        <f ca="1">IFERROR(__xludf.DUMMYFUNCTION("""COMPUTED_VALUE"""),1111.55)</f>
        <v>1111.55</v>
      </c>
      <c r="AH383" s="6" t="str">
        <f t="shared" ca="1" si="102"/>
        <v>20191</v>
      </c>
      <c r="AI383" s="6">
        <f t="shared" ca="1" si="103"/>
        <v>2019</v>
      </c>
      <c r="AJ383" s="6">
        <f t="shared" ca="1" si="104"/>
        <v>1</v>
      </c>
      <c r="AK383" s="68">
        <f ca="1">IFERROR(__xludf.DUMMYFUNCTION("""COMPUTED_VALUE"""),43475.9986111111)</f>
        <v>43475.998611111099</v>
      </c>
      <c r="AL383" s="6">
        <f ca="1">IFERROR(__xludf.DUMMYFUNCTION("""COMPUTED_VALUE"""),3624.146)</f>
        <v>3624.1460000000002</v>
      </c>
      <c r="AP383" s="6" t="str">
        <f t="shared" ca="1" si="105"/>
        <v>20197</v>
      </c>
      <c r="AQ383" s="6">
        <f t="shared" ca="1" si="106"/>
        <v>2019</v>
      </c>
      <c r="AR383" s="6">
        <f t="shared" ca="1" si="107"/>
        <v>7</v>
      </c>
      <c r="AS383" s="68">
        <f ca="1">IFERROR(__xludf.DUMMYFUNCTION("""COMPUTED_VALUE"""),43657.9986111111)</f>
        <v>43657.998611111099</v>
      </c>
      <c r="AT383" s="6">
        <f ca="1">IFERROR(__xludf.DUMMYFUNCTION("""COMPUTED_VALUE"""),1406.7)</f>
        <v>1406.7</v>
      </c>
    </row>
    <row r="384" spans="2:46" x14ac:dyDescent="0.35">
      <c r="B384" s="6" t="str">
        <f t="shared" ca="1" si="90"/>
        <v>20197</v>
      </c>
      <c r="C384" s="6">
        <f t="shared" ca="1" si="91"/>
        <v>2019</v>
      </c>
      <c r="D384" s="6">
        <f t="shared" ca="1" si="92"/>
        <v>7</v>
      </c>
      <c r="E384" s="68">
        <f ca="1">IFERROR(__xludf.DUMMYFUNCTION("""COMPUTED_VALUE"""),43648.6666666666)</f>
        <v>43648.666666666599</v>
      </c>
      <c r="F384" s="6">
        <f ca="1">IFERROR(__xludf.DUMMYFUNCTION("""COMPUTED_VALUE"""),2973.01)</f>
        <v>2973.01</v>
      </c>
      <c r="J384" s="6" t="str">
        <f t="shared" ca="1" si="93"/>
        <v>20197</v>
      </c>
      <c r="K384" s="6">
        <f t="shared" ca="1" si="94"/>
        <v>2019</v>
      </c>
      <c r="L384" s="6">
        <f t="shared" ca="1" si="95"/>
        <v>7</v>
      </c>
      <c r="M384" s="68">
        <f ca="1">IFERROR(__xludf.DUMMYFUNCTION("""COMPUTED_VALUE"""),43648.6666666666)</f>
        <v>43648.666666666599</v>
      </c>
      <c r="N384" s="6">
        <f ca="1">IFERROR(__xludf.DUMMYFUNCTION("""COMPUTED_VALUE"""),8109.09)</f>
        <v>8109.09</v>
      </c>
      <c r="R384" s="6" t="str">
        <f t="shared" ca="1" si="96"/>
        <v>20197</v>
      </c>
      <c r="S384" s="6">
        <f t="shared" ca="1" si="97"/>
        <v>2019</v>
      </c>
      <c r="T384" s="6">
        <f t="shared" ca="1" si="98"/>
        <v>7</v>
      </c>
      <c r="U384" s="68">
        <f ca="1">IFERROR(__xludf.DUMMYFUNCTION("""COMPUTED_VALUE"""),43671.6458333333)</f>
        <v>43671.645833333299</v>
      </c>
      <c r="V384" s="6">
        <f ca="1">IFERROR(__xludf.DUMMYFUNCTION("""COMPUTED_VALUE"""),2074.48)</f>
        <v>2074.48</v>
      </c>
      <c r="Z384" s="6" t="str">
        <f t="shared" ca="1" si="99"/>
        <v>20192</v>
      </c>
      <c r="AA384" s="6">
        <f t="shared" ca="1" si="100"/>
        <v>2019</v>
      </c>
      <c r="AB384" s="6">
        <f t="shared" ca="1" si="101"/>
        <v>2</v>
      </c>
      <c r="AC384" s="68">
        <f ca="1">IFERROR(__xludf.DUMMYFUNCTION("""COMPUTED_VALUE"""),43497.9986111111)</f>
        <v>43497.998611111099</v>
      </c>
      <c r="AD384" s="6">
        <f ca="1">IFERROR(__xludf.DUMMYFUNCTION("""COMPUTED_VALUE"""),1118)</f>
        <v>1118</v>
      </c>
      <c r="AH384" s="6" t="str">
        <f t="shared" ca="1" si="102"/>
        <v>20191</v>
      </c>
      <c r="AI384" s="6">
        <f t="shared" ca="1" si="103"/>
        <v>2019</v>
      </c>
      <c r="AJ384" s="6">
        <f t="shared" ca="1" si="104"/>
        <v>1</v>
      </c>
      <c r="AK384" s="68">
        <f ca="1">IFERROR(__xludf.DUMMYFUNCTION("""COMPUTED_VALUE"""),43476.9986111111)</f>
        <v>43476.998611111099</v>
      </c>
      <c r="AL384" s="6">
        <f ca="1">IFERROR(__xludf.DUMMYFUNCTION("""COMPUTED_VALUE"""),3640.597)</f>
        <v>3640.5970000000002</v>
      </c>
      <c r="AP384" s="6" t="str">
        <f t="shared" ca="1" si="105"/>
        <v>20197</v>
      </c>
      <c r="AQ384" s="6">
        <f t="shared" ca="1" si="106"/>
        <v>2019</v>
      </c>
      <c r="AR384" s="6">
        <f t="shared" ca="1" si="107"/>
        <v>7</v>
      </c>
      <c r="AS384" s="68">
        <f ca="1">IFERROR(__xludf.DUMMYFUNCTION("""COMPUTED_VALUE"""),43658.9986111111)</f>
        <v>43658.998611111099</v>
      </c>
      <c r="AT384" s="6">
        <f ca="1">IFERROR(__xludf.DUMMYFUNCTION("""COMPUTED_VALUE"""),1412.2)</f>
        <v>1412.2</v>
      </c>
    </row>
    <row r="385" spans="2:46" x14ac:dyDescent="0.35">
      <c r="B385" s="6" t="str">
        <f t="shared" ca="1" si="90"/>
        <v>20197</v>
      </c>
      <c r="C385" s="6">
        <f t="shared" ca="1" si="91"/>
        <v>2019</v>
      </c>
      <c r="D385" s="6">
        <f t="shared" ca="1" si="92"/>
        <v>7</v>
      </c>
      <c r="E385" s="68">
        <f ca="1">IFERROR(__xludf.DUMMYFUNCTION("""COMPUTED_VALUE"""),43649.5416666666)</f>
        <v>43649.541666666599</v>
      </c>
      <c r="F385" s="6">
        <f ca="1">IFERROR(__xludf.DUMMYFUNCTION("""COMPUTED_VALUE"""),2995.82)</f>
        <v>2995.82</v>
      </c>
      <c r="J385" s="6" t="str">
        <f t="shared" ca="1" si="93"/>
        <v>20197</v>
      </c>
      <c r="K385" s="6">
        <f t="shared" ca="1" si="94"/>
        <v>2019</v>
      </c>
      <c r="L385" s="6">
        <f t="shared" ca="1" si="95"/>
        <v>7</v>
      </c>
      <c r="M385" s="68">
        <f ca="1">IFERROR(__xludf.DUMMYFUNCTION("""COMPUTED_VALUE"""),43649.5416666666)</f>
        <v>43649.541666666599</v>
      </c>
      <c r="N385" s="6">
        <f ca="1">IFERROR(__xludf.DUMMYFUNCTION("""COMPUTED_VALUE"""),8170.23)</f>
        <v>8170.23</v>
      </c>
      <c r="R385" s="6" t="str">
        <f t="shared" ca="1" si="96"/>
        <v>20197</v>
      </c>
      <c r="S385" s="6">
        <f t="shared" ca="1" si="97"/>
        <v>2019</v>
      </c>
      <c r="T385" s="6">
        <f t="shared" ca="1" si="98"/>
        <v>7</v>
      </c>
      <c r="U385" s="68">
        <f ca="1">IFERROR(__xludf.DUMMYFUNCTION("""COMPUTED_VALUE"""),43672.6458333333)</f>
        <v>43672.645833333299</v>
      </c>
      <c r="V385" s="6">
        <f ca="1">IFERROR(__xludf.DUMMYFUNCTION("""COMPUTED_VALUE"""),2066.26)</f>
        <v>2066.2600000000002</v>
      </c>
      <c r="Z385" s="6" t="str">
        <f t="shared" ca="1" si="99"/>
        <v>20192</v>
      </c>
      <c r="AA385" s="6">
        <f t="shared" ca="1" si="100"/>
        <v>2019</v>
      </c>
      <c r="AB385" s="6">
        <f t="shared" ca="1" si="101"/>
        <v>2</v>
      </c>
      <c r="AC385" s="68">
        <f ca="1">IFERROR(__xludf.DUMMYFUNCTION("""COMPUTED_VALUE"""),43499.9986111111)</f>
        <v>43499.998611111099</v>
      </c>
      <c r="AD385" s="6">
        <f ca="1">IFERROR(__xludf.DUMMYFUNCTION("""COMPUTED_VALUE"""),1118.3)</f>
        <v>1118.3</v>
      </c>
      <c r="AH385" s="6" t="str">
        <f t="shared" ca="1" si="102"/>
        <v>20191</v>
      </c>
      <c r="AI385" s="6">
        <f t="shared" ca="1" si="103"/>
        <v>2019</v>
      </c>
      <c r="AJ385" s="6">
        <f t="shared" ca="1" si="104"/>
        <v>1</v>
      </c>
      <c r="AK385" s="68">
        <f ca="1">IFERROR(__xludf.DUMMYFUNCTION("""COMPUTED_VALUE"""),43477.9986111111)</f>
        <v>43477.998611111099</v>
      </c>
      <c r="AL385" s="6">
        <f ca="1">IFERROR(__xludf.DUMMYFUNCTION("""COMPUTED_VALUE"""),3624.767)</f>
        <v>3624.7669999999998</v>
      </c>
      <c r="AP385" s="6" t="str">
        <f t="shared" ca="1" si="105"/>
        <v>20197</v>
      </c>
      <c r="AQ385" s="6">
        <f t="shared" ca="1" si="106"/>
        <v>2019</v>
      </c>
      <c r="AR385" s="6">
        <f t="shared" ca="1" si="107"/>
        <v>7</v>
      </c>
      <c r="AS385" s="68">
        <f ca="1">IFERROR(__xludf.DUMMYFUNCTION("""COMPUTED_VALUE"""),43661.9986111111)</f>
        <v>43661.998611111099</v>
      </c>
      <c r="AT385" s="6">
        <f ca="1">IFERROR(__xludf.DUMMYFUNCTION("""COMPUTED_VALUE"""),1413.5)</f>
        <v>1413.5</v>
      </c>
    </row>
    <row r="386" spans="2:46" x14ac:dyDescent="0.35">
      <c r="B386" s="6" t="str">
        <f t="shared" ca="1" si="90"/>
        <v>20197</v>
      </c>
      <c r="C386" s="6">
        <f t="shared" ca="1" si="91"/>
        <v>2019</v>
      </c>
      <c r="D386" s="6">
        <f t="shared" ca="1" si="92"/>
        <v>7</v>
      </c>
      <c r="E386" s="68">
        <f ca="1">IFERROR(__xludf.DUMMYFUNCTION("""COMPUTED_VALUE"""),43651.6666666666)</f>
        <v>43651.666666666599</v>
      </c>
      <c r="F386" s="6">
        <f ca="1">IFERROR(__xludf.DUMMYFUNCTION("""COMPUTED_VALUE"""),2990.41)</f>
        <v>2990.41</v>
      </c>
      <c r="J386" s="6" t="str">
        <f t="shared" ca="1" si="93"/>
        <v>20197</v>
      </c>
      <c r="K386" s="6">
        <f t="shared" ca="1" si="94"/>
        <v>2019</v>
      </c>
      <c r="L386" s="6">
        <f t="shared" ca="1" si="95"/>
        <v>7</v>
      </c>
      <c r="M386" s="68">
        <f ca="1">IFERROR(__xludf.DUMMYFUNCTION("""COMPUTED_VALUE"""),43651.6666666666)</f>
        <v>43651.666666666599</v>
      </c>
      <c r="N386" s="6">
        <f ca="1">IFERROR(__xludf.DUMMYFUNCTION("""COMPUTED_VALUE"""),8161.79)</f>
        <v>8161.79</v>
      </c>
      <c r="R386" s="6" t="str">
        <f t="shared" ca="1" si="96"/>
        <v>20197</v>
      </c>
      <c r="S386" s="6">
        <f t="shared" ca="1" si="97"/>
        <v>2019</v>
      </c>
      <c r="T386" s="6">
        <f t="shared" ca="1" si="98"/>
        <v>7</v>
      </c>
      <c r="U386" s="68">
        <f ca="1">IFERROR(__xludf.DUMMYFUNCTION("""COMPUTED_VALUE"""),43675.6458333333)</f>
        <v>43675.645833333299</v>
      </c>
      <c r="V386" s="6">
        <f ca="1">IFERROR(__xludf.DUMMYFUNCTION("""COMPUTED_VALUE"""),2029.48)</f>
        <v>2029.48</v>
      </c>
      <c r="Z386" s="6" t="str">
        <f t="shared" ca="1" si="99"/>
        <v>20192</v>
      </c>
      <c r="AA386" s="6">
        <f t="shared" ca="1" si="100"/>
        <v>2019</v>
      </c>
      <c r="AB386" s="6">
        <f t="shared" ca="1" si="101"/>
        <v>2</v>
      </c>
      <c r="AC386" s="68">
        <f ca="1">IFERROR(__xludf.DUMMYFUNCTION("""COMPUTED_VALUE"""),43500.9986111111)</f>
        <v>43500.998611111099</v>
      </c>
      <c r="AD386" s="6">
        <f ca="1">IFERROR(__xludf.DUMMYFUNCTION("""COMPUTED_VALUE"""),1121.1)</f>
        <v>1121.0999999999999</v>
      </c>
      <c r="AH386" s="6" t="str">
        <f t="shared" ca="1" si="102"/>
        <v>20191</v>
      </c>
      <c r="AI386" s="6">
        <f t="shared" ca="1" si="103"/>
        <v>2019</v>
      </c>
      <c r="AJ386" s="6">
        <f t="shared" ca="1" si="104"/>
        <v>1</v>
      </c>
      <c r="AK386" s="68">
        <f ca="1">IFERROR(__xludf.DUMMYFUNCTION("""COMPUTED_VALUE"""),43478.9986111111)</f>
        <v>43478.998611111099</v>
      </c>
      <c r="AL386" s="6">
        <f ca="1">IFERROR(__xludf.DUMMYFUNCTION("""COMPUTED_VALUE"""),3511.743)</f>
        <v>3511.7429999999999</v>
      </c>
      <c r="AP386" s="6" t="str">
        <f t="shared" ca="1" si="105"/>
        <v>20197</v>
      </c>
      <c r="AQ386" s="6">
        <f t="shared" ca="1" si="106"/>
        <v>2019</v>
      </c>
      <c r="AR386" s="6">
        <f t="shared" ca="1" si="107"/>
        <v>7</v>
      </c>
      <c r="AS386" s="68">
        <f ca="1">IFERROR(__xludf.DUMMYFUNCTION("""COMPUTED_VALUE"""),43662.9986111111)</f>
        <v>43662.998611111099</v>
      </c>
      <c r="AT386" s="6">
        <f ca="1">IFERROR(__xludf.DUMMYFUNCTION("""COMPUTED_VALUE"""),1411.2)</f>
        <v>1411.2</v>
      </c>
    </row>
    <row r="387" spans="2:46" x14ac:dyDescent="0.35">
      <c r="B387" s="6" t="str">
        <f t="shared" ca="1" si="90"/>
        <v>20197</v>
      </c>
      <c r="C387" s="6">
        <f t="shared" ca="1" si="91"/>
        <v>2019</v>
      </c>
      <c r="D387" s="6">
        <f t="shared" ca="1" si="92"/>
        <v>7</v>
      </c>
      <c r="E387" s="68">
        <f ca="1">IFERROR(__xludf.DUMMYFUNCTION("""COMPUTED_VALUE"""),43654.6666666666)</f>
        <v>43654.666666666599</v>
      </c>
      <c r="F387" s="6">
        <f ca="1">IFERROR(__xludf.DUMMYFUNCTION("""COMPUTED_VALUE"""),2975.95)</f>
        <v>2975.95</v>
      </c>
      <c r="J387" s="6" t="str">
        <f t="shared" ca="1" si="93"/>
        <v>20197</v>
      </c>
      <c r="K387" s="6">
        <f t="shared" ca="1" si="94"/>
        <v>2019</v>
      </c>
      <c r="L387" s="6">
        <f t="shared" ca="1" si="95"/>
        <v>7</v>
      </c>
      <c r="M387" s="68">
        <f ca="1">IFERROR(__xludf.DUMMYFUNCTION("""COMPUTED_VALUE"""),43654.6666666666)</f>
        <v>43654.666666666599</v>
      </c>
      <c r="N387" s="6">
        <f ca="1">IFERROR(__xludf.DUMMYFUNCTION("""COMPUTED_VALUE"""),8098.38)</f>
        <v>8098.38</v>
      </c>
      <c r="R387" s="6" t="str">
        <f t="shared" ca="1" si="96"/>
        <v>20197</v>
      </c>
      <c r="S387" s="6">
        <f t="shared" ca="1" si="97"/>
        <v>2019</v>
      </c>
      <c r="T387" s="6">
        <f t="shared" ca="1" si="98"/>
        <v>7</v>
      </c>
      <c r="U387" s="68">
        <f ca="1">IFERROR(__xludf.DUMMYFUNCTION("""COMPUTED_VALUE"""),43676.6458333333)</f>
        <v>43676.645833333299</v>
      </c>
      <c r="V387" s="6">
        <f ca="1">IFERROR(__xludf.DUMMYFUNCTION("""COMPUTED_VALUE"""),2038.68)</f>
        <v>2038.68</v>
      </c>
      <c r="Z387" s="6" t="str">
        <f t="shared" ca="1" si="99"/>
        <v>20192</v>
      </c>
      <c r="AA387" s="6">
        <f t="shared" ca="1" si="100"/>
        <v>2019</v>
      </c>
      <c r="AB387" s="6">
        <f t="shared" ca="1" si="101"/>
        <v>2</v>
      </c>
      <c r="AC387" s="68">
        <f ca="1">IFERROR(__xludf.DUMMYFUNCTION("""COMPUTED_VALUE"""),43501.9986111111)</f>
        <v>43501.998611111099</v>
      </c>
      <c r="AD387" s="6">
        <f ca="1">IFERROR(__xludf.DUMMYFUNCTION("""COMPUTED_VALUE"""),1118.7)</f>
        <v>1118.7</v>
      </c>
      <c r="AH387" s="6" t="str">
        <f t="shared" ca="1" si="102"/>
        <v>20191</v>
      </c>
      <c r="AI387" s="6">
        <f t="shared" ca="1" si="103"/>
        <v>2019</v>
      </c>
      <c r="AJ387" s="6">
        <f t="shared" ca="1" si="104"/>
        <v>1</v>
      </c>
      <c r="AK387" s="68">
        <f ca="1">IFERROR(__xludf.DUMMYFUNCTION("""COMPUTED_VALUE"""),43479.9986111111)</f>
        <v>43479.998611111099</v>
      </c>
      <c r="AL387" s="6">
        <f ca="1">IFERROR(__xludf.DUMMYFUNCTION("""COMPUTED_VALUE"""),3670.165)</f>
        <v>3670.165</v>
      </c>
      <c r="AP387" s="6" t="str">
        <f t="shared" ca="1" si="105"/>
        <v>20197</v>
      </c>
      <c r="AQ387" s="6">
        <f t="shared" ca="1" si="106"/>
        <v>2019</v>
      </c>
      <c r="AR387" s="6">
        <f t="shared" ca="1" si="107"/>
        <v>7</v>
      </c>
      <c r="AS387" s="68">
        <f ca="1">IFERROR(__xludf.DUMMYFUNCTION("""COMPUTED_VALUE"""),43663.9986111111)</f>
        <v>43663.998611111099</v>
      </c>
      <c r="AT387" s="6">
        <f ca="1">IFERROR(__xludf.DUMMYFUNCTION("""COMPUTED_VALUE"""),1423.3)</f>
        <v>1423.3</v>
      </c>
    </row>
    <row r="388" spans="2:46" x14ac:dyDescent="0.35">
      <c r="B388" s="6" t="str">
        <f t="shared" ca="1" si="90"/>
        <v>20197</v>
      </c>
      <c r="C388" s="6">
        <f t="shared" ca="1" si="91"/>
        <v>2019</v>
      </c>
      <c r="D388" s="6">
        <f t="shared" ca="1" si="92"/>
        <v>7</v>
      </c>
      <c r="E388" s="68">
        <f ca="1">IFERROR(__xludf.DUMMYFUNCTION("""COMPUTED_VALUE"""),43655.6666666666)</f>
        <v>43655.666666666599</v>
      </c>
      <c r="F388" s="6">
        <f ca="1">IFERROR(__xludf.DUMMYFUNCTION("""COMPUTED_VALUE"""),2979.63)</f>
        <v>2979.63</v>
      </c>
      <c r="J388" s="6" t="str">
        <f t="shared" ca="1" si="93"/>
        <v>20197</v>
      </c>
      <c r="K388" s="6">
        <f t="shared" ca="1" si="94"/>
        <v>2019</v>
      </c>
      <c r="L388" s="6">
        <f t="shared" ca="1" si="95"/>
        <v>7</v>
      </c>
      <c r="M388" s="68">
        <f ca="1">IFERROR(__xludf.DUMMYFUNCTION("""COMPUTED_VALUE"""),43655.6666666666)</f>
        <v>43655.666666666599</v>
      </c>
      <c r="N388" s="6">
        <f ca="1">IFERROR(__xludf.DUMMYFUNCTION("""COMPUTED_VALUE"""),8141.73)</f>
        <v>8141.73</v>
      </c>
      <c r="R388" s="6" t="str">
        <f t="shared" ca="1" si="96"/>
        <v>20197</v>
      </c>
      <c r="S388" s="6">
        <f t="shared" ca="1" si="97"/>
        <v>2019</v>
      </c>
      <c r="T388" s="6">
        <f t="shared" ca="1" si="98"/>
        <v>7</v>
      </c>
      <c r="U388" s="68">
        <f ca="1">IFERROR(__xludf.DUMMYFUNCTION("""COMPUTED_VALUE"""),43677.6458333333)</f>
        <v>43677.645833333299</v>
      </c>
      <c r="V388" s="6">
        <f ca="1">IFERROR(__xludf.DUMMYFUNCTION("""COMPUTED_VALUE"""),2024.55)</f>
        <v>2024.55</v>
      </c>
      <c r="Z388" s="6" t="str">
        <f t="shared" ca="1" si="99"/>
        <v>20192</v>
      </c>
      <c r="AA388" s="6">
        <f t="shared" ca="1" si="100"/>
        <v>2019</v>
      </c>
      <c r="AB388" s="6">
        <f t="shared" ca="1" si="101"/>
        <v>2</v>
      </c>
      <c r="AC388" s="68">
        <f ca="1">IFERROR(__xludf.DUMMYFUNCTION("""COMPUTED_VALUE"""),43502.9986111111)</f>
        <v>43502.998611111099</v>
      </c>
      <c r="AD388" s="6">
        <f ca="1">IFERROR(__xludf.DUMMYFUNCTION("""COMPUTED_VALUE"""),1121.63)</f>
        <v>1121.6300000000001</v>
      </c>
      <c r="AH388" s="6" t="str">
        <f t="shared" ca="1" si="102"/>
        <v>20191</v>
      </c>
      <c r="AI388" s="6">
        <f t="shared" ca="1" si="103"/>
        <v>2019</v>
      </c>
      <c r="AJ388" s="6">
        <f t="shared" ca="1" si="104"/>
        <v>1</v>
      </c>
      <c r="AK388" s="68">
        <f ca="1">IFERROR(__xludf.DUMMYFUNCTION("""COMPUTED_VALUE"""),43480.9986111111)</f>
        <v>43480.998611111099</v>
      </c>
      <c r="AL388" s="6">
        <f ca="1">IFERROR(__xludf.DUMMYFUNCTION("""COMPUTED_VALUE"""),3604.193)</f>
        <v>3604.1930000000002</v>
      </c>
      <c r="AP388" s="6" t="str">
        <f t="shared" ca="1" si="105"/>
        <v>20197</v>
      </c>
      <c r="AQ388" s="6">
        <f t="shared" ca="1" si="106"/>
        <v>2019</v>
      </c>
      <c r="AR388" s="6">
        <f t="shared" ca="1" si="107"/>
        <v>7</v>
      </c>
      <c r="AS388" s="68">
        <f ca="1">IFERROR(__xludf.DUMMYFUNCTION("""COMPUTED_VALUE"""),43664.9986111111)</f>
        <v>43664.998611111099</v>
      </c>
      <c r="AT388" s="6">
        <f ca="1">IFERROR(__xludf.DUMMYFUNCTION("""COMPUTED_VALUE"""),1428.1)</f>
        <v>1428.1</v>
      </c>
    </row>
    <row r="389" spans="2:46" x14ac:dyDescent="0.35">
      <c r="B389" s="6" t="str">
        <f t="shared" ca="1" si="90"/>
        <v>20197</v>
      </c>
      <c r="C389" s="6">
        <f t="shared" ca="1" si="91"/>
        <v>2019</v>
      </c>
      <c r="D389" s="6">
        <f t="shared" ca="1" si="92"/>
        <v>7</v>
      </c>
      <c r="E389" s="68">
        <f ca="1">IFERROR(__xludf.DUMMYFUNCTION("""COMPUTED_VALUE"""),43656.6666666666)</f>
        <v>43656.666666666599</v>
      </c>
      <c r="F389" s="6">
        <f ca="1">IFERROR(__xludf.DUMMYFUNCTION("""COMPUTED_VALUE"""),2993.07)</f>
        <v>2993.07</v>
      </c>
      <c r="J389" s="6" t="str">
        <f t="shared" ca="1" si="93"/>
        <v>20197</v>
      </c>
      <c r="K389" s="6">
        <f t="shared" ca="1" si="94"/>
        <v>2019</v>
      </c>
      <c r="L389" s="6">
        <f t="shared" ca="1" si="95"/>
        <v>7</v>
      </c>
      <c r="M389" s="68">
        <f ca="1">IFERROR(__xludf.DUMMYFUNCTION("""COMPUTED_VALUE"""),43656.6666666666)</f>
        <v>43656.666666666599</v>
      </c>
      <c r="N389" s="6">
        <f ca="1">IFERROR(__xludf.DUMMYFUNCTION("""COMPUTED_VALUE"""),8202.53)</f>
        <v>8202.5300000000007</v>
      </c>
      <c r="R389" s="6" t="str">
        <f t="shared" ca="1" si="96"/>
        <v>20198</v>
      </c>
      <c r="S389" s="6">
        <f t="shared" ca="1" si="97"/>
        <v>2019</v>
      </c>
      <c r="T389" s="6">
        <f t="shared" ca="1" si="98"/>
        <v>8</v>
      </c>
      <c r="U389" s="68">
        <f ca="1">IFERROR(__xludf.DUMMYFUNCTION("""COMPUTED_VALUE"""),43678.6458333333)</f>
        <v>43678.645833333299</v>
      </c>
      <c r="V389" s="6">
        <f ca="1">IFERROR(__xludf.DUMMYFUNCTION("""COMPUTED_VALUE"""),2017.34)</f>
        <v>2017.34</v>
      </c>
      <c r="Z389" s="6" t="str">
        <f t="shared" ca="1" si="99"/>
        <v>20192</v>
      </c>
      <c r="AA389" s="6">
        <f t="shared" ca="1" si="100"/>
        <v>2019</v>
      </c>
      <c r="AB389" s="6">
        <f t="shared" ca="1" si="101"/>
        <v>2</v>
      </c>
      <c r="AC389" s="68">
        <f ca="1">IFERROR(__xludf.DUMMYFUNCTION("""COMPUTED_VALUE"""),43503.9986111111)</f>
        <v>43503.998611111099</v>
      </c>
      <c r="AD389" s="6">
        <f ca="1">IFERROR(__xludf.DUMMYFUNCTION("""COMPUTED_VALUE"""),1123.75)</f>
        <v>1123.75</v>
      </c>
      <c r="AH389" s="6" t="str">
        <f t="shared" ca="1" si="102"/>
        <v>20191</v>
      </c>
      <c r="AI389" s="6">
        <f t="shared" ca="1" si="103"/>
        <v>2019</v>
      </c>
      <c r="AJ389" s="6">
        <f t="shared" ca="1" si="104"/>
        <v>1</v>
      </c>
      <c r="AK389" s="68">
        <f ca="1">IFERROR(__xludf.DUMMYFUNCTION("""COMPUTED_VALUE"""),43481.9986111111)</f>
        <v>43481.998611111099</v>
      </c>
      <c r="AL389" s="6">
        <f ca="1">IFERROR(__xludf.DUMMYFUNCTION("""COMPUTED_VALUE"""),3604.278)</f>
        <v>3604.2779999999998</v>
      </c>
      <c r="AP389" s="6" t="str">
        <f t="shared" ca="1" si="105"/>
        <v>20197</v>
      </c>
      <c r="AQ389" s="6">
        <f t="shared" ca="1" si="106"/>
        <v>2019</v>
      </c>
      <c r="AR389" s="6">
        <f t="shared" ca="1" si="107"/>
        <v>7</v>
      </c>
      <c r="AS389" s="68">
        <f ca="1">IFERROR(__xludf.DUMMYFUNCTION("""COMPUTED_VALUE"""),43665.9986111111)</f>
        <v>43665.998611111099</v>
      </c>
      <c r="AT389" s="6">
        <f ca="1">IFERROR(__xludf.DUMMYFUNCTION("""COMPUTED_VALUE"""),1426.7)</f>
        <v>1426.7</v>
      </c>
    </row>
    <row r="390" spans="2:46" x14ac:dyDescent="0.35">
      <c r="B390" s="6" t="str">
        <f t="shared" ca="1" si="90"/>
        <v>20197</v>
      </c>
      <c r="C390" s="6">
        <f t="shared" ca="1" si="91"/>
        <v>2019</v>
      </c>
      <c r="D390" s="6">
        <f t="shared" ca="1" si="92"/>
        <v>7</v>
      </c>
      <c r="E390" s="68">
        <f ca="1">IFERROR(__xludf.DUMMYFUNCTION("""COMPUTED_VALUE"""),43657.6666666666)</f>
        <v>43657.666666666599</v>
      </c>
      <c r="F390" s="6">
        <f ca="1">IFERROR(__xludf.DUMMYFUNCTION("""COMPUTED_VALUE"""),2999.91)</f>
        <v>2999.91</v>
      </c>
      <c r="J390" s="6" t="str">
        <f t="shared" ca="1" si="93"/>
        <v>20197</v>
      </c>
      <c r="K390" s="6">
        <f t="shared" ca="1" si="94"/>
        <v>2019</v>
      </c>
      <c r="L390" s="6">
        <f t="shared" ca="1" si="95"/>
        <v>7</v>
      </c>
      <c r="M390" s="68">
        <f ca="1">IFERROR(__xludf.DUMMYFUNCTION("""COMPUTED_VALUE"""),43657.6666666666)</f>
        <v>43657.666666666599</v>
      </c>
      <c r="N390" s="6">
        <f ca="1">IFERROR(__xludf.DUMMYFUNCTION("""COMPUTED_VALUE"""),8196.04)</f>
        <v>8196.0400000000009</v>
      </c>
      <c r="R390" s="6" t="str">
        <f t="shared" ca="1" si="96"/>
        <v>20198</v>
      </c>
      <c r="S390" s="6">
        <f t="shared" ca="1" si="97"/>
        <v>2019</v>
      </c>
      <c r="T390" s="6">
        <f t="shared" ca="1" si="98"/>
        <v>8</v>
      </c>
      <c r="U390" s="68">
        <f ca="1">IFERROR(__xludf.DUMMYFUNCTION("""COMPUTED_VALUE"""),43679.6458333333)</f>
        <v>43679.645833333299</v>
      </c>
      <c r="V390" s="6">
        <f ca="1">IFERROR(__xludf.DUMMYFUNCTION("""COMPUTED_VALUE"""),1998.13)</f>
        <v>1998.13</v>
      </c>
      <c r="Z390" s="6" t="str">
        <f t="shared" ca="1" si="99"/>
        <v>20192</v>
      </c>
      <c r="AA390" s="6">
        <f t="shared" ca="1" si="100"/>
        <v>2019</v>
      </c>
      <c r="AB390" s="6">
        <f t="shared" ca="1" si="101"/>
        <v>2</v>
      </c>
      <c r="AC390" s="68">
        <f ca="1">IFERROR(__xludf.DUMMYFUNCTION("""COMPUTED_VALUE"""),43504.9986111111)</f>
        <v>43504.998611111099</v>
      </c>
      <c r="AD390" s="6">
        <f ca="1">IFERROR(__xludf.DUMMYFUNCTION("""COMPUTED_VALUE"""),1122.79)</f>
        <v>1122.79</v>
      </c>
      <c r="AH390" s="6" t="str">
        <f t="shared" ca="1" si="102"/>
        <v>20191</v>
      </c>
      <c r="AI390" s="6">
        <f t="shared" ca="1" si="103"/>
        <v>2019</v>
      </c>
      <c r="AJ390" s="6">
        <f t="shared" ca="1" si="104"/>
        <v>1</v>
      </c>
      <c r="AK390" s="68">
        <f ca="1">IFERROR(__xludf.DUMMYFUNCTION("""COMPUTED_VALUE"""),43482.9986111111)</f>
        <v>43482.998611111099</v>
      </c>
      <c r="AL390" s="6">
        <f ca="1">IFERROR(__xludf.DUMMYFUNCTION("""COMPUTED_VALUE"""),3650.267)</f>
        <v>3650.2669999999998</v>
      </c>
      <c r="AP390" s="6" t="str">
        <f t="shared" ca="1" si="105"/>
        <v>20197</v>
      </c>
      <c r="AQ390" s="6">
        <f t="shared" ca="1" si="106"/>
        <v>2019</v>
      </c>
      <c r="AR390" s="6">
        <f t="shared" ca="1" si="107"/>
        <v>7</v>
      </c>
      <c r="AS390" s="68">
        <f ca="1">IFERROR(__xludf.DUMMYFUNCTION("""COMPUTED_VALUE"""),43668.9986111111)</f>
        <v>43668.998611111099</v>
      </c>
      <c r="AT390" s="6">
        <f ca="1">IFERROR(__xludf.DUMMYFUNCTION("""COMPUTED_VALUE"""),1426.9)</f>
        <v>1426.9</v>
      </c>
    </row>
    <row r="391" spans="2:46" x14ac:dyDescent="0.35">
      <c r="B391" s="6" t="str">
        <f t="shared" ref="B391:B454" ca="1" si="108">C391&amp;D391</f>
        <v>20197</v>
      </c>
      <c r="C391" s="6">
        <f t="shared" ref="C391:C454" ca="1" si="109">YEAR(E391)</f>
        <v>2019</v>
      </c>
      <c r="D391" s="6">
        <f t="shared" ref="D391:D454" ca="1" si="110">MONTH(E391)</f>
        <v>7</v>
      </c>
      <c r="E391" s="68">
        <f ca="1">IFERROR(__xludf.DUMMYFUNCTION("""COMPUTED_VALUE"""),43658.6666666666)</f>
        <v>43658.666666666599</v>
      </c>
      <c r="F391" s="6">
        <f ca="1">IFERROR(__xludf.DUMMYFUNCTION("""COMPUTED_VALUE"""),3013.77)</f>
        <v>3013.77</v>
      </c>
      <c r="J391" s="6" t="str">
        <f t="shared" ref="J391:J454" ca="1" si="111">K391&amp;L391</f>
        <v>20197</v>
      </c>
      <c r="K391" s="6">
        <f t="shared" ref="K391:K454" ca="1" si="112">YEAR(M391)</f>
        <v>2019</v>
      </c>
      <c r="L391" s="6">
        <f t="shared" ref="L391:L454" ca="1" si="113">MONTH(M391)</f>
        <v>7</v>
      </c>
      <c r="M391" s="68">
        <f ca="1">IFERROR(__xludf.DUMMYFUNCTION("""COMPUTED_VALUE"""),43658.6666666666)</f>
        <v>43658.666666666599</v>
      </c>
      <c r="N391" s="6">
        <f ca="1">IFERROR(__xludf.DUMMYFUNCTION("""COMPUTED_VALUE"""),8244.14)</f>
        <v>8244.14</v>
      </c>
      <c r="R391" s="6" t="str">
        <f t="shared" ref="R391:R454" ca="1" si="114">S391&amp;T391</f>
        <v>20198</v>
      </c>
      <c r="S391" s="6">
        <f t="shared" ref="S391:S454" ca="1" si="115">YEAR(U391)</f>
        <v>2019</v>
      </c>
      <c r="T391" s="6">
        <f t="shared" ref="T391:T454" ca="1" si="116">MONTH(U391)</f>
        <v>8</v>
      </c>
      <c r="U391" s="68">
        <f ca="1">IFERROR(__xludf.DUMMYFUNCTION("""COMPUTED_VALUE"""),43682.6458333333)</f>
        <v>43682.645833333299</v>
      </c>
      <c r="V391" s="6">
        <f ca="1">IFERROR(__xludf.DUMMYFUNCTION("""COMPUTED_VALUE"""),1946.98)</f>
        <v>1946.98</v>
      </c>
      <c r="Z391" s="6" t="str">
        <f t="shared" ref="Z391:Z454" ca="1" si="117">AA391&amp;AB391</f>
        <v>20192</v>
      </c>
      <c r="AA391" s="6">
        <f t="shared" ref="AA391:AA454" ca="1" si="118">YEAR(AC391)</f>
        <v>2019</v>
      </c>
      <c r="AB391" s="6">
        <f t="shared" ref="AB391:AB454" ca="1" si="119">MONTH(AC391)</f>
        <v>2</v>
      </c>
      <c r="AC391" s="68">
        <f ca="1">IFERROR(__xludf.DUMMYFUNCTION("""COMPUTED_VALUE"""),43505.9986111111)</f>
        <v>43505.998611111099</v>
      </c>
      <c r="AD391" s="6">
        <f ca="1">IFERROR(__xludf.DUMMYFUNCTION("""COMPUTED_VALUE"""),1122.5)</f>
        <v>1122.5</v>
      </c>
      <c r="AH391" s="6" t="str">
        <f t="shared" ref="AH391:AH454" ca="1" si="120">AI391&amp;AJ391</f>
        <v>20191</v>
      </c>
      <c r="AI391" s="6">
        <f t="shared" ref="AI391:AI454" ca="1" si="121">YEAR(AK391)</f>
        <v>2019</v>
      </c>
      <c r="AJ391" s="6">
        <f t="shared" ref="AJ391:AJ454" ca="1" si="122">MONTH(AK391)</f>
        <v>1</v>
      </c>
      <c r="AK391" s="68">
        <f ca="1">IFERROR(__xludf.DUMMYFUNCTION("""COMPUTED_VALUE"""),43483.9986111111)</f>
        <v>43483.998611111099</v>
      </c>
      <c r="AL391" s="6">
        <f ca="1">IFERROR(__xludf.DUMMYFUNCTION("""COMPUTED_VALUE"""),3613.682)</f>
        <v>3613.6819999999998</v>
      </c>
      <c r="AP391" s="6" t="str">
        <f t="shared" ref="AP391:AP454" ca="1" si="123">AQ391&amp;AR391</f>
        <v>20197</v>
      </c>
      <c r="AQ391" s="6">
        <f t="shared" ref="AQ391:AQ454" ca="1" si="124">YEAR(AS391)</f>
        <v>2019</v>
      </c>
      <c r="AR391" s="6">
        <f t="shared" ref="AR391:AR454" ca="1" si="125">MONTH(AS391)</f>
        <v>7</v>
      </c>
      <c r="AS391" s="68">
        <f ca="1">IFERROR(__xludf.DUMMYFUNCTION("""COMPUTED_VALUE"""),43669.9986111111)</f>
        <v>43669.998611111099</v>
      </c>
      <c r="AT391" s="6">
        <f ca="1">IFERROR(__xludf.DUMMYFUNCTION("""COMPUTED_VALUE"""),1421.7)</f>
        <v>1421.7</v>
      </c>
    </row>
    <row r="392" spans="2:46" x14ac:dyDescent="0.35">
      <c r="B392" s="6" t="str">
        <f t="shared" ca="1" si="108"/>
        <v>20197</v>
      </c>
      <c r="C392" s="6">
        <f t="shared" ca="1" si="109"/>
        <v>2019</v>
      </c>
      <c r="D392" s="6">
        <f t="shared" ca="1" si="110"/>
        <v>7</v>
      </c>
      <c r="E392" s="68">
        <f ca="1">IFERROR(__xludf.DUMMYFUNCTION("""COMPUTED_VALUE"""),43661.6666666666)</f>
        <v>43661.666666666599</v>
      </c>
      <c r="F392" s="6">
        <f ca="1">IFERROR(__xludf.DUMMYFUNCTION("""COMPUTED_VALUE"""),3014.3)</f>
        <v>3014.3</v>
      </c>
      <c r="J392" s="6" t="str">
        <f t="shared" ca="1" si="111"/>
        <v>20197</v>
      </c>
      <c r="K392" s="6">
        <f t="shared" ca="1" si="112"/>
        <v>2019</v>
      </c>
      <c r="L392" s="6">
        <f t="shared" ca="1" si="113"/>
        <v>7</v>
      </c>
      <c r="M392" s="68">
        <f ca="1">IFERROR(__xludf.DUMMYFUNCTION("""COMPUTED_VALUE"""),43661.6666666666)</f>
        <v>43661.666666666599</v>
      </c>
      <c r="N392" s="6">
        <f ca="1">IFERROR(__xludf.DUMMYFUNCTION("""COMPUTED_VALUE"""),8258.19)</f>
        <v>8258.19</v>
      </c>
      <c r="R392" s="6" t="str">
        <f t="shared" ca="1" si="114"/>
        <v>20198</v>
      </c>
      <c r="S392" s="6">
        <f t="shared" ca="1" si="115"/>
        <v>2019</v>
      </c>
      <c r="T392" s="6">
        <f t="shared" ca="1" si="116"/>
        <v>8</v>
      </c>
      <c r="U392" s="68">
        <f ca="1">IFERROR(__xludf.DUMMYFUNCTION("""COMPUTED_VALUE"""),43683.6458333333)</f>
        <v>43683.645833333299</v>
      </c>
      <c r="V392" s="6">
        <f ca="1">IFERROR(__xludf.DUMMYFUNCTION("""COMPUTED_VALUE"""),1917.5)</f>
        <v>1917.5</v>
      </c>
      <c r="Z392" s="6" t="str">
        <f t="shared" ca="1" si="117"/>
        <v>20192</v>
      </c>
      <c r="AA392" s="6">
        <f t="shared" ca="1" si="118"/>
        <v>2019</v>
      </c>
      <c r="AB392" s="6">
        <f t="shared" ca="1" si="119"/>
        <v>2</v>
      </c>
      <c r="AC392" s="68">
        <f ca="1">IFERROR(__xludf.DUMMYFUNCTION("""COMPUTED_VALUE"""),43506.9986111111)</f>
        <v>43506.998611111099</v>
      </c>
      <c r="AD392" s="6">
        <f ca="1">IFERROR(__xludf.DUMMYFUNCTION("""COMPUTED_VALUE"""),1122.88)</f>
        <v>1122.8800000000001</v>
      </c>
      <c r="AH392" s="6" t="str">
        <f t="shared" ca="1" si="120"/>
        <v>20191</v>
      </c>
      <c r="AI392" s="6">
        <f t="shared" ca="1" si="121"/>
        <v>2019</v>
      </c>
      <c r="AJ392" s="6">
        <f t="shared" ca="1" si="122"/>
        <v>1</v>
      </c>
      <c r="AK392" s="68">
        <f ca="1">IFERROR(__xludf.DUMMYFUNCTION("""COMPUTED_VALUE"""),43484.9986111111)</f>
        <v>43484.998611111099</v>
      </c>
      <c r="AL392" s="6">
        <f ca="1">IFERROR(__xludf.DUMMYFUNCTION("""COMPUTED_VALUE"""),3704.358)</f>
        <v>3704.3580000000002</v>
      </c>
      <c r="AP392" s="6" t="str">
        <f t="shared" ca="1" si="123"/>
        <v>20197</v>
      </c>
      <c r="AQ392" s="6">
        <f t="shared" ca="1" si="124"/>
        <v>2019</v>
      </c>
      <c r="AR392" s="6">
        <f t="shared" ca="1" si="125"/>
        <v>7</v>
      </c>
      <c r="AS392" s="68">
        <f ca="1">IFERROR(__xludf.DUMMYFUNCTION("""COMPUTED_VALUE"""),43670.9986111111)</f>
        <v>43670.998611111099</v>
      </c>
      <c r="AT392" s="6">
        <f ca="1">IFERROR(__xludf.DUMMYFUNCTION("""COMPUTED_VALUE"""),1436.5)</f>
        <v>1436.5</v>
      </c>
    </row>
    <row r="393" spans="2:46" x14ac:dyDescent="0.35">
      <c r="B393" s="6" t="str">
        <f t="shared" ca="1" si="108"/>
        <v>20197</v>
      </c>
      <c r="C393" s="6">
        <f t="shared" ca="1" si="109"/>
        <v>2019</v>
      </c>
      <c r="D393" s="6">
        <f t="shared" ca="1" si="110"/>
        <v>7</v>
      </c>
      <c r="E393" s="68">
        <f ca="1">IFERROR(__xludf.DUMMYFUNCTION("""COMPUTED_VALUE"""),43662.6666666666)</f>
        <v>43662.666666666599</v>
      </c>
      <c r="F393" s="6">
        <f ca="1">IFERROR(__xludf.DUMMYFUNCTION("""COMPUTED_VALUE"""),3004.04)</f>
        <v>3004.04</v>
      </c>
      <c r="J393" s="6" t="str">
        <f t="shared" ca="1" si="111"/>
        <v>20197</v>
      </c>
      <c r="K393" s="6">
        <f t="shared" ca="1" si="112"/>
        <v>2019</v>
      </c>
      <c r="L393" s="6">
        <f t="shared" ca="1" si="113"/>
        <v>7</v>
      </c>
      <c r="M393" s="68">
        <f ca="1">IFERROR(__xludf.DUMMYFUNCTION("""COMPUTED_VALUE"""),43662.6666666666)</f>
        <v>43662.666666666599</v>
      </c>
      <c r="N393" s="6">
        <f ca="1">IFERROR(__xludf.DUMMYFUNCTION("""COMPUTED_VALUE"""),8222.8)</f>
        <v>8222.7999999999993</v>
      </c>
      <c r="R393" s="6" t="str">
        <f t="shared" ca="1" si="114"/>
        <v>20198</v>
      </c>
      <c r="S393" s="6">
        <f t="shared" ca="1" si="115"/>
        <v>2019</v>
      </c>
      <c r="T393" s="6">
        <f t="shared" ca="1" si="116"/>
        <v>8</v>
      </c>
      <c r="U393" s="68">
        <f ca="1">IFERROR(__xludf.DUMMYFUNCTION("""COMPUTED_VALUE"""),43684.6458333333)</f>
        <v>43684.645833333299</v>
      </c>
      <c r="V393" s="6">
        <f ca="1">IFERROR(__xludf.DUMMYFUNCTION("""COMPUTED_VALUE"""),1909.71)</f>
        <v>1909.71</v>
      </c>
      <c r="Z393" s="6" t="str">
        <f t="shared" ca="1" si="117"/>
        <v>20192</v>
      </c>
      <c r="AA393" s="6">
        <f t="shared" ca="1" si="118"/>
        <v>2019</v>
      </c>
      <c r="AB393" s="6">
        <f t="shared" ca="1" si="119"/>
        <v>2</v>
      </c>
      <c r="AC393" s="68">
        <f ca="1">IFERROR(__xludf.DUMMYFUNCTION("""COMPUTED_VALUE"""),43507.9986111111)</f>
        <v>43507.998611111099</v>
      </c>
      <c r="AD393" s="6">
        <f ca="1">IFERROR(__xludf.DUMMYFUNCTION("""COMPUTED_VALUE"""),1125.02)</f>
        <v>1125.02</v>
      </c>
      <c r="AH393" s="6" t="str">
        <f t="shared" ca="1" si="120"/>
        <v>20191</v>
      </c>
      <c r="AI393" s="6">
        <f t="shared" ca="1" si="121"/>
        <v>2019</v>
      </c>
      <c r="AJ393" s="6">
        <f t="shared" ca="1" si="122"/>
        <v>1</v>
      </c>
      <c r="AK393" s="68">
        <f ca="1">IFERROR(__xludf.DUMMYFUNCTION("""COMPUTED_VALUE"""),43485.9986111111)</f>
        <v>43485.998611111099</v>
      </c>
      <c r="AL393" s="6">
        <f ca="1">IFERROR(__xludf.DUMMYFUNCTION("""COMPUTED_VALUE"""),3546.262)</f>
        <v>3546.2620000000002</v>
      </c>
      <c r="AP393" s="6" t="str">
        <f t="shared" ca="1" si="123"/>
        <v>20197</v>
      </c>
      <c r="AQ393" s="6">
        <f t="shared" ca="1" si="124"/>
        <v>2019</v>
      </c>
      <c r="AR393" s="6">
        <f t="shared" ca="1" si="125"/>
        <v>7</v>
      </c>
      <c r="AS393" s="68">
        <f ca="1">IFERROR(__xludf.DUMMYFUNCTION("""COMPUTED_VALUE"""),43671.9986111111)</f>
        <v>43671.998611111099</v>
      </c>
      <c r="AT393" s="6">
        <f ca="1">IFERROR(__xludf.DUMMYFUNCTION("""COMPUTED_VALUE"""),1427.5)</f>
        <v>1427.5</v>
      </c>
    </row>
    <row r="394" spans="2:46" x14ac:dyDescent="0.35">
      <c r="B394" s="6" t="str">
        <f t="shared" ca="1" si="108"/>
        <v>20197</v>
      </c>
      <c r="C394" s="6">
        <f t="shared" ca="1" si="109"/>
        <v>2019</v>
      </c>
      <c r="D394" s="6">
        <f t="shared" ca="1" si="110"/>
        <v>7</v>
      </c>
      <c r="E394" s="68">
        <f ca="1">IFERROR(__xludf.DUMMYFUNCTION("""COMPUTED_VALUE"""),43663.6666666666)</f>
        <v>43663.666666666599</v>
      </c>
      <c r="F394" s="6">
        <f ca="1">IFERROR(__xludf.DUMMYFUNCTION("""COMPUTED_VALUE"""),2984.42)</f>
        <v>2984.42</v>
      </c>
      <c r="J394" s="6" t="str">
        <f t="shared" ca="1" si="111"/>
        <v>20197</v>
      </c>
      <c r="K394" s="6">
        <f t="shared" ca="1" si="112"/>
        <v>2019</v>
      </c>
      <c r="L394" s="6">
        <f t="shared" ca="1" si="113"/>
        <v>7</v>
      </c>
      <c r="M394" s="68">
        <f ca="1">IFERROR(__xludf.DUMMYFUNCTION("""COMPUTED_VALUE"""),43663.6666666666)</f>
        <v>43663.666666666599</v>
      </c>
      <c r="N394" s="6">
        <f ca="1">IFERROR(__xludf.DUMMYFUNCTION("""COMPUTED_VALUE"""),8185.21)</f>
        <v>8185.21</v>
      </c>
      <c r="R394" s="6" t="str">
        <f t="shared" ca="1" si="114"/>
        <v>20198</v>
      </c>
      <c r="S394" s="6">
        <f t="shared" ca="1" si="115"/>
        <v>2019</v>
      </c>
      <c r="T394" s="6">
        <f t="shared" ca="1" si="116"/>
        <v>8</v>
      </c>
      <c r="U394" s="68">
        <f ca="1">IFERROR(__xludf.DUMMYFUNCTION("""COMPUTED_VALUE"""),43685.6458333333)</f>
        <v>43685.645833333299</v>
      </c>
      <c r="V394" s="6">
        <f ca="1">IFERROR(__xludf.DUMMYFUNCTION("""COMPUTED_VALUE"""),1920.61)</f>
        <v>1920.61</v>
      </c>
      <c r="Z394" s="6" t="str">
        <f t="shared" ca="1" si="117"/>
        <v>20192</v>
      </c>
      <c r="AA394" s="6">
        <f t="shared" ca="1" si="118"/>
        <v>2019</v>
      </c>
      <c r="AB394" s="6">
        <f t="shared" ca="1" si="119"/>
        <v>2</v>
      </c>
      <c r="AC394" s="68">
        <f ca="1">IFERROR(__xludf.DUMMYFUNCTION("""COMPUTED_VALUE"""),43508.9986111111)</f>
        <v>43508.998611111099</v>
      </c>
      <c r="AD394" s="6">
        <f ca="1">IFERROR(__xludf.DUMMYFUNCTION("""COMPUTED_VALUE"""),1120.3)</f>
        <v>1120.3</v>
      </c>
      <c r="AH394" s="6" t="str">
        <f t="shared" ca="1" si="120"/>
        <v>20191</v>
      </c>
      <c r="AI394" s="6">
        <f t="shared" ca="1" si="121"/>
        <v>2019</v>
      </c>
      <c r="AJ394" s="6">
        <f t="shared" ca="1" si="122"/>
        <v>1</v>
      </c>
      <c r="AK394" s="68">
        <f ca="1">IFERROR(__xludf.DUMMYFUNCTION("""COMPUTED_VALUE"""),43486.9986111111)</f>
        <v>43486.998611111099</v>
      </c>
      <c r="AL394" s="6">
        <f ca="1">IFERROR(__xludf.DUMMYFUNCTION("""COMPUTED_VALUE"""),3535.121)</f>
        <v>3535.1210000000001</v>
      </c>
      <c r="AP394" s="6" t="str">
        <f t="shared" ca="1" si="123"/>
        <v>20197</v>
      </c>
      <c r="AQ394" s="6">
        <f t="shared" ca="1" si="124"/>
        <v>2019</v>
      </c>
      <c r="AR394" s="6">
        <f t="shared" ca="1" si="125"/>
        <v>7</v>
      </c>
      <c r="AS394" s="68">
        <f ca="1">IFERROR(__xludf.DUMMYFUNCTION("""COMPUTED_VALUE"""),43672.9986111111)</f>
        <v>43672.998611111099</v>
      </c>
      <c r="AT394" s="6">
        <f ca="1">IFERROR(__xludf.DUMMYFUNCTION("""COMPUTED_VALUE"""),1432.2)</f>
        <v>1432.2</v>
      </c>
    </row>
    <row r="395" spans="2:46" x14ac:dyDescent="0.35">
      <c r="B395" s="6" t="str">
        <f t="shared" ca="1" si="108"/>
        <v>20197</v>
      </c>
      <c r="C395" s="6">
        <f t="shared" ca="1" si="109"/>
        <v>2019</v>
      </c>
      <c r="D395" s="6">
        <f t="shared" ca="1" si="110"/>
        <v>7</v>
      </c>
      <c r="E395" s="68">
        <f ca="1">IFERROR(__xludf.DUMMYFUNCTION("""COMPUTED_VALUE"""),43664.6666666666)</f>
        <v>43664.666666666599</v>
      </c>
      <c r="F395" s="6">
        <f ca="1">IFERROR(__xludf.DUMMYFUNCTION("""COMPUTED_VALUE"""),2995.11)</f>
        <v>2995.11</v>
      </c>
      <c r="J395" s="6" t="str">
        <f t="shared" ca="1" si="111"/>
        <v>20197</v>
      </c>
      <c r="K395" s="6">
        <f t="shared" ca="1" si="112"/>
        <v>2019</v>
      </c>
      <c r="L395" s="6">
        <f t="shared" ca="1" si="113"/>
        <v>7</v>
      </c>
      <c r="M395" s="68">
        <f ca="1">IFERROR(__xludf.DUMMYFUNCTION("""COMPUTED_VALUE"""),43664.6666666666)</f>
        <v>43664.666666666599</v>
      </c>
      <c r="N395" s="6">
        <f ca="1">IFERROR(__xludf.DUMMYFUNCTION("""COMPUTED_VALUE"""),8207.24)</f>
        <v>8207.24</v>
      </c>
      <c r="R395" s="6" t="str">
        <f t="shared" ca="1" si="114"/>
        <v>20198</v>
      </c>
      <c r="S395" s="6">
        <f t="shared" ca="1" si="115"/>
        <v>2019</v>
      </c>
      <c r="T395" s="6">
        <f t="shared" ca="1" si="116"/>
        <v>8</v>
      </c>
      <c r="U395" s="68">
        <f ca="1">IFERROR(__xludf.DUMMYFUNCTION("""COMPUTED_VALUE"""),43686.6458333333)</f>
        <v>43686.645833333299</v>
      </c>
      <c r="V395" s="6">
        <f ca="1">IFERROR(__xludf.DUMMYFUNCTION("""COMPUTED_VALUE"""),1937.75)</f>
        <v>1937.75</v>
      </c>
      <c r="Z395" s="6" t="str">
        <f t="shared" ca="1" si="117"/>
        <v>20192</v>
      </c>
      <c r="AA395" s="6">
        <f t="shared" ca="1" si="118"/>
        <v>2019</v>
      </c>
      <c r="AB395" s="6">
        <f t="shared" ca="1" si="119"/>
        <v>2</v>
      </c>
      <c r="AC395" s="68">
        <f ca="1">IFERROR(__xludf.DUMMYFUNCTION("""COMPUTED_VALUE"""),43509.9986111111)</f>
        <v>43509.998611111099</v>
      </c>
      <c r="AD395" s="6">
        <f ca="1">IFERROR(__xludf.DUMMYFUNCTION("""COMPUTED_VALUE"""),1123.72)</f>
        <v>1123.72</v>
      </c>
      <c r="AH395" s="6" t="str">
        <f t="shared" ca="1" si="120"/>
        <v>20191</v>
      </c>
      <c r="AI395" s="6">
        <f t="shared" ca="1" si="121"/>
        <v>2019</v>
      </c>
      <c r="AJ395" s="6">
        <f t="shared" ca="1" si="122"/>
        <v>1</v>
      </c>
      <c r="AK395" s="68">
        <f ca="1">IFERROR(__xludf.DUMMYFUNCTION("""COMPUTED_VALUE"""),43487.9986111111)</f>
        <v>43487.998611111099</v>
      </c>
      <c r="AL395" s="6">
        <f ca="1">IFERROR(__xludf.DUMMYFUNCTION("""COMPUTED_VALUE"""),3580.058)</f>
        <v>3580.058</v>
      </c>
      <c r="AP395" s="6" t="str">
        <f t="shared" ca="1" si="123"/>
        <v>20197</v>
      </c>
      <c r="AQ395" s="6">
        <f t="shared" ca="1" si="124"/>
        <v>2019</v>
      </c>
      <c r="AR395" s="6">
        <f t="shared" ca="1" si="125"/>
        <v>7</v>
      </c>
      <c r="AS395" s="68">
        <f ca="1">IFERROR(__xludf.DUMMYFUNCTION("""COMPUTED_VALUE"""),43675.9986111111)</f>
        <v>43675.998611111099</v>
      </c>
      <c r="AT395" s="6">
        <f ca="1">IFERROR(__xludf.DUMMYFUNCTION("""COMPUTED_VALUE"""),1433.3)</f>
        <v>1433.3</v>
      </c>
    </row>
    <row r="396" spans="2:46" x14ac:dyDescent="0.35">
      <c r="B396" s="6" t="str">
        <f t="shared" ca="1" si="108"/>
        <v>20197</v>
      </c>
      <c r="C396" s="6">
        <f t="shared" ca="1" si="109"/>
        <v>2019</v>
      </c>
      <c r="D396" s="6">
        <f t="shared" ca="1" si="110"/>
        <v>7</v>
      </c>
      <c r="E396" s="68">
        <f ca="1">IFERROR(__xludf.DUMMYFUNCTION("""COMPUTED_VALUE"""),43665.6666666666)</f>
        <v>43665.666666666599</v>
      </c>
      <c r="F396" s="6">
        <f ca="1">IFERROR(__xludf.DUMMYFUNCTION("""COMPUTED_VALUE"""),2976.61)</f>
        <v>2976.61</v>
      </c>
      <c r="J396" s="6" t="str">
        <f t="shared" ca="1" si="111"/>
        <v>20197</v>
      </c>
      <c r="K396" s="6">
        <f t="shared" ca="1" si="112"/>
        <v>2019</v>
      </c>
      <c r="L396" s="6">
        <f t="shared" ca="1" si="113"/>
        <v>7</v>
      </c>
      <c r="M396" s="68">
        <f ca="1">IFERROR(__xludf.DUMMYFUNCTION("""COMPUTED_VALUE"""),43665.6666666666)</f>
        <v>43665.666666666599</v>
      </c>
      <c r="N396" s="6">
        <f ca="1">IFERROR(__xludf.DUMMYFUNCTION("""COMPUTED_VALUE"""),8146.49)</f>
        <v>8146.49</v>
      </c>
      <c r="R396" s="6" t="str">
        <f t="shared" ca="1" si="114"/>
        <v>20198</v>
      </c>
      <c r="S396" s="6">
        <f t="shared" ca="1" si="115"/>
        <v>2019</v>
      </c>
      <c r="T396" s="6">
        <f t="shared" ca="1" si="116"/>
        <v>8</v>
      </c>
      <c r="U396" s="68">
        <f ca="1">IFERROR(__xludf.DUMMYFUNCTION("""COMPUTED_VALUE"""),43689.6458333333)</f>
        <v>43689.645833333299</v>
      </c>
      <c r="V396" s="6">
        <f ca="1">IFERROR(__xludf.DUMMYFUNCTION("""COMPUTED_VALUE"""),1942.29)</f>
        <v>1942.29</v>
      </c>
      <c r="Z396" s="6" t="str">
        <f t="shared" ca="1" si="117"/>
        <v>20192</v>
      </c>
      <c r="AA396" s="6">
        <f t="shared" ca="1" si="118"/>
        <v>2019</v>
      </c>
      <c r="AB396" s="6">
        <f t="shared" ca="1" si="119"/>
        <v>2</v>
      </c>
      <c r="AC396" s="68">
        <f ca="1">IFERROR(__xludf.DUMMYFUNCTION("""COMPUTED_VALUE"""),43510.9986111111)</f>
        <v>43510.998611111099</v>
      </c>
      <c r="AD396" s="6">
        <f ca="1">IFERROR(__xludf.DUMMYFUNCTION("""COMPUTED_VALUE"""),1128.3)</f>
        <v>1128.3</v>
      </c>
      <c r="AH396" s="6" t="str">
        <f t="shared" ca="1" si="120"/>
        <v>20191</v>
      </c>
      <c r="AI396" s="6">
        <f t="shared" ca="1" si="121"/>
        <v>2019</v>
      </c>
      <c r="AJ396" s="6">
        <f t="shared" ca="1" si="122"/>
        <v>1</v>
      </c>
      <c r="AK396" s="68">
        <f ca="1">IFERROR(__xludf.DUMMYFUNCTION("""COMPUTED_VALUE"""),43488.9986111111)</f>
        <v>43488.998611111099</v>
      </c>
      <c r="AL396" s="6">
        <f ca="1">IFERROR(__xludf.DUMMYFUNCTION("""COMPUTED_VALUE"""),3562.129)</f>
        <v>3562.1289999999999</v>
      </c>
      <c r="AP396" s="6" t="str">
        <f t="shared" ca="1" si="123"/>
        <v>20197</v>
      </c>
      <c r="AQ396" s="6">
        <f t="shared" ca="1" si="124"/>
        <v>2019</v>
      </c>
      <c r="AR396" s="6">
        <f t="shared" ca="1" si="125"/>
        <v>7</v>
      </c>
      <c r="AS396" s="68">
        <f ca="1">IFERROR(__xludf.DUMMYFUNCTION("""COMPUTED_VALUE"""),43676.9986111111)</f>
        <v>43676.998611111099</v>
      </c>
      <c r="AT396" s="6">
        <f ca="1">IFERROR(__xludf.DUMMYFUNCTION("""COMPUTED_VALUE"""),1441.8)</f>
        <v>1441.8</v>
      </c>
    </row>
    <row r="397" spans="2:46" x14ac:dyDescent="0.35">
      <c r="B397" s="6" t="str">
        <f t="shared" ca="1" si="108"/>
        <v>20197</v>
      </c>
      <c r="C397" s="6">
        <f t="shared" ca="1" si="109"/>
        <v>2019</v>
      </c>
      <c r="D397" s="6">
        <f t="shared" ca="1" si="110"/>
        <v>7</v>
      </c>
      <c r="E397" s="68">
        <f ca="1">IFERROR(__xludf.DUMMYFUNCTION("""COMPUTED_VALUE"""),43668.6666666666)</f>
        <v>43668.666666666599</v>
      </c>
      <c r="F397" s="6">
        <f ca="1">IFERROR(__xludf.DUMMYFUNCTION("""COMPUTED_VALUE"""),2985.03)</f>
        <v>2985.03</v>
      </c>
      <c r="J397" s="6" t="str">
        <f t="shared" ca="1" si="111"/>
        <v>20197</v>
      </c>
      <c r="K397" s="6">
        <f t="shared" ca="1" si="112"/>
        <v>2019</v>
      </c>
      <c r="L397" s="6">
        <f t="shared" ca="1" si="113"/>
        <v>7</v>
      </c>
      <c r="M397" s="68">
        <f ca="1">IFERROR(__xludf.DUMMYFUNCTION("""COMPUTED_VALUE"""),43668.6666666666)</f>
        <v>43668.666666666599</v>
      </c>
      <c r="N397" s="6">
        <f ca="1">IFERROR(__xludf.DUMMYFUNCTION("""COMPUTED_VALUE"""),8204.14)</f>
        <v>8204.14</v>
      </c>
      <c r="R397" s="6" t="str">
        <f t="shared" ca="1" si="114"/>
        <v>20198</v>
      </c>
      <c r="S397" s="6">
        <f t="shared" ca="1" si="115"/>
        <v>2019</v>
      </c>
      <c r="T397" s="6">
        <f t="shared" ca="1" si="116"/>
        <v>8</v>
      </c>
      <c r="U397" s="68">
        <f ca="1">IFERROR(__xludf.DUMMYFUNCTION("""COMPUTED_VALUE"""),43690.6458333333)</f>
        <v>43690.645833333299</v>
      </c>
      <c r="V397" s="6">
        <f ca="1">IFERROR(__xludf.DUMMYFUNCTION("""COMPUTED_VALUE"""),1925.83)</f>
        <v>1925.83</v>
      </c>
      <c r="Z397" s="6" t="str">
        <f t="shared" ca="1" si="117"/>
        <v>20192</v>
      </c>
      <c r="AA397" s="6">
        <f t="shared" ca="1" si="118"/>
        <v>2019</v>
      </c>
      <c r="AB397" s="6">
        <f t="shared" ca="1" si="119"/>
        <v>2</v>
      </c>
      <c r="AC397" s="68">
        <f ca="1">IFERROR(__xludf.DUMMYFUNCTION("""COMPUTED_VALUE"""),43511.9986111111)</f>
        <v>43511.998611111099</v>
      </c>
      <c r="AD397" s="6">
        <f ca="1">IFERROR(__xludf.DUMMYFUNCTION("""COMPUTED_VALUE"""),1125.34)</f>
        <v>1125.3399999999999</v>
      </c>
      <c r="AH397" s="6" t="str">
        <f t="shared" ca="1" si="120"/>
        <v>20191</v>
      </c>
      <c r="AI397" s="6">
        <f t="shared" ca="1" si="121"/>
        <v>2019</v>
      </c>
      <c r="AJ397" s="6">
        <f t="shared" ca="1" si="122"/>
        <v>1</v>
      </c>
      <c r="AK397" s="68">
        <f ca="1">IFERROR(__xludf.DUMMYFUNCTION("""COMPUTED_VALUE"""),43489.9986111111)</f>
        <v>43489.998611111099</v>
      </c>
      <c r="AL397" s="6">
        <f ca="1">IFERROR(__xludf.DUMMYFUNCTION("""COMPUTED_VALUE"""),3581.396)</f>
        <v>3581.3960000000002</v>
      </c>
      <c r="AP397" s="6" t="str">
        <f t="shared" ca="1" si="123"/>
        <v>20197</v>
      </c>
      <c r="AQ397" s="6">
        <f t="shared" ca="1" si="124"/>
        <v>2019</v>
      </c>
      <c r="AR397" s="6">
        <f t="shared" ca="1" si="125"/>
        <v>7</v>
      </c>
      <c r="AS397" s="68">
        <f ca="1">IFERROR(__xludf.DUMMYFUNCTION("""COMPUTED_VALUE"""),43677.9986111111)</f>
        <v>43677.998611111099</v>
      </c>
      <c r="AT397" s="6">
        <f ca="1">IFERROR(__xludf.DUMMYFUNCTION("""COMPUTED_VALUE"""),1437.8)</f>
        <v>1437.8</v>
      </c>
    </row>
    <row r="398" spans="2:46" x14ac:dyDescent="0.35">
      <c r="B398" s="6" t="str">
        <f t="shared" ca="1" si="108"/>
        <v>20197</v>
      </c>
      <c r="C398" s="6">
        <f t="shared" ca="1" si="109"/>
        <v>2019</v>
      </c>
      <c r="D398" s="6">
        <f t="shared" ca="1" si="110"/>
        <v>7</v>
      </c>
      <c r="E398" s="68">
        <f ca="1">IFERROR(__xludf.DUMMYFUNCTION("""COMPUTED_VALUE"""),43669.6666666666)</f>
        <v>43669.666666666599</v>
      </c>
      <c r="F398" s="6">
        <f ca="1">IFERROR(__xludf.DUMMYFUNCTION("""COMPUTED_VALUE"""),3005.47)</f>
        <v>3005.47</v>
      </c>
      <c r="J398" s="6" t="str">
        <f t="shared" ca="1" si="111"/>
        <v>20197</v>
      </c>
      <c r="K398" s="6">
        <f t="shared" ca="1" si="112"/>
        <v>2019</v>
      </c>
      <c r="L398" s="6">
        <f t="shared" ca="1" si="113"/>
        <v>7</v>
      </c>
      <c r="M398" s="68">
        <f ca="1">IFERROR(__xludf.DUMMYFUNCTION("""COMPUTED_VALUE"""),43669.6666666666)</f>
        <v>43669.666666666599</v>
      </c>
      <c r="N398" s="6">
        <f ca="1">IFERROR(__xludf.DUMMYFUNCTION("""COMPUTED_VALUE"""),8251.4)</f>
        <v>8251.4</v>
      </c>
      <c r="R398" s="6" t="str">
        <f t="shared" ca="1" si="114"/>
        <v>20198</v>
      </c>
      <c r="S398" s="6">
        <f t="shared" ca="1" si="115"/>
        <v>2019</v>
      </c>
      <c r="T398" s="6">
        <f t="shared" ca="1" si="116"/>
        <v>8</v>
      </c>
      <c r="U398" s="68">
        <f ca="1">IFERROR(__xludf.DUMMYFUNCTION("""COMPUTED_VALUE"""),43691.6458333333)</f>
        <v>43691.645833333299</v>
      </c>
      <c r="V398" s="6">
        <f ca="1">IFERROR(__xludf.DUMMYFUNCTION("""COMPUTED_VALUE"""),1938.37)</f>
        <v>1938.37</v>
      </c>
      <c r="Z398" s="6" t="str">
        <f t="shared" ca="1" si="117"/>
        <v>20192</v>
      </c>
      <c r="AA398" s="6">
        <f t="shared" ca="1" si="118"/>
        <v>2019</v>
      </c>
      <c r="AB398" s="6">
        <f t="shared" ca="1" si="119"/>
        <v>2</v>
      </c>
      <c r="AC398" s="68">
        <f ca="1">IFERROR(__xludf.DUMMYFUNCTION("""COMPUTED_VALUE"""),43512.9986111111)</f>
        <v>43512.998611111099</v>
      </c>
      <c r="AD398" s="6">
        <f ca="1">IFERROR(__xludf.DUMMYFUNCTION("""COMPUTED_VALUE"""),1125.34)</f>
        <v>1125.3399999999999</v>
      </c>
      <c r="AH398" s="6" t="str">
        <f t="shared" ca="1" si="120"/>
        <v>20191</v>
      </c>
      <c r="AI398" s="6">
        <f t="shared" ca="1" si="121"/>
        <v>2019</v>
      </c>
      <c r="AJ398" s="6">
        <f t="shared" ca="1" si="122"/>
        <v>1</v>
      </c>
      <c r="AK398" s="68">
        <f ca="1">IFERROR(__xludf.DUMMYFUNCTION("""COMPUTED_VALUE"""),43490.9986111111)</f>
        <v>43490.998611111099</v>
      </c>
      <c r="AL398" s="6">
        <f ca="1">IFERROR(__xludf.DUMMYFUNCTION("""COMPUTED_VALUE"""),3572.515)</f>
        <v>3572.5149999999999</v>
      </c>
      <c r="AP398" s="6" t="str">
        <f t="shared" ca="1" si="123"/>
        <v>20198</v>
      </c>
      <c r="AQ398" s="6">
        <f t="shared" ca="1" si="124"/>
        <v>2019</v>
      </c>
      <c r="AR398" s="6">
        <f t="shared" ca="1" si="125"/>
        <v>8</v>
      </c>
      <c r="AS398" s="68">
        <f ca="1">IFERROR(__xludf.DUMMYFUNCTION("""COMPUTED_VALUE"""),43678.9986111111)</f>
        <v>43678.998611111099</v>
      </c>
      <c r="AT398" s="6">
        <f ca="1">IFERROR(__xludf.DUMMYFUNCTION("""COMPUTED_VALUE"""),1432.4)</f>
        <v>1432.4</v>
      </c>
    </row>
    <row r="399" spans="2:46" x14ac:dyDescent="0.35">
      <c r="B399" s="6" t="str">
        <f t="shared" ca="1" si="108"/>
        <v>20197</v>
      </c>
      <c r="C399" s="6">
        <f t="shared" ca="1" si="109"/>
        <v>2019</v>
      </c>
      <c r="D399" s="6">
        <f t="shared" ca="1" si="110"/>
        <v>7</v>
      </c>
      <c r="E399" s="68">
        <f ca="1">IFERROR(__xludf.DUMMYFUNCTION("""COMPUTED_VALUE"""),43670.6666666666)</f>
        <v>43670.666666666599</v>
      </c>
      <c r="F399" s="6">
        <f ca="1">IFERROR(__xludf.DUMMYFUNCTION("""COMPUTED_VALUE"""),3019.56)</f>
        <v>3019.56</v>
      </c>
      <c r="J399" s="6" t="str">
        <f t="shared" ca="1" si="111"/>
        <v>20197</v>
      </c>
      <c r="K399" s="6">
        <f t="shared" ca="1" si="112"/>
        <v>2019</v>
      </c>
      <c r="L399" s="6">
        <f t="shared" ca="1" si="113"/>
        <v>7</v>
      </c>
      <c r="M399" s="68">
        <f ca="1">IFERROR(__xludf.DUMMYFUNCTION("""COMPUTED_VALUE"""),43670.6666666666)</f>
        <v>43670.666666666599</v>
      </c>
      <c r="N399" s="6">
        <f ca="1">IFERROR(__xludf.DUMMYFUNCTION("""COMPUTED_VALUE"""),8321.5)</f>
        <v>8321.5</v>
      </c>
      <c r="R399" s="6" t="str">
        <f t="shared" ca="1" si="114"/>
        <v>20198</v>
      </c>
      <c r="S399" s="6">
        <f t="shared" ca="1" si="115"/>
        <v>2019</v>
      </c>
      <c r="T399" s="6">
        <f t="shared" ca="1" si="116"/>
        <v>8</v>
      </c>
      <c r="U399" s="68">
        <f ca="1">IFERROR(__xludf.DUMMYFUNCTION("""COMPUTED_VALUE"""),43693.6458333333)</f>
        <v>43693.645833333299</v>
      </c>
      <c r="V399" s="6">
        <f ca="1">IFERROR(__xludf.DUMMYFUNCTION("""COMPUTED_VALUE"""),1927.17)</f>
        <v>1927.17</v>
      </c>
      <c r="Z399" s="6" t="str">
        <f t="shared" ca="1" si="117"/>
        <v>20192</v>
      </c>
      <c r="AA399" s="6">
        <f t="shared" ca="1" si="118"/>
        <v>2019</v>
      </c>
      <c r="AB399" s="6">
        <f t="shared" ca="1" si="119"/>
        <v>2</v>
      </c>
      <c r="AC399" s="68">
        <f ca="1">IFERROR(__xludf.DUMMYFUNCTION("""COMPUTED_VALUE"""),43513.9986111111)</f>
        <v>43513.998611111099</v>
      </c>
      <c r="AD399" s="6">
        <f ca="1">IFERROR(__xludf.DUMMYFUNCTION("""COMPUTED_VALUE"""),1125.31)</f>
        <v>1125.31</v>
      </c>
      <c r="AH399" s="6" t="str">
        <f t="shared" ca="1" si="120"/>
        <v>20191</v>
      </c>
      <c r="AI399" s="6">
        <f t="shared" ca="1" si="121"/>
        <v>2019</v>
      </c>
      <c r="AJ399" s="6">
        <f t="shared" ca="1" si="122"/>
        <v>1</v>
      </c>
      <c r="AK399" s="68">
        <f ca="1">IFERROR(__xludf.DUMMYFUNCTION("""COMPUTED_VALUE"""),43491.9986111111)</f>
        <v>43491.998611111099</v>
      </c>
      <c r="AL399" s="6">
        <f ca="1">IFERROR(__xludf.DUMMYFUNCTION("""COMPUTED_VALUE"""),3573.374)</f>
        <v>3573.3739999999998</v>
      </c>
      <c r="AP399" s="6" t="str">
        <f t="shared" ca="1" si="123"/>
        <v>20198</v>
      </c>
      <c r="AQ399" s="6">
        <f t="shared" ca="1" si="124"/>
        <v>2019</v>
      </c>
      <c r="AR399" s="6">
        <f t="shared" ca="1" si="125"/>
        <v>8</v>
      </c>
      <c r="AS399" s="68">
        <f ca="1">IFERROR(__xludf.DUMMYFUNCTION("""COMPUTED_VALUE"""),43679.9986111111)</f>
        <v>43679.998611111099</v>
      </c>
      <c r="AT399" s="6">
        <f ca="1">IFERROR(__xludf.DUMMYFUNCTION("""COMPUTED_VALUE"""),1457.5)</f>
        <v>1457.5</v>
      </c>
    </row>
    <row r="400" spans="2:46" x14ac:dyDescent="0.35">
      <c r="B400" s="6" t="str">
        <f t="shared" ca="1" si="108"/>
        <v>20197</v>
      </c>
      <c r="C400" s="6">
        <f t="shared" ca="1" si="109"/>
        <v>2019</v>
      </c>
      <c r="D400" s="6">
        <f t="shared" ca="1" si="110"/>
        <v>7</v>
      </c>
      <c r="E400" s="68">
        <f ca="1">IFERROR(__xludf.DUMMYFUNCTION("""COMPUTED_VALUE"""),43671.6666666666)</f>
        <v>43671.666666666599</v>
      </c>
      <c r="F400" s="6">
        <f ca="1">IFERROR(__xludf.DUMMYFUNCTION("""COMPUTED_VALUE"""),3003.67)</f>
        <v>3003.67</v>
      </c>
      <c r="J400" s="6" t="str">
        <f t="shared" ca="1" si="111"/>
        <v>20197</v>
      </c>
      <c r="K400" s="6">
        <f t="shared" ca="1" si="112"/>
        <v>2019</v>
      </c>
      <c r="L400" s="6">
        <f t="shared" ca="1" si="113"/>
        <v>7</v>
      </c>
      <c r="M400" s="68">
        <f ca="1">IFERROR(__xludf.DUMMYFUNCTION("""COMPUTED_VALUE"""),43671.6666666666)</f>
        <v>43671.666666666599</v>
      </c>
      <c r="N400" s="6">
        <f ca="1">IFERROR(__xludf.DUMMYFUNCTION("""COMPUTED_VALUE"""),8238.54)</f>
        <v>8238.5400000000009</v>
      </c>
      <c r="R400" s="6" t="str">
        <f t="shared" ca="1" si="114"/>
        <v>20198</v>
      </c>
      <c r="S400" s="6">
        <f t="shared" ca="1" si="115"/>
        <v>2019</v>
      </c>
      <c r="T400" s="6">
        <f t="shared" ca="1" si="116"/>
        <v>8</v>
      </c>
      <c r="U400" s="68">
        <f ca="1">IFERROR(__xludf.DUMMYFUNCTION("""COMPUTED_VALUE"""),43696.6458333333)</f>
        <v>43696.645833333299</v>
      </c>
      <c r="V400" s="6">
        <f ca="1">IFERROR(__xludf.DUMMYFUNCTION("""COMPUTED_VALUE"""),1939.9)</f>
        <v>1939.9</v>
      </c>
      <c r="Z400" s="6" t="str">
        <f t="shared" ca="1" si="117"/>
        <v>20192</v>
      </c>
      <c r="AA400" s="6">
        <f t="shared" ca="1" si="118"/>
        <v>2019</v>
      </c>
      <c r="AB400" s="6">
        <f t="shared" ca="1" si="119"/>
        <v>2</v>
      </c>
      <c r="AC400" s="68">
        <f ca="1">IFERROR(__xludf.DUMMYFUNCTION("""COMPUTED_VALUE"""),43515.9986111111)</f>
        <v>43515.998611111099</v>
      </c>
      <c r="AD400" s="6">
        <f ca="1">IFERROR(__xludf.DUMMYFUNCTION("""COMPUTED_VALUE"""),1121.42)</f>
        <v>1121.42</v>
      </c>
      <c r="AH400" s="6" t="str">
        <f t="shared" ca="1" si="120"/>
        <v>20191</v>
      </c>
      <c r="AI400" s="6">
        <f t="shared" ca="1" si="121"/>
        <v>2019</v>
      </c>
      <c r="AJ400" s="6">
        <f t="shared" ca="1" si="122"/>
        <v>1</v>
      </c>
      <c r="AK400" s="68">
        <f ca="1">IFERROR(__xludf.DUMMYFUNCTION("""COMPUTED_VALUE"""),43492.9986111111)</f>
        <v>43492.998611111099</v>
      </c>
      <c r="AL400" s="6">
        <f ca="1">IFERROR(__xludf.DUMMYFUNCTION("""COMPUTED_VALUE"""),3563.02)</f>
        <v>3563.02</v>
      </c>
      <c r="AP400" s="6" t="str">
        <f t="shared" ca="1" si="123"/>
        <v>20198</v>
      </c>
      <c r="AQ400" s="6">
        <f t="shared" ca="1" si="124"/>
        <v>2019</v>
      </c>
      <c r="AR400" s="6">
        <f t="shared" ca="1" si="125"/>
        <v>8</v>
      </c>
      <c r="AS400" s="68">
        <f ca="1">IFERROR(__xludf.DUMMYFUNCTION("""COMPUTED_VALUE"""),43682.9986111111)</f>
        <v>43682.998611111099</v>
      </c>
      <c r="AT400" s="6">
        <f ca="1">IFERROR(__xludf.DUMMYFUNCTION("""COMPUTED_VALUE"""),1476.5)</f>
        <v>1476.5</v>
      </c>
    </row>
    <row r="401" spans="2:46" x14ac:dyDescent="0.35">
      <c r="B401" s="6" t="str">
        <f t="shared" ca="1" si="108"/>
        <v>20197</v>
      </c>
      <c r="C401" s="6">
        <f t="shared" ca="1" si="109"/>
        <v>2019</v>
      </c>
      <c r="D401" s="6">
        <f t="shared" ca="1" si="110"/>
        <v>7</v>
      </c>
      <c r="E401" s="68">
        <f ca="1">IFERROR(__xludf.DUMMYFUNCTION("""COMPUTED_VALUE"""),43672.6666666666)</f>
        <v>43672.666666666599</v>
      </c>
      <c r="F401" s="6">
        <f ca="1">IFERROR(__xludf.DUMMYFUNCTION("""COMPUTED_VALUE"""),3025.86)</f>
        <v>3025.86</v>
      </c>
      <c r="J401" s="6" t="str">
        <f t="shared" ca="1" si="111"/>
        <v>20197</v>
      </c>
      <c r="K401" s="6">
        <f t="shared" ca="1" si="112"/>
        <v>2019</v>
      </c>
      <c r="L401" s="6">
        <f t="shared" ca="1" si="113"/>
        <v>7</v>
      </c>
      <c r="M401" s="68">
        <f ca="1">IFERROR(__xludf.DUMMYFUNCTION("""COMPUTED_VALUE"""),43672.6666666666)</f>
        <v>43672.666666666599</v>
      </c>
      <c r="N401" s="6">
        <f ca="1">IFERROR(__xludf.DUMMYFUNCTION("""COMPUTED_VALUE"""),8330.21)</f>
        <v>8330.2099999999991</v>
      </c>
      <c r="R401" s="6" t="str">
        <f t="shared" ca="1" si="114"/>
        <v>20198</v>
      </c>
      <c r="S401" s="6">
        <f t="shared" ca="1" si="115"/>
        <v>2019</v>
      </c>
      <c r="T401" s="6">
        <f t="shared" ca="1" si="116"/>
        <v>8</v>
      </c>
      <c r="U401" s="68">
        <f ca="1">IFERROR(__xludf.DUMMYFUNCTION("""COMPUTED_VALUE"""),43697.6458333333)</f>
        <v>43697.645833333299</v>
      </c>
      <c r="V401" s="6">
        <f ca="1">IFERROR(__xludf.DUMMYFUNCTION("""COMPUTED_VALUE"""),1960.25)</f>
        <v>1960.25</v>
      </c>
      <c r="Z401" s="6" t="str">
        <f t="shared" ca="1" si="117"/>
        <v>20192</v>
      </c>
      <c r="AA401" s="6">
        <f t="shared" ca="1" si="118"/>
        <v>2019</v>
      </c>
      <c r="AB401" s="6">
        <f t="shared" ca="1" si="119"/>
        <v>2</v>
      </c>
      <c r="AC401" s="68">
        <f ca="1">IFERROR(__xludf.DUMMYFUNCTION("""COMPUTED_VALUE"""),43516.9986111111)</f>
        <v>43516.998611111099</v>
      </c>
      <c r="AD401" s="6">
        <f ca="1">IFERROR(__xludf.DUMMYFUNCTION("""COMPUTED_VALUE"""),1121.72)</f>
        <v>1121.72</v>
      </c>
      <c r="AH401" s="6" t="str">
        <f t="shared" ca="1" si="120"/>
        <v>20191</v>
      </c>
      <c r="AI401" s="6">
        <f t="shared" ca="1" si="121"/>
        <v>2019</v>
      </c>
      <c r="AJ401" s="6">
        <f t="shared" ca="1" si="122"/>
        <v>1</v>
      </c>
      <c r="AK401" s="68">
        <f ca="1">IFERROR(__xludf.DUMMYFUNCTION("""COMPUTED_VALUE"""),43493.9986111111)</f>
        <v>43493.998611111099</v>
      </c>
      <c r="AL401" s="6">
        <f ca="1">IFERROR(__xludf.DUMMYFUNCTION("""COMPUTED_VALUE"""),3440.252)</f>
        <v>3440.252</v>
      </c>
      <c r="AP401" s="6" t="str">
        <f t="shared" ca="1" si="123"/>
        <v>20198</v>
      </c>
      <c r="AQ401" s="6">
        <f t="shared" ca="1" si="124"/>
        <v>2019</v>
      </c>
      <c r="AR401" s="6">
        <f t="shared" ca="1" si="125"/>
        <v>8</v>
      </c>
      <c r="AS401" s="68">
        <f ca="1">IFERROR(__xludf.DUMMYFUNCTION("""COMPUTED_VALUE"""),43683.9986111111)</f>
        <v>43683.998611111099</v>
      </c>
      <c r="AT401" s="6">
        <f ca="1">IFERROR(__xludf.DUMMYFUNCTION("""COMPUTED_VALUE"""),1484.2)</f>
        <v>1484.2</v>
      </c>
    </row>
    <row r="402" spans="2:46" x14ac:dyDescent="0.35">
      <c r="B402" s="6" t="str">
        <f t="shared" ca="1" si="108"/>
        <v>20197</v>
      </c>
      <c r="C402" s="6">
        <f t="shared" ca="1" si="109"/>
        <v>2019</v>
      </c>
      <c r="D402" s="6">
        <f t="shared" ca="1" si="110"/>
        <v>7</v>
      </c>
      <c r="E402" s="68">
        <f ca="1">IFERROR(__xludf.DUMMYFUNCTION("""COMPUTED_VALUE"""),43675.6666666666)</f>
        <v>43675.666666666599</v>
      </c>
      <c r="F402" s="6">
        <f ca="1">IFERROR(__xludf.DUMMYFUNCTION("""COMPUTED_VALUE"""),3020.97)</f>
        <v>3020.97</v>
      </c>
      <c r="J402" s="6" t="str">
        <f t="shared" ca="1" si="111"/>
        <v>20197</v>
      </c>
      <c r="K402" s="6">
        <f t="shared" ca="1" si="112"/>
        <v>2019</v>
      </c>
      <c r="L402" s="6">
        <f t="shared" ca="1" si="113"/>
        <v>7</v>
      </c>
      <c r="M402" s="68">
        <f ca="1">IFERROR(__xludf.DUMMYFUNCTION("""COMPUTED_VALUE"""),43675.6666666666)</f>
        <v>43675.666666666599</v>
      </c>
      <c r="N402" s="6">
        <f ca="1">IFERROR(__xludf.DUMMYFUNCTION("""COMPUTED_VALUE"""),8293.33)</f>
        <v>8293.33</v>
      </c>
      <c r="R402" s="6" t="str">
        <f t="shared" ca="1" si="114"/>
        <v>20198</v>
      </c>
      <c r="S402" s="6">
        <f t="shared" ca="1" si="115"/>
        <v>2019</v>
      </c>
      <c r="T402" s="6">
        <f t="shared" ca="1" si="116"/>
        <v>8</v>
      </c>
      <c r="U402" s="68">
        <f ca="1">IFERROR(__xludf.DUMMYFUNCTION("""COMPUTED_VALUE"""),43698.6458333333)</f>
        <v>43698.645833333299</v>
      </c>
      <c r="V402" s="6">
        <f ca="1">IFERROR(__xludf.DUMMYFUNCTION("""COMPUTED_VALUE"""),1964.65)</f>
        <v>1964.65</v>
      </c>
      <c r="Z402" s="6" t="str">
        <f t="shared" ca="1" si="117"/>
        <v>20192</v>
      </c>
      <c r="AA402" s="6">
        <f t="shared" ca="1" si="118"/>
        <v>2019</v>
      </c>
      <c r="AB402" s="6">
        <f t="shared" ca="1" si="119"/>
        <v>2</v>
      </c>
      <c r="AC402" s="68">
        <f ca="1">IFERROR(__xludf.DUMMYFUNCTION("""COMPUTED_VALUE"""),43517.9986111111)</f>
        <v>43517.998611111099</v>
      </c>
      <c r="AD402" s="6">
        <f ca="1">IFERROR(__xludf.DUMMYFUNCTION("""COMPUTED_VALUE"""),1124.15)</f>
        <v>1124.1500000000001</v>
      </c>
      <c r="AH402" s="6" t="str">
        <f t="shared" ca="1" si="120"/>
        <v>20191</v>
      </c>
      <c r="AI402" s="6">
        <f t="shared" ca="1" si="121"/>
        <v>2019</v>
      </c>
      <c r="AJ402" s="6">
        <f t="shared" ca="1" si="122"/>
        <v>1</v>
      </c>
      <c r="AK402" s="68">
        <f ca="1">IFERROR(__xludf.DUMMYFUNCTION("""COMPUTED_VALUE"""),43494.9986111111)</f>
        <v>43494.998611111099</v>
      </c>
      <c r="AL402" s="6">
        <f ca="1">IFERROR(__xludf.DUMMYFUNCTION("""COMPUTED_VALUE"""),3404.484)</f>
        <v>3404.4839999999999</v>
      </c>
      <c r="AP402" s="6" t="str">
        <f t="shared" ca="1" si="123"/>
        <v>20198</v>
      </c>
      <c r="AQ402" s="6">
        <f t="shared" ca="1" si="124"/>
        <v>2019</v>
      </c>
      <c r="AR402" s="6">
        <f t="shared" ca="1" si="125"/>
        <v>8</v>
      </c>
      <c r="AS402" s="68">
        <f ca="1">IFERROR(__xludf.DUMMYFUNCTION("""COMPUTED_VALUE"""),43684.9986111111)</f>
        <v>43684.998611111099</v>
      </c>
      <c r="AT402" s="6">
        <f ca="1">IFERROR(__xludf.DUMMYFUNCTION("""COMPUTED_VALUE"""),1519.6)</f>
        <v>1519.6</v>
      </c>
    </row>
    <row r="403" spans="2:46" x14ac:dyDescent="0.35">
      <c r="B403" s="6" t="str">
        <f t="shared" ca="1" si="108"/>
        <v>20197</v>
      </c>
      <c r="C403" s="6">
        <f t="shared" ca="1" si="109"/>
        <v>2019</v>
      </c>
      <c r="D403" s="6">
        <f t="shared" ca="1" si="110"/>
        <v>7</v>
      </c>
      <c r="E403" s="68">
        <f ca="1">IFERROR(__xludf.DUMMYFUNCTION("""COMPUTED_VALUE"""),43676.6666666666)</f>
        <v>43676.666666666599</v>
      </c>
      <c r="F403" s="6">
        <f ca="1">IFERROR(__xludf.DUMMYFUNCTION("""COMPUTED_VALUE"""),3013.18)</f>
        <v>3013.18</v>
      </c>
      <c r="J403" s="6" t="str">
        <f t="shared" ca="1" si="111"/>
        <v>20197</v>
      </c>
      <c r="K403" s="6">
        <f t="shared" ca="1" si="112"/>
        <v>2019</v>
      </c>
      <c r="L403" s="6">
        <f t="shared" ca="1" si="113"/>
        <v>7</v>
      </c>
      <c r="M403" s="68">
        <f ca="1">IFERROR(__xludf.DUMMYFUNCTION("""COMPUTED_VALUE"""),43676.6666666666)</f>
        <v>43676.666666666599</v>
      </c>
      <c r="N403" s="6">
        <f ca="1">IFERROR(__xludf.DUMMYFUNCTION("""COMPUTED_VALUE"""),8273.61)</f>
        <v>8273.61</v>
      </c>
      <c r="R403" s="6" t="str">
        <f t="shared" ca="1" si="114"/>
        <v>20198</v>
      </c>
      <c r="S403" s="6">
        <f t="shared" ca="1" si="115"/>
        <v>2019</v>
      </c>
      <c r="T403" s="6">
        <f t="shared" ca="1" si="116"/>
        <v>8</v>
      </c>
      <c r="U403" s="68">
        <f ca="1">IFERROR(__xludf.DUMMYFUNCTION("""COMPUTED_VALUE"""),43699.6458333333)</f>
        <v>43699.645833333299</v>
      </c>
      <c r="V403" s="6">
        <f ca="1">IFERROR(__xludf.DUMMYFUNCTION("""COMPUTED_VALUE"""),1951.01)</f>
        <v>1951.01</v>
      </c>
      <c r="Z403" s="6" t="str">
        <f t="shared" ca="1" si="117"/>
        <v>20192</v>
      </c>
      <c r="AA403" s="6">
        <f t="shared" ca="1" si="118"/>
        <v>2019</v>
      </c>
      <c r="AB403" s="6">
        <f t="shared" ca="1" si="119"/>
        <v>2</v>
      </c>
      <c r="AC403" s="68">
        <f ca="1">IFERROR(__xludf.DUMMYFUNCTION("""COMPUTED_VALUE"""),43518.9986111111)</f>
        <v>43518.998611111099</v>
      </c>
      <c r="AD403" s="6">
        <f ca="1">IFERROR(__xludf.DUMMYFUNCTION("""COMPUTED_VALUE"""),1121.99)</f>
        <v>1121.99</v>
      </c>
      <c r="AH403" s="6" t="str">
        <f t="shared" ca="1" si="120"/>
        <v>20191</v>
      </c>
      <c r="AI403" s="6">
        <f t="shared" ca="1" si="121"/>
        <v>2019</v>
      </c>
      <c r="AJ403" s="6">
        <f t="shared" ca="1" si="122"/>
        <v>1</v>
      </c>
      <c r="AK403" s="68">
        <f ca="1">IFERROR(__xludf.DUMMYFUNCTION("""COMPUTED_VALUE"""),43495.9986111111)</f>
        <v>43495.998611111099</v>
      </c>
      <c r="AL403" s="6">
        <f ca="1">IFERROR(__xludf.DUMMYFUNCTION("""COMPUTED_VALUE"""),3458.88)</f>
        <v>3458.88</v>
      </c>
      <c r="AP403" s="6" t="str">
        <f t="shared" ca="1" si="123"/>
        <v>20198</v>
      </c>
      <c r="AQ403" s="6">
        <f t="shared" ca="1" si="124"/>
        <v>2019</v>
      </c>
      <c r="AR403" s="6">
        <f t="shared" ca="1" si="125"/>
        <v>8</v>
      </c>
      <c r="AS403" s="68">
        <f ca="1">IFERROR(__xludf.DUMMYFUNCTION("""COMPUTED_VALUE"""),43685.9986111111)</f>
        <v>43685.998611111099</v>
      </c>
      <c r="AT403" s="6">
        <f ca="1">IFERROR(__xludf.DUMMYFUNCTION("""COMPUTED_VALUE"""),1509.5)</f>
        <v>1509.5</v>
      </c>
    </row>
    <row r="404" spans="2:46" x14ac:dyDescent="0.35">
      <c r="B404" s="6" t="str">
        <f t="shared" ca="1" si="108"/>
        <v>20197</v>
      </c>
      <c r="C404" s="6">
        <f t="shared" ca="1" si="109"/>
        <v>2019</v>
      </c>
      <c r="D404" s="6">
        <f t="shared" ca="1" si="110"/>
        <v>7</v>
      </c>
      <c r="E404" s="68">
        <f ca="1">IFERROR(__xludf.DUMMYFUNCTION("""COMPUTED_VALUE"""),43677.6666666666)</f>
        <v>43677.666666666599</v>
      </c>
      <c r="F404" s="6">
        <f ca="1">IFERROR(__xludf.DUMMYFUNCTION("""COMPUTED_VALUE"""),2980.38)</f>
        <v>2980.38</v>
      </c>
      <c r="J404" s="6" t="str">
        <f t="shared" ca="1" si="111"/>
        <v>20197</v>
      </c>
      <c r="K404" s="6">
        <f t="shared" ca="1" si="112"/>
        <v>2019</v>
      </c>
      <c r="L404" s="6">
        <f t="shared" ca="1" si="113"/>
        <v>7</v>
      </c>
      <c r="M404" s="68">
        <f ca="1">IFERROR(__xludf.DUMMYFUNCTION("""COMPUTED_VALUE"""),43677.6666666666)</f>
        <v>43677.666666666599</v>
      </c>
      <c r="N404" s="6">
        <f ca="1">IFERROR(__xludf.DUMMYFUNCTION("""COMPUTED_VALUE"""),8175.42)</f>
        <v>8175.42</v>
      </c>
      <c r="R404" s="6" t="str">
        <f t="shared" ca="1" si="114"/>
        <v>20198</v>
      </c>
      <c r="S404" s="6">
        <f t="shared" ca="1" si="115"/>
        <v>2019</v>
      </c>
      <c r="T404" s="6">
        <f t="shared" ca="1" si="116"/>
        <v>8</v>
      </c>
      <c r="U404" s="68">
        <f ca="1">IFERROR(__xludf.DUMMYFUNCTION("""COMPUTED_VALUE"""),43700.6458333333)</f>
        <v>43700.645833333299</v>
      </c>
      <c r="V404" s="6">
        <f ca="1">IFERROR(__xludf.DUMMYFUNCTION("""COMPUTED_VALUE"""),1948.3)</f>
        <v>1948.3</v>
      </c>
      <c r="Z404" s="6" t="str">
        <f t="shared" ca="1" si="117"/>
        <v>20192</v>
      </c>
      <c r="AA404" s="6">
        <f t="shared" ca="1" si="118"/>
        <v>2019</v>
      </c>
      <c r="AB404" s="6">
        <f t="shared" ca="1" si="119"/>
        <v>2</v>
      </c>
      <c r="AC404" s="68">
        <f ca="1">IFERROR(__xludf.DUMMYFUNCTION("""COMPUTED_VALUE"""),43519.9986111111)</f>
        <v>43519.998611111099</v>
      </c>
      <c r="AD404" s="6">
        <f ca="1">IFERROR(__xludf.DUMMYFUNCTION("""COMPUTED_VALUE"""),1120.9)</f>
        <v>1120.9000000000001</v>
      </c>
      <c r="AH404" s="6" t="str">
        <f t="shared" ca="1" si="120"/>
        <v>20191</v>
      </c>
      <c r="AI404" s="6">
        <f t="shared" ca="1" si="121"/>
        <v>2019</v>
      </c>
      <c r="AJ404" s="6">
        <f t="shared" ca="1" si="122"/>
        <v>1</v>
      </c>
      <c r="AK404" s="68">
        <f ca="1">IFERROR(__xludf.DUMMYFUNCTION("""COMPUTED_VALUE"""),43496.9986111111)</f>
        <v>43496.998611111099</v>
      </c>
      <c r="AL404" s="6">
        <f ca="1">IFERROR(__xludf.DUMMYFUNCTION("""COMPUTED_VALUE"""),3419.343)</f>
        <v>3419.3429999999998</v>
      </c>
      <c r="AP404" s="6" t="str">
        <f t="shared" ca="1" si="123"/>
        <v>20198</v>
      </c>
      <c r="AQ404" s="6">
        <f t="shared" ca="1" si="124"/>
        <v>2019</v>
      </c>
      <c r="AR404" s="6">
        <f t="shared" ca="1" si="125"/>
        <v>8</v>
      </c>
      <c r="AS404" s="68">
        <f ca="1">IFERROR(__xludf.DUMMYFUNCTION("""COMPUTED_VALUE"""),43686.9986111111)</f>
        <v>43686.998611111099</v>
      </c>
      <c r="AT404" s="6">
        <f ca="1">IFERROR(__xludf.DUMMYFUNCTION("""COMPUTED_VALUE"""),1508.5)</f>
        <v>1508.5</v>
      </c>
    </row>
    <row r="405" spans="2:46" x14ac:dyDescent="0.35">
      <c r="B405" s="6" t="str">
        <f t="shared" ca="1" si="108"/>
        <v>20198</v>
      </c>
      <c r="C405" s="6">
        <f t="shared" ca="1" si="109"/>
        <v>2019</v>
      </c>
      <c r="D405" s="6">
        <f t="shared" ca="1" si="110"/>
        <v>8</v>
      </c>
      <c r="E405" s="68">
        <f ca="1">IFERROR(__xludf.DUMMYFUNCTION("""COMPUTED_VALUE"""),43678.6666666666)</f>
        <v>43678.666666666599</v>
      </c>
      <c r="F405" s="6">
        <f ca="1">IFERROR(__xludf.DUMMYFUNCTION("""COMPUTED_VALUE"""),2953.56)</f>
        <v>2953.56</v>
      </c>
      <c r="J405" s="6" t="str">
        <f t="shared" ca="1" si="111"/>
        <v>20198</v>
      </c>
      <c r="K405" s="6">
        <f t="shared" ca="1" si="112"/>
        <v>2019</v>
      </c>
      <c r="L405" s="6">
        <f t="shared" ca="1" si="113"/>
        <v>8</v>
      </c>
      <c r="M405" s="68">
        <f ca="1">IFERROR(__xludf.DUMMYFUNCTION("""COMPUTED_VALUE"""),43678.6666666666)</f>
        <v>43678.666666666599</v>
      </c>
      <c r="N405" s="6">
        <f ca="1">IFERROR(__xludf.DUMMYFUNCTION("""COMPUTED_VALUE"""),8111.12)</f>
        <v>8111.12</v>
      </c>
      <c r="R405" s="6" t="str">
        <f t="shared" ca="1" si="114"/>
        <v>20198</v>
      </c>
      <c r="S405" s="6">
        <f t="shared" ca="1" si="115"/>
        <v>2019</v>
      </c>
      <c r="T405" s="6">
        <f t="shared" ca="1" si="116"/>
        <v>8</v>
      </c>
      <c r="U405" s="68">
        <f ca="1">IFERROR(__xludf.DUMMYFUNCTION("""COMPUTED_VALUE"""),43703.6458333333)</f>
        <v>43703.645833333299</v>
      </c>
      <c r="V405" s="6">
        <f ca="1">IFERROR(__xludf.DUMMYFUNCTION("""COMPUTED_VALUE"""),1916.31)</f>
        <v>1916.31</v>
      </c>
      <c r="Z405" s="6" t="str">
        <f t="shared" ca="1" si="117"/>
        <v>20192</v>
      </c>
      <c r="AA405" s="6">
        <f t="shared" ca="1" si="118"/>
        <v>2019</v>
      </c>
      <c r="AB405" s="6">
        <f t="shared" ca="1" si="119"/>
        <v>2</v>
      </c>
      <c r="AC405" s="68">
        <f ca="1">IFERROR(__xludf.DUMMYFUNCTION("""COMPUTED_VALUE"""),43520.9986111111)</f>
        <v>43520.998611111099</v>
      </c>
      <c r="AD405" s="6">
        <f ca="1">IFERROR(__xludf.DUMMYFUNCTION("""COMPUTED_VALUE"""),1122.31)</f>
        <v>1122.31</v>
      </c>
      <c r="AH405" s="6" t="str">
        <f t="shared" ca="1" si="120"/>
        <v>20192</v>
      </c>
      <c r="AI405" s="6">
        <f t="shared" ca="1" si="121"/>
        <v>2019</v>
      </c>
      <c r="AJ405" s="6">
        <f t="shared" ca="1" si="122"/>
        <v>2</v>
      </c>
      <c r="AK405" s="68">
        <f ca="1">IFERROR(__xludf.DUMMYFUNCTION("""COMPUTED_VALUE"""),43497.9986111111)</f>
        <v>43497.998611111099</v>
      </c>
      <c r="AL405" s="6">
        <f ca="1">IFERROR(__xludf.DUMMYFUNCTION("""COMPUTED_VALUE"""),3450.264)</f>
        <v>3450.2640000000001</v>
      </c>
      <c r="AP405" s="6" t="str">
        <f t="shared" ca="1" si="123"/>
        <v>20198</v>
      </c>
      <c r="AQ405" s="6">
        <f t="shared" ca="1" si="124"/>
        <v>2019</v>
      </c>
      <c r="AR405" s="6">
        <f t="shared" ca="1" si="125"/>
        <v>8</v>
      </c>
      <c r="AS405" s="68">
        <f ca="1">IFERROR(__xludf.DUMMYFUNCTION("""COMPUTED_VALUE"""),43689.9986111111)</f>
        <v>43689.998611111099</v>
      </c>
      <c r="AT405" s="6">
        <f ca="1">IFERROR(__xludf.DUMMYFUNCTION("""COMPUTED_VALUE"""),1517.2)</f>
        <v>1517.2</v>
      </c>
    </row>
    <row r="406" spans="2:46" x14ac:dyDescent="0.35">
      <c r="B406" s="6" t="str">
        <f t="shared" ca="1" si="108"/>
        <v>20198</v>
      </c>
      <c r="C406" s="6">
        <f t="shared" ca="1" si="109"/>
        <v>2019</v>
      </c>
      <c r="D406" s="6">
        <f t="shared" ca="1" si="110"/>
        <v>8</v>
      </c>
      <c r="E406" s="68">
        <f ca="1">IFERROR(__xludf.DUMMYFUNCTION("""COMPUTED_VALUE"""),43679.6666666666)</f>
        <v>43679.666666666599</v>
      </c>
      <c r="F406" s="6">
        <f ca="1">IFERROR(__xludf.DUMMYFUNCTION("""COMPUTED_VALUE"""),2932.05)</f>
        <v>2932.05</v>
      </c>
      <c r="J406" s="6" t="str">
        <f t="shared" ca="1" si="111"/>
        <v>20198</v>
      </c>
      <c r="K406" s="6">
        <f t="shared" ca="1" si="112"/>
        <v>2019</v>
      </c>
      <c r="L406" s="6">
        <f t="shared" ca="1" si="113"/>
        <v>8</v>
      </c>
      <c r="M406" s="68">
        <f ca="1">IFERROR(__xludf.DUMMYFUNCTION("""COMPUTED_VALUE"""),43679.6666666666)</f>
        <v>43679.666666666599</v>
      </c>
      <c r="N406" s="6">
        <f ca="1">IFERROR(__xludf.DUMMYFUNCTION("""COMPUTED_VALUE"""),8004.07)</f>
        <v>8004.07</v>
      </c>
      <c r="R406" s="6" t="str">
        <f t="shared" ca="1" si="114"/>
        <v>20198</v>
      </c>
      <c r="S406" s="6">
        <f t="shared" ca="1" si="115"/>
        <v>2019</v>
      </c>
      <c r="T406" s="6">
        <f t="shared" ca="1" si="116"/>
        <v>8</v>
      </c>
      <c r="U406" s="68">
        <f ca="1">IFERROR(__xludf.DUMMYFUNCTION("""COMPUTED_VALUE"""),43704.6458333333)</f>
        <v>43704.645833333299</v>
      </c>
      <c r="V406" s="6">
        <f ca="1">IFERROR(__xludf.DUMMYFUNCTION("""COMPUTED_VALUE"""),1924.6)</f>
        <v>1924.6</v>
      </c>
      <c r="Z406" s="6" t="str">
        <f t="shared" ca="1" si="117"/>
        <v>20192</v>
      </c>
      <c r="AA406" s="6">
        <f t="shared" ca="1" si="118"/>
        <v>2019</v>
      </c>
      <c r="AB406" s="6">
        <f t="shared" ca="1" si="119"/>
        <v>2</v>
      </c>
      <c r="AC406" s="68">
        <f ca="1">IFERROR(__xludf.DUMMYFUNCTION("""COMPUTED_VALUE"""),43521.9986111111)</f>
        <v>43521.998611111099</v>
      </c>
      <c r="AD406" s="6">
        <f ca="1">IFERROR(__xludf.DUMMYFUNCTION("""COMPUTED_VALUE"""),1117.2)</f>
        <v>1117.2</v>
      </c>
      <c r="AH406" s="6" t="str">
        <f t="shared" ca="1" si="120"/>
        <v>20192</v>
      </c>
      <c r="AI406" s="6">
        <f t="shared" ca="1" si="121"/>
        <v>2019</v>
      </c>
      <c r="AJ406" s="6">
        <f t="shared" ca="1" si="122"/>
        <v>2</v>
      </c>
      <c r="AK406" s="68">
        <f ca="1">IFERROR(__xludf.DUMMYFUNCTION("""COMPUTED_VALUE"""),43498.9986111111)</f>
        <v>43498.998611111099</v>
      </c>
      <c r="AL406" s="6">
        <f ca="1">IFERROR(__xludf.DUMMYFUNCTION("""COMPUTED_VALUE"""),3493.482)</f>
        <v>3493.482</v>
      </c>
      <c r="AP406" s="6" t="str">
        <f t="shared" ca="1" si="123"/>
        <v>20198</v>
      </c>
      <c r="AQ406" s="6">
        <f t="shared" ca="1" si="124"/>
        <v>2019</v>
      </c>
      <c r="AR406" s="6">
        <f t="shared" ca="1" si="125"/>
        <v>8</v>
      </c>
      <c r="AS406" s="68">
        <f ca="1">IFERROR(__xludf.DUMMYFUNCTION("""COMPUTED_VALUE"""),43690.9986111111)</f>
        <v>43690.998611111099</v>
      </c>
      <c r="AT406" s="6">
        <f ca="1">IFERROR(__xludf.DUMMYFUNCTION("""COMPUTED_VALUE"""),1514.1)</f>
        <v>1514.1</v>
      </c>
    </row>
    <row r="407" spans="2:46" x14ac:dyDescent="0.35">
      <c r="B407" s="6" t="str">
        <f t="shared" ca="1" si="108"/>
        <v>20198</v>
      </c>
      <c r="C407" s="6">
        <f t="shared" ca="1" si="109"/>
        <v>2019</v>
      </c>
      <c r="D407" s="6">
        <f t="shared" ca="1" si="110"/>
        <v>8</v>
      </c>
      <c r="E407" s="68">
        <f ca="1">IFERROR(__xludf.DUMMYFUNCTION("""COMPUTED_VALUE"""),43682.6666666666)</f>
        <v>43682.666666666599</v>
      </c>
      <c r="F407" s="6">
        <f ca="1">IFERROR(__xludf.DUMMYFUNCTION("""COMPUTED_VALUE"""),2844.74)</f>
        <v>2844.74</v>
      </c>
      <c r="J407" s="6" t="str">
        <f t="shared" ca="1" si="111"/>
        <v>20198</v>
      </c>
      <c r="K407" s="6">
        <f t="shared" ca="1" si="112"/>
        <v>2019</v>
      </c>
      <c r="L407" s="6">
        <f t="shared" ca="1" si="113"/>
        <v>8</v>
      </c>
      <c r="M407" s="68">
        <f ca="1">IFERROR(__xludf.DUMMYFUNCTION("""COMPUTED_VALUE"""),43682.6666666666)</f>
        <v>43682.666666666599</v>
      </c>
      <c r="N407" s="6">
        <f ca="1">IFERROR(__xludf.DUMMYFUNCTION("""COMPUTED_VALUE"""),7726.04)</f>
        <v>7726.04</v>
      </c>
      <c r="R407" s="6" t="str">
        <f t="shared" ca="1" si="114"/>
        <v>20198</v>
      </c>
      <c r="S407" s="6">
        <f t="shared" ca="1" si="115"/>
        <v>2019</v>
      </c>
      <c r="T407" s="6">
        <f t="shared" ca="1" si="116"/>
        <v>8</v>
      </c>
      <c r="U407" s="68">
        <f ca="1">IFERROR(__xludf.DUMMYFUNCTION("""COMPUTED_VALUE"""),43705.6458333333)</f>
        <v>43705.645833333299</v>
      </c>
      <c r="V407" s="6">
        <f ca="1">IFERROR(__xludf.DUMMYFUNCTION("""COMPUTED_VALUE"""),1941.09)</f>
        <v>1941.09</v>
      </c>
      <c r="Z407" s="6" t="str">
        <f t="shared" ca="1" si="117"/>
        <v>20192</v>
      </c>
      <c r="AA407" s="6">
        <f t="shared" ca="1" si="118"/>
        <v>2019</v>
      </c>
      <c r="AB407" s="6">
        <f t="shared" ca="1" si="119"/>
        <v>2</v>
      </c>
      <c r="AC407" s="68">
        <f ca="1">IFERROR(__xludf.DUMMYFUNCTION("""COMPUTED_VALUE"""),43522.9986111111)</f>
        <v>43522.998611111099</v>
      </c>
      <c r="AD407" s="6">
        <f ca="1">IFERROR(__xludf.DUMMYFUNCTION("""COMPUTED_VALUE"""),1114.3)</f>
        <v>1114.3</v>
      </c>
      <c r="AH407" s="6" t="str">
        <f t="shared" ca="1" si="120"/>
        <v>20192</v>
      </c>
      <c r="AI407" s="6">
        <f t="shared" ca="1" si="121"/>
        <v>2019</v>
      </c>
      <c r="AJ407" s="6">
        <f t="shared" ca="1" si="122"/>
        <v>2</v>
      </c>
      <c r="AK407" s="68">
        <f ca="1">IFERROR(__xludf.DUMMYFUNCTION("""COMPUTED_VALUE"""),43499.9986111111)</f>
        <v>43499.998611111099</v>
      </c>
      <c r="AL407" s="6">
        <f ca="1">IFERROR(__xludf.DUMMYFUNCTION("""COMPUTED_VALUE"""),3426.086)</f>
        <v>3426.0859999999998</v>
      </c>
      <c r="AP407" s="6" t="str">
        <f t="shared" ca="1" si="123"/>
        <v>20198</v>
      </c>
      <c r="AQ407" s="6">
        <f t="shared" ca="1" si="124"/>
        <v>2019</v>
      </c>
      <c r="AR407" s="6">
        <f t="shared" ca="1" si="125"/>
        <v>8</v>
      </c>
      <c r="AS407" s="68">
        <f ca="1">IFERROR(__xludf.DUMMYFUNCTION("""COMPUTED_VALUE"""),43691.9986111111)</f>
        <v>43691.998611111099</v>
      </c>
      <c r="AT407" s="6">
        <f ca="1">IFERROR(__xludf.DUMMYFUNCTION("""COMPUTED_VALUE"""),1527.8)</f>
        <v>1527.8</v>
      </c>
    </row>
    <row r="408" spans="2:46" x14ac:dyDescent="0.35">
      <c r="B408" s="6" t="str">
        <f t="shared" ca="1" si="108"/>
        <v>20198</v>
      </c>
      <c r="C408" s="6">
        <f t="shared" ca="1" si="109"/>
        <v>2019</v>
      </c>
      <c r="D408" s="6">
        <f t="shared" ca="1" si="110"/>
        <v>8</v>
      </c>
      <c r="E408" s="68">
        <f ca="1">IFERROR(__xludf.DUMMYFUNCTION("""COMPUTED_VALUE"""),43683.6666666666)</f>
        <v>43683.666666666599</v>
      </c>
      <c r="F408" s="6">
        <f ca="1">IFERROR(__xludf.DUMMYFUNCTION("""COMPUTED_VALUE"""),2881.77)</f>
        <v>2881.77</v>
      </c>
      <c r="J408" s="6" t="str">
        <f t="shared" ca="1" si="111"/>
        <v>20198</v>
      </c>
      <c r="K408" s="6">
        <f t="shared" ca="1" si="112"/>
        <v>2019</v>
      </c>
      <c r="L408" s="6">
        <f t="shared" ca="1" si="113"/>
        <v>8</v>
      </c>
      <c r="M408" s="68">
        <f ca="1">IFERROR(__xludf.DUMMYFUNCTION("""COMPUTED_VALUE"""),43683.6666666666)</f>
        <v>43683.666666666599</v>
      </c>
      <c r="N408" s="6">
        <f ca="1">IFERROR(__xludf.DUMMYFUNCTION("""COMPUTED_VALUE"""),7833.27)</f>
        <v>7833.27</v>
      </c>
      <c r="R408" s="6" t="str">
        <f t="shared" ca="1" si="114"/>
        <v>20198</v>
      </c>
      <c r="S408" s="6">
        <f t="shared" ca="1" si="115"/>
        <v>2019</v>
      </c>
      <c r="T408" s="6">
        <f t="shared" ca="1" si="116"/>
        <v>8</v>
      </c>
      <c r="U408" s="68">
        <f ca="1">IFERROR(__xludf.DUMMYFUNCTION("""COMPUTED_VALUE"""),43706.6458333333)</f>
        <v>43706.645833333299</v>
      </c>
      <c r="V408" s="6">
        <f ca="1">IFERROR(__xludf.DUMMYFUNCTION("""COMPUTED_VALUE"""),1933.41)</f>
        <v>1933.41</v>
      </c>
      <c r="Z408" s="6" t="str">
        <f t="shared" ca="1" si="117"/>
        <v>20192</v>
      </c>
      <c r="AA408" s="6">
        <f t="shared" ca="1" si="118"/>
        <v>2019</v>
      </c>
      <c r="AB408" s="6">
        <f t="shared" ca="1" si="119"/>
        <v>2</v>
      </c>
      <c r="AC408" s="68">
        <f ca="1">IFERROR(__xludf.DUMMYFUNCTION("""COMPUTED_VALUE"""),43523.9986111111)</f>
        <v>43523.998611111099</v>
      </c>
      <c r="AD408" s="6">
        <f ca="1">IFERROR(__xludf.DUMMYFUNCTION("""COMPUTED_VALUE"""),1115.1)</f>
        <v>1115.0999999999999</v>
      </c>
      <c r="AH408" s="6" t="str">
        <f t="shared" ca="1" si="120"/>
        <v>20192</v>
      </c>
      <c r="AI408" s="6">
        <f t="shared" ca="1" si="121"/>
        <v>2019</v>
      </c>
      <c r="AJ408" s="6">
        <f t="shared" ca="1" si="122"/>
        <v>2</v>
      </c>
      <c r="AK408" s="68">
        <f ca="1">IFERROR(__xludf.DUMMYFUNCTION("""COMPUTED_VALUE"""),43500.9986111111)</f>
        <v>43500.998611111099</v>
      </c>
      <c r="AL408" s="6">
        <f ca="1">IFERROR(__xludf.DUMMYFUNCTION("""COMPUTED_VALUE"""),3418.105)</f>
        <v>3418.105</v>
      </c>
      <c r="AP408" s="6" t="str">
        <f t="shared" ca="1" si="123"/>
        <v>20198</v>
      </c>
      <c r="AQ408" s="6">
        <f t="shared" ca="1" si="124"/>
        <v>2019</v>
      </c>
      <c r="AR408" s="6">
        <f t="shared" ca="1" si="125"/>
        <v>8</v>
      </c>
      <c r="AS408" s="68">
        <f ca="1">IFERROR(__xludf.DUMMYFUNCTION("""COMPUTED_VALUE"""),43692.9986111111)</f>
        <v>43692.998611111099</v>
      </c>
      <c r="AT408" s="6">
        <f ca="1">IFERROR(__xludf.DUMMYFUNCTION("""COMPUTED_VALUE"""),1531.2)</f>
        <v>1531.2</v>
      </c>
    </row>
    <row r="409" spans="2:46" x14ac:dyDescent="0.35">
      <c r="B409" s="6" t="str">
        <f t="shared" ca="1" si="108"/>
        <v>20198</v>
      </c>
      <c r="C409" s="6">
        <f t="shared" ca="1" si="109"/>
        <v>2019</v>
      </c>
      <c r="D409" s="6">
        <f t="shared" ca="1" si="110"/>
        <v>8</v>
      </c>
      <c r="E409" s="68">
        <f ca="1">IFERROR(__xludf.DUMMYFUNCTION("""COMPUTED_VALUE"""),43684.6666666666)</f>
        <v>43684.666666666599</v>
      </c>
      <c r="F409" s="6">
        <f ca="1">IFERROR(__xludf.DUMMYFUNCTION("""COMPUTED_VALUE"""),2883.98)</f>
        <v>2883.98</v>
      </c>
      <c r="J409" s="6" t="str">
        <f t="shared" ca="1" si="111"/>
        <v>20198</v>
      </c>
      <c r="K409" s="6">
        <f t="shared" ca="1" si="112"/>
        <v>2019</v>
      </c>
      <c r="L409" s="6">
        <f t="shared" ca="1" si="113"/>
        <v>8</v>
      </c>
      <c r="M409" s="68">
        <f ca="1">IFERROR(__xludf.DUMMYFUNCTION("""COMPUTED_VALUE"""),43684.6666666666)</f>
        <v>43684.666666666599</v>
      </c>
      <c r="N409" s="6">
        <f ca="1">IFERROR(__xludf.DUMMYFUNCTION("""COMPUTED_VALUE"""),7862.83)</f>
        <v>7862.83</v>
      </c>
      <c r="R409" s="6" t="str">
        <f t="shared" ca="1" si="114"/>
        <v>20198</v>
      </c>
      <c r="S409" s="6">
        <f t="shared" ca="1" si="115"/>
        <v>2019</v>
      </c>
      <c r="T409" s="6">
        <f t="shared" ca="1" si="116"/>
        <v>8</v>
      </c>
      <c r="U409" s="68">
        <f ca="1">IFERROR(__xludf.DUMMYFUNCTION("""COMPUTED_VALUE"""),43707.6458333333)</f>
        <v>43707.645833333299</v>
      </c>
      <c r="V409" s="6">
        <f ca="1">IFERROR(__xludf.DUMMYFUNCTION("""COMPUTED_VALUE"""),1967.79)</f>
        <v>1967.79</v>
      </c>
      <c r="Z409" s="6" t="str">
        <f t="shared" ca="1" si="117"/>
        <v>20192</v>
      </c>
      <c r="AA409" s="6">
        <f t="shared" ca="1" si="118"/>
        <v>2019</v>
      </c>
      <c r="AB409" s="6">
        <f t="shared" ca="1" si="119"/>
        <v>2</v>
      </c>
      <c r="AC409" s="68">
        <f ca="1">IFERROR(__xludf.DUMMYFUNCTION("""COMPUTED_VALUE"""),43524.9986111111)</f>
        <v>43524.998611111099</v>
      </c>
      <c r="AD409" s="6">
        <f ca="1">IFERROR(__xludf.DUMMYFUNCTION("""COMPUTED_VALUE"""),1124.22)</f>
        <v>1124.22</v>
      </c>
      <c r="AH409" s="6" t="str">
        <f t="shared" ca="1" si="120"/>
        <v>20192</v>
      </c>
      <c r="AI409" s="6">
        <f t="shared" ca="1" si="121"/>
        <v>2019</v>
      </c>
      <c r="AJ409" s="6">
        <f t="shared" ca="1" si="122"/>
        <v>2</v>
      </c>
      <c r="AK409" s="68">
        <f ca="1">IFERROR(__xludf.DUMMYFUNCTION("""COMPUTED_VALUE"""),43501.9986111111)</f>
        <v>43501.998611111099</v>
      </c>
      <c r="AL409" s="6">
        <f ca="1">IFERROR(__xludf.DUMMYFUNCTION("""COMPUTED_VALUE"""),3447.196)</f>
        <v>3447.1959999999999</v>
      </c>
      <c r="AP409" s="6" t="str">
        <f t="shared" ca="1" si="123"/>
        <v>20198</v>
      </c>
      <c r="AQ409" s="6">
        <f t="shared" ca="1" si="124"/>
        <v>2019</v>
      </c>
      <c r="AR409" s="6">
        <f t="shared" ca="1" si="125"/>
        <v>8</v>
      </c>
      <c r="AS409" s="68">
        <f ca="1">IFERROR(__xludf.DUMMYFUNCTION("""COMPUTED_VALUE"""),43693.9986111111)</f>
        <v>43693.998611111099</v>
      </c>
      <c r="AT409" s="6">
        <f ca="1">IFERROR(__xludf.DUMMYFUNCTION("""COMPUTED_VALUE"""),1523.6)</f>
        <v>1523.6</v>
      </c>
    </row>
    <row r="410" spans="2:46" x14ac:dyDescent="0.35">
      <c r="B410" s="6" t="str">
        <f t="shared" ca="1" si="108"/>
        <v>20198</v>
      </c>
      <c r="C410" s="6">
        <f t="shared" ca="1" si="109"/>
        <v>2019</v>
      </c>
      <c r="D410" s="6">
        <f t="shared" ca="1" si="110"/>
        <v>8</v>
      </c>
      <c r="E410" s="68">
        <f ca="1">IFERROR(__xludf.DUMMYFUNCTION("""COMPUTED_VALUE"""),43685.6666666666)</f>
        <v>43685.666666666599</v>
      </c>
      <c r="F410" s="6">
        <f ca="1">IFERROR(__xludf.DUMMYFUNCTION("""COMPUTED_VALUE"""),2938.09)</f>
        <v>2938.09</v>
      </c>
      <c r="J410" s="6" t="str">
        <f t="shared" ca="1" si="111"/>
        <v>20198</v>
      </c>
      <c r="K410" s="6">
        <f t="shared" ca="1" si="112"/>
        <v>2019</v>
      </c>
      <c r="L410" s="6">
        <f t="shared" ca="1" si="113"/>
        <v>8</v>
      </c>
      <c r="M410" s="68">
        <f ca="1">IFERROR(__xludf.DUMMYFUNCTION("""COMPUTED_VALUE"""),43685.6666666666)</f>
        <v>43685.666666666599</v>
      </c>
      <c r="N410" s="6">
        <f ca="1">IFERROR(__xludf.DUMMYFUNCTION("""COMPUTED_VALUE"""),8039.16)</f>
        <v>8039.16</v>
      </c>
      <c r="R410" s="6" t="str">
        <f t="shared" ca="1" si="114"/>
        <v>20199</v>
      </c>
      <c r="S410" s="6">
        <f t="shared" ca="1" si="115"/>
        <v>2019</v>
      </c>
      <c r="T410" s="6">
        <f t="shared" ca="1" si="116"/>
        <v>9</v>
      </c>
      <c r="U410" s="68">
        <f ca="1">IFERROR(__xludf.DUMMYFUNCTION("""COMPUTED_VALUE"""),43710.6458333333)</f>
        <v>43710.645833333299</v>
      </c>
      <c r="V410" s="6">
        <f ca="1">IFERROR(__xludf.DUMMYFUNCTION("""COMPUTED_VALUE"""),1969.19)</f>
        <v>1969.19</v>
      </c>
      <c r="Z410" s="6" t="str">
        <f t="shared" ca="1" si="117"/>
        <v>20193</v>
      </c>
      <c r="AA410" s="6">
        <f t="shared" ca="1" si="118"/>
        <v>2019</v>
      </c>
      <c r="AB410" s="6">
        <f t="shared" ca="1" si="119"/>
        <v>3</v>
      </c>
      <c r="AC410" s="68">
        <f ca="1">IFERROR(__xludf.DUMMYFUNCTION("""COMPUTED_VALUE"""),43525.9986111111)</f>
        <v>43525.998611111099</v>
      </c>
      <c r="AD410" s="6">
        <f ca="1">IFERROR(__xludf.DUMMYFUNCTION("""COMPUTED_VALUE"""),1126.66)</f>
        <v>1126.6600000000001</v>
      </c>
      <c r="AH410" s="6" t="str">
        <f t="shared" ca="1" si="120"/>
        <v>20192</v>
      </c>
      <c r="AI410" s="6">
        <f t="shared" ca="1" si="121"/>
        <v>2019</v>
      </c>
      <c r="AJ410" s="6">
        <f t="shared" ca="1" si="122"/>
        <v>2</v>
      </c>
      <c r="AK410" s="68">
        <f ca="1">IFERROR(__xludf.DUMMYFUNCTION("""COMPUTED_VALUE"""),43502.9986111111)</f>
        <v>43502.998611111099</v>
      </c>
      <c r="AL410" s="6">
        <f ca="1">IFERROR(__xludf.DUMMYFUNCTION("""COMPUTED_VALUE"""),3380.267)</f>
        <v>3380.2669999999998</v>
      </c>
      <c r="AP410" s="6" t="str">
        <f t="shared" ca="1" si="123"/>
        <v>20198</v>
      </c>
      <c r="AQ410" s="6">
        <f t="shared" ca="1" si="124"/>
        <v>2019</v>
      </c>
      <c r="AR410" s="6">
        <f t="shared" ca="1" si="125"/>
        <v>8</v>
      </c>
      <c r="AS410" s="68">
        <f ca="1">IFERROR(__xludf.DUMMYFUNCTION("""COMPUTED_VALUE"""),43696.9986111111)</f>
        <v>43696.998611111099</v>
      </c>
      <c r="AT410" s="6">
        <f ca="1">IFERROR(__xludf.DUMMYFUNCTION("""COMPUTED_VALUE"""),1511.6)</f>
        <v>1511.6</v>
      </c>
    </row>
    <row r="411" spans="2:46" x14ac:dyDescent="0.35">
      <c r="B411" s="6" t="str">
        <f t="shared" ca="1" si="108"/>
        <v>20198</v>
      </c>
      <c r="C411" s="6">
        <f t="shared" ca="1" si="109"/>
        <v>2019</v>
      </c>
      <c r="D411" s="6">
        <f t="shared" ca="1" si="110"/>
        <v>8</v>
      </c>
      <c r="E411" s="68">
        <f ca="1">IFERROR(__xludf.DUMMYFUNCTION("""COMPUTED_VALUE"""),43686.6666666666)</f>
        <v>43686.666666666599</v>
      </c>
      <c r="F411" s="6">
        <f ca="1">IFERROR(__xludf.DUMMYFUNCTION("""COMPUTED_VALUE"""),2918.65)</f>
        <v>2918.65</v>
      </c>
      <c r="J411" s="6" t="str">
        <f t="shared" ca="1" si="111"/>
        <v>20198</v>
      </c>
      <c r="K411" s="6">
        <f t="shared" ca="1" si="112"/>
        <v>2019</v>
      </c>
      <c r="L411" s="6">
        <f t="shared" ca="1" si="113"/>
        <v>8</v>
      </c>
      <c r="M411" s="68">
        <f ca="1">IFERROR(__xludf.DUMMYFUNCTION("""COMPUTED_VALUE"""),43686.6666666666)</f>
        <v>43686.666666666599</v>
      </c>
      <c r="N411" s="6">
        <f ca="1">IFERROR(__xludf.DUMMYFUNCTION("""COMPUTED_VALUE"""),7959.14)</f>
        <v>7959.14</v>
      </c>
      <c r="R411" s="6" t="str">
        <f t="shared" ca="1" si="114"/>
        <v>20199</v>
      </c>
      <c r="S411" s="6">
        <f t="shared" ca="1" si="115"/>
        <v>2019</v>
      </c>
      <c r="T411" s="6">
        <f t="shared" ca="1" si="116"/>
        <v>9</v>
      </c>
      <c r="U411" s="68">
        <f ca="1">IFERROR(__xludf.DUMMYFUNCTION("""COMPUTED_VALUE"""),43711.6458333333)</f>
        <v>43711.645833333299</v>
      </c>
      <c r="V411" s="6">
        <f ca="1">IFERROR(__xludf.DUMMYFUNCTION("""COMPUTED_VALUE"""),1965.69)</f>
        <v>1965.69</v>
      </c>
      <c r="Z411" s="6" t="str">
        <f t="shared" ca="1" si="117"/>
        <v>20193</v>
      </c>
      <c r="AA411" s="6">
        <f t="shared" ca="1" si="118"/>
        <v>2019</v>
      </c>
      <c r="AB411" s="6">
        <f t="shared" ca="1" si="119"/>
        <v>3</v>
      </c>
      <c r="AC411" s="68">
        <f ca="1">IFERROR(__xludf.DUMMYFUNCTION("""COMPUTED_VALUE"""),43527.9986111111)</f>
        <v>43527.998611111099</v>
      </c>
      <c r="AD411" s="6">
        <f ca="1">IFERROR(__xludf.DUMMYFUNCTION("""COMPUTED_VALUE"""),1126.81)</f>
        <v>1126.81</v>
      </c>
      <c r="AH411" s="6" t="str">
        <f t="shared" ca="1" si="120"/>
        <v>20192</v>
      </c>
      <c r="AI411" s="6">
        <f t="shared" ca="1" si="121"/>
        <v>2019</v>
      </c>
      <c r="AJ411" s="6">
        <f t="shared" ca="1" si="122"/>
        <v>2</v>
      </c>
      <c r="AK411" s="68">
        <f ca="1">IFERROR(__xludf.DUMMYFUNCTION("""COMPUTED_VALUE"""),43503.9986111111)</f>
        <v>43503.998611111099</v>
      </c>
      <c r="AL411" s="6">
        <f ca="1">IFERROR(__xludf.DUMMYFUNCTION("""COMPUTED_VALUE"""),3367.105)</f>
        <v>3367.105</v>
      </c>
      <c r="AP411" s="6" t="str">
        <f t="shared" ca="1" si="123"/>
        <v>20198</v>
      </c>
      <c r="AQ411" s="6">
        <f t="shared" ca="1" si="124"/>
        <v>2019</v>
      </c>
      <c r="AR411" s="6">
        <f t="shared" ca="1" si="125"/>
        <v>8</v>
      </c>
      <c r="AS411" s="68">
        <f ca="1">IFERROR(__xludf.DUMMYFUNCTION("""COMPUTED_VALUE"""),43697.9986111111)</f>
        <v>43697.998611111099</v>
      </c>
      <c r="AT411" s="6">
        <f ca="1">IFERROR(__xludf.DUMMYFUNCTION("""COMPUTED_VALUE"""),1515.7)</f>
        <v>1515.7</v>
      </c>
    </row>
    <row r="412" spans="2:46" x14ac:dyDescent="0.35">
      <c r="B412" s="6" t="str">
        <f t="shared" ca="1" si="108"/>
        <v>20198</v>
      </c>
      <c r="C412" s="6">
        <f t="shared" ca="1" si="109"/>
        <v>2019</v>
      </c>
      <c r="D412" s="6">
        <f t="shared" ca="1" si="110"/>
        <v>8</v>
      </c>
      <c r="E412" s="68">
        <f ca="1">IFERROR(__xludf.DUMMYFUNCTION("""COMPUTED_VALUE"""),43689.6666666666)</f>
        <v>43689.666666666599</v>
      </c>
      <c r="F412" s="6">
        <f ca="1">IFERROR(__xludf.DUMMYFUNCTION("""COMPUTED_VALUE"""),2883.09)</f>
        <v>2883.09</v>
      </c>
      <c r="J412" s="6" t="str">
        <f t="shared" ca="1" si="111"/>
        <v>20198</v>
      </c>
      <c r="K412" s="6">
        <f t="shared" ca="1" si="112"/>
        <v>2019</v>
      </c>
      <c r="L412" s="6">
        <f t="shared" ca="1" si="113"/>
        <v>8</v>
      </c>
      <c r="M412" s="68">
        <f ca="1">IFERROR(__xludf.DUMMYFUNCTION("""COMPUTED_VALUE"""),43689.6666666666)</f>
        <v>43689.666666666599</v>
      </c>
      <c r="N412" s="6">
        <f ca="1">IFERROR(__xludf.DUMMYFUNCTION("""COMPUTED_VALUE"""),7863.41)</f>
        <v>7863.41</v>
      </c>
      <c r="R412" s="6" t="str">
        <f t="shared" ca="1" si="114"/>
        <v>20199</v>
      </c>
      <c r="S412" s="6">
        <f t="shared" ca="1" si="115"/>
        <v>2019</v>
      </c>
      <c r="T412" s="6">
        <f t="shared" ca="1" si="116"/>
        <v>9</v>
      </c>
      <c r="U412" s="68">
        <f ca="1">IFERROR(__xludf.DUMMYFUNCTION("""COMPUTED_VALUE"""),43712.6458333333)</f>
        <v>43712.645833333299</v>
      </c>
      <c r="V412" s="6">
        <f ca="1">IFERROR(__xludf.DUMMYFUNCTION("""COMPUTED_VALUE"""),1988.53)</f>
        <v>1988.53</v>
      </c>
      <c r="Z412" s="6" t="str">
        <f t="shared" ca="1" si="117"/>
        <v>20193</v>
      </c>
      <c r="AA412" s="6">
        <f t="shared" ca="1" si="118"/>
        <v>2019</v>
      </c>
      <c r="AB412" s="6">
        <f t="shared" ca="1" si="119"/>
        <v>3</v>
      </c>
      <c r="AC412" s="68">
        <f ca="1">IFERROR(__xludf.DUMMYFUNCTION("""COMPUTED_VALUE"""),43528.9986111111)</f>
        <v>43528.998611111099</v>
      </c>
      <c r="AD412" s="6">
        <f ca="1">IFERROR(__xludf.DUMMYFUNCTION("""COMPUTED_VALUE"""),1128.15)</f>
        <v>1128.1500000000001</v>
      </c>
      <c r="AH412" s="6" t="str">
        <f t="shared" ca="1" si="120"/>
        <v>20192</v>
      </c>
      <c r="AI412" s="6">
        <f t="shared" ca="1" si="121"/>
        <v>2019</v>
      </c>
      <c r="AJ412" s="6">
        <f t="shared" ca="1" si="122"/>
        <v>2</v>
      </c>
      <c r="AK412" s="68">
        <f ca="1">IFERROR(__xludf.DUMMYFUNCTION("""COMPUTED_VALUE"""),43504.9986111111)</f>
        <v>43504.998611111099</v>
      </c>
      <c r="AL412" s="6">
        <f ca="1">IFERROR(__xludf.DUMMYFUNCTION("""COMPUTED_VALUE"""),3644.61)</f>
        <v>3644.61</v>
      </c>
      <c r="AP412" s="6" t="str">
        <f t="shared" ca="1" si="123"/>
        <v>20198</v>
      </c>
      <c r="AQ412" s="6">
        <f t="shared" ca="1" si="124"/>
        <v>2019</v>
      </c>
      <c r="AR412" s="6">
        <f t="shared" ca="1" si="125"/>
        <v>8</v>
      </c>
      <c r="AS412" s="68">
        <f ca="1">IFERROR(__xludf.DUMMYFUNCTION("""COMPUTED_VALUE"""),43698.9986111111)</f>
        <v>43698.998611111099</v>
      </c>
      <c r="AT412" s="6">
        <f ca="1">IFERROR(__xludf.DUMMYFUNCTION("""COMPUTED_VALUE"""),1515.7)</f>
        <v>1515.7</v>
      </c>
    </row>
    <row r="413" spans="2:46" x14ac:dyDescent="0.35">
      <c r="B413" s="6" t="str">
        <f t="shared" ca="1" si="108"/>
        <v>20198</v>
      </c>
      <c r="C413" s="6">
        <f t="shared" ca="1" si="109"/>
        <v>2019</v>
      </c>
      <c r="D413" s="6">
        <f t="shared" ca="1" si="110"/>
        <v>8</v>
      </c>
      <c r="E413" s="68">
        <f ca="1">IFERROR(__xludf.DUMMYFUNCTION("""COMPUTED_VALUE"""),43690.6666666666)</f>
        <v>43690.666666666599</v>
      </c>
      <c r="F413" s="6">
        <f ca="1">IFERROR(__xludf.DUMMYFUNCTION("""COMPUTED_VALUE"""),2926.32)</f>
        <v>2926.32</v>
      </c>
      <c r="J413" s="6" t="str">
        <f t="shared" ca="1" si="111"/>
        <v>20198</v>
      </c>
      <c r="K413" s="6">
        <f t="shared" ca="1" si="112"/>
        <v>2019</v>
      </c>
      <c r="L413" s="6">
        <f t="shared" ca="1" si="113"/>
        <v>8</v>
      </c>
      <c r="M413" s="68">
        <f ca="1">IFERROR(__xludf.DUMMYFUNCTION("""COMPUTED_VALUE"""),43690.6666666666)</f>
        <v>43690.666666666599</v>
      </c>
      <c r="N413" s="6">
        <f ca="1">IFERROR(__xludf.DUMMYFUNCTION("""COMPUTED_VALUE"""),8016.36)</f>
        <v>8016.36</v>
      </c>
      <c r="R413" s="6" t="str">
        <f t="shared" ca="1" si="114"/>
        <v>20199</v>
      </c>
      <c r="S413" s="6">
        <f t="shared" ca="1" si="115"/>
        <v>2019</v>
      </c>
      <c r="T413" s="6">
        <f t="shared" ca="1" si="116"/>
        <v>9</v>
      </c>
      <c r="U413" s="68">
        <f ca="1">IFERROR(__xludf.DUMMYFUNCTION("""COMPUTED_VALUE"""),43713.6458333333)</f>
        <v>43713.645833333299</v>
      </c>
      <c r="V413" s="6">
        <f ca="1">IFERROR(__xludf.DUMMYFUNCTION("""COMPUTED_VALUE"""),2004.75)</f>
        <v>2004.75</v>
      </c>
      <c r="Z413" s="6" t="str">
        <f t="shared" ca="1" si="117"/>
        <v>20193</v>
      </c>
      <c r="AA413" s="6">
        <f t="shared" ca="1" si="118"/>
        <v>2019</v>
      </c>
      <c r="AB413" s="6">
        <f t="shared" ca="1" si="119"/>
        <v>3</v>
      </c>
      <c r="AC413" s="68">
        <f ca="1">IFERROR(__xludf.DUMMYFUNCTION("""COMPUTED_VALUE"""),43529.9986111111)</f>
        <v>43529.998611111099</v>
      </c>
      <c r="AD413" s="6">
        <f ca="1">IFERROR(__xludf.DUMMYFUNCTION("""COMPUTED_VALUE"""),1126.2)</f>
        <v>1126.2</v>
      </c>
      <c r="AH413" s="6" t="str">
        <f t="shared" ca="1" si="120"/>
        <v>20192</v>
      </c>
      <c r="AI413" s="6">
        <f t="shared" ca="1" si="121"/>
        <v>2019</v>
      </c>
      <c r="AJ413" s="6">
        <f t="shared" ca="1" si="122"/>
        <v>2</v>
      </c>
      <c r="AK413" s="68">
        <f ca="1">IFERROR(__xludf.DUMMYFUNCTION("""COMPUTED_VALUE"""),43505.9986111111)</f>
        <v>43505.998611111099</v>
      </c>
      <c r="AL413" s="6">
        <f ca="1">IFERROR(__xludf.DUMMYFUNCTION("""COMPUTED_VALUE"""),3638.609)</f>
        <v>3638.6089999999999</v>
      </c>
      <c r="AP413" s="6" t="str">
        <f t="shared" ca="1" si="123"/>
        <v>20198</v>
      </c>
      <c r="AQ413" s="6">
        <f t="shared" ca="1" si="124"/>
        <v>2019</v>
      </c>
      <c r="AR413" s="6">
        <f t="shared" ca="1" si="125"/>
        <v>8</v>
      </c>
      <c r="AS413" s="68">
        <f ca="1">IFERROR(__xludf.DUMMYFUNCTION("""COMPUTED_VALUE"""),43699.9986111111)</f>
        <v>43699.998611111099</v>
      </c>
      <c r="AT413" s="6">
        <f ca="1">IFERROR(__xludf.DUMMYFUNCTION("""COMPUTED_VALUE"""),1508.5)</f>
        <v>1508.5</v>
      </c>
    </row>
    <row r="414" spans="2:46" x14ac:dyDescent="0.35">
      <c r="B414" s="6" t="str">
        <f t="shared" ca="1" si="108"/>
        <v>20198</v>
      </c>
      <c r="C414" s="6">
        <f t="shared" ca="1" si="109"/>
        <v>2019</v>
      </c>
      <c r="D414" s="6">
        <f t="shared" ca="1" si="110"/>
        <v>8</v>
      </c>
      <c r="E414" s="68">
        <f ca="1">IFERROR(__xludf.DUMMYFUNCTION("""COMPUTED_VALUE"""),43691.6666666666)</f>
        <v>43691.666666666599</v>
      </c>
      <c r="F414" s="6">
        <f ca="1">IFERROR(__xludf.DUMMYFUNCTION("""COMPUTED_VALUE"""),2840.6)</f>
        <v>2840.6</v>
      </c>
      <c r="J414" s="6" t="str">
        <f t="shared" ca="1" si="111"/>
        <v>20198</v>
      </c>
      <c r="K414" s="6">
        <f t="shared" ca="1" si="112"/>
        <v>2019</v>
      </c>
      <c r="L414" s="6">
        <f t="shared" ca="1" si="113"/>
        <v>8</v>
      </c>
      <c r="M414" s="68">
        <f ca="1">IFERROR(__xludf.DUMMYFUNCTION("""COMPUTED_VALUE"""),43691.6666666666)</f>
        <v>43691.666666666599</v>
      </c>
      <c r="N414" s="6">
        <f ca="1">IFERROR(__xludf.DUMMYFUNCTION("""COMPUTED_VALUE"""),7773.94)</f>
        <v>7773.94</v>
      </c>
      <c r="R414" s="6" t="str">
        <f t="shared" ca="1" si="114"/>
        <v>20199</v>
      </c>
      <c r="S414" s="6">
        <f t="shared" ca="1" si="115"/>
        <v>2019</v>
      </c>
      <c r="T414" s="6">
        <f t="shared" ca="1" si="116"/>
        <v>9</v>
      </c>
      <c r="U414" s="68">
        <f ca="1">IFERROR(__xludf.DUMMYFUNCTION("""COMPUTED_VALUE"""),43714.6458333333)</f>
        <v>43714.645833333299</v>
      </c>
      <c r="V414" s="6">
        <f ca="1">IFERROR(__xludf.DUMMYFUNCTION("""COMPUTED_VALUE"""),2009.13)</f>
        <v>2009.13</v>
      </c>
      <c r="Z414" s="6" t="str">
        <f t="shared" ca="1" si="117"/>
        <v>20193</v>
      </c>
      <c r="AA414" s="6">
        <f t="shared" ca="1" si="118"/>
        <v>2019</v>
      </c>
      <c r="AB414" s="6">
        <f t="shared" ca="1" si="119"/>
        <v>3</v>
      </c>
      <c r="AC414" s="68">
        <f ca="1">IFERROR(__xludf.DUMMYFUNCTION("""COMPUTED_VALUE"""),43530.9986111111)</f>
        <v>43530.998611111099</v>
      </c>
      <c r="AD414" s="6">
        <f ca="1">IFERROR(__xludf.DUMMYFUNCTION("""COMPUTED_VALUE"""),1127)</f>
        <v>1127</v>
      </c>
      <c r="AH414" s="6" t="str">
        <f t="shared" ca="1" si="120"/>
        <v>20192</v>
      </c>
      <c r="AI414" s="6">
        <f t="shared" ca="1" si="121"/>
        <v>2019</v>
      </c>
      <c r="AJ414" s="6">
        <f t="shared" ca="1" si="122"/>
        <v>2</v>
      </c>
      <c r="AK414" s="68">
        <f ca="1">IFERROR(__xludf.DUMMYFUNCTION("""COMPUTED_VALUE"""),43506.9986111111)</f>
        <v>43506.998611111099</v>
      </c>
      <c r="AL414" s="6">
        <f ca="1">IFERROR(__xludf.DUMMYFUNCTION("""COMPUTED_VALUE"""),3653.442)</f>
        <v>3653.442</v>
      </c>
      <c r="AP414" s="6" t="str">
        <f t="shared" ca="1" si="123"/>
        <v>20198</v>
      </c>
      <c r="AQ414" s="6">
        <f t="shared" ca="1" si="124"/>
        <v>2019</v>
      </c>
      <c r="AR414" s="6">
        <f t="shared" ca="1" si="125"/>
        <v>8</v>
      </c>
      <c r="AS414" s="68">
        <f ca="1">IFERROR(__xludf.DUMMYFUNCTION("""COMPUTED_VALUE"""),43700.9986111111)</f>
        <v>43700.998611111099</v>
      </c>
      <c r="AT414" s="6">
        <f ca="1">IFERROR(__xludf.DUMMYFUNCTION("""COMPUTED_VALUE"""),1537.6)</f>
        <v>1537.6</v>
      </c>
    </row>
    <row r="415" spans="2:46" x14ac:dyDescent="0.35">
      <c r="B415" s="6" t="str">
        <f t="shared" ca="1" si="108"/>
        <v>20198</v>
      </c>
      <c r="C415" s="6">
        <f t="shared" ca="1" si="109"/>
        <v>2019</v>
      </c>
      <c r="D415" s="6">
        <f t="shared" ca="1" si="110"/>
        <v>8</v>
      </c>
      <c r="E415" s="68">
        <f ca="1">IFERROR(__xludf.DUMMYFUNCTION("""COMPUTED_VALUE"""),43692.6666666666)</f>
        <v>43692.666666666599</v>
      </c>
      <c r="F415" s="6">
        <f ca="1">IFERROR(__xludf.DUMMYFUNCTION("""COMPUTED_VALUE"""),2847.6)</f>
        <v>2847.6</v>
      </c>
      <c r="J415" s="6" t="str">
        <f t="shared" ca="1" si="111"/>
        <v>20198</v>
      </c>
      <c r="K415" s="6">
        <f t="shared" ca="1" si="112"/>
        <v>2019</v>
      </c>
      <c r="L415" s="6">
        <f t="shared" ca="1" si="113"/>
        <v>8</v>
      </c>
      <c r="M415" s="68">
        <f ca="1">IFERROR(__xludf.DUMMYFUNCTION("""COMPUTED_VALUE"""),43692.6666666666)</f>
        <v>43692.666666666599</v>
      </c>
      <c r="N415" s="6">
        <f ca="1">IFERROR(__xludf.DUMMYFUNCTION("""COMPUTED_VALUE"""),7766.62)</f>
        <v>7766.62</v>
      </c>
      <c r="R415" s="6" t="str">
        <f t="shared" ca="1" si="114"/>
        <v>20199</v>
      </c>
      <c r="S415" s="6">
        <f t="shared" ca="1" si="115"/>
        <v>2019</v>
      </c>
      <c r="T415" s="6">
        <f t="shared" ca="1" si="116"/>
        <v>9</v>
      </c>
      <c r="U415" s="68">
        <f ca="1">IFERROR(__xludf.DUMMYFUNCTION("""COMPUTED_VALUE"""),43717.6458333333)</f>
        <v>43717.645833333299</v>
      </c>
      <c r="V415" s="6">
        <f ca="1">IFERROR(__xludf.DUMMYFUNCTION("""COMPUTED_VALUE"""),2019.55)</f>
        <v>2019.55</v>
      </c>
      <c r="Z415" s="6" t="str">
        <f t="shared" ca="1" si="117"/>
        <v>20193</v>
      </c>
      <c r="AA415" s="6">
        <f t="shared" ca="1" si="118"/>
        <v>2019</v>
      </c>
      <c r="AB415" s="6">
        <f t="shared" ca="1" si="119"/>
        <v>3</v>
      </c>
      <c r="AC415" s="68">
        <f ca="1">IFERROR(__xludf.DUMMYFUNCTION("""COMPUTED_VALUE"""),43531.9986111111)</f>
        <v>43531.998611111099</v>
      </c>
      <c r="AD415" s="6">
        <f ca="1">IFERROR(__xludf.DUMMYFUNCTION("""COMPUTED_VALUE"""),1133.07)</f>
        <v>1133.07</v>
      </c>
      <c r="AH415" s="6" t="str">
        <f t="shared" ca="1" si="120"/>
        <v>20192</v>
      </c>
      <c r="AI415" s="6">
        <f t="shared" ca="1" si="121"/>
        <v>2019</v>
      </c>
      <c r="AJ415" s="6">
        <f t="shared" ca="1" si="122"/>
        <v>2</v>
      </c>
      <c r="AK415" s="68">
        <f ca="1">IFERROR(__xludf.DUMMYFUNCTION("""COMPUTED_VALUE"""),43507.9986111111)</f>
        <v>43507.998611111099</v>
      </c>
      <c r="AL415" s="6">
        <f ca="1">IFERROR(__xludf.DUMMYFUNCTION("""COMPUTED_VALUE"""),3616.495)</f>
        <v>3616.4949999999999</v>
      </c>
      <c r="AP415" s="6" t="str">
        <f t="shared" ca="1" si="123"/>
        <v>20198</v>
      </c>
      <c r="AQ415" s="6">
        <f t="shared" ca="1" si="124"/>
        <v>2019</v>
      </c>
      <c r="AR415" s="6">
        <f t="shared" ca="1" si="125"/>
        <v>8</v>
      </c>
      <c r="AS415" s="68">
        <f ca="1">IFERROR(__xludf.DUMMYFUNCTION("""COMPUTED_VALUE"""),43703.9986111111)</f>
        <v>43703.998611111099</v>
      </c>
      <c r="AT415" s="6">
        <f ca="1">IFERROR(__xludf.DUMMYFUNCTION("""COMPUTED_VALUE"""),1537.2)</f>
        <v>1537.2</v>
      </c>
    </row>
    <row r="416" spans="2:46" x14ac:dyDescent="0.35">
      <c r="B416" s="6" t="str">
        <f t="shared" ca="1" si="108"/>
        <v>20198</v>
      </c>
      <c r="C416" s="6">
        <f t="shared" ca="1" si="109"/>
        <v>2019</v>
      </c>
      <c r="D416" s="6">
        <f t="shared" ca="1" si="110"/>
        <v>8</v>
      </c>
      <c r="E416" s="68">
        <f ca="1">IFERROR(__xludf.DUMMYFUNCTION("""COMPUTED_VALUE"""),43693.6666666666)</f>
        <v>43693.666666666599</v>
      </c>
      <c r="F416" s="6">
        <f ca="1">IFERROR(__xludf.DUMMYFUNCTION("""COMPUTED_VALUE"""),2888.68)</f>
        <v>2888.68</v>
      </c>
      <c r="J416" s="6" t="str">
        <f t="shared" ca="1" si="111"/>
        <v>20198</v>
      </c>
      <c r="K416" s="6">
        <f t="shared" ca="1" si="112"/>
        <v>2019</v>
      </c>
      <c r="L416" s="6">
        <f t="shared" ca="1" si="113"/>
        <v>8</v>
      </c>
      <c r="M416" s="68">
        <f ca="1">IFERROR(__xludf.DUMMYFUNCTION("""COMPUTED_VALUE"""),43693.6666666666)</f>
        <v>43693.666666666599</v>
      </c>
      <c r="N416" s="6">
        <f ca="1">IFERROR(__xludf.DUMMYFUNCTION("""COMPUTED_VALUE"""),7895.99)</f>
        <v>7895.99</v>
      </c>
      <c r="R416" s="6" t="str">
        <f t="shared" ca="1" si="114"/>
        <v>20199</v>
      </c>
      <c r="S416" s="6">
        <f t="shared" ca="1" si="115"/>
        <v>2019</v>
      </c>
      <c r="T416" s="6">
        <f t="shared" ca="1" si="116"/>
        <v>9</v>
      </c>
      <c r="U416" s="68">
        <f ca="1">IFERROR(__xludf.DUMMYFUNCTION("""COMPUTED_VALUE"""),43718.6458333333)</f>
        <v>43718.645833333299</v>
      </c>
      <c r="V416" s="6">
        <f ca="1">IFERROR(__xludf.DUMMYFUNCTION("""COMPUTED_VALUE"""),2032.08)</f>
        <v>2032.08</v>
      </c>
      <c r="Z416" s="6" t="str">
        <f t="shared" ca="1" si="117"/>
        <v>20193</v>
      </c>
      <c r="AA416" s="6">
        <f t="shared" ca="1" si="118"/>
        <v>2019</v>
      </c>
      <c r="AB416" s="6">
        <f t="shared" ca="1" si="119"/>
        <v>3</v>
      </c>
      <c r="AC416" s="68">
        <f ca="1">IFERROR(__xludf.DUMMYFUNCTION("""COMPUTED_VALUE"""),43532.9986111111)</f>
        <v>43532.998611111099</v>
      </c>
      <c r="AD416" s="6">
        <f ca="1">IFERROR(__xludf.DUMMYFUNCTION("""COMPUTED_VALUE"""),1132.88)</f>
        <v>1132.8800000000001</v>
      </c>
      <c r="AH416" s="6" t="str">
        <f t="shared" ca="1" si="120"/>
        <v>20192</v>
      </c>
      <c r="AI416" s="6">
        <f t="shared" ca="1" si="121"/>
        <v>2019</v>
      </c>
      <c r="AJ416" s="6">
        <f t="shared" ca="1" si="122"/>
        <v>2</v>
      </c>
      <c r="AK416" s="68">
        <f ca="1">IFERROR(__xludf.DUMMYFUNCTION("""COMPUTED_VALUE"""),43508.9986111111)</f>
        <v>43508.998611111099</v>
      </c>
      <c r="AL416" s="6">
        <f ca="1">IFERROR(__xludf.DUMMYFUNCTION("""COMPUTED_VALUE"""),3611.743)</f>
        <v>3611.7429999999999</v>
      </c>
      <c r="AP416" s="6" t="str">
        <f t="shared" ca="1" si="123"/>
        <v>20198</v>
      </c>
      <c r="AQ416" s="6">
        <f t="shared" ca="1" si="124"/>
        <v>2019</v>
      </c>
      <c r="AR416" s="6">
        <f t="shared" ca="1" si="125"/>
        <v>8</v>
      </c>
      <c r="AS416" s="68">
        <f ca="1">IFERROR(__xludf.DUMMYFUNCTION("""COMPUTED_VALUE"""),43704.9986111111)</f>
        <v>43704.998611111099</v>
      </c>
      <c r="AT416" s="6">
        <f ca="1">IFERROR(__xludf.DUMMYFUNCTION("""COMPUTED_VALUE"""),1551.8)</f>
        <v>1551.8</v>
      </c>
    </row>
    <row r="417" spans="2:46" x14ac:dyDescent="0.35">
      <c r="B417" s="6" t="str">
        <f t="shared" ca="1" si="108"/>
        <v>20198</v>
      </c>
      <c r="C417" s="6">
        <f t="shared" ca="1" si="109"/>
        <v>2019</v>
      </c>
      <c r="D417" s="6">
        <f t="shared" ca="1" si="110"/>
        <v>8</v>
      </c>
      <c r="E417" s="68">
        <f ca="1">IFERROR(__xludf.DUMMYFUNCTION("""COMPUTED_VALUE"""),43696.6666666666)</f>
        <v>43696.666666666599</v>
      </c>
      <c r="F417" s="6">
        <f ca="1">IFERROR(__xludf.DUMMYFUNCTION("""COMPUTED_VALUE"""),2923.65)</f>
        <v>2923.65</v>
      </c>
      <c r="J417" s="6" t="str">
        <f t="shared" ca="1" si="111"/>
        <v>20198</v>
      </c>
      <c r="K417" s="6">
        <f t="shared" ca="1" si="112"/>
        <v>2019</v>
      </c>
      <c r="L417" s="6">
        <f t="shared" ca="1" si="113"/>
        <v>8</v>
      </c>
      <c r="M417" s="68">
        <f ca="1">IFERROR(__xludf.DUMMYFUNCTION("""COMPUTED_VALUE"""),43696.6666666666)</f>
        <v>43696.666666666599</v>
      </c>
      <c r="N417" s="6">
        <f ca="1">IFERROR(__xludf.DUMMYFUNCTION("""COMPUTED_VALUE"""),8002.81)</f>
        <v>8002.81</v>
      </c>
      <c r="R417" s="6" t="str">
        <f t="shared" ca="1" si="114"/>
        <v>20199</v>
      </c>
      <c r="S417" s="6">
        <f t="shared" ca="1" si="115"/>
        <v>2019</v>
      </c>
      <c r="T417" s="6">
        <f t="shared" ca="1" si="116"/>
        <v>9</v>
      </c>
      <c r="U417" s="68">
        <f ca="1">IFERROR(__xludf.DUMMYFUNCTION("""COMPUTED_VALUE"""),43719.6458333333)</f>
        <v>43719.645833333299</v>
      </c>
      <c r="V417" s="6">
        <f ca="1">IFERROR(__xludf.DUMMYFUNCTION("""COMPUTED_VALUE"""),2049.2)</f>
        <v>2049.1999999999998</v>
      </c>
      <c r="Z417" s="6" t="str">
        <f t="shared" ca="1" si="117"/>
        <v>20193</v>
      </c>
      <c r="AA417" s="6">
        <f t="shared" ca="1" si="118"/>
        <v>2019</v>
      </c>
      <c r="AB417" s="6">
        <f t="shared" ca="1" si="119"/>
        <v>3</v>
      </c>
      <c r="AC417" s="68">
        <f ca="1">IFERROR(__xludf.DUMMYFUNCTION("""COMPUTED_VALUE"""),43533.9986111111)</f>
        <v>43533.998611111099</v>
      </c>
      <c r="AD417" s="6">
        <f ca="1">IFERROR(__xludf.DUMMYFUNCTION("""COMPUTED_VALUE"""),1132.88)</f>
        <v>1132.8800000000001</v>
      </c>
      <c r="AH417" s="6" t="str">
        <f t="shared" ca="1" si="120"/>
        <v>20192</v>
      </c>
      <c r="AI417" s="6">
        <f t="shared" ca="1" si="121"/>
        <v>2019</v>
      </c>
      <c r="AJ417" s="6">
        <f t="shared" ca="1" si="122"/>
        <v>2</v>
      </c>
      <c r="AK417" s="68">
        <f ca="1">IFERROR(__xludf.DUMMYFUNCTION("""COMPUTED_VALUE"""),43509.9986111111)</f>
        <v>43509.998611111099</v>
      </c>
      <c r="AL417" s="6">
        <f ca="1">IFERROR(__xludf.DUMMYFUNCTION("""COMPUTED_VALUE"""),3585.572)</f>
        <v>3585.5720000000001</v>
      </c>
      <c r="AP417" s="6" t="str">
        <f t="shared" ca="1" si="123"/>
        <v>20198</v>
      </c>
      <c r="AQ417" s="6">
        <f t="shared" ca="1" si="124"/>
        <v>2019</v>
      </c>
      <c r="AR417" s="6">
        <f t="shared" ca="1" si="125"/>
        <v>8</v>
      </c>
      <c r="AS417" s="68">
        <f ca="1">IFERROR(__xludf.DUMMYFUNCTION("""COMPUTED_VALUE"""),43705.9986111111)</f>
        <v>43705.998611111099</v>
      </c>
      <c r="AT417" s="6">
        <f ca="1">IFERROR(__xludf.DUMMYFUNCTION("""COMPUTED_VALUE"""),1549.1)</f>
        <v>1549.1</v>
      </c>
    </row>
    <row r="418" spans="2:46" x14ac:dyDescent="0.35">
      <c r="B418" s="6" t="str">
        <f t="shared" ca="1" si="108"/>
        <v>20198</v>
      </c>
      <c r="C418" s="6">
        <f t="shared" ca="1" si="109"/>
        <v>2019</v>
      </c>
      <c r="D418" s="6">
        <f t="shared" ca="1" si="110"/>
        <v>8</v>
      </c>
      <c r="E418" s="68">
        <f ca="1">IFERROR(__xludf.DUMMYFUNCTION("""COMPUTED_VALUE"""),43697.6666666666)</f>
        <v>43697.666666666599</v>
      </c>
      <c r="F418" s="6">
        <f ca="1">IFERROR(__xludf.DUMMYFUNCTION("""COMPUTED_VALUE"""),2900.51)</f>
        <v>2900.51</v>
      </c>
      <c r="J418" s="6" t="str">
        <f t="shared" ca="1" si="111"/>
        <v>20198</v>
      </c>
      <c r="K418" s="6">
        <f t="shared" ca="1" si="112"/>
        <v>2019</v>
      </c>
      <c r="L418" s="6">
        <f t="shared" ca="1" si="113"/>
        <v>8</v>
      </c>
      <c r="M418" s="68">
        <f ca="1">IFERROR(__xludf.DUMMYFUNCTION("""COMPUTED_VALUE"""),43697.6666666666)</f>
        <v>43697.666666666599</v>
      </c>
      <c r="N418" s="6">
        <f ca="1">IFERROR(__xludf.DUMMYFUNCTION("""COMPUTED_VALUE"""),7948.56)</f>
        <v>7948.56</v>
      </c>
      <c r="R418" s="6" t="str">
        <f t="shared" ca="1" si="114"/>
        <v>20199</v>
      </c>
      <c r="S418" s="6">
        <f t="shared" ca="1" si="115"/>
        <v>2019</v>
      </c>
      <c r="T418" s="6">
        <f t="shared" ca="1" si="116"/>
        <v>9</v>
      </c>
      <c r="U418" s="68">
        <f ca="1">IFERROR(__xludf.DUMMYFUNCTION("""COMPUTED_VALUE"""),43724.6458333333)</f>
        <v>43724.645833333299</v>
      </c>
      <c r="V418" s="6">
        <f ca="1">IFERROR(__xludf.DUMMYFUNCTION("""COMPUTED_VALUE"""),2062.22)</f>
        <v>2062.2199999999998</v>
      </c>
      <c r="Z418" s="6" t="str">
        <f t="shared" ca="1" si="117"/>
        <v>20193</v>
      </c>
      <c r="AA418" s="6">
        <f t="shared" ca="1" si="118"/>
        <v>2019</v>
      </c>
      <c r="AB418" s="6">
        <f t="shared" ca="1" si="119"/>
        <v>3</v>
      </c>
      <c r="AC418" s="68">
        <f ca="1">IFERROR(__xludf.DUMMYFUNCTION("""COMPUTED_VALUE"""),43534.9986111111)</f>
        <v>43534.998611111099</v>
      </c>
      <c r="AD418" s="6">
        <f ca="1">IFERROR(__xludf.DUMMYFUNCTION("""COMPUTED_VALUE"""),1134.06)</f>
        <v>1134.06</v>
      </c>
      <c r="AH418" s="6" t="str">
        <f t="shared" ca="1" si="120"/>
        <v>20192</v>
      </c>
      <c r="AI418" s="6">
        <f t="shared" ca="1" si="121"/>
        <v>2019</v>
      </c>
      <c r="AJ418" s="6">
        <f t="shared" ca="1" si="122"/>
        <v>2</v>
      </c>
      <c r="AK418" s="68">
        <f ca="1">IFERROR(__xludf.DUMMYFUNCTION("""COMPUTED_VALUE"""),43510.9986111111)</f>
        <v>43510.998611111099</v>
      </c>
      <c r="AL418" s="6">
        <f ca="1">IFERROR(__xludf.DUMMYFUNCTION("""COMPUTED_VALUE"""),3568.421)</f>
        <v>3568.4209999999998</v>
      </c>
      <c r="AP418" s="6" t="str">
        <f t="shared" ca="1" si="123"/>
        <v>20198</v>
      </c>
      <c r="AQ418" s="6">
        <f t="shared" ca="1" si="124"/>
        <v>2019</v>
      </c>
      <c r="AR418" s="6">
        <f t="shared" ca="1" si="125"/>
        <v>8</v>
      </c>
      <c r="AS418" s="68">
        <f ca="1">IFERROR(__xludf.DUMMYFUNCTION("""COMPUTED_VALUE"""),43706.9986111111)</f>
        <v>43706.998611111099</v>
      </c>
      <c r="AT418" s="6">
        <f ca="1">IFERROR(__xludf.DUMMYFUNCTION("""COMPUTED_VALUE"""),1536.9)</f>
        <v>1536.9</v>
      </c>
    </row>
    <row r="419" spans="2:46" x14ac:dyDescent="0.35">
      <c r="B419" s="6" t="str">
        <f t="shared" ca="1" si="108"/>
        <v>20198</v>
      </c>
      <c r="C419" s="6">
        <f t="shared" ca="1" si="109"/>
        <v>2019</v>
      </c>
      <c r="D419" s="6">
        <f t="shared" ca="1" si="110"/>
        <v>8</v>
      </c>
      <c r="E419" s="68">
        <f ca="1">IFERROR(__xludf.DUMMYFUNCTION("""COMPUTED_VALUE"""),43698.6666666666)</f>
        <v>43698.666666666599</v>
      </c>
      <c r="F419" s="6">
        <f ca="1">IFERROR(__xludf.DUMMYFUNCTION("""COMPUTED_VALUE"""),2924.43)</f>
        <v>2924.43</v>
      </c>
      <c r="J419" s="6" t="str">
        <f t="shared" ca="1" si="111"/>
        <v>20198</v>
      </c>
      <c r="K419" s="6">
        <f t="shared" ca="1" si="112"/>
        <v>2019</v>
      </c>
      <c r="L419" s="6">
        <f t="shared" ca="1" si="113"/>
        <v>8</v>
      </c>
      <c r="M419" s="68">
        <f ca="1">IFERROR(__xludf.DUMMYFUNCTION("""COMPUTED_VALUE"""),43698.6666666666)</f>
        <v>43698.666666666599</v>
      </c>
      <c r="N419" s="6">
        <f ca="1">IFERROR(__xludf.DUMMYFUNCTION("""COMPUTED_VALUE"""),8020.21)</f>
        <v>8020.21</v>
      </c>
      <c r="R419" s="6" t="str">
        <f t="shared" ca="1" si="114"/>
        <v>20199</v>
      </c>
      <c r="S419" s="6">
        <f t="shared" ca="1" si="115"/>
        <v>2019</v>
      </c>
      <c r="T419" s="6">
        <f t="shared" ca="1" si="116"/>
        <v>9</v>
      </c>
      <c r="U419" s="68">
        <f ca="1">IFERROR(__xludf.DUMMYFUNCTION("""COMPUTED_VALUE"""),43725.6458333333)</f>
        <v>43725.645833333299</v>
      </c>
      <c r="V419" s="6">
        <f ca="1">IFERROR(__xludf.DUMMYFUNCTION("""COMPUTED_VALUE"""),2062.33)</f>
        <v>2062.33</v>
      </c>
      <c r="Z419" s="6" t="str">
        <f t="shared" ca="1" si="117"/>
        <v>20193</v>
      </c>
      <c r="AA419" s="6">
        <f t="shared" ca="1" si="118"/>
        <v>2019</v>
      </c>
      <c r="AB419" s="6">
        <f t="shared" ca="1" si="119"/>
        <v>3</v>
      </c>
      <c r="AC419" s="68">
        <f ca="1">IFERROR(__xludf.DUMMYFUNCTION("""COMPUTED_VALUE"""),43535.9986111111)</f>
        <v>43535.998611111099</v>
      </c>
      <c r="AD419" s="6">
        <f ca="1">IFERROR(__xludf.DUMMYFUNCTION("""COMPUTED_VALUE"""),1130.77)</f>
        <v>1130.77</v>
      </c>
      <c r="AH419" s="6" t="str">
        <f t="shared" ca="1" si="120"/>
        <v>20192</v>
      </c>
      <c r="AI419" s="6">
        <f t="shared" ca="1" si="121"/>
        <v>2019</v>
      </c>
      <c r="AJ419" s="6">
        <f t="shared" ca="1" si="122"/>
        <v>2</v>
      </c>
      <c r="AK419" s="68">
        <f ca="1">IFERROR(__xludf.DUMMYFUNCTION("""COMPUTED_VALUE"""),43511.9986111111)</f>
        <v>43511.998611111099</v>
      </c>
      <c r="AL419" s="6">
        <f ca="1">IFERROR(__xludf.DUMMYFUNCTION("""COMPUTED_VALUE"""),3576.929)</f>
        <v>3576.9290000000001</v>
      </c>
      <c r="AP419" s="6" t="str">
        <f t="shared" ca="1" si="123"/>
        <v>20199</v>
      </c>
      <c r="AQ419" s="6">
        <f t="shared" ca="1" si="124"/>
        <v>2019</v>
      </c>
      <c r="AR419" s="6">
        <f t="shared" ca="1" si="125"/>
        <v>9</v>
      </c>
      <c r="AS419" s="68">
        <f ca="1">IFERROR(__xludf.DUMMYFUNCTION("""COMPUTED_VALUE"""),43711.9986111111)</f>
        <v>43711.998611111099</v>
      </c>
      <c r="AT419" s="6">
        <f ca="1">IFERROR(__xludf.DUMMYFUNCTION("""COMPUTED_VALUE"""),1555.9)</f>
        <v>1555.9</v>
      </c>
    </row>
    <row r="420" spans="2:46" x14ac:dyDescent="0.35">
      <c r="B420" s="6" t="str">
        <f t="shared" ca="1" si="108"/>
        <v>20198</v>
      </c>
      <c r="C420" s="6">
        <f t="shared" ca="1" si="109"/>
        <v>2019</v>
      </c>
      <c r="D420" s="6">
        <f t="shared" ca="1" si="110"/>
        <v>8</v>
      </c>
      <c r="E420" s="68">
        <f ca="1">IFERROR(__xludf.DUMMYFUNCTION("""COMPUTED_VALUE"""),43699.6666666666)</f>
        <v>43699.666666666599</v>
      </c>
      <c r="F420" s="6">
        <f ca="1">IFERROR(__xludf.DUMMYFUNCTION("""COMPUTED_VALUE"""),2922.95)</f>
        <v>2922.95</v>
      </c>
      <c r="J420" s="6" t="str">
        <f t="shared" ca="1" si="111"/>
        <v>20198</v>
      </c>
      <c r="K420" s="6">
        <f t="shared" ca="1" si="112"/>
        <v>2019</v>
      </c>
      <c r="L420" s="6">
        <f t="shared" ca="1" si="113"/>
        <v>8</v>
      </c>
      <c r="M420" s="68">
        <f ca="1">IFERROR(__xludf.DUMMYFUNCTION("""COMPUTED_VALUE"""),43699.6666666666)</f>
        <v>43699.666666666599</v>
      </c>
      <c r="N420" s="6">
        <f ca="1">IFERROR(__xludf.DUMMYFUNCTION("""COMPUTED_VALUE"""),7991.39)</f>
        <v>7991.39</v>
      </c>
      <c r="R420" s="6" t="str">
        <f t="shared" ca="1" si="114"/>
        <v>20199</v>
      </c>
      <c r="S420" s="6">
        <f t="shared" ca="1" si="115"/>
        <v>2019</v>
      </c>
      <c r="T420" s="6">
        <f t="shared" ca="1" si="116"/>
        <v>9</v>
      </c>
      <c r="U420" s="68">
        <f ca="1">IFERROR(__xludf.DUMMYFUNCTION("""COMPUTED_VALUE"""),43726.6458333333)</f>
        <v>43726.645833333299</v>
      </c>
      <c r="V420" s="6">
        <f ca="1">IFERROR(__xludf.DUMMYFUNCTION("""COMPUTED_VALUE"""),2070.73)</f>
        <v>2070.73</v>
      </c>
      <c r="Z420" s="6" t="str">
        <f t="shared" ca="1" si="117"/>
        <v>20193</v>
      </c>
      <c r="AA420" s="6">
        <f t="shared" ca="1" si="118"/>
        <v>2019</v>
      </c>
      <c r="AB420" s="6">
        <f t="shared" ca="1" si="119"/>
        <v>3</v>
      </c>
      <c r="AC420" s="68">
        <f ca="1">IFERROR(__xludf.DUMMYFUNCTION("""COMPUTED_VALUE"""),43536.9986111111)</f>
        <v>43536.998611111099</v>
      </c>
      <c r="AD420" s="6">
        <f ca="1">IFERROR(__xludf.DUMMYFUNCTION("""COMPUTED_VALUE"""),1127.27)</f>
        <v>1127.27</v>
      </c>
      <c r="AH420" s="6" t="str">
        <f t="shared" ca="1" si="120"/>
        <v>20192</v>
      </c>
      <c r="AI420" s="6">
        <f t="shared" ca="1" si="121"/>
        <v>2019</v>
      </c>
      <c r="AJ420" s="6">
        <f t="shared" ca="1" si="122"/>
        <v>2</v>
      </c>
      <c r="AK420" s="68">
        <f ca="1">IFERROR(__xludf.DUMMYFUNCTION("""COMPUTED_VALUE"""),43512.9986111111)</f>
        <v>43512.998611111099</v>
      </c>
      <c r="AL420" s="6">
        <f ca="1">IFERROR(__xludf.DUMMYFUNCTION("""COMPUTED_VALUE"""),3602.563)</f>
        <v>3602.5630000000001</v>
      </c>
      <c r="AP420" s="6" t="str">
        <f t="shared" ca="1" si="123"/>
        <v>20199</v>
      </c>
      <c r="AQ420" s="6">
        <f t="shared" ca="1" si="124"/>
        <v>2019</v>
      </c>
      <c r="AR420" s="6">
        <f t="shared" ca="1" si="125"/>
        <v>9</v>
      </c>
      <c r="AS420" s="68">
        <f ca="1">IFERROR(__xludf.DUMMYFUNCTION("""COMPUTED_VALUE"""),43712.9986111111)</f>
        <v>43712.998611111099</v>
      </c>
      <c r="AT420" s="6">
        <f ca="1">IFERROR(__xludf.DUMMYFUNCTION("""COMPUTED_VALUE"""),1560.4)</f>
        <v>1560.4</v>
      </c>
    </row>
    <row r="421" spans="2:46" x14ac:dyDescent="0.35">
      <c r="B421" s="6" t="str">
        <f t="shared" ca="1" si="108"/>
        <v>20198</v>
      </c>
      <c r="C421" s="6">
        <f t="shared" ca="1" si="109"/>
        <v>2019</v>
      </c>
      <c r="D421" s="6">
        <f t="shared" ca="1" si="110"/>
        <v>8</v>
      </c>
      <c r="E421" s="68">
        <f ca="1">IFERROR(__xludf.DUMMYFUNCTION("""COMPUTED_VALUE"""),43700.6666666666)</f>
        <v>43700.666666666599</v>
      </c>
      <c r="F421" s="6">
        <f ca="1">IFERROR(__xludf.DUMMYFUNCTION("""COMPUTED_VALUE"""),2847.11)</f>
        <v>2847.11</v>
      </c>
      <c r="J421" s="6" t="str">
        <f t="shared" ca="1" si="111"/>
        <v>20198</v>
      </c>
      <c r="K421" s="6">
        <f t="shared" ca="1" si="112"/>
        <v>2019</v>
      </c>
      <c r="L421" s="6">
        <f t="shared" ca="1" si="113"/>
        <v>8</v>
      </c>
      <c r="M421" s="68">
        <f ca="1">IFERROR(__xludf.DUMMYFUNCTION("""COMPUTED_VALUE"""),43700.6666666666)</f>
        <v>43700.666666666599</v>
      </c>
      <c r="N421" s="6">
        <f ca="1">IFERROR(__xludf.DUMMYFUNCTION("""COMPUTED_VALUE"""),7751.77)</f>
        <v>7751.77</v>
      </c>
      <c r="R421" s="6" t="str">
        <f t="shared" ca="1" si="114"/>
        <v>20199</v>
      </c>
      <c r="S421" s="6">
        <f t="shared" ca="1" si="115"/>
        <v>2019</v>
      </c>
      <c r="T421" s="6">
        <f t="shared" ca="1" si="116"/>
        <v>9</v>
      </c>
      <c r="U421" s="68">
        <f ca="1">IFERROR(__xludf.DUMMYFUNCTION("""COMPUTED_VALUE"""),43727.6458333333)</f>
        <v>43727.645833333299</v>
      </c>
      <c r="V421" s="6">
        <f ca="1">IFERROR(__xludf.DUMMYFUNCTION("""COMPUTED_VALUE"""),2080.35)</f>
        <v>2080.35</v>
      </c>
      <c r="Z421" s="6" t="str">
        <f t="shared" ca="1" si="117"/>
        <v>20193</v>
      </c>
      <c r="AA421" s="6">
        <f t="shared" ca="1" si="118"/>
        <v>2019</v>
      </c>
      <c r="AB421" s="6">
        <f t="shared" ca="1" si="119"/>
        <v>3</v>
      </c>
      <c r="AC421" s="68">
        <f ca="1">IFERROR(__xludf.DUMMYFUNCTION("""COMPUTED_VALUE"""),43537.9986111111)</f>
        <v>43537.998611111099</v>
      </c>
      <c r="AD421" s="6">
        <f ca="1">IFERROR(__xludf.DUMMYFUNCTION("""COMPUTED_VALUE"""),1129.59)</f>
        <v>1129.5899999999999</v>
      </c>
      <c r="AH421" s="6" t="str">
        <f t="shared" ca="1" si="120"/>
        <v>20192</v>
      </c>
      <c r="AI421" s="6">
        <f t="shared" ca="1" si="121"/>
        <v>2019</v>
      </c>
      <c r="AJ421" s="6">
        <f t="shared" ca="1" si="122"/>
        <v>2</v>
      </c>
      <c r="AK421" s="68">
        <f ca="1">IFERROR(__xludf.DUMMYFUNCTION("""COMPUTED_VALUE"""),43513.9986111111)</f>
        <v>43513.998611111099</v>
      </c>
      <c r="AL421" s="6">
        <f ca="1">IFERROR(__xludf.DUMMYFUNCTION("""COMPUTED_VALUE"""),3638.836)</f>
        <v>3638.8359999999998</v>
      </c>
      <c r="AP421" s="6" t="str">
        <f t="shared" ca="1" si="123"/>
        <v>20199</v>
      </c>
      <c r="AQ421" s="6">
        <f t="shared" ca="1" si="124"/>
        <v>2019</v>
      </c>
      <c r="AR421" s="6">
        <f t="shared" ca="1" si="125"/>
        <v>9</v>
      </c>
      <c r="AS421" s="68">
        <f ca="1">IFERROR(__xludf.DUMMYFUNCTION("""COMPUTED_VALUE"""),43713.9986111111)</f>
        <v>43713.998611111099</v>
      </c>
      <c r="AT421" s="6">
        <f ca="1">IFERROR(__xludf.DUMMYFUNCTION("""COMPUTED_VALUE"""),1525.5)</f>
        <v>1525.5</v>
      </c>
    </row>
    <row r="422" spans="2:46" x14ac:dyDescent="0.35">
      <c r="B422" s="6" t="str">
        <f t="shared" ca="1" si="108"/>
        <v>20198</v>
      </c>
      <c r="C422" s="6">
        <f t="shared" ca="1" si="109"/>
        <v>2019</v>
      </c>
      <c r="D422" s="6">
        <f t="shared" ca="1" si="110"/>
        <v>8</v>
      </c>
      <c r="E422" s="68">
        <f ca="1">IFERROR(__xludf.DUMMYFUNCTION("""COMPUTED_VALUE"""),43703.6666666666)</f>
        <v>43703.666666666599</v>
      </c>
      <c r="F422" s="6">
        <f ca="1">IFERROR(__xludf.DUMMYFUNCTION("""COMPUTED_VALUE"""),2878.38)</f>
        <v>2878.38</v>
      </c>
      <c r="J422" s="6" t="str">
        <f t="shared" ca="1" si="111"/>
        <v>20198</v>
      </c>
      <c r="K422" s="6">
        <f t="shared" ca="1" si="112"/>
        <v>2019</v>
      </c>
      <c r="L422" s="6">
        <f t="shared" ca="1" si="113"/>
        <v>8</v>
      </c>
      <c r="M422" s="68">
        <f ca="1">IFERROR(__xludf.DUMMYFUNCTION("""COMPUTED_VALUE"""),43703.6666666666)</f>
        <v>43703.666666666599</v>
      </c>
      <c r="N422" s="6">
        <f ca="1">IFERROR(__xludf.DUMMYFUNCTION("""COMPUTED_VALUE"""),7853.74)</f>
        <v>7853.74</v>
      </c>
      <c r="R422" s="6" t="str">
        <f t="shared" ca="1" si="114"/>
        <v>20199</v>
      </c>
      <c r="S422" s="6">
        <f t="shared" ca="1" si="115"/>
        <v>2019</v>
      </c>
      <c r="T422" s="6">
        <f t="shared" ca="1" si="116"/>
        <v>9</v>
      </c>
      <c r="U422" s="68">
        <f ca="1">IFERROR(__xludf.DUMMYFUNCTION("""COMPUTED_VALUE"""),43728.6458333333)</f>
        <v>43728.645833333299</v>
      </c>
      <c r="V422" s="6">
        <f ca="1">IFERROR(__xludf.DUMMYFUNCTION("""COMPUTED_VALUE"""),2091.52)</f>
        <v>2091.52</v>
      </c>
      <c r="Z422" s="6" t="str">
        <f t="shared" ca="1" si="117"/>
        <v>20193</v>
      </c>
      <c r="AA422" s="6">
        <f t="shared" ca="1" si="118"/>
        <v>2019</v>
      </c>
      <c r="AB422" s="6">
        <f t="shared" ca="1" si="119"/>
        <v>3</v>
      </c>
      <c r="AC422" s="68">
        <f ca="1">IFERROR(__xludf.DUMMYFUNCTION("""COMPUTED_VALUE"""),43538.9986111111)</f>
        <v>43538.998611111099</v>
      </c>
      <c r="AD422" s="6">
        <f ca="1">IFERROR(__xludf.DUMMYFUNCTION("""COMPUTED_VALUE"""),1135.42)</f>
        <v>1135.42</v>
      </c>
      <c r="AH422" s="6" t="str">
        <f t="shared" ca="1" si="120"/>
        <v>20192</v>
      </c>
      <c r="AI422" s="6">
        <f t="shared" ca="1" si="121"/>
        <v>2019</v>
      </c>
      <c r="AJ422" s="6">
        <f t="shared" ca="1" si="122"/>
        <v>2</v>
      </c>
      <c r="AK422" s="68">
        <f ca="1">IFERROR(__xludf.DUMMYFUNCTION("""COMPUTED_VALUE"""),43514.9986111111)</f>
        <v>43514.998611111099</v>
      </c>
      <c r="AL422" s="6">
        <f ca="1">IFERROR(__xludf.DUMMYFUNCTION("""COMPUTED_VALUE"""),3896.901)</f>
        <v>3896.9009999999998</v>
      </c>
      <c r="AP422" s="6" t="str">
        <f t="shared" ca="1" si="123"/>
        <v>20199</v>
      </c>
      <c r="AQ422" s="6">
        <f t="shared" ca="1" si="124"/>
        <v>2019</v>
      </c>
      <c r="AR422" s="6">
        <f t="shared" ca="1" si="125"/>
        <v>9</v>
      </c>
      <c r="AS422" s="68">
        <f ca="1">IFERROR(__xludf.DUMMYFUNCTION("""COMPUTED_VALUE"""),43714.9986111111)</f>
        <v>43714.998611111099</v>
      </c>
      <c r="AT422" s="6">
        <f ca="1">IFERROR(__xludf.DUMMYFUNCTION("""COMPUTED_VALUE"""),1515.5)</f>
        <v>1515.5</v>
      </c>
    </row>
    <row r="423" spans="2:46" x14ac:dyDescent="0.35">
      <c r="B423" s="6" t="str">
        <f t="shared" ca="1" si="108"/>
        <v>20198</v>
      </c>
      <c r="C423" s="6">
        <f t="shared" ca="1" si="109"/>
        <v>2019</v>
      </c>
      <c r="D423" s="6">
        <f t="shared" ca="1" si="110"/>
        <v>8</v>
      </c>
      <c r="E423" s="68">
        <f ca="1">IFERROR(__xludf.DUMMYFUNCTION("""COMPUTED_VALUE"""),43704.6666666666)</f>
        <v>43704.666666666599</v>
      </c>
      <c r="F423" s="6">
        <f ca="1">IFERROR(__xludf.DUMMYFUNCTION("""COMPUTED_VALUE"""),2869.16)</f>
        <v>2869.16</v>
      </c>
      <c r="J423" s="6" t="str">
        <f t="shared" ca="1" si="111"/>
        <v>20198</v>
      </c>
      <c r="K423" s="6">
        <f t="shared" ca="1" si="112"/>
        <v>2019</v>
      </c>
      <c r="L423" s="6">
        <f t="shared" ca="1" si="113"/>
        <v>8</v>
      </c>
      <c r="M423" s="68">
        <f ca="1">IFERROR(__xludf.DUMMYFUNCTION("""COMPUTED_VALUE"""),43704.6666666666)</f>
        <v>43704.666666666599</v>
      </c>
      <c r="N423" s="6">
        <f ca="1">IFERROR(__xludf.DUMMYFUNCTION("""COMPUTED_VALUE"""),7826.95)</f>
        <v>7826.95</v>
      </c>
      <c r="R423" s="6" t="str">
        <f t="shared" ca="1" si="114"/>
        <v>20199</v>
      </c>
      <c r="S423" s="6">
        <f t="shared" ca="1" si="115"/>
        <v>2019</v>
      </c>
      <c r="T423" s="6">
        <f t="shared" ca="1" si="116"/>
        <v>9</v>
      </c>
      <c r="U423" s="68">
        <f ca="1">IFERROR(__xludf.DUMMYFUNCTION("""COMPUTED_VALUE"""),43731.6458333333)</f>
        <v>43731.645833333299</v>
      </c>
      <c r="V423" s="6">
        <f ca="1">IFERROR(__xludf.DUMMYFUNCTION("""COMPUTED_VALUE"""),2091.7)</f>
        <v>2091.6999999999998</v>
      </c>
      <c r="Z423" s="6" t="str">
        <f t="shared" ca="1" si="117"/>
        <v>20193</v>
      </c>
      <c r="AA423" s="6">
        <f t="shared" ca="1" si="118"/>
        <v>2019</v>
      </c>
      <c r="AB423" s="6">
        <f t="shared" ca="1" si="119"/>
        <v>3</v>
      </c>
      <c r="AC423" s="68">
        <f ca="1">IFERROR(__xludf.DUMMYFUNCTION("""COMPUTED_VALUE"""),43539.9986111111)</f>
        <v>43539.998611111099</v>
      </c>
      <c r="AD423" s="6">
        <f ca="1">IFERROR(__xludf.DUMMYFUNCTION("""COMPUTED_VALUE"""),1133.1)</f>
        <v>1133.0999999999999</v>
      </c>
      <c r="AH423" s="6" t="str">
        <f t="shared" ca="1" si="120"/>
        <v>20192</v>
      </c>
      <c r="AI423" s="6">
        <f t="shared" ca="1" si="121"/>
        <v>2019</v>
      </c>
      <c r="AJ423" s="6">
        <f t="shared" ca="1" si="122"/>
        <v>2</v>
      </c>
      <c r="AK423" s="68">
        <f ca="1">IFERROR(__xludf.DUMMYFUNCTION("""COMPUTED_VALUE"""),43515.9986111111)</f>
        <v>43515.998611111099</v>
      </c>
      <c r="AL423" s="6">
        <f ca="1">IFERROR(__xludf.DUMMYFUNCTION("""COMPUTED_VALUE"""),3925.876)</f>
        <v>3925.8760000000002</v>
      </c>
      <c r="AP423" s="6" t="str">
        <f t="shared" ca="1" si="123"/>
        <v>20199</v>
      </c>
      <c r="AQ423" s="6">
        <f t="shared" ca="1" si="124"/>
        <v>2019</v>
      </c>
      <c r="AR423" s="6">
        <f t="shared" ca="1" si="125"/>
        <v>9</v>
      </c>
      <c r="AS423" s="68">
        <f ca="1">IFERROR(__xludf.DUMMYFUNCTION("""COMPUTED_VALUE"""),43717.9986111111)</f>
        <v>43717.998611111099</v>
      </c>
      <c r="AT423" s="6">
        <f ca="1">IFERROR(__xludf.DUMMYFUNCTION("""COMPUTED_VALUE"""),1511.1)</f>
        <v>1511.1</v>
      </c>
    </row>
    <row r="424" spans="2:46" x14ac:dyDescent="0.35">
      <c r="B424" s="6" t="str">
        <f t="shared" ca="1" si="108"/>
        <v>20198</v>
      </c>
      <c r="C424" s="6">
        <f t="shared" ca="1" si="109"/>
        <v>2019</v>
      </c>
      <c r="D424" s="6">
        <f t="shared" ca="1" si="110"/>
        <v>8</v>
      </c>
      <c r="E424" s="68">
        <f ca="1">IFERROR(__xludf.DUMMYFUNCTION("""COMPUTED_VALUE"""),43705.6666666666)</f>
        <v>43705.666666666599</v>
      </c>
      <c r="F424" s="6">
        <f ca="1">IFERROR(__xludf.DUMMYFUNCTION("""COMPUTED_VALUE"""),2887.94)</f>
        <v>2887.94</v>
      </c>
      <c r="J424" s="6" t="str">
        <f t="shared" ca="1" si="111"/>
        <v>20198</v>
      </c>
      <c r="K424" s="6">
        <f t="shared" ca="1" si="112"/>
        <v>2019</v>
      </c>
      <c r="L424" s="6">
        <f t="shared" ca="1" si="113"/>
        <v>8</v>
      </c>
      <c r="M424" s="68">
        <f ca="1">IFERROR(__xludf.DUMMYFUNCTION("""COMPUTED_VALUE"""),43705.6666666666)</f>
        <v>43705.666666666599</v>
      </c>
      <c r="N424" s="6">
        <f ca="1">IFERROR(__xludf.DUMMYFUNCTION("""COMPUTED_VALUE"""),7856.88)</f>
        <v>7856.88</v>
      </c>
      <c r="R424" s="6" t="str">
        <f t="shared" ca="1" si="114"/>
        <v>20199</v>
      </c>
      <c r="S424" s="6">
        <f t="shared" ca="1" si="115"/>
        <v>2019</v>
      </c>
      <c r="T424" s="6">
        <f t="shared" ca="1" si="116"/>
        <v>9</v>
      </c>
      <c r="U424" s="68">
        <f ca="1">IFERROR(__xludf.DUMMYFUNCTION("""COMPUTED_VALUE"""),43732.6458333333)</f>
        <v>43732.645833333299</v>
      </c>
      <c r="V424" s="6">
        <f ca="1">IFERROR(__xludf.DUMMYFUNCTION("""COMPUTED_VALUE"""),2101.04)</f>
        <v>2101.04</v>
      </c>
      <c r="Z424" s="6" t="str">
        <f t="shared" ca="1" si="117"/>
        <v>20193</v>
      </c>
      <c r="AA424" s="6">
        <f t="shared" ca="1" si="118"/>
        <v>2019</v>
      </c>
      <c r="AB424" s="6">
        <f t="shared" ca="1" si="119"/>
        <v>3</v>
      </c>
      <c r="AC424" s="68">
        <f ca="1">IFERROR(__xludf.DUMMYFUNCTION("""COMPUTED_VALUE"""),43541.9986111111)</f>
        <v>43541.998611111099</v>
      </c>
      <c r="AD424" s="6">
        <f ca="1">IFERROR(__xludf.DUMMYFUNCTION("""COMPUTED_VALUE"""),1132.73)</f>
        <v>1132.73</v>
      </c>
      <c r="AH424" s="6" t="str">
        <f t="shared" ca="1" si="120"/>
        <v>20192</v>
      </c>
      <c r="AI424" s="6">
        <f t="shared" ca="1" si="121"/>
        <v>2019</v>
      </c>
      <c r="AJ424" s="6">
        <f t="shared" ca="1" si="122"/>
        <v>2</v>
      </c>
      <c r="AK424" s="68">
        <f ca="1">IFERROR(__xludf.DUMMYFUNCTION("""COMPUTED_VALUE"""),43516.9986111111)</f>
        <v>43516.998611111099</v>
      </c>
      <c r="AL424" s="6">
        <f ca="1">IFERROR(__xludf.DUMMYFUNCTION("""COMPUTED_VALUE"""),3952.553)</f>
        <v>3952.5529999999999</v>
      </c>
      <c r="AP424" s="6" t="str">
        <f t="shared" ca="1" si="123"/>
        <v>20199</v>
      </c>
      <c r="AQ424" s="6">
        <f t="shared" ca="1" si="124"/>
        <v>2019</v>
      </c>
      <c r="AR424" s="6">
        <f t="shared" ca="1" si="125"/>
        <v>9</v>
      </c>
      <c r="AS424" s="68">
        <f ca="1">IFERROR(__xludf.DUMMYFUNCTION("""COMPUTED_VALUE"""),43718.9986111111)</f>
        <v>43718.998611111099</v>
      </c>
      <c r="AT424" s="6">
        <f ca="1">IFERROR(__xludf.DUMMYFUNCTION("""COMPUTED_VALUE"""),1499.2)</f>
        <v>1499.2</v>
      </c>
    </row>
    <row r="425" spans="2:46" x14ac:dyDescent="0.35">
      <c r="B425" s="6" t="str">
        <f t="shared" ca="1" si="108"/>
        <v>20198</v>
      </c>
      <c r="C425" s="6">
        <f t="shared" ca="1" si="109"/>
        <v>2019</v>
      </c>
      <c r="D425" s="6">
        <f t="shared" ca="1" si="110"/>
        <v>8</v>
      </c>
      <c r="E425" s="68">
        <f ca="1">IFERROR(__xludf.DUMMYFUNCTION("""COMPUTED_VALUE"""),43706.6666666666)</f>
        <v>43706.666666666599</v>
      </c>
      <c r="F425" s="6">
        <f ca="1">IFERROR(__xludf.DUMMYFUNCTION("""COMPUTED_VALUE"""),2924.58)</f>
        <v>2924.58</v>
      </c>
      <c r="J425" s="6" t="str">
        <f t="shared" ca="1" si="111"/>
        <v>20198</v>
      </c>
      <c r="K425" s="6">
        <f t="shared" ca="1" si="112"/>
        <v>2019</v>
      </c>
      <c r="L425" s="6">
        <f t="shared" ca="1" si="113"/>
        <v>8</v>
      </c>
      <c r="M425" s="68">
        <f ca="1">IFERROR(__xludf.DUMMYFUNCTION("""COMPUTED_VALUE"""),43706.6666666666)</f>
        <v>43706.666666666599</v>
      </c>
      <c r="N425" s="6">
        <f ca="1">IFERROR(__xludf.DUMMYFUNCTION("""COMPUTED_VALUE"""),7973.39)</f>
        <v>7973.39</v>
      </c>
      <c r="R425" s="6" t="str">
        <f t="shared" ca="1" si="114"/>
        <v>20199</v>
      </c>
      <c r="S425" s="6">
        <f t="shared" ca="1" si="115"/>
        <v>2019</v>
      </c>
      <c r="T425" s="6">
        <f t="shared" ca="1" si="116"/>
        <v>9</v>
      </c>
      <c r="U425" s="68">
        <f ca="1">IFERROR(__xludf.DUMMYFUNCTION("""COMPUTED_VALUE"""),43733.6458333333)</f>
        <v>43733.645833333299</v>
      </c>
      <c r="V425" s="6">
        <f ca="1">IFERROR(__xludf.DUMMYFUNCTION("""COMPUTED_VALUE"""),2073.39)</f>
        <v>2073.39</v>
      </c>
      <c r="Z425" s="6" t="str">
        <f t="shared" ca="1" si="117"/>
        <v>20193</v>
      </c>
      <c r="AA425" s="6">
        <f t="shared" ca="1" si="118"/>
        <v>2019</v>
      </c>
      <c r="AB425" s="6">
        <f t="shared" ca="1" si="119"/>
        <v>3</v>
      </c>
      <c r="AC425" s="68">
        <f ca="1">IFERROR(__xludf.DUMMYFUNCTION("""COMPUTED_VALUE"""),43542.9986111111)</f>
        <v>43542.998611111099</v>
      </c>
      <c r="AD425" s="6">
        <f ca="1">IFERROR(__xludf.DUMMYFUNCTION("""COMPUTED_VALUE"""),1131.2)</f>
        <v>1131.2</v>
      </c>
      <c r="AH425" s="6" t="str">
        <f t="shared" ca="1" si="120"/>
        <v>20192</v>
      </c>
      <c r="AI425" s="6">
        <f t="shared" ca="1" si="121"/>
        <v>2019</v>
      </c>
      <c r="AJ425" s="6">
        <f t="shared" ca="1" si="122"/>
        <v>2</v>
      </c>
      <c r="AK425" s="68">
        <f ca="1">IFERROR(__xludf.DUMMYFUNCTION("""COMPUTED_VALUE"""),43517.9986111111)</f>
        <v>43517.998611111099</v>
      </c>
      <c r="AL425" s="6">
        <f ca="1">IFERROR(__xludf.DUMMYFUNCTION("""COMPUTED_VALUE"""),3915.29)</f>
        <v>3915.29</v>
      </c>
      <c r="AP425" s="6" t="str">
        <f t="shared" ca="1" si="123"/>
        <v>20199</v>
      </c>
      <c r="AQ425" s="6">
        <f t="shared" ca="1" si="124"/>
        <v>2019</v>
      </c>
      <c r="AR425" s="6">
        <f t="shared" ca="1" si="125"/>
        <v>9</v>
      </c>
      <c r="AS425" s="68">
        <f ca="1">IFERROR(__xludf.DUMMYFUNCTION("""COMPUTED_VALUE"""),43719.9986111111)</f>
        <v>43719.998611111099</v>
      </c>
      <c r="AT425" s="6">
        <f ca="1">IFERROR(__xludf.DUMMYFUNCTION("""COMPUTED_VALUE"""),1503.2)</f>
        <v>1503.2</v>
      </c>
    </row>
    <row r="426" spans="2:46" x14ac:dyDescent="0.35">
      <c r="B426" s="6" t="str">
        <f t="shared" ca="1" si="108"/>
        <v>20198</v>
      </c>
      <c r="C426" s="6">
        <f t="shared" ca="1" si="109"/>
        <v>2019</v>
      </c>
      <c r="D426" s="6">
        <f t="shared" ca="1" si="110"/>
        <v>8</v>
      </c>
      <c r="E426" s="68">
        <f ca="1">IFERROR(__xludf.DUMMYFUNCTION("""COMPUTED_VALUE"""),43707.6666666666)</f>
        <v>43707.666666666599</v>
      </c>
      <c r="F426" s="6">
        <f ca="1">IFERROR(__xludf.DUMMYFUNCTION("""COMPUTED_VALUE"""),2926.46)</f>
        <v>2926.46</v>
      </c>
      <c r="J426" s="6" t="str">
        <f t="shared" ca="1" si="111"/>
        <v>20198</v>
      </c>
      <c r="K426" s="6">
        <f t="shared" ca="1" si="112"/>
        <v>2019</v>
      </c>
      <c r="L426" s="6">
        <f t="shared" ca="1" si="113"/>
        <v>8</v>
      </c>
      <c r="M426" s="68">
        <f ca="1">IFERROR(__xludf.DUMMYFUNCTION("""COMPUTED_VALUE"""),43707.6666666666)</f>
        <v>43707.666666666599</v>
      </c>
      <c r="N426" s="6">
        <f ca="1">IFERROR(__xludf.DUMMYFUNCTION("""COMPUTED_VALUE"""),7962.88)</f>
        <v>7962.88</v>
      </c>
      <c r="R426" s="6" t="str">
        <f t="shared" ca="1" si="114"/>
        <v>20199</v>
      </c>
      <c r="S426" s="6">
        <f t="shared" ca="1" si="115"/>
        <v>2019</v>
      </c>
      <c r="T426" s="6">
        <f t="shared" ca="1" si="116"/>
        <v>9</v>
      </c>
      <c r="U426" s="68">
        <f ca="1">IFERROR(__xludf.DUMMYFUNCTION("""COMPUTED_VALUE"""),43734.6458333333)</f>
        <v>43734.645833333299</v>
      </c>
      <c r="V426" s="6">
        <f ca="1">IFERROR(__xludf.DUMMYFUNCTION("""COMPUTED_VALUE"""),2074.52)</f>
        <v>2074.52</v>
      </c>
      <c r="Z426" s="6" t="str">
        <f t="shared" ca="1" si="117"/>
        <v>20193</v>
      </c>
      <c r="AA426" s="6">
        <f t="shared" ca="1" si="118"/>
        <v>2019</v>
      </c>
      <c r="AB426" s="6">
        <f t="shared" ca="1" si="119"/>
        <v>3</v>
      </c>
      <c r="AC426" s="68">
        <f ca="1">IFERROR(__xludf.DUMMYFUNCTION("""COMPUTED_VALUE"""),43543.9986111111)</f>
        <v>43543.998611111099</v>
      </c>
      <c r="AD426" s="6">
        <f ca="1">IFERROR(__xludf.DUMMYFUNCTION("""COMPUTED_VALUE"""),1129.72)</f>
        <v>1129.72</v>
      </c>
      <c r="AH426" s="6" t="str">
        <f t="shared" ca="1" si="120"/>
        <v>20192</v>
      </c>
      <c r="AI426" s="6">
        <f t="shared" ca="1" si="121"/>
        <v>2019</v>
      </c>
      <c r="AJ426" s="6">
        <f t="shared" ca="1" si="122"/>
        <v>2</v>
      </c>
      <c r="AK426" s="68">
        <f ca="1">IFERROR(__xludf.DUMMYFUNCTION("""COMPUTED_VALUE"""),43518.9986111111)</f>
        <v>43518.998611111099</v>
      </c>
      <c r="AL426" s="6">
        <f ca="1">IFERROR(__xludf.DUMMYFUNCTION("""COMPUTED_VALUE"""),3956.056)</f>
        <v>3956.056</v>
      </c>
      <c r="AP426" s="6" t="str">
        <f t="shared" ca="1" si="123"/>
        <v>20199</v>
      </c>
      <c r="AQ426" s="6">
        <f t="shared" ca="1" si="124"/>
        <v>2019</v>
      </c>
      <c r="AR426" s="6">
        <f t="shared" ca="1" si="125"/>
        <v>9</v>
      </c>
      <c r="AS426" s="68">
        <f ca="1">IFERROR(__xludf.DUMMYFUNCTION("""COMPUTED_VALUE"""),43720.9986111111)</f>
        <v>43720.998611111099</v>
      </c>
      <c r="AT426" s="6">
        <f ca="1">IFERROR(__xludf.DUMMYFUNCTION("""COMPUTED_VALUE"""),1507.4)</f>
        <v>1507.4</v>
      </c>
    </row>
    <row r="427" spans="2:46" x14ac:dyDescent="0.35">
      <c r="B427" s="6" t="str">
        <f t="shared" ca="1" si="108"/>
        <v>20199</v>
      </c>
      <c r="C427" s="6">
        <f t="shared" ca="1" si="109"/>
        <v>2019</v>
      </c>
      <c r="D427" s="6">
        <f t="shared" ca="1" si="110"/>
        <v>9</v>
      </c>
      <c r="E427" s="68">
        <f ca="1">IFERROR(__xludf.DUMMYFUNCTION("""COMPUTED_VALUE"""),43711.6666666666)</f>
        <v>43711.666666666599</v>
      </c>
      <c r="F427" s="6">
        <f ca="1">IFERROR(__xludf.DUMMYFUNCTION("""COMPUTED_VALUE"""),2906.27)</f>
        <v>2906.27</v>
      </c>
      <c r="J427" s="6" t="str">
        <f t="shared" ca="1" si="111"/>
        <v>20199</v>
      </c>
      <c r="K427" s="6">
        <f t="shared" ca="1" si="112"/>
        <v>2019</v>
      </c>
      <c r="L427" s="6">
        <f t="shared" ca="1" si="113"/>
        <v>9</v>
      </c>
      <c r="M427" s="68">
        <f ca="1">IFERROR(__xludf.DUMMYFUNCTION("""COMPUTED_VALUE"""),43711.6666666666)</f>
        <v>43711.666666666599</v>
      </c>
      <c r="N427" s="6">
        <f ca="1">IFERROR(__xludf.DUMMYFUNCTION("""COMPUTED_VALUE"""),7874.16)</f>
        <v>7874.16</v>
      </c>
      <c r="R427" s="6" t="str">
        <f t="shared" ca="1" si="114"/>
        <v>20199</v>
      </c>
      <c r="S427" s="6">
        <f t="shared" ca="1" si="115"/>
        <v>2019</v>
      </c>
      <c r="T427" s="6">
        <f t="shared" ca="1" si="116"/>
        <v>9</v>
      </c>
      <c r="U427" s="68">
        <f ca="1">IFERROR(__xludf.DUMMYFUNCTION("""COMPUTED_VALUE"""),43735.6458333333)</f>
        <v>43735.645833333299</v>
      </c>
      <c r="V427" s="6">
        <f ca="1">IFERROR(__xludf.DUMMYFUNCTION("""COMPUTED_VALUE"""),2049.93)</f>
        <v>2049.9299999999998</v>
      </c>
      <c r="Z427" s="6" t="str">
        <f t="shared" ca="1" si="117"/>
        <v>20193</v>
      </c>
      <c r="AA427" s="6">
        <f t="shared" ca="1" si="118"/>
        <v>2019</v>
      </c>
      <c r="AB427" s="6">
        <f t="shared" ca="1" si="119"/>
        <v>3</v>
      </c>
      <c r="AC427" s="68">
        <f ca="1">IFERROR(__xludf.DUMMYFUNCTION("""COMPUTED_VALUE"""),43544.9986111111)</f>
        <v>43544.998611111099</v>
      </c>
      <c r="AD427" s="6">
        <f ca="1">IFERROR(__xludf.DUMMYFUNCTION("""COMPUTED_VALUE"""),1125)</f>
        <v>1125</v>
      </c>
      <c r="AH427" s="6" t="str">
        <f t="shared" ca="1" si="120"/>
        <v>20192</v>
      </c>
      <c r="AI427" s="6">
        <f t="shared" ca="1" si="121"/>
        <v>2019</v>
      </c>
      <c r="AJ427" s="6">
        <f t="shared" ca="1" si="122"/>
        <v>2</v>
      </c>
      <c r="AK427" s="68">
        <f ca="1">IFERROR(__xludf.DUMMYFUNCTION("""COMPUTED_VALUE"""),43519.9986111111)</f>
        <v>43519.998611111099</v>
      </c>
      <c r="AL427" s="6">
        <f ca="1">IFERROR(__xludf.DUMMYFUNCTION("""COMPUTED_VALUE"""),4119.816)</f>
        <v>4119.8159999999998</v>
      </c>
      <c r="AP427" s="6" t="str">
        <f t="shared" ca="1" si="123"/>
        <v>20199</v>
      </c>
      <c r="AQ427" s="6">
        <f t="shared" ca="1" si="124"/>
        <v>2019</v>
      </c>
      <c r="AR427" s="6">
        <f t="shared" ca="1" si="125"/>
        <v>9</v>
      </c>
      <c r="AS427" s="68">
        <f ca="1">IFERROR(__xludf.DUMMYFUNCTION("""COMPUTED_VALUE"""),43721.9986111111)</f>
        <v>43721.998611111099</v>
      </c>
      <c r="AT427" s="6">
        <f ca="1">IFERROR(__xludf.DUMMYFUNCTION("""COMPUTED_VALUE"""),1499.5)</f>
        <v>1499.5</v>
      </c>
    </row>
    <row r="428" spans="2:46" x14ac:dyDescent="0.35">
      <c r="B428" s="6" t="str">
        <f t="shared" ca="1" si="108"/>
        <v>20199</v>
      </c>
      <c r="C428" s="6">
        <f t="shared" ca="1" si="109"/>
        <v>2019</v>
      </c>
      <c r="D428" s="6">
        <f t="shared" ca="1" si="110"/>
        <v>9</v>
      </c>
      <c r="E428" s="68">
        <f ca="1">IFERROR(__xludf.DUMMYFUNCTION("""COMPUTED_VALUE"""),43712.6666666666)</f>
        <v>43712.666666666599</v>
      </c>
      <c r="F428" s="6">
        <f ca="1">IFERROR(__xludf.DUMMYFUNCTION("""COMPUTED_VALUE"""),2937.78)</f>
        <v>2937.78</v>
      </c>
      <c r="J428" s="6" t="str">
        <f t="shared" ca="1" si="111"/>
        <v>20199</v>
      </c>
      <c r="K428" s="6">
        <f t="shared" ca="1" si="112"/>
        <v>2019</v>
      </c>
      <c r="L428" s="6">
        <f t="shared" ca="1" si="113"/>
        <v>9</v>
      </c>
      <c r="M428" s="68">
        <f ca="1">IFERROR(__xludf.DUMMYFUNCTION("""COMPUTED_VALUE"""),43712.6666666666)</f>
        <v>43712.666666666599</v>
      </c>
      <c r="N428" s="6">
        <f ca="1">IFERROR(__xludf.DUMMYFUNCTION("""COMPUTED_VALUE"""),7976.88)</f>
        <v>7976.88</v>
      </c>
      <c r="R428" s="6" t="str">
        <f t="shared" ca="1" si="114"/>
        <v>20199</v>
      </c>
      <c r="S428" s="6">
        <f t="shared" ca="1" si="115"/>
        <v>2019</v>
      </c>
      <c r="T428" s="6">
        <f t="shared" ca="1" si="116"/>
        <v>9</v>
      </c>
      <c r="U428" s="68">
        <f ca="1">IFERROR(__xludf.DUMMYFUNCTION("""COMPUTED_VALUE"""),43738.6458333333)</f>
        <v>43738.645833333299</v>
      </c>
      <c r="V428" s="6">
        <f ca="1">IFERROR(__xludf.DUMMYFUNCTION("""COMPUTED_VALUE"""),2063.05)</f>
        <v>2063.0500000000002</v>
      </c>
      <c r="Z428" s="6" t="str">
        <f t="shared" ca="1" si="117"/>
        <v>20193</v>
      </c>
      <c r="AA428" s="6">
        <f t="shared" ca="1" si="118"/>
        <v>2019</v>
      </c>
      <c r="AB428" s="6">
        <f t="shared" ca="1" si="119"/>
        <v>3</v>
      </c>
      <c r="AC428" s="68">
        <f ca="1">IFERROR(__xludf.DUMMYFUNCTION("""COMPUTED_VALUE"""),43545.9986111111)</f>
        <v>43545.998611111099</v>
      </c>
      <c r="AD428" s="6">
        <f ca="1">IFERROR(__xludf.DUMMYFUNCTION("""COMPUTED_VALUE"""),1127.77)</f>
        <v>1127.77</v>
      </c>
      <c r="AH428" s="6" t="str">
        <f t="shared" ca="1" si="120"/>
        <v>20192</v>
      </c>
      <c r="AI428" s="6">
        <f t="shared" ca="1" si="121"/>
        <v>2019</v>
      </c>
      <c r="AJ428" s="6">
        <f t="shared" ca="1" si="122"/>
        <v>2</v>
      </c>
      <c r="AK428" s="68">
        <f ca="1">IFERROR(__xludf.DUMMYFUNCTION("""COMPUTED_VALUE"""),43520.9986111111)</f>
        <v>43520.998611111099</v>
      </c>
      <c r="AL428" s="6">
        <f ca="1">IFERROR(__xludf.DUMMYFUNCTION("""COMPUTED_VALUE"""),3749.949)</f>
        <v>3749.9490000000001</v>
      </c>
      <c r="AP428" s="6" t="str">
        <f t="shared" ca="1" si="123"/>
        <v>20199</v>
      </c>
      <c r="AQ428" s="6">
        <f t="shared" ca="1" si="124"/>
        <v>2019</v>
      </c>
      <c r="AR428" s="6">
        <f t="shared" ca="1" si="125"/>
        <v>9</v>
      </c>
      <c r="AS428" s="68">
        <f ca="1">IFERROR(__xludf.DUMMYFUNCTION("""COMPUTED_VALUE"""),43724.9986111111)</f>
        <v>43724.998611111099</v>
      </c>
      <c r="AT428" s="6">
        <f ca="1">IFERROR(__xludf.DUMMYFUNCTION("""COMPUTED_VALUE"""),1511.5)</f>
        <v>1511.5</v>
      </c>
    </row>
    <row r="429" spans="2:46" x14ac:dyDescent="0.35">
      <c r="B429" s="6" t="str">
        <f t="shared" ca="1" si="108"/>
        <v>20199</v>
      </c>
      <c r="C429" s="6">
        <f t="shared" ca="1" si="109"/>
        <v>2019</v>
      </c>
      <c r="D429" s="6">
        <f t="shared" ca="1" si="110"/>
        <v>9</v>
      </c>
      <c r="E429" s="68">
        <f ca="1">IFERROR(__xludf.DUMMYFUNCTION("""COMPUTED_VALUE"""),43713.6666666666)</f>
        <v>43713.666666666599</v>
      </c>
      <c r="F429" s="6">
        <f ca="1">IFERROR(__xludf.DUMMYFUNCTION("""COMPUTED_VALUE"""),2976)</f>
        <v>2976</v>
      </c>
      <c r="J429" s="6" t="str">
        <f t="shared" ca="1" si="111"/>
        <v>20199</v>
      </c>
      <c r="K429" s="6">
        <f t="shared" ca="1" si="112"/>
        <v>2019</v>
      </c>
      <c r="L429" s="6">
        <f t="shared" ca="1" si="113"/>
        <v>9</v>
      </c>
      <c r="M429" s="68">
        <f ca="1">IFERROR(__xludf.DUMMYFUNCTION("""COMPUTED_VALUE"""),43713.6666666666)</f>
        <v>43713.666666666599</v>
      </c>
      <c r="N429" s="6">
        <f ca="1">IFERROR(__xludf.DUMMYFUNCTION("""COMPUTED_VALUE"""),8116.83)</f>
        <v>8116.83</v>
      </c>
      <c r="R429" s="6" t="str">
        <f t="shared" ca="1" si="114"/>
        <v>201910</v>
      </c>
      <c r="S429" s="6">
        <f t="shared" ca="1" si="115"/>
        <v>2019</v>
      </c>
      <c r="T429" s="6">
        <f t="shared" ca="1" si="116"/>
        <v>10</v>
      </c>
      <c r="U429" s="68">
        <f ca="1">IFERROR(__xludf.DUMMYFUNCTION("""COMPUTED_VALUE"""),43739.6458333333)</f>
        <v>43739.645833333299</v>
      </c>
      <c r="V429" s="6">
        <f ca="1">IFERROR(__xludf.DUMMYFUNCTION("""COMPUTED_VALUE"""),2072.42)</f>
        <v>2072.42</v>
      </c>
      <c r="Z429" s="6" t="str">
        <f t="shared" ca="1" si="117"/>
        <v>20193</v>
      </c>
      <c r="AA429" s="6">
        <f t="shared" ca="1" si="118"/>
        <v>2019</v>
      </c>
      <c r="AB429" s="6">
        <f t="shared" ca="1" si="119"/>
        <v>3</v>
      </c>
      <c r="AC429" s="68">
        <f ca="1">IFERROR(__xludf.DUMMYFUNCTION("""COMPUTED_VALUE"""),43546.9986111111)</f>
        <v>43546.998611111099</v>
      </c>
      <c r="AD429" s="6">
        <f ca="1">IFERROR(__xludf.DUMMYFUNCTION("""COMPUTED_VALUE"""),1134.55)</f>
        <v>1134.55</v>
      </c>
      <c r="AH429" s="6" t="str">
        <f t="shared" ca="1" si="120"/>
        <v>20192</v>
      </c>
      <c r="AI429" s="6">
        <f t="shared" ca="1" si="121"/>
        <v>2019</v>
      </c>
      <c r="AJ429" s="6">
        <f t="shared" ca="1" si="122"/>
        <v>2</v>
      </c>
      <c r="AK429" s="68">
        <f ca="1">IFERROR(__xludf.DUMMYFUNCTION("""COMPUTED_VALUE"""),43521.9986111111)</f>
        <v>43521.998611111099</v>
      </c>
      <c r="AL429" s="6">
        <f ca="1">IFERROR(__xludf.DUMMYFUNCTION("""COMPUTED_VALUE"""),3826.169)</f>
        <v>3826.1689999999999</v>
      </c>
      <c r="AP429" s="6" t="str">
        <f t="shared" ca="1" si="123"/>
        <v>20199</v>
      </c>
      <c r="AQ429" s="6">
        <f t="shared" ca="1" si="124"/>
        <v>2019</v>
      </c>
      <c r="AR429" s="6">
        <f t="shared" ca="1" si="125"/>
        <v>9</v>
      </c>
      <c r="AS429" s="68">
        <f ca="1">IFERROR(__xludf.DUMMYFUNCTION("""COMPUTED_VALUE"""),43725.9986111111)</f>
        <v>43725.998611111099</v>
      </c>
      <c r="AT429" s="6">
        <f ca="1">IFERROR(__xludf.DUMMYFUNCTION("""COMPUTED_VALUE"""),1513.4)</f>
        <v>1513.4</v>
      </c>
    </row>
    <row r="430" spans="2:46" x14ac:dyDescent="0.35">
      <c r="B430" s="6" t="str">
        <f t="shared" ca="1" si="108"/>
        <v>20199</v>
      </c>
      <c r="C430" s="6">
        <f t="shared" ca="1" si="109"/>
        <v>2019</v>
      </c>
      <c r="D430" s="6">
        <f t="shared" ca="1" si="110"/>
        <v>9</v>
      </c>
      <c r="E430" s="68">
        <f ca="1">IFERROR(__xludf.DUMMYFUNCTION("""COMPUTED_VALUE"""),43714.6666666666)</f>
        <v>43714.666666666599</v>
      </c>
      <c r="F430" s="6">
        <f ca="1">IFERROR(__xludf.DUMMYFUNCTION("""COMPUTED_VALUE"""),2978.71)</f>
        <v>2978.71</v>
      </c>
      <c r="J430" s="6" t="str">
        <f t="shared" ca="1" si="111"/>
        <v>20199</v>
      </c>
      <c r="K430" s="6">
        <f t="shared" ca="1" si="112"/>
        <v>2019</v>
      </c>
      <c r="L430" s="6">
        <f t="shared" ca="1" si="113"/>
        <v>9</v>
      </c>
      <c r="M430" s="68">
        <f ca="1">IFERROR(__xludf.DUMMYFUNCTION("""COMPUTED_VALUE"""),43714.6666666666)</f>
        <v>43714.666666666599</v>
      </c>
      <c r="N430" s="6">
        <f ca="1">IFERROR(__xludf.DUMMYFUNCTION("""COMPUTED_VALUE"""),8103.07)</f>
        <v>8103.07</v>
      </c>
      <c r="R430" s="6" t="str">
        <f t="shared" ca="1" si="114"/>
        <v>201910</v>
      </c>
      <c r="S430" s="6">
        <f t="shared" ca="1" si="115"/>
        <v>2019</v>
      </c>
      <c r="T430" s="6">
        <f t="shared" ca="1" si="116"/>
        <v>10</v>
      </c>
      <c r="U430" s="68">
        <f ca="1">IFERROR(__xludf.DUMMYFUNCTION("""COMPUTED_VALUE"""),43740.6458333333)</f>
        <v>43740.645833333299</v>
      </c>
      <c r="V430" s="6">
        <f ca="1">IFERROR(__xludf.DUMMYFUNCTION("""COMPUTED_VALUE"""),2031.91)</f>
        <v>2031.91</v>
      </c>
      <c r="Z430" s="6" t="str">
        <f t="shared" ca="1" si="117"/>
        <v>20193</v>
      </c>
      <c r="AA430" s="6">
        <f t="shared" ca="1" si="118"/>
        <v>2019</v>
      </c>
      <c r="AB430" s="6">
        <f t="shared" ca="1" si="119"/>
        <v>3</v>
      </c>
      <c r="AC430" s="68">
        <f ca="1">IFERROR(__xludf.DUMMYFUNCTION("""COMPUTED_VALUE"""),43547.9986111111)</f>
        <v>43547.998611111099</v>
      </c>
      <c r="AD430" s="6">
        <f ca="1">IFERROR(__xludf.DUMMYFUNCTION("""COMPUTED_VALUE"""),1134.1)</f>
        <v>1134.0999999999999</v>
      </c>
      <c r="AH430" s="6" t="str">
        <f t="shared" ca="1" si="120"/>
        <v>20192</v>
      </c>
      <c r="AI430" s="6">
        <f t="shared" ca="1" si="121"/>
        <v>2019</v>
      </c>
      <c r="AJ430" s="6">
        <f t="shared" ca="1" si="122"/>
        <v>2</v>
      </c>
      <c r="AK430" s="68">
        <f ca="1">IFERROR(__xludf.DUMMYFUNCTION("""COMPUTED_VALUE"""),43522.9986111111)</f>
        <v>43522.998611111099</v>
      </c>
      <c r="AL430" s="6">
        <f ca="1">IFERROR(__xludf.DUMMYFUNCTION("""COMPUTED_VALUE"""),3802.665)</f>
        <v>3802.665</v>
      </c>
      <c r="AP430" s="6" t="str">
        <f t="shared" ca="1" si="123"/>
        <v>20199</v>
      </c>
      <c r="AQ430" s="6">
        <f t="shared" ca="1" si="124"/>
        <v>2019</v>
      </c>
      <c r="AR430" s="6">
        <f t="shared" ca="1" si="125"/>
        <v>9</v>
      </c>
      <c r="AS430" s="68">
        <f ca="1">IFERROR(__xludf.DUMMYFUNCTION("""COMPUTED_VALUE"""),43726.9986111111)</f>
        <v>43726.998611111099</v>
      </c>
      <c r="AT430" s="6">
        <f ca="1">IFERROR(__xludf.DUMMYFUNCTION("""COMPUTED_VALUE"""),1515.8)</f>
        <v>1515.8</v>
      </c>
    </row>
    <row r="431" spans="2:46" x14ac:dyDescent="0.35">
      <c r="B431" s="6" t="str">
        <f t="shared" ca="1" si="108"/>
        <v>20199</v>
      </c>
      <c r="C431" s="6">
        <f t="shared" ca="1" si="109"/>
        <v>2019</v>
      </c>
      <c r="D431" s="6">
        <f t="shared" ca="1" si="110"/>
        <v>9</v>
      </c>
      <c r="E431" s="68">
        <f ca="1">IFERROR(__xludf.DUMMYFUNCTION("""COMPUTED_VALUE"""),43717.6666666666)</f>
        <v>43717.666666666599</v>
      </c>
      <c r="F431" s="6">
        <f ca="1">IFERROR(__xludf.DUMMYFUNCTION("""COMPUTED_VALUE"""),2978.43)</f>
        <v>2978.43</v>
      </c>
      <c r="J431" s="6" t="str">
        <f t="shared" ca="1" si="111"/>
        <v>20199</v>
      </c>
      <c r="K431" s="6">
        <f t="shared" ca="1" si="112"/>
        <v>2019</v>
      </c>
      <c r="L431" s="6">
        <f t="shared" ca="1" si="113"/>
        <v>9</v>
      </c>
      <c r="M431" s="68">
        <f ca="1">IFERROR(__xludf.DUMMYFUNCTION("""COMPUTED_VALUE"""),43717.6666666666)</f>
        <v>43717.666666666599</v>
      </c>
      <c r="N431" s="6">
        <f ca="1">IFERROR(__xludf.DUMMYFUNCTION("""COMPUTED_VALUE"""),8087.44)</f>
        <v>8087.44</v>
      </c>
      <c r="R431" s="6" t="str">
        <f t="shared" ca="1" si="114"/>
        <v>201910</v>
      </c>
      <c r="S431" s="6">
        <f t="shared" ca="1" si="115"/>
        <v>2019</v>
      </c>
      <c r="T431" s="6">
        <f t="shared" ca="1" si="116"/>
        <v>10</v>
      </c>
      <c r="U431" s="68">
        <f ca="1">IFERROR(__xludf.DUMMYFUNCTION("""COMPUTED_VALUE"""),43742.6458333333)</f>
        <v>43742.645833333299</v>
      </c>
      <c r="V431" s="6">
        <f ca="1">IFERROR(__xludf.DUMMYFUNCTION("""COMPUTED_VALUE"""),2020.69)</f>
        <v>2020.69</v>
      </c>
      <c r="Z431" s="6" t="str">
        <f t="shared" ca="1" si="117"/>
        <v>20193</v>
      </c>
      <c r="AA431" s="6">
        <f t="shared" ca="1" si="118"/>
        <v>2019</v>
      </c>
      <c r="AB431" s="6">
        <f t="shared" ca="1" si="119"/>
        <v>3</v>
      </c>
      <c r="AC431" s="68">
        <f ca="1">IFERROR(__xludf.DUMMYFUNCTION("""COMPUTED_VALUE"""),43548.9986111111)</f>
        <v>43548.998611111099</v>
      </c>
      <c r="AD431" s="6">
        <f ca="1">IFERROR(__xludf.DUMMYFUNCTION("""COMPUTED_VALUE"""),1135.14)</f>
        <v>1135.1400000000001</v>
      </c>
      <c r="AH431" s="6" t="str">
        <f t="shared" ca="1" si="120"/>
        <v>20192</v>
      </c>
      <c r="AI431" s="6">
        <f t="shared" ca="1" si="121"/>
        <v>2019</v>
      </c>
      <c r="AJ431" s="6">
        <f t="shared" ca="1" si="122"/>
        <v>2</v>
      </c>
      <c r="AK431" s="68">
        <f ca="1">IFERROR(__xludf.DUMMYFUNCTION("""COMPUTED_VALUE"""),43523.9986111111)</f>
        <v>43523.998611111099</v>
      </c>
      <c r="AL431" s="6">
        <f ca="1">IFERROR(__xludf.DUMMYFUNCTION("""COMPUTED_VALUE"""),3810.368)</f>
        <v>3810.3679999999999</v>
      </c>
      <c r="AP431" s="6" t="str">
        <f t="shared" ca="1" si="123"/>
        <v>20199</v>
      </c>
      <c r="AQ431" s="6">
        <f t="shared" ca="1" si="124"/>
        <v>2019</v>
      </c>
      <c r="AR431" s="6">
        <f t="shared" ca="1" si="125"/>
        <v>9</v>
      </c>
      <c r="AS431" s="68">
        <f ca="1">IFERROR(__xludf.DUMMYFUNCTION("""COMPUTED_VALUE"""),43727.9986111111)</f>
        <v>43727.998611111099</v>
      </c>
      <c r="AT431" s="6">
        <f ca="1">IFERROR(__xludf.DUMMYFUNCTION("""COMPUTED_VALUE"""),1506.2)</f>
        <v>1506.2</v>
      </c>
    </row>
    <row r="432" spans="2:46" x14ac:dyDescent="0.35">
      <c r="B432" s="6" t="str">
        <f t="shared" ca="1" si="108"/>
        <v>20199</v>
      </c>
      <c r="C432" s="6">
        <f t="shared" ca="1" si="109"/>
        <v>2019</v>
      </c>
      <c r="D432" s="6">
        <f t="shared" ca="1" si="110"/>
        <v>9</v>
      </c>
      <c r="E432" s="68">
        <f ca="1">IFERROR(__xludf.DUMMYFUNCTION("""COMPUTED_VALUE"""),43718.6666666666)</f>
        <v>43718.666666666599</v>
      </c>
      <c r="F432" s="6">
        <f ca="1">IFERROR(__xludf.DUMMYFUNCTION("""COMPUTED_VALUE"""),2979.39)</f>
        <v>2979.39</v>
      </c>
      <c r="J432" s="6" t="str">
        <f t="shared" ca="1" si="111"/>
        <v>20199</v>
      </c>
      <c r="K432" s="6">
        <f t="shared" ca="1" si="112"/>
        <v>2019</v>
      </c>
      <c r="L432" s="6">
        <f t="shared" ca="1" si="113"/>
        <v>9</v>
      </c>
      <c r="M432" s="68">
        <f ca="1">IFERROR(__xludf.DUMMYFUNCTION("""COMPUTED_VALUE"""),43718.6666666666)</f>
        <v>43718.666666666599</v>
      </c>
      <c r="N432" s="6">
        <f ca="1">IFERROR(__xludf.DUMMYFUNCTION("""COMPUTED_VALUE"""),8084.16)</f>
        <v>8084.16</v>
      </c>
      <c r="R432" s="6" t="str">
        <f t="shared" ca="1" si="114"/>
        <v>201910</v>
      </c>
      <c r="S432" s="6">
        <f t="shared" ca="1" si="115"/>
        <v>2019</v>
      </c>
      <c r="T432" s="6">
        <f t="shared" ca="1" si="116"/>
        <v>10</v>
      </c>
      <c r="U432" s="68">
        <f ca="1">IFERROR(__xludf.DUMMYFUNCTION("""COMPUTED_VALUE"""),43745.6458333333)</f>
        <v>43745.645833333299</v>
      </c>
      <c r="V432" s="6">
        <f ca="1">IFERROR(__xludf.DUMMYFUNCTION("""COMPUTED_VALUE"""),2021.73)</f>
        <v>2021.73</v>
      </c>
      <c r="Z432" s="6" t="str">
        <f t="shared" ca="1" si="117"/>
        <v>20193</v>
      </c>
      <c r="AA432" s="6">
        <f t="shared" ca="1" si="118"/>
        <v>2019</v>
      </c>
      <c r="AB432" s="6">
        <f t="shared" ca="1" si="119"/>
        <v>3</v>
      </c>
      <c r="AC432" s="68">
        <f ca="1">IFERROR(__xludf.DUMMYFUNCTION("""COMPUTED_VALUE"""),43549.9986111111)</f>
        <v>43549.998611111099</v>
      </c>
      <c r="AD432" s="6">
        <f ca="1">IFERROR(__xludf.DUMMYFUNCTION("""COMPUTED_VALUE"""),1133.85)</f>
        <v>1133.8499999999999</v>
      </c>
      <c r="AH432" s="6" t="str">
        <f t="shared" ca="1" si="120"/>
        <v>20192</v>
      </c>
      <c r="AI432" s="6">
        <f t="shared" ca="1" si="121"/>
        <v>2019</v>
      </c>
      <c r="AJ432" s="6">
        <f t="shared" ca="1" si="122"/>
        <v>2</v>
      </c>
      <c r="AK432" s="68">
        <f ca="1">IFERROR(__xludf.DUMMYFUNCTION("""COMPUTED_VALUE"""),43524.9986111111)</f>
        <v>43524.998611111099</v>
      </c>
      <c r="AL432" s="6">
        <f ca="1">IFERROR(__xludf.DUMMYFUNCTION("""COMPUTED_VALUE"""),3801.876)</f>
        <v>3801.8760000000002</v>
      </c>
      <c r="AP432" s="6" t="str">
        <f t="shared" ca="1" si="123"/>
        <v>20199</v>
      </c>
      <c r="AQ432" s="6">
        <f t="shared" ca="1" si="124"/>
        <v>2019</v>
      </c>
      <c r="AR432" s="6">
        <f t="shared" ca="1" si="125"/>
        <v>9</v>
      </c>
      <c r="AS432" s="68">
        <f ca="1">IFERROR(__xludf.DUMMYFUNCTION("""COMPUTED_VALUE"""),43728.9986111111)</f>
        <v>43728.998611111099</v>
      </c>
      <c r="AT432" s="6">
        <f ca="1">IFERROR(__xludf.DUMMYFUNCTION("""COMPUTED_VALUE"""),1515.1)</f>
        <v>1515.1</v>
      </c>
    </row>
    <row r="433" spans="2:46" x14ac:dyDescent="0.35">
      <c r="B433" s="6" t="str">
        <f t="shared" ca="1" si="108"/>
        <v>20199</v>
      </c>
      <c r="C433" s="6">
        <f t="shared" ca="1" si="109"/>
        <v>2019</v>
      </c>
      <c r="D433" s="6">
        <f t="shared" ca="1" si="110"/>
        <v>9</v>
      </c>
      <c r="E433" s="68">
        <f ca="1">IFERROR(__xludf.DUMMYFUNCTION("""COMPUTED_VALUE"""),43719.6666666666)</f>
        <v>43719.666666666599</v>
      </c>
      <c r="F433" s="6">
        <f ca="1">IFERROR(__xludf.DUMMYFUNCTION("""COMPUTED_VALUE"""),3000.93)</f>
        <v>3000.93</v>
      </c>
      <c r="J433" s="6" t="str">
        <f t="shared" ca="1" si="111"/>
        <v>20199</v>
      </c>
      <c r="K433" s="6">
        <f t="shared" ca="1" si="112"/>
        <v>2019</v>
      </c>
      <c r="L433" s="6">
        <f t="shared" ca="1" si="113"/>
        <v>9</v>
      </c>
      <c r="M433" s="68">
        <f ca="1">IFERROR(__xludf.DUMMYFUNCTION("""COMPUTED_VALUE"""),43719.6666666666)</f>
        <v>43719.666666666599</v>
      </c>
      <c r="N433" s="6">
        <f ca="1">IFERROR(__xludf.DUMMYFUNCTION("""COMPUTED_VALUE"""),8169.68)</f>
        <v>8169.68</v>
      </c>
      <c r="R433" s="6" t="str">
        <f t="shared" ca="1" si="114"/>
        <v>201910</v>
      </c>
      <c r="S433" s="6">
        <f t="shared" ca="1" si="115"/>
        <v>2019</v>
      </c>
      <c r="T433" s="6">
        <f t="shared" ca="1" si="116"/>
        <v>10</v>
      </c>
      <c r="U433" s="68">
        <f ca="1">IFERROR(__xludf.DUMMYFUNCTION("""COMPUTED_VALUE"""),43746.6458333333)</f>
        <v>43746.645833333299</v>
      </c>
      <c r="V433" s="6">
        <f ca="1">IFERROR(__xludf.DUMMYFUNCTION("""COMPUTED_VALUE"""),2046.25)</f>
        <v>2046.25</v>
      </c>
      <c r="Z433" s="6" t="str">
        <f t="shared" ca="1" si="117"/>
        <v>20193</v>
      </c>
      <c r="AA433" s="6">
        <f t="shared" ca="1" si="118"/>
        <v>2019</v>
      </c>
      <c r="AB433" s="6">
        <f t="shared" ca="1" si="119"/>
        <v>3</v>
      </c>
      <c r="AC433" s="68">
        <f ca="1">IFERROR(__xludf.DUMMYFUNCTION("""COMPUTED_VALUE"""),43550.9986111111)</f>
        <v>43550.998611111099</v>
      </c>
      <c r="AD433" s="6">
        <f ca="1">IFERROR(__xludf.DUMMYFUNCTION("""COMPUTED_VALUE"""),1133.93)</f>
        <v>1133.93</v>
      </c>
      <c r="AH433" s="6" t="str">
        <f t="shared" ca="1" si="120"/>
        <v>20193</v>
      </c>
      <c r="AI433" s="6">
        <f t="shared" ca="1" si="121"/>
        <v>2019</v>
      </c>
      <c r="AJ433" s="6">
        <f t="shared" ca="1" si="122"/>
        <v>3</v>
      </c>
      <c r="AK433" s="68">
        <f ca="1">IFERROR(__xludf.DUMMYFUNCTION("""COMPUTED_VALUE"""),43525.9986111111)</f>
        <v>43525.998611111099</v>
      </c>
      <c r="AL433" s="6">
        <f ca="1">IFERROR(__xludf.DUMMYFUNCTION("""COMPUTED_VALUE"""),3808.862)</f>
        <v>3808.8620000000001</v>
      </c>
      <c r="AP433" s="6" t="str">
        <f t="shared" ca="1" si="123"/>
        <v>20199</v>
      </c>
      <c r="AQ433" s="6">
        <f t="shared" ca="1" si="124"/>
        <v>2019</v>
      </c>
      <c r="AR433" s="6">
        <f t="shared" ca="1" si="125"/>
        <v>9</v>
      </c>
      <c r="AS433" s="68">
        <f ca="1">IFERROR(__xludf.DUMMYFUNCTION("""COMPUTED_VALUE"""),43731.9986111111)</f>
        <v>43731.998611111099</v>
      </c>
      <c r="AT433" s="6">
        <f ca="1">IFERROR(__xludf.DUMMYFUNCTION("""COMPUTED_VALUE"""),1531.5)</f>
        <v>1531.5</v>
      </c>
    </row>
    <row r="434" spans="2:46" x14ac:dyDescent="0.35">
      <c r="B434" s="6" t="str">
        <f t="shared" ca="1" si="108"/>
        <v>20199</v>
      </c>
      <c r="C434" s="6">
        <f t="shared" ca="1" si="109"/>
        <v>2019</v>
      </c>
      <c r="D434" s="6">
        <f t="shared" ca="1" si="110"/>
        <v>9</v>
      </c>
      <c r="E434" s="68">
        <f ca="1">IFERROR(__xludf.DUMMYFUNCTION("""COMPUTED_VALUE"""),43720.6666666666)</f>
        <v>43720.666666666599</v>
      </c>
      <c r="F434" s="6">
        <f ca="1">IFERROR(__xludf.DUMMYFUNCTION("""COMPUTED_VALUE"""),3009.57)</f>
        <v>3009.57</v>
      </c>
      <c r="J434" s="6" t="str">
        <f t="shared" ca="1" si="111"/>
        <v>20199</v>
      </c>
      <c r="K434" s="6">
        <f t="shared" ca="1" si="112"/>
        <v>2019</v>
      </c>
      <c r="L434" s="6">
        <f t="shared" ca="1" si="113"/>
        <v>9</v>
      </c>
      <c r="M434" s="68">
        <f ca="1">IFERROR(__xludf.DUMMYFUNCTION("""COMPUTED_VALUE"""),43720.6666666666)</f>
        <v>43720.666666666599</v>
      </c>
      <c r="N434" s="6">
        <f ca="1">IFERROR(__xludf.DUMMYFUNCTION("""COMPUTED_VALUE"""),8194.47)</f>
        <v>8194.4699999999993</v>
      </c>
      <c r="R434" s="6" t="str">
        <f t="shared" ca="1" si="114"/>
        <v>201910</v>
      </c>
      <c r="S434" s="6">
        <f t="shared" ca="1" si="115"/>
        <v>2019</v>
      </c>
      <c r="T434" s="6">
        <f t="shared" ca="1" si="116"/>
        <v>10</v>
      </c>
      <c r="U434" s="68">
        <f ca="1">IFERROR(__xludf.DUMMYFUNCTION("""COMPUTED_VALUE"""),43748.6458333333)</f>
        <v>43748.645833333299</v>
      </c>
      <c r="V434" s="6">
        <f ca="1">IFERROR(__xludf.DUMMYFUNCTION("""COMPUTED_VALUE"""),2028.15)</f>
        <v>2028.15</v>
      </c>
      <c r="Z434" s="6" t="str">
        <f t="shared" ca="1" si="117"/>
        <v>20193</v>
      </c>
      <c r="AA434" s="6">
        <f t="shared" ca="1" si="118"/>
        <v>2019</v>
      </c>
      <c r="AB434" s="6">
        <f t="shared" ca="1" si="119"/>
        <v>3</v>
      </c>
      <c r="AC434" s="68">
        <f ca="1">IFERROR(__xludf.DUMMYFUNCTION("""COMPUTED_VALUE"""),43551.9986111111)</f>
        <v>43551.998611111099</v>
      </c>
      <c r="AD434" s="6">
        <f ca="1">IFERROR(__xludf.DUMMYFUNCTION("""COMPUTED_VALUE"""),1138.5)</f>
        <v>1138.5</v>
      </c>
      <c r="AH434" s="6" t="str">
        <f t="shared" ca="1" si="120"/>
        <v>20193</v>
      </c>
      <c r="AI434" s="6">
        <f t="shared" ca="1" si="121"/>
        <v>2019</v>
      </c>
      <c r="AJ434" s="6">
        <f t="shared" ca="1" si="122"/>
        <v>3</v>
      </c>
      <c r="AK434" s="68">
        <f ca="1">IFERROR(__xludf.DUMMYFUNCTION("""COMPUTED_VALUE"""),43526.9986111111)</f>
        <v>43526.998611111099</v>
      </c>
      <c r="AL434" s="6">
        <f ca="1">IFERROR(__xludf.DUMMYFUNCTION("""COMPUTED_VALUE"""),3812.141)</f>
        <v>3812.1410000000001</v>
      </c>
      <c r="AP434" s="6" t="str">
        <f t="shared" ca="1" si="123"/>
        <v>20199</v>
      </c>
      <c r="AQ434" s="6">
        <f t="shared" ca="1" si="124"/>
        <v>2019</v>
      </c>
      <c r="AR434" s="6">
        <f t="shared" ca="1" si="125"/>
        <v>9</v>
      </c>
      <c r="AS434" s="68">
        <f ca="1">IFERROR(__xludf.DUMMYFUNCTION("""COMPUTED_VALUE"""),43732.9986111111)</f>
        <v>43732.998611111099</v>
      </c>
      <c r="AT434" s="6">
        <f ca="1">IFERROR(__xludf.DUMMYFUNCTION("""COMPUTED_VALUE"""),1540.2)</f>
        <v>1540.2</v>
      </c>
    </row>
    <row r="435" spans="2:46" x14ac:dyDescent="0.35">
      <c r="B435" s="6" t="str">
        <f t="shared" ca="1" si="108"/>
        <v>20199</v>
      </c>
      <c r="C435" s="6">
        <f t="shared" ca="1" si="109"/>
        <v>2019</v>
      </c>
      <c r="D435" s="6">
        <f t="shared" ca="1" si="110"/>
        <v>9</v>
      </c>
      <c r="E435" s="68">
        <f ca="1">IFERROR(__xludf.DUMMYFUNCTION("""COMPUTED_VALUE"""),43721.6666666666)</f>
        <v>43721.666666666599</v>
      </c>
      <c r="F435" s="6">
        <f ca="1">IFERROR(__xludf.DUMMYFUNCTION("""COMPUTED_VALUE"""),3007.39)</f>
        <v>3007.39</v>
      </c>
      <c r="J435" s="6" t="str">
        <f t="shared" ca="1" si="111"/>
        <v>20199</v>
      </c>
      <c r="K435" s="6">
        <f t="shared" ca="1" si="112"/>
        <v>2019</v>
      </c>
      <c r="L435" s="6">
        <f t="shared" ca="1" si="113"/>
        <v>9</v>
      </c>
      <c r="M435" s="68">
        <f ca="1">IFERROR(__xludf.DUMMYFUNCTION("""COMPUTED_VALUE"""),43721.6666666666)</f>
        <v>43721.666666666599</v>
      </c>
      <c r="N435" s="6">
        <f ca="1">IFERROR(__xludf.DUMMYFUNCTION("""COMPUTED_VALUE"""),8176.71)</f>
        <v>8176.71</v>
      </c>
      <c r="R435" s="6" t="str">
        <f t="shared" ca="1" si="114"/>
        <v>201910</v>
      </c>
      <c r="S435" s="6">
        <f t="shared" ca="1" si="115"/>
        <v>2019</v>
      </c>
      <c r="T435" s="6">
        <f t="shared" ca="1" si="116"/>
        <v>10</v>
      </c>
      <c r="U435" s="68">
        <f ca="1">IFERROR(__xludf.DUMMYFUNCTION("""COMPUTED_VALUE"""),43749.6458333333)</f>
        <v>43749.645833333299</v>
      </c>
      <c r="V435" s="6">
        <f ca="1">IFERROR(__xludf.DUMMYFUNCTION("""COMPUTED_VALUE"""),2044.61)</f>
        <v>2044.61</v>
      </c>
      <c r="Z435" s="6" t="str">
        <f t="shared" ca="1" si="117"/>
        <v>20193</v>
      </c>
      <c r="AA435" s="6">
        <f t="shared" ca="1" si="118"/>
        <v>2019</v>
      </c>
      <c r="AB435" s="6">
        <f t="shared" ca="1" si="119"/>
        <v>3</v>
      </c>
      <c r="AC435" s="68">
        <f ca="1">IFERROR(__xludf.DUMMYFUNCTION("""COMPUTED_VALUE"""),43552.9986111111)</f>
        <v>43552.998611111099</v>
      </c>
      <c r="AD435" s="6">
        <f ca="1">IFERROR(__xludf.DUMMYFUNCTION("""COMPUTED_VALUE"""),1134.32)</f>
        <v>1134.32</v>
      </c>
      <c r="AH435" s="6" t="str">
        <f t="shared" ca="1" si="120"/>
        <v>20193</v>
      </c>
      <c r="AI435" s="6">
        <f t="shared" ca="1" si="121"/>
        <v>2019</v>
      </c>
      <c r="AJ435" s="6">
        <f t="shared" ca="1" si="122"/>
        <v>3</v>
      </c>
      <c r="AK435" s="68">
        <f ca="1">IFERROR(__xludf.DUMMYFUNCTION("""COMPUTED_VALUE"""),43527.9986111111)</f>
        <v>43527.998611111099</v>
      </c>
      <c r="AL435" s="6">
        <f ca="1">IFERROR(__xludf.DUMMYFUNCTION("""COMPUTED_VALUE"""),3796.865)</f>
        <v>3796.8649999999998</v>
      </c>
      <c r="AP435" s="6" t="str">
        <f t="shared" ca="1" si="123"/>
        <v>20199</v>
      </c>
      <c r="AQ435" s="6">
        <f t="shared" ca="1" si="124"/>
        <v>2019</v>
      </c>
      <c r="AR435" s="6">
        <f t="shared" ca="1" si="125"/>
        <v>9</v>
      </c>
      <c r="AS435" s="68">
        <f ca="1">IFERROR(__xludf.DUMMYFUNCTION("""COMPUTED_VALUE"""),43733.9986111111)</f>
        <v>43733.998611111099</v>
      </c>
      <c r="AT435" s="6">
        <f ca="1">IFERROR(__xludf.DUMMYFUNCTION("""COMPUTED_VALUE"""),1512.3)</f>
        <v>1512.3</v>
      </c>
    </row>
    <row r="436" spans="2:46" x14ac:dyDescent="0.35">
      <c r="B436" s="6" t="str">
        <f t="shared" ca="1" si="108"/>
        <v>20199</v>
      </c>
      <c r="C436" s="6">
        <f t="shared" ca="1" si="109"/>
        <v>2019</v>
      </c>
      <c r="D436" s="6">
        <f t="shared" ca="1" si="110"/>
        <v>9</v>
      </c>
      <c r="E436" s="68">
        <f ca="1">IFERROR(__xludf.DUMMYFUNCTION("""COMPUTED_VALUE"""),43724.6666666666)</f>
        <v>43724.666666666599</v>
      </c>
      <c r="F436" s="6">
        <f ca="1">IFERROR(__xludf.DUMMYFUNCTION("""COMPUTED_VALUE"""),2997.96)</f>
        <v>2997.96</v>
      </c>
      <c r="J436" s="6" t="str">
        <f t="shared" ca="1" si="111"/>
        <v>20199</v>
      </c>
      <c r="K436" s="6">
        <f t="shared" ca="1" si="112"/>
        <v>2019</v>
      </c>
      <c r="L436" s="6">
        <f t="shared" ca="1" si="113"/>
        <v>9</v>
      </c>
      <c r="M436" s="68">
        <f ca="1">IFERROR(__xludf.DUMMYFUNCTION("""COMPUTED_VALUE"""),43724.6666666666)</f>
        <v>43724.666666666599</v>
      </c>
      <c r="N436" s="6">
        <f ca="1">IFERROR(__xludf.DUMMYFUNCTION("""COMPUTED_VALUE"""),8153.54)</f>
        <v>8153.54</v>
      </c>
      <c r="R436" s="6" t="str">
        <f t="shared" ca="1" si="114"/>
        <v>201910</v>
      </c>
      <c r="S436" s="6">
        <f t="shared" ca="1" si="115"/>
        <v>2019</v>
      </c>
      <c r="T436" s="6">
        <f t="shared" ca="1" si="116"/>
        <v>10</v>
      </c>
      <c r="U436" s="68">
        <f ca="1">IFERROR(__xludf.DUMMYFUNCTION("""COMPUTED_VALUE"""),43752.6458333333)</f>
        <v>43752.645833333299</v>
      </c>
      <c r="V436" s="6">
        <f ca="1">IFERROR(__xludf.DUMMYFUNCTION("""COMPUTED_VALUE"""),2067.4)</f>
        <v>2067.4</v>
      </c>
      <c r="Z436" s="6" t="str">
        <f t="shared" ca="1" si="117"/>
        <v>20193</v>
      </c>
      <c r="AA436" s="6">
        <f t="shared" ca="1" si="118"/>
        <v>2019</v>
      </c>
      <c r="AB436" s="6">
        <f t="shared" ca="1" si="119"/>
        <v>3</v>
      </c>
      <c r="AC436" s="68">
        <f ca="1">IFERROR(__xludf.DUMMYFUNCTION("""COMPUTED_VALUE"""),43553.9986111111)</f>
        <v>43553.998611111099</v>
      </c>
      <c r="AD436" s="6">
        <f ca="1">IFERROR(__xludf.DUMMYFUNCTION("""COMPUTED_VALUE"""),1135.9)</f>
        <v>1135.9000000000001</v>
      </c>
      <c r="AH436" s="6" t="str">
        <f t="shared" ca="1" si="120"/>
        <v>20193</v>
      </c>
      <c r="AI436" s="6">
        <f t="shared" ca="1" si="121"/>
        <v>2019</v>
      </c>
      <c r="AJ436" s="6">
        <f t="shared" ca="1" si="122"/>
        <v>3</v>
      </c>
      <c r="AK436" s="68">
        <f ca="1">IFERROR(__xludf.DUMMYFUNCTION("""COMPUTED_VALUE"""),43528.9986111111)</f>
        <v>43528.998611111099</v>
      </c>
      <c r="AL436" s="6">
        <f ca="1">IFERROR(__xludf.DUMMYFUNCTION("""COMPUTED_VALUE"""),3709.697)</f>
        <v>3709.6970000000001</v>
      </c>
      <c r="AP436" s="6" t="str">
        <f t="shared" ca="1" si="123"/>
        <v>20199</v>
      </c>
      <c r="AQ436" s="6">
        <f t="shared" ca="1" si="124"/>
        <v>2019</v>
      </c>
      <c r="AR436" s="6">
        <f t="shared" ca="1" si="125"/>
        <v>9</v>
      </c>
      <c r="AS436" s="68">
        <f ca="1">IFERROR(__xludf.DUMMYFUNCTION("""COMPUTED_VALUE"""),43734.9986111111)</f>
        <v>43734.998611111099</v>
      </c>
      <c r="AT436" s="6">
        <f ca="1">IFERROR(__xludf.DUMMYFUNCTION("""COMPUTED_VALUE"""),1515.2)</f>
        <v>1515.2</v>
      </c>
    </row>
    <row r="437" spans="2:46" x14ac:dyDescent="0.35">
      <c r="B437" s="6" t="str">
        <f t="shared" ca="1" si="108"/>
        <v>20199</v>
      </c>
      <c r="C437" s="6">
        <f t="shared" ca="1" si="109"/>
        <v>2019</v>
      </c>
      <c r="D437" s="6">
        <f t="shared" ca="1" si="110"/>
        <v>9</v>
      </c>
      <c r="E437" s="68">
        <f ca="1">IFERROR(__xludf.DUMMYFUNCTION("""COMPUTED_VALUE"""),43725.6666666666)</f>
        <v>43725.666666666599</v>
      </c>
      <c r="F437" s="6">
        <f ca="1">IFERROR(__xludf.DUMMYFUNCTION("""COMPUTED_VALUE"""),3005.7)</f>
        <v>3005.7</v>
      </c>
      <c r="J437" s="6" t="str">
        <f t="shared" ca="1" si="111"/>
        <v>20199</v>
      </c>
      <c r="K437" s="6">
        <f t="shared" ca="1" si="112"/>
        <v>2019</v>
      </c>
      <c r="L437" s="6">
        <f t="shared" ca="1" si="113"/>
        <v>9</v>
      </c>
      <c r="M437" s="68">
        <f ca="1">IFERROR(__xludf.DUMMYFUNCTION("""COMPUTED_VALUE"""),43725.6666666666)</f>
        <v>43725.666666666599</v>
      </c>
      <c r="N437" s="6">
        <f ca="1">IFERROR(__xludf.DUMMYFUNCTION("""COMPUTED_VALUE"""),8186.02)</f>
        <v>8186.02</v>
      </c>
      <c r="R437" s="6" t="str">
        <f t="shared" ca="1" si="114"/>
        <v>201910</v>
      </c>
      <c r="S437" s="6">
        <f t="shared" ca="1" si="115"/>
        <v>2019</v>
      </c>
      <c r="T437" s="6">
        <f t="shared" ca="1" si="116"/>
        <v>10</v>
      </c>
      <c r="U437" s="68">
        <f ca="1">IFERROR(__xludf.DUMMYFUNCTION("""COMPUTED_VALUE"""),43753.6458333333)</f>
        <v>43753.645833333299</v>
      </c>
      <c r="V437" s="6">
        <f ca="1">IFERROR(__xludf.DUMMYFUNCTION("""COMPUTED_VALUE"""),2068.17)</f>
        <v>2068.17</v>
      </c>
      <c r="Z437" s="6" t="str">
        <f t="shared" ca="1" si="117"/>
        <v>20193</v>
      </c>
      <c r="AA437" s="6">
        <f t="shared" ca="1" si="118"/>
        <v>2019</v>
      </c>
      <c r="AB437" s="6">
        <f t="shared" ca="1" si="119"/>
        <v>3</v>
      </c>
      <c r="AC437" s="68">
        <f ca="1">IFERROR(__xludf.DUMMYFUNCTION("""COMPUTED_VALUE"""),43554.9986111111)</f>
        <v>43554.998611111099</v>
      </c>
      <c r="AD437" s="6">
        <f ca="1">IFERROR(__xludf.DUMMYFUNCTION("""COMPUTED_VALUE"""),1135.9)</f>
        <v>1135.9000000000001</v>
      </c>
      <c r="AH437" s="6" t="str">
        <f t="shared" ca="1" si="120"/>
        <v>20193</v>
      </c>
      <c r="AI437" s="6">
        <f t="shared" ca="1" si="121"/>
        <v>2019</v>
      </c>
      <c r="AJ437" s="6">
        <f t="shared" ca="1" si="122"/>
        <v>3</v>
      </c>
      <c r="AK437" s="68">
        <f ca="1">IFERROR(__xludf.DUMMYFUNCTION("""COMPUTED_VALUE"""),43529.9986111111)</f>
        <v>43529.998611111099</v>
      </c>
      <c r="AL437" s="6">
        <f ca="1">IFERROR(__xludf.DUMMYFUNCTION("""COMPUTED_VALUE"""),3854.687)</f>
        <v>3854.6869999999999</v>
      </c>
      <c r="AP437" s="6" t="str">
        <f t="shared" ca="1" si="123"/>
        <v>20199</v>
      </c>
      <c r="AQ437" s="6">
        <f t="shared" ca="1" si="124"/>
        <v>2019</v>
      </c>
      <c r="AR437" s="6">
        <f t="shared" ca="1" si="125"/>
        <v>9</v>
      </c>
      <c r="AS437" s="68">
        <f ca="1">IFERROR(__xludf.DUMMYFUNCTION("""COMPUTED_VALUE"""),43735.9986111111)</f>
        <v>43735.998611111099</v>
      </c>
      <c r="AT437" s="6">
        <f ca="1">IFERROR(__xludf.DUMMYFUNCTION("""COMPUTED_VALUE"""),1506.4)</f>
        <v>1506.4</v>
      </c>
    </row>
    <row r="438" spans="2:46" x14ac:dyDescent="0.35">
      <c r="B438" s="6" t="str">
        <f t="shared" ca="1" si="108"/>
        <v>20199</v>
      </c>
      <c r="C438" s="6">
        <f t="shared" ca="1" si="109"/>
        <v>2019</v>
      </c>
      <c r="D438" s="6">
        <f t="shared" ca="1" si="110"/>
        <v>9</v>
      </c>
      <c r="E438" s="68">
        <f ca="1">IFERROR(__xludf.DUMMYFUNCTION("""COMPUTED_VALUE"""),43726.6666666666)</f>
        <v>43726.666666666599</v>
      </c>
      <c r="F438" s="6">
        <f ca="1">IFERROR(__xludf.DUMMYFUNCTION("""COMPUTED_VALUE"""),3006.73)</f>
        <v>3006.73</v>
      </c>
      <c r="J438" s="6" t="str">
        <f t="shared" ca="1" si="111"/>
        <v>20199</v>
      </c>
      <c r="K438" s="6">
        <f t="shared" ca="1" si="112"/>
        <v>2019</v>
      </c>
      <c r="L438" s="6">
        <f t="shared" ca="1" si="113"/>
        <v>9</v>
      </c>
      <c r="M438" s="68">
        <f ca="1">IFERROR(__xludf.DUMMYFUNCTION("""COMPUTED_VALUE"""),43726.6666666666)</f>
        <v>43726.666666666599</v>
      </c>
      <c r="N438" s="6">
        <f ca="1">IFERROR(__xludf.DUMMYFUNCTION("""COMPUTED_VALUE"""),8177.39)</f>
        <v>8177.39</v>
      </c>
      <c r="R438" s="6" t="str">
        <f t="shared" ca="1" si="114"/>
        <v>201910</v>
      </c>
      <c r="S438" s="6">
        <f t="shared" ca="1" si="115"/>
        <v>2019</v>
      </c>
      <c r="T438" s="6">
        <f t="shared" ca="1" si="116"/>
        <v>10</v>
      </c>
      <c r="U438" s="68">
        <f ca="1">IFERROR(__xludf.DUMMYFUNCTION("""COMPUTED_VALUE"""),43754.6458333333)</f>
        <v>43754.645833333299</v>
      </c>
      <c r="V438" s="6">
        <f ca="1">IFERROR(__xludf.DUMMYFUNCTION("""COMPUTED_VALUE"""),2082.83)</f>
        <v>2082.83</v>
      </c>
      <c r="Z438" s="6" t="str">
        <f t="shared" ca="1" si="117"/>
        <v>20193</v>
      </c>
      <c r="AA438" s="6">
        <f t="shared" ca="1" si="118"/>
        <v>2019</v>
      </c>
      <c r="AB438" s="6">
        <f t="shared" ca="1" si="119"/>
        <v>3</v>
      </c>
      <c r="AC438" s="68">
        <f ca="1">IFERROR(__xludf.DUMMYFUNCTION("""COMPUTED_VALUE"""),43555.9986111111)</f>
        <v>43555.998611111099</v>
      </c>
      <c r="AD438" s="6">
        <f ca="1">IFERROR(__xludf.DUMMYFUNCTION("""COMPUTED_VALUE"""),1136.7)</f>
        <v>1136.7</v>
      </c>
      <c r="AH438" s="6" t="str">
        <f t="shared" ca="1" si="120"/>
        <v>20193</v>
      </c>
      <c r="AI438" s="6">
        <f t="shared" ca="1" si="121"/>
        <v>2019</v>
      </c>
      <c r="AJ438" s="6">
        <f t="shared" ca="1" si="122"/>
        <v>3</v>
      </c>
      <c r="AK438" s="68">
        <f ca="1">IFERROR(__xludf.DUMMYFUNCTION("""COMPUTED_VALUE"""),43530.9986111111)</f>
        <v>43530.998611111099</v>
      </c>
      <c r="AL438" s="6">
        <f ca="1">IFERROR(__xludf.DUMMYFUNCTION("""COMPUTED_VALUE"""),3865.892)</f>
        <v>3865.8919999999998</v>
      </c>
      <c r="AP438" s="6" t="str">
        <f t="shared" ca="1" si="123"/>
        <v>20199</v>
      </c>
      <c r="AQ438" s="6">
        <f t="shared" ca="1" si="124"/>
        <v>2019</v>
      </c>
      <c r="AR438" s="6">
        <f t="shared" ca="1" si="125"/>
        <v>9</v>
      </c>
      <c r="AS438" s="68">
        <f ca="1">IFERROR(__xludf.DUMMYFUNCTION("""COMPUTED_VALUE"""),43738.9986111111)</f>
        <v>43738.998611111099</v>
      </c>
      <c r="AT438" s="6">
        <f ca="1">IFERROR(__xludf.DUMMYFUNCTION("""COMPUTED_VALUE"""),1472.9)</f>
        <v>1472.9</v>
      </c>
    </row>
    <row r="439" spans="2:46" x14ac:dyDescent="0.35">
      <c r="B439" s="6" t="str">
        <f t="shared" ca="1" si="108"/>
        <v>20199</v>
      </c>
      <c r="C439" s="6">
        <f t="shared" ca="1" si="109"/>
        <v>2019</v>
      </c>
      <c r="D439" s="6">
        <f t="shared" ca="1" si="110"/>
        <v>9</v>
      </c>
      <c r="E439" s="68">
        <f ca="1">IFERROR(__xludf.DUMMYFUNCTION("""COMPUTED_VALUE"""),43727.6666666666)</f>
        <v>43727.666666666599</v>
      </c>
      <c r="F439" s="6">
        <f ca="1">IFERROR(__xludf.DUMMYFUNCTION("""COMPUTED_VALUE"""),3006.79)</f>
        <v>3006.79</v>
      </c>
      <c r="J439" s="6" t="str">
        <f t="shared" ca="1" si="111"/>
        <v>20199</v>
      </c>
      <c r="K439" s="6">
        <f t="shared" ca="1" si="112"/>
        <v>2019</v>
      </c>
      <c r="L439" s="6">
        <f t="shared" ca="1" si="113"/>
        <v>9</v>
      </c>
      <c r="M439" s="68">
        <f ca="1">IFERROR(__xludf.DUMMYFUNCTION("""COMPUTED_VALUE"""),43727.6666666666)</f>
        <v>43727.666666666599</v>
      </c>
      <c r="N439" s="6">
        <f ca="1">IFERROR(__xludf.DUMMYFUNCTION("""COMPUTED_VALUE"""),8182.88)</f>
        <v>8182.88</v>
      </c>
      <c r="R439" s="6" t="str">
        <f t="shared" ca="1" si="114"/>
        <v>201910</v>
      </c>
      <c r="S439" s="6">
        <f t="shared" ca="1" si="115"/>
        <v>2019</v>
      </c>
      <c r="T439" s="6">
        <f t="shared" ca="1" si="116"/>
        <v>10</v>
      </c>
      <c r="U439" s="68">
        <f ca="1">IFERROR(__xludf.DUMMYFUNCTION("""COMPUTED_VALUE"""),43755.6458333333)</f>
        <v>43755.645833333299</v>
      </c>
      <c r="V439" s="6">
        <f ca="1">IFERROR(__xludf.DUMMYFUNCTION("""COMPUTED_VALUE"""),2077.94)</f>
        <v>2077.94</v>
      </c>
      <c r="Z439" s="6" t="str">
        <f t="shared" ca="1" si="117"/>
        <v>20194</v>
      </c>
      <c r="AA439" s="6">
        <f t="shared" ca="1" si="118"/>
        <v>2019</v>
      </c>
      <c r="AB439" s="6">
        <f t="shared" ca="1" si="119"/>
        <v>4</v>
      </c>
      <c r="AC439" s="68">
        <f ca="1">IFERROR(__xludf.DUMMYFUNCTION("""COMPUTED_VALUE"""),43556.9986111111)</f>
        <v>43556.998611111099</v>
      </c>
      <c r="AD439" s="6">
        <f ca="1">IFERROR(__xludf.DUMMYFUNCTION("""COMPUTED_VALUE"""),1132.67)</f>
        <v>1132.67</v>
      </c>
      <c r="AH439" s="6" t="str">
        <f t="shared" ca="1" si="120"/>
        <v>20193</v>
      </c>
      <c r="AI439" s="6">
        <f t="shared" ca="1" si="121"/>
        <v>2019</v>
      </c>
      <c r="AJ439" s="6">
        <f t="shared" ca="1" si="122"/>
        <v>3</v>
      </c>
      <c r="AK439" s="68">
        <f ca="1">IFERROR(__xludf.DUMMYFUNCTION("""COMPUTED_VALUE"""),43531.9986111111)</f>
        <v>43531.998611111099</v>
      </c>
      <c r="AL439" s="6">
        <f ca="1">IFERROR(__xludf.DUMMYFUNCTION("""COMPUTED_VALUE"""),3868.382)</f>
        <v>3868.3820000000001</v>
      </c>
      <c r="AP439" s="6" t="str">
        <f t="shared" ca="1" si="123"/>
        <v>201910</v>
      </c>
      <c r="AQ439" s="6">
        <f t="shared" ca="1" si="124"/>
        <v>2019</v>
      </c>
      <c r="AR439" s="6">
        <f t="shared" ca="1" si="125"/>
        <v>10</v>
      </c>
      <c r="AS439" s="68">
        <f ca="1">IFERROR(__xludf.DUMMYFUNCTION("""COMPUTED_VALUE"""),43739.9986111111)</f>
        <v>43739.998611111099</v>
      </c>
      <c r="AT439" s="6">
        <f ca="1">IFERROR(__xludf.DUMMYFUNCTION("""COMPUTED_VALUE"""),1489)</f>
        <v>1489</v>
      </c>
    </row>
    <row r="440" spans="2:46" x14ac:dyDescent="0.35">
      <c r="B440" s="6" t="str">
        <f t="shared" ca="1" si="108"/>
        <v>20199</v>
      </c>
      <c r="C440" s="6">
        <f t="shared" ca="1" si="109"/>
        <v>2019</v>
      </c>
      <c r="D440" s="6">
        <f t="shared" ca="1" si="110"/>
        <v>9</v>
      </c>
      <c r="E440" s="68">
        <f ca="1">IFERROR(__xludf.DUMMYFUNCTION("""COMPUTED_VALUE"""),43728.6666666666)</f>
        <v>43728.666666666599</v>
      </c>
      <c r="F440" s="6">
        <f ca="1">IFERROR(__xludf.DUMMYFUNCTION("""COMPUTED_VALUE"""),2992.07)</f>
        <v>2992.07</v>
      </c>
      <c r="J440" s="6" t="str">
        <f t="shared" ca="1" si="111"/>
        <v>20199</v>
      </c>
      <c r="K440" s="6">
        <f t="shared" ca="1" si="112"/>
        <v>2019</v>
      </c>
      <c r="L440" s="6">
        <f t="shared" ca="1" si="113"/>
        <v>9</v>
      </c>
      <c r="M440" s="68">
        <f ca="1">IFERROR(__xludf.DUMMYFUNCTION("""COMPUTED_VALUE"""),43728.6666666666)</f>
        <v>43728.666666666599</v>
      </c>
      <c r="N440" s="6">
        <f ca="1">IFERROR(__xludf.DUMMYFUNCTION("""COMPUTED_VALUE"""),8117.67)</f>
        <v>8117.67</v>
      </c>
      <c r="R440" s="6" t="str">
        <f t="shared" ca="1" si="114"/>
        <v>201910</v>
      </c>
      <c r="S440" s="6">
        <f t="shared" ca="1" si="115"/>
        <v>2019</v>
      </c>
      <c r="T440" s="6">
        <f t="shared" ca="1" si="116"/>
        <v>10</v>
      </c>
      <c r="U440" s="68">
        <f ca="1">IFERROR(__xludf.DUMMYFUNCTION("""COMPUTED_VALUE"""),43756.6458333333)</f>
        <v>43756.645833333299</v>
      </c>
      <c r="V440" s="6">
        <f ca="1">IFERROR(__xludf.DUMMYFUNCTION("""COMPUTED_VALUE"""),2060.69)</f>
        <v>2060.69</v>
      </c>
      <c r="Z440" s="6" t="str">
        <f t="shared" ca="1" si="117"/>
        <v>20194</v>
      </c>
      <c r="AA440" s="6">
        <f t="shared" ca="1" si="118"/>
        <v>2019</v>
      </c>
      <c r="AB440" s="6">
        <f t="shared" ca="1" si="119"/>
        <v>4</v>
      </c>
      <c r="AC440" s="68">
        <f ca="1">IFERROR(__xludf.DUMMYFUNCTION("""COMPUTED_VALUE"""),43557.9986111111)</f>
        <v>43557.998611111099</v>
      </c>
      <c r="AD440" s="6">
        <f ca="1">IFERROR(__xludf.DUMMYFUNCTION("""COMPUTED_VALUE"""),1136.39)</f>
        <v>1136.3900000000001</v>
      </c>
      <c r="AH440" s="6" t="str">
        <f t="shared" ca="1" si="120"/>
        <v>20193</v>
      </c>
      <c r="AI440" s="6">
        <f t="shared" ca="1" si="121"/>
        <v>2019</v>
      </c>
      <c r="AJ440" s="6">
        <f t="shared" ca="1" si="122"/>
        <v>3</v>
      </c>
      <c r="AK440" s="68">
        <f ca="1">IFERROR(__xludf.DUMMYFUNCTION("""COMPUTED_VALUE"""),43532.9986111111)</f>
        <v>43532.998611111099</v>
      </c>
      <c r="AL440" s="6">
        <f ca="1">IFERROR(__xludf.DUMMYFUNCTION("""COMPUTED_VALUE"""),3854.778)</f>
        <v>3854.7779999999998</v>
      </c>
      <c r="AP440" s="6" t="str">
        <f t="shared" ca="1" si="123"/>
        <v>201910</v>
      </c>
      <c r="AQ440" s="6">
        <f t="shared" ca="1" si="124"/>
        <v>2019</v>
      </c>
      <c r="AR440" s="6">
        <f t="shared" ca="1" si="125"/>
        <v>10</v>
      </c>
      <c r="AS440" s="68">
        <f ca="1">IFERROR(__xludf.DUMMYFUNCTION("""COMPUTED_VALUE"""),43740.9986111111)</f>
        <v>43740.998611111099</v>
      </c>
      <c r="AT440" s="6">
        <f ca="1">IFERROR(__xludf.DUMMYFUNCTION("""COMPUTED_VALUE"""),1507.9)</f>
        <v>1507.9</v>
      </c>
    </row>
    <row r="441" spans="2:46" x14ac:dyDescent="0.35">
      <c r="B441" s="6" t="str">
        <f t="shared" ca="1" si="108"/>
        <v>20199</v>
      </c>
      <c r="C441" s="6">
        <f t="shared" ca="1" si="109"/>
        <v>2019</v>
      </c>
      <c r="D441" s="6">
        <f t="shared" ca="1" si="110"/>
        <v>9</v>
      </c>
      <c r="E441" s="68">
        <f ca="1">IFERROR(__xludf.DUMMYFUNCTION("""COMPUTED_VALUE"""),43731.6666666666)</f>
        <v>43731.666666666599</v>
      </c>
      <c r="F441" s="6">
        <f ca="1">IFERROR(__xludf.DUMMYFUNCTION("""COMPUTED_VALUE"""),2991.78)</f>
        <v>2991.78</v>
      </c>
      <c r="J441" s="6" t="str">
        <f t="shared" ca="1" si="111"/>
        <v>20199</v>
      </c>
      <c r="K441" s="6">
        <f t="shared" ca="1" si="112"/>
        <v>2019</v>
      </c>
      <c r="L441" s="6">
        <f t="shared" ca="1" si="113"/>
        <v>9</v>
      </c>
      <c r="M441" s="68">
        <f ca="1">IFERROR(__xludf.DUMMYFUNCTION("""COMPUTED_VALUE"""),43731.6666666666)</f>
        <v>43731.666666666599</v>
      </c>
      <c r="N441" s="6">
        <f ca="1">IFERROR(__xludf.DUMMYFUNCTION("""COMPUTED_VALUE"""),8112.46)</f>
        <v>8112.46</v>
      </c>
      <c r="R441" s="6" t="str">
        <f t="shared" ca="1" si="114"/>
        <v>201910</v>
      </c>
      <c r="S441" s="6">
        <f t="shared" ca="1" si="115"/>
        <v>2019</v>
      </c>
      <c r="T441" s="6">
        <f t="shared" ca="1" si="116"/>
        <v>10</v>
      </c>
      <c r="U441" s="68">
        <f ca="1">IFERROR(__xludf.DUMMYFUNCTION("""COMPUTED_VALUE"""),43759.6458333333)</f>
        <v>43759.645833333299</v>
      </c>
      <c r="V441" s="6">
        <f ca="1">IFERROR(__xludf.DUMMYFUNCTION("""COMPUTED_VALUE"""),2064.84)</f>
        <v>2064.84</v>
      </c>
      <c r="Z441" s="6" t="str">
        <f t="shared" ca="1" si="117"/>
        <v>20194</v>
      </c>
      <c r="AA441" s="6">
        <f t="shared" ca="1" si="118"/>
        <v>2019</v>
      </c>
      <c r="AB441" s="6">
        <f t="shared" ca="1" si="119"/>
        <v>4</v>
      </c>
      <c r="AC441" s="68">
        <f ca="1">IFERROR(__xludf.DUMMYFUNCTION("""COMPUTED_VALUE"""),43558.9986111111)</f>
        <v>43558.998611111099</v>
      </c>
      <c r="AD441" s="6">
        <f ca="1">IFERROR(__xludf.DUMMYFUNCTION("""COMPUTED_VALUE"""),1133.53)</f>
        <v>1133.53</v>
      </c>
      <c r="AH441" s="6" t="str">
        <f t="shared" ca="1" si="120"/>
        <v>20193</v>
      </c>
      <c r="AI441" s="6">
        <f t="shared" ca="1" si="121"/>
        <v>2019</v>
      </c>
      <c r="AJ441" s="6">
        <f t="shared" ca="1" si="122"/>
        <v>3</v>
      </c>
      <c r="AK441" s="68">
        <f ca="1">IFERROR(__xludf.DUMMYFUNCTION("""COMPUTED_VALUE"""),43533.9986111111)</f>
        <v>43533.998611111099</v>
      </c>
      <c r="AL441" s="6">
        <f ca="1">IFERROR(__xludf.DUMMYFUNCTION("""COMPUTED_VALUE"""),3936.172)</f>
        <v>3936.172</v>
      </c>
      <c r="AP441" s="6" t="str">
        <f t="shared" ca="1" si="123"/>
        <v>201910</v>
      </c>
      <c r="AQ441" s="6">
        <f t="shared" ca="1" si="124"/>
        <v>2019</v>
      </c>
      <c r="AR441" s="6">
        <f t="shared" ca="1" si="125"/>
        <v>10</v>
      </c>
      <c r="AS441" s="68">
        <f ca="1">IFERROR(__xludf.DUMMYFUNCTION("""COMPUTED_VALUE"""),43741.9986111111)</f>
        <v>43741.998611111099</v>
      </c>
      <c r="AT441" s="6">
        <f ca="1">IFERROR(__xludf.DUMMYFUNCTION("""COMPUTED_VALUE"""),1513.8)</f>
        <v>1513.8</v>
      </c>
    </row>
    <row r="442" spans="2:46" x14ac:dyDescent="0.35">
      <c r="B442" s="6" t="str">
        <f t="shared" ca="1" si="108"/>
        <v>20199</v>
      </c>
      <c r="C442" s="6">
        <f t="shared" ca="1" si="109"/>
        <v>2019</v>
      </c>
      <c r="D442" s="6">
        <f t="shared" ca="1" si="110"/>
        <v>9</v>
      </c>
      <c r="E442" s="68">
        <f ca="1">IFERROR(__xludf.DUMMYFUNCTION("""COMPUTED_VALUE"""),43732.6666666666)</f>
        <v>43732.666666666599</v>
      </c>
      <c r="F442" s="6">
        <f ca="1">IFERROR(__xludf.DUMMYFUNCTION("""COMPUTED_VALUE"""),2966.6)</f>
        <v>2966.6</v>
      </c>
      <c r="J442" s="6" t="str">
        <f t="shared" ca="1" si="111"/>
        <v>20199</v>
      </c>
      <c r="K442" s="6">
        <f t="shared" ca="1" si="112"/>
        <v>2019</v>
      </c>
      <c r="L442" s="6">
        <f t="shared" ca="1" si="113"/>
        <v>9</v>
      </c>
      <c r="M442" s="68">
        <f ca="1">IFERROR(__xludf.DUMMYFUNCTION("""COMPUTED_VALUE"""),43732.6666666666)</f>
        <v>43732.666666666599</v>
      </c>
      <c r="N442" s="6">
        <f ca="1">IFERROR(__xludf.DUMMYFUNCTION("""COMPUTED_VALUE"""),7993.63)</f>
        <v>7993.63</v>
      </c>
      <c r="R442" s="6" t="str">
        <f t="shared" ca="1" si="114"/>
        <v>201910</v>
      </c>
      <c r="S442" s="6">
        <f t="shared" ca="1" si="115"/>
        <v>2019</v>
      </c>
      <c r="T442" s="6">
        <f t="shared" ca="1" si="116"/>
        <v>10</v>
      </c>
      <c r="U442" s="68">
        <f ca="1">IFERROR(__xludf.DUMMYFUNCTION("""COMPUTED_VALUE"""),43760.6458333333)</f>
        <v>43760.645833333299</v>
      </c>
      <c r="V442" s="6">
        <f ca="1">IFERROR(__xludf.DUMMYFUNCTION("""COMPUTED_VALUE"""),2088.86)</f>
        <v>2088.86</v>
      </c>
      <c r="Z442" s="6" t="str">
        <f t="shared" ca="1" si="117"/>
        <v>20194</v>
      </c>
      <c r="AA442" s="6">
        <f t="shared" ca="1" si="118"/>
        <v>2019</v>
      </c>
      <c r="AB442" s="6">
        <f t="shared" ca="1" si="119"/>
        <v>4</v>
      </c>
      <c r="AC442" s="68">
        <f ca="1">IFERROR(__xludf.DUMMYFUNCTION("""COMPUTED_VALUE"""),43559.9986111111)</f>
        <v>43559.998611111099</v>
      </c>
      <c r="AD442" s="6">
        <f ca="1">IFERROR(__xludf.DUMMYFUNCTION("""COMPUTED_VALUE"""),1134.3)</f>
        <v>1134.3</v>
      </c>
      <c r="AH442" s="6" t="str">
        <f t="shared" ca="1" si="120"/>
        <v>20193</v>
      </c>
      <c r="AI442" s="6">
        <f t="shared" ca="1" si="121"/>
        <v>2019</v>
      </c>
      <c r="AJ442" s="6">
        <f t="shared" ca="1" si="122"/>
        <v>3</v>
      </c>
      <c r="AK442" s="68">
        <f ca="1">IFERROR(__xludf.DUMMYFUNCTION("""COMPUTED_VALUE"""),43534.9986111111)</f>
        <v>43534.998611111099</v>
      </c>
      <c r="AL442" s="6">
        <f ca="1">IFERROR(__xludf.DUMMYFUNCTION("""COMPUTED_VALUE"""),3901.575)</f>
        <v>3901.5749999999998</v>
      </c>
      <c r="AP442" s="6" t="str">
        <f t="shared" ca="1" si="123"/>
        <v>201910</v>
      </c>
      <c r="AQ442" s="6">
        <f t="shared" ca="1" si="124"/>
        <v>2019</v>
      </c>
      <c r="AR442" s="6">
        <f t="shared" ca="1" si="125"/>
        <v>10</v>
      </c>
      <c r="AS442" s="68">
        <f ca="1">IFERROR(__xludf.DUMMYFUNCTION("""COMPUTED_VALUE"""),43742.9986111111)</f>
        <v>43742.998611111099</v>
      </c>
      <c r="AT442" s="6">
        <f ca="1">IFERROR(__xludf.DUMMYFUNCTION("""COMPUTED_VALUE"""),1512.9)</f>
        <v>1512.9</v>
      </c>
    </row>
    <row r="443" spans="2:46" x14ac:dyDescent="0.35">
      <c r="B443" s="6" t="str">
        <f t="shared" ca="1" si="108"/>
        <v>20199</v>
      </c>
      <c r="C443" s="6">
        <f t="shared" ca="1" si="109"/>
        <v>2019</v>
      </c>
      <c r="D443" s="6">
        <f t="shared" ca="1" si="110"/>
        <v>9</v>
      </c>
      <c r="E443" s="68">
        <f ca="1">IFERROR(__xludf.DUMMYFUNCTION("""COMPUTED_VALUE"""),43733.6666666666)</f>
        <v>43733.666666666599</v>
      </c>
      <c r="F443" s="6">
        <f ca="1">IFERROR(__xludf.DUMMYFUNCTION("""COMPUTED_VALUE"""),2984.87)</f>
        <v>2984.87</v>
      </c>
      <c r="J443" s="6" t="str">
        <f t="shared" ca="1" si="111"/>
        <v>20199</v>
      </c>
      <c r="K443" s="6">
        <f t="shared" ca="1" si="112"/>
        <v>2019</v>
      </c>
      <c r="L443" s="6">
        <f t="shared" ca="1" si="113"/>
        <v>9</v>
      </c>
      <c r="M443" s="68">
        <f ca="1">IFERROR(__xludf.DUMMYFUNCTION("""COMPUTED_VALUE"""),43733.6666666666)</f>
        <v>43733.666666666599</v>
      </c>
      <c r="N443" s="6">
        <f ca="1">IFERROR(__xludf.DUMMYFUNCTION("""COMPUTED_VALUE"""),8077.38)</f>
        <v>8077.38</v>
      </c>
      <c r="R443" s="6" t="str">
        <f t="shared" ca="1" si="114"/>
        <v>201910</v>
      </c>
      <c r="S443" s="6">
        <f t="shared" ca="1" si="115"/>
        <v>2019</v>
      </c>
      <c r="T443" s="6">
        <f t="shared" ca="1" si="116"/>
        <v>10</v>
      </c>
      <c r="U443" s="68">
        <f ca="1">IFERROR(__xludf.DUMMYFUNCTION("""COMPUTED_VALUE"""),43761.6458333333)</f>
        <v>43761.645833333299</v>
      </c>
      <c r="V443" s="6">
        <f ca="1">IFERROR(__xludf.DUMMYFUNCTION("""COMPUTED_VALUE"""),2080.62)</f>
        <v>2080.62</v>
      </c>
      <c r="Z443" s="6" t="str">
        <f t="shared" ca="1" si="117"/>
        <v>20194</v>
      </c>
      <c r="AA443" s="6">
        <f t="shared" ca="1" si="118"/>
        <v>2019</v>
      </c>
      <c r="AB443" s="6">
        <f t="shared" ca="1" si="119"/>
        <v>4</v>
      </c>
      <c r="AC443" s="68">
        <f ca="1">IFERROR(__xludf.DUMMYFUNCTION("""COMPUTED_VALUE"""),43560.9986111111)</f>
        <v>43560.998611111099</v>
      </c>
      <c r="AD443" s="6">
        <f ca="1">IFERROR(__xludf.DUMMYFUNCTION("""COMPUTED_VALUE"""),1137.33)</f>
        <v>1137.33</v>
      </c>
      <c r="AH443" s="6" t="str">
        <f t="shared" ca="1" si="120"/>
        <v>20193</v>
      </c>
      <c r="AI443" s="6">
        <f t="shared" ca="1" si="121"/>
        <v>2019</v>
      </c>
      <c r="AJ443" s="6">
        <f t="shared" ca="1" si="122"/>
        <v>3</v>
      </c>
      <c r="AK443" s="68">
        <f ca="1">IFERROR(__xludf.DUMMYFUNCTION("""COMPUTED_VALUE"""),43535.9986111111)</f>
        <v>43535.998611111099</v>
      </c>
      <c r="AL443" s="6">
        <f ca="1">IFERROR(__xludf.DUMMYFUNCTION("""COMPUTED_VALUE"""),3869.576)</f>
        <v>3869.576</v>
      </c>
      <c r="AP443" s="6" t="str">
        <f t="shared" ca="1" si="123"/>
        <v>201910</v>
      </c>
      <c r="AQ443" s="6">
        <f t="shared" ca="1" si="124"/>
        <v>2019</v>
      </c>
      <c r="AR443" s="6">
        <f t="shared" ca="1" si="125"/>
        <v>10</v>
      </c>
      <c r="AS443" s="68">
        <f ca="1">IFERROR(__xludf.DUMMYFUNCTION("""COMPUTED_VALUE"""),43745.9986111111)</f>
        <v>43745.998611111099</v>
      </c>
      <c r="AT443" s="6">
        <f ca="1">IFERROR(__xludf.DUMMYFUNCTION("""COMPUTED_VALUE"""),1504.4)</f>
        <v>1504.4</v>
      </c>
    </row>
    <row r="444" spans="2:46" x14ac:dyDescent="0.35">
      <c r="B444" s="6" t="str">
        <f t="shared" ca="1" si="108"/>
        <v>20199</v>
      </c>
      <c r="C444" s="6">
        <f t="shared" ca="1" si="109"/>
        <v>2019</v>
      </c>
      <c r="D444" s="6">
        <f t="shared" ca="1" si="110"/>
        <v>9</v>
      </c>
      <c r="E444" s="68">
        <f ca="1">IFERROR(__xludf.DUMMYFUNCTION("""COMPUTED_VALUE"""),43734.6666666666)</f>
        <v>43734.666666666599</v>
      </c>
      <c r="F444" s="6">
        <f ca="1">IFERROR(__xludf.DUMMYFUNCTION("""COMPUTED_VALUE"""),2977.62)</f>
        <v>2977.62</v>
      </c>
      <c r="J444" s="6" t="str">
        <f t="shared" ca="1" si="111"/>
        <v>20199</v>
      </c>
      <c r="K444" s="6">
        <f t="shared" ca="1" si="112"/>
        <v>2019</v>
      </c>
      <c r="L444" s="6">
        <f t="shared" ca="1" si="113"/>
        <v>9</v>
      </c>
      <c r="M444" s="68">
        <f ca="1">IFERROR(__xludf.DUMMYFUNCTION("""COMPUTED_VALUE"""),43734.6666666666)</f>
        <v>43734.666666666599</v>
      </c>
      <c r="N444" s="6">
        <f ca="1">IFERROR(__xludf.DUMMYFUNCTION("""COMPUTED_VALUE"""),8030.66)</f>
        <v>8030.66</v>
      </c>
      <c r="R444" s="6" t="str">
        <f t="shared" ca="1" si="114"/>
        <v>201910</v>
      </c>
      <c r="S444" s="6">
        <f t="shared" ca="1" si="115"/>
        <v>2019</v>
      </c>
      <c r="T444" s="6">
        <f t="shared" ca="1" si="116"/>
        <v>10</v>
      </c>
      <c r="U444" s="68">
        <f ca="1">IFERROR(__xludf.DUMMYFUNCTION("""COMPUTED_VALUE"""),43762.6458333333)</f>
        <v>43762.645833333299</v>
      </c>
      <c r="V444" s="6">
        <f ca="1">IFERROR(__xludf.DUMMYFUNCTION("""COMPUTED_VALUE"""),2085.66)</f>
        <v>2085.66</v>
      </c>
      <c r="Z444" s="6" t="str">
        <f t="shared" ca="1" si="117"/>
        <v>20194</v>
      </c>
      <c r="AA444" s="6">
        <f t="shared" ca="1" si="118"/>
        <v>2019</v>
      </c>
      <c r="AB444" s="6">
        <f t="shared" ca="1" si="119"/>
        <v>4</v>
      </c>
      <c r="AC444" s="68">
        <f ca="1">IFERROR(__xludf.DUMMYFUNCTION("""COMPUTED_VALUE"""),43562.9986111111)</f>
        <v>43562.998611111099</v>
      </c>
      <c r="AD444" s="6">
        <f ca="1">IFERROR(__xludf.DUMMYFUNCTION("""COMPUTED_VALUE"""),1136.69)</f>
        <v>1136.69</v>
      </c>
      <c r="AH444" s="6" t="str">
        <f t="shared" ca="1" si="120"/>
        <v>20193</v>
      </c>
      <c r="AI444" s="6">
        <f t="shared" ca="1" si="121"/>
        <v>2019</v>
      </c>
      <c r="AJ444" s="6">
        <f t="shared" ca="1" si="122"/>
        <v>3</v>
      </c>
      <c r="AK444" s="68">
        <f ca="1">IFERROR(__xludf.DUMMYFUNCTION("""COMPUTED_VALUE"""),43536.9986111111)</f>
        <v>43536.998611111099</v>
      </c>
      <c r="AL444" s="6">
        <f ca="1">IFERROR(__xludf.DUMMYFUNCTION("""COMPUTED_VALUE"""),3880.146)</f>
        <v>3880.1460000000002</v>
      </c>
      <c r="AP444" s="6" t="str">
        <f t="shared" ca="1" si="123"/>
        <v>201910</v>
      </c>
      <c r="AQ444" s="6">
        <f t="shared" ca="1" si="124"/>
        <v>2019</v>
      </c>
      <c r="AR444" s="6">
        <f t="shared" ca="1" si="125"/>
        <v>10</v>
      </c>
      <c r="AS444" s="68">
        <f ca="1">IFERROR(__xludf.DUMMYFUNCTION("""COMPUTED_VALUE"""),43746.9986111111)</f>
        <v>43746.998611111099</v>
      </c>
      <c r="AT444" s="6">
        <f ca="1">IFERROR(__xludf.DUMMYFUNCTION("""COMPUTED_VALUE"""),1503.9)</f>
        <v>1503.9</v>
      </c>
    </row>
    <row r="445" spans="2:46" x14ac:dyDescent="0.35">
      <c r="B445" s="6" t="str">
        <f t="shared" ca="1" si="108"/>
        <v>20199</v>
      </c>
      <c r="C445" s="6">
        <f t="shared" ca="1" si="109"/>
        <v>2019</v>
      </c>
      <c r="D445" s="6">
        <f t="shared" ca="1" si="110"/>
        <v>9</v>
      </c>
      <c r="E445" s="68">
        <f ca="1">IFERROR(__xludf.DUMMYFUNCTION("""COMPUTED_VALUE"""),43735.6666666666)</f>
        <v>43735.666666666599</v>
      </c>
      <c r="F445" s="6">
        <f ca="1">IFERROR(__xludf.DUMMYFUNCTION("""COMPUTED_VALUE"""),2961.79)</f>
        <v>2961.79</v>
      </c>
      <c r="J445" s="6" t="str">
        <f t="shared" ca="1" si="111"/>
        <v>20199</v>
      </c>
      <c r="K445" s="6">
        <f t="shared" ca="1" si="112"/>
        <v>2019</v>
      </c>
      <c r="L445" s="6">
        <f t="shared" ca="1" si="113"/>
        <v>9</v>
      </c>
      <c r="M445" s="68">
        <f ca="1">IFERROR(__xludf.DUMMYFUNCTION("""COMPUTED_VALUE"""),43735.6666666666)</f>
        <v>43735.666666666599</v>
      </c>
      <c r="N445" s="6">
        <f ca="1">IFERROR(__xludf.DUMMYFUNCTION("""COMPUTED_VALUE"""),7939.63)</f>
        <v>7939.63</v>
      </c>
      <c r="R445" s="6" t="str">
        <f t="shared" ca="1" si="114"/>
        <v>201910</v>
      </c>
      <c r="S445" s="6">
        <f t="shared" ca="1" si="115"/>
        <v>2019</v>
      </c>
      <c r="T445" s="6">
        <f t="shared" ca="1" si="116"/>
        <v>10</v>
      </c>
      <c r="U445" s="68">
        <f ca="1">IFERROR(__xludf.DUMMYFUNCTION("""COMPUTED_VALUE"""),43763.6458333333)</f>
        <v>43763.645833333299</v>
      </c>
      <c r="V445" s="6">
        <f ca="1">IFERROR(__xludf.DUMMYFUNCTION("""COMPUTED_VALUE"""),2087.89)</f>
        <v>2087.89</v>
      </c>
      <c r="Z445" s="6" t="str">
        <f t="shared" ca="1" si="117"/>
        <v>20194</v>
      </c>
      <c r="AA445" s="6">
        <f t="shared" ca="1" si="118"/>
        <v>2019</v>
      </c>
      <c r="AB445" s="6">
        <f t="shared" ca="1" si="119"/>
        <v>4</v>
      </c>
      <c r="AC445" s="68">
        <f ca="1">IFERROR(__xludf.DUMMYFUNCTION("""COMPUTED_VALUE"""),43563.9986111111)</f>
        <v>43563.998611111099</v>
      </c>
      <c r="AD445" s="6">
        <f ca="1">IFERROR(__xludf.DUMMYFUNCTION("""COMPUTED_VALUE"""),1141.11)</f>
        <v>1141.1099999999999</v>
      </c>
      <c r="AH445" s="6" t="str">
        <f t="shared" ca="1" si="120"/>
        <v>20193</v>
      </c>
      <c r="AI445" s="6">
        <f t="shared" ca="1" si="121"/>
        <v>2019</v>
      </c>
      <c r="AJ445" s="6">
        <f t="shared" ca="1" si="122"/>
        <v>3</v>
      </c>
      <c r="AK445" s="68">
        <f ca="1">IFERROR(__xludf.DUMMYFUNCTION("""COMPUTED_VALUE"""),43537.9986111111)</f>
        <v>43537.998611111099</v>
      </c>
      <c r="AL445" s="6">
        <f ca="1">IFERROR(__xludf.DUMMYFUNCTION("""COMPUTED_VALUE"""),3857.517)</f>
        <v>3857.5169999999998</v>
      </c>
      <c r="AP445" s="6" t="str">
        <f t="shared" ca="1" si="123"/>
        <v>201910</v>
      </c>
      <c r="AQ445" s="6">
        <f t="shared" ca="1" si="124"/>
        <v>2019</v>
      </c>
      <c r="AR445" s="6">
        <f t="shared" ca="1" si="125"/>
        <v>10</v>
      </c>
      <c r="AS445" s="68">
        <f ca="1">IFERROR(__xludf.DUMMYFUNCTION("""COMPUTED_VALUE"""),43747.9986111111)</f>
        <v>43747.998611111099</v>
      </c>
      <c r="AT445" s="6">
        <f ca="1">IFERROR(__xludf.DUMMYFUNCTION("""COMPUTED_VALUE"""),1512.8)</f>
        <v>1512.8</v>
      </c>
    </row>
    <row r="446" spans="2:46" x14ac:dyDescent="0.35">
      <c r="B446" s="6" t="str">
        <f t="shared" ca="1" si="108"/>
        <v>20199</v>
      </c>
      <c r="C446" s="6">
        <f t="shared" ca="1" si="109"/>
        <v>2019</v>
      </c>
      <c r="D446" s="6">
        <f t="shared" ca="1" si="110"/>
        <v>9</v>
      </c>
      <c r="E446" s="68">
        <f ca="1">IFERROR(__xludf.DUMMYFUNCTION("""COMPUTED_VALUE"""),43738.6666666666)</f>
        <v>43738.666666666599</v>
      </c>
      <c r="F446" s="6">
        <f ca="1">IFERROR(__xludf.DUMMYFUNCTION("""COMPUTED_VALUE"""),2976.74)</f>
        <v>2976.74</v>
      </c>
      <c r="J446" s="6" t="str">
        <f t="shared" ca="1" si="111"/>
        <v>20199</v>
      </c>
      <c r="K446" s="6">
        <f t="shared" ca="1" si="112"/>
        <v>2019</v>
      </c>
      <c r="L446" s="6">
        <f t="shared" ca="1" si="113"/>
        <v>9</v>
      </c>
      <c r="M446" s="68">
        <f ca="1">IFERROR(__xludf.DUMMYFUNCTION("""COMPUTED_VALUE"""),43738.6666666666)</f>
        <v>43738.666666666599</v>
      </c>
      <c r="N446" s="6">
        <f ca="1">IFERROR(__xludf.DUMMYFUNCTION("""COMPUTED_VALUE"""),7999.33)</f>
        <v>7999.33</v>
      </c>
      <c r="R446" s="6" t="str">
        <f t="shared" ca="1" si="114"/>
        <v>201910</v>
      </c>
      <c r="S446" s="6">
        <f t="shared" ca="1" si="115"/>
        <v>2019</v>
      </c>
      <c r="T446" s="6">
        <f t="shared" ca="1" si="116"/>
        <v>10</v>
      </c>
      <c r="U446" s="68">
        <f ca="1">IFERROR(__xludf.DUMMYFUNCTION("""COMPUTED_VALUE"""),43766.6458333333)</f>
        <v>43766.645833333299</v>
      </c>
      <c r="V446" s="6">
        <f ca="1">IFERROR(__xludf.DUMMYFUNCTION("""COMPUTED_VALUE"""),2093.6)</f>
        <v>2093.6</v>
      </c>
      <c r="Z446" s="6" t="str">
        <f t="shared" ca="1" si="117"/>
        <v>20194</v>
      </c>
      <c r="AA446" s="6">
        <f t="shared" ca="1" si="118"/>
        <v>2019</v>
      </c>
      <c r="AB446" s="6">
        <f t="shared" ca="1" si="119"/>
        <v>4</v>
      </c>
      <c r="AC446" s="68">
        <f ca="1">IFERROR(__xludf.DUMMYFUNCTION("""COMPUTED_VALUE"""),43564.9986111111)</f>
        <v>43564.998611111099</v>
      </c>
      <c r="AD446" s="6">
        <f ca="1">IFERROR(__xludf.DUMMYFUNCTION("""COMPUTED_VALUE"""),1140.1)</f>
        <v>1140.0999999999999</v>
      </c>
      <c r="AH446" s="6" t="str">
        <f t="shared" ca="1" si="120"/>
        <v>20193</v>
      </c>
      <c r="AI446" s="6">
        <f t="shared" ca="1" si="121"/>
        <v>2019</v>
      </c>
      <c r="AJ446" s="6">
        <f t="shared" ca="1" si="122"/>
        <v>3</v>
      </c>
      <c r="AK446" s="68">
        <f ca="1">IFERROR(__xludf.DUMMYFUNCTION("""COMPUTED_VALUE"""),43538.9986111111)</f>
        <v>43538.998611111099</v>
      </c>
      <c r="AL446" s="6">
        <f ca="1">IFERROR(__xludf.DUMMYFUNCTION("""COMPUTED_VALUE"""),3863.484)</f>
        <v>3863.4839999999999</v>
      </c>
      <c r="AP446" s="6" t="str">
        <f t="shared" ca="1" si="123"/>
        <v>201910</v>
      </c>
      <c r="AQ446" s="6">
        <f t="shared" ca="1" si="124"/>
        <v>2019</v>
      </c>
      <c r="AR446" s="6">
        <f t="shared" ca="1" si="125"/>
        <v>10</v>
      </c>
      <c r="AS446" s="68">
        <f ca="1">IFERROR(__xludf.DUMMYFUNCTION("""COMPUTED_VALUE"""),43748.9986111111)</f>
        <v>43748.998611111099</v>
      </c>
      <c r="AT446" s="6">
        <f ca="1">IFERROR(__xludf.DUMMYFUNCTION("""COMPUTED_VALUE"""),1500.9)</f>
        <v>1500.9</v>
      </c>
    </row>
    <row r="447" spans="2:46" x14ac:dyDescent="0.35">
      <c r="B447" s="6" t="str">
        <f t="shared" ca="1" si="108"/>
        <v>201910</v>
      </c>
      <c r="C447" s="6">
        <f t="shared" ca="1" si="109"/>
        <v>2019</v>
      </c>
      <c r="D447" s="6">
        <f t="shared" ca="1" si="110"/>
        <v>10</v>
      </c>
      <c r="E447" s="68">
        <f ca="1">IFERROR(__xludf.DUMMYFUNCTION("""COMPUTED_VALUE"""),43739.6666666666)</f>
        <v>43739.666666666599</v>
      </c>
      <c r="F447" s="6">
        <f ca="1">IFERROR(__xludf.DUMMYFUNCTION("""COMPUTED_VALUE"""),2940.25)</f>
        <v>2940.25</v>
      </c>
      <c r="J447" s="6" t="str">
        <f t="shared" ca="1" si="111"/>
        <v>201910</v>
      </c>
      <c r="K447" s="6">
        <f t="shared" ca="1" si="112"/>
        <v>2019</v>
      </c>
      <c r="L447" s="6">
        <f t="shared" ca="1" si="113"/>
        <v>10</v>
      </c>
      <c r="M447" s="68">
        <f ca="1">IFERROR(__xludf.DUMMYFUNCTION("""COMPUTED_VALUE"""),43739.6666666666)</f>
        <v>43739.666666666599</v>
      </c>
      <c r="N447" s="6">
        <f ca="1">IFERROR(__xludf.DUMMYFUNCTION("""COMPUTED_VALUE"""),7908.67)</f>
        <v>7908.67</v>
      </c>
      <c r="R447" s="6" t="str">
        <f t="shared" ca="1" si="114"/>
        <v>201910</v>
      </c>
      <c r="S447" s="6">
        <f t="shared" ca="1" si="115"/>
        <v>2019</v>
      </c>
      <c r="T447" s="6">
        <f t="shared" ca="1" si="116"/>
        <v>10</v>
      </c>
      <c r="U447" s="68">
        <f ca="1">IFERROR(__xludf.DUMMYFUNCTION("""COMPUTED_VALUE"""),43767.6458333333)</f>
        <v>43767.645833333299</v>
      </c>
      <c r="V447" s="6">
        <f ca="1">IFERROR(__xludf.DUMMYFUNCTION("""COMPUTED_VALUE"""),2092.69)</f>
        <v>2092.69</v>
      </c>
      <c r="Z447" s="6" t="str">
        <f t="shared" ca="1" si="117"/>
        <v>20194</v>
      </c>
      <c r="AA447" s="6">
        <f t="shared" ca="1" si="118"/>
        <v>2019</v>
      </c>
      <c r="AB447" s="6">
        <f t="shared" ca="1" si="119"/>
        <v>4</v>
      </c>
      <c r="AC447" s="68">
        <f ca="1">IFERROR(__xludf.DUMMYFUNCTION("""COMPUTED_VALUE"""),43565.9986111111)</f>
        <v>43565.998611111099</v>
      </c>
      <c r="AD447" s="6">
        <f ca="1">IFERROR(__xludf.DUMMYFUNCTION("""COMPUTED_VALUE"""),1135.9)</f>
        <v>1135.9000000000001</v>
      </c>
      <c r="AH447" s="6" t="str">
        <f t="shared" ca="1" si="120"/>
        <v>20193</v>
      </c>
      <c r="AI447" s="6">
        <f t="shared" ca="1" si="121"/>
        <v>2019</v>
      </c>
      <c r="AJ447" s="6">
        <f t="shared" ca="1" si="122"/>
        <v>3</v>
      </c>
      <c r="AK447" s="68">
        <f ca="1">IFERROR(__xludf.DUMMYFUNCTION("""COMPUTED_VALUE"""),43539.9986111111)</f>
        <v>43539.998611111099</v>
      </c>
      <c r="AL447" s="6">
        <f ca="1">IFERROR(__xludf.DUMMYFUNCTION("""COMPUTED_VALUE"""),3907.974)</f>
        <v>3907.9740000000002</v>
      </c>
      <c r="AP447" s="6" t="str">
        <f t="shared" ca="1" si="123"/>
        <v>201910</v>
      </c>
      <c r="AQ447" s="6">
        <f t="shared" ca="1" si="124"/>
        <v>2019</v>
      </c>
      <c r="AR447" s="6">
        <f t="shared" ca="1" si="125"/>
        <v>10</v>
      </c>
      <c r="AS447" s="68">
        <f ca="1">IFERROR(__xludf.DUMMYFUNCTION("""COMPUTED_VALUE"""),43749.9986111111)</f>
        <v>43749.998611111099</v>
      </c>
      <c r="AT447" s="6">
        <f ca="1">IFERROR(__xludf.DUMMYFUNCTION("""COMPUTED_VALUE"""),1488.7)</f>
        <v>1488.7</v>
      </c>
    </row>
    <row r="448" spans="2:46" x14ac:dyDescent="0.35">
      <c r="B448" s="6" t="str">
        <f t="shared" ca="1" si="108"/>
        <v>201910</v>
      </c>
      <c r="C448" s="6">
        <f t="shared" ca="1" si="109"/>
        <v>2019</v>
      </c>
      <c r="D448" s="6">
        <f t="shared" ca="1" si="110"/>
        <v>10</v>
      </c>
      <c r="E448" s="68">
        <f ca="1">IFERROR(__xludf.DUMMYFUNCTION("""COMPUTED_VALUE"""),43740.6666666666)</f>
        <v>43740.666666666599</v>
      </c>
      <c r="F448" s="6">
        <f ca="1">IFERROR(__xludf.DUMMYFUNCTION("""COMPUTED_VALUE"""),2887.61)</f>
        <v>2887.61</v>
      </c>
      <c r="J448" s="6" t="str">
        <f t="shared" ca="1" si="111"/>
        <v>201910</v>
      </c>
      <c r="K448" s="6">
        <f t="shared" ca="1" si="112"/>
        <v>2019</v>
      </c>
      <c r="L448" s="6">
        <f t="shared" ca="1" si="113"/>
        <v>10</v>
      </c>
      <c r="M448" s="68">
        <f ca="1">IFERROR(__xludf.DUMMYFUNCTION("""COMPUTED_VALUE"""),43740.6666666666)</f>
        <v>43740.666666666599</v>
      </c>
      <c r="N448" s="6">
        <f ca="1">IFERROR(__xludf.DUMMYFUNCTION("""COMPUTED_VALUE"""),7785.23)</f>
        <v>7785.23</v>
      </c>
      <c r="R448" s="6" t="str">
        <f t="shared" ca="1" si="114"/>
        <v>201910</v>
      </c>
      <c r="S448" s="6">
        <f t="shared" ca="1" si="115"/>
        <v>2019</v>
      </c>
      <c r="T448" s="6">
        <f t="shared" ca="1" si="116"/>
        <v>10</v>
      </c>
      <c r="U448" s="68">
        <f ca="1">IFERROR(__xludf.DUMMYFUNCTION("""COMPUTED_VALUE"""),43768.6458333333)</f>
        <v>43768.645833333299</v>
      </c>
      <c r="V448" s="6">
        <f ca="1">IFERROR(__xludf.DUMMYFUNCTION("""COMPUTED_VALUE"""),2080.27)</f>
        <v>2080.27</v>
      </c>
      <c r="Z448" s="6" t="str">
        <f t="shared" ca="1" si="117"/>
        <v>20194</v>
      </c>
      <c r="AA448" s="6">
        <f t="shared" ca="1" si="118"/>
        <v>2019</v>
      </c>
      <c r="AB448" s="6">
        <f t="shared" ca="1" si="119"/>
        <v>4</v>
      </c>
      <c r="AC448" s="68">
        <f ca="1">IFERROR(__xludf.DUMMYFUNCTION("""COMPUTED_VALUE"""),43566.9986111111)</f>
        <v>43566.998611111099</v>
      </c>
      <c r="AD448" s="6">
        <f ca="1">IFERROR(__xludf.DUMMYFUNCTION("""COMPUTED_VALUE"""),1140.99)</f>
        <v>1140.99</v>
      </c>
      <c r="AH448" s="6" t="str">
        <f t="shared" ca="1" si="120"/>
        <v>20193</v>
      </c>
      <c r="AI448" s="6">
        <f t="shared" ca="1" si="121"/>
        <v>2019</v>
      </c>
      <c r="AJ448" s="6">
        <f t="shared" ca="1" si="122"/>
        <v>3</v>
      </c>
      <c r="AK448" s="68">
        <f ca="1">IFERROR(__xludf.DUMMYFUNCTION("""COMPUTED_VALUE"""),43540.9986111111)</f>
        <v>43540.998611111099</v>
      </c>
      <c r="AL448" s="6">
        <f ca="1">IFERROR(__xludf.DUMMYFUNCTION("""COMPUTED_VALUE"""),4011.145)</f>
        <v>4011.145</v>
      </c>
      <c r="AP448" s="6" t="str">
        <f t="shared" ca="1" si="123"/>
        <v>201910</v>
      </c>
      <c r="AQ448" s="6">
        <f t="shared" ca="1" si="124"/>
        <v>2019</v>
      </c>
      <c r="AR448" s="6">
        <f t="shared" ca="1" si="125"/>
        <v>10</v>
      </c>
      <c r="AS448" s="68">
        <f ca="1">IFERROR(__xludf.DUMMYFUNCTION("""COMPUTED_VALUE"""),43752.9986111111)</f>
        <v>43752.998611111099</v>
      </c>
      <c r="AT448" s="6">
        <f ca="1">IFERROR(__xludf.DUMMYFUNCTION("""COMPUTED_VALUE"""),1497.6)</f>
        <v>1497.6</v>
      </c>
    </row>
    <row r="449" spans="2:46" x14ac:dyDescent="0.35">
      <c r="B449" s="6" t="str">
        <f t="shared" ca="1" si="108"/>
        <v>201910</v>
      </c>
      <c r="C449" s="6">
        <f t="shared" ca="1" si="109"/>
        <v>2019</v>
      </c>
      <c r="D449" s="6">
        <f t="shared" ca="1" si="110"/>
        <v>10</v>
      </c>
      <c r="E449" s="68">
        <f ca="1">IFERROR(__xludf.DUMMYFUNCTION("""COMPUTED_VALUE"""),43741.6666666666)</f>
        <v>43741.666666666599</v>
      </c>
      <c r="F449" s="6">
        <f ca="1">IFERROR(__xludf.DUMMYFUNCTION("""COMPUTED_VALUE"""),2910.63)</f>
        <v>2910.63</v>
      </c>
      <c r="J449" s="6" t="str">
        <f t="shared" ca="1" si="111"/>
        <v>201910</v>
      </c>
      <c r="K449" s="6">
        <f t="shared" ca="1" si="112"/>
        <v>2019</v>
      </c>
      <c r="L449" s="6">
        <f t="shared" ca="1" si="113"/>
        <v>10</v>
      </c>
      <c r="M449" s="68">
        <f ca="1">IFERROR(__xludf.DUMMYFUNCTION("""COMPUTED_VALUE"""),43741.6666666666)</f>
        <v>43741.666666666599</v>
      </c>
      <c r="N449" s="6">
        <f ca="1">IFERROR(__xludf.DUMMYFUNCTION("""COMPUTED_VALUE"""),7872.25)</f>
        <v>7872.25</v>
      </c>
      <c r="R449" s="6" t="str">
        <f t="shared" ca="1" si="114"/>
        <v>201910</v>
      </c>
      <c r="S449" s="6">
        <f t="shared" ca="1" si="115"/>
        <v>2019</v>
      </c>
      <c r="T449" s="6">
        <f t="shared" ca="1" si="116"/>
        <v>10</v>
      </c>
      <c r="U449" s="68">
        <f ca="1">IFERROR(__xludf.DUMMYFUNCTION("""COMPUTED_VALUE"""),43769.6458333333)</f>
        <v>43769.645833333299</v>
      </c>
      <c r="V449" s="6">
        <f ca="1">IFERROR(__xludf.DUMMYFUNCTION("""COMPUTED_VALUE"""),2083.48)</f>
        <v>2083.48</v>
      </c>
      <c r="Z449" s="6" t="str">
        <f t="shared" ca="1" si="117"/>
        <v>20194</v>
      </c>
      <c r="AA449" s="6">
        <f t="shared" ca="1" si="118"/>
        <v>2019</v>
      </c>
      <c r="AB449" s="6">
        <f t="shared" ca="1" si="119"/>
        <v>4</v>
      </c>
      <c r="AC449" s="68">
        <f ca="1">IFERROR(__xludf.DUMMYFUNCTION("""COMPUTED_VALUE"""),43567.9986111111)</f>
        <v>43567.998611111099</v>
      </c>
      <c r="AD449" s="6">
        <f ca="1">IFERROR(__xludf.DUMMYFUNCTION("""COMPUTED_VALUE"""),1134.62)</f>
        <v>1134.6199999999999</v>
      </c>
      <c r="AH449" s="6" t="str">
        <f t="shared" ca="1" si="120"/>
        <v>20193</v>
      </c>
      <c r="AI449" s="6">
        <f t="shared" ca="1" si="121"/>
        <v>2019</v>
      </c>
      <c r="AJ449" s="6">
        <f t="shared" ca="1" si="122"/>
        <v>3</v>
      </c>
      <c r="AK449" s="68">
        <f ca="1">IFERROR(__xludf.DUMMYFUNCTION("""COMPUTED_VALUE"""),43541.9986111111)</f>
        <v>43541.998611111099</v>
      </c>
      <c r="AL449" s="6">
        <f ca="1">IFERROR(__xludf.DUMMYFUNCTION("""COMPUTED_VALUE"""),3982.854)</f>
        <v>3982.8539999999998</v>
      </c>
      <c r="AP449" s="6" t="str">
        <f t="shared" ca="1" si="123"/>
        <v>201910</v>
      </c>
      <c r="AQ449" s="6">
        <f t="shared" ca="1" si="124"/>
        <v>2019</v>
      </c>
      <c r="AR449" s="6">
        <f t="shared" ca="1" si="125"/>
        <v>10</v>
      </c>
      <c r="AS449" s="68">
        <f ca="1">IFERROR(__xludf.DUMMYFUNCTION("""COMPUTED_VALUE"""),43753.9986111111)</f>
        <v>43753.998611111099</v>
      </c>
      <c r="AT449" s="6">
        <f ca="1">IFERROR(__xludf.DUMMYFUNCTION("""COMPUTED_VALUE"""),1483.5)</f>
        <v>1483.5</v>
      </c>
    </row>
    <row r="450" spans="2:46" x14ac:dyDescent="0.35">
      <c r="B450" s="6" t="str">
        <f t="shared" ca="1" si="108"/>
        <v>201910</v>
      </c>
      <c r="C450" s="6">
        <f t="shared" ca="1" si="109"/>
        <v>2019</v>
      </c>
      <c r="D450" s="6">
        <f t="shared" ca="1" si="110"/>
        <v>10</v>
      </c>
      <c r="E450" s="68">
        <f ca="1">IFERROR(__xludf.DUMMYFUNCTION("""COMPUTED_VALUE"""),43742.6666666666)</f>
        <v>43742.666666666599</v>
      </c>
      <c r="F450" s="6">
        <f ca="1">IFERROR(__xludf.DUMMYFUNCTION("""COMPUTED_VALUE"""),2952.01)</f>
        <v>2952.01</v>
      </c>
      <c r="J450" s="6" t="str">
        <f t="shared" ca="1" si="111"/>
        <v>201910</v>
      </c>
      <c r="K450" s="6">
        <f t="shared" ca="1" si="112"/>
        <v>2019</v>
      </c>
      <c r="L450" s="6">
        <f t="shared" ca="1" si="113"/>
        <v>10</v>
      </c>
      <c r="M450" s="68">
        <f ca="1">IFERROR(__xludf.DUMMYFUNCTION("""COMPUTED_VALUE"""),43742.6666666666)</f>
        <v>43742.666666666599</v>
      </c>
      <c r="N450" s="6">
        <f ca="1">IFERROR(__xludf.DUMMYFUNCTION("""COMPUTED_VALUE"""),7982.46)</f>
        <v>7982.46</v>
      </c>
      <c r="R450" s="6" t="str">
        <f t="shared" ca="1" si="114"/>
        <v>201911</v>
      </c>
      <c r="S450" s="6">
        <f t="shared" ca="1" si="115"/>
        <v>2019</v>
      </c>
      <c r="T450" s="6">
        <f t="shared" ca="1" si="116"/>
        <v>11</v>
      </c>
      <c r="U450" s="68">
        <f ca="1">IFERROR(__xludf.DUMMYFUNCTION("""COMPUTED_VALUE"""),43770.6458333333)</f>
        <v>43770.645833333299</v>
      </c>
      <c r="V450" s="6">
        <f ca="1">IFERROR(__xludf.DUMMYFUNCTION("""COMPUTED_VALUE"""),2100.2)</f>
        <v>2100.1999999999998</v>
      </c>
      <c r="Z450" s="6" t="str">
        <f t="shared" ca="1" si="117"/>
        <v>20194</v>
      </c>
      <c r="AA450" s="6">
        <f t="shared" ca="1" si="118"/>
        <v>2019</v>
      </c>
      <c r="AB450" s="6">
        <f t="shared" ca="1" si="119"/>
        <v>4</v>
      </c>
      <c r="AC450" s="68">
        <f ca="1">IFERROR(__xludf.DUMMYFUNCTION("""COMPUTED_VALUE"""),43568.9986111111)</f>
        <v>43568.998611111099</v>
      </c>
      <c r="AD450" s="6">
        <f ca="1">IFERROR(__xludf.DUMMYFUNCTION("""COMPUTED_VALUE"""),1132.7)</f>
        <v>1132.7</v>
      </c>
      <c r="AH450" s="6" t="str">
        <f t="shared" ca="1" si="120"/>
        <v>20193</v>
      </c>
      <c r="AI450" s="6">
        <f t="shared" ca="1" si="121"/>
        <v>2019</v>
      </c>
      <c r="AJ450" s="6">
        <f t="shared" ca="1" si="122"/>
        <v>3</v>
      </c>
      <c r="AK450" s="68">
        <f ca="1">IFERROR(__xludf.DUMMYFUNCTION("""COMPUTED_VALUE"""),43542.9986111111)</f>
        <v>43542.998611111099</v>
      </c>
      <c r="AL450" s="6">
        <f ca="1">IFERROR(__xludf.DUMMYFUNCTION("""COMPUTED_VALUE"""),3972.293)</f>
        <v>3972.2930000000001</v>
      </c>
      <c r="AP450" s="6" t="str">
        <f t="shared" ca="1" si="123"/>
        <v>201910</v>
      </c>
      <c r="AQ450" s="6">
        <f t="shared" ca="1" si="124"/>
        <v>2019</v>
      </c>
      <c r="AR450" s="6">
        <f t="shared" ca="1" si="125"/>
        <v>10</v>
      </c>
      <c r="AS450" s="68">
        <f ca="1">IFERROR(__xludf.DUMMYFUNCTION("""COMPUTED_VALUE"""),43754.9986111111)</f>
        <v>43754.998611111099</v>
      </c>
      <c r="AT450" s="6">
        <f ca="1">IFERROR(__xludf.DUMMYFUNCTION("""COMPUTED_VALUE"""),1494)</f>
        <v>1494</v>
      </c>
    </row>
    <row r="451" spans="2:46" x14ac:dyDescent="0.35">
      <c r="B451" s="6" t="str">
        <f t="shared" ca="1" si="108"/>
        <v>201910</v>
      </c>
      <c r="C451" s="6">
        <f t="shared" ca="1" si="109"/>
        <v>2019</v>
      </c>
      <c r="D451" s="6">
        <f t="shared" ca="1" si="110"/>
        <v>10</v>
      </c>
      <c r="E451" s="68">
        <f ca="1">IFERROR(__xludf.DUMMYFUNCTION("""COMPUTED_VALUE"""),43745.6666666666)</f>
        <v>43745.666666666599</v>
      </c>
      <c r="F451" s="6">
        <f ca="1">IFERROR(__xludf.DUMMYFUNCTION("""COMPUTED_VALUE"""),2938.79)</f>
        <v>2938.79</v>
      </c>
      <c r="J451" s="6" t="str">
        <f t="shared" ca="1" si="111"/>
        <v>201910</v>
      </c>
      <c r="K451" s="6">
        <f t="shared" ca="1" si="112"/>
        <v>2019</v>
      </c>
      <c r="L451" s="6">
        <f t="shared" ca="1" si="113"/>
        <v>10</v>
      </c>
      <c r="M451" s="68">
        <f ca="1">IFERROR(__xludf.DUMMYFUNCTION("""COMPUTED_VALUE"""),43745.6666666666)</f>
        <v>43745.666666666599</v>
      </c>
      <c r="N451" s="6">
        <f ca="1">IFERROR(__xludf.DUMMYFUNCTION("""COMPUTED_VALUE"""),7956.28)</f>
        <v>7956.28</v>
      </c>
      <c r="R451" s="6" t="str">
        <f t="shared" ca="1" si="114"/>
        <v>201911</v>
      </c>
      <c r="S451" s="6">
        <f t="shared" ca="1" si="115"/>
        <v>2019</v>
      </c>
      <c r="T451" s="6">
        <f t="shared" ca="1" si="116"/>
        <v>11</v>
      </c>
      <c r="U451" s="68">
        <f ca="1">IFERROR(__xludf.DUMMYFUNCTION("""COMPUTED_VALUE"""),43773.6458333333)</f>
        <v>43773.645833333299</v>
      </c>
      <c r="V451" s="6">
        <f ca="1">IFERROR(__xludf.DUMMYFUNCTION("""COMPUTED_VALUE"""),2130.24)</f>
        <v>2130.2399999999998</v>
      </c>
      <c r="Z451" s="6" t="str">
        <f t="shared" ca="1" si="117"/>
        <v>20194</v>
      </c>
      <c r="AA451" s="6">
        <f t="shared" ca="1" si="118"/>
        <v>2019</v>
      </c>
      <c r="AB451" s="6">
        <f t="shared" ca="1" si="119"/>
        <v>4</v>
      </c>
      <c r="AC451" s="68">
        <f ca="1">IFERROR(__xludf.DUMMYFUNCTION("""COMPUTED_VALUE"""),43569.9986111111)</f>
        <v>43569.998611111099</v>
      </c>
      <c r="AD451" s="6">
        <f ca="1">IFERROR(__xludf.DUMMYFUNCTION("""COMPUTED_VALUE"""),1133.43)</f>
        <v>1133.43</v>
      </c>
      <c r="AH451" s="6" t="str">
        <f t="shared" ca="1" si="120"/>
        <v>20193</v>
      </c>
      <c r="AI451" s="6">
        <f t="shared" ca="1" si="121"/>
        <v>2019</v>
      </c>
      <c r="AJ451" s="6">
        <f t="shared" ca="1" si="122"/>
        <v>3</v>
      </c>
      <c r="AK451" s="68">
        <f ca="1">IFERROR(__xludf.DUMMYFUNCTION("""COMPUTED_VALUE"""),43543.9986111111)</f>
        <v>43543.998611111099</v>
      </c>
      <c r="AL451" s="6">
        <f ca="1">IFERROR(__xludf.DUMMYFUNCTION("""COMPUTED_VALUE"""),4013.002)</f>
        <v>4013.002</v>
      </c>
      <c r="AP451" s="6" t="str">
        <f t="shared" ca="1" si="123"/>
        <v>201910</v>
      </c>
      <c r="AQ451" s="6">
        <f t="shared" ca="1" si="124"/>
        <v>2019</v>
      </c>
      <c r="AR451" s="6">
        <f t="shared" ca="1" si="125"/>
        <v>10</v>
      </c>
      <c r="AS451" s="68">
        <f ca="1">IFERROR(__xludf.DUMMYFUNCTION("""COMPUTED_VALUE"""),43755.9986111111)</f>
        <v>43755.998611111099</v>
      </c>
      <c r="AT451" s="6">
        <f ca="1">IFERROR(__xludf.DUMMYFUNCTION("""COMPUTED_VALUE"""),1498.3)</f>
        <v>1498.3</v>
      </c>
    </row>
    <row r="452" spans="2:46" x14ac:dyDescent="0.35">
      <c r="B452" s="6" t="str">
        <f t="shared" ca="1" si="108"/>
        <v>201910</v>
      </c>
      <c r="C452" s="6">
        <f t="shared" ca="1" si="109"/>
        <v>2019</v>
      </c>
      <c r="D452" s="6">
        <f t="shared" ca="1" si="110"/>
        <v>10</v>
      </c>
      <c r="E452" s="68">
        <f ca="1">IFERROR(__xludf.DUMMYFUNCTION("""COMPUTED_VALUE"""),43746.6666666666)</f>
        <v>43746.666666666599</v>
      </c>
      <c r="F452" s="6">
        <f ca="1">IFERROR(__xludf.DUMMYFUNCTION("""COMPUTED_VALUE"""),2893.06)</f>
        <v>2893.06</v>
      </c>
      <c r="J452" s="6" t="str">
        <f t="shared" ca="1" si="111"/>
        <v>201910</v>
      </c>
      <c r="K452" s="6">
        <f t="shared" ca="1" si="112"/>
        <v>2019</v>
      </c>
      <c r="L452" s="6">
        <f t="shared" ca="1" si="113"/>
        <v>10</v>
      </c>
      <c r="M452" s="68">
        <f ca="1">IFERROR(__xludf.DUMMYFUNCTION("""COMPUTED_VALUE"""),43746.6666666666)</f>
        <v>43746.666666666599</v>
      </c>
      <c r="N452" s="6">
        <f ca="1">IFERROR(__xludf.DUMMYFUNCTION("""COMPUTED_VALUE"""),7823.76)</f>
        <v>7823.76</v>
      </c>
      <c r="R452" s="6" t="str">
        <f t="shared" ca="1" si="114"/>
        <v>201911</v>
      </c>
      <c r="S452" s="6">
        <f t="shared" ca="1" si="115"/>
        <v>2019</v>
      </c>
      <c r="T452" s="6">
        <f t="shared" ca="1" si="116"/>
        <v>11</v>
      </c>
      <c r="U452" s="68">
        <f ca="1">IFERROR(__xludf.DUMMYFUNCTION("""COMPUTED_VALUE"""),43774.6458333333)</f>
        <v>43774.645833333299</v>
      </c>
      <c r="V452" s="6">
        <f ca="1">IFERROR(__xludf.DUMMYFUNCTION("""COMPUTED_VALUE"""),2142.64)</f>
        <v>2142.64</v>
      </c>
      <c r="Z452" s="6" t="str">
        <f t="shared" ca="1" si="117"/>
        <v>20194</v>
      </c>
      <c r="AA452" s="6">
        <f t="shared" ca="1" si="118"/>
        <v>2019</v>
      </c>
      <c r="AB452" s="6">
        <f t="shared" ca="1" si="119"/>
        <v>4</v>
      </c>
      <c r="AC452" s="68">
        <f ca="1">IFERROR(__xludf.DUMMYFUNCTION("""COMPUTED_VALUE"""),43570.9986111111)</f>
        <v>43570.998611111099</v>
      </c>
      <c r="AD452" s="6">
        <f ca="1">IFERROR(__xludf.DUMMYFUNCTION("""COMPUTED_VALUE"""),1133.2)</f>
        <v>1133.2</v>
      </c>
      <c r="AH452" s="6" t="str">
        <f t="shared" ca="1" si="120"/>
        <v>20193</v>
      </c>
      <c r="AI452" s="6">
        <f t="shared" ca="1" si="121"/>
        <v>2019</v>
      </c>
      <c r="AJ452" s="6">
        <f t="shared" ca="1" si="122"/>
        <v>3</v>
      </c>
      <c r="AK452" s="68">
        <f ca="1">IFERROR(__xludf.DUMMYFUNCTION("""COMPUTED_VALUE"""),43544.9986111111)</f>
        <v>43544.998611111099</v>
      </c>
      <c r="AL452" s="6">
        <f ca="1">IFERROR(__xludf.DUMMYFUNCTION("""COMPUTED_VALUE"""),4045.087)</f>
        <v>4045.087</v>
      </c>
      <c r="AP452" s="6" t="str">
        <f t="shared" ca="1" si="123"/>
        <v>201910</v>
      </c>
      <c r="AQ452" s="6">
        <f t="shared" ca="1" si="124"/>
        <v>2019</v>
      </c>
      <c r="AR452" s="6">
        <f t="shared" ca="1" si="125"/>
        <v>10</v>
      </c>
      <c r="AS452" s="68">
        <f ca="1">IFERROR(__xludf.DUMMYFUNCTION("""COMPUTED_VALUE"""),43756.9986111111)</f>
        <v>43756.998611111099</v>
      </c>
      <c r="AT452" s="6">
        <f ca="1">IFERROR(__xludf.DUMMYFUNCTION("""COMPUTED_VALUE"""),1494.1)</f>
        <v>1494.1</v>
      </c>
    </row>
    <row r="453" spans="2:46" x14ac:dyDescent="0.35">
      <c r="B453" s="6" t="str">
        <f t="shared" ca="1" si="108"/>
        <v>201910</v>
      </c>
      <c r="C453" s="6">
        <f t="shared" ca="1" si="109"/>
        <v>2019</v>
      </c>
      <c r="D453" s="6">
        <f t="shared" ca="1" si="110"/>
        <v>10</v>
      </c>
      <c r="E453" s="68">
        <f ca="1">IFERROR(__xludf.DUMMYFUNCTION("""COMPUTED_VALUE"""),43747.6666666666)</f>
        <v>43747.666666666599</v>
      </c>
      <c r="F453" s="6">
        <f ca="1">IFERROR(__xludf.DUMMYFUNCTION("""COMPUTED_VALUE"""),2919.4)</f>
        <v>2919.4</v>
      </c>
      <c r="J453" s="6" t="str">
        <f t="shared" ca="1" si="111"/>
        <v>201910</v>
      </c>
      <c r="K453" s="6">
        <f t="shared" ca="1" si="112"/>
        <v>2019</v>
      </c>
      <c r="L453" s="6">
        <f t="shared" ca="1" si="113"/>
        <v>10</v>
      </c>
      <c r="M453" s="68">
        <f ca="1">IFERROR(__xludf.DUMMYFUNCTION("""COMPUTED_VALUE"""),43747.6666666666)</f>
        <v>43747.666666666599</v>
      </c>
      <c r="N453" s="6">
        <f ca="1">IFERROR(__xludf.DUMMYFUNCTION("""COMPUTED_VALUE"""),7903.73)</f>
        <v>7903.73</v>
      </c>
      <c r="R453" s="6" t="str">
        <f t="shared" ca="1" si="114"/>
        <v>201911</v>
      </c>
      <c r="S453" s="6">
        <f t="shared" ca="1" si="115"/>
        <v>2019</v>
      </c>
      <c r="T453" s="6">
        <f t="shared" ca="1" si="116"/>
        <v>11</v>
      </c>
      <c r="U453" s="68">
        <f ca="1">IFERROR(__xludf.DUMMYFUNCTION("""COMPUTED_VALUE"""),43775.6458333333)</f>
        <v>43775.645833333299</v>
      </c>
      <c r="V453" s="6">
        <f ca="1">IFERROR(__xludf.DUMMYFUNCTION("""COMPUTED_VALUE"""),2144.15)</f>
        <v>2144.15</v>
      </c>
      <c r="Z453" s="6" t="str">
        <f t="shared" ca="1" si="117"/>
        <v>20194</v>
      </c>
      <c r="AA453" s="6">
        <f t="shared" ca="1" si="118"/>
        <v>2019</v>
      </c>
      <c r="AB453" s="6">
        <f t="shared" ca="1" si="119"/>
        <v>4</v>
      </c>
      <c r="AC453" s="68">
        <f ca="1">IFERROR(__xludf.DUMMYFUNCTION("""COMPUTED_VALUE"""),43571.9986111111)</f>
        <v>43571.998611111099</v>
      </c>
      <c r="AD453" s="6">
        <f ca="1">IFERROR(__xludf.DUMMYFUNCTION("""COMPUTED_VALUE"""),1135.7)</f>
        <v>1135.7</v>
      </c>
      <c r="AH453" s="6" t="str">
        <f t="shared" ca="1" si="120"/>
        <v>20193</v>
      </c>
      <c r="AI453" s="6">
        <f t="shared" ca="1" si="121"/>
        <v>2019</v>
      </c>
      <c r="AJ453" s="6">
        <f t="shared" ca="1" si="122"/>
        <v>3</v>
      </c>
      <c r="AK453" s="68">
        <f ca="1">IFERROR(__xludf.DUMMYFUNCTION("""COMPUTED_VALUE"""),43545.9986111111)</f>
        <v>43545.998611111099</v>
      </c>
      <c r="AL453" s="6">
        <f ca="1">IFERROR(__xludf.DUMMYFUNCTION("""COMPUTED_VALUE"""),3979.77)</f>
        <v>3979.77</v>
      </c>
      <c r="AP453" s="6" t="str">
        <f t="shared" ca="1" si="123"/>
        <v>201910</v>
      </c>
      <c r="AQ453" s="6">
        <f t="shared" ca="1" si="124"/>
        <v>2019</v>
      </c>
      <c r="AR453" s="6">
        <f t="shared" ca="1" si="125"/>
        <v>10</v>
      </c>
      <c r="AS453" s="68">
        <f ca="1">IFERROR(__xludf.DUMMYFUNCTION("""COMPUTED_VALUE"""),43759.9986111111)</f>
        <v>43759.998611111099</v>
      </c>
      <c r="AT453" s="6">
        <f ca="1">IFERROR(__xludf.DUMMYFUNCTION("""COMPUTED_VALUE"""),1488.1)</f>
        <v>1488.1</v>
      </c>
    </row>
    <row r="454" spans="2:46" x14ac:dyDescent="0.35">
      <c r="B454" s="6" t="str">
        <f t="shared" ca="1" si="108"/>
        <v>201910</v>
      </c>
      <c r="C454" s="6">
        <f t="shared" ca="1" si="109"/>
        <v>2019</v>
      </c>
      <c r="D454" s="6">
        <f t="shared" ca="1" si="110"/>
        <v>10</v>
      </c>
      <c r="E454" s="68">
        <f ca="1">IFERROR(__xludf.DUMMYFUNCTION("""COMPUTED_VALUE"""),43748.6666666666)</f>
        <v>43748.666666666599</v>
      </c>
      <c r="F454" s="6">
        <f ca="1">IFERROR(__xludf.DUMMYFUNCTION("""COMPUTED_VALUE"""),2938.13)</f>
        <v>2938.13</v>
      </c>
      <c r="J454" s="6" t="str">
        <f t="shared" ca="1" si="111"/>
        <v>201910</v>
      </c>
      <c r="K454" s="6">
        <f t="shared" ca="1" si="112"/>
        <v>2019</v>
      </c>
      <c r="L454" s="6">
        <f t="shared" ca="1" si="113"/>
        <v>10</v>
      </c>
      <c r="M454" s="68">
        <f ca="1">IFERROR(__xludf.DUMMYFUNCTION("""COMPUTED_VALUE"""),43748.6666666666)</f>
        <v>43748.666666666599</v>
      </c>
      <c r="N454" s="6">
        <f ca="1">IFERROR(__xludf.DUMMYFUNCTION("""COMPUTED_VALUE"""),7950.77)</f>
        <v>7950.77</v>
      </c>
      <c r="R454" s="6" t="str">
        <f t="shared" ca="1" si="114"/>
        <v>201911</v>
      </c>
      <c r="S454" s="6">
        <f t="shared" ca="1" si="115"/>
        <v>2019</v>
      </c>
      <c r="T454" s="6">
        <f t="shared" ca="1" si="116"/>
        <v>11</v>
      </c>
      <c r="U454" s="68">
        <f ca="1">IFERROR(__xludf.DUMMYFUNCTION("""COMPUTED_VALUE"""),43776.6458333333)</f>
        <v>43776.645833333299</v>
      </c>
      <c r="V454" s="6">
        <f ca="1">IFERROR(__xludf.DUMMYFUNCTION("""COMPUTED_VALUE"""),2144.29)</f>
        <v>2144.29</v>
      </c>
      <c r="Z454" s="6" t="str">
        <f t="shared" ca="1" si="117"/>
        <v>20194</v>
      </c>
      <c r="AA454" s="6">
        <f t="shared" ca="1" si="118"/>
        <v>2019</v>
      </c>
      <c r="AB454" s="6">
        <f t="shared" ca="1" si="119"/>
        <v>4</v>
      </c>
      <c r="AC454" s="68">
        <f ca="1">IFERROR(__xludf.DUMMYFUNCTION("""COMPUTED_VALUE"""),43572.9986111111)</f>
        <v>43572.998611111099</v>
      </c>
      <c r="AD454" s="6">
        <f ca="1">IFERROR(__xludf.DUMMYFUNCTION("""COMPUTED_VALUE"""),1130.2)</f>
        <v>1130.2</v>
      </c>
      <c r="AH454" s="6" t="str">
        <f t="shared" ca="1" si="120"/>
        <v>20193</v>
      </c>
      <c r="AI454" s="6">
        <f t="shared" ca="1" si="121"/>
        <v>2019</v>
      </c>
      <c r="AJ454" s="6">
        <f t="shared" ca="1" si="122"/>
        <v>3</v>
      </c>
      <c r="AK454" s="68">
        <f ca="1">IFERROR(__xludf.DUMMYFUNCTION("""COMPUTED_VALUE"""),43546.9986111111)</f>
        <v>43546.998611111099</v>
      </c>
      <c r="AL454" s="6">
        <f ca="1">IFERROR(__xludf.DUMMYFUNCTION("""COMPUTED_VALUE"""),3990.55)</f>
        <v>3990.55</v>
      </c>
      <c r="AP454" s="6" t="str">
        <f t="shared" ca="1" si="123"/>
        <v>201910</v>
      </c>
      <c r="AQ454" s="6">
        <f t="shared" ca="1" si="124"/>
        <v>2019</v>
      </c>
      <c r="AR454" s="6">
        <f t="shared" ca="1" si="125"/>
        <v>10</v>
      </c>
      <c r="AS454" s="68">
        <f ca="1">IFERROR(__xludf.DUMMYFUNCTION("""COMPUTED_VALUE"""),43760.9986111111)</f>
        <v>43760.998611111099</v>
      </c>
      <c r="AT454" s="6">
        <f ca="1">IFERROR(__xludf.DUMMYFUNCTION("""COMPUTED_VALUE"""),1487.5)</f>
        <v>1487.5</v>
      </c>
    </row>
    <row r="455" spans="2:46" x14ac:dyDescent="0.35">
      <c r="B455" s="6" t="str">
        <f t="shared" ref="B455:B518" ca="1" si="126">C455&amp;D455</f>
        <v>201910</v>
      </c>
      <c r="C455" s="6">
        <f t="shared" ref="C455:C518" ca="1" si="127">YEAR(E455)</f>
        <v>2019</v>
      </c>
      <c r="D455" s="6">
        <f t="shared" ref="D455:D518" ca="1" si="128">MONTH(E455)</f>
        <v>10</v>
      </c>
      <c r="E455" s="68">
        <f ca="1">IFERROR(__xludf.DUMMYFUNCTION("""COMPUTED_VALUE"""),43749.6666666666)</f>
        <v>43749.666666666599</v>
      </c>
      <c r="F455" s="6">
        <f ca="1">IFERROR(__xludf.DUMMYFUNCTION("""COMPUTED_VALUE"""),2970.27)</f>
        <v>2970.27</v>
      </c>
      <c r="J455" s="6" t="str">
        <f t="shared" ref="J455:J518" ca="1" si="129">K455&amp;L455</f>
        <v>201910</v>
      </c>
      <c r="K455" s="6">
        <f t="shared" ref="K455:K518" ca="1" si="130">YEAR(M455)</f>
        <v>2019</v>
      </c>
      <c r="L455" s="6">
        <f t="shared" ref="L455:L518" ca="1" si="131">MONTH(M455)</f>
        <v>10</v>
      </c>
      <c r="M455" s="68">
        <f ca="1">IFERROR(__xludf.DUMMYFUNCTION("""COMPUTED_VALUE"""),43749.6666666666)</f>
        <v>43749.666666666599</v>
      </c>
      <c r="N455" s="6">
        <f ca="1">IFERROR(__xludf.DUMMYFUNCTION("""COMPUTED_VALUE"""),8057.04)</f>
        <v>8057.04</v>
      </c>
      <c r="R455" s="6" t="str">
        <f t="shared" ref="R455:R518" ca="1" si="132">S455&amp;T455</f>
        <v>201911</v>
      </c>
      <c r="S455" s="6">
        <f t="shared" ref="S455:S518" ca="1" si="133">YEAR(U455)</f>
        <v>2019</v>
      </c>
      <c r="T455" s="6">
        <f t="shared" ref="T455:T518" ca="1" si="134">MONTH(U455)</f>
        <v>11</v>
      </c>
      <c r="U455" s="68">
        <f ca="1">IFERROR(__xludf.DUMMYFUNCTION("""COMPUTED_VALUE"""),43777.6458333333)</f>
        <v>43777.645833333299</v>
      </c>
      <c r="V455" s="6">
        <f ca="1">IFERROR(__xludf.DUMMYFUNCTION("""COMPUTED_VALUE"""),2137.23)</f>
        <v>2137.23</v>
      </c>
      <c r="Z455" s="6" t="str">
        <f t="shared" ref="Z455:Z518" ca="1" si="135">AA455&amp;AB455</f>
        <v>20194</v>
      </c>
      <c r="AA455" s="6">
        <f t="shared" ref="AA455:AA518" ca="1" si="136">YEAR(AC455)</f>
        <v>2019</v>
      </c>
      <c r="AB455" s="6">
        <f t="shared" ref="AB455:AB518" ca="1" si="137">MONTH(AC455)</f>
        <v>4</v>
      </c>
      <c r="AC455" s="68">
        <f ca="1">IFERROR(__xludf.DUMMYFUNCTION("""COMPUTED_VALUE"""),43573.9986111111)</f>
        <v>43573.998611111099</v>
      </c>
      <c r="AD455" s="6">
        <f ca="1">IFERROR(__xludf.DUMMYFUNCTION("""COMPUTED_VALUE"""),1136.11)</f>
        <v>1136.1099999999999</v>
      </c>
      <c r="AH455" s="6" t="str">
        <f t="shared" ref="AH455:AH518" ca="1" si="138">AI455&amp;AJ455</f>
        <v>20193</v>
      </c>
      <c r="AI455" s="6">
        <f t="shared" ref="AI455:AI518" ca="1" si="139">YEAR(AK455)</f>
        <v>2019</v>
      </c>
      <c r="AJ455" s="6">
        <f t="shared" ref="AJ455:AJ518" ca="1" si="140">MONTH(AK455)</f>
        <v>3</v>
      </c>
      <c r="AK455" s="68">
        <f ca="1">IFERROR(__xludf.DUMMYFUNCTION("""COMPUTED_VALUE"""),43547.9986111111)</f>
        <v>43547.998611111099</v>
      </c>
      <c r="AL455" s="6">
        <f ca="1">IFERROR(__xludf.DUMMYFUNCTION("""COMPUTED_VALUE"""),4003.255)</f>
        <v>4003.2550000000001</v>
      </c>
      <c r="AP455" s="6" t="str">
        <f t="shared" ref="AP455:AP518" ca="1" si="141">AQ455&amp;AR455</f>
        <v>201910</v>
      </c>
      <c r="AQ455" s="6">
        <f t="shared" ref="AQ455:AQ518" ca="1" si="142">YEAR(AS455)</f>
        <v>2019</v>
      </c>
      <c r="AR455" s="6">
        <f t="shared" ref="AR455:AR518" ca="1" si="143">MONTH(AS455)</f>
        <v>10</v>
      </c>
      <c r="AS455" s="68">
        <f ca="1">IFERROR(__xludf.DUMMYFUNCTION("""COMPUTED_VALUE"""),43761.9986111111)</f>
        <v>43761.998611111099</v>
      </c>
      <c r="AT455" s="6">
        <f ca="1">IFERROR(__xludf.DUMMYFUNCTION("""COMPUTED_VALUE"""),1495.7)</f>
        <v>1495.7</v>
      </c>
    </row>
    <row r="456" spans="2:46" x14ac:dyDescent="0.35">
      <c r="B456" s="6" t="str">
        <f t="shared" ca="1" si="126"/>
        <v>201910</v>
      </c>
      <c r="C456" s="6">
        <f t="shared" ca="1" si="127"/>
        <v>2019</v>
      </c>
      <c r="D456" s="6">
        <f t="shared" ca="1" si="128"/>
        <v>10</v>
      </c>
      <c r="E456" s="68">
        <f ca="1">IFERROR(__xludf.DUMMYFUNCTION("""COMPUTED_VALUE"""),43752.6666666666)</f>
        <v>43752.666666666599</v>
      </c>
      <c r="F456" s="6">
        <f ca="1">IFERROR(__xludf.DUMMYFUNCTION("""COMPUTED_VALUE"""),2966.15)</f>
        <v>2966.15</v>
      </c>
      <c r="J456" s="6" t="str">
        <f t="shared" ca="1" si="129"/>
        <v>201910</v>
      </c>
      <c r="K456" s="6">
        <f t="shared" ca="1" si="130"/>
        <v>2019</v>
      </c>
      <c r="L456" s="6">
        <f t="shared" ca="1" si="131"/>
        <v>10</v>
      </c>
      <c r="M456" s="68">
        <f ca="1">IFERROR(__xludf.DUMMYFUNCTION("""COMPUTED_VALUE"""),43752.6666666666)</f>
        <v>43752.666666666599</v>
      </c>
      <c r="N456" s="6">
        <f ca="1">IFERROR(__xludf.DUMMYFUNCTION("""COMPUTED_VALUE"""),8048.65)</f>
        <v>8048.65</v>
      </c>
      <c r="R456" s="6" t="str">
        <f t="shared" ca="1" si="132"/>
        <v>201911</v>
      </c>
      <c r="S456" s="6">
        <f t="shared" ca="1" si="133"/>
        <v>2019</v>
      </c>
      <c r="T456" s="6">
        <f t="shared" ca="1" si="134"/>
        <v>11</v>
      </c>
      <c r="U456" s="68">
        <f ca="1">IFERROR(__xludf.DUMMYFUNCTION("""COMPUTED_VALUE"""),43780.6458333333)</f>
        <v>43780.645833333299</v>
      </c>
      <c r="V456" s="6">
        <f ca="1">IFERROR(__xludf.DUMMYFUNCTION("""COMPUTED_VALUE"""),2124.09)</f>
        <v>2124.09</v>
      </c>
      <c r="Z456" s="6" t="str">
        <f t="shared" ca="1" si="135"/>
        <v>20194</v>
      </c>
      <c r="AA456" s="6">
        <f t="shared" ca="1" si="136"/>
        <v>2019</v>
      </c>
      <c r="AB456" s="6">
        <f t="shared" ca="1" si="137"/>
        <v>4</v>
      </c>
      <c r="AC456" s="68">
        <f ca="1">IFERROR(__xludf.DUMMYFUNCTION("""COMPUTED_VALUE"""),43574.9986111111)</f>
        <v>43574.998611111099</v>
      </c>
      <c r="AD456" s="6">
        <f ca="1">IFERROR(__xludf.DUMMYFUNCTION("""COMPUTED_VALUE"""),1136.09)</f>
        <v>1136.0899999999999</v>
      </c>
      <c r="AH456" s="6" t="str">
        <f t="shared" ca="1" si="138"/>
        <v>20193</v>
      </c>
      <c r="AI456" s="6">
        <f t="shared" ca="1" si="139"/>
        <v>2019</v>
      </c>
      <c r="AJ456" s="6">
        <f t="shared" ca="1" si="140"/>
        <v>3</v>
      </c>
      <c r="AK456" s="68">
        <f ca="1">IFERROR(__xludf.DUMMYFUNCTION("""COMPUTED_VALUE"""),43548.9986111111)</f>
        <v>43548.998611111099</v>
      </c>
      <c r="AL456" s="6">
        <f ca="1">IFERROR(__xludf.DUMMYFUNCTION("""COMPUTED_VALUE"""),3986.74)</f>
        <v>3986.74</v>
      </c>
      <c r="AP456" s="6" t="str">
        <f t="shared" ca="1" si="141"/>
        <v>201910</v>
      </c>
      <c r="AQ456" s="6">
        <f t="shared" ca="1" si="142"/>
        <v>2019</v>
      </c>
      <c r="AR456" s="6">
        <f t="shared" ca="1" si="143"/>
        <v>10</v>
      </c>
      <c r="AS456" s="68">
        <f ca="1">IFERROR(__xludf.DUMMYFUNCTION("""COMPUTED_VALUE"""),43762.9986111111)</f>
        <v>43762.998611111099</v>
      </c>
      <c r="AT456" s="6">
        <f ca="1">IFERROR(__xludf.DUMMYFUNCTION("""COMPUTED_VALUE"""),1504.7)</f>
        <v>1504.7</v>
      </c>
    </row>
    <row r="457" spans="2:46" x14ac:dyDescent="0.35">
      <c r="B457" s="6" t="str">
        <f t="shared" ca="1" si="126"/>
        <v>201910</v>
      </c>
      <c r="C457" s="6">
        <f t="shared" ca="1" si="127"/>
        <v>2019</v>
      </c>
      <c r="D457" s="6">
        <f t="shared" ca="1" si="128"/>
        <v>10</v>
      </c>
      <c r="E457" s="68">
        <f ca="1">IFERROR(__xludf.DUMMYFUNCTION("""COMPUTED_VALUE"""),43753.6666666666)</f>
        <v>43753.666666666599</v>
      </c>
      <c r="F457" s="6">
        <f ca="1">IFERROR(__xludf.DUMMYFUNCTION("""COMPUTED_VALUE"""),2995.68)</f>
        <v>2995.68</v>
      </c>
      <c r="J457" s="6" t="str">
        <f t="shared" ca="1" si="129"/>
        <v>201910</v>
      </c>
      <c r="K457" s="6">
        <f t="shared" ca="1" si="130"/>
        <v>2019</v>
      </c>
      <c r="L457" s="6">
        <f t="shared" ca="1" si="131"/>
        <v>10</v>
      </c>
      <c r="M457" s="68">
        <f ca="1">IFERROR(__xludf.DUMMYFUNCTION("""COMPUTED_VALUE"""),43753.6666666666)</f>
        <v>43753.666666666599</v>
      </c>
      <c r="N457" s="6">
        <f ca="1">IFERROR(__xludf.DUMMYFUNCTION("""COMPUTED_VALUE"""),8148.71)</f>
        <v>8148.71</v>
      </c>
      <c r="R457" s="6" t="str">
        <f t="shared" ca="1" si="132"/>
        <v>201911</v>
      </c>
      <c r="S457" s="6">
        <f t="shared" ca="1" si="133"/>
        <v>2019</v>
      </c>
      <c r="T457" s="6">
        <f t="shared" ca="1" si="134"/>
        <v>11</v>
      </c>
      <c r="U457" s="68">
        <f ca="1">IFERROR(__xludf.DUMMYFUNCTION("""COMPUTED_VALUE"""),43781.6458333333)</f>
        <v>43781.645833333299</v>
      </c>
      <c r="V457" s="6">
        <f ca="1">IFERROR(__xludf.DUMMYFUNCTION("""COMPUTED_VALUE"""),2140.92)</f>
        <v>2140.92</v>
      </c>
      <c r="Z457" s="6" t="str">
        <f t="shared" ca="1" si="135"/>
        <v>20194</v>
      </c>
      <c r="AA457" s="6">
        <f t="shared" ca="1" si="136"/>
        <v>2019</v>
      </c>
      <c r="AB457" s="6">
        <f t="shared" ca="1" si="137"/>
        <v>4</v>
      </c>
      <c r="AC457" s="68">
        <f ca="1">IFERROR(__xludf.DUMMYFUNCTION("""COMPUTED_VALUE"""),43576.9986111111)</f>
        <v>43576.998611111099</v>
      </c>
      <c r="AD457" s="6">
        <f ca="1">IFERROR(__xludf.DUMMYFUNCTION("""COMPUTED_VALUE"""),1134.5)</f>
        <v>1134.5</v>
      </c>
      <c r="AH457" s="6" t="str">
        <f t="shared" ca="1" si="138"/>
        <v>20193</v>
      </c>
      <c r="AI457" s="6">
        <f t="shared" ca="1" si="139"/>
        <v>2019</v>
      </c>
      <c r="AJ457" s="6">
        <f t="shared" ca="1" si="140"/>
        <v>3</v>
      </c>
      <c r="AK457" s="68">
        <f ca="1">IFERROR(__xludf.DUMMYFUNCTION("""COMPUTED_VALUE"""),43549.9986111111)</f>
        <v>43549.998611111099</v>
      </c>
      <c r="AL457" s="6">
        <f ca="1">IFERROR(__xludf.DUMMYFUNCTION("""COMPUTED_VALUE"""),3917.902)</f>
        <v>3917.902</v>
      </c>
      <c r="AP457" s="6" t="str">
        <f t="shared" ca="1" si="141"/>
        <v>201910</v>
      </c>
      <c r="AQ457" s="6">
        <f t="shared" ca="1" si="142"/>
        <v>2019</v>
      </c>
      <c r="AR457" s="6">
        <f t="shared" ca="1" si="143"/>
        <v>10</v>
      </c>
      <c r="AS457" s="68">
        <f ca="1">IFERROR(__xludf.DUMMYFUNCTION("""COMPUTED_VALUE"""),43763.9986111111)</f>
        <v>43763.998611111099</v>
      </c>
      <c r="AT457" s="6">
        <f ca="1">IFERROR(__xludf.DUMMYFUNCTION("""COMPUTED_VALUE"""),1505.3)</f>
        <v>1505.3</v>
      </c>
    </row>
    <row r="458" spans="2:46" x14ac:dyDescent="0.35">
      <c r="B458" s="6" t="str">
        <f t="shared" ca="1" si="126"/>
        <v>201910</v>
      </c>
      <c r="C458" s="6">
        <f t="shared" ca="1" si="127"/>
        <v>2019</v>
      </c>
      <c r="D458" s="6">
        <f t="shared" ca="1" si="128"/>
        <v>10</v>
      </c>
      <c r="E458" s="68">
        <f ca="1">IFERROR(__xludf.DUMMYFUNCTION("""COMPUTED_VALUE"""),43754.6666666666)</f>
        <v>43754.666666666599</v>
      </c>
      <c r="F458" s="6">
        <f ca="1">IFERROR(__xludf.DUMMYFUNCTION("""COMPUTED_VALUE"""),2989.69)</f>
        <v>2989.69</v>
      </c>
      <c r="J458" s="6" t="str">
        <f t="shared" ca="1" si="129"/>
        <v>201910</v>
      </c>
      <c r="K458" s="6">
        <f t="shared" ca="1" si="130"/>
        <v>2019</v>
      </c>
      <c r="L458" s="6">
        <f t="shared" ca="1" si="131"/>
        <v>10</v>
      </c>
      <c r="M458" s="68">
        <f ca="1">IFERROR(__xludf.DUMMYFUNCTION("""COMPUTED_VALUE"""),43754.6666666666)</f>
        <v>43754.666666666599</v>
      </c>
      <c r="N458" s="6">
        <f ca="1">IFERROR(__xludf.DUMMYFUNCTION("""COMPUTED_VALUE"""),8124.18)</f>
        <v>8124.18</v>
      </c>
      <c r="R458" s="6" t="str">
        <f t="shared" ca="1" si="132"/>
        <v>201911</v>
      </c>
      <c r="S458" s="6">
        <f t="shared" ca="1" si="133"/>
        <v>2019</v>
      </c>
      <c r="T458" s="6">
        <f t="shared" ca="1" si="134"/>
        <v>11</v>
      </c>
      <c r="U458" s="68">
        <f ca="1">IFERROR(__xludf.DUMMYFUNCTION("""COMPUTED_VALUE"""),43782.6458333333)</f>
        <v>43782.645833333299</v>
      </c>
      <c r="V458" s="6">
        <f ca="1">IFERROR(__xludf.DUMMYFUNCTION("""COMPUTED_VALUE"""),2122.45)</f>
        <v>2122.4499999999998</v>
      </c>
      <c r="Z458" s="6" t="str">
        <f t="shared" ca="1" si="135"/>
        <v>20194</v>
      </c>
      <c r="AA458" s="6">
        <f t="shared" ca="1" si="136"/>
        <v>2019</v>
      </c>
      <c r="AB458" s="6">
        <f t="shared" ca="1" si="137"/>
        <v>4</v>
      </c>
      <c r="AC458" s="68">
        <f ca="1">IFERROR(__xludf.DUMMYFUNCTION("""COMPUTED_VALUE"""),43577.9986111111)</f>
        <v>43577.998611111099</v>
      </c>
      <c r="AD458" s="6">
        <f ca="1">IFERROR(__xludf.DUMMYFUNCTION("""COMPUTED_VALUE"""),1140.04)</f>
        <v>1140.04</v>
      </c>
      <c r="AH458" s="6" t="str">
        <f t="shared" ca="1" si="138"/>
        <v>20193</v>
      </c>
      <c r="AI458" s="6">
        <f t="shared" ca="1" si="139"/>
        <v>2019</v>
      </c>
      <c r="AJ458" s="6">
        <f t="shared" ca="1" si="140"/>
        <v>3</v>
      </c>
      <c r="AK458" s="68">
        <f ca="1">IFERROR(__xludf.DUMMYFUNCTION("""COMPUTED_VALUE"""),43550.9986111111)</f>
        <v>43550.998611111099</v>
      </c>
      <c r="AL458" s="6">
        <f ca="1">IFERROR(__xludf.DUMMYFUNCTION("""COMPUTED_VALUE"""),3934.936)</f>
        <v>3934.9360000000001</v>
      </c>
      <c r="AP458" s="6" t="str">
        <f t="shared" ca="1" si="141"/>
        <v>201910</v>
      </c>
      <c r="AQ458" s="6">
        <f t="shared" ca="1" si="142"/>
        <v>2019</v>
      </c>
      <c r="AR458" s="6">
        <f t="shared" ca="1" si="143"/>
        <v>10</v>
      </c>
      <c r="AS458" s="68">
        <f ca="1">IFERROR(__xludf.DUMMYFUNCTION("""COMPUTED_VALUE"""),43766.9986111111)</f>
        <v>43766.998611111099</v>
      </c>
      <c r="AT458" s="6">
        <f ca="1">IFERROR(__xludf.DUMMYFUNCTION("""COMPUTED_VALUE"""),1495.8)</f>
        <v>1495.8</v>
      </c>
    </row>
    <row r="459" spans="2:46" x14ac:dyDescent="0.35">
      <c r="B459" s="6" t="str">
        <f t="shared" ca="1" si="126"/>
        <v>201910</v>
      </c>
      <c r="C459" s="6">
        <f t="shared" ca="1" si="127"/>
        <v>2019</v>
      </c>
      <c r="D459" s="6">
        <f t="shared" ca="1" si="128"/>
        <v>10</v>
      </c>
      <c r="E459" s="68">
        <f ca="1">IFERROR(__xludf.DUMMYFUNCTION("""COMPUTED_VALUE"""),43755.6666666666)</f>
        <v>43755.666666666599</v>
      </c>
      <c r="F459" s="6">
        <f ca="1">IFERROR(__xludf.DUMMYFUNCTION("""COMPUTED_VALUE"""),2997.95)</f>
        <v>2997.95</v>
      </c>
      <c r="J459" s="6" t="str">
        <f t="shared" ca="1" si="129"/>
        <v>201910</v>
      </c>
      <c r="K459" s="6">
        <f t="shared" ca="1" si="130"/>
        <v>2019</v>
      </c>
      <c r="L459" s="6">
        <f t="shared" ca="1" si="131"/>
        <v>10</v>
      </c>
      <c r="M459" s="68">
        <f ca="1">IFERROR(__xludf.DUMMYFUNCTION("""COMPUTED_VALUE"""),43755.6666666666)</f>
        <v>43755.666666666599</v>
      </c>
      <c r="N459" s="6">
        <f ca="1">IFERROR(__xludf.DUMMYFUNCTION("""COMPUTED_VALUE"""),8156.85)</f>
        <v>8156.85</v>
      </c>
      <c r="R459" s="6" t="str">
        <f t="shared" ca="1" si="132"/>
        <v>201911</v>
      </c>
      <c r="S459" s="6">
        <f t="shared" ca="1" si="133"/>
        <v>2019</v>
      </c>
      <c r="T459" s="6">
        <f t="shared" ca="1" si="134"/>
        <v>11</v>
      </c>
      <c r="U459" s="68">
        <f ca="1">IFERROR(__xludf.DUMMYFUNCTION("""COMPUTED_VALUE"""),43783.6875)</f>
        <v>43783.6875</v>
      </c>
      <c r="V459" s="6">
        <f ca="1">IFERROR(__xludf.DUMMYFUNCTION("""COMPUTED_VALUE"""),2139.23)</f>
        <v>2139.23</v>
      </c>
      <c r="Z459" s="6" t="str">
        <f t="shared" ca="1" si="135"/>
        <v>20194</v>
      </c>
      <c r="AA459" s="6">
        <f t="shared" ca="1" si="136"/>
        <v>2019</v>
      </c>
      <c r="AB459" s="6">
        <f t="shared" ca="1" si="137"/>
        <v>4</v>
      </c>
      <c r="AC459" s="68">
        <f ca="1">IFERROR(__xludf.DUMMYFUNCTION("""COMPUTED_VALUE"""),43578.9986111111)</f>
        <v>43578.998611111099</v>
      </c>
      <c r="AD459" s="6">
        <f ca="1">IFERROR(__xludf.DUMMYFUNCTION("""COMPUTED_VALUE"""),1142)</f>
        <v>1142</v>
      </c>
      <c r="AH459" s="6" t="str">
        <f t="shared" ca="1" si="138"/>
        <v>20193</v>
      </c>
      <c r="AI459" s="6">
        <f t="shared" ca="1" si="139"/>
        <v>2019</v>
      </c>
      <c r="AJ459" s="6">
        <f t="shared" ca="1" si="140"/>
        <v>3</v>
      </c>
      <c r="AK459" s="68">
        <f ca="1">IFERROR(__xludf.DUMMYFUNCTION("""COMPUTED_VALUE"""),43551.9986111111)</f>
        <v>43551.998611111099</v>
      </c>
      <c r="AL459" s="6">
        <f ca="1">IFERROR(__xludf.DUMMYFUNCTION("""COMPUTED_VALUE"""),4046.737)</f>
        <v>4046.7370000000001</v>
      </c>
      <c r="AP459" s="6" t="str">
        <f t="shared" ca="1" si="141"/>
        <v>201910</v>
      </c>
      <c r="AQ459" s="6">
        <f t="shared" ca="1" si="142"/>
        <v>2019</v>
      </c>
      <c r="AR459" s="6">
        <f t="shared" ca="1" si="143"/>
        <v>10</v>
      </c>
      <c r="AS459" s="68">
        <f ca="1">IFERROR(__xludf.DUMMYFUNCTION("""COMPUTED_VALUE"""),43767.9986111111)</f>
        <v>43767.998611111099</v>
      </c>
      <c r="AT459" s="6">
        <f ca="1">IFERROR(__xludf.DUMMYFUNCTION("""COMPUTED_VALUE"""),1490.7)</f>
        <v>1490.7</v>
      </c>
    </row>
    <row r="460" spans="2:46" x14ac:dyDescent="0.35">
      <c r="B460" s="6" t="str">
        <f t="shared" ca="1" si="126"/>
        <v>201910</v>
      </c>
      <c r="C460" s="6">
        <f t="shared" ca="1" si="127"/>
        <v>2019</v>
      </c>
      <c r="D460" s="6">
        <f t="shared" ca="1" si="128"/>
        <v>10</v>
      </c>
      <c r="E460" s="68">
        <f ca="1">IFERROR(__xludf.DUMMYFUNCTION("""COMPUTED_VALUE"""),43756.6666666666)</f>
        <v>43756.666666666599</v>
      </c>
      <c r="F460" s="6">
        <f ca="1">IFERROR(__xludf.DUMMYFUNCTION("""COMPUTED_VALUE"""),2986.2)</f>
        <v>2986.2</v>
      </c>
      <c r="J460" s="6" t="str">
        <f t="shared" ca="1" si="129"/>
        <v>201910</v>
      </c>
      <c r="K460" s="6">
        <f t="shared" ca="1" si="130"/>
        <v>2019</v>
      </c>
      <c r="L460" s="6">
        <f t="shared" ca="1" si="131"/>
        <v>10</v>
      </c>
      <c r="M460" s="68">
        <f ca="1">IFERROR(__xludf.DUMMYFUNCTION("""COMPUTED_VALUE"""),43756.6666666666)</f>
        <v>43756.666666666599</v>
      </c>
      <c r="N460" s="6">
        <f ca="1">IFERROR(__xludf.DUMMYFUNCTION("""COMPUTED_VALUE"""),8089.54)</f>
        <v>8089.54</v>
      </c>
      <c r="R460" s="6" t="str">
        <f t="shared" ca="1" si="132"/>
        <v>201911</v>
      </c>
      <c r="S460" s="6">
        <f t="shared" ca="1" si="133"/>
        <v>2019</v>
      </c>
      <c r="T460" s="6">
        <f t="shared" ca="1" si="134"/>
        <v>11</v>
      </c>
      <c r="U460" s="68">
        <f ca="1">IFERROR(__xludf.DUMMYFUNCTION("""COMPUTED_VALUE"""),43784.6458333333)</f>
        <v>43784.645833333299</v>
      </c>
      <c r="V460" s="6">
        <f ca="1">IFERROR(__xludf.DUMMYFUNCTION("""COMPUTED_VALUE"""),2162.18)</f>
        <v>2162.1799999999998</v>
      </c>
      <c r="Z460" s="6" t="str">
        <f t="shared" ca="1" si="135"/>
        <v>20194</v>
      </c>
      <c r="AA460" s="6">
        <f t="shared" ca="1" si="136"/>
        <v>2019</v>
      </c>
      <c r="AB460" s="6">
        <f t="shared" ca="1" si="137"/>
        <v>4</v>
      </c>
      <c r="AC460" s="68">
        <f ca="1">IFERROR(__xludf.DUMMYFUNCTION("""COMPUTED_VALUE"""),43579.9986111111)</f>
        <v>43579.998611111099</v>
      </c>
      <c r="AD460" s="6">
        <f ca="1">IFERROR(__xludf.DUMMYFUNCTION("""COMPUTED_VALUE"""),1155.26)</f>
        <v>1155.26</v>
      </c>
      <c r="AH460" s="6" t="str">
        <f t="shared" ca="1" si="138"/>
        <v>20193</v>
      </c>
      <c r="AI460" s="6">
        <f t="shared" ca="1" si="139"/>
        <v>2019</v>
      </c>
      <c r="AJ460" s="6">
        <f t="shared" ca="1" si="140"/>
        <v>3</v>
      </c>
      <c r="AK460" s="68">
        <f ca="1">IFERROR(__xludf.DUMMYFUNCTION("""COMPUTED_VALUE"""),43552.9986111111)</f>
        <v>43552.998611111099</v>
      </c>
      <c r="AL460" s="6">
        <f ca="1">IFERROR(__xludf.DUMMYFUNCTION("""COMPUTED_VALUE"""),4026.161)</f>
        <v>4026.1610000000001</v>
      </c>
      <c r="AP460" s="6" t="str">
        <f t="shared" ca="1" si="141"/>
        <v>201910</v>
      </c>
      <c r="AQ460" s="6">
        <f t="shared" ca="1" si="142"/>
        <v>2019</v>
      </c>
      <c r="AR460" s="6">
        <f t="shared" ca="1" si="143"/>
        <v>10</v>
      </c>
      <c r="AS460" s="68">
        <f ca="1">IFERROR(__xludf.DUMMYFUNCTION("""COMPUTED_VALUE"""),43768.9986111111)</f>
        <v>43768.998611111099</v>
      </c>
      <c r="AT460" s="6">
        <f ca="1">IFERROR(__xludf.DUMMYFUNCTION("""COMPUTED_VALUE"""),1496.7)</f>
        <v>1496.7</v>
      </c>
    </row>
    <row r="461" spans="2:46" x14ac:dyDescent="0.35">
      <c r="B461" s="6" t="str">
        <f t="shared" ca="1" si="126"/>
        <v>201910</v>
      </c>
      <c r="C461" s="6">
        <f t="shared" ca="1" si="127"/>
        <v>2019</v>
      </c>
      <c r="D461" s="6">
        <f t="shared" ca="1" si="128"/>
        <v>10</v>
      </c>
      <c r="E461" s="68">
        <f ca="1">IFERROR(__xludf.DUMMYFUNCTION("""COMPUTED_VALUE"""),43759.6666666666)</f>
        <v>43759.666666666599</v>
      </c>
      <c r="F461" s="6">
        <f ca="1">IFERROR(__xludf.DUMMYFUNCTION("""COMPUTED_VALUE"""),3006.72)</f>
        <v>3006.72</v>
      </c>
      <c r="J461" s="6" t="str">
        <f t="shared" ca="1" si="129"/>
        <v>201910</v>
      </c>
      <c r="K461" s="6">
        <f t="shared" ca="1" si="130"/>
        <v>2019</v>
      </c>
      <c r="L461" s="6">
        <f t="shared" ca="1" si="131"/>
        <v>10</v>
      </c>
      <c r="M461" s="68">
        <f ca="1">IFERROR(__xludf.DUMMYFUNCTION("""COMPUTED_VALUE"""),43759.6666666666)</f>
        <v>43759.666666666599</v>
      </c>
      <c r="N461" s="6">
        <f ca="1">IFERROR(__xludf.DUMMYFUNCTION("""COMPUTED_VALUE"""),8162.99)</f>
        <v>8162.99</v>
      </c>
      <c r="R461" s="6" t="str">
        <f t="shared" ca="1" si="132"/>
        <v>201911</v>
      </c>
      <c r="S461" s="6">
        <f t="shared" ca="1" si="133"/>
        <v>2019</v>
      </c>
      <c r="T461" s="6">
        <f t="shared" ca="1" si="134"/>
        <v>11</v>
      </c>
      <c r="U461" s="68">
        <f ca="1">IFERROR(__xludf.DUMMYFUNCTION("""COMPUTED_VALUE"""),43787.6458333333)</f>
        <v>43787.645833333299</v>
      </c>
      <c r="V461" s="6">
        <f ca="1">IFERROR(__xludf.DUMMYFUNCTION("""COMPUTED_VALUE"""),2160.69)</f>
        <v>2160.69</v>
      </c>
      <c r="Z461" s="6" t="str">
        <f t="shared" ca="1" si="135"/>
        <v>20194</v>
      </c>
      <c r="AA461" s="6">
        <f t="shared" ca="1" si="136"/>
        <v>2019</v>
      </c>
      <c r="AB461" s="6">
        <f t="shared" ca="1" si="137"/>
        <v>4</v>
      </c>
      <c r="AC461" s="68">
        <f ca="1">IFERROR(__xludf.DUMMYFUNCTION("""COMPUTED_VALUE"""),43580.9986111111)</f>
        <v>43580.998611111099</v>
      </c>
      <c r="AD461" s="6">
        <f ca="1">IFERROR(__xludf.DUMMYFUNCTION("""COMPUTED_VALUE"""),1159)</f>
        <v>1159</v>
      </c>
      <c r="AH461" s="6" t="str">
        <f t="shared" ca="1" si="138"/>
        <v>20193</v>
      </c>
      <c r="AI461" s="6">
        <f t="shared" ca="1" si="139"/>
        <v>2019</v>
      </c>
      <c r="AJ461" s="6">
        <f t="shared" ca="1" si="140"/>
        <v>3</v>
      </c>
      <c r="AK461" s="68">
        <f ca="1">IFERROR(__xludf.DUMMYFUNCTION("""COMPUTED_VALUE"""),43553.9986111111)</f>
        <v>43553.998611111099</v>
      </c>
      <c r="AL461" s="6">
        <f ca="1">IFERROR(__xludf.DUMMYFUNCTION("""COMPUTED_VALUE"""),4101.418)</f>
        <v>4101.4179999999997</v>
      </c>
      <c r="AP461" s="6" t="str">
        <f t="shared" ca="1" si="141"/>
        <v>201910</v>
      </c>
      <c r="AQ461" s="6">
        <f t="shared" ca="1" si="142"/>
        <v>2019</v>
      </c>
      <c r="AR461" s="6">
        <f t="shared" ca="1" si="143"/>
        <v>10</v>
      </c>
      <c r="AS461" s="68">
        <f ca="1">IFERROR(__xludf.DUMMYFUNCTION("""COMPUTED_VALUE"""),43769.9986111111)</f>
        <v>43769.998611111099</v>
      </c>
      <c r="AT461" s="6">
        <f ca="1">IFERROR(__xludf.DUMMYFUNCTION("""COMPUTED_VALUE"""),1514.8)</f>
        <v>1514.8</v>
      </c>
    </row>
    <row r="462" spans="2:46" x14ac:dyDescent="0.35">
      <c r="B462" s="6" t="str">
        <f t="shared" ca="1" si="126"/>
        <v>201910</v>
      </c>
      <c r="C462" s="6">
        <f t="shared" ca="1" si="127"/>
        <v>2019</v>
      </c>
      <c r="D462" s="6">
        <f t="shared" ca="1" si="128"/>
        <v>10</v>
      </c>
      <c r="E462" s="68">
        <f ca="1">IFERROR(__xludf.DUMMYFUNCTION("""COMPUTED_VALUE"""),43760.6666666666)</f>
        <v>43760.666666666599</v>
      </c>
      <c r="F462" s="6">
        <f ca="1">IFERROR(__xludf.DUMMYFUNCTION("""COMPUTED_VALUE"""),2995.99)</f>
        <v>2995.99</v>
      </c>
      <c r="J462" s="6" t="str">
        <f t="shared" ca="1" si="129"/>
        <v>201910</v>
      </c>
      <c r="K462" s="6">
        <f t="shared" ca="1" si="130"/>
        <v>2019</v>
      </c>
      <c r="L462" s="6">
        <f t="shared" ca="1" si="131"/>
        <v>10</v>
      </c>
      <c r="M462" s="68">
        <f ca="1">IFERROR(__xludf.DUMMYFUNCTION("""COMPUTED_VALUE"""),43760.6666666666)</f>
        <v>43760.666666666599</v>
      </c>
      <c r="N462" s="6">
        <f ca="1">IFERROR(__xludf.DUMMYFUNCTION("""COMPUTED_VALUE"""),8104.3)</f>
        <v>8104.3</v>
      </c>
      <c r="R462" s="6" t="str">
        <f t="shared" ca="1" si="132"/>
        <v>201911</v>
      </c>
      <c r="S462" s="6">
        <f t="shared" ca="1" si="133"/>
        <v>2019</v>
      </c>
      <c r="T462" s="6">
        <f t="shared" ca="1" si="134"/>
        <v>11</v>
      </c>
      <c r="U462" s="68">
        <f ca="1">IFERROR(__xludf.DUMMYFUNCTION("""COMPUTED_VALUE"""),43788.6458333333)</f>
        <v>43788.645833333299</v>
      </c>
      <c r="V462" s="6">
        <f ca="1">IFERROR(__xludf.DUMMYFUNCTION("""COMPUTED_VALUE"""),2153.24)</f>
        <v>2153.2399999999998</v>
      </c>
      <c r="Z462" s="6" t="str">
        <f t="shared" ca="1" si="135"/>
        <v>20194</v>
      </c>
      <c r="AA462" s="6">
        <f t="shared" ca="1" si="136"/>
        <v>2019</v>
      </c>
      <c r="AB462" s="6">
        <f t="shared" ca="1" si="137"/>
        <v>4</v>
      </c>
      <c r="AC462" s="68">
        <f ca="1">IFERROR(__xludf.DUMMYFUNCTION("""COMPUTED_VALUE"""),43581.9986111111)</f>
        <v>43581.998611111099</v>
      </c>
      <c r="AD462" s="6">
        <f ca="1">IFERROR(__xludf.DUMMYFUNCTION("""COMPUTED_VALUE"""),1157.91)</f>
        <v>1157.9100000000001</v>
      </c>
      <c r="AH462" s="6" t="str">
        <f t="shared" ca="1" si="138"/>
        <v>20193</v>
      </c>
      <c r="AI462" s="6">
        <f t="shared" ca="1" si="139"/>
        <v>2019</v>
      </c>
      <c r="AJ462" s="6">
        <f t="shared" ca="1" si="140"/>
        <v>3</v>
      </c>
      <c r="AK462" s="68">
        <f ca="1">IFERROR(__xludf.DUMMYFUNCTION("""COMPUTED_VALUE"""),43554.9986111111)</f>
        <v>43554.998611111099</v>
      </c>
      <c r="AL462" s="6">
        <f ca="1">IFERROR(__xludf.DUMMYFUNCTION("""COMPUTED_VALUE"""),4116.457)</f>
        <v>4116.4570000000003</v>
      </c>
      <c r="AP462" s="6" t="str">
        <f t="shared" ca="1" si="141"/>
        <v>201911</v>
      </c>
      <c r="AQ462" s="6">
        <f t="shared" ca="1" si="142"/>
        <v>2019</v>
      </c>
      <c r="AR462" s="6">
        <f t="shared" ca="1" si="143"/>
        <v>11</v>
      </c>
      <c r="AS462" s="68">
        <f ca="1">IFERROR(__xludf.DUMMYFUNCTION("""COMPUTED_VALUE"""),43770.9986111111)</f>
        <v>43770.998611111099</v>
      </c>
      <c r="AT462" s="6">
        <f ca="1">IFERROR(__xludf.DUMMYFUNCTION("""COMPUTED_VALUE"""),1511.4)</f>
        <v>1511.4</v>
      </c>
    </row>
    <row r="463" spans="2:46" x14ac:dyDescent="0.35">
      <c r="B463" s="6" t="str">
        <f t="shared" ca="1" si="126"/>
        <v>201910</v>
      </c>
      <c r="C463" s="6">
        <f t="shared" ca="1" si="127"/>
        <v>2019</v>
      </c>
      <c r="D463" s="6">
        <f t="shared" ca="1" si="128"/>
        <v>10</v>
      </c>
      <c r="E463" s="68">
        <f ca="1">IFERROR(__xludf.DUMMYFUNCTION("""COMPUTED_VALUE"""),43761.6666666666)</f>
        <v>43761.666666666599</v>
      </c>
      <c r="F463" s="6">
        <f ca="1">IFERROR(__xludf.DUMMYFUNCTION("""COMPUTED_VALUE"""),3004.52)</f>
        <v>3004.52</v>
      </c>
      <c r="J463" s="6" t="str">
        <f t="shared" ca="1" si="129"/>
        <v>201910</v>
      </c>
      <c r="K463" s="6">
        <f t="shared" ca="1" si="130"/>
        <v>2019</v>
      </c>
      <c r="L463" s="6">
        <f t="shared" ca="1" si="131"/>
        <v>10</v>
      </c>
      <c r="M463" s="68">
        <f ca="1">IFERROR(__xludf.DUMMYFUNCTION("""COMPUTED_VALUE"""),43761.6666666666)</f>
        <v>43761.666666666599</v>
      </c>
      <c r="N463" s="6">
        <f ca="1">IFERROR(__xludf.DUMMYFUNCTION("""COMPUTED_VALUE"""),8119.79)</f>
        <v>8119.79</v>
      </c>
      <c r="R463" s="6" t="str">
        <f t="shared" ca="1" si="132"/>
        <v>201911</v>
      </c>
      <c r="S463" s="6">
        <f t="shared" ca="1" si="133"/>
        <v>2019</v>
      </c>
      <c r="T463" s="6">
        <f t="shared" ca="1" si="134"/>
        <v>11</v>
      </c>
      <c r="U463" s="68">
        <f ca="1">IFERROR(__xludf.DUMMYFUNCTION("""COMPUTED_VALUE"""),43789.6458333333)</f>
        <v>43789.645833333299</v>
      </c>
      <c r="V463" s="6">
        <f ca="1">IFERROR(__xludf.DUMMYFUNCTION("""COMPUTED_VALUE"""),2125.32)</f>
        <v>2125.3200000000002</v>
      </c>
      <c r="Z463" s="6" t="str">
        <f t="shared" ca="1" si="135"/>
        <v>20194</v>
      </c>
      <c r="AA463" s="6">
        <f t="shared" ca="1" si="136"/>
        <v>2019</v>
      </c>
      <c r="AB463" s="6">
        <f t="shared" ca="1" si="137"/>
        <v>4</v>
      </c>
      <c r="AC463" s="68">
        <f ca="1">IFERROR(__xludf.DUMMYFUNCTION("""COMPUTED_VALUE"""),43582.9986111111)</f>
        <v>43582.998611111099</v>
      </c>
      <c r="AD463" s="6">
        <f ca="1">IFERROR(__xludf.DUMMYFUNCTION("""COMPUTED_VALUE"""),1156.9)</f>
        <v>1156.9000000000001</v>
      </c>
      <c r="AH463" s="6" t="str">
        <f t="shared" ca="1" si="138"/>
        <v>20193</v>
      </c>
      <c r="AI463" s="6">
        <f t="shared" ca="1" si="139"/>
        <v>2019</v>
      </c>
      <c r="AJ463" s="6">
        <f t="shared" ca="1" si="140"/>
        <v>3</v>
      </c>
      <c r="AK463" s="68">
        <f ca="1">IFERROR(__xludf.DUMMYFUNCTION("""COMPUTED_VALUE"""),43555.9986111111)</f>
        <v>43555.998611111099</v>
      </c>
      <c r="AL463" s="6">
        <f ca="1">IFERROR(__xludf.DUMMYFUNCTION("""COMPUTED_VALUE"""),4121.252)</f>
        <v>4121.2520000000004</v>
      </c>
      <c r="AP463" s="6" t="str">
        <f t="shared" ca="1" si="141"/>
        <v>201911</v>
      </c>
      <c r="AQ463" s="6">
        <f t="shared" ca="1" si="142"/>
        <v>2019</v>
      </c>
      <c r="AR463" s="6">
        <f t="shared" ca="1" si="143"/>
        <v>11</v>
      </c>
      <c r="AS463" s="68">
        <f ca="1">IFERROR(__xludf.DUMMYFUNCTION("""COMPUTED_VALUE"""),43773.9986111111)</f>
        <v>43773.998611111099</v>
      </c>
      <c r="AT463" s="6">
        <f ca="1">IFERROR(__xludf.DUMMYFUNCTION("""COMPUTED_VALUE"""),1511.1)</f>
        <v>1511.1</v>
      </c>
    </row>
    <row r="464" spans="2:46" x14ac:dyDescent="0.35">
      <c r="B464" s="6" t="str">
        <f t="shared" ca="1" si="126"/>
        <v>201910</v>
      </c>
      <c r="C464" s="6">
        <f t="shared" ca="1" si="127"/>
        <v>2019</v>
      </c>
      <c r="D464" s="6">
        <f t="shared" ca="1" si="128"/>
        <v>10</v>
      </c>
      <c r="E464" s="68">
        <f ca="1">IFERROR(__xludf.DUMMYFUNCTION("""COMPUTED_VALUE"""),43762.6666666666)</f>
        <v>43762.666666666599</v>
      </c>
      <c r="F464" s="6">
        <f ca="1">IFERROR(__xludf.DUMMYFUNCTION("""COMPUTED_VALUE"""),3010.29)</f>
        <v>3010.29</v>
      </c>
      <c r="J464" s="6" t="str">
        <f t="shared" ca="1" si="129"/>
        <v>201910</v>
      </c>
      <c r="K464" s="6">
        <f t="shared" ca="1" si="130"/>
        <v>2019</v>
      </c>
      <c r="L464" s="6">
        <f t="shared" ca="1" si="131"/>
        <v>10</v>
      </c>
      <c r="M464" s="68">
        <f ca="1">IFERROR(__xludf.DUMMYFUNCTION("""COMPUTED_VALUE"""),43762.6666666666)</f>
        <v>43762.666666666599</v>
      </c>
      <c r="N464" s="6">
        <f ca="1">IFERROR(__xludf.DUMMYFUNCTION("""COMPUTED_VALUE"""),8185.8)</f>
        <v>8185.8</v>
      </c>
      <c r="R464" s="6" t="str">
        <f t="shared" ca="1" si="132"/>
        <v>201911</v>
      </c>
      <c r="S464" s="6">
        <f t="shared" ca="1" si="133"/>
        <v>2019</v>
      </c>
      <c r="T464" s="6">
        <f t="shared" ca="1" si="134"/>
        <v>11</v>
      </c>
      <c r="U464" s="68">
        <f ca="1">IFERROR(__xludf.DUMMYFUNCTION("""COMPUTED_VALUE"""),43790.6458333333)</f>
        <v>43790.645833333299</v>
      </c>
      <c r="V464" s="6">
        <f ca="1">IFERROR(__xludf.DUMMYFUNCTION("""COMPUTED_VALUE"""),2096.6)</f>
        <v>2096.6</v>
      </c>
      <c r="Z464" s="6" t="str">
        <f t="shared" ca="1" si="135"/>
        <v>20194</v>
      </c>
      <c r="AA464" s="6">
        <f t="shared" ca="1" si="136"/>
        <v>2019</v>
      </c>
      <c r="AB464" s="6">
        <f t="shared" ca="1" si="137"/>
        <v>4</v>
      </c>
      <c r="AC464" s="68">
        <f ca="1">IFERROR(__xludf.DUMMYFUNCTION("""COMPUTED_VALUE"""),43583.9986111111)</f>
        <v>43583.998611111099</v>
      </c>
      <c r="AD464" s="6">
        <f ca="1">IFERROR(__xludf.DUMMYFUNCTION("""COMPUTED_VALUE"""),1157.73)</f>
        <v>1157.73</v>
      </c>
      <c r="AH464" s="6" t="str">
        <f t="shared" ca="1" si="138"/>
        <v>20194</v>
      </c>
      <c r="AI464" s="6">
        <f t="shared" ca="1" si="139"/>
        <v>2019</v>
      </c>
      <c r="AJ464" s="6">
        <f t="shared" ca="1" si="140"/>
        <v>4</v>
      </c>
      <c r="AK464" s="68">
        <f ca="1">IFERROR(__xludf.DUMMYFUNCTION("""COMPUTED_VALUE"""),43556.9986111111)</f>
        <v>43556.998611111099</v>
      </c>
      <c r="AL464" s="6">
        <f ca="1">IFERROR(__xludf.DUMMYFUNCTION("""COMPUTED_VALUE"""),4153.23)</f>
        <v>4153.2299999999996</v>
      </c>
      <c r="AP464" s="6" t="str">
        <f t="shared" ca="1" si="141"/>
        <v>201911</v>
      </c>
      <c r="AQ464" s="6">
        <f t="shared" ca="1" si="142"/>
        <v>2019</v>
      </c>
      <c r="AR464" s="6">
        <f t="shared" ca="1" si="143"/>
        <v>11</v>
      </c>
      <c r="AS464" s="68">
        <f ca="1">IFERROR(__xludf.DUMMYFUNCTION("""COMPUTED_VALUE"""),43774.9986111111)</f>
        <v>43774.998611111099</v>
      </c>
      <c r="AT464" s="6">
        <f ca="1">IFERROR(__xludf.DUMMYFUNCTION("""COMPUTED_VALUE"""),1483.7)</f>
        <v>1483.7</v>
      </c>
    </row>
    <row r="465" spans="2:46" x14ac:dyDescent="0.35">
      <c r="B465" s="6" t="str">
        <f t="shared" ca="1" si="126"/>
        <v>201910</v>
      </c>
      <c r="C465" s="6">
        <f t="shared" ca="1" si="127"/>
        <v>2019</v>
      </c>
      <c r="D465" s="6">
        <f t="shared" ca="1" si="128"/>
        <v>10</v>
      </c>
      <c r="E465" s="68">
        <f ca="1">IFERROR(__xludf.DUMMYFUNCTION("""COMPUTED_VALUE"""),43763.6666666666)</f>
        <v>43763.666666666599</v>
      </c>
      <c r="F465" s="6">
        <f ca="1">IFERROR(__xludf.DUMMYFUNCTION("""COMPUTED_VALUE"""),3022.55)</f>
        <v>3022.55</v>
      </c>
      <c r="J465" s="6" t="str">
        <f t="shared" ca="1" si="129"/>
        <v>201910</v>
      </c>
      <c r="K465" s="6">
        <f t="shared" ca="1" si="130"/>
        <v>2019</v>
      </c>
      <c r="L465" s="6">
        <f t="shared" ca="1" si="131"/>
        <v>10</v>
      </c>
      <c r="M465" s="68">
        <f ca="1">IFERROR(__xludf.DUMMYFUNCTION("""COMPUTED_VALUE"""),43763.6666666666)</f>
        <v>43763.666666666599</v>
      </c>
      <c r="N465" s="6">
        <f ca="1">IFERROR(__xludf.DUMMYFUNCTION("""COMPUTED_VALUE"""),8243.12)</f>
        <v>8243.1200000000008</v>
      </c>
      <c r="R465" s="6" t="str">
        <f t="shared" ca="1" si="132"/>
        <v>201911</v>
      </c>
      <c r="S465" s="6">
        <f t="shared" ca="1" si="133"/>
        <v>2019</v>
      </c>
      <c r="T465" s="6">
        <f t="shared" ca="1" si="134"/>
        <v>11</v>
      </c>
      <c r="U465" s="68">
        <f ca="1">IFERROR(__xludf.DUMMYFUNCTION("""COMPUTED_VALUE"""),43791.6458333333)</f>
        <v>43791.645833333299</v>
      </c>
      <c r="V465" s="6">
        <f ca="1">IFERROR(__xludf.DUMMYFUNCTION("""COMPUTED_VALUE"""),2101.96)</f>
        <v>2101.96</v>
      </c>
      <c r="Z465" s="6" t="str">
        <f t="shared" ca="1" si="135"/>
        <v>20194</v>
      </c>
      <c r="AA465" s="6">
        <f t="shared" ca="1" si="136"/>
        <v>2019</v>
      </c>
      <c r="AB465" s="6">
        <f t="shared" ca="1" si="137"/>
        <v>4</v>
      </c>
      <c r="AC465" s="68">
        <f ca="1">IFERROR(__xludf.DUMMYFUNCTION("""COMPUTED_VALUE"""),43584.9986111111)</f>
        <v>43584.998611111099</v>
      </c>
      <c r="AD465" s="6">
        <f ca="1">IFERROR(__xludf.DUMMYFUNCTION("""COMPUTED_VALUE"""),1158.79)</f>
        <v>1158.79</v>
      </c>
      <c r="AH465" s="6" t="str">
        <f t="shared" ca="1" si="138"/>
        <v>20194</v>
      </c>
      <c r="AI465" s="6">
        <f t="shared" ca="1" si="139"/>
        <v>2019</v>
      </c>
      <c r="AJ465" s="6">
        <f t="shared" ca="1" si="140"/>
        <v>4</v>
      </c>
      <c r="AK465" s="68">
        <f ca="1">IFERROR(__xludf.DUMMYFUNCTION("""COMPUTED_VALUE"""),43557.9986111111)</f>
        <v>43557.998611111099</v>
      </c>
      <c r="AL465" s="6">
        <f ca="1">IFERROR(__xludf.DUMMYFUNCTION("""COMPUTED_VALUE"""),4897.085)</f>
        <v>4897.085</v>
      </c>
      <c r="AP465" s="6" t="str">
        <f t="shared" ca="1" si="141"/>
        <v>201911</v>
      </c>
      <c r="AQ465" s="6">
        <f t="shared" ca="1" si="142"/>
        <v>2019</v>
      </c>
      <c r="AR465" s="6">
        <f t="shared" ca="1" si="143"/>
        <v>11</v>
      </c>
      <c r="AS465" s="68">
        <f ca="1">IFERROR(__xludf.DUMMYFUNCTION("""COMPUTED_VALUE"""),43775.9986111111)</f>
        <v>43775.998611111099</v>
      </c>
      <c r="AT465" s="6">
        <f ca="1">IFERROR(__xludf.DUMMYFUNCTION("""COMPUTED_VALUE"""),1493.1)</f>
        <v>1493.1</v>
      </c>
    </row>
    <row r="466" spans="2:46" x14ac:dyDescent="0.35">
      <c r="B466" s="6" t="str">
        <f t="shared" ca="1" si="126"/>
        <v>201910</v>
      </c>
      <c r="C466" s="6">
        <f t="shared" ca="1" si="127"/>
        <v>2019</v>
      </c>
      <c r="D466" s="6">
        <f t="shared" ca="1" si="128"/>
        <v>10</v>
      </c>
      <c r="E466" s="68">
        <f ca="1">IFERROR(__xludf.DUMMYFUNCTION("""COMPUTED_VALUE"""),43766.6666666666)</f>
        <v>43766.666666666599</v>
      </c>
      <c r="F466" s="6">
        <f ca="1">IFERROR(__xludf.DUMMYFUNCTION("""COMPUTED_VALUE"""),3039.42)</f>
        <v>3039.42</v>
      </c>
      <c r="J466" s="6" t="str">
        <f t="shared" ca="1" si="129"/>
        <v>201910</v>
      </c>
      <c r="K466" s="6">
        <f t="shared" ca="1" si="130"/>
        <v>2019</v>
      </c>
      <c r="L466" s="6">
        <f t="shared" ca="1" si="131"/>
        <v>10</v>
      </c>
      <c r="M466" s="68">
        <f ca="1">IFERROR(__xludf.DUMMYFUNCTION("""COMPUTED_VALUE"""),43766.6666666666)</f>
        <v>43766.666666666599</v>
      </c>
      <c r="N466" s="6">
        <f ca="1">IFERROR(__xludf.DUMMYFUNCTION("""COMPUTED_VALUE"""),8325.99)</f>
        <v>8325.99</v>
      </c>
      <c r="R466" s="6" t="str">
        <f t="shared" ca="1" si="132"/>
        <v>201911</v>
      </c>
      <c r="S466" s="6">
        <f t="shared" ca="1" si="133"/>
        <v>2019</v>
      </c>
      <c r="T466" s="6">
        <f t="shared" ca="1" si="134"/>
        <v>11</v>
      </c>
      <c r="U466" s="68">
        <f ca="1">IFERROR(__xludf.DUMMYFUNCTION("""COMPUTED_VALUE"""),43794.6458333333)</f>
        <v>43794.645833333299</v>
      </c>
      <c r="V466" s="6">
        <f ca="1">IFERROR(__xludf.DUMMYFUNCTION("""COMPUTED_VALUE"""),2123.5)</f>
        <v>2123.5</v>
      </c>
      <c r="Z466" s="6" t="str">
        <f t="shared" ca="1" si="135"/>
        <v>20194</v>
      </c>
      <c r="AA466" s="6">
        <f t="shared" ca="1" si="136"/>
        <v>2019</v>
      </c>
      <c r="AB466" s="6">
        <f t="shared" ca="1" si="137"/>
        <v>4</v>
      </c>
      <c r="AC466" s="68">
        <f ca="1">IFERROR(__xludf.DUMMYFUNCTION("""COMPUTED_VALUE"""),43585.9986111111)</f>
        <v>43585.998611111099</v>
      </c>
      <c r="AD466" s="6">
        <f ca="1">IFERROR(__xludf.DUMMYFUNCTION("""COMPUTED_VALUE"""),1163.26)</f>
        <v>1163.26</v>
      </c>
      <c r="AH466" s="6" t="str">
        <f t="shared" ca="1" si="138"/>
        <v>20194</v>
      </c>
      <c r="AI466" s="6">
        <f t="shared" ca="1" si="139"/>
        <v>2019</v>
      </c>
      <c r="AJ466" s="6">
        <f t="shared" ca="1" si="140"/>
        <v>4</v>
      </c>
      <c r="AK466" s="68">
        <f ca="1">IFERROR(__xludf.DUMMYFUNCTION("""COMPUTED_VALUE"""),43558.9986111111)</f>
        <v>43558.998611111099</v>
      </c>
      <c r="AL466" s="6">
        <f ca="1">IFERROR(__xludf.DUMMYFUNCTION("""COMPUTED_VALUE"""),4972.537)</f>
        <v>4972.5370000000003</v>
      </c>
      <c r="AP466" s="6" t="str">
        <f t="shared" ca="1" si="141"/>
        <v>201911</v>
      </c>
      <c r="AQ466" s="6">
        <f t="shared" ca="1" si="142"/>
        <v>2019</v>
      </c>
      <c r="AR466" s="6">
        <f t="shared" ca="1" si="143"/>
        <v>11</v>
      </c>
      <c r="AS466" s="68">
        <f ca="1">IFERROR(__xludf.DUMMYFUNCTION("""COMPUTED_VALUE"""),43776.9986111111)</f>
        <v>43776.998611111099</v>
      </c>
      <c r="AT466" s="6">
        <f ca="1">IFERROR(__xludf.DUMMYFUNCTION("""COMPUTED_VALUE"""),1466.4)</f>
        <v>1466.4</v>
      </c>
    </row>
    <row r="467" spans="2:46" x14ac:dyDescent="0.35">
      <c r="B467" s="6" t="str">
        <f t="shared" ca="1" si="126"/>
        <v>201910</v>
      </c>
      <c r="C467" s="6">
        <f t="shared" ca="1" si="127"/>
        <v>2019</v>
      </c>
      <c r="D467" s="6">
        <f t="shared" ca="1" si="128"/>
        <v>10</v>
      </c>
      <c r="E467" s="68">
        <f ca="1">IFERROR(__xludf.DUMMYFUNCTION("""COMPUTED_VALUE"""),43767.6666666666)</f>
        <v>43767.666666666599</v>
      </c>
      <c r="F467" s="6">
        <f ca="1">IFERROR(__xludf.DUMMYFUNCTION("""COMPUTED_VALUE"""),3036.89)</f>
        <v>3036.89</v>
      </c>
      <c r="J467" s="6" t="str">
        <f t="shared" ca="1" si="129"/>
        <v>201910</v>
      </c>
      <c r="K467" s="6">
        <f t="shared" ca="1" si="130"/>
        <v>2019</v>
      </c>
      <c r="L467" s="6">
        <f t="shared" ca="1" si="131"/>
        <v>10</v>
      </c>
      <c r="M467" s="68">
        <f ca="1">IFERROR(__xludf.DUMMYFUNCTION("""COMPUTED_VALUE"""),43767.6666666666)</f>
        <v>43767.666666666599</v>
      </c>
      <c r="N467" s="6">
        <f ca="1">IFERROR(__xludf.DUMMYFUNCTION("""COMPUTED_VALUE"""),8276.85)</f>
        <v>8276.85</v>
      </c>
      <c r="R467" s="6" t="str">
        <f t="shared" ca="1" si="132"/>
        <v>201911</v>
      </c>
      <c r="S467" s="6">
        <f t="shared" ca="1" si="133"/>
        <v>2019</v>
      </c>
      <c r="T467" s="6">
        <f t="shared" ca="1" si="134"/>
        <v>11</v>
      </c>
      <c r="U467" s="68">
        <f ca="1">IFERROR(__xludf.DUMMYFUNCTION("""COMPUTED_VALUE"""),43795.6458333333)</f>
        <v>43795.645833333299</v>
      </c>
      <c r="V467" s="6">
        <f ca="1">IFERROR(__xludf.DUMMYFUNCTION("""COMPUTED_VALUE"""),2121.35)</f>
        <v>2121.35</v>
      </c>
      <c r="Z467" s="6" t="str">
        <f t="shared" ca="1" si="135"/>
        <v>20195</v>
      </c>
      <c r="AA467" s="6">
        <f t="shared" ca="1" si="136"/>
        <v>2019</v>
      </c>
      <c r="AB467" s="6">
        <f t="shared" ca="1" si="137"/>
        <v>5</v>
      </c>
      <c r="AC467" s="68">
        <f ca="1">IFERROR(__xludf.DUMMYFUNCTION("""COMPUTED_VALUE"""),43586.9986111111)</f>
        <v>43586.998611111099</v>
      </c>
      <c r="AD467" s="6">
        <f ca="1">IFERROR(__xludf.DUMMYFUNCTION("""COMPUTED_VALUE"""),1164.67)</f>
        <v>1164.67</v>
      </c>
      <c r="AH467" s="6" t="str">
        <f t="shared" ca="1" si="138"/>
        <v>20194</v>
      </c>
      <c r="AI467" s="6">
        <f t="shared" ca="1" si="139"/>
        <v>2019</v>
      </c>
      <c r="AJ467" s="6">
        <f t="shared" ca="1" si="140"/>
        <v>4</v>
      </c>
      <c r="AK467" s="68">
        <f ca="1">IFERROR(__xludf.DUMMYFUNCTION("""COMPUTED_VALUE"""),43559.9986111111)</f>
        <v>43559.998611111099</v>
      </c>
      <c r="AL467" s="6">
        <f ca="1">IFERROR(__xludf.DUMMYFUNCTION("""COMPUTED_VALUE"""),4913.774)</f>
        <v>4913.7740000000003</v>
      </c>
      <c r="AP467" s="6" t="str">
        <f t="shared" ca="1" si="141"/>
        <v>201911</v>
      </c>
      <c r="AQ467" s="6">
        <f t="shared" ca="1" si="142"/>
        <v>2019</v>
      </c>
      <c r="AR467" s="6">
        <f t="shared" ca="1" si="143"/>
        <v>11</v>
      </c>
      <c r="AS467" s="68">
        <f ca="1">IFERROR(__xludf.DUMMYFUNCTION("""COMPUTED_VALUE"""),43777.9986111111)</f>
        <v>43777.998611111099</v>
      </c>
      <c r="AT467" s="6">
        <f ca="1">IFERROR(__xludf.DUMMYFUNCTION("""COMPUTED_VALUE"""),1462.9)</f>
        <v>1462.9</v>
      </c>
    </row>
    <row r="468" spans="2:46" x14ac:dyDescent="0.35">
      <c r="B468" s="6" t="str">
        <f t="shared" ca="1" si="126"/>
        <v>201910</v>
      </c>
      <c r="C468" s="6">
        <f t="shared" ca="1" si="127"/>
        <v>2019</v>
      </c>
      <c r="D468" s="6">
        <f t="shared" ca="1" si="128"/>
        <v>10</v>
      </c>
      <c r="E468" s="68">
        <f ca="1">IFERROR(__xludf.DUMMYFUNCTION("""COMPUTED_VALUE"""),43768.6666666666)</f>
        <v>43768.666666666599</v>
      </c>
      <c r="F468" s="6">
        <f ca="1">IFERROR(__xludf.DUMMYFUNCTION("""COMPUTED_VALUE"""),3046.77)</f>
        <v>3046.77</v>
      </c>
      <c r="J468" s="6" t="str">
        <f t="shared" ca="1" si="129"/>
        <v>201910</v>
      </c>
      <c r="K468" s="6">
        <f t="shared" ca="1" si="130"/>
        <v>2019</v>
      </c>
      <c r="L468" s="6">
        <f t="shared" ca="1" si="131"/>
        <v>10</v>
      </c>
      <c r="M468" s="68">
        <f ca="1">IFERROR(__xludf.DUMMYFUNCTION("""COMPUTED_VALUE"""),43768.6666666666)</f>
        <v>43768.666666666599</v>
      </c>
      <c r="N468" s="6">
        <f ca="1">IFERROR(__xludf.DUMMYFUNCTION("""COMPUTED_VALUE"""),8303.98)</f>
        <v>8303.98</v>
      </c>
      <c r="R468" s="6" t="str">
        <f t="shared" ca="1" si="132"/>
        <v>201911</v>
      </c>
      <c r="S468" s="6">
        <f t="shared" ca="1" si="133"/>
        <v>2019</v>
      </c>
      <c r="T468" s="6">
        <f t="shared" ca="1" si="134"/>
        <v>11</v>
      </c>
      <c r="U468" s="68">
        <f ca="1">IFERROR(__xludf.DUMMYFUNCTION("""COMPUTED_VALUE"""),43796.6458333333)</f>
        <v>43796.645833333299</v>
      </c>
      <c r="V468" s="6">
        <f ca="1">IFERROR(__xludf.DUMMYFUNCTION("""COMPUTED_VALUE"""),2127.85)</f>
        <v>2127.85</v>
      </c>
      <c r="Z468" s="6" t="str">
        <f t="shared" ca="1" si="135"/>
        <v>20195</v>
      </c>
      <c r="AA468" s="6">
        <f t="shared" ca="1" si="136"/>
        <v>2019</v>
      </c>
      <c r="AB468" s="6">
        <f t="shared" ca="1" si="137"/>
        <v>5</v>
      </c>
      <c r="AC468" s="68">
        <f ca="1">IFERROR(__xludf.DUMMYFUNCTION("""COMPUTED_VALUE"""),43587.9986111111)</f>
        <v>43587.998611111099</v>
      </c>
      <c r="AD468" s="6">
        <f ca="1">IFERROR(__xludf.DUMMYFUNCTION("""COMPUTED_VALUE"""),1166.11)</f>
        <v>1166.1099999999999</v>
      </c>
      <c r="AH468" s="6" t="str">
        <f t="shared" ca="1" si="138"/>
        <v>20194</v>
      </c>
      <c r="AI468" s="6">
        <f t="shared" ca="1" si="139"/>
        <v>2019</v>
      </c>
      <c r="AJ468" s="6">
        <f t="shared" ca="1" si="140"/>
        <v>4</v>
      </c>
      <c r="AK468" s="68">
        <f ca="1">IFERROR(__xludf.DUMMYFUNCTION("""COMPUTED_VALUE"""),43560.9986111111)</f>
        <v>43560.998611111099</v>
      </c>
      <c r="AL468" s="6">
        <f ca="1">IFERROR(__xludf.DUMMYFUNCTION("""COMPUTED_VALUE"""),5041.908)</f>
        <v>5041.9080000000004</v>
      </c>
      <c r="AP468" s="6" t="str">
        <f t="shared" ca="1" si="141"/>
        <v>201911</v>
      </c>
      <c r="AQ468" s="6">
        <f t="shared" ca="1" si="142"/>
        <v>2019</v>
      </c>
      <c r="AR468" s="6">
        <f t="shared" ca="1" si="143"/>
        <v>11</v>
      </c>
      <c r="AS468" s="68">
        <f ca="1">IFERROR(__xludf.DUMMYFUNCTION("""COMPUTED_VALUE"""),43780.9986111111)</f>
        <v>43780.998611111099</v>
      </c>
      <c r="AT468" s="6">
        <f ca="1">IFERROR(__xludf.DUMMYFUNCTION("""COMPUTED_VALUE"""),1457.1)</f>
        <v>1457.1</v>
      </c>
    </row>
    <row r="469" spans="2:46" x14ac:dyDescent="0.35">
      <c r="B469" s="6" t="str">
        <f t="shared" ca="1" si="126"/>
        <v>201911</v>
      </c>
      <c r="C469" s="6">
        <f t="shared" ca="1" si="127"/>
        <v>2019</v>
      </c>
      <c r="D469" s="6">
        <f t="shared" ca="1" si="128"/>
        <v>11</v>
      </c>
      <c r="E469" s="68">
        <f ca="1">IFERROR(__xludf.DUMMYFUNCTION("""COMPUTED_VALUE"""),43770.6666666666)</f>
        <v>43770.666666666599</v>
      </c>
      <c r="F469" s="6">
        <f ca="1">IFERROR(__xludf.DUMMYFUNCTION("""COMPUTED_VALUE"""),3066.91)</f>
        <v>3066.91</v>
      </c>
      <c r="J469" s="6" t="str">
        <f t="shared" ca="1" si="129"/>
        <v>201910</v>
      </c>
      <c r="K469" s="6">
        <f t="shared" ca="1" si="130"/>
        <v>2019</v>
      </c>
      <c r="L469" s="6">
        <f t="shared" ca="1" si="131"/>
        <v>10</v>
      </c>
      <c r="M469" s="68">
        <f ca="1">IFERROR(__xludf.DUMMYFUNCTION("""COMPUTED_VALUE"""),43769.6666666666)</f>
        <v>43769.666666666599</v>
      </c>
      <c r="N469" s="6">
        <f ca="1">IFERROR(__xludf.DUMMYFUNCTION("""COMPUTED_VALUE"""),8292.36)</f>
        <v>8292.36</v>
      </c>
      <c r="R469" s="6" t="str">
        <f t="shared" ca="1" si="132"/>
        <v>201911</v>
      </c>
      <c r="S469" s="6">
        <f t="shared" ca="1" si="133"/>
        <v>2019</v>
      </c>
      <c r="T469" s="6">
        <f t="shared" ca="1" si="134"/>
        <v>11</v>
      </c>
      <c r="U469" s="68">
        <f ca="1">IFERROR(__xludf.DUMMYFUNCTION("""COMPUTED_VALUE"""),43797.6458333333)</f>
        <v>43797.645833333299</v>
      </c>
      <c r="V469" s="6">
        <f ca="1">IFERROR(__xludf.DUMMYFUNCTION("""COMPUTED_VALUE"""),2118.6)</f>
        <v>2118.6</v>
      </c>
      <c r="Z469" s="6" t="str">
        <f t="shared" ca="1" si="135"/>
        <v>20195</v>
      </c>
      <c r="AA469" s="6">
        <f t="shared" ca="1" si="136"/>
        <v>2019</v>
      </c>
      <c r="AB469" s="6">
        <f t="shared" ca="1" si="137"/>
        <v>5</v>
      </c>
      <c r="AC469" s="68">
        <f ca="1">IFERROR(__xludf.DUMMYFUNCTION("""COMPUTED_VALUE"""),43588.9986111111)</f>
        <v>43588.998611111099</v>
      </c>
      <c r="AD469" s="6">
        <f ca="1">IFERROR(__xludf.DUMMYFUNCTION("""COMPUTED_VALUE"""),1163.33)</f>
        <v>1163.33</v>
      </c>
      <c r="AH469" s="6" t="str">
        <f t="shared" ca="1" si="138"/>
        <v>20194</v>
      </c>
      <c r="AI469" s="6">
        <f t="shared" ca="1" si="139"/>
        <v>2019</v>
      </c>
      <c r="AJ469" s="6">
        <f t="shared" ca="1" si="140"/>
        <v>4</v>
      </c>
      <c r="AK469" s="68">
        <f ca="1">IFERROR(__xludf.DUMMYFUNCTION("""COMPUTED_VALUE"""),43561.9986111111)</f>
        <v>43561.998611111099</v>
      </c>
      <c r="AL469" s="6">
        <f ca="1">IFERROR(__xludf.DUMMYFUNCTION("""COMPUTED_VALUE"""),5058.361)</f>
        <v>5058.3609999999999</v>
      </c>
      <c r="AP469" s="6" t="str">
        <f t="shared" ca="1" si="141"/>
        <v>201911</v>
      </c>
      <c r="AQ469" s="6">
        <f t="shared" ca="1" si="142"/>
        <v>2019</v>
      </c>
      <c r="AR469" s="6">
        <f t="shared" ca="1" si="143"/>
        <v>11</v>
      </c>
      <c r="AS469" s="68">
        <f ca="1">IFERROR(__xludf.DUMMYFUNCTION("""COMPUTED_VALUE"""),43781.9986111111)</f>
        <v>43781.998611111099</v>
      </c>
      <c r="AT469" s="6">
        <f ca="1">IFERROR(__xludf.DUMMYFUNCTION("""COMPUTED_VALUE"""),1453.7)</f>
        <v>1453.7</v>
      </c>
    </row>
    <row r="470" spans="2:46" x14ac:dyDescent="0.35">
      <c r="B470" s="6" t="str">
        <f t="shared" ca="1" si="126"/>
        <v>201911</v>
      </c>
      <c r="C470" s="6">
        <f t="shared" ca="1" si="127"/>
        <v>2019</v>
      </c>
      <c r="D470" s="6">
        <f t="shared" ca="1" si="128"/>
        <v>11</v>
      </c>
      <c r="E470" s="68">
        <f ca="1">IFERROR(__xludf.DUMMYFUNCTION("""COMPUTED_VALUE"""),43773.6666666666)</f>
        <v>43773.666666666599</v>
      </c>
      <c r="F470" s="6">
        <f ca="1">IFERROR(__xludf.DUMMYFUNCTION("""COMPUTED_VALUE"""),3078.27)</f>
        <v>3078.27</v>
      </c>
      <c r="J470" s="6" t="str">
        <f t="shared" ca="1" si="129"/>
        <v>201911</v>
      </c>
      <c r="K470" s="6">
        <f t="shared" ca="1" si="130"/>
        <v>2019</v>
      </c>
      <c r="L470" s="6">
        <f t="shared" ca="1" si="131"/>
        <v>11</v>
      </c>
      <c r="M470" s="68">
        <f ca="1">IFERROR(__xludf.DUMMYFUNCTION("""COMPUTED_VALUE"""),43770.6666666666)</f>
        <v>43770.666666666599</v>
      </c>
      <c r="N470" s="6">
        <f ca="1">IFERROR(__xludf.DUMMYFUNCTION("""COMPUTED_VALUE"""),8386.4)</f>
        <v>8386.4</v>
      </c>
      <c r="R470" s="6" t="str">
        <f t="shared" ca="1" si="132"/>
        <v>201911</v>
      </c>
      <c r="S470" s="6">
        <f t="shared" ca="1" si="133"/>
        <v>2019</v>
      </c>
      <c r="T470" s="6">
        <f t="shared" ca="1" si="134"/>
        <v>11</v>
      </c>
      <c r="U470" s="68">
        <f ca="1">IFERROR(__xludf.DUMMYFUNCTION("""COMPUTED_VALUE"""),43798.6458333333)</f>
        <v>43798.645833333299</v>
      </c>
      <c r="V470" s="6">
        <f ca="1">IFERROR(__xludf.DUMMYFUNCTION("""COMPUTED_VALUE"""),2087.96)</f>
        <v>2087.96</v>
      </c>
      <c r="Z470" s="6" t="str">
        <f t="shared" ca="1" si="135"/>
        <v>20195</v>
      </c>
      <c r="AA470" s="6">
        <f t="shared" ca="1" si="136"/>
        <v>2019</v>
      </c>
      <c r="AB470" s="6">
        <f t="shared" ca="1" si="137"/>
        <v>5</v>
      </c>
      <c r="AC470" s="68">
        <f ca="1">IFERROR(__xludf.DUMMYFUNCTION("""COMPUTED_VALUE"""),43590.9986111111)</f>
        <v>43590.998611111099</v>
      </c>
      <c r="AD470" s="6">
        <f ca="1">IFERROR(__xludf.DUMMYFUNCTION("""COMPUTED_VALUE"""),1163.33)</f>
        <v>1163.33</v>
      </c>
      <c r="AH470" s="6" t="str">
        <f t="shared" ca="1" si="138"/>
        <v>20194</v>
      </c>
      <c r="AI470" s="6">
        <f t="shared" ca="1" si="139"/>
        <v>2019</v>
      </c>
      <c r="AJ470" s="6">
        <f t="shared" ca="1" si="140"/>
        <v>4</v>
      </c>
      <c r="AK470" s="68">
        <f ca="1">IFERROR(__xludf.DUMMYFUNCTION("""COMPUTED_VALUE"""),43562.9986111111)</f>
        <v>43562.998611111099</v>
      </c>
      <c r="AL470" s="6">
        <f ca="1">IFERROR(__xludf.DUMMYFUNCTION("""COMPUTED_VALUE"""),5200.219)</f>
        <v>5200.2190000000001</v>
      </c>
      <c r="AP470" s="6" t="str">
        <f t="shared" ca="1" si="141"/>
        <v>201911</v>
      </c>
      <c r="AQ470" s="6">
        <f t="shared" ca="1" si="142"/>
        <v>2019</v>
      </c>
      <c r="AR470" s="6">
        <f t="shared" ca="1" si="143"/>
        <v>11</v>
      </c>
      <c r="AS470" s="68">
        <f ca="1">IFERROR(__xludf.DUMMYFUNCTION("""COMPUTED_VALUE"""),43782.9986111111)</f>
        <v>43782.998611111099</v>
      </c>
      <c r="AT470" s="6">
        <f ca="1">IFERROR(__xludf.DUMMYFUNCTION("""COMPUTED_VALUE"""),1463.3)</f>
        <v>1463.3</v>
      </c>
    </row>
    <row r="471" spans="2:46" x14ac:dyDescent="0.35">
      <c r="B471" s="6" t="str">
        <f t="shared" ca="1" si="126"/>
        <v>201911</v>
      </c>
      <c r="C471" s="6">
        <f t="shared" ca="1" si="127"/>
        <v>2019</v>
      </c>
      <c r="D471" s="6">
        <f t="shared" ca="1" si="128"/>
        <v>11</v>
      </c>
      <c r="E471" s="68">
        <f ca="1">IFERROR(__xludf.DUMMYFUNCTION("""COMPUTED_VALUE"""),43774.6666666666)</f>
        <v>43774.666666666599</v>
      </c>
      <c r="F471" s="6">
        <f ca="1">IFERROR(__xludf.DUMMYFUNCTION("""COMPUTED_VALUE"""),3074.62)</f>
        <v>3074.62</v>
      </c>
      <c r="J471" s="6" t="str">
        <f t="shared" ca="1" si="129"/>
        <v>201911</v>
      </c>
      <c r="K471" s="6">
        <f t="shared" ca="1" si="130"/>
        <v>2019</v>
      </c>
      <c r="L471" s="6">
        <f t="shared" ca="1" si="131"/>
        <v>11</v>
      </c>
      <c r="M471" s="68">
        <f ca="1">IFERROR(__xludf.DUMMYFUNCTION("""COMPUTED_VALUE"""),43773.6666666666)</f>
        <v>43773.666666666599</v>
      </c>
      <c r="N471" s="6">
        <f ca="1">IFERROR(__xludf.DUMMYFUNCTION("""COMPUTED_VALUE"""),8433.2)</f>
        <v>8433.2000000000007</v>
      </c>
      <c r="R471" s="6" t="str">
        <f t="shared" ca="1" si="132"/>
        <v>201912</v>
      </c>
      <c r="S471" s="6">
        <f t="shared" ca="1" si="133"/>
        <v>2019</v>
      </c>
      <c r="T471" s="6">
        <f t="shared" ca="1" si="134"/>
        <v>12</v>
      </c>
      <c r="U471" s="68">
        <f ca="1">IFERROR(__xludf.DUMMYFUNCTION("""COMPUTED_VALUE"""),43801.6458333333)</f>
        <v>43801.645833333299</v>
      </c>
      <c r="V471" s="6">
        <f ca="1">IFERROR(__xludf.DUMMYFUNCTION("""COMPUTED_VALUE"""),2091.92)</f>
        <v>2091.92</v>
      </c>
      <c r="Z471" s="6" t="str">
        <f t="shared" ca="1" si="135"/>
        <v>20195</v>
      </c>
      <c r="AA471" s="6">
        <f t="shared" ca="1" si="136"/>
        <v>2019</v>
      </c>
      <c r="AB471" s="6">
        <f t="shared" ca="1" si="137"/>
        <v>5</v>
      </c>
      <c r="AC471" s="68">
        <f ca="1">IFERROR(__xludf.DUMMYFUNCTION("""COMPUTED_VALUE"""),43591.9986111111)</f>
        <v>43591.998611111099</v>
      </c>
      <c r="AD471" s="6">
        <f ca="1">IFERROR(__xludf.DUMMYFUNCTION("""COMPUTED_VALUE"""),1168.05)</f>
        <v>1168.05</v>
      </c>
      <c r="AH471" s="6" t="str">
        <f t="shared" ca="1" si="138"/>
        <v>20194</v>
      </c>
      <c r="AI471" s="6">
        <f t="shared" ca="1" si="139"/>
        <v>2019</v>
      </c>
      <c r="AJ471" s="6">
        <f t="shared" ca="1" si="140"/>
        <v>4</v>
      </c>
      <c r="AK471" s="68">
        <f ca="1">IFERROR(__xludf.DUMMYFUNCTION("""COMPUTED_VALUE"""),43563.9986111111)</f>
        <v>43563.998611111099</v>
      </c>
      <c r="AL471" s="6">
        <f ca="1">IFERROR(__xludf.DUMMYFUNCTION("""COMPUTED_VALUE"""),5289.03)</f>
        <v>5289.03</v>
      </c>
      <c r="AP471" s="6" t="str">
        <f t="shared" ca="1" si="141"/>
        <v>201911</v>
      </c>
      <c r="AQ471" s="6">
        <f t="shared" ca="1" si="142"/>
        <v>2019</v>
      </c>
      <c r="AR471" s="6">
        <f t="shared" ca="1" si="143"/>
        <v>11</v>
      </c>
      <c r="AS471" s="68">
        <f ca="1">IFERROR(__xludf.DUMMYFUNCTION("""COMPUTED_VALUE"""),43783.9986111111)</f>
        <v>43783.998611111099</v>
      </c>
      <c r="AT471" s="6">
        <f ca="1">IFERROR(__xludf.DUMMYFUNCTION("""COMPUTED_VALUE"""),1473.4)</f>
        <v>1473.4</v>
      </c>
    </row>
    <row r="472" spans="2:46" x14ac:dyDescent="0.35">
      <c r="B472" s="6" t="str">
        <f t="shared" ca="1" si="126"/>
        <v>201911</v>
      </c>
      <c r="C472" s="6">
        <f t="shared" ca="1" si="127"/>
        <v>2019</v>
      </c>
      <c r="D472" s="6">
        <f t="shared" ca="1" si="128"/>
        <v>11</v>
      </c>
      <c r="E472" s="68">
        <f ca="1">IFERROR(__xludf.DUMMYFUNCTION("""COMPUTED_VALUE"""),43775.6666666666)</f>
        <v>43775.666666666599</v>
      </c>
      <c r="F472" s="6">
        <f ca="1">IFERROR(__xludf.DUMMYFUNCTION("""COMPUTED_VALUE"""),3076.78)</f>
        <v>3076.78</v>
      </c>
      <c r="J472" s="6" t="str">
        <f t="shared" ca="1" si="129"/>
        <v>201911</v>
      </c>
      <c r="K472" s="6">
        <f t="shared" ca="1" si="130"/>
        <v>2019</v>
      </c>
      <c r="L472" s="6">
        <f t="shared" ca="1" si="131"/>
        <v>11</v>
      </c>
      <c r="M472" s="68">
        <f ca="1">IFERROR(__xludf.DUMMYFUNCTION("""COMPUTED_VALUE"""),43774.6666666666)</f>
        <v>43774.666666666599</v>
      </c>
      <c r="N472" s="6">
        <f ca="1">IFERROR(__xludf.DUMMYFUNCTION("""COMPUTED_VALUE"""),8434.68)</f>
        <v>8434.68</v>
      </c>
      <c r="R472" s="6" t="str">
        <f t="shared" ca="1" si="132"/>
        <v>201912</v>
      </c>
      <c r="S472" s="6">
        <f t="shared" ca="1" si="133"/>
        <v>2019</v>
      </c>
      <c r="T472" s="6">
        <f t="shared" ca="1" si="134"/>
        <v>12</v>
      </c>
      <c r="U472" s="68">
        <f ca="1">IFERROR(__xludf.DUMMYFUNCTION("""COMPUTED_VALUE"""),43802.6458333333)</f>
        <v>43802.645833333299</v>
      </c>
      <c r="V472" s="6">
        <f ca="1">IFERROR(__xludf.DUMMYFUNCTION("""COMPUTED_VALUE"""),2084.07)</f>
        <v>2084.0700000000002</v>
      </c>
      <c r="Z472" s="6" t="str">
        <f t="shared" ca="1" si="135"/>
        <v>20195</v>
      </c>
      <c r="AA472" s="6">
        <f t="shared" ca="1" si="136"/>
        <v>2019</v>
      </c>
      <c r="AB472" s="6">
        <f t="shared" ca="1" si="137"/>
        <v>5</v>
      </c>
      <c r="AC472" s="68">
        <f ca="1">IFERROR(__xludf.DUMMYFUNCTION("""COMPUTED_VALUE"""),43592.9986111111)</f>
        <v>43592.998611111099</v>
      </c>
      <c r="AD472" s="6">
        <f ca="1">IFERROR(__xludf.DUMMYFUNCTION("""COMPUTED_VALUE"""),1171.3)</f>
        <v>1171.3</v>
      </c>
      <c r="AH472" s="6" t="str">
        <f t="shared" ca="1" si="138"/>
        <v>20194</v>
      </c>
      <c r="AI472" s="6">
        <f t="shared" ca="1" si="139"/>
        <v>2019</v>
      </c>
      <c r="AJ472" s="6">
        <f t="shared" ca="1" si="140"/>
        <v>4</v>
      </c>
      <c r="AK472" s="68">
        <f ca="1">IFERROR(__xludf.DUMMYFUNCTION("""COMPUTED_VALUE"""),43564.9986111111)</f>
        <v>43564.998611111099</v>
      </c>
      <c r="AL472" s="6">
        <f ca="1">IFERROR(__xludf.DUMMYFUNCTION("""COMPUTED_VALUE"""),5199.502)</f>
        <v>5199.5020000000004</v>
      </c>
      <c r="AP472" s="6" t="str">
        <f t="shared" ca="1" si="141"/>
        <v>201911</v>
      </c>
      <c r="AQ472" s="6">
        <f t="shared" ca="1" si="142"/>
        <v>2019</v>
      </c>
      <c r="AR472" s="6">
        <f t="shared" ca="1" si="143"/>
        <v>11</v>
      </c>
      <c r="AS472" s="68">
        <f ca="1">IFERROR(__xludf.DUMMYFUNCTION("""COMPUTED_VALUE"""),43784.9986111111)</f>
        <v>43784.998611111099</v>
      </c>
      <c r="AT472" s="6">
        <f ca="1">IFERROR(__xludf.DUMMYFUNCTION("""COMPUTED_VALUE"""),1468.5)</f>
        <v>1468.5</v>
      </c>
    </row>
    <row r="473" spans="2:46" x14ac:dyDescent="0.35">
      <c r="B473" s="6" t="str">
        <f t="shared" ca="1" si="126"/>
        <v>201911</v>
      </c>
      <c r="C473" s="6">
        <f t="shared" ca="1" si="127"/>
        <v>2019</v>
      </c>
      <c r="D473" s="6">
        <f t="shared" ca="1" si="128"/>
        <v>11</v>
      </c>
      <c r="E473" s="68">
        <f ca="1">IFERROR(__xludf.DUMMYFUNCTION("""COMPUTED_VALUE"""),43776.6666666666)</f>
        <v>43776.666666666599</v>
      </c>
      <c r="F473" s="6">
        <f ca="1">IFERROR(__xludf.DUMMYFUNCTION("""COMPUTED_VALUE"""),3085.18)</f>
        <v>3085.18</v>
      </c>
      <c r="J473" s="6" t="str">
        <f t="shared" ca="1" si="129"/>
        <v>201911</v>
      </c>
      <c r="K473" s="6">
        <f t="shared" ca="1" si="130"/>
        <v>2019</v>
      </c>
      <c r="L473" s="6">
        <f t="shared" ca="1" si="131"/>
        <v>11</v>
      </c>
      <c r="M473" s="68">
        <f ca="1">IFERROR(__xludf.DUMMYFUNCTION("""COMPUTED_VALUE"""),43775.6666666666)</f>
        <v>43775.666666666599</v>
      </c>
      <c r="N473" s="6">
        <f ca="1">IFERROR(__xludf.DUMMYFUNCTION("""COMPUTED_VALUE"""),8410.63)</f>
        <v>8410.6299999999992</v>
      </c>
      <c r="R473" s="6" t="str">
        <f t="shared" ca="1" si="132"/>
        <v>201912</v>
      </c>
      <c r="S473" s="6">
        <f t="shared" ca="1" si="133"/>
        <v>2019</v>
      </c>
      <c r="T473" s="6">
        <f t="shared" ca="1" si="134"/>
        <v>12</v>
      </c>
      <c r="U473" s="68">
        <f ca="1">IFERROR(__xludf.DUMMYFUNCTION("""COMPUTED_VALUE"""),43803.6458333333)</f>
        <v>43803.645833333299</v>
      </c>
      <c r="V473" s="6">
        <f ca="1">IFERROR(__xludf.DUMMYFUNCTION("""COMPUTED_VALUE"""),2068.89)</f>
        <v>2068.89</v>
      </c>
      <c r="Z473" s="6" t="str">
        <f t="shared" ca="1" si="135"/>
        <v>20195</v>
      </c>
      <c r="AA473" s="6">
        <f t="shared" ca="1" si="136"/>
        <v>2019</v>
      </c>
      <c r="AB473" s="6">
        <f t="shared" ca="1" si="137"/>
        <v>5</v>
      </c>
      <c r="AC473" s="68">
        <f ca="1">IFERROR(__xludf.DUMMYFUNCTION("""COMPUTED_VALUE"""),43593.9986111111)</f>
        <v>43593.998611111099</v>
      </c>
      <c r="AD473" s="6">
        <f ca="1">IFERROR(__xludf.DUMMYFUNCTION("""COMPUTED_VALUE"""),1172.19)</f>
        <v>1172.19</v>
      </c>
      <c r="AH473" s="6" t="str">
        <f t="shared" ca="1" si="138"/>
        <v>20194</v>
      </c>
      <c r="AI473" s="6">
        <f t="shared" ca="1" si="139"/>
        <v>2019</v>
      </c>
      <c r="AJ473" s="6">
        <f t="shared" ca="1" si="140"/>
        <v>4</v>
      </c>
      <c r="AK473" s="68">
        <f ca="1">IFERROR(__xludf.DUMMYFUNCTION("""COMPUTED_VALUE"""),43565.9986111111)</f>
        <v>43565.998611111099</v>
      </c>
      <c r="AL473" s="6">
        <f ca="1">IFERROR(__xludf.DUMMYFUNCTION("""COMPUTED_VALUE"""),5312.551)</f>
        <v>5312.5510000000004</v>
      </c>
      <c r="AP473" s="6" t="str">
        <f t="shared" ca="1" si="141"/>
        <v>201911</v>
      </c>
      <c r="AQ473" s="6">
        <f t="shared" ca="1" si="142"/>
        <v>2019</v>
      </c>
      <c r="AR473" s="6">
        <f t="shared" ca="1" si="143"/>
        <v>11</v>
      </c>
      <c r="AS473" s="68">
        <f ca="1">IFERROR(__xludf.DUMMYFUNCTION("""COMPUTED_VALUE"""),43787.9986111111)</f>
        <v>43787.998611111099</v>
      </c>
      <c r="AT473" s="6">
        <f ca="1">IFERROR(__xludf.DUMMYFUNCTION("""COMPUTED_VALUE"""),1471.9)</f>
        <v>1471.9</v>
      </c>
    </row>
    <row r="474" spans="2:46" x14ac:dyDescent="0.35">
      <c r="B474" s="6" t="str">
        <f t="shared" ca="1" si="126"/>
        <v>201911</v>
      </c>
      <c r="C474" s="6">
        <f t="shared" ca="1" si="127"/>
        <v>2019</v>
      </c>
      <c r="D474" s="6">
        <f t="shared" ca="1" si="128"/>
        <v>11</v>
      </c>
      <c r="E474" s="68">
        <f ca="1">IFERROR(__xludf.DUMMYFUNCTION("""COMPUTED_VALUE"""),43777.6666666666)</f>
        <v>43777.666666666599</v>
      </c>
      <c r="F474" s="6">
        <f ca="1">IFERROR(__xludf.DUMMYFUNCTION("""COMPUTED_VALUE"""),3093.08)</f>
        <v>3093.08</v>
      </c>
      <c r="J474" s="6" t="str">
        <f t="shared" ca="1" si="129"/>
        <v>201911</v>
      </c>
      <c r="K474" s="6">
        <f t="shared" ca="1" si="130"/>
        <v>2019</v>
      </c>
      <c r="L474" s="6">
        <f t="shared" ca="1" si="131"/>
        <v>11</v>
      </c>
      <c r="M474" s="68">
        <f ca="1">IFERROR(__xludf.DUMMYFUNCTION("""COMPUTED_VALUE"""),43776.6666666666)</f>
        <v>43776.666666666599</v>
      </c>
      <c r="N474" s="6">
        <f ca="1">IFERROR(__xludf.DUMMYFUNCTION("""COMPUTED_VALUE"""),8434.52)</f>
        <v>8434.52</v>
      </c>
      <c r="R474" s="6" t="str">
        <f t="shared" ca="1" si="132"/>
        <v>201912</v>
      </c>
      <c r="S474" s="6">
        <f t="shared" ca="1" si="133"/>
        <v>2019</v>
      </c>
      <c r="T474" s="6">
        <f t="shared" ca="1" si="134"/>
        <v>12</v>
      </c>
      <c r="U474" s="68">
        <f ca="1">IFERROR(__xludf.DUMMYFUNCTION("""COMPUTED_VALUE"""),43804.6458333333)</f>
        <v>43804.645833333299</v>
      </c>
      <c r="V474" s="6">
        <f ca="1">IFERROR(__xludf.DUMMYFUNCTION("""COMPUTED_VALUE"""),2060.74)</f>
        <v>2060.7399999999998</v>
      </c>
      <c r="Z474" s="6" t="str">
        <f t="shared" ca="1" si="135"/>
        <v>20195</v>
      </c>
      <c r="AA474" s="6">
        <f t="shared" ca="1" si="136"/>
        <v>2019</v>
      </c>
      <c r="AB474" s="6">
        <f t="shared" ca="1" si="137"/>
        <v>5</v>
      </c>
      <c r="AC474" s="68">
        <f ca="1">IFERROR(__xludf.DUMMYFUNCTION("""COMPUTED_VALUE"""),43594.9986111111)</f>
        <v>43594.998611111099</v>
      </c>
      <c r="AD474" s="6">
        <f ca="1">IFERROR(__xludf.DUMMYFUNCTION("""COMPUTED_VALUE"""),1179.19)</f>
        <v>1179.19</v>
      </c>
      <c r="AH474" s="6" t="str">
        <f t="shared" ca="1" si="138"/>
        <v>20194</v>
      </c>
      <c r="AI474" s="6">
        <f t="shared" ca="1" si="139"/>
        <v>2019</v>
      </c>
      <c r="AJ474" s="6">
        <f t="shared" ca="1" si="140"/>
        <v>4</v>
      </c>
      <c r="AK474" s="68">
        <f ca="1">IFERROR(__xludf.DUMMYFUNCTION("""COMPUTED_VALUE"""),43566.9986111111)</f>
        <v>43566.998611111099</v>
      </c>
      <c r="AL474" s="6">
        <f ca="1">IFERROR(__xludf.DUMMYFUNCTION("""COMPUTED_VALUE"""),5039.996)</f>
        <v>5039.9960000000001</v>
      </c>
      <c r="AP474" s="6" t="str">
        <f t="shared" ca="1" si="141"/>
        <v>201911</v>
      </c>
      <c r="AQ474" s="6">
        <f t="shared" ca="1" si="142"/>
        <v>2019</v>
      </c>
      <c r="AR474" s="6">
        <f t="shared" ca="1" si="143"/>
        <v>11</v>
      </c>
      <c r="AS474" s="68">
        <f ca="1">IFERROR(__xludf.DUMMYFUNCTION("""COMPUTED_VALUE"""),43788.9986111111)</f>
        <v>43788.998611111099</v>
      </c>
      <c r="AT474" s="6">
        <f ca="1">IFERROR(__xludf.DUMMYFUNCTION("""COMPUTED_VALUE"""),1474.3)</f>
        <v>1474.3</v>
      </c>
    </row>
    <row r="475" spans="2:46" x14ac:dyDescent="0.35">
      <c r="B475" s="6" t="str">
        <f t="shared" ca="1" si="126"/>
        <v>201911</v>
      </c>
      <c r="C475" s="6">
        <f t="shared" ca="1" si="127"/>
        <v>2019</v>
      </c>
      <c r="D475" s="6">
        <f t="shared" ca="1" si="128"/>
        <v>11</v>
      </c>
      <c r="E475" s="68">
        <f ca="1">IFERROR(__xludf.DUMMYFUNCTION("""COMPUTED_VALUE"""),43780.6666666666)</f>
        <v>43780.666666666599</v>
      </c>
      <c r="F475" s="6">
        <f ca="1">IFERROR(__xludf.DUMMYFUNCTION("""COMPUTED_VALUE"""),3087.01)</f>
        <v>3087.01</v>
      </c>
      <c r="J475" s="6" t="str">
        <f t="shared" ca="1" si="129"/>
        <v>201911</v>
      </c>
      <c r="K475" s="6">
        <f t="shared" ca="1" si="130"/>
        <v>2019</v>
      </c>
      <c r="L475" s="6">
        <f t="shared" ca="1" si="131"/>
        <v>11</v>
      </c>
      <c r="M475" s="68">
        <f ca="1">IFERROR(__xludf.DUMMYFUNCTION("""COMPUTED_VALUE"""),43777.6666666666)</f>
        <v>43777.666666666599</v>
      </c>
      <c r="N475" s="6">
        <f ca="1">IFERROR(__xludf.DUMMYFUNCTION("""COMPUTED_VALUE"""),8475.31)</f>
        <v>8475.31</v>
      </c>
      <c r="R475" s="6" t="str">
        <f t="shared" ca="1" si="132"/>
        <v>201912</v>
      </c>
      <c r="S475" s="6">
        <f t="shared" ca="1" si="133"/>
        <v>2019</v>
      </c>
      <c r="T475" s="6">
        <f t="shared" ca="1" si="134"/>
        <v>12</v>
      </c>
      <c r="U475" s="68">
        <f ca="1">IFERROR(__xludf.DUMMYFUNCTION("""COMPUTED_VALUE"""),43805.6458333333)</f>
        <v>43805.645833333299</v>
      </c>
      <c r="V475" s="6">
        <f ca="1">IFERROR(__xludf.DUMMYFUNCTION("""COMPUTED_VALUE"""),2081.85)</f>
        <v>2081.85</v>
      </c>
      <c r="Z475" s="6" t="str">
        <f t="shared" ca="1" si="135"/>
        <v>20195</v>
      </c>
      <c r="AA475" s="6">
        <f t="shared" ca="1" si="136"/>
        <v>2019</v>
      </c>
      <c r="AB475" s="6">
        <f t="shared" ca="1" si="137"/>
        <v>5</v>
      </c>
      <c r="AC475" s="68">
        <f ca="1">IFERROR(__xludf.DUMMYFUNCTION("""COMPUTED_VALUE"""),43595.9986111111)</f>
        <v>43595.998611111099</v>
      </c>
      <c r="AD475" s="6">
        <f ca="1">IFERROR(__xludf.DUMMYFUNCTION("""COMPUTED_VALUE"""),1173.95)</f>
        <v>1173.95</v>
      </c>
      <c r="AH475" s="6" t="str">
        <f t="shared" ca="1" si="138"/>
        <v>20194</v>
      </c>
      <c r="AI475" s="6">
        <f t="shared" ca="1" si="139"/>
        <v>2019</v>
      </c>
      <c r="AJ475" s="6">
        <f t="shared" ca="1" si="140"/>
        <v>4</v>
      </c>
      <c r="AK475" s="68">
        <f ca="1">IFERROR(__xludf.DUMMYFUNCTION("""COMPUTED_VALUE"""),43567.9986111111)</f>
        <v>43567.998611111099</v>
      </c>
      <c r="AL475" s="6">
        <f ca="1">IFERROR(__xludf.DUMMYFUNCTION("""COMPUTED_VALUE"""),5087.412)</f>
        <v>5087.4120000000003</v>
      </c>
      <c r="AP475" s="6" t="str">
        <f t="shared" ca="1" si="141"/>
        <v>201911</v>
      </c>
      <c r="AQ475" s="6">
        <f t="shared" ca="1" si="142"/>
        <v>2019</v>
      </c>
      <c r="AR475" s="6">
        <f t="shared" ca="1" si="143"/>
        <v>11</v>
      </c>
      <c r="AS475" s="68">
        <f ca="1">IFERROR(__xludf.DUMMYFUNCTION("""COMPUTED_VALUE"""),43789.9986111111)</f>
        <v>43789.998611111099</v>
      </c>
      <c r="AT475" s="6">
        <f ca="1">IFERROR(__xludf.DUMMYFUNCTION("""COMPUTED_VALUE"""),1474.2)</f>
        <v>1474.2</v>
      </c>
    </row>
    <row r="476" spans="2:46" x14ac:dyDescent="0.35">
      <c r="B476" s="6" t="str">
        <f t="shared" ca="1" si="126"/>
        <v>201911</v>
      </c>
      <c r="C476" s="6">
        <f t="shared" ca="1" si="127"/>
        <v>2019</v>
      </c>
      <c r="D476" s="6">
        <f t="shared" ca="1" si="128"/>
        <v>11</v>
      </c>
      <c r="E476" s="68">
        <f ca="1">IFERROR(__xludf.DUMMYFUNCTION("""COMPUTED_VALUE"""),43781.6666666666)</f>
        <v>43781.666666666599</v>
      </c>
      <c r="F476" s="6">
        <f ca="1">IFERROR(__xludf.DUMMYFUNCTION("""COMPUTED_VALUE"""),3091.84)</f>
        <v>3091.84</v>
      </c>
      <c r="J476" s="6" t="str">
        <f t="shared" ca="1" si="129"/>
        <v>201911</v>
      </c>
      <c r="K476" s="6">
        <f t="shared" ca="1" si="130"/>
        <v>2019</v>
      </c>
      <c r="L476" s="6">
        <f t="shared" ca="1" si="131"/>
        <v>11</v>
      </c>
      <c r="M476" s="68">
        <f ca="1">IFERROR(__xludf.DUMMYFUNCTION("""COMPUTED_VALUE"""),43780.6666666666)</f>
        <v>43780.666666666599</v>
      </c>
      <c r="N476" s="6">
        <f ca="1">IFERROR(__xludf.DUMMYFUNCTION("""COMPUTED_VALUE"""),8464.28)</f>
        <v>8464.2800000000007</v>
      </c>
      <c r="R476" s="6" t="str">
        <f t="shared" ca="1" si="132"/>
        <v>201912</v>
      </c>
      <c r="S476" s="6">
        <f t="shared" ca="1" si="133"/>
        <v>2019</v>
      </c>
      <c r="T476" s="6">
        <f t="shared" ca="1" si="134"/>
        <v>12</v>
      </c>
      <c r="U476" s="68">
        <f ca="1">IFERROR(__xludf.DUMMYFUNCTION("""COMPUTED_VALUE"""),43808.6458333333)</f>
        <v>43808.645833333299</v>
      </c>
      <c r="V476" s="6">
        <f ca="1">IFERROR(__xludf.DUMMYFUNCTION("""COMPUTED_VALUE"""),2088.65)</f>
        <v>2088.65</v>
      </c>
      <c r="Z476" s="6" t="str">
        <f t="shared" ca="1" si="135"/>
        <v>20195</v>
      </c>
      <c r="AA476" s="6">
        <f t="shared" ca="1" si="136"/>
        <v>2019</v>
      </c>
      <c r="AB476" s="6">
        <f t="shared" ca="1" si="137"/>
        <v>5</v>
      </c>
      <c r="AC476" s="68">
        <f ca="1">IFERROR(__xludf.DUMMYFUNCTION("""COMPUTED_VALUE"""),43597.9986111111)</f>
        <v>43597.998611111099</v>
      </c>
      <c r="AD476" s="6">
        <f ca="1">IFERROR(__xludf.DUMMYFUNCTION("""COMPUTED_VALUE"""),1174.42)</f>
        <v>1174.42</v>
      </c>
      <c r="AH476" s="6" t="str">
        <f t="shared" ca="1" si="138"/>
        <v>20194</v>
      </c>
      <c r="AI476" s="6">
        <f t="shared" ca="1" si="139"/>
        <v>2019</v>
      </c>
      <c r="AJ476" s="6">
        <f t="shared" ca="1" si="140"/>
        <v>4</v>
      </c>
      <c r="AK476" s="68">
        <f ca="1">IFERROR(__xludf.DUMMYFUNCTION("""COMPUTED_VALUE"""),43568.9986111111)</f>
        <v>43568.998611111099</v>
      </c>
      <c r="AL476" s="6">
        <f ca="1">IFERROR(__xludf.DUMMYFUNCTION("""COMPUTED_VALUE"""),5067.361)</f>
        <v>5067.3609999999999</v>
      </c>
      <c r="AP476" s="6" t="str">
        <f t="shared" ca="1" si="141"/>
        <v>201911</v>
      </c>
      <c r="AQ476" s="6">
        <f t="shared" ca="1" si="142"/>
        <v>2019</v>
      </c>
      <c r="AR476" s="6">
        <f t="shared" ca="1" si="143"/>
        <v>11</v>
      </c>
      <c r="AS476" s="68">
        <f ca="1">IFERROR(__xludf.DUMMYFUNCTION("""COMPUTED_VALUE"""),43790.9986111111)</f>
        <v>43790.998611111099</v>
      </c>
      <c r="AT476" s="6">
        <f ca="1">IFERROR(__xludf.DUMMYFUNCTION("""COMPUTED_VALUE"""),1463.6)</f>
        <v>1463.6</v>
      </c>
    </row>
    <row r="477" spans="2:46" x14ac:dyDescent="0.35">
      <c r="B477" s="6" t="str">
        <f t="shared" ca="1" si="126"/>
        <v>201911</v>
      </c>
      <c r="C477" s="6">
        <f t="shared" ca="1" si="127"/>
        <v>2019</v>
      </c>
      <c r="D477" s="6">
        <f t="shared" ca="1" si="128"/>
        <v>11</v>
      </c>
      <c r="E477" s="68">
        <f ca="1">IFERROR(__xludf.DUMMYFUNCTION("""COMPUTED_VALUE"""),43782.6666666666)</f>
        <v>43782.666666666599</v>
      </c>
      <c r="F477" s="6">
        <f ca="1">IFERROR(__xludf.DUMMYFUNCTION("""COMPUTED_VALUE"""),3094.04)</f>
        <v>3094.04</v>
      </c>
      <c r="J477" s="6" t="str">
        <f t="shared" ca="1" si="129"/>
        <v>201911</v>
      </c>
      <c r="K477" s="6">
        <f t="shared" ca="1" si="130"/>
        <v>2019</v>
      </c>
      <c r="L477" s="6">
        <f t="shared" ca="1" si="131"/>
        <v>11</v>
      </c>
      <c r="M477" s="68">
        <f ca="1">IFERROR(__xludf.DUMMYFUNCTION("""COMPUTED_VALUE"""),43781.6666666666)</f>
        <v>43781.666666666599</v>
      </c>
      <c r="N477" s="6">
        <f ca="1">IFERROR(__xludf.DUMMYFUNCTION("""COMPUTED_VALUE"""),8486.09)</f>
        <v>8486.09</v>
      </c>
      <c r="R477" s="6" t="str">
        <f t="shared" ca="1" si="132"/>
        <v>201912</v>
      </c>
      <c r="S477" s="6">
        <f t="shared" ca="1" si="133"/>
        <v>2019</v>
      </c>
      <c r="T477" s="6">
        <f t="shared" ca="1" si="134"/>
        <v>12</v>
      </c>
      <c r="U477" s="68">
        <f ca="1">IFERROR(__xludf.DUMMYFUNCTION("""COMPUTED_VALUE"""),43809.6458333333)</f>
        <v>43809.645833333299</v>
      </c>
      <c r="V477" s="6">
        <f ca="1">IFERROR(__xludf.DUMMYFUNCTION("""COMPUTED_VALUE"""),2098)</f>
        <v>2098</v>
      </c>
      <c r="Z477" s="6" t="str">
        <f t="shared" ca="1" si="135"/>
        <v>20195</v>
      </c>
      <c r="AA477" s="6">
        <f t="shared" ca="1" si="136"/>
        <v>2019</v>
      </c>
      <c r="AB477" s="6">
        <f t="shared" ca="1" si="137"/>
        <v>5</v>
      </c>
      <c r="AC477" s="68">
        <f ca="1">IFERROR(__xludf.DUMMYFUNCTION("""COMPUTED_VALUE"""),43598.9986111111)</f>
        <v>43598.998611111099</v>
      </c>
      <c r="AD477" s="6">
        <f ca="1">IFERROR(__xludf.DUMMYFUNCTION("""COMPUTED_VALUE"""),1187.18)</f>
        <v>1187.18</v>
      </c>
      <c r="AH477" s="6" t="str">
        <f t="shared" ca="1" si="138"/>
        <v>20194</v>
      </c>
      <c r="AI477" s="6">
        <f t="shared" ca="1" si="139"/>
        <v>2019</v>
      </c>
      <c r="AJ477" s="6">
        <f t="shared" ca="1" si="140"/>
        <v>4</v>
      </c>
      <c r="AK477" s="68">
        <f ca="1">IFERROR(__xludf.DUMMYFUNCTION("""COMPUTED_VALUE"""),43569.9986111111)</f>
        <v>43569.998611111099</v>
      </c>
      <c r="AL477" s="6">
        <f ca="1">IFERROR(__xludf.DUMMYFUNCTION("""COMPUTED_VALUE"""),5173.506)</f>
        <v>5173.5060000000003</v>
      </c>
      <c r="AP477" s="6" t="str">
        <f t="shared" ca="1" si="141"/>
        <v>201911</v>
      </c>
      <c r="AQ477" s="6">
        <f t="shared" ca="1" si="142"/>
        <v>2019</v>
      </c>
      <c r="AR477" s="6">
        <f t="shared" ca="1" si="143"/>
        <v>11</v>
      </c>
      <c r="AS477" s="68">
        <f ca="1">IFERROR(__xludf.DUMMYFUNCTION("""COMPUTED_VALUE"""),43791.9986111111)</f>
        <v>43791.998611111099</v>
      </c>
      <c r="AT477" s="6">
        <f ca="1">IFERROR(__xludf.DUMMYFUNCTION("""COMPUTED_VALUE"""),1470.5)</f>
        <v>1470.5</v>
      </c>
    </row>
    <row r="478" spans="2:46" x14ac:dyDescent="0.35">
      <c r="B478" s="6" t="str">
        <f t="shared" ca="1" si="126"/>
        <v>201911</v>
      </c>
      <c r="C478" s="6">
        <f t="shared" ca="1" si="127"/>
        <v>2019</v>
      </c>
      <c r="D478" s="6">
        <f t="shared" ca="1" si="128"/>
        <v>11</v>
      </c>
      <c r="E478" s="68">
        <f ca="1">IFERROR(__xludf.DUMMYFUNCTION("""COMPUTED_VALUE"""),43783.6666666666)</f>
        <v>43783.666666666599</v>
      </c>
      <c r="F478" s="6">
        <f ca="1">IFERROR(__xludf.DUMMYFUNCTION("""COMPUTED_VALUE"""),3096.63)</f>
        <v>3096.63</v>
      </c>
      <c r="J478" s="6" t="str">
        <f t="shared" ca="1" si="129"/>
        <v>201911</v>
      </c>
      <c r="K478" s="6">
        <f t="shared" ca="1" si="130"/>
        <v>2019</v>
      </c>
      <c r="L478" s="6">
        <f t="shared" ca="1" si="131"/>
        <v>11</v>
      </c>
      <c r="M478" s="68">
        <f ca="1">IFERROR(__xludf.DUMMYFUNCTION("""COMPUTED_VALUE"""),43782.6666666666)</f>
        <v>43782.666666666599</v>
      </c>
      <c r="N478" s="6">
        <f ca="1">IFERROR(__xludf.DUMMYFUNCTION("""COMPUTED_VALUE"""),8482.1)</f>
        <v>8482.1</v>
      </c>
      <c r="R478" s="6" t="str">
        <f t="shared" ca="1" si="132"/>
        <v>201912</v>
      </c>
      <c r="S478" s="6">
        <f t="shared" ca="1" si="133"/>
        <v>2019</v>
      </c>
      <c r="T478" s="6">
        <f t="shared" ca="1" si="134"/>
        <v>12</v>
      </c>
      <c r="U478" s="68">
        <f ca="1">IFERROR(__xludf.DUMMYFUNCTION("""COMPUTED_VALUE"""),43810.6458333333)</f>
        <v>43810.645833333299</v>
      </c>
      <c r="V478" s="6">
        <f ca="1">IFERROR(__xludf.DUMMYFUNCTION("""COMPUTED_VALUE"""),2105.62)</f>
        <v>2105.62</v>
      </c>
      <c r="Z478" s="6" t="str">
        <f t="shared" ca="1" si="135"/>
        <v>20195</v>
      </c>
      <c r="AA478" s="6">
        <f t="shared" ca="1" si="136"/>
        <v>2019</v>
      </c>
      <c r="AB478" s="6">
        <f t="shared" ca="1" si="137"/>
        <v>5</v>
      </c>
      <c r="AC478" s="68">
        <f ca="1">IFERROR(__xludf.DUMMYFUNCTION("""COMPUTED_VALUE"""),43599.9986111111)</f>
        <v>43599.998611111099</v>
      </c>
      <c r="AD478" s="6">
        <f ca="1">IFERROR(__xludf.DUMMYFUNCTION("""COMPUTED_VALUE"""),1186.93)</f>
        <v>1186.93</v>
      </c>
      <c r="AH478" s="6" t="str">
        <f t="shared" ca="1" si="138"/>
        <v>20194</v>
      </c>
      <c r="AI478" s="6">
        <f t="shared" ca="1" si="139"/>
        <v>2019</v>
      </c>
      <c r="AJ478" s="6">
        <f t="shared" ca="1" si="140"/>
        <v>4</v>
      </c>
      <c r="AK478" s="68">
        <f ca="1">IFERROR(__xludf.DUMMYFUNCTION("""COMPUTED_VALUE"""),43570.9986111111)</f>
        <v>43570.998611111099</v>
      </c>
      <c r="AL478" s="6">
        <f ca="1">IFERROR(__xludf.DUMMYFUNCTION("""COMPUTED_VALUE"""),5037.448)</f>
        <v>5037.4480000000003</v>
      </c>
      <c r="AP478" s="6" t="str">
        <f t="shared" ca="1" si="141"/>
        <v>201911</v>
      </c>
      <c r="AQ478" s="6">
        <f t="shared" ca="1" si="142"/>
        <v>2019</v>
      </c>
      <c r="AR478" s="6">
        <f t="shared" ca="1" si="143"/>
        <v>11</v>
      </c>
      <c r="AS478" s="68">
        <f ca="1">IFERROR(__xludf.DUMMYFUNCTION("""COMPUTED_VALUE"""),43794.9986111111)</f>
        <v>43794.998611111099</v>
      </c>
      <c r="AT478" s="6">
        <f ca="1">IFERROR(__xludf.DUMMYFUNCTION("""COMPUTED_VALUE"""),1463.8)</f>
        <v>1463.8</v>
      </c>
    </row>
    <row r="479" spans="2:46" x14ac:dyDescent="0.35">
      <c r="B479" s="6" t="str">
        <f t="shared" ca="1" si="126"/>
        <v>201911</v>
      </c>
      <c r="C479" s="6">
        <f t="shared" ca="1" si="127"/>
        <v>2019</v>
      </c>
      <c r="D479" s="6">
        <f t="shared" ca="1" si="128"/>
        <v>11</v>
      </c>
      <c r="E479" s="68">
        <f ca="1">IFERROR(__xludf.DUMMYFUNCTION("""COMPUTED_VALUE"""),43784.6666666666)</f>
        <v>43784.666666666599</v>
      </c>
      <c r="F479" s="6">
        <f ca="1">IFERROR(__xludf.DUMMYFUNCTION("""COMPUTED_VALUE"""),3120.46)</f>
        <v>3120.46</v>
      </c>
      <c r="J479" s="6" t="str">
        <f t="shared" ca="1" si="129"/>
        <v>201911</v>
      </c>
      <c r="K479" s="6">
        <f t="shared" ca="1" si="130"/>
        <v>2019</v>
      </c>
      <c r="L479" s="6">
        <f t="shared" ca="1" si="131"/>
        <v>11</v>
      </c>
      <c r="M479" s="68">
        <f ca="1">IFERROR(__xludf.DUMMYFUNCTION("""COMPUTED_VALUE"""),43783.6666666666)</f>
        <v>43783.666666666599</v>
      </c>
      <c r="N479" s="6">
        <f ca="1">IFERROR(__xludf.DUMMYFUNCTION("""COMPUTED_VALUE"""),8479.02)</f>
        <v>8479.02</v>
      </c>
      <c r="R479" s="6" t="str">
        <f t="shared" ca="1" si="132"/>
        <v>201912</v>
      </c>
      <c r="S479" s="6">
        <f t="shared" ca="1" si="133"/>
        <v>2019</v>
      </c>
      <c r="T479" s="6">
        <f t="shared" ca="1" si="134"/>
        <v>12</v>
      </c>
      <c r="U479" s="68">
        <f ca="1">IFERROR(__xludf.DUMMYFUNCTION("""COMPUTED_VALUE"""),43811.6458333333)</f>
        <v>43811.645833333299</v>
      </c>
      <c r="V479" s="6">
        <f ca="1">IFERROR(__xludf.DUMMYFUNCTION("""COMPUTED_VALUE"""),2137.35)</f>
        <v>2137.35</v>
      </c>
      <c r="Z479" s="6" t="str">
        <f t="shared" ca="1" si="135"/>
        <v>20195</v>
      </c>
      <c r="AA479" s="6">
        <f t="shared" ca="1" si="136"/>
        <v>2019</v>
      </c>
      <c r="AB479" s="6">
        <f t="shared" ca="1" si="137"/>
        <v>5</v>
      </c>
      <c r="AC479" s="68">
        <f ca="1">IFERROR(__xludf.DUMMYFUNCTION("""COMPUTED_VALUE"""),43600.9986111111)</f>
        <v>43600.998611111099</v>
      </c>
      <c r="AD479" s="6">
        <f ca="1">IFERROR(__xludf.DUMMYFUNCTION("""COMPUTED_VALUE"""),1186.04)</f>
        <v>1186.04</v>
      </c>
      <c r="AH479" s="6" t="str">
        <f t="shared" ca="1" si="138"/>
        <v>20194</v>
      </c>
      <c r="AI479" s="6">
        <f t="shared" ca="1" si="139"/>
        <v>2019</v>
      </c>
      <c r="AJ479" s="6">
        <f t="shared" ca="1" si="140"/>
        <v>4</v>
      </c>
      <c r="AK479" s="68">
        <f ca="1">IFERROR(__xludf.DUMMYFUNCTION("""COMPUTED_VALUE"""),43571.9986111111)</f>
        <v>43571.998611111099</v>
      </c>
      <c r="AL479" s="6">
        <f ca="1">IFERROR(__xludf.DUMMYFUNCTION("""COMPUTED_VALUE"""),5202.311)</f>
        <v>5202.3109999999997</v>
      </c>
      <c r="AP479" s="6" t="str">
        <f t="shared" ca="1" si="141"/>
        <v>201911</v>
      </c>
      <c r="AQ479" s="6">
        <f t="shared" ca="1" si="142"/>
        <v>2019</v>
      </c>
      <c r="AR479" s="6">
        <f t="shared" ca="1" si="143"/>
        <v>11</v>
      </c>
      <c r="AS479" s="68">
        <f ca="1">IFERROR(__xludf.DUMMYFUNCTION("""COMPUTED_VALUE"""),43795.9986111111)</f>
        <v>43795.998611111099</v>
      </c>
      <c r="AT479" s="6">
        <f ca="1">IFERROR(__xludf.DUMMYFUNCTION("""COMPUTED_VALUE"""),1467.4)</f>
        <v>1467.4</v>
      </c>
    </row>
    <row r="480" spans="2:46" x14ac:dyDescent="0.35">
      <c r="B480" s="6" t="str">
        <f t="shared" ca="1" si="126"/>
        <v>201911</v>
      </c>
      <c r="C480" s="6">
        <f t="shared" ca="1" si="127"/>
        <v>2019</v>
      </c>
      <c r="D480" s="6">
        <f t="shared" ca="1" si="128"/>
        <v>11</v>
      </c>
      <c r="E480" s="68">
        <f ca="1">IFERROR(__xludf.DUMMYFUNCTION("""COMPUTED_VALUE"""),43787.6666666666)</f>
        <v>43787.666666666599</v>
      </c>
      <c r="F480" s="6">
        <f ca="1">IFERROR(__xludf.DUMMYFUNCTION("""COMPUTED_VALUE"""),3122.03)</f>
        <v>3122.03</v>
      </c>
      <c r="J480" s="6" t="str">
        <f t="shared" ca="1" si="129"/>
        <v>201911</v>
      </c>
      <c r="K480" s="6">
        <f t="shared" ca="1" si="130"/>
        <v>2019</v>
      </c>
      <c r="L480" s="6">
        <f t="shared" ca="1" si="131"/>
        <v>11</v>
      </c>
      <c r="M480" s="68">
        <f ca="1">IFERROR(__xludf.DUMMYFUNCTION("""COMPUTED_VALUE"""),43784.6666666666)</f>
        <v>43784.666666666599</v>
      </c>
      <c r="N480" s="6">
        <f ca="1">IFERROR(__xludf.DUMMYFUNCTION("""COMPUTED_VALUE"""),8540.83)</f>
        <v>8540.83</v>
      </c>
      <c r="R480" s="6" t="str">
        <f t="shared" ca="1" si="132"/>
        <v>201912</v>
      </c>
      <c r="S480" s="6">
        <f t="shared" ca="1" si="133"/>
        <v>2019</v>
      </c>
      <c r="T480" s="6">
        <f t="shared" ca="1" si="134"/>
        <v>12</v>
      </c>
      <c r="U480" s="68">
        <f ca="1">IFERROR(__xludf.DUMMYFUNCTION("""COMPUTED_VALUE"""),43815.6458333333)</f>
        <v>43815.645833333299</v>
      </c>
      <c r="V480" s="6">
        <f ca="1">IFERROR(__xludf.DUMMYFUNCTION("""COMPUTED_VALUE"""),2168.15)</f>
        <v>2168.15</v>
      </c>
      <c r="Z480" s="6" t="str">
        <f t="shared" ca="1" si="135"/>
        <v>20195</v>
      </c>
      <c r="AA480" s="6">
        <f t="shared" ca="1" si="136"/>
        <v>2019</v>
      </c>
      <c r="AB480" s="6">
        <f t="shared" ca="1" si="137"/>
        <v>5</v>
      </c>
      <c r="AC480" s="68">
        <f ca="1">IFERROR(__xludf.DUMMYFUNCTION("""COMPUTED_VALUE"""),43601.9986111111)</f>
        <v>43601.998611111099</v>
      </c>
      <c r="AD480" s="6">
        <f ca="1">IFERROR(__xludf.DUMMYFUNCTION("""COMPUTED_VALUE"""),1190.49)</f>
        <v>1190.49</v>
      </c>
      <c r="AH480" s="6" t="str">
        <f t="shared" ca="1" si="138"/>
        <v>20194</v>
      </c>
      <c r="AI480" s="6">
        <f t="shared" ca="1" si="139"/>
        <v>2019</v>
      </c>
      <c r="AJ480" s="6">
        <f t="shared" ca="1" si="140"/>
        <v>4</v>
      </c>
      <c r="AK480" s="68">
        <f ca="1">IFERROR(__xludf.DUMMYFUNCTION("""COMPUTED_VALUE"""),43572.9986111111)</f>
        <v>43572.998611111099</v>
      </c>
      <c r="AL480" s="6">
        <f ca="1">IFERROR(__xludf.DUMMYFUNCTION("""COMPUTED_VALUE"""),5237.68)</f>
        <v>5237.68</v>
      </c>
      <c r="AP480" s="6" t="str">
        <f t="shared" ca="1" si="141"/>
        <v>201911</v>
      </c>
      <c r="AQ480" s="6">
        <f t="shared" ca="1" si="142"/>
        <v>2019</v>
      </c>
      <c r="AR480" s="6">
        <f t="shared" ca="1" si="143"/>
        <v>11</v>
      </c>
      <c r="AS480" s="68">
        <f ca="1">IFERROR(__xludf.DUMMYFUNCTION("""COMPUTED_VALUE"""),43798.5416666666)</f>
        <v>43798.541666666599</v>
      </c>
      <c r="AT480" s="6">
        <f ca="1">IFERROR(__xludf.DUMMYFUNCTION("""COMPUTED_VALUE"""),1472.7)</f>
        <v>1472.7</v>
      </c>
    </row>
    <row r="481" spans="2:46" x14ac:dyDescent="0.35">
      <c r="B481" s="6" t="str">
        <f t="shared" ca="1" si="126"/>
        <v>201911</v>
      </c>
      <c r="C481" s="6">
        <f t="shared" ca="1" si="127"/>
        <v>2019</v>
      </c>
      <c r="D481" s="6">
        <f t="shared" ca="1" si="128"/>
        <v>11</v>
      </c>
      <c r="E481" s="68">
        <f ca="1">IFERROR(__xludf.DUMMYFUNCTION("""COMPUTED_VALUE"""),43788.6666666666)</f>
        <v>43788.666666666599</v>
      </c>
      <c r="F481" s="6">
        <f ca="1">IFERROR(__xludf.DUMMYFUNCTION("""COMPUTED_VALUE"""),3120.18)</f>
        <v>3120.18</v>
      </c>
      <c r="J481" s="6" t="str">
        <f t="shared" ca="1" si="129"/>
        <v>201911</v>
      </c>
      <c r="K481" s="6">
        <f t="shared" ca="1" si="130"/>
        <v>2019</v>
      </c>
      <c r="L481" s="6">
        <f t="shared" ca="1" si="131"/>
        <v>11</v>
      </c>
      <c r="M481" s="68">
        <f ca="1">IFERROR(__xludf.DUMMYFUNCTION("""COMPUTED_VALUE"""),43787.6666666666)</f>
        <v>43787.666666666599</v>
      </c>
      <c r="N481" s="6">
        <f ca="1">IFERROR(__xludf.DUMMYFUNCTION("""COMPUTED_VALUE"""),8549.94)</f>
        <v>8549.94</v>
      </c>
      <c r="R481" s="6" t="str">
        <f t="shared" ca="1" si="132"/>
        <v>201912</v>
      </c>
      <c r="S481" s="6">
        <f t="shared" ca="1" si="133"/>
        <v>2019</v>
      </c>
      <c r="T481" s="6">
        <f t="shared" ca="1" si="134"/>
        <v>12</v>
      </c>
      <c r="U481" s="68">
        <f ca="1">IFERROR(__xludf.DUMMYFUNCTION("""COMPUTED_VALUE"""),43816.6458333333)</f>
        <v>43816.645833333299</v>
      </c>
      <c r="V481" s="6">
        <f ca="1">IFERROR(__xludf.DUMMYFUNCTION("""COMPUTED_VALUE"""),2195.68)</f>
        <v>2195.6799999999998</v>
      </c>
      <c r="Z481" s="6" t="str">
        <f t="shared" ca="1" si="135"/>
        <v>20195</v>
      </c>
      <c r="AA481" s="6">
        <f t="shared" ca="1" si="136"/>
        <v>2019</v>
      </c>
      <c r="AB481" s="6">
        <f t="shared" ca="1" si="137"/>
        <v>5</v>
      </c>
      <c r="AC481" s="68">
        <f ca="1">IFERROR(__xludf.DUMMYFUNCTION("""COMPUTED_VALUE"""),43602.9986111111)</f>
        <v>43602.998611111099</v>
      </c>
      <c r="AD481" s="6">
        <f ca="1">IFERROR(__xludf.DUMMYFUNCTION("""COMPUTED_VALUE"""),1193.74)</f>
        <v>1193.74</v>
      </c>
      <c r="AH481" s="6" t="str">
        <f t="shared" ca="1" si="138"/>
        <v>20194</v>
      </c>
      <c r="AI481" s="6">
        <f t="shared" ca="1" si="139"/>
        <v>2019</v>
      </c>
      <c r="AJ481" s="6">
        <f t="shared" ca="1" si="140"/>
        <v>4</v>
      </c>
      <c r="AK481" s="68">
        <f ca="1">IFERROR(__xludf.DUMMYFUNCTION("""COMPUTED_VALUE"""),43573.9986111111)</f>
        <v>43573.998611111099</v>
      </c>
      <c r="AL481" s="6">
        <f ca="1">IFERROR(__xludf.DUMMYFUNCTION("""COMPUTED_VALUE"""),5288.075)</f>
        <v>5288.0749999999998</v>
      </c>
      <c r="AP481" s="6" t="str">
        <f t="shared" ca="1" si="141"/>
        <v>201912</v>
      </c>
      <c r="AQ481" s="6">
        <f t="shared" ca="1" si="142"/>
        <v>2019</v>
      </c>
      <c r="AR481" s="6">
        <f t="shared" ca="1" si="143"/>
        <v>12</v>
      </c>
      <c r="AS481" s="68">
        <f ca="1">IFERROR(__xludf.DUMMYFUNCTION("""COMPUTED_VALUE"""),43801.9986111111)</f>
        <v>43801.998611111099</v>
      </c>
      <c r="AT481" s="6">
        <f ca="1">IFERROR(__xludf.DUMMYFUNCTION("""COMPUTED_VALUE"""),1469.2)</f>
        <v>1469.2</v>
      </c>
    </row>
    <row r="482" spans="2:46" x14ac:dyDescent="0.35">
      <c r="B482" s="6" t="str">
        <f t="shared" ca="1" si="126"/>
        <v>201911</v>
      </c>
      <c r="C482" s="6">
        <f t="shared" ca="1" si="127"/>
        <v>2019</v>
      </c>
      <c r="D482" s="6">
        <f t="shared" ca="1" si="128"/>
        <v>11</v>
      </c>
      <c r="E482" s="68">
        <f ca="1">IFERROR(__xludf.DUMMYFUNCTION("""COMPUTED_VALUE"""),43789.6666666666)</f>
        <v>43789.666666666599</v>
      </c>
      <c r="F482" s="6">
        <f ca="1">IFERROR(__xludf.DUMMYFUNCTION("""COMPUTED_VALUE"""),3108.46)</f>
        <v>3108.46</v>
      </c>
      <c r="J482" s="6" t="str">
        <f t="shared" ca="1" si="129"/>
        <v>201911</v>
      </c>
      <c r="K482" s="6">
        <f t="shared" ca="1" si="130"/>
        <v>2019</v>
      </c>
      <c r="L482" s="6">
        <f t="shared" ca="1" si="131"/>
        <v>11</v>
      </c>
      <c r="M482" s="68">
        <f ca="1">IFERROR(__xludf.DUMMYFUNCTION("""COMPUTED_VALUE"""),43788.6666666666)</f>
        <v>43788.666666666599</v>
      </c>
      <c r="N482" s="6">
        <f ca="1">IFERROR(__xludf.DUMMYFUNCTION("""COMPUTED_VALUE"""),8570.66)</f>
        <v>8570.66</v>
      </c>
      <c r="R482" s="6" t="str">
        <f t="shared" ca="1" si="132"/>
        <v>201912</v>
      </c>
      <c r="S482" s="6">
        <f t="shared" ca="1" si="133"/>
        <v>2019</v>
      </c>
      <c r="T482" s="6">
        <f t="shared" ca="1" si="134"/>
        <v>12</v>
      </c>
      <c r="U482" s="68">
        <f ca="1">IFERROR(__xludf.DUMMYFUNCTION("""COMPUTED_VALUE"""),43817.6458333333)</f>
        <v>43817.645833333299</v>
      </c>
      <c r="V482" s="6">
        <f ca="1">IFERROR(__xludf.DUMMYFUNCTION("""COMPUTED_VALUE"""),2194.76)</f>
        <v>2194.7600000000002</v>
      </c>
      <c r="Z482" s="6" t="str">
        <f t="shared" ca="1" si="135"/>
        <v>20195</v>
      </c>
      <c r="AA482" s="6">
        <f t="shared" ca="1" si="136"/>
        <v>2019</v>
      </c>
      <c r="AB482" s="6">
        <f t="shared" ca="1" si="137"/>
        <v>5</v>
      </c>
      <c r="AC482" s="68">
        <f ca="1">IFERROR(__xludf.DUMMYFUNCTION("""COMPUTED_VALUE"""),43604.9986111111)</f>
        <v>43604.998611111099</v>
      </c>
      <c r="AD482" s="6">
        <f ca="1">IFERROR(__xludf.DUMMYFUNCTION("""COMPUTED_VALUE"""),1193.83)</f>
        <v>1193.83</v>
      </c>
      <c r="AH482" s="6" t="str">
        <f t="shared" ca="1" si="138"/>
        <v>20194</v>
      </c>
      <c r="AI482" s="6">
        <f t="shared" ca="1" si="139"/>
        <v>2019</v>
      </c>
      <c r="AJ482" s="6">
        <f t="shared" ca="1" si="140"/>
        <v>4</v>
      </c>
      <c r="AK482" s="68">
        <f ca="1">IFERROR(__xludf.DUMMYFUNCTION("""COMPUTED_VALUE"""),43574.9986111111)</f>
        <v>43574.998611111099</v>
      </c>
      <c r="AL482" s="6">
        <f ca="1">IFERROR(__xludf.DUMMYFUNCTION("""COMPUTED_VALUE"""),5299.659)</f>
        <v>5299.6589999999997</v>
      </c>
      <c r="AP482" s="6" t="str">
        <f t="shared" ca="1" si="141"/>
        <v>201912</v>
      </c>
      <c r="AQ482" s="6">
        <f t="shared" ca="1" si="142"/>
        <v>2019</v>
      </c>
      <c r="AR482" s="6">
        <f t="shared" ca="1" si="143"/>
        <v>12</v>
      </c>
      <c r="AS482" s="68">
        <f ca="1">IFERROR(__xludf.DUMMYFUNCTION("""COMPUTED_VALUE"""),43802.9986111111)</f>
        <v>43802.998611111099</v>
      </c>
      <c r="AT482" s="6">
        <f ca="1">IFERROR(__xludf.DUMMYFUNCTION("""COMPUTED_VALUE"""),1484.4)</f>
        <v>1484.4</v>
      </c>
    </row>
    <row r="483" spans="2:46" x14ac:dyDescent="0.35">
      <c r="B483" s="6" t="str">
        <f t="shared" ca="1" si="126"/>
        <v>201911</v>
      </c>
      <c r="C483" s="6">
        <f t="shared" ca="1" si="127"/>
        <v>2019</v>
      </c>
      <c r="D483" s="6">
        <f t="shared" ca="1" si="128"/>
        <v>11</v>
      </c>
      <c r="E483" s="68">
        <f ca="1">IFERROR(__xludf.DUMMYFUNCTION("""COMPUTED_VALUE"""),43790.6666666666)</f>
        <v>43790.666666666599</v>
      </c>
      <c r="F483" s="6">
        <f ca="1">IFERROR(__xludf.DUMMYFUNCTION("""COMPUTED_VALUE"""),3103.54)</f>
        <v>3103.54</v>
      </c>
      <c r="J483" s="6" t="str">
        <f t="shared" ca="1" si="129"/>
        <v>201911</v>
      </c>
      <c r="K483" s="6">
        <f t="shared" ca="1" si="130"/>
        <v>2019</v>
      </c>
      <c r="L483" s="6">
        <f t="shared" ca="1" si="131"/>
        <v>11</v>
      </c>
      <c r="M483" s="68">
        <f ca="1">IFERROR(__xludf.DUMMYFUNCTION("""COMPUTED_VALUE"""),43789.6666666666)</f>
        <v>43789.666666666599</v>
      </c>
      <c r="N483" s="6">
        <f ca="1">IFERROR(__xludf.DUMMYFUNCTION("""COMPUTED_VALUE"""),8526.73)</f>
        <v>8526.73</v>
      </c>
      <c r="R483" s="6" t="str">
        <f t="shared" ca="1" si="132"/>
        <v>201912</v>
      </c>
      <c r="S483" s="6">
        <f t="shared" ca="1" si="133"/>
        <v>2019</v>
      </c>
      <c r="T483" s="6">
        <f t="shared" ca="1" si="134"/>
        <v>12</v>
      </c>
      <c r="U483" s="68">
        <f ca="1">IFERROR(__xludf.DUMMYFUNCTION("""COMPUTED_VALUE"""),43818.6458333333)</f>
        <v>43818.645833333299</v>
      </c>
      <c r="V483" s="6">
        <f ca="1">IFERROR(__xludf.DUMMYFUNCTION("""COMPUTED_VALUE"""),2196.56)</f>
        <v>2196.56</v>
      </c>
      <c r="Z483" s="6" t="str">
        <f t="shared" ca="1" si="135"/>
        <v>20195</v>
      </c>
      <c r="AA483" s="6">
        <f t="shared" ca="1" si="136"/>
        <v>2019</v>
      </c>
      <c r="AB483" s="6">
        <f t="shared" ca="1" si="137"/>
        <v>5</v>
      </c>
      <c r="AC483" s="68">
        <f ca="1">IFERROR(__xludf.DUMMYFUNCTION("""COMPUTED_VALUE"""),43605.9986111111)</f>
        <v>43605.998611111099</v>
      </c>
      <c r="AD483" s="6">
        <f ca="1">IFERROR(__xludf.DUMMYFUNCTION("""COMPUTED_VALUE"""),1193.33)</f>
        <v>1193.33</v>
      </c>
      <c r="AH483" s="6" t="str">
        <f t="shared" ca="1" si="138"/>
        <v>20194</v>
      </c>
      <c r="AI483" s="6">
        <f t="shared" ca="1" si="139"/>
        <v>2019</v>
      </c>
      <c r="AJ483" s="6">
        <f t="shared" ca="1" si="140"/>
        <v>4</v>
      </c>
      <c r="AK483" s="68">
        <f ca="1">IFERROR(__xludf.DUMMYFUNCTION("""COMPUTED_VALUE"""),43575.9986111111)</f>
        <v>43575.998611111099</v>
      </c>
      <c r="AL483" s="6">
        <f ca="1">IFERROR(__xludf.DUMMYFUNCTION("""COMPUTED_VALUE"""),5327.135)</f>
        <v>5327.1350000000002</v>
      </c>
      <c r="AP483" s="6" t="str">
        <f t="shared" ca="1" si="141"/>
        <v>201912</v>
      </c>
      <c r="AQ483" s="6">
        <f t="shared" ca="1" si="142"/>
        <v>2019</v>
      </c>
      <c r="AR483" s="6">
        <f t="shared" ca="1" si="143"/>
        <v>12</v>
      </c>
      <c r="AS483" s="68">
        <f ca="1">IFERROR(__xludf.DUMMYFUNCTION("""COMPUTED_VALUE"""),43803.9986111111)</f>
        <v>43803.998611111099</v>
      </c>
      <c r="AT483" s="6">
        <f ca="1">IFERROR(__xludf.DUMMYFUNCTION("""COMPUTED_VALUE"""),1480.2)</f>
        <v>1480.2</v>
      </c>
    </row>
    <row r="484" spans="2:46" x14ac:dyDescent="0.35">
      <c r="B484" s="6" t="str">
        <f t="shared" ca="1" si="126"/>
        <v>201911</v>
      </c>
      <c r="C484" s="6">
        <f t="shared" ca="1" si="127"/>
        <v>2019</v>
      </c>
      <c r="D484" s="6">
        <f t="shared" ca="1" si="128"/>
        <v>11</v>
      </c>
      <c r="E484" s="68">
        <f ca="1">IFERROR(__xludf.DUMMYFUNCTION("""COMPUTED_VALUE"""),43791.6666666666)</f>
        <v>43791.666666666599</v>
      </c>
      <c r="F484" s="6">
        <f ca="1">IFERROR(__xludf.DUMMYFUNCTION("""COMPUTED_VALUE"""),3110.29)</f>
        <v>3110.29</v>
      </c>
      <c r="J484" s="6" t="str">
        <f t="shared" ca="1" si="129"/>
        <v>201911</v>
      </c>
      <c r="K484" s="6">
        <f t="shared" ca="1" si="130"/>
        <v>2019</v>
      </c>
      <c r="L484" s="6">
        <f t="shared" ca="1" si="131"/>
        <v>11</v>
      </c>
      <c r="M484" s="68">
        <f ca="1">IFERROR(__xludf.DUMMYFUNCTION("""COMPUTED_VALUE"""),43790.6666666666)</f>
        <v>43790.666666666599</v>
      </c>
      <c r="N484" s="6">
        <f ca="1">IFERROR(__xludf.DUMMYFUNCTION("""COMPUTED_VALUE"""),8506.21)</f>
        <v>8506.2099999999991</v>
      </c>
      <c r="R484" s="6" t="str">
        <f t="shared" ca="1" si="132"/>
        <v>201912</v>
      </c>
      <c r="S484" s="6">
        <f t="shared" ca="1" si="133"/>
        <v>2019</v>
      </c>
      <c r="T484" s="6">
        <f t="shared" ca="1" si="134"/>
        <v>12</v>
      </c>
      <c r="U484" s="68">
        <f ca="1">IFERROR(__xludf.DUMMYFUNCTION("""COMPUTED_VALUE"""),43819.6458333333)</f>
        <v>43819.645833333299</v>
      </c>
      <c r="V484" s="6">
        <f ca="1">IFERROR(__xludf.DUMMYFUNCTION("""COMPUTED_VALUE"""),2204.18)</f>
        <v>2204.1799999999998</v>
      </c>
      <c r="Z484" s="6" t="str">
        <f t="shared" ca="1" si="135"/>
        <v>20195</v>
      </c>
      <c r="AA484" s="6">
        <f t="shared" ca="1" si="136"/>
        <v>2019</v>
      </c>
      <c r="AB484" s="6">
        <f t="shared" ca="1" si="137"/>
        <v>5</v>
      </c>
      <c r="AC484" s="68">
        <f ca="1">IFERROR(__xludf.DUMMYFUNCTION("""COMPUTED_VALUE"""),43606.9986111111)</f>
        <v>43606.998611111099</v>
      </c>
      <c r="AD484" s="6">
        <f ca="1">IFERROR(__xludf.DUMMYFUNCTION("""COMPUTED_VALUE"""),1191.72)</f>
        <v>1191.72</v>
      </c>
      <c r="AH484" s="6" t="str">
        <f t="shared" ca="1" si="138"/>
        <v>20194</v>
      </c>
      <c r="AI484" s="6">
        <f t="shared" ca="1" si="139"/>
        <v>2019</v>
      </c>
      <c r="AJ484" s="6">
        <f t="shared" ca="1" si="140"/>
        <v>4</v>
      </c>
      <c r="AK484" s="68">
        <f ca="1">IFERROR(__xludf.DUMMYFUNCTION("""COMPUTED_VALUE"""),43576.9986111111)</f>
        <v>43576.998611111099</v>
      </c>
      <c r="AL484" s="6">
        <f ca="1">IFERROR(__xludf.DUMMYFUNCTION("""COMPUTED_VALUE"""),5306.332)</f>
        <v>5306.3320000000003</v>
      </c>
      <c r="AP484" s="6" t="str">
        <f t="shared" ca="1" si="141"/>
        <v>201912</v>
      </c>
      <c r="AQ484" s="6">
        <f t="shared" ca="1" si="142"/>
        <v>2019</v>
      </c>
      <c r="AR484" s="6">
        <f t="shared" ca="1" si="143"/>
        <v>12</v>
      </c>
      <c r="AS484" s="68">
        <f ca="1">IFERROR(__xludf.DUMMYFUNCTION("""COMPUTED_VALUE"""),43804.9986111111)</f>
        <v>43804.998611111099</v>
      </c>
      <c r="AT484" s="6">
        <f ca="1">IFERROR(__xludf.DUMMYFUNCTION("""COMPUTED_VALUE"""),1483.1)</f>
        <v>1483.1</v>
      </c>
    </row>
    <row r="485" spans="2:46" x14ac:dyDescent="0.35">
      <c r="B485" s="6" t="str">
        <f t="shared" ca="1" si="126"/>
        <v>201911</v>
      </c>
      <c r="C485" s="6">
        <f t="shared" ca="1" si="127"/>
        <v>2019</v>
      </c>
      <c r="D485" s="6">
        <f t="shared" ca="1" si="128"/>
        <v>11</v>
      </c>
      <c r="E485" s="68">
        <f ca="1">IFERROR(__xludf.DUMMYFUNCTION("""COMPUTED_VALUE"""),43794.6666666666)</f>
        <v>43794.666666666599</v>
      </c>
      <c r="F485" s="6">
        <f ca="1">IFERROR(__xludf.DUMMYFUNCTION("""COMPUTED_VALUE"""),3133.64)</f>
        <v>3133.64</v>
      </c>
      <c r="J485" s="6" t="str">
        <f t="shared" ca="1" si="129"/>
        <v>201911</v>
      </c>
      <c r="K485" s="6">
        <f t="shared" ca="1" si="130"/>
        <v>2019</v>
      </c>
      <c r="L485" s="6">
        <f t="shared" ca="1" si="131"/>
        <v>11</v>
      </c>
      <c r="M485" s="68">
        <f ca="1">IFERROR(__xludf.DUMMYFUNCTION("""COMPUTED_VALUE"""),43791.6666666666)</f>
        <v>43791.666666666599</v>
      </c>
      <c r="N485" s="6">
        <f ca="1">IFERROR(__xludf.DUMMYFUNCTION("""COMPUTED_VALUE"""),8519.89)</f>
        <v>8519.89</v>
      </c>
      <c r="R485" s="6" t="str">
        <f t="shared" ca="1" si="132"/>
        <v>201912</v>
      </c>
      <c r="S485" s="6">
        <f t="shared" ca="1" si="133"/>
        <v>2019</v>
      </c>
      <c r="T485" s="6">
        <f t="shared" ca="1" si="134"/>
        <v>12</v>
      </c>
      <c r="U485" s="68">
        <f ca="1">IFERROR(__xludf.DUMMYFUNCTION("""COMPUTED_VALUE"""),43822.6458333333)</f>
        <v>43822.645833333299</v>
      </c>
      <c r="V485" s="6">
        <f ca="1">IFERROR(__xludf.DUMMYFUNCTION("""COMPUTED_VALUE"""),2203.71)</f>
        <v>2203.71</v>
      </c>
      <c r="Z485" s="6" t="str">
        <f t="shared" ca="1" si="135"/>
        <v>20195</v>
      </c>
      <c r="AA485" s="6">
        <f t="shared" ca="1" si="136"/>
        <v>2019</v>
      </c>
      <c r="AB485" s="6">
        <f t="shared" ca="1" si="137"/>
        <v>5</v>
      </c>
      <c r="AC485" s="68">
        <f ca="1">IFERROR(__xludf.DUMMYFUNCTION("""COMPUTED_VALUE"""),43607.9986111111)</f>
        <v>43607.998611111099</v>
      </c>
      <c r="AD485" s="6">
        <f ca="1">IFERROR(__xludf.DUMMYFUNCTION("""COMPUTED_VALUE"""),1188.8)</f>
        <v>1188.8</v>
      </c>
      <c r="AH485" s="6" t="str">
        <f t="shared" ca="1" si="138"/>
        <v>20194</v>
      </c>
      <c r="AI485" s="6">
        <f t="shared" ca="1" si="139"/>
        <v>2019</v>
      </c>
      <c r="AJ485" s="6">
        <f t="shared" ca="1" si="140"/>
        <v>4</v>
      </c>
      <c r="AK485" s="68">
        <f ca="1">IFERROR(__xludf.DUMMYFUNCTION("""COMPUTED_VALUE"""),43577.9986111111)</f>
        <v>43577.998611111099</v>
      </c>
      <c r="AL485" s="6">
        <f ca="1">IFERROR(__xludf.DUMMYFUNCTION("""COMPUTED_VALUE"""),5396.643)</f>
        <v>5396.643</v>
      </c>
      <c r="AP485" s="6" t="str">
        <f t="shared" ca="1" si="141"/>
        <v>201912</v>
      </c>
      <c r="AQ485" s="6">
        <f t="shared" ca="1" si="142"/>
        <v>2019</v>
      </c>
      <c r="AR485" s="6">
        <f t="shared" ca="1" si="143"/>
        <v>12</v>
      </c>
      <c r="AS485" s="68">
        <f ca="1">IFERROR(__xludf.DUMMYFUNCTION("""COMPUTED_VALUE"""),43805.9986111111)</f>
        <v>43805.998611111099</v>
      </c>
      <c r="AT485" s="6">
        <f ca="1">IFERROR(__xludf.DUMMYFUNCTION("""COMPUTED_VALUE"""),1465.1)</f>
        <v>1465.1</v>
      </c>
    </row>
    <row r="486" spans="2:46" x14ac:dyDescent="0.35">
      <c r="B486" s="6" t="str">
        <f t="shared" ca="1" si="126"/>
        <v>201911</v>
      </c>
      <c r="C486" s="6">
        <f t="shared" ca="1" si="127"/>
        <v>2019</v>
      </c>
      <c r="D486" s="6">
        <f t="shared" ca="1" si="128"/>
        <v>11</v>
      </c>
      <c r="E486" s="68">
        <f ca="1">IFERROR(__xludf.DUMMYFUNCTION("""COMPUTED_VALUE"""),43795.6666666666)</f>
        <v>43795.666666666599</v>
      </c>
      <c r="F486" s="6">
        <f ca="1">IFERROR(__xludf.DUMMYFUNCTION("""COMPUTED_VALUE"""),3140.52)</f>
        <v>3140.52</v>
      </c>
      <c r="J486" s="6" t="str">
        <f t="shared" ca="1" si="129"/>
        <v>201911</v>
      </c>
      <c r="K486" s="6">
        <f t="shared" ca="1" si="130"/>
        <v>2019</v>
      </c>
      <c r="L486" s="6">
        <f t="shared" ca="1" si="131"/>
        <v>11</v>
      </c>
      <c r="M486" s="68">
        <f ca="1">IFERROR(__xludf.DUMMYFUNCTION("""COMPUTED_VALUE"""),43794.6666666666)</f>
        <v>43794.666666666599</v>
      </c>
      <c r="N486" s="6">
        <f ca="1">IFERROR(__xludf.DUMMYFUNCTION("""COMPUTED_VALUE"""),8632.49)</f>
        <v>8632.49</v>
      </c>
      <c r="R486" s="6" t="str">
        <f t="shared" ca="1" si="132"/>
        <v>201912</v>
      </c>
      <c r="S486" s="6">
        <f t="shared" ca="1" si="133"/>
        <v>2019</v>
      </c>
      <c r="T486" s="6">
        <f t="shared" ca="1" si="134"/>
        <v>12</v>
      </c>
      <c r="U486" s="68">
        <f ca="1">IFERROR(__xludf.DUMMYFUNCTION("""COMPUTED_VALUE"""),43823.6458333333)</f>
        <v>43823.645833333299</v>
      </c>
      <c r="V486" s="6">
        <f ca="1">IFERROR(__xludf.DUMMYFUNCTION("""COMPUTED_VALUE"""),2190.08)</f>
        <v>2190.08</v>
      </c>
      <c r="Z486" s="6" t="str">
        <f t="shared" ca="1" si="135"/>
        <v>20195</v>
      </c>
      <c r="AA486" s="6">
        <f t="shared" ca="1" si="136"/>
        <v>2019</v>
      </c>
      <c r="AB486" s="6">
        <f t="shared" ca="1" si="137"/>
        <v>5</v>
      </c>
      <c r="AC486" s="68">
        <f ca="1">IFERROR(__xludf.DUMMYFUNCTION("""COMPUTED_VALUE"""),43608.9986111111)</f>
        <v>43608.998611111099</v>
      </c>
      <c r="AD486" s="6">
        <f ca="1">IFERROR(__xludf.DUMMYFUNCTION("""COMPUTED_VALUE"""),1188.8)</f>
        <v>1188.8</v>
      </c>
      <c r="AH486" s="6" t="str">
        <f t="shared" ca="1" si="138"/>
        <v>20194</v>
      </c>
      <c r="AI486" s="6">
        <f t="shared" ca="1" si="139"/>
        <v>2019</v>
      </c>
      <c r="AJ486" s="6">
        <f t="shared" ca="1" si="140"/>
        <v>4</v>
      </c>
      <c r="AK486" s="68">
        <f ca="1">IFERROR(__xludf.DUMMYFUNCTION("""COMPUTED_VALUE"""),43578.9986111111)</f>
        <v>43578.998611111099</v>
      </c>
      <c r="AL486" s="6">
        <f ca="1">IFERROR(__xludf.DUMMYFUNCTION("""COMPUTED_VALUE"""),5526.234)</f>
        <v>5526.2340000000004</v>
      </c>
      <c r="AP486" s="6" t="str">
        <f t="shared" ca="1" si="141"/>
        <v>201912</v>
      </c>
      <c r="AQ486" s="6">
        <f t="shared" ca="1" si="142"/>
        <v>2019</v>
      </c>
      <c r="AR486" s="6">
        <f t="shared" ca="1" si="143"/>
        <v>12</v>
      </c>
      <c r="AS486" s="68">
        <f ca="1">IFERROR(__xludf.DUMMYFUNCTION("""COMPUTED_VALUE"""),43808.9986111111)</f>
        <v>43808.998611111099</v>
      </c>
      <c r="AT486" s="6">
        <f ca="1">IFERROR(__xludf.DUMMYFUNCTION("""COMPUTED_VALUE"""),1464.9)</f>
        <v>1464.9</v>
      </c>
    </row>
    <row r="487" spans="2:46" x14ac:dyDescent="0.35">
      <c r="B487" s="6" t="str">
        <f t="shared" ca="1" si="126"/>
        <v>201911</v>
      </c>
      <c r="C487" s="6">
        <f t="shared" ca="1" si="127"/>
        <v>2019</v>
      </c>
      <c r="D487" s="6">
        <f t="shared" ca="1" si="128"/>
        <v>11</v>
      </c>
      <c r="E487" s="68">
        <f ca="1">IFERROR(__xludf.DUMMYFUNCTION("""COMPUTED_VALUE"""),43798.5416666666)</f>
        <v>43798.541666666599</v>
      </c>
      <c r="F487" s="6">
        <f ca="1">IFERROR(__xludf.DUMMYFUNCTION("""COMPUTED_VALUE"""),3140.98)</f>
        <v>3140.98</v>
      </c>
      <c r="J487" s="6" t="str">
        <f t="shared" ca="1" si="129"/>
        <v>201911</v>
      </c>
      <c r="K487" s="6">
        <f t="shared" ca="1" si="130"/>
        <v>2019</v>
      </c>
      <c r="L487" s="6">
        <f t="shared" ca="1" si="131"/>
        <v>11</v>
      </c>
      <c r="M487" s="68">
        <f ca="1">IFERROR(__xludf.DUMMYFUNCTION("""COMPUTED_VALUE"""),43795.6666666666)</f>
        <v>43795.666666666599</v>
      </c>
      <c r="N487" s="6">
        <f ca="1">IFERROR(__xludf.DUMMYFUNCTION("""COMPUTED_VALUE"""),8647.93)</f>
        <v>8647.93</v>
      </c>
      <c r="R487" s="6" t="str">
        <f t="shared" ca="1" si="132"/>
        <v>201912</v>
      </c>
      <c r="S487" s="6">
        <f t="shared" ca="1" si="133"/>
        <v>2019</v>
      </c>
      <c r="T487" s="6">
        <f t="shared" ca="1" si="134"/>
        <v>12</v>
      </c>
      <c r="U487" s="68">
        <f ca="1">IFERROR(__xludf.DUMMYFUNCTION("""COMPUTED_VALUE"""),43825.6458333333)</f>
        <v>43825.645833333299</v>
      </c>
      <c r="V487" s="6">
        <f ca="1">IFERROR(__xludf.DUMMYFUNCTION("""COMPUTED_VALUE"""),2197.93)</f>
        <v>2197.9299999999998</v>
      </c>
      <c r="Z487" s="6" t="str">
        <f t="shared" ca="1" si="135"/>
        <v>20195</v>
      </c>
      <c r="AA487" s="6">
        <f t="shared" ca="1" si="136"/>
        <v>2019</v>
      </c>
      <c r="AB487" s="6">
        <f t="shared" ca="1" si="137"/>
        <v>5</v>
      </c>
      <c r="AC487" s="68">
        <f ca="1">IFERROR(__xludf.DUMMYFUNCTION("""COMPUTED_VALUE"""),43609.9986111111)</f>
        <v>43609.998611111099</v>
      </c>
      <c r="AD487" s="6">
        <f ca="1">IFERROR(__xludf.DUMMYFUNCTION("""COMPUTED_VALUE"""),1185)</f>
        <v>1185</v>
      </c>
      <c r="AH487" s="6" t="str">
        <f t="shared" ca="1" si="138"/>
        <v>20194</v>
      </c>
      <c r="AI487" s="6">
        <f t="shared" ca="1" si="139"/>
        <v>2019</v>
      </c>
      <c r="AJ487" s="6">
        <f t="shared" ca="1" si="140"/>
        <v>4</v>
      </c>
      <c r="AK487" s="68">
        <f ca="1">IFERROR(__xludf.DUMMYFUNCTION("""COMPUTED_VALUE"""),43579.9986111111)</f>
        <v>43579.998611111099</v>
      </c>
      <c r="AL487" s="6">
        <f ca="1">IFERROR(__xludf.DUMMYFUNCTION("""COMPUTED_VALUE"""),5436.695)</f>
        <v>5436.6949999999997</v>
      </c>
      <c r="AP487" s="6" t="str">
        <f t="shared" ca="1" si="141"/>
        <v>201912</v>
      </c>
      <c r="AQ487" s="6">
        <f t="shared" ca="1" si="142"/>
        <v>2019</v>
      </c>
      <c r="AR487" s="6">
        <f t="shared" ca="1" si="143"/>
        <v>12</v>
      </c>
      <c r="AS487" s="68">
        <f ca="1">IFERROR(__xludf.DUMMYFUNCTION("""COMPUTED_VALUE"""),43809.9986111111)</f>
        <v>43809.998611111099</v>
      </c>
      <c r="AT487" s="6">
        <f ca="1">IFERROR(__xludf.DUMMYFUNCTION("""COMPUTED_VALUE"""),1468.1)</f>
        <v>1468.1</v>
      </c>
    </row>
    <row r="488" spans="2:46" x14ac:dyDescent="0.35">
      <c r="B488" s="6" t="str">
        <f t="shared" ca="1" si="126"/>
        <v>201912</v>
      </c>
      <c r="C488" s="6">
        <f t="shared" ca="1" si="127"/>
        <v>2019</v>
      </c>
      <c r="D488" s="6">
        <f t="shared" ca="1" si="128"/>
        <v>12</v>
      </c>
      <c r="E488" s="68">
        <f ca="1">IFERROR(__xludf.DUMMYFUNCTION("""COMPUTED_VALUE"""),43801.6666666666)</f>
        <v>43801.666666666599</v>
      </c>
      <c r="F488" s="6">
        <f ca="1">IFERROR(__xludf.DUMMYFUNCTION("""COMPUTED_VALUE"""),3113.87)</f>
        <v>3113.87</v>
      </c>
      <c r="J488" s="6" t="str">
        <f t="shared" ca="1" si="129"/>
        <v>201911</v>
      </c>
      <c r="K488" s="6">
        <f t="shared" ca="1" si="130"/>
        <v>2019</v>
      </c>
      <c r="L488" s="6">
        <f t="shared" ca="1" si="131"/>
        <v>11</v>
      </c>
      <c r="M488" s="68">
        <f ca="1">IFERROR(__xludf.DUMMYFUNCTION("""COMPUTED_VALUE"""),43796.6666666666)</f>
        <v>43796.666666666599</v>
      </c>
      <c r="N488" s="6">
        <f ca="1">IFERROR(__xludf.DUMMYFUNCTION("""COMPUTED_VALUE"""),8705.17)</f>
        <v>8705.17</v>
      </c>
      <c r="R488" s="6" t="str">
        <f t="shared" ca="1" si="132"/>
        <v>201912</v>
      </c>
      <c r="S488" s="6">
        <f t="shared" ca="1" si="133"/>
        <v>2019</v>
      </c>
      <c r="T488" s="6">
        <f t="shared" ca="1" si="134"/>
        <v>12</v>
      </c>
      <c r="U488" s="68">
        <f ca="1">IFERROR(__xludf.DUMMYFUNCTION("""COMPUTED_VALUE"""),43826.6458333333)</f>
        <v>43826.645833333299</v>
      </c>
      <c r="V488" s="6">
        <f ca="1">IFERROR(__xludf.DUMMYFUNCTION("""COMPUTED_VALUE"""),2204.21)</f>
        <v>2204.21</v>
      </c>
      <c r="Z488" s="6" t="str">
        <f t="shared" ca="1" si="135"/>
        <v>20195</v>
      </c>
      <c r="AA488" s="6">
        <f t="shared" ca="1" si="136"/>
        <v>2019</v>
      </c>
      <c r="AB488" s="6">
        <f t="shared" ca="1" si="137"/>
        <v>5</v>
      </c>
      <c r="AC488" s="68">
        <f ca="1">IFERROR(__xludf.DUMMYFUNCTION("""COMPUTED_VALUE"""),43610.9986111111)</f>
        <v>43610.998611111099</v>
      </c>
      <c r="AD488" s="6">
        <f ca="1">IFERROR(__xludf.DUMMYFUNCTION("""COMPUTED_VALUE"""),1183.8)</f>
        <v>1183.8</v>
      </c>
      <c r="AH488" s="6" t="str">
        <f t="shared" ca="1" si="138"/>
        <v>20194</v>
      </c>
      <c r="AI488" s="6">
        <f t="shared" ca="1" si="139"/>
        <v>2019</v>
      </c>
      <c r="AJ488" s="6">
        <f t="shared" ca="1" si="140"/>
        <v>4</v>
      </c>
      <c r="AK488" s="68">
        <f ca="1">IFERROR(__xludf.DUMMYFUNCTION("""COMPUTED_VALUE"""),43580.9986111111)</f>
        <v>43580.998611111099</v>
      </c>
      <c r="AL488" s="6">
        <f ca="1">IFERROR(__xludf.DUMMYFUNCTION("""COMPUTED_VALUE"""),5157.866)</f>
        <v>5157.866</v>
      </c>
      <c r="AP488" s="6" t="str">
        <f t="shared" ca="1" si="141"/>
        <v>201912</v>
      </c>
      <c r="AQ488" s="6">
        <f t="shared" ca="1" si="142"/>
        <v>2019</v>
      </c>
      <c r="AR488" s="6">
        <f t="shared" ca="1" si="143"/>
        <v>12</v>
      </c>
      <c r="AS488" s="68">
        <f ca="1">IFERROR(__xludf.DUMMYFUNCTION("""COMPUTED_VALUE"""),43810.9986111111)</f>
        <v>43810.998611111099</v>
      </c>
      <c r="AT488" s="6">
        <f ca="1">IFERROR(__xludf.DUMMYFUNCTION("""COMPUTED_VALUE"""),1475)</f>
        <v>1475</v>
      </c>
    </row>
    <row r="489" spans="2:46" x14ac:dyDescent="0.35">
      <c r="B489" s="6" t="str">
        <f t="shared" ca="1" si="126"/>
        <v>201912</v>
      </c>
      <c r="C489" s="6">
        <f t="shared" ca="1" si="127"/>
        <v>2019</v>
      </c>
      <c r="D489" s="6">
        <f t="shared" ca="1" si="128"/>
        <v>12</v>
      </c>
      <c r="E489" s="68">
        <f ca="1">IFERROR(__xludf.DUMMYFUNCTION("""COMPUTED_VALUE"""),43802.6666666666)</f>
        <v>43802.666666666599</v>
      </c>
      <c r="F489" s="6">
        <f ca="1">IFERROR(__xludf.DUMMYFUNCTION("""COMPUTED_VALUE"""),3093.2)</f>
        <v>3093.2</v>
      </c>
      <c r="J489" s="6" t="str">
        <f t="shared" ca="1" si="129"/>
        <v>201911</v>
      </c>
      <c r="K489" s="6">
        <f t="shared" ca="1" si="130"/>
        <v>2019</v>
      </c>
      <c r="L489" s="6">
        <f t="shared" ca="1" si="131"/>
        <v>11</v>
      </c>
      <c r="M489" s="68">
        <f ca="1">IFERROR(__xludf.DUMMYFUNCTION("""COMPUTED_VALUE"""),43798.5416666666)</f>
        <v>43798.541666666599</v>
      </c>
      <c r="N489" s="6">
        <f ca="1">IFERROR(__xludf.DUMMYFUNCTION("""COMPUTED_VALUE"""),8665.47)</f>
        <v>8665.4699999999993</v>
      </c>
      <c r="R489" s="6" t="str">
        <f t="shared" ca="1" si="132"/>
        <v>201912</v>
      </c>
      <c r="S489" s="6">
        <f t="shared" ca="1" si="133"/>
        <v>2019</v>
      </c>
      <c r="T489" s="6">
        <f t="shared" ca="1" si="134"/>
        <v>12</v>
      </c>
      <c r="U489" s="68">
        <f ca="1">IFERROR(__xludf.DUMMYFUNCTION("""COMPUTED_VALUE"""),43829.6458333333)</f>
        <v>43829.645833333299</v>
      </c>
      <c r="V489" s="6">
        <f ca="1">IFERROR(__xludf.DUMMYFUNCTION("""COMPUTED_VALUE"""),2197.67)</f>
        <v>2197.67</v>
      </c>
      <c r="Z489" s="6" t="str">
        <f t="shared" ca="1" si="135"/>
        <v>20195</v>
      </c>
      <c r="AA489" s="6">
        <f t="shared" ca="1" si="136"/>
        <v>2019</v>
      </c>
      <c r="AB489" s="6">
        <f t="shared" ca="1" si="137"/>
        <v>5</v>
      </c>
      <c r="AC489" s="68">
        <f ca="1">IFERROR(__xludf.DUMMYFUNCTION("""COMPUTED_VALUE"""),43611.9986111111)</f>
        <v>43611.998611111099</v>
      </c>
      <c r="AD489" s="6">
        <f ca="1">IFERROR(__xludf.DUMMYFUNCTION("""COMPUTED_VALUE"""),1185)</f>
        <v>1185</v>
      </c>
      <c r="AH489" s="6" t="str">
        <f t="shared" ca="1" si="138"/>
        <v>20194</v>
      </c>
      <c r="AI489" s="6">
        <f t="shared" ca="1" si="139"/>
        <v>2019</v>
      </c>
      <c r="AJ489" s="6">
        <f t="shared" ca="1" si="140"/>
        <v>4</v>
      </c>
      <c r="AK489" s="68">
        <f ca="1">IFERROR(__xludf.DUMMYFUNCTION("""COMPUTED_VALUE"""),43581.9986111111)</f>
        <v>43581.998611111099</v>
      </c>
      <c r="AL489" s="6">
        <f ca="1">IFERROR(__xludf.DUMMYFUNCTION("""COMPUTED_VALUE"""),5205.166)</f>
        <v>5205.1660000000002</v>
      </c>
      <c r="AP489" s="6" t="str">
        <f t="shared" ca="1" si="141"/>
        <v>201912</v>
      </c>
      <c r="AQ489" s="6">
        <f t="shared" ca="1" si="142"/>
        <v>2019</v>
      </c>
      <c r="AR489" s="6">
        <f t="shared" ca="1" si="143"/>
        <v>12</v>
      </c>
      <c r="AS489" s="68">
        <f ca="1">IFERROR(__xludf.DUMMYFUNCTION("""COMPUTED_VALUE"""),43811.9986111111)</f>
        <v>43811.998611111099</v>
      </c>
      <c r="AT489" s="6">
        <f ca="1">IFERROR(__xludf.DUMMYFUNCTION("""COMPUTED_VALUE"""),1472.3)</f>
        <v>1472.3</v>
      </c>
    </row>
    <row r="490" spans="2:46" x14ac:dyDescent="0.35">
      <c r="B490" s="6" t="str">
        <f t="shared" ca="1" si="126"/>
        <v>201912</v>
      </c>
      <c r="C490" s="6">
        <f t="shared" ca="1" si="127"/>
        <v>2019</v>
      </c>
      <c r="D490" s="6">
        <f t="shared" ca="1" si="128"/>
        <v>12</v>
      </c>
      <c r="E490" s="68">
        <f ca="1">IFERROR(__xludf.DUMMYFUNCTION("""COMPUTED_VALUE"""),43803.6666666666)</f>
        <v>43803.666666666599</v>
      </c>
      <c r="F490" s="6">
        <f ca="1">IFERROR(__xludf.DUMMYFUNCTION("""COMPUTED_VALUE"""),3112.76)</f>
        <v>3112.76</v>
      </c>
      <c r="J490" s="6" t="str">
        <f t="shared" ca="1" si="129"/>
        <v>201912</v>
      </c>
      <c r="K490" s="6">
        <f t="shared" ca="1" si="130"/>
        <v>2019</v>
      </c>
      <c r="L490" s="6">
        <f t="shared" ca="1" si="131"/>
        <v>12</v>
      </c>
      <c r="M490" s="68">
        <f ca="1">IFERROR(__xludf.DUMMYFUNCTION("""COMPUTED_VALUE"""),43801.6666666666)</f>
        <v>43801.666666666599</v>
      </c>
      <c r="N490" s="6">
        <f ca="1">IFERROR(__xludf.DUMMYFUNCTION("""COMPUTED_VALUE"""),8567.99)</f>
        <v>8567.99</v>
      </c>
      <c r="R490" s="6" t="str">
        <f t="shared" ca="1" si="132"/>
        <v>20201</v>
      </c>
      <c r="S490" s="6">
        <f t="shared" ca="1" si="133"/>
        <v>2020</v>
      </c>
      <c r="T490" s="6">
        <f t="shared" ca="1" si="134"/>
        <v>1</v>
      </c>
      <c r="U490" s="68">
        <f ca="1">IFERROR(__xludf.DUMMYFUNCTION("""COMPUTED_VALUE"""),43832.6458333333)</f>
        <v>43832.645833333299</v>
      </c>
      <c r="V490" s="6">
        <f ca="1">IFERROR(__xludf.DUMMYFUNCTION("""COMPUTED_VALUE"""),2175.17)</f>
        <v>2175.17</v>
      </c>
      <c r="Z490" s="6" t="str">
        <f t="shared" ca="1" si="135"/>
        <v>20195</v>
      </c>
      <c r="AA490" s="6">
        <f t="shared" ca="1" si="136"/>
        <v>2019</v>
      </c>
      <c r="AB490" s="6">
        <f t="shared" ca="1" si="137"/>
        <v>5</v>
      </c>
      <c r="AC490" s="68">
        <f ca="1">IFERROR(__xludf.DUMMYFUNCTION("""COMPUTED_VALUE"""),43612.9986111111)</f>
        <v>43612.998611111099</v>
      </c>
      <c r="AD490" s="6">
        <f ca="1">IFERROR(__xludf.DUMMYFUNCTION("""COMPUTED_VALUE"""),1182.31)</f>
        <v>1182.31</v>
      </c>
      <c r="AH490" s="6" t="str">
        <f t="shared" ca="1" si="138"/>
        <v>20194</v>
      </c>
      <c r="AI490" s="6">
        <f t="shared" ca="1" si="139"/>
        <v>2019</v>
      </c>
      <c r="AJ490" s="6">
        <f t="shared" ca="1" si="140"/>
        <v>4</v>
      </c>
      <c r="AK490" s="68">
        <f ca="1">IFERROR(__xludf.DUMMYFUNCTION("""COMPUTED_VALUE"""),43582.9986111111)</f>
        <v>43582.998611111099</v>
      </c>
      <c r="AL490" s="6">
        <f ca="1">IFERROR(__xludf.DUMMYFUNCTION("""COMPUTED_VALUE"""),5183.623)</f>
        <v>5183.6229999999996</v>
      </c>
      <c r="AP490" s="6" t="str">
        <f t="shared" ca="1" si="141"/>
        <v>201912</v>
      </c>
      <c r="AQ490" s="6">
        <f t="shared" ca="1" si="142"/>
        <v>2019</v>
      </c>
      <c r="AR490" s="6">
        <f t="shared" ca="1" si="143"/>
        <v>12</v>
      </c>
      <c r="AS490" s="68">
        <f ca="1">IFERROR(__xludf.DUMMYFUNCTION("""COMPUTED_VALUE"""),43812.9986111111)</f>
        <v>43812.998611111099</v>
      </c>
      <c r="AT490" s="6">
        <f ca="1">IFERROR(__xludf.DUMMYFUNCTION("""COMPUTED_VALUE"""),1481.2)</f>
        <v>1481.2</v>
      </c>
    </row>
    <row r="491" spans="2:46" x14ac:dyDescent="0.35">
      <c r="B491" s="6" t="str">
        <f t="shared" ca="1" si="126"/>
        <v>201912</v>
      </c>
      <c r="C491" s="6">
        <f t="shared" ca="1" si="127"/>
        <v>2019</v>
      </c>
      <c r="D491" s="6">
        <f t="shared" ca="1" si="128"/>
        <v>12</v>
      </c>
      <c r="E491" s="68">
        <f ca="1">IFERROR(__xludf.DUMMYFUNCTION("""COMPUTED_VALUE"""),43804.6666666666)</f>
        <v>43804.666666666599</v>
      </c>
      <c r="F491" s="6">
        <f ca="1">IFERROR(__xludf.DUMMYFUNCTION("""COMPUTED_VALUE"""),3117.43)</f>
        <v>3117.43</v>
      </c>
      <c r="J491" s="6" t="str">
        <f t="shared" ca="1" si="129"/>
        <v>201912</v>
      </c>
      <c r="K491" s="6">
        <f t="shared" ca="1" si="130"/>
        <v>2019</v>
      </c>
      <c r="L491" s="6">
        <f t="shared" ca="1" si="131"/>
        <v>12</v>
      </c>
      <c r="M491" s="68">
        <f ca="1">IFERROR(__xludf.DUMMYFUNCTION("""COMPUTED_VALUE"""),43802.6666666666)</f>
        <v>43802.666666666599</v>
      </c>
      <c r="N491" s="6">
        <f ca="1">IFERROR(__xludf.DUMMYFUNCTION("""COMPUTED_VALUE"""),8520.64)</f>
        <v>8520.64</v>
      </c>
      <c r="R491" s="6" t="str">
        <f t="shared" ca="1" si="132"/>
        <v>20201</v>
      </c>
      <c r="S491" s="6">
        <f t="shared" ca="1" si="133"/>
        <v>2020</v>
      </c>
      <c r="T491" s="6">
        <f t="shared" ca="1" si="134"/>
        <v>1</v>
      </c>
      <c r="U491" s="68">
        <f ca="1">IFERROR(__xludf.DUMMYFUNCTION("""COMPUTED_VALUE"""),43833.6458333333)</f>
        <v>43833.645833333299</v>
      </c>
      <c r="V491" s="6">
        <f ca="1">IFERROR(__xludf.DUMMYFUNCTION("""COMPUTED_VALUE"""),2176.46)</f>
        <v>2176.46</v>
      </c>
      <c r="Z491" s="6" t="str">
        <f t="shared" ca="1" si="135"/>
        <v>20195</v>
      </c>
      <c r="AA491" s="6">
        <f t="shared" ca="1" si="136"/>
        <v>2019</v>
      </c>
      <c r="AB491" s="6">
        <f t="shared" ca="1" si="137"/>
        <v>5</v>
      </c>
      <c r="AC491" s="68">
        <f ca="1">IFERROR(__xludf.DUMMYFUNCTION("""COMPUTED_VALUE"""),43613.9986111111)</f>
        <v>43613.998611111099</v>
      </c>
      <c r="AD491" s="6">
        <f ca="1">IFERROR(__xludf.DUMMYFUNCTION("""COMPUTED_VALUE"""),1187.58)</f>
        <v>1187.58</v>
      </c>
      <c r="AH491" s="6" t="str">
        <f t="shared" ca="1" si="138"/>
        <v>20194</v>
      </c>
      <c r="AI491" s="6">
        <f t="shared" ca="1" si="139"/>
        <v>2019</v>
      </c>
      <c r="AJ491" s="6">
        <f t="shared" ca="1" si="140"/>
        <v>4</v>
      </c>
      <c r="AK491" s="68">
        <f ca="1">IFERROR(__xludf.DUMMYFUNCTION("""COMPUTED_VALUE"""),43583.9986111111)</f>
        <v>43583.998611111099</v>
      </c>
      <c r="AL491" s="6">
        <f ca="1">IFERROR(__xludf.DUMMYFUNCTION("""COMPUTED_VALUE"""),5180.474)</f>
        <v>5180.4740000000002</v>
      </c>
      <c r="AP491" s="6" t="str">
        <f t="shared" ca="1" si="141"/>
        <v>201912</v>
      </c>
      <c r="AQ491" s="6">
        <f t="shared" ca="1" si="142"/>
        <v>2019</v>
      </c>
      <c r="AR491" s="6">
        <f t="shared" ca="1" si="143"/>
        <v>12</v>
      </c>
      <c r="AS491" s="68">
        <f ca="1">IFERROR(__xludf.DUMMYFUNCTION("""COMPUTED_VALUE"""),43815.9986111111)</f>
        <v>43815.998611111099</v>
      </c>
      <c r="AT491" s="6">
        <f ca="1">IFERROR(__xludf.DUMMYFUNCTION("""COMPUTED_VALUE"""),1480.5)</f>
        <v>1480.5</v>
      </c>
    </row>
    <row r="492" spans="2:46" x14ac:dyDescent="0.35">
      <c r="B492" s="6" t="str">
        <f t="shared" ca="1" si="126"/>
        <v>201912</v>
      </c>
      <c r="C492" s="6">
        <f t="shared" ca="1" si="127"/>
        <v>2019</v>
      </c>
      <c r="D492" s="6">
        <f t="shared" ca="1" si="128"/>
        <v>12</v>
      </c>
      <c r="E492" s="68">
        <f ca="1">IFERROR(__xludf.DUMMYFUNCTION("""COMPUTED_VALUE"""),43805.6666666666)</f>
        <v>43805.666666666599</v>
      </c>
      <c r="F492" s="6">
        <f ca="1">IFERROR(__xludf.DUMMYFUNCTION("""COMPUTED_VALUE"""),3145.91)</f>
        <v>3145.91</v>
      </c>
      <c r="J492" s="6" t="str">
        <f t="shared" ca="1" si="129"/>
        <v>201912</v>
      </c>
      <c r="K492" s="6">
        <f t="shared" ca="1" si="130"/>
        <v>2019</v>
      </c>
      <c r="L492" s="6">
        <f t="shared" ca="1" si="131"/>
        <v>12</v>
      </c>
      <c r="M492" s="68">
        <f ca="1">IFERROR(__xludf.DUMMYFUNCTION("""COMPUTED_VALUE"""),43803.6666666666)</f>
        <v>43803.666666666599</v>
      </c>
      <c r="N492" s="6">
        <f ca="1">IFERROR(__xludf.DUMMYFUNCTION("""COMPUTED_VALUE"""),8566.67)</f>
        <v>8566.67</v>
      </c>
      <c r="R492" s="6" t="str">
        <f t="shared" ca="1" si="132"/>
        <v>20201</v>
      </c>
      <c r="S492" s="6">
        <f t="shared" ca="1" si="133"/>
        <v>2020</v>
      </c>
      <c r="T492" s="6">
        <f t="shared" ca="1" si="134"/>
        <v>1</v>
      </c>
      <c r="U492" s="68">
        <f ca="1">IFERROR(__xludf.DUMMYFUNCTION("""COMPUTED_VALUE"""),43836.6458333333)</f>
        <v>43836.645833333299</v>
      </c>
      <c r="V492" s="6">
        <f ca="1">IFERROR(__xludf.DUMMYFUNCTION("""COMPUTED_VALUE"""),2155.07)</f>
        <v>2155.0700000000002</v>
      </c>
      <c r="Z492" s="6" t="str">
        <f t="shared" ca="1" si="135"/>
        <v>20195</v>
      </c>
      <c r="AA492" s="6">
        <f t="shared" ca="1" si="136"/>
        <v>2019</v>
      </c>
      <c r="AB492" s="6">
        <f t="shared" ca="1" si="137"/>
        <v>5</v>
      </c>
      <c r="AC492" s="68">
        <f ca="1">IFERROR(__xludf.DUMMYFUNCTION("""COMPUTED_VALUE"""),43614.9986111111)</f>
        <v>43614.998611111099</v>
      </c>
      <c r="AD492" s="6">
        <f ca="1">IFERROR(__xludf.DUMMYFUNCTION("""COMPUTED_VALUE"""),1192.21)</f>
        <v>1192.21</v>
      </c>
      <c r="AH492" s="6" t="str">
        <f t="shared" ca="1" si="138"/>
        <v>20194</v>
      </c>
      <c r="AI492" s="6">
        <f t="shared" ca="1" si="139"/>
        <v>2019</v>
      </c>
      <c r="AJ492" s="6">
        <f t="shared" ca="1" si="140"/>
        <v>4</v>
      </c>
      <c r="AK492" s="68">
        <f ca="1">IFERROR(__xludf.DUMMYFUNCTION("""COMPUTED_VALUE"""),43584.9986111111)</f>
        <v>43584.998611111099</v>
      </c>
      <c r="AL492" s="6">
        <f ca="1">IFERROR(__xludf.DUMMYFUNCTION("""COMPUTED_VALUE"""),5167.4)</f>
        <v>5167.3999999999996</v>
      </c>
      <c r="AP492" s="6" t="str">
        <f t="shared" ca="1" si="141"/>
        <v>201912</v>
      </c>
      <c r="AQ492" s="6">
        <f t="shared" ca="1" si="142"/>
        <v>2019</v>
      </c>
      <c r="AR492" s="6">
        <f t="shared" ca="1" si="143"/>
        <v>12</v>
      </c>
      <c r="AS492" s="68">
        <f ca="1">IFERROR(__xludf.DUMMYFUNCTION("""COMPUTED_VALUE"""),43816.9986111111)</f>
        <v>43816.998611111099</v>
      </c>
      <c r="AT492" s="6">
        <f ca="1">IFERROR(__xludf.DUMMYFUNCTION("""COMPUTED_VALUE"""),1480.6)</f>
        <v>1480.6</v>
      </c>
    </row>
    <row r="493" spans="2:46" x14ac:dyDescent="0.35">
      <c r="B493" s="6" t="str">
        <f t="shared" ca="1" si="126"/>
        <v>201912</v>
      </c>
      <c r="C493" s="6">
        <f t="shared" ca="1" si="127"/>
        <v>2019</v>
      </c>
      <c r="D493" s="6">
        <f t="shared" ca="1" si="128"/>
        <v>12</v>
      </c>
      <c r="E493" s="68">
        <f ca="1">IFERROR(__xludf.DUMMYFUNCTION("""COMPUTED_VALUE"""),43808.6666666666)</f>
        <v>43808.666666666599</v>
      </c>
      <c r="F493" s="6">
        <f ca="1">IFERROR(__xludf.DUMMYFUNCTION("""COMPUTED_VALUE"""),3135.96)</f>
        <v>3135.96</v>
      </c>
      <c r="J493" s="6" t="str">
        <f t="shared" ca="1" si="129"/>
        <v>201912</v>
      </c>
      <c r="K493" s="6">
        <f t="shared" ca="1" si="130"/>
        <v>2019</v>
      </c>
      <c r="L493" s="6">
        <f t="shared" ca="1" si="131"/>
        <v>12</v>
      </c>
      <c r="M493" s="68">
        <f ca="1">IFERROR(__xludf.DUMMYFUNCTION("""COMPUTED_VALUE"""),43804.6666666666)</f>
        <v>43804.666666666599</v>
      </c>
      <c r="N493" s="6">
        <f ca="1">IFERROR(__xludf.DUMMYFUNCTION("""COMPUTED_VALUE"""),8570.7)</f>
        <v>8570.7000000000007</v>
      </c>
      <c r="R493" s="6" t="str">
        <f t="shared" ca="1" si="132"/>
        <v>20201</v>
      </c>
      <c r="S493" s="6">
        <f t="shared" ca="1" si="133"/>
        <v>2020</v>
      </c>
      <c r="T493" s="6">
        <f t="shared" ca="1" si="134"/>
        <v>1</v>
      </c>
      <c r="U493" s="68">
        <f ca="1">IFERROR(__xludf.DUMMYFUNCTION("""COMPUTED_VALUE"""),43837.6458333333)</f>
        <v>43837.645833333299</v>
      </c>
      <c r="V493" s="6">
        <f ca="1">IFERROR(__xludf.DUMMYFUNCTION("""COMPUTED_VALUE"""),2175.54)</f>
        <v>2175.54</v>
      </c>
      <c r="Z493" s="6" t="str">
        <f t="shared" ca="1" si="135"/>
        <v>20195</v>
      </c>
      <c r="AA493" s="6">
        <f t="shared" ca="1" si="136"/>
        <v>2019</v>
      </c>
      <c r="AB493" s="6">
        <f t="shared" ca="1" si="137"/>
        <v>5</v>
      </c>
      <c r="AC493" s="68">
        <f ca="1">IFERROR(__xludf.DUMMYFUNCTION("""COMPUTED_VALUE"""),43615.9986111111)</f>
        <v>43615.998611111099</v>
      </c>
      <c r="AD493" s="6">
        <f ca="1">IFERROR(__xludf.DUMMYFUNCTION("""COMPUTED_VALUE"""),1188.38)</f>
        <v>1188.3800000000001</v>
      </c>
      <c r="AH493" s="6" t="str">
        <f t="shared" ca="1" si="138"/>
        <v>20194</v>
      </c>
      <c r="AI493" s="6">
        <f t="shared" ca="1" si="139"/>
        <v>2019</v>
      </c>
      <c r="AJ493" s="6">
        <f t="shared" ca="1" si="140"/>
        <v>4</v>
      </c>
      <c r="AK493" s="68">
        <f ca="1">IFERROR(__xludf.DUMMYFUNCTION("""COMPUTED_VALUE"""),43585.9986111111)</f>
        <v>43585.998611111099</v>
      </c>
      <c r="AL493" s="6">
        <f ca="1">IFERROR(__xludf.DUMMYFUNCTION("""COMPUTED_VALUE"""),5286.545)</f>
        <v>5286.5450000000001</v>
      </c>
      <c r="AP493" s="6" t="str">
        <f t="shared" ca="1" si="141"/>
        <v>201912</v>
      </c>
      <c r="AQ493" s="6">
        <f t="shared" ca="1" si="142"/>
        <v>2019</v>
      </c>
      <c r="AR493" s="6">
        <f t="shared" ca="1" si="143"/>
        <v>12</v>
      </c>
      <c r="AS493" s="68">
        <f ca="1">IFERROR(__xludf.DUMMYFUNCTION("""COMPUTED_VALUE"""),43817.9986111111)</f>
        <v>43817.998611111099</v>
      </c>
      <c r="AT493" s="6">
        <f ca="1">IFERROR(__xludf.DUMMYFUNCTION("""COMPUTED_VALUE"""),1478.7)</f>
        <v>1478.7</v>
      </c>
    </row>
    <row r="494" spans="2:46" x14ac:dyDescent="0.35">
      <c r="B494" s="6" t="str">
        <f t="shared" ca="1" si="126"/>
        <v>201912</v>
      </c>
      <c r="C494" s="6">
        <f t="shared" ca="1" si="127"/>
        <v>2019</v>
      </c>
      <c r="D494" s="6">
        <f t="shared" ca="1" si="128"/>
        <v>12</v>
      </c>
      <c r="E494" s="68">
        <f ca="1">IFERROR(__xludf.DUMMYFUNCTION("""COMPUTED_VALUE"""),43809.6666666666)</f>
        <v>43809.666666666599</v>
      </c>
      <c r="F494" s="6">
        <f ca="1">IFERROR(__xludf.DUMMYFUNCTION("""COMPUTED_VALUE"""),3132.52)</f>
        <v>3132.52</v>
      </c>
      <c r="J494" s="6" t="str">
        <f t="shared" ca="1" si="129"/>
        <v>201912</v>
      </c>
      <c r="K494" s="6">
        <f t="shared" ca="1" si="130"/>
        <v>2019</v>
      </c>
      <c r="L494" s="6">
        <f t="shared" ca="1" si="131"/>
        <v>12</v>
      </c>
      <c r="M494" s="68">
        <f ca="1">IFERROR(__xludf.DUMMYFUNCTION("""COMPUTED_VALUE"""),43805.6666666666)</f>
        <v>43805.666666666599</v>
      </c>
      <c r="N494" s="6">
        <f ca="1">IFERROR(__xludf.DUMMYFUNCTION("""COMPUTED_VALUE"""),8656.53)</f>
        <v>8656.5300000000007</v>
      </c>
      <c r="R494" s="6" t="str">
        <f t="shared" ca="1" si="132"/>
        <v>20201</v>
      </c>
      <c r="S494" s="6">
        <f t="shared" ca="1" si="133"/>
        <v>2020</v>
      </c>
      <c r="T494" s="6">
        <f t="shared" ca="1" si="134"/>
        <v>1</v>
      </c>
      <c r="U494" s="68">
        <f ca="1">IFERROR(__xludf.DUMMYFUNCTION("""COMPUTED_VALUE"""),43838.6458333333)</f>
        <v>43838.645833333299</v>
      </c>
      <c r="V494" s="6">
        <f ca="1">IFERROR(__xludf.DUMMYFUNCTION("""COMPUTED_VALUE"""),2151.31)</f>
        <v>2151.31</v>
      </c>
      <c r="Z494" s="6" t="str">
        <f t="shared" ca="1" si="135"/>
        <v>20195</v>
      </c>
      <c r="AA494" s="6">
        <f t="shared" ca="1" si="136"/>
        <v>2019</v>
      </c>
      <c r="AB494" s="6">
        <f t="shared" ca="1" si="137"/>
        <v>5</v>
      </c>
      <c r="AC494" s="68">
        <f ca="1">IFERROR(__xludf.DUMMYFUNCTION("""COMPUTED_VALUE"""),43616.9986111111)</f>
        <v>43616.998611111099</v>
      </c>
      <c r="AD494" s="6">
        <f ca="1">IFERROR(__xludf.DUMMYFUNCTION("""COMPUTED_VALUE"""),1187.97)</f>
        <v>1187.97</v>
      </c>
      <c r="AH494" s="6" t="str">
        <f t="shared" ca="1" si="138"/>
        <v>20195</v>
      </c>
      <c r="AI494" s="6">
        <f t="shared" ca="1" si="139"/>
        <v>2019</v>
      </c>
      <c r="AJ494" s="6">
        <f t="shared" ca="1" si="140"/>
        <v>5</v>
      </c>
      <c r="AK494" s="68">
        <f ca="1">IFERROR(__xludf.DUMMYFUNCTION("""COMPUTED_VALUE"""),43586.9986111111)</f>
        <v>43586.998611111099</v>
      </c>
      <c r="AL494" s="6">
        <f ca="1">IFERROR(__xludf.DUMMYFUNCTION("""COMPUTED_VALUE"""),5352.741)</f>
        <v>5352.741</v>
      </c>
      <c r="AP494" s="6" t="str">
        <f t="shared" ca="1" si="141"/>
        <v>201912</v>
      </c>
      <c r="AQ494" s="6">
        <f t="shared" ca="1" si="142"/>
        <v>2019</v>
      </c>
      <c r="AR494" s="6">
        <f t="shared" ca="1" si="143"/>
        <v>12</v>
      </c>
      <c r="AS494" s="68">
        <f ca="1">IFERROR(__xludf.DUMMYFUNCTION("""COMPUTED_VALUE"""),43818.9986111111)</f>
        <v>43818.998611111099</v>
      </c>
      <c r="AT494" s="6">
        <f ca="1">IFERROR(__xludf.DUMMYFUNCTION("""COMPUTED_VALUE"""),1484.4)</f>
        <v>1484.4</v>
      </c>
    </row>
    <row r="495" spans="2:46" x14ac:dyDescent="0.35">
      <c r="B495" s="6" t="str">
        <f t="shared" ca="1" si="126"/>
        <v>201912</v>
      </c>
      <c r="C495" s="6">
        <f t="shared" ca="1" si="127"/>
        <v>2019</v>
      </c>
      <c r="D495" s="6">
        <f t="shared" ca="1" si="128"/>
        <v>12</v>
      </c>
      <c r="E495" s="68">
        <f ca="1">IFERROR(__xludf.DUMMYFUNCTION("""COMPUTED_VALUE"""),43810.6666666666)</f>
        <v>43810.666666666599</v>
      </c>
      <c r="F495" s="6">
        <f ca="1">IFERROR(__xludf.DUMMYFUNCTION("""COMPUTED_VALUE"""),3141.63)</f>
        <v>3141.63</v>
      </c>
      <c r="J495" s="6" t="str">
        <f t="shared" ca="1" si="129"/>
        <v>201912</v>
      </c>
      <c r="K495" s="6">
        <f t="shared" ca="1" si="130"/>
        <v>2019</v>
      </c>
      <c r="L495" s="6">
        <f t="shared" ca="1" si="131"/>
        <v>12</v>
      </c>
      <c r="M495" s="68">
        <f ca="1">IFERROR(__xludf.DUMMYFUNCTION("""COMPUTED_VALUE"""),43808.6666666666)</f>
        <v>43808.666666666599</v>
      </c>
      <c r="N495" s="6">
        <f ca="1">IFERROR(__xludf.DUMMYFUNCTION("""COMPUTED_VALUE"""),8621.83)</f>
        <v>8621.83</v>
      </c>
      <c r="R495" s="6" t="str">
        <f t="shared" ca="1" si="132"/>
        <v>20201</v>
      </c>
      <c r="S495" s="6">
        <f t="shared" ca="1" si="133"/>
        <v>2020</v>
      </c>
      <c r="T495" s="6">
        <f t="shared" ca="1" si="134"/>
        <v>1</v>
      </c>
      <c r="U495" s="68">
        <f ca="1">IFERROR(__xludf.DUMMYFUNCTION("""COMPUTED_VALUE"""),43839.6458333333)</f>
        <v>43839.645833333299</v>
      </c>
      <c r="V495" s="6">
        <f ca="1">IFERROR(__xludf.DUMMYFUNCTION("""COMPUTED_VALUE"""),2186.45)</f>
        <v>2186.4499999999998</v>
      </c>
      <c r="Z495" s="6" t="str">
        <f t="shared" ca="1" si="135"/>
        <v>20196</v>
      </c>
      <c r="AA495" s="6">
        <f t="shared" ca="1" si="136"/>
        <v>2019</v>
      </c>
      <c r="AB495" s="6">
        <f t="shared" ca="1" si="137"/>
        <v>6</v>
      </c>
      <c r="AC495" s="68">
        <f ca="1">IFERROR(__xludf.DUMMYFUNCTION("""COMPUTED_VALUE"""),43618.9986111111)</f>
        <v>43618.998611111099</v>
      </c>
      <c r="AD495" s="6">
        <f ca="1">IFERROR(__xludf.DUMMYFUNCTION("""COMPUTED_VALUE"""),1187.87)</f>
        <v>1187.8699999999999</v>
      </c>
      <c r="AH495" s="6" t="str">
        <f t="shared" ca="1" si="138"/>
        <v>20195</v>
      </c>
      <c r="AI495" s="6">
        <f t="shared" ca="1" si="139"/>
        <v>2019</v>
      </c>
      <c r="AJ495" s="6">
        <f t="shared" ca="1" si="140"/>
        <v>5</v>
      </c>
      <c r="AK495" s="68">
        <f ca="1">IFERROR(__xludf.DUMMYFUNCTION("""COMPUTED_VALUE"""),43587.9986111111)</f>
        <v>43587.998611111099</v>
      </c>
      <c r="AL495" s="6">
        <f ca="1">IFERROR(__xludf.DUMMYFUNCTION("""COMPUTED_VALUE"""),5404.646)</f>
        <v>5404.6459999999997</v>
      </c>
      <c r="AP495" s="6" t="str">
        <f t="shared" ca="1" si="141"/>
        <v>201912</v>
      </c>
      <c r="AQ495" s="6">
        <f t="shared" ca="1" si="142"/>
        <v>2019</v>
      </c>
      <c r="AR495" s="6">
        <f t="shared" ca="1" si="143"/>
        <v>12</v>
      </c>
      <c r="AS495" s="68">
        <f ca="1">IFERROR(__xludf.DUMMYFUNCTION("""COMPUTED_VALUE"""),43819.9986111111)</f>
        <v>43819.998611111099</v>
      </c>
      <c r="AT495" s="6">
        <f ca="1">IFERROR(__xludf.DUMMYFUNCTION("""COMPUTED_VALUE"""),1480.9)</f>
        <v>1480.9</v>
      </c>
    </row>
    <row r="496" spans="2:46" x14ac:dyDescent="0.35">
      <c r="B496" s="6" t="str">
        <f t="shared" ca="1" si="126"/>
        <v>201912</v>
      </c>
      <c r="C496" s="6">
        <f t="shared" ca="1" si="127"/>
        <v>2019</v>
      </c>
      <c r="D496" s="6">
        <f t="shared" ca="1" si="128"/>
        <v>12</v>
      </c>
      <c r="E496" s="68">
        <f ca="1">IFERROR(__xludf.DUMMYFUNCTION("""COMPUTED_VALUE"""),43811.6666666666)</f>
        <v>43811.666666666599</v>
      </c>
      <c r="F496" s="6">
        <f ca="1">IFERROR(__xludf.DUMMYFUNCTION("""COMPUTED_VALUE"""),3168.57)</f>
        <v>3168.57</v>
      </c>
      <c r="J496" s="6" t="str">
        <f t="shared" ca="1" si="129"/>
        <v>201912</v>
      </c>
      <c r="K496" s="6">
        <f t="shared" ca="1" si="130"/>
        <v>2019</v>
      </c>
      <c r="L496" s="6">
        <f t="shared" ca="1" si="131"/>
        <v>12</v>
      </c>
      <c r="M496" s="68">
        <f ca="1">IFERROR(__xludf.DUMMYFUNCTION("""COMPUTED_VALUE"""),43809.6666666666)</f>
        <v>43809.666666666599</v>
      </c>
      <c r="N496" s="6">
        <f ca="1">IFERROR(__xludf.DUMMYFUNCTION("""COMPUTED_VALUE"""),8616.18)</f>
        <v>8616.18</v>
      </c>
      <c r="R496" s="6" t="str">
        <f t="shared" ca="1" si="132"/>
        <v>20201</v>
      </c>
      <c r="S496" s="6">
        <f t="shared" ca="1" si="133"/>
        <v>2020</v>
      </c>
      <c r="T496" s="6">
        <f t="shared" ca="1" si="134"/>
        <v>1</v>
      </c>
      <c r="U496" s="68">
        <f ca="1">IFERROR(__xludf.DUMMYFUNCTION("""COMPUTED_VALUE"""),43840.6458333333)</f>
        <v>43840.645833333299</v>
      </c>
      <c r="V496" s="6">
        <f ca="1">IFERROR(__xludf.DUMMYFUNCTION("""COMPUTED_VALUE"""),2206.39)</f>
        <v>2206.39</v>
      </c>
      <c r="Z496" s="6" t="str">
        <f t="shared" ca="1" si="135"/>
        <v>20196</v>
      </c>
      <c r="AA496" s="6">
        <f t="shared" ca="1" si="136"/>
        <v>2019</v>
      </c>
      <c r="AB496" s="6">
        <f t="shared" ca="1" si="137"/>
        <v>6</v>
      </c>
      <c r="AC496" s="68">
        <f ca="1">IFERROR(__xludf.DUMMYFUNCTION("""COMPUTED_VALUE"""),43619.9986111111)</f>
        <v>43619.998611111099</v>
      </c>
      <c r="AD496" s="6">
        <f ca="1">IFERROR(__xludf.DUMMYFUNCTION("""COMPUTED_VALUE"""),1178.35)</f>
        <v>1178.3499999999999</v>
      </c>
      <c r="AH496" s="6" t="str">
        <f t="shared" ca="1" si="138"/>
        <v>20195</v>
      </c>
      <c r="AI496" s="6">
        <f t="shared" ca="1" si="139"/>
        <v>2019</v>
      </c>
      <c r="AJ496" s="6">
        <f t="shared" ca="1" si="140"/>
        <v>5</v>
      </c>
      <c r="AK496" s="68">
        <f ca="1">IFERROR(__xludf.DUMMYFUNCTION("""COMPUTED_VALUE"""),43588.9986111111)</f>
        <v>43588.998611111099</v>
      </c>
      <c r="AL496" s="6">
        <f ca="1">IFERROR(__xludf.DUMMYFUNCTION("""COMPUTED_VALUE"""),5681.206)</f>
        <v>5681.2060000000001</v>
      </c>
      <c r="AP496" s="6" t="str">
        <f t="shared" ca="1" si="141"/>
        <v>201912</v>
      </c>
      <c r="AQ496" s="6">
        <f t="shared" ca="1" si="142"/>
        <v>2019</v>
      </c>
      <c r="AR496" s="6">
        <f t="shared" ca="1" si="143"/>
        <v>12</v>
      </c>
      <c r="AS496" s="68">
        <f ca="1">IFERROR(__xludf.DUMMYFUNCTION("""COMPUTED_VALUE"""),43822.9986111111)</f>
        <v>43822.998611111099</v>
      </c>
      <c r="AT496" s="6">
        <f ca="1">IFERROR(__xludf.DUMMYFUNCTION("""COMPUTED_VALUE"""),1488.7)</f>
        <v>1488.7</v>
      </c>
    </row>
    <row r="497" spans="2:46" x14ac:dyDescent="0.35">
      <c r="B497" s="6" t="str">
        <f t="shared" ca="1" si="126"/>
        <v>201912</v>
      </c>
      <c r="C497" s="6">
        <f t="shared" ca="1" si="127"/>
        <v>2019</v>
      </c>
      <c r="D497" s="6">
        <f t="shared" ca="1" si="128"/>
        <v>12</v>
      </c>
      <c r="E497" s="68">
        <f ca="1">IFERROR(__xludf.DUMMYFUNCTION("""COMPUTED_VALUE"""),43812.6666666666)</f>
        <v>43812.666666666599</v>
      </c>
      <c r="F497" s="6">
        <f ca="1">IFERROR(__xludf.DUMMYFUNCTION("""COMPUTED_VALUE"""),3168.8)</f>
        <v>3168.8</v>
      </c>
      <c r="J497" s="6" t="str">
        <f t="shared" ca="1" si="129"/>
        <v>201912</v>
      </c>
      <c r="K497" s="6">
        <f t="shared" ca="1" si="130"/>
        <v>2019</v>
      </c>
      <c r="L497" s="6">
        <f t="shared" ca="1" si="131"/>
        <v>12</v>
      </c>
      <c r="M497" s="68">
        <f ca="1">IFERROR(__xludf.DUMMYFUNCTION("""COMPUTED_VALUE"""),43810.6666666666)</f>
        <v>43810.666666666599</v>
      </c>
      <c r="N497" s="6">
        <f ca="1">IFERROR(__xludf.DUMMYFUNCTION("""COMPUTED_VALUE"""),8654.05)</f>
        <v>8654.0499999999993</v>
      </c>
      <c r="R497" s="6" t="str">
        <f t="shared" ca="1" si="132"/>
        <v>20201</v>
      </c>
      <c r="S497" s="6">
        <f t="shared" ca="1" si="133"/>
        <v>2020</v>
      </c>
      <c r="T497" s="6">
        <f t="shared" ca="1" si="134"/>
        <v>1</v>
      </c>
      <c r="U497" s="68">
        <f ca="1">IFERROR(__xludf.DUMMYFUNCTION("""COMPUTED_VALUE"""),43843.6458333333)</f>
        <v>43843.645833333299</v>
      </c>
      <c r="V497" s="6">
        <f ca="1">IFERROR(__xludf.DUMMYFUNCTION("""COMPUTED_VALUE"""),2229.26)</f>
        <v>2229.2600000000002</v>
      </c>
      <c r="Z497" s="6" t="str">
        <f t="shared" ca="1" si="135"/>
        <v>20196</v>
      </c>
      <c r="AA497" s="6">
        <f t="shared" ca="1" si="136"/>
        <v>2019</v>
      </c>
      <c r="AB497" s="6">
        <f t="shared" ca="1" si="137"/>
        <v>6</v>
      </c>
      <c r="AC497" s="68">
        <f ca="1">IFERROR(__xludf.DUMMYFUNCTION("""COMPUTED_VALUE"""),43620.9986111111)</f>
        <v>43620.998611111099</v>
      </c>
      <c r="AD497" s="6">
        <f ca="1">IFERROR(__xludf.DUMMYFUNCTION("""COMPUTED_VALUE"""),1176.05)</f>
        <v>1176.05</v>
      </c>
      <c r="AH497" s="6" t="str">
        <f t="shared" ca="1" si="138"/>
        <v>20195</v>
      </c>
      <c r="AI497" s="6">
        <f t="shared" ca="1" si="139"/>
        <v>2019</v>
      </c>
      <c r="AJ497" s="6">
        <f t="shared" ca="1" si="140"/>
        <v>5</v>
      </c>
      <c r="AK497" s="68">
        <f ca="1">IFERROR(__xludf.DUMMYFUNCTION("""COMPUTED_VALUE"""),43589.9986111111)</f>
        <v>43589.998611111099</v>
      </c>
      <c r="AL497" s="6">
        <f ca="1">IFERROR(__xludf.DUMMYFUNCTION("""COMPUTED_VALUE"""),5798.636)</f>
        <v>5798.6360000000004</v>
      </c>
      <c r="AP497" s="6" t="str">
        <f t="shared" ca="1" si="141"/>
        <v>201912</v>
      </c>
      <c r="AQ497" s="6">
        <f t="shared" ca="1" si="142"/>
        <v>2019</v>
      </c>
      <c r="AR497" s="6">
        <f t="shared" ca="1" si="143"/>
        <v>12</v>
      </c>
      <c r="AS497" s="68">
        <f ca="1">IFERROR(__xludf.DUMMYFUNCTION("""COMPUTED_VALUE"""),43825.9986111111)</f>
        <v>43825.998611111099</v>
      </c>
      <c r="AT497" s="6">
        <f ca="1">IFERROR(__xludf.DUMMYFUNCTION("""COMPUTED_VALUE"""),1514.4)</f>
        <v>1514.4</v>
      </c>
    </row>
    <row r="498" spans="2:46" x14ac:dyDescent="0.35">
      <c r="B498" s="6" t="str">
        <f t="shared" ca="1" si="126"/>
        <v>201912</v>
      </c>
      <c r="C498" s="6">
        <f t="shared" ca="1" si="127"/>
        <v>2019</v>
      </c>
      <c r="D498" s="6">
        <f t="shared" ca="1" si="128"/>
        <v>12</v>
      </c>
      <c r="E498" s="68">
        <f ca="1">IFERROR(__xludf.DUMMYFUNCTION("""COMPUTED_VALUE"""),43815.6666666666)</f>
        <v>43815.666666666599</v>
      </c>
      <c r="F498" s="6">
        <f ca="1">IFERROR(__xludf.DUMMYFUNCTION("""COMPUTED_VALUE"""),3191.45)</f>
        <v>3191.45</v>
      </c>
      <c r="J498" s="6" t="str">
        <f t="shared" ca="1" si="129"/>
        <v>201912</v>
      </c>
      <c r="K498" s="6">
        <f t="shared" ca="1" si="130"/>
        <v>2019</v>
      </c>
      <c r="L498" s="6">
        <f t="shared" ca="1" si="131"/>
        <v>12</v>
      </c>
      <c r="M498" s="68">
        <f ca="1">IFERROR(__xludf.DUMMYFUNCTION("""COMPUTED_VALUE"""),43811.6666666666)</f>
        <v>43811.666666666599</v>
      </c>
      <c r="N498" s="6">
        <f ca="1">IFERROR(__xludf.DUMMYFUNCTION("""COMPUTED_VALUE"""),8717.32)</f>
        <v>8717.32</v>
      </c>
      <c r="R498" s="6" t="str">
        <f t="shared" ca="1" si="132"/>
        <v>20201</v>
      </c>
      <c r="S498" s="6">
        <f t="shared" ca="1" si="133"/>
        <v>2020</v>
      </c>
      <c r="T498" s="6">
        <f t="shared" ca="1" si="134"/>
        <v>1</v>
      </c>
      <c r="U498" s="68">
        <f ca="1">IFERROR(__xludf.DUMMYFUNCTION("""COMPUTED_VALUE"""),43844.6458333333)</f>
        <v>43844.645833333299</v>
      </c>
      <c r="V498" s="6">
        <f ca="1">IFERROR(__xludf.DUMMYFUNCTION("""COMPUTED_VALUE"""),2238.88)</f>
        <v>2238.88</v>
      </c>
      <c r="Z498" s="6" t="str">
        <f t="shared" ca="1" si="135"/>
        <v>20196</v>
      </c>
      <c r="AA498" s="6">
        <f t="shared" ca="1" si="136"/>
        <v>2019</v>
      </c>
      <c r="AB498" s="6">
        <f t="shared" ca="1" si="137"/>
        <v>6</v>
      </c>
      <c r="AC498" s="68">
        <f ca="1">IFERROR(__xludf.DUMMYFUNCTION("""COMPUTED_VALUE"""),43621.9986111111)</f>
        <v>43621.998611111099</v>
      </c>
      <c r="AD498" s="6">
        <f ca="1">IFERROR(__xludf.DUMMYFUNCTION("""COMPUTED_VALUE"""),1178.74)</f>
        <v>1178.74</v>
      </c>
      <c r="AH498" s="6" t="str">
        <f t="shared" ca="1" si="138"/>
        <v>20195</v>
      </c>
      <c r="AI498" s="6">
        <f t="shared" ca="1" si="139"/>
        <v>2019</v>
      </c>
      <c r="AJ498" s="6">
        <f t="shared" ca="1" si="140"/>
        <v>5</v>
      </c>
      <c r="AK498" s="68">
        <f ca="1">IFERROR(__xludf.DUMMYFUNCTION("""COMPUTED_VALUE"""),43590.9986111111)</f>
        <v>43590.998611111099</v>
      </c>
      <c r="AL498" s="6">
        <f ca="1">IFERROR(__xludf.DUMMYFUNCTION("""COMPUTED_VALUE"""),5720.7)</f>
        <v>5720.7</v>
      </c>
      <c r="AP498" s="6" t="str">
        <f t="shared" ca="1" si="141"/>
        <v>201912</v>
      </c>
      <c r="AQ498" s="6">
        <f t="shared" ca="1" si="142"/>
        <v>2019</v>
      </c>
      <c r="AR498" s="6">
        <f t="shared" ca="1" si="143"/>
        <v>12</v>
      </c>
      <c r="AS498" s="68">
        <f ca="1">IFERROR(__xludf.DUMMYFUNCTION("""COMPUTED_VALUE"""),43826.9986111111)</f>
        <v>43826.998611111099</v>
      </c>
      <c r="AT498" s="6">
        <f ca="1">IFERROR(__xludf.DUMMYFUNCTION("""COMPUTED_VALUE"""),1518.1)</f>
        <v>1518.1</v>
      </c>
    </row>
    <row r="499" spans="2:46" x14ac:dyDescent="0.35">
      <c r="B499" s="6" t="str">
        <f t="shared" ca="1" si="126"/>
        <v>201912</v>
      </c>
      <c r="C499" s="6">
        <f t="shared" ca="1" si="127"/>
        <v>2019</v>
      </c>
      <c r="D499" s="6">
        <f t="shared" ca="1" si="128"/>
        <v>12</v>
      </c>
      <c r="E499" s="68">
        <f ca="1">IFERROR(__xludf.DUMMYFUNCTION("""COMPUTED_VALUE"""),43816.6666666666)</f>
        <v>43816.666666666599</v>
      </c>
      <c r="F499" s="6">
        <f ca="1">IFERROR(__xludf.DUMMYFUNCTION("""COMPUTED_VALUE"""),3192.52)</f>
        <v>3192.52</v>
      </c>
      <c r="J499" s="6" t="str">
        <f t="shared" ca="1" si="129"/>
        <v>201912</v>
      </c>
      <c r="K499" s="6">
        <f t="shared" ca="1" si="130"/>
        <v>2019</v>
      </c>
      <c r="L499" s="6">
        <f t="shared" ca="1" si="131"/>
        <v>12</v>
      </c>
      <c r="M499" s="68">
        <f ca="1">IFERROR(__xludf.DUMMYFUNCTION("""COMPUTED_VALUE"""),43812.6666666666)</f>
        <v>43812.666666666599</v>
      </c>
      <c r="N499" s="6">
        <f ca="1">IFERROR(__xludf.DUMMYFUNCTION("""COMPUTED_VALUE"""),8734.88)</f>
        <v>8734.8799999999992</v>
      </c>
      <c r="R499" s="6" t="str">
        <f t="shared" ca="1" si="132"/>
        <v>20201</v>
      </c>
      <c r="S499" s="6">
        <f t="shared" ca="1" si="133"/>
        <v>2020</v>
      </c>
      <c r="T499" s="6">
        <f t="shared" ca="1" si="134"/>
        <v>1</v>
      </c>
      <c r="U499" s="68">
        <f ca="1">IFERROR(__xludf.DUMMYFUNCTION("""COMPUTED_VALUE"""),43845.6458333333)</f>
        <v>43845.645833333299</v>
      </c>
      <c r="V499" s="6">
        <f ca="1">IFERROR(__xludf.DUMMYFUNCTION("""COMPUTED_VALUE"""),2230.98)</f>
        <v>2230.98</v>
      </c>
      <c r="Z499" s="6" t="str">
        <f t="shared" ca="1" si="135"/>
        <v>20196</v>
      </c>
      <c r="AA499" s="6">
        <f t="shared" ca="1" si="136"/>
        <v>2019</v>
      </c>
      <c r="AB499" s="6">
        <f t="shared" ca="1" si="137"/>
        <v>6</v>
      </c>
      <c r="AC499" s="68">
        <f ca="1">IFERROR(__xludf.DUMMYFUNCTION("""COMPUTED_VALUE"""),43622.9986111111)</f>
        <v>43622.998611111099</v>
      </c>
      <c r="AD499" s="6">
        <f ca="1">IFERROR(__xludf.DUMMYFUNCTION("""COMPUTED_VALUE"""),1177)</f>
        <v>1177</v>
      </c>
      <c r="AH499" s="6" t="str">
        <f t="shared" ca="1" si="138"/>
        <v>20195</v>
      </c>
      <c r="AI499" s="6">
        <f t="shared" ca="1" si="139"/>
        <v>2019</v>
      </c>
      <c r="AJ499" s="6">
        <f t="shared" ca="1" si="140"/>
        <v>5</v>
      </c>
      <c r="AK499" s="68">
        <f ca="1">IFERROR(__xludf.DUMMYFUNCTION("""COMPUTED_VALUE"""),43591.9986111111)</f>
        <v>43591.998611111099</v>
      </c>
      <c r="AL499" s="6">
        <f ca="1">IFERROR(__xludf.DUMMYFUNCTION("""COMPUTED_VALUE"""),5693.083)</f>
        <v>5693.0829999999996</v>
      </c>
      <c r="AP499" s="6" t="str">
        <f t="shared" ca="1" si="141"/>
        <v>201912</v>
      </c>
      <c r="AQ499" s="6">
        <f t="shared" ca="1" si="142"/>
        <v>2019</v>
      </c>
      <c r="AR499" s="6">
        <f t="shared" ca="1" si="143"/>
        <v>12</v>
      </c>
      <c r="AS499" s="68">
        <f ca="1">IFERROR(__xludf.DUMMYFUNCTION("""COMPUTED_VALUE"""),43829.9986111111)</f>
        <v>43829.998611111099</v>
      </c>
      <c r="AT499" s="6">
        <f ca="1">IFERROR(__xludf.DUMMYFUNCTION("""COMPUTED_VALUE"""),1518.6)</f>
        <v>1518.6</v>
      </c>
    </row>
    <row r="500" spans="2:46" x14ac:dyDescent="0.35">
      <c r="B500" s="6" t="str">
        <f t="shared" ca="1" si="126"/>
        <v>201912</v>
      </c>
      <c r="C500" s="6">
        <f t="shared" ca="1" si="127"/>
        <v>2019</v>
      </c>
      <c r="D500" s="6">
        <f t="shared" ca="1" si="128"/>
        <v>12</v>
      </c>
      <c r="E500" s="68">
        <f ca="1">IFERROR(__xludf.DUMMYFUNCTION("""COMPUTED_VALUE"""),43817.6666666666)</f>
        <v>43817.666666666599</v>
      </c>
      <c r="F500" s="6">
        <f ca="1">IFERROR(__xludf.DUMMYFUNCTION("""COMPUTED_VALUE"""),3191.14)</f>
        <v>3191.14</v>
      </c>
      <c r="J500" s="6" t="str">
        <f t="shared" ca="1" si="129"/>
        <v>201912</v>
      </c>
      <c r="K500" s="6">
        <f t="shared" ca="1" si="130"/>
        <v>2019</v>
      </c>
      <c r="L500" s="6">
        <f t="shared" ca="1" si="131"/>
        <v>12</v>
      </c>
      <c r="M500" s="68">
        <f ca="1">IFERROR(__xludf.DUMMYFUNCTION("""COMPUTED_VALUE"""),43815.6666666666)</f>
        <v>43815.666666666599</v>
      </c>
      <c r="N500" s="6">
        <f ca="1">IFERROR(__xludf.DUMMYFUNCTION("""COMPUTED_VALUE"""),8814.23)</f>
        <v>8814.23</v>
      </c>
      <c r="R500" s="6" t="str">
        <f t="shared" ca="1" si="132"/>
        <v>20201</v>
      </c>
      <c r="S500" s="6">
        <f t="shared" ca="1" si="133"/>
        <v>2020</v>
      </c>
      <c r="T500" s="6">
        <f t="shared" ca="1" si="134"/>
        <v>1</v>
      </c>
      <c r="U500" s="68">
        <f ca="1">IFERROR(__xludf.DUMMYFUNCTION("""COMPUTED_VALUE"""),43846.6458333333)</f>
        <v>43846.645833333299</v>
      </c>
      <c r="V500" s="6">
        <f ca="1">IFERROR(__xludf.DUMMYFUNCTION("""COMPUTED_VALUE"""),2248.05)</f>
        <v>2248.0500000000002</v>
      </c>
      <c r="Z500" s="6" t="str">
        <f t="shared" ca="1" si="135"/>
        <v>20196</v>
      </c>
      <c r="AA500" s="6">
        <f t="shared" ca="1" si="136"/>
        <v>2019</v>
      </c>
      <c r="AB500" s="6">
        <f t="shared" ca="1" si="137"/>
        <v>6</v>
      </c>
      <c r="AC500" s="68">
        <f ca="1">IFERROR(__xludf.DUMMYFUNCTION("""COMPUTED_VALUE"""),43623.9986111111)</f>
        <v>43623.998611111099</v>
      </c>
      <c r="AD500" s="6">
        <f ca="1">IFERROR(__xludf.DUMMYFUNCTION("""COMPUTED_VALUE"""),1181.08)</f>
        <v>1181.08</v>
      </c>
      <c r="AH500" s="6" t="str">
        <f t="shared" ca="1" si="138"/>
        <v>20195</v>
      </c>
      <c r="AI500" s="6">
        <f t="shared" ca="1" si="139"/>
        <v>2019</v>
      </c>
      <c r="AJ500" s="6">
        <f t="shared" ca="1" si="140"/>
        <v>5</v>
      </c>
      <c r="AK500" s="68">
        <f ca="1">IFERROR(__xludf.DUMMYFUNCTION("""COMPUTED_VALUE"""),43592.9986111111)</f>
        <v>43592.998611111099</v>
      </c>
      <c r="AL500" s="6">
        <f ca="1">IFERROR(__xludf.DUMMYFUNCTION("""COMPUTED_VALUE"""),5763.569)</f>
        <v>5763.5690000000004</v>
      </c>
      <c r="AP500" s="6" t="str">
        <f t="shared" ca="1" si="141"/>
        <v>20201</v>
      </c>
      <c r="AQ500" s="6">
        <f t="shared" ca="1" si="142"/>
        <v>2020</v>
      </c>
      <c r="AR500" s="6">
        <f t="shared" ca="1" si="143"/>
        <v>1</v>
      </c>
      <c r="AS500" s="68">
        <f ca="1">IFERROR(__xludf.DUMMYFUNCTION("""COMPUTED_VALUE"""),43832.9986111111)</f>
        <v>43832.998611111099</v>
      </c>
      <c r="AT500" s="6">
        <f ca="1">IFERROR(__xludf.DUMMYFUNCTION("""COMPUTED_VALUE"""),1528.1)</f>
        <v>1528.1</v>
      </c>
    </row>
    <row r="501" spans="2:46" x14ac:dyDescent="0.35">
      <c r="B501" s="6" t="str">
        <f t="shared" ca="1" si="126"/>
        <v>201912</v>
      </c>
      <c r="C501" s="6">
        <f t="shared" ca="1" si="127"/>
        <v>2019</v>
      </c>
      <c r="D501" s="6">
        <f t="shared" ca="1" si="128"/>
        <v>12</v>
      </c>
      <c r="E501" s="68">
        <f ca="1">IFERROR(__xludf.DUMMYFUNCTION("""COMPUTED_VALUE"""),43818.6666666666)</f>
        <v>43818.666666666599</v>
      </c>
      <c r="F501" s="6">
        <f ca="1">IFERROR(__xludf.DUMMYFUNCTION("""COMPUTED_VALUE"""),3205.37)</f>
        <v>3205.37</v>
      </c>
      <c r="J501" s="6" t="str">
        <f t="shared" ca="1" si="129"/>
        <v>201912</v>
      </c>
      <c r="K501" s="6">
        <f t="shared" ca="1" si="130"/>
        <v>2019</v>
      </c>
      <c r="L501" s="6">
        <f t="shared" ca="1" si="131"/>
        <v>12</v>
      </c>
      <c r="M501" s="68">
        <f ca="1">IFERROR(__xludf.DUMMYFUNCTION("""COMPUTED_VALUE"""),43816.6666666666)</f>
        <v>43816.666666666599</v>
      </c>
      <c r="N501" s="6">
        <f ca="1">IFERROR(__xludf.DUMMYFUNCTION("""COMPUTED_VALUE"""),8823.36)</f>
        <v>8823.36</v>
      </c>
      <c r="R501" s="6" t="str">
        <f t="shared" ca="1" si="132"/>
        <v>20201</v>
      </c>
      <c r="S501" s="6">
        <f t="shared" ca="1" si="133"/>
        <v>2020</v>
      </c>
      <c r="T501" s="6">
        <f t="shared" ca="1" si="134"/>
        <v>1</v>
      </c>
      <c r="U501" s="68">
        <f ca="1">IFERROR(__xludf.DUMMYFUNCTION("""COMPUTED_VALUE"""),43847.6458333333)</f>
        <v>43847.645833333299</v>
      </c>
      <c r="V501" s="6">
        <f ca="1">IFERROR(__xludf.DUMMYFUNCTION("""COMPUTED_VALUE"""),2250.57)</f>
        <v>2250.5700000000002</v>
      </c>
      <c r="Z501" s="6" t="str">
        <f t="shared" ca="1" si="135"/>
        <v>20196</v>
      </c>
      <c r="AA501" s="6">
        <f t="shared" ca="1" si="136"/>
        <v>2019</v>
      </c>
      <c r="AB501" s="6">
        <f t="shared" ca="1" si="137"/>
        <v>6</v>
      </c>
      <c r="AC501" s="68">
        <f ca="1">IFERROR(__xludf.DUMMYFUNCTION("""COMPUTED_VALUE"""),43625.9986111111)</f>
        <v>43625.998611111099</v>
      </c>
      <c r="AD501" s="6">
        <f ca="1">IFERROR(__xludf.DUMMYFUNCTION("""COMPUTED_VALUE"""),1180.76)</f>
        <v>1180.76</v>
      </c>
      <c r="AH501" s="6" t="str">
        <f t="shared" ca="1" si="138"/>
        <v>20195</v>
      </c>
      <c r="AI501" s="6">
        <f t="shared" ca="1" si="139"/>
        <v>2019</v>
      </c>
      <c r="AJ501" s="6">
        <f t="shared" ca="1" si="140"/>
        <v>5</v>
      </c>
      <c r="AK501" s="68">
        <f ca="1">IFERROR(__xludf.DUMMYFUNCTION("""COMPUTED_VALUE"""),43593.9986111111)</f>
        <v>43593.998611111099</v>
      </c>
      <c r="AL501" s="6">
        <f ca="1">IFERROR(__xludf.DUMMYFUNCTION("""COMPUTED_VALUE"""),5957.77)</f>
        <v>5957.77</v>
      </c>
      <c r="AP501" s="6" t="str">
        <f t="shared" ca="1" si="141"/>
        <v>20201</v>
      </c>
      <c r="AQ501" s="6">
        <f t="shared" ca="1" si="142"/>
        <v>2020</v>
      </c>
      <c r="AR501" s="6">
        <f t="shared" ca="1" si="143"/>
        <v>1</v>
      </c>
      <c r="AS501" s="68">
        <f ca="1">IFERROR(__xludf.DUMMYFUNCTION("""COMPUTED_VALUE"""),43833.9986111111)</f>
        <v>43833.998611111099</v>
      </c>
      <c r="AT501" s="6">
        <f ca="1">IFERROR(__xludf.DUMMYFUNCTION("""COMPUTED_VALUE"""),1552.4)</f>
        <v>1552.4</v>
      </c>
    </row>
    <row r="502" spans="2:46" x14ac:dyDescent="0.35">
      <c r="B502" s="6" t="str">
        <f t="shared" ca="1" si="126"/>
        <v>201912</v>
      </c>
      <c r="C502" s="6">
        <f t="shared" ca="1" si="127"/>
        <v>2019</v>
      </c>
      <c r="D502" s="6">
        <f t="shared" ca="1" si="128"/>
        <v>12</v>
      </c>
      <c r="E502" s="68">
        <f ca="1">IFERROR(__xludf.DUMMYFUNCTION("""COMPUTED_VALUE"""),43819.6666666666)</f>
        <v>43819.666666666599</v>
      </c>
      <c r="F502" s="6">
        <f ca="1">IFERROR(__xludf.DUMMYFUNCTION("""COMPUTED_VALUE"""),3221.22)</f>
        <v>3221.22</v>
      </c>
      <c r="J502" s="6" t="str">
        <f t="shared" ca="1" si="129"/>
        <v>201912</v>
      </c>
      <c r="K502" s="6">
        <f t="shared" ca="1" si="130"/>
        <v>2019</v>
      </c>
      <c r="L502" s="6">
        <f t="shared" ca="1" si="131"/>
        <v>12</v>
      </c>
      <c r="M502" s="68">
        <f ca="1">IFERROR(__xludf.DUMMYFUNCTION("""COMPUTED_VALUE"""),43817.6666666666)</f>
        <v>43817.666666666599</v>
      </c>
      <c r="N502" s="6">
        <f ca="1">IFERROR(__xludf.DUMMYFUNCTION("""COMPUTED_VALUE"""),8827.74)</f>
        <v>8827.74</v>
      </c>
      <c r="R502" s="6" t="str">
        <f t="shared" ca="1" si="132"/>
        <v>20201</v>
      </c>
      <c r="S502" s="6">
        <f t="shared" ca="1" si="133"/>
        <v>2020</v>
      </c>
      <c r="T502" s="6">
        <f t="shared" ca="1" si="134"/>
        <v>1</v>
      </c>
      <c r="U502" s="68">
        <f ca="1">IFERROR(__xludf.DUMMYFUNCTION("""COMPUTED_VALUE"""),43850.6458333333)</f>
        <v>43850.645833333299</v>
      </c>
      <c r="V502" s="6">
        <f ca="1">IFERROR(__xludf.DUMMYFUNCTION("""COMPUTED_VALUE"""),2262.64)</f>
        <v>2262.64</v>
      </c>
      <c r="Z502" s="6" t="str">
        <f t="shared" ca="1" si="135"/>
        <v>20196</v>
      </c>
      <c r="AA502" s="6">
        <f t="shared" ca="1" si="136"/>
        <v>2019</v>
      </c>
      <c r="AB502" s="6">
        <f t="shared" ca="1" si="137"/>
        <v>6</v>
      </c>
      <c r="AC502" s="68">
        <f ca="1">IFERROR(__xludf.DUMMYFUNCTION("""COMPUTED_VALUE"""),43626.9986111111)</f>
        <v>43626.998611111099</v>
      </c>
      <c r="AD502" s="6">
        <f ca="1">IFERROR(__xludf.DUMMYFUNCTION("""COMPUTED_VALUE"""),1182.1)</f>
        <v>1182.0999999999999</v>
      </c>
      <c r="AH502" s="6" t="str">
        <f t="shared" ca="1" si="138"/>
        <v>20195</v>
      </c>
      <c r="AI502" s="6">
        <f t="shared" ca="1" si="139"/>
        <v>2019</v>
      </c>
      <c r="AJ502" s="6">
        <f t="shared" ca="1" si="140"/>
        <v>5</v>
      </c>
      <c r="AK502" s="68">
        <f ca="1">IFERROR(__xludf.DUMMYFUNCTION("""COMPUTED_VALUE"""),43594.9986111111)</f>
        <v>43594.998611111099</v>
      </c>
      <c r="AL502" s="6">
        <f ca="1">IFERROR(__xludf.DUMMYFUNCTION("""COMPUTED_VALUE"""),6161.655)</f>
        <v>6161.6549999999997</v>
      </c>
      <c r="AP502" s="6" t="str">
        <f t="shared" ca="1" si="141"/>
        <v>20201</v>
      </c>
      <c r="AQ502" s="6">
        <f t="shared" ca="1" si="142"/>
        <v>2020</v>
      </c>
      <c r="AR502" s="6">
        <f t="shared" ca="1" si="143"/>
        <v>1</v>
      </c>
      <c r="AS502" s="68">
        <f ca="1">IFERROR(__xludf.DUMMYFUNCTION("""COMPUTED_VALUE"""),43836.9986111111)</f>
        <v>43836.998611111099</v>
      </c>
      <c r="AT502" s="6">
        <f ca="1">IFERROR(__xludf.DUMMYFUNCTION("""COMPUTED_VALUE"""),1568.8)</f>
        <v>1568.8</v>
      </c>
    </row>
    <row r="503" spans="2:46" x14ac:dyDescent="0.35">
      <c r="B503" s="6" t="str">
        <f t="shared" ca="1" si="126"/>
        <v>201912</v>
      </c>
      <c r="C503" s="6">
        <f t="shared" ca="1" si="127"/>
        <v>2019</v>
      </c>
      <c r="D503" s="6">
        <f t="shared" ca="1" si="128"/>
        <v>12</v>
      </c>
      <c r="E503" s="68">
        <f ca="1">IFERROR(__xludf.DUMMYFUNCTION("""COMPUTED_VALUE"""),43822.6666666666)</f>
        <v>43822.666666666599</v>
      </c>
      <c r="F503" s="6">
        <f ca="1">IFERROR(__xludf.DUMMYFUNCTION("""COMPUTED_VALUE"""),3224.01)</f>
        <v>3224.01</v>
      </c>
      <c r="J503" s="6" t="str">
        <f t="shared" ca="1" si="129"/>
        <v>201912</v>
      </c>
      <c r="K503" s="6">
        <f t="shared" ca="1" si="130"/>
        <v>2019</v>
      </c>
      <c r="L503" s="6">
        <f t="shared" ca="1" si="131"/>
        <v>12</v>
      </c>
      <c r="M503" s="68">
        <f ca="1">IFERROR(__xludf.DUMMYFUNCTION("""COMPUTED_VALUE"""),43818.6666666666)</f>
        <v>43818.666666666599</v>
      </c>
      <c r="N503" s="6">
        <f ca="1">IFERROR(__xludf.DUMMYFUNCTION("""COMPUTED_VALUE"""),8887.22)</f>
        <v>8887.2199999999993</v>
      </c>
      <c r="R503" s="6" t="str">
        <f t="shared" ca="1" si="132"/>
        <v>20201</v>
      </c>
      <c r="S503" s="6">
        <f t="shared" ca="1" si="133"/>
        <v>2020</v>
      </c>
      <c r="T503" s="6">
        <f t="shared" ca="1" si="134"/>
        <v>1</v>
      </c>
      <c r="U503" s="68">
        <f ca="1">IFERROR(__xludf.DUMMYFUNCTION("""COMPUTED_VALUE"""),43851.6458333333)</f>
        <v>43851.645833333299</v>
      </c>
      <c r="V503" s="6">
        <f ca="1">IFERROR(__xludf.DUMMYFUNCTION("""COMPUTED_VALUE"""),2239.69)</f>
        <v>2239.69</v>
      </c>
      <c r="Z503" s="6" t="str">
        <f t="shared" ca="1" si="135"/>
        <v>20196</v>
      </c>
      <c r="AA503" s="6">
        <f t="shared" ca="1" si="136"/>
        <v>2019</v>
      </c>
      <c r="AB503" s="6">
        <f t="shared" ca="1" si="137"/>
        <v>6</v>
      </c>
      <c r="AC503" s="68">
        <f ca="1">IFERROR(__xludf.DUMMYFUNCTION("""COMPUTED_VALUE"""),43627.9986111111)</f>
        <v>43627.998611111099</v>
      </c>
      <c r="AD503" s="6">
        <f ca="1">IFERROR(__xludf.DUMMYFUNCTION("""COMPUTED_VALUE"""),1177.98)</f>
        <v>1177.98</v>
      </c>
      <c r="AH503" s="6" t="str">
        <f t="shared" ca="1" si="138"/>
        <v>20195</v>
      </c>
      <c r="AI503" s="6">
        <f t="shared" ca="1" si="139"/>
        <v>2019</v>
      </c>
      <c r="AJ503" s="6">
        <f t="shared" ca="1" si="140"/>
        <v>5</v>
      </c>
      <c r="AK503" s="68">
        <f ca="1">IFERROR(__xludf.DUMMYFUNCTION("""COMPUTED_VALUE"""),43595.9986111111)</f>
        <v>43595.998611111099</v>
      </c>
      <c r="AL503" s="6">
        <f ca="1">IFERROR(__xludf.DUMMYFUNCTION("""COMPUTED_VALUE"""),6358.179)</f>
        <v>6358.1790000000001</v>
      </c>
      <c r="AP503" s="6" t="str">
        <f t="shared" ca="1" si="141"/>
        <v>20201</v>
      </c>
      <c r="AQ503" s="6">
        <f t="shared" ca="1" si="142"/>
        <v>2020</v>
      </c>
      <c r="AR503" s="6">
        <f t="shared" ca="1" si="143"/>
        <v>1</v>
      </c>
      <c r="AS503" s="68">
        <f ca="1">IFERROR(__xludf.DUMMYFUNCTION("""COMPUTED_VALUE"""),43837.9986111111)</f>
        <v>43837.998611111099</v>
      </c>
      <c r="AT503" s="6">
        <f ca="1">IFERROR(__xludf.DUMMYFUNCTION("""COMPUTED_VALUE"""),1574.3)</f>
        <v>1574.3</v>
      </c>
    </row>
    <row r="504" spans="2:46" x14ac:dyDescent="0.35">
      <c r="B504" s="6" t="str">
        <f t="shared" ca="1" si="126"/>
        <v>201912</v>
      </c>
      <c r="C504" s="6">
        <f t="shared" ca="1" si="127"/>
        <v>2019</v>
      </c>
      <c r="D504" s="6">
        <f t="shared" ca="1" si="128"/>
        <v>12</v>
      </c>
      <c r="E504" s="68">
        <f ca="1">IFERROR(__xludf.DUMMYFUNCTION("""COMPUTED_VALUE"""),43825.6666666666)</f>
        <v>43825.666666666599</v>
      </c>
      <c r="F504" s="6">
        <f ca="1">IFERROR(__xludf.DUMMYFUNCTION("""COMPUTED_VALUE"""),3239.91)</f>
        <v>3239.91</v>
      </c>
      <c r="J504" s="6" t="str">
        <f t="shared" ca="1" si="129"/>
        <v>201912</v>
      </c>
      <c r="K504" s="6">
        <f t="shared" ca="1" si="130"/>
        <v>2019</v>
      </c>
      <c r="L504" s="6">
        <f t="shared" ca="1" si="131"/>
        <v>12</v>
      </c>
      <c r="M504" s="68">
        <f ca="1">IFERROR(__xludf.DUMMYFUNCTION("""COMPUTED_VALUE"""),43819.6666666666)</f>
        <v>43819.666666666599</v>
      </c>
      <c r="N504" s="6">
        <f ca="1">IFERROR(__xludf.DUMMYFUNCTION("""COMPUTED_VALUE"""),8924.96)</f>
        <v>8924.9599999999991</v>
      </c>
      <c r="R504" s="6" t="str">
        <f t="shared" ca="1" si="132"/>
        <v>20201</v>
      </c>
      <c r="S504" s="6">
        <f t="shared" ca="1" si="133"/>
        <v>2020</v>
      </c>
      <c r="T504" s="6">
        <f t="shared" ca="1" si="134"/>
        <v>1</v>
      </c>
      <c r="U504" s="68">
        <f ca="1">IFERROR(__xludf.DUMMYFUNCTION("""COMPUTED_VALUE"""),43852.6458333333)</f>
        <v>43852.645833333299</v>
      </c>
      <c r="V504" s="6">
        <f ca="1">IFERROR(__xludf.DUMMYFUNCTION("""COMPUTED_VALUE"""),2267.25)</f>
        <v>2267.25</v>
      </c>
      <c r="Z504" s="6" t="str">
        <f t="shared" ca="1" si="135"/>
        <v>20196</v>
      </c>
      <c r="AA504" s="6">
        <f t="shared" ca="1" si="136"/>
        <v>2019</v>
      </c>
      <c r="AB504" s="6">
        <f t="shared" ca="1" si="137"/>
        <v>6</v>
      </c>
      <c r="AC504" s="68">
        <f ca="1">IFERROR(__xludf.DUMMYFUNCTION("""COMPUTED_VALUE"""),43628.9986111111)</f>
        <v>43628.998611111099</v>
      </c>
      <c r="AD504" s="6">
        <f ca="1">IFERROR(__xludf.DUMMYFUNCTION("""COMPUTED_VALUE"""),1183.43)</f>
        <v>1183.43</v>
      </c>
      <c r="AH504" s="6" t="str">
        <f t="shared" ca="1" si="138"/>
        <v>20195</v>
      </c>
      <c r="AI504" s="6">
        <f t="shared" ca="1" si="139"/>
        <v>2019</v>
      </c>
      <c r="AJ504" s="6">
        <f t="shared" ca="1" si="140"/>
        <v>5</v>
      </c>
      <c r="AK504" s="68">
        <f ca="1">IFERROR(__xludf.DUMMYFUNCTION("""COMPUTED_VALUE"""),43596.9986111111)</f>
        <v>43596.998611111099</v>
      </c>
      <c r="AL504" s="6">
        <f ca="1">IFERROR(__xludf.DUMMYFUNCTION("""COMPUTED_VALUE"""),7187.249)</f>
        <v>7187.2489999999998</v>
      </c>
      <c r="AP504" s="6" t="str">
        <f t="shared" ca="1" si="141"/>
        <v>20201</v>
      </c>
      <c r="AQ504" s="6">
        <f t="shared" ca="1" si="142"/>
        <v>2020</v>
      </c>
      <c r="AR504" s="6">
        <f t="shared" ca="1" si="143"/>
        <v>1</v>
      </c>
      <c r="AS504" s="68">
        <f ca="1">IFERROR(__xludf.DUMMYFUNCTION("""COMPUTED_VALUE"""),43838.9986111111)</f>
        <v>43838.998611111099</v>
      </c>
      <c r="AT504" s="6">
        <f ca="1">IFERROR(__xludf.DUMMYFUNCTION("""COMPUTED_VALUE"""),1560.2)</f>
        <v>1560.2</v>
      </c>
    </row>
    <row r="505" spans="2:46" x14ac:dyDescent="0.35">
      <c r="B505" s="6" t="str">
        <f t="shared" ca="1" si="126"/>
        <v>201912</v>
      </c>
      <c r="C505" s="6">
        <f t="shared" ca="1" si="127"/>
        <v>2019</v>
      </c>
      <c r="D505" s="6">
        <f t="shared" ca="1" si="128"/>
        <v>12</v>
      </c>
      <c r="E505" s="68">
        <f ca="1">IFERROR(__xludf.DUMMYFUNCTION("""COMPUTED_VALUE"""),43826.6666666666)</f>
        <v>43826.666666666599</v>
      </c>
      <c r="F505" s="6">
        <f ca="1">IFERROR(__xludf.DUMMYFUNCTION("""COMPUTED_VALUE"""),3240.02)</f>
        <v>3240.02</v>
      </c>
      <c r="J505" s="6" t="str">
        <f t="shared" ca="1" si="129"/>
        <v>201912</v>
      </c>
      <c r="K505" s="6">
        <f t="shared" ca="1" si="130"/>
        <v>2019</v>
      </c>
      <c r="L505" s="6">
        <f t="shared" ca="1" si="131"/>
        <v>12</v>
      </c>
      <c r="M505" s="68">
        <f ca="1">IFERROR(__xludf.DUMMYFUNCTION("""COMPUTED_VALUE"""),43822.6666666666)</f>
        <v>43822.666666666599</v>
      </c>
      <c r="N505" s="6">
        <f ca="1">IFERROR(__xludf.DUMMYFUNCTION("""COMPUTED_VALUE"""),8945.65)</f>
        <v>8945.65</v>
      </c>
      <c r="R505" s="6" t="str">
        <f t="shared" ca="1" si="132"/>
        <v>20201</v>
      </c>
      <c r="S505" s="6">
        <f t="shared" ca="1" si="133"/>
        <v>2020</v>
      </c>
      <c r="T505" s="6">
        <f t="shared" ca="1" si="134"/>
        <v>1</v>
      </c>
      <c r="U505" s="68">
        <f ca="1">IFERROR(__xludf.DUMMYFUNCTION("""COMPUTED_VALUE"""),43853.6458333333)</f>
        <v>43853.645833333299</v>
      </c>
      <c r="V505" s="6">
        <f ca="1">IFERROR(__xludf.DUMMYFUNCTION("""COMPUTED_VALUE"""),2246.13)</f>
        <v>2246.13</v>
      </c>
      <c r="Z505" s="6" t="str">
        <f t="shared" ca="1" si="135"/>
        <v>20196</v>
      </c>
      <c r="AA505" s="6">
        <f t="shared" ca="1" si="136"/>
        <v>2019</v>
      </c>
      <c r="AB505" s="6">
        <f t="shared" ca="1" si="137"/>
        <v>6</v>
      </c>
      <c r="AC505" s="68">
        <f ca="1">IFERROR(__xludf.DUMMYFUNCTION("""COMPUTED_VALUE"""),43629.9986111111)</f>
        <v>43629.998611111099</v>
      </c>
      <c r="AD505" s="6">
        <f ca="1">IFERROR(__xludf.DUMMYFUNCTION("""COMPUTED_VALUE"""),1181.08)</f>
        <v>1181.08</v>
      </c>
      <c r="AH505" s="6" t="str">
        <f t="shared" ca="1" si="138"/>
        <v>20195</v>
      </c>
      <c r="AI505" s="6">
        <f t="shared" ca="1" si="139"/>
        <v>2019</v>
      </c>
      <c r="AJ505" s="6">
        <f t="shared" ca="1" si="140"/>
        <v>5</v>
      </c>
      <c r="AK505" s="68">
        <f ca="1">IFERROR(__xludf.DUMMYFUNCTION("""COMPUTED_VALUE"""),43597.9986111111)</f>
        <v>43597.998611111099</v>
      </c>
      <c r="AL505" s="6">
        <f ca="1">IFERROR(__xludf.DUMMYFUNCTION("""COMPUTED_VALUE"""),6978.169)</f>
        <v>6978.1689999999999</v>
      </c>
      <c r="AP505" s="6" t="str">
        <f t="shared" ca="1" si="141"/>
        <v>20201</v>
      </c>
      <c r="AQ505" s="6">
        <f t="shared" ca="1" si="142"/>
        <v>2020</v>
      </c>
      <c r="AR505" s="6">
        <f t="shared" ca="1" si="143"/>
        <v>1</v>
      </c>
      <c r="AS505" s="68">
        <f ca="1">IFERROR(__xludf.DUMMYFUNCTION("""COMPUTED_VALUE"""),43839.9986111111)</f>
        <v>43839.998611111099</v>
      </c>
      <c r="AT505" s="6">
        <f ca="1">IFERROR(__xludf.DUMMYFUNCTION("""COMPUTED_VALUE"""),1554.3)</f>
        <v>1554.3</v>
      </c>
    </row>
    <row r="506" spans="2:46" x14ac:dyDescent="0.35">
      <c r="B506" s="6" t="str">
        <f t="shared" ca="1" si="126"/>
        <v>201912</v>
      </c>
      <c r="C506" s="6">
        <f t="shared" ca="1" si="127"/>
        <v>2019</v>
      </c>
      <c r="D506" s="6">
        <f t="shared" ca="1" si="128"/>
        <v>12</v>
      </c>
      <c r="E506" s="68">
        <f ca="1">IFERROR(__xludf.DUMMYFUNCTION("""COMPUTED_VALUE"""),43829.6666666666)</f>
        <v>43829.666666666599</v>
      </c>
      <c r="F506" s="6">
        <f ca="1">IFERROR(__xludf.DUMMYFUNCTION("""COMPUTED_VALUE"""),3221.29)</f>
        <v>3221.29</v>
      </c>
      <c r="J506" s="6" t="str">
        <f t="shared" ca="1" si="129"/>
        <v>201912</v>
      </c>
      <c r="K506" s="6">
        <f t="shared" ca="1" si="130"/>
        <v>2019</v>
      </c>
      <c r="L506" s="6">
        <f t="shared" ca="1" si="131"/>
        <v>12</v>
      </c>
      <c r="M506" s="68">
        <f ca="1">IFERROR(__xludf.DUMMYFUNCTION("""COMPUTED_VALUE"""),43823.5416666666)</f>
        <v>43823.541666666599</v>
      </c>
      <c r="N506" s="6">
        <f ca="1">IFERROR(__xludf.DUMMYFUNCTION("""COMPUTED_VALUE"""),8952.88)</f>
        <v>8952.8799999999992</v>
      </c>
      <c r="R506" s="6" t="str">
        <f t="shared" ca="1" si="132"/>
        <v>20201</v>
      </c>
      <c r="S506" s="6">
        <f t="shared" ca="1" si="133"/>
        <v>2020</v>
      </c>
      <c r="T506" s="6">
        <f t="shared" ca="1" si="134"/>
        <v>1</v>
      </c>
      <c r="U506" s="68">
        <f ca="1">IFERROR(__xludf.DUMMYFUNCTION("""COMPUTED_VALUE"""),43858.6458333333)</f>
        <v>43858.645833333299</v>
      </c>
      <c r="V506" s="6">
        <f ca="1">IFERROR(__xludf.DUMMYFUNCTION("""COMPUTED_VALUE"""),2176.72)</f>
        <v>2176.7199999999998</v>
      </c>
      <c r="Z506" s="6" t="str">
        <f t="shared" ca="1" si="135"/>
        <v>20196</v>
      </c>
      <c r="AA506" s="6">
        <f t="shared" ca="1" si="136"/>
        <v>2019</v>
      </c>
      <c r="AB506" s="6">
        <f t="shared" ca="1" si="137"/>
        <v>6</v>
      </c>
      <c r="AC506" s="68">
        <f ca="1">IFERROR(__xludf.DUMMYFUNCTION("""COMPUTED_VALUE"""),43630.9986111111)</f>
        <v>43630.998611111099</v>
      </c>
      <c r="AD506" s="6">
        <f ca="1">IFERROR(__xludf.DUMMYFUNCTION("""COMPUTED_VALUE"""),1185.47)</f>
        <v>1185.47</v>
      </c>
      <c r="AH506" s="6" t="str">
        <f t="shared" ca="1" si="138"/>
        <v>20195</v>
      </c>
      <c r="AI506" s="6">
        <f t="shared" ca="1" si="139"/>
        <v>2019</v>
      </c>
      <c r="AJ506" s="6">
        <f t="shared" ca="1" si="140"/>
        <v>5</v>
      </c>
      <c r="AK506" s="68">
        <f ca="1">IFERROR(__xludf.DUMMYFUNCTION("""COMPUTED_VALUE"""),43598.9986111111)</f>
        <v>43598.998611111099</v>
      </c>
      <c r="AL506" s="6">
        <f ca="1">IFERROR(__xludf.DUMMYFUNCTION("""COMPUTED_VALUE"""),7809.004)</f>
        <v>7809.0039999999999</v>
      </c>
      <c r="AP506" s="6" t="str">
        <f t="shared" ca="1" si="141"/>
        <v>20201</v>
      </c>
      <c r="AQ506" s="6">
        <f t="shared" ca="1" si="142"/>
        <v>2020</v>
      </c>
      <c r="AR506" s="6">
        <f t="shared" ca="1" si="143"/>
        <v>1</v>
      </c>
      <c r="AS506" s="68">
        <f ca="1">IFERROR(__xludf.DUMMYFUNCTION("""COMPUTED_VALUE"""),43840.9986111111)</f>
        <v>43840.998611111099</v>
      </c>
      <c r="AT506" s="6">
        <f ca="1">IFERROR(__xludf.DUMMYFUNCTION("""COMPUTED_VALUE"""),1560.1)</f>
        <v>1560.1</v>
      </c>
    </row>
    <row r="507" spans="2:46" x14ac:dyDescent="0.35">
      <c r="B507" s="6" t="str">
        <f t="shared" ca="1" si="126"/>
        <v>20201</v>
      </c>
      <c r="C507" s="6">
        <f t="shared" ca="1" si="127"/>
        <v>2020</v>
      </c>
      <c r="D507" s="6">
        <f t="shared" ca="1" si="128"/>
        <v>1</v>
      </c>
      <c r="E507" s="68">
        <f ca="1">IFERROR(__xludf.DUMMYFUNCTION("""COMPUTED_VALUE"""),43832.6666666666)</f>
        <v>43832.666666666599</v>
      </c>
      <c r="F507" s="6">
        <f ca="1">IFERROR(__xludf.DUMMYFUNCTION("""COMPUTED_VALUE"""),3257.85)</f>
        <v>3257.85</v>
      </c>
      <c r="J507" s="6" t="str">
        <f t="shared" ca="1" si="129"/>
        <v>201912</v>
      </c>
      <c r="K507" s="6">
        <f t="shared" ca="1" si="130"/>
        <v>2019</v>
      </c>
      <c r="L507" s="6">
        <f t="shared" ca="1" si="131"/>
        <v>12</v>
      </c>
      <c r="M507" s="68">
        <f ca="1">IFERROR(__xludf.DUMMYFUNCTION("""COMPUTED_VALUE"""),43825.6666666666)</f>
        <v>43825.666666666599</v>
      </c>
      <c r="N507" s="6">
        <f ca="1">IFERROR(__xludf.DUMMYFUNCTION("""COMPUTED_VALUE"""),9022.39)</f>
        <v>9022.39</v>
      </c>
      <c r="R507" s="6" t="str">
        <f t="shared" ca="1" si="132"/>
        <v>20201</v>
      </c>
      <c r="S507" s="6">
        <f t="shared" ca="1" si="133"/>
        <v>2020</v>
      </c>
      <c r="T507" s="6">
        <f t="shared" ca="1" si="134"/>
        <v>1</v>
      </c>
      <c r="U507" s="68">
        <f ca="1">IFERROR(__xludf.DUMMYFUNCTION("""COMPUTED_VALUE"""),43859.6458333333)</f>
        <v>43859.645833333299</v>
      </c>
      <c r="V507" s="6">
        <f ca="1">IFERROR(__xludf.DUMMYFUNCTION("""COMPUTED_VALUE"""),2185.28)</f>
        <v>2185.2800000000002</v>
      </c>
      <c r="Z507" s="6" t="str">
        <f t="shared" ca="1" si="135"/>
        <v>20196</v>
      </c>
      <c r="AA507" s="6">
        <f t="shared" ca="1" si="136"/>
        <v>2019</v>
      </c>
      <c r="AB507" s="6">
        <f t="shared" ca="1" si="137"/>
        <v>6</v>
      </c>
      <c r="AC507" s="68">
        <f ca="1">IFERROR(__xludf.DUMMYFUNCTION("""COMPUTED_VALUE"""),43631.9986111111)</f>
        <v>43631.998611111099</v>
      </c>
      <c r="AD507" s="6">
        <f ca="1">IFERROR(__xludf.DUMMYFUNCTION("""COMPUTED_VALUE"""),1184.9)</f>
        <v>1184.9000000000001</v>
      </c>
      <c r="AH507" s="6" t="str">
        <f t="shared" ca="1" si="138"/>
        <v>20195</v>
      </c>
      <c r="AI507" s="6">
        <f t="shared" ca="1" si="139"/>
        <v>2019</v>
      </c>
      <c r="AJ507" s="6">
        <f t="shared" ca="1" si="140"/>
        <v>5</v>
      </c>
      <c r="AK507" s="68">
        <f ca="1">IFERROR(__xludf.DUMMYFUNCTION("""COMPUTED_VALUE"""),43599.9986111111)</f>
        <v>43599.998611111099</v>
      </c>
      <c r="AL507" s="6">
        <f ca="1">IFERROR(__xludf.DUMMYFUNCTION("""COMPUTED_VALUE"""),7991.535)</f>
        <v>7991.5349999999999</v>
      </c>
      <c r="AP507" s="6" t="str">
        <f t="shared" ca="1" si="141"/>
        <v>20201</v>
      </c>
      <c r="AQ507" s="6">
        <f t="shared" ca="1" si="142"/>
        <v>2020</v>
      </c>
      <c r="AR507" s="6">
        <f t="shared" ca="1" si="143"/>
        <v>1</v>
      </c>
      <c r="AS507" s="68">
        <f ca="1">IFERROR(__xludf.DUMMYFUNCTION("""COMPUTED_VALUE"""),43843.9986111111)</f>
        <v>43843.998611111099</v>
      </c>
      <c r="AT507" s="6">
        <f ca="1">IFERROR(__xludf.DUMMYFUNCTION("""COMPUTED_VALUE"""),1550.6)</f>
        <v>1550.6</v>
      </c>
    </row>
    <row r="508" spans="2:46" x14ac:dyDescent="0.35">
      <c r="B508" s="6" t="str">
        <f t="shared" ca="1" si="126"/>
        <v>20201</v>
      </c>
      <c r="C508" s="6">
        <f t="shared" ca="1" si="127"/>
        <v>2020</v>
      </c>
      <c r="D508" s="6">
        <f t="shared" ca="1" si="128"/>
        <v>1</v>
      </c>
      <c r="E508" s="68">
        <f ca="1">IFERROR(__xludf.DUMMYFUNCTION("""COMPUTED_VALUE"""),43833.6666666666)</f>
        <v>43833.666666666599</v>
      </c>
      <c r="F508" s="6">
        <f ca="1">IFERROR(__xludf.DUMMYFUNCTION("""COMPUTED_VALUE"""),3234.85)</f>
        <v>3234.85</v>
      </c>
      <c r="J508" s="6" t="str">
        <f t="shared" ca="1" si="129"/>
        <v>201912</v>
      </c>
      <c r="K508" s="6">
        <f t="shared" ca="1" si="130"/>
        <v>2019</v>
      </c>
      <c r="L508" s="6">
        <f t="shared" ca="1" si="131"/>
        <v>12</v>
      </c>
      <c r="M508" s="68">
        <f ca="1">IFERROR(__xludf.DUMMYFUNCTION("""COMPUTED_VALUE"""),43826.6666666666)</f>
        <v>43826.666666666599</v>
      </c>
      <c r="N508" s="6">
        <f ca="1">IFERROR(__xludf.DUMMYFUNCTION("""COMPUTED_VALUE"""),9006.62)</f>
        <v>9006.6200000000008</v>
      </c>
      <c r="R508" s="6" t="str">
        <f t="shared" ca="1" si="132"/>
        <v>20201</v>
      </c>
      <c r="S508" s="6">
        <f t="shared" ca="1" si="133"/>
        <v>2020</v>
      </c>
      <c r="T508" s="6">
        <f t="shared" ca="1" si="134"/>
        <v>1</v>
      </c>
      <c r="U508" s="68">
        <f ca="1">IFERROR(__xludf.DUMMYFUNCTION("""COMPUTED_VALUE"""),43860.6458333333)</f>
        <v>43860.645833333299</v>
      </c>
      <c r="V508" s="6">
        <f ca="1">IFERROR(__xludf.DUMMYFUNCTION("""COMPUTED_VALUE"""),2148)</f>
        <v>2148</v>
      </c>
      <c r="Z508" s="6" t="str">
        <f t="shared" ca="1" si="135"/>
        <v>20196</v>
      </c>
      <c r="AA508" s="6">
        <f t="shared" ca="1" si="136"/>
        <v>2019</v>
      </c>
      <c r="AB508" s="6">
        <f t="shared" ca="1" si="137"/>
        <v>6</v>
      </c>
      <c r="AC508" s="68">
        <f ca="1">IFERROR(__xludf.DUMMYFUNCTION("""COMPUTED_VALUE"""),43632.9986111111)</f>
        <v>43632.998611111099</v>
      </c>
      <c r="AD508" s="6">
        <f ca="1">IFERROR(__xludf.DUMMYFUNCTION("""COMPUTED_VALUE"""),1185.89)</f>
        <v>1185.8900000000001</v>
      </c>
      <c r="AH508" s="6" t="str">
        <f t="shared" ca="1" si="138"/>
        <v>20195</v>
      </c>
      <c r="AI508" s="6">
        <f t="shared" ca="1" si="139"/>
        <v>2019</v>
      </c>
      <c r="AJ508" s="6">
        <f t="shared" ca="1" si="140"/>
        <v>5</v>
      </c>
      <c r="AK508" s="68">
        <f ca="1">IFERROR(__xludf.DUMMYFUNCTION("""COMPUTED_VALUE"""),43600.9986111111)</f>
        <v>43600.998611111099</v>
      </c>
      <c r="AL508" s="6">
        <f ca="1">IFERROR(__xludf.DUMMYFUNCTION("""COMPUTED_VALUE"""),8182.613)</f>
        <v>8182.6130000000003</v>
      </c>
      <c r="AP508" s="6" t="str">
        <f t="shared" ca="1" si="141"/>
        <v>20201</v>
      </c>
      <c r="AQ508" s="6">
        <f t="shared" ca="1" si="142"/>
        <v>2020</v>
      </c>
      <c r="AR508" s="6">
        <f t="shared" ca="1" si="143"/>
        <v>1</v>
      </c>
      <c r="AS508" s="68">
        <f ca="1">IFERROR(__xludf.DUMMYFUNCTION("""COMPUTED_VALUE"""),43844.9986111111)</f>
        <v>43844.998611111099</v>
      </c>
      <c r="AT508" s="6">
        <f ca="1">IFERROR(__xludf.DUMMYFUNCTION("""COMPUTED_VALUE"""),1544.6)</f>
        <v>1544.6</v>
      </c>
    </row>
    <row r="509" spans="2:46" x14ac:dyDescent="0.35">
      <c r="B509" s="6" t="str">
        <f t="shared" ca="1" si="126"/>
        <v>20201</v>
      </c>
      <c r="C509" s="6">
        <f t="shared" ca="1" si="127"/>
        <v>2020</v>
      </c>
      <c r="D509" s="6">
        <f t="shared" ca="1" si="128"/>
        <v>1</v>
      </c>
      <c r="E509" s="68">
        <f ca="1">IFERROR(__xludf.DUMMYFUNCTION("""COMPUTED_VALUE"""),43836.6666666666)</f>
        <v>43836.666666666599</v>
      </c>
      <c r="F509" s="6">
        <f ca="1">IFERROR(__xludf.DUMMYFUNCTION("""COMPUTED_VALUE"""),3246.28)</f>
        <v>3246.28</v>
      </c>
      <c r="J509" s="6" t="str">
        <f t="shared" ca="1" si="129"/>
        <v>201912</v>
      </c>
      <c r="K509" s="6">
        <f t="shared" ca="1" si="130"/>
        <v>2019</v>
      </c>
      <c r="L509" s="6">
        <f t="shared" ca="1" si="131"/>
        <v>12</v>
      </c>
      <c r="M509" s="68">
        <f ca="1">IFERROR(__xludf.DUMMYFUNCTION("""COMPUTED_VALUE"""),43829.6666666666)</f>
        <v>43829.666666666599</v>
      </c>
      <c r="N509" s="6">
        <f ca="1">IFERROR(__xludf.DUMMYFUNCTION("""COMPUTED_VALUE"""),8945.99)</f>
        <v>8945.99</v>
      </c>
      <c r="R509" s="6" t="str">
        <f t="shared" ca="1" si="132"/>
        <v>20201</v>
      </c>
      <c r="S509" s="6">
        <f t="shared" ca="1" si="133"/>
        <v>2020</v>
      </c>
      <c r="T509" s="6">
        <f t="shared" ca="1" si="134"/>
        <v>1</v>
      </c>
      <c r="U509" s="68">
        <f ca="1">IFERROR(__xludf.DUMMYFUNCTION("""COMPUTED_VALUE"""),43861.6458333333)</f>
        <v>43861.645833333299</v>
      </c>
      <c r="V509" s="6">
        <f ca="1">IFERROR(__xludf.DUMMYFUNCTION("""COMPUTED_VALUE"""),2119.01)</f>
        <v>2119.0100000000002</v>
      </c>
      <c r="Z509" s="6" t="str">
        <f t="shared" ca="1" si="135"/>
        <v>20196</v>
      </c>
      <c r="AA509" s="6">
        <f t="shared" ca="1" si="136"/>
        <v>2019</v>
      </c>
      <c r="AB509" s="6">
        <f t="shared" ca="1" si="137"/>
        <v>6</v>
      </c>
      <c r="AC509" s="68">
        <f ca="1">IFERROR(__xludf.DUMMYFUNCTION("""COMPUTED_VALUE"""),43633.9986111111)</f>
        <v>43633.998611111099</v>
      </c>
      <c r="AD509" s="6">
        <f ca="1">IFERROR(__xludf.DUMMYFUNCTION("""COMPUTED_VALUE"""),1185.35)</f>
        <v>1185.3499999999999</v>
      </c>
      <c r="AH509" s="6" t="str">
        <f t="shared" ca="1" si="138"/>
        <v>20195</v>
      </c>
      <c r="AI509" s="6">
        <f t="shared" ca="1" si="139"/>
        <v>2019</v>
      </c>
      <c r="AJ509" s="6">
        <f t="shared" ca="1" si="140"/>
        <v>5</v>
      </c>
      <c r="AK509" s="68">
        <f ca="1">IFERROR(__xludf.DUMMYFUNCTION("""COMPUTED_VALUE"""),43601.9986111111)</f>
        <v>43601.998611111099</v>
      </c>
      <c r="AL509" s="6">
        <f ca="1">IFERROR(__xludf.DUMMYFUNCTION("""COMPUTED_VALUE"""),7875.48)</f>
        <v>7875.48</v>
      </c>
      <c r="AP509" s="6" t="str">
        <f t="shared" ca="1" si="141"/>
        <v>20201</v>
      </c>
      <c r="AQ509" s="6">
        <f t="shared" ca="1" si="142"/>
        <v>2020</v>
      </c>
      <c r="AR509" s="6">
        <f t="shared" ca="1" si="143"/>
        <v>1</v>
      </c>
      <c r="AS509" s="68">
        <f ca="1">IFERROR(__xludf.DUMMYFUNCTION("""COMPUTED_VALUE"""),43845.9986111111)</f>
        <v>43845.998611111099</v>
      </c>
      <c r="AT509" s="6">
        <f ca="1">IFERROR(__xludf.DUMMYFUNCTION("""COMPUTED_VALUE"""),1554)</f>
        <v>1554</v>
      </c>
    </row>
    <row r="510" spans="2:46" x14ac:dyDescent="0.35">
      <c r="B510" s="6" t="str">
        <f t="shared" ca="1" si="126"/>
        <v>20201</v>
      </c>
      <c r="C510" s="6">
        <f t="shared" ca="1" si="127"/>
        <v>2020</v>
      </c>
      <c r="D510" s="6">
        <f t="shared" ca="1" si="128"/>
        <v>1</v>
      </c>
      <c r="E510" s="68">
        <f ca="1">IFERROR(__xludf.DUMMYFUNCTION("""COMPUTED_VALUE"""),43837.6666666666)</f>
        <v>43837.666666666599</v>
      </c>
      <c r="F510" s="6">
        <f ca="1">IFERROR(__xludf.DUMMYFUNCTION("""COMPUTED_VALUE"""),3237.18)</f>
        <v>3237.18</v>
      </c>
      <c r="J510" s="6" t="str">
        <f t="shared" ca="1" si="129"/>
        <v>201912</v>
      </c>
      <c r="K510" s="6">
        <f t="shared" ca="1" si="130"/>
        <v>2019</v>
      </c>
      <c r="L510" s="6">
        <f t="shared" ca="1" si="131"/>
        <v>12</v>
      </c>
      <c r="M510" s="68">
        <f ca="1">IFERROR(__xludf.DUMMYFUNCTION("""COMPUTED_VALUE"""),43830.6666666666)</f>
        <v>43830.666666666599</v>
      </c>
      <c r="N510" s="6">
        <f ca="1">IFERROR(__xludf.DUMMYFUNCTION("""COMPUTED_VALUE"""),8972.6)</f>
        <v>8972.6</v>
      </c>
      <c r="R510" s="6" t="str">
        <f t="shared" ca="1" si="132"/>
        <v>20202</v>
      </c>
      <c r="S510" s="6">
        <f t="shared" ca="1" si="133"/>
        <v>2020</v>
      </c>
      <c r="T510" s="6">
        <f t="shared" ca="1" si="134"/>
        <v>2</v>
      </c>
      <c r="U510" s="68">
        <f ca="1">IFERROR(__xludf.DUMMYFUNCTION("""COMPUTED_VALUE"""),43864.6458333333)</f>
        <v>43864.645833333299</v>
      </c>
      <c r="V510" s="6">
        <f ca="1">IFERROR(__xludf.DUMMYFUNCTION("""COMPUTED_VALUE"""),2118.88)</f>
        <v>2118.88</v>
      </c>
      <c r="Z510" s="6" t="str">
        <f t="shared" ca="1" si="135"/>
        <v>20196</v>
      </c>
      <c r="AA510" s="6">
        <f t="shared" ca="1" si="136"/>
        <v>2019</v>
      </c>
      <c r="AB510" s="6">
        <f t="shared" ca="1" si="137"/>
        <v>6</v>
      </c>
      <c r="AC510" s="68">
        <f ca="1">IFERROR(__xludf.DUMMYFUNCTION("""COMPUTED_VALUE"""),43634.9986111111)</f>
        <v>43634.998611111099</v>
      </c>
      <c r="AD510" s="6">
        <f ca="1">IFERROR(__xludf.DUMMYFUNCTION("""COMPUTED_VALUE"""),1173.58)</f>
        <v>1173.58</v>
      </c>
      <c r="AH510" s="6" t="str">
        <f t="shared" ca="1" si="138"/>
        <v>20195</v>
      </c>
      <c r="AI510" s="6">
        <f t="shared" ca="1" si="139"/>
        <v>2019</v>
      </c>
      <c r="AJ510" s="6">
        <f t="shared" ca="1" si="140"/>
        <v>5</v>
      </c>
      <c r="AK510" s="68">
        <f ca="1">IFERROR(__xludf.DUMMYFUNCTION("""COMPUTED_VALUE"""),43602.9986111111)</f>
        <v>43602.998611111099</v>
      </c>
      <c r="AL510" s="6">
        <f ca="1">IFERROR(__xludf.DUMMYFUNCTION("""COMPUTED_VALUE"""),7372.684)</f>
        <v>7372.6840000000002</v>
      </c>
      <c r="AP510" s="6" t="str">
        <f t="shared" ca="1" si="141"/>
        <v>20201</v>
      </c>
      <c r="AQ510" s="6">
        <f t="shared" ca="1" si="142"/>
        <v>2020</v>
      </c>
      <c r="AR510" s="6">
        <f t="shared" ca="1" si="143"/>
        <v>1</v>
      </c>
      <c r="AS510" s="68">
        <f ca="1">IFERROR(__xludf.DUMMYFUNCTION("""COMPUTED_VALUE"""),43846.9986111111)</f>
        <v>43846.998611111099</v>
      </c>
      <c r="AT510" s="6">
        <f ca="1">IFERROR(__xludf.DUMMYFUNCTION("""COMPUTED_VALUE"""),1550.5)</f>
        <v>1550.5</v>
      </c>
    </row>
    <row r="511" spans="2:46" x14ac:dyDescent="0.35">
      <c r="B511" s="6" t="str">
        <f t="shared" ca="1" si="126"/>
        <v>20201</v>
      </c>
      <c r="C511" s="6">
        <f t="shared" ca="1" si="127"/>
        <v>2020</v>
      </c>
      <c r="D511" s="6">
        <f t="shared" ca="1" si="128"/>
        <v>1</v>
      </c>
      <c r="E511" s="68">
        <f ca="1">IFERROR(__xludf.DUMMYFUNCTION("""COMPUTED_VALUE"""),43838.6666666666)</f>
        <v>43838.666666666599</v>
      </c>
      <c r="F511" s="6">
        <f ca="1">IFERROR(__xludf.DUMMYFUNCTION("""COMPUTED_VALUE"""),3253.05)</f>
        <v>3253.05</v>
      </c>
      <c r="J511" s="6" t="str">
        <f t="shared" ca="1" si="129"/>
        <v>20201</v>
      </c>
      <c r="K511" s="6">
        <f t="shared" ca="1" si="130"/>
        <v>2020</v>
      </c>
      <c r="L511" s="6">
        <f t="shared" ca="1" si="131"/>
        <v>1</v>
      </c>
      <c r="M511" s="68">
        <f ca="1">IFERROR(__xludf.DUMMYFUNCTION("""COMPUTED_VALUE"""),43832.6666666666)</f>
        <v>43832.666666666599</v>
      </c>
      <c r="N511" s="6">
        <f ca="1">IFERROR(__xludf.DUMMYFUNCTION("""COMPUTED_VALUE"""),9092.19)</f>
        <v>9092.19</v>
      </c>
      <c r="R511" s="6" t="str">
        <f t="shared" ca="1" si="132"/>
        <v>20202</v>
      </c>
      <c r="S511" s="6">
        <f t="shared" ca="1" si="133"/>
        <v>2020</v>
      </c>
      <c r="T511" s="6">
        <f t="shared" ca="1" si="134"/>
        <v>2</v>
      </c>
      <c r="U511" s="68">
        <f ca="1">IFERROR(__xludf.DUMMYFUNCTION("""COMPUTED_VALUE"""),43865.6458333333)</f>
        <v>43865.645833333299</v>
      </c>
      <c r="V511" s="6">
        <f ca="1">IFERROR(__xludf.DUMMYFUNCTION("""COMPUTED_VALUE"""),2157.9)</f>
        <v>2157.9</v>
      </c>
      <c r="Z511" s="6" t="str">
        <f t="shared" ca="1" si="135"/>
        <v>20196</v>
      </c>
      <c r="AA511" s="6">
        <f t="shared" ca="1" si="136"/>
        <v>2019</v>
      </c>
      <c r="AB511" s="6">
        <f t="shared" ca="1" si="137"/>
        <v>6</v>
      </c>
      <c r="AC511" s="68">
        <f ca="1">IFERROR(__xludf.DUMMYFUNCTION("""COMPUTED_VALUE"""),43635.9986111111)</f>
        <v>43635.998611111099</v>
      </c>
      <c r="AD511" s="6">
        <f ca="1">IFERROR(__xludf.DUMMYFUNCTION("""COMPUTED_VALUE"""),1170.3)</f>
        <v>1170.3</v>
      </c>
      <c r="AH511" s="6" t="str">
        <f t="shared" ca="1" si="138"/>
        <v>20195</v>
      </c>
      <c r="AI511" s="6">
        <f t="shared" ca="1" si="139"/>
        <v>2019</v>
      </c>
      <c r="AJ511" s="6">
        <f t="shared" ca="1" si="140"/>
        <v>5</v>
      </c>
      <c r="AK511" s="68">
        <f ca="1">IFERROR(__xludf.DUMMYFUNCTION("""COMPUTED_VALUE"""),43603.9986111111)</f>
        <v>43603.998611111099</v>
      </c>
      <c r="AL511" s="6">
        <f ca="1">IFERROR(__xludf.DUMMYFUNCTION("""COMPUTED_VALUE"""),7261.926)</f>
        <v>7261.9260000000004</v>
      </c>
      <c r="AP511" s="6" t="str">
        <f t="shared" ca="1" si="141"/>
        <v>20201</v>
      </c>
      <c r="AQ511" s="6">
        <f t="shared" ca="1" si="142"/>
        <v>2020</v>
      </c>
      <c r="AR511" s="6">
        <f t="shared" ca="1" si="143"/>
        <v>1</v>
      </c>
      <c r="AS511" s="68">
        <f ca="1">IFERROR(__xludf.DUMMYFUNCTION("""COMPUTED_VALUE"""),43847.9986111111)</f>
        <v>43847.998611111099</v>
      </c>
      <c r="AT511" s="6">
        <f ca="1">IFERROR(__xludf.DUMMYFUNCTION("""COMPUTED_VALUE"""),1560.3)</f>
        <v>1560.3</v>
      </c>
    </row>
    <row r="512" spans="2:46" x14ac:dyDescent="0.35">
      <c r="B512" s="6" t="str">
        <f t="shared" ca="1" si="126"/>
        <v>20201</v>
      </c>
      <c r="C512" s="6">
        <f t="shared" ca="1" si="127"/>
        <v>2020</v>
      </c>
      <c r="D512" s="6">
        <f t="shared" ca="1" si="128"/>
        <v>1</v>
      </c>
      <c r="E512" s="68">
        <f ca="1">IFERROR(__xludf.DUMMYFUNCTION("""COMPUTED_VALUE"""),43839.6666666666)</f>
        <v>43839.666666666599</v>
      </c>
      <c r="F512" s="6">
        <f ca="1">IFERROR(__xludf.DUMMYFUNCTION("""COMPUTED_VALUE"""),3274.7)</f>
        <v>3274.7</v>
      </c>
      <c r="J512" s="6" t="str">
        <f t="shared" ca="1" si="129"/>
        <v>20201</v>
      </c>
      <c r="K512" s="6">
        <f t="shared" ca="1" si="130"/>
        <v>2020</v>
      </c>
      <c r="L512" s="6">
        <f t="shared" ca="1" si="131"/>
        <v>1</v>
      </c>
      <c r="M512" s="68">
        <f ca="1">IFERROR(__xludf.DUMMYFUNCTION("""COMPUTED_VALUE"""),43833.6666666666)</f>
        <v>43833.666666666599</v>
      </c>
      <c r="N512" s="6">
        <f ca="1">IFERROR(__xludf.DUMMYFUNCTION("""COMPUTED_VALUE"""),9020.77)</f>
        <v>9020.77</v>
      </c>
      <c r="R512" s="6" t="str">
        <f t="shared" ca="1" si="132"/>
        <v>20202</v>
      </c>
      <c r="S512" s="6">
        <f t="shared" ca="1" si="133"/>
        <v>2020</v>
      </c>
      <c r="T512" s="6">
        <f t="shared" ca="1" si="134"/>
        <v>2</v>
      </c>
      <c r="U512" s="68">
        <f ca="1">IFERROR(__xludf.DUMMYFUNCTION("""COMPUTED_VALUE"""),43866.6458333333)</f>
        <v>43866.645833333299</v>
      </c>
      <c r="V512" s="6">
        <f ca="1">IFERROR(__xludf.DUMMYFUNCTION("""COMPUTED_VALUE"""),2165.63)</f>
        <v>2165.63</v>
      </c>
      <c r="Z512" s="6" t="str">
        <f t="shared" ca="1" si="135"/>
        <v>20196</v>
      </c>
      <c r="AA512" s="6">
        <f t="shared" ca="1" si="136"/>
        <v>2019</v>
      </c>
      <c r="AB512" s="6">
        <f t="shared" ca="1" si="137"/>
        <v>6</v>
      </c>
      <c r="AC512" s="68">
        <f ca="1">IFERROR(__xludf.DUMMYFUNCTION("""COMPUTED_VALUE"""),43636.9986111111)</f>
        <v>43636.998611111099</v>
      </c>
      <c r="AD512" s="6">
        <f ca="1">IFERROR(__xludf.DUMMYFUNCTION("""COMPUTED_VALUE"""),1157.21)</f>
        <v>1157.21</v>
      </c>
      <c r="AH512" s="6" t="str">
        <f t="shared" ca="1" si="138"/>
        <v>20195</v>
      </c>
      <c r="AI512" s="6">
        <f t="shared" ca="1" si="139"/>
        <v>2019</v>
      </c>
      <c r="AJ512" s="6">
        <f t="shared" ca="1" si="140"/>
        <v>5</v>
      </c>
      <c r="AK512" s="68">
        <f ca="1">IFERROR(__xludf.DUMMYFUNCTION("""COMPUTED_VALUE"""),43604.9986111111)</f>
        <v>43604.998611111099</v>
      </c>
      <c r="AL512" s="6">
        <f ca="1">IFERROR(__xludf.DUMMYFUNCTION("""COMPUTED_VALUE"""),8180.666)</f>
        <v>8180.6660000000002</v>
      </c>
      <c r="AP512" s="6" t="str">
        <f t="shared" ca="1" si="141"/>
        <v>20201</v>
      </c>
      <c r="AQ512" s="6">
        <f t="shared" ca="1" si="142"/>
        <v>2020</v>
      </c>
      <c r="AR512" s="6">
        <f t="shared" ca="1" si="143"/>
        <v>1</v>
      </c>
      <c r="AS512" s="68">
        <f ca="1">IFERROR(__xludf.DUMMYFUNCTION("""COMPUTED_VALUE"""),43851.9986111111)</f>
        <v>43851.998611111099</v>
      </c>
      <c r="AT512" s="6">
        <f ca="1">IFERROR(__xludf.DUMMYFUNCTION("""COMPUTED_VALUE"""),1557.9)</f>
        <v>1557.9</v>
      </c>
    </row>
    <row r="513" spans="2:46" x14ac:dyDescent="0.35">
      <c r="B513" s="6" t="str">
        <f t="shared" ca="1" si="126"/>
        <v>20201</v>
      </c>
      <c r="C513" s="6">
        <f t="shared" ca="1" si="127"/>
        <v>2020</v>
      </c>
      <c r="D513" s="6">
        <f t="shared" ca="1" si="128"/>
        <v>1</v>
      </c>
      <c r="E513" s="68">
        <f ca="1">IFERROR(__xludf.DUMMYFUNCTION("""COMPUTED_VALUE"""),43840.6666666666)</f>
        <v>43840.666666666599</v>
      </c>
      <c r="F513" s="6">
        <f ca="1">IFERROR(__xludf.DUMMYFUNCTION("""COMPUTED_VALUE"""),3265.35)</f>
        <v>3265.35</v>
      </c>
      <c r="J513" s="6" t="str">
        <f t="shared" ca="1" si="129"/>
        <v>20201</v>
      </c>
      <c r="K513" s="6">
        <f t="shared" ca="1" si="130"/>
        <v>2020</v>
      </c>
      <c r="L513" s="6">
        <f t="shared" ca="1" si="131"/>
        <v>1</v>
      </c>
      <c r="M513" s="68">
        <f ca="1">IFERROR(__xludf.DUMMYFUNCTION("""COMPUTED_VALUE"""),43836.6666666666)</f>
        <v>43836.666666666599</v>
      </c>
      <c r="N513" s="6">
        <f ca="1">IFERROR(__xludf.DUMMYFUNCTION("""COMPUTED_VALUE"""),9071.47)</f>
        <v>9071.4699999999993</v>
      </c>
      <c r="R513" s="6" t="str">
        <f t="shared" ca="1" si="132"/>
        <v>20202</v>
      </c>
      <c r="S513" s="6">
        <f t="shared" ca="1" si="133"/>
        <v>2020</v>
      </c>
      <c r="T513" s="6">
        <f t="shared" ca="1" si="134"/>
        <v>2</v>
      </c>
      <c r="U513" s="68">
        <f ca="1">IFERROR(__xludf.DUMMYFUNCTION("""COMPUTED_VALUE"""),43867.6458333333)</f>
        <v>43867.645833333299</v>
      </c>
      <c r="V513" s="6">
        <f ca="1">IFERROR(__xludf.DUMMYFUNCTION("""COMPUTED_VALUE"""),2227.94)</f>
        <v>2227.94</v>
      </c>
      <c r="Z513" s="6" t="str">
        <f t="shared" ca="1" si="135"/>
        <v>20196</v>
      </c>
      <c r="AA513" s="6">
        <f t="shared" ca="1" si="136"/>
        <v>2019</v>
      </c>
      <c r="AB513" s="6">
        <f t="shared" ca="1" si="137"/>
        <v>6</v>
      </c>
      <c r="AC513" s="68">
        <f ca="1">IFERROR(__xludf.DUMMYFUNCTION("""COMPUTED_VALUE"""),43637.9986111111)</f>
        <v>43637.998611111099</v>
      </c>
      <c r="AD513" s="6">
        <f ca="1">IFERROR(__xludf.DUMMYFUNCTION("""COMPUTED_VALUE"""),1158.17)</f>
        <v>1158.17</v>
      </c>
      <c r="AH513" s="6" t="str">
        <f t="shared" ca="1" si="138"/>
        <v>20195</v>
      </c>
      <c r="AI513" s="6">
        <f t="shared" ca="1" si="139"/>
        <v>2019</v>
      </c>
      <c r="AJ513" s="6">
        <f t="shared" ca="1" si="140"/>
        <v>5</v>
      </c>
      <c r="AK513" s="68">
        <f ca="1">IFERROR(__xludf.DUMMYFUNCTION("""COMPUTED_VALUE"""),43605.9986111111)</f>
        <v>43605.998611111099</v>
      </c>
      <c r="AL513" s="6">
        <f ca="1">IFERROR(__xludf.DUMMYFUNCTION("""COMPUTED_VALUE"""),7980.215)</f>
        <v>7980.2150000000001</v>
      </c>
      <c r="AP513" s="6" t="str">
        <f t="shared" ca="1" si="141"/>
        <v>20201</v>
      </c>
      <c r="AQ513" s="6">
        <f t="shared" ca="1" si="142"/>
        <v>2020</v>
      </c>
      <c r="AR513" s="6">
        <f t="shared" ca="1" si="143"/>
        <v>1</v>
      </c>
      <c r="AS513" s="68">
        <f ca="1">IFERROR(__xludf.DUMMYFUNCTION("""COMPUTED_VALUE"""),43852.9986111111)</f>
        <v>43852.998611111099</v>
      </c>
      <c r="AT513" s="6">
        <f ca="1">IFERROR(__xludf.DUMMYFUNCTION("""COMPUTED_VALUE"""),1556.7)</f>
        <v>1556.7</v>
      </c>
    </row>
    <row r="514" spans="2:46" x14ac:dyDescent="0.35">
      <c r="B514" s="6" t="str">
        <f t="shared" ca="1" si="126"/>
        <v>20201</v>
      </c>
      <c r="C514" s="6">
        <f t="shared" ca="1" si="127"/>
        <v>2020</v>
      </c>
      <c r="D514" s="6">
        <f t="shared" ca="1" si="128"/>
        <v>1</v>
      </c>
      <c r="E514" s="68">
        <f ca="1">IFERROR(__xludf.DUMMYFUNCTION("""COMPUTED_VALUE"""),43843.6666666666)</f>
        <v>43843.666666666599</v>
      </c>
      <c r="F514" s="6">
        <f ca="1">IFERROR(__xludf.DUMMYFUNCTION("""COMPUTED_VALUE"""),3288.13)</f>
        <v>3288.13</v>
      </c>
      <c r="J514" s="6" t="str">
        <f t="shared" ca="1" si="129"/>
        <v>20201</v>
      </c>
      <c r="K514" s="6">
        <f t="shared" ca="1" si="130"/>
        <v>2020</v>
      </c>
      <c r="L514" s="6">
        <f t="shared" ca="1" si="131"/>
        <v>1</v>
      </c>
      <c r="M514" s="68">
        <f ca="1">IFERROR(__xludf.DUMMYFUNCTION("""COMPUTED_VALUE"""),43837.6666666666)</f>
        <v>43837.666666666599</v>
      </c>
      <c r="N514" s="6">
        <f ca="1">IFERROR(__xludf.DUMMYFUNCTION("""COMPUTED_VALUE"""),9068.58)</f>
        <v>9068.58</v>
      </c>
      <c r="R514" s="6" t="str">
        <f t="shared" ca="1" si="132"/>
        <v>20202</v>
      </c>
      <c r="S514" s="6">
        <f t="shared" ca="1" si="133"/>
        <v>2020</v>
      </c>
      <c r="T514" s="6">
        <f t="shared" ca="1" si="134"/>
        <v>2</v>
      </c>
      <c r="U514" s="68">
        <f ca="1">IFERROR(__xludf.DUMMYFUNCTION("""COMPUTED_VALUE"""),43868.6458333333)</f>
        <v>43868.645833333299</v>
      </c>
      <c r="V514" s="6">
        <f ca="1">IFERROR(__xludf.DUMMYFUNCTION("""COMPUTED_VALUE"""),2211.95)</f>
        <v>2211.9499999999998</v>
      </c>
      <c r="Z514" s="6" t="str">
        <f t="shared" ca="1" si="135"/>
        <v>20196</v>
      </c>
      <c r="AA514" s="6">
        <f t="shared" ca="1" si="136"/>
        <v>2019</v>
      </c>
      <c r="AB514" s="6">
        <f t="shared" ca="1" si="137"/>
        <v>6</v>
      </c>
      <c r="AC514" s="68">
        <f ca="1">IFERROR(__xludf.DUMMYFUNCTION("""COMPUTED_VALUE"""),43639.9986111111)</f>
        <v>43639.998611111099</v>
      </c>
      <c r="AD514" s="6">
        <f ca="1">IFERROR(__xludf.DUMMYFUNCTION("""COMPUTED_VALUE"""),1158.31)</f>
        <v>1158.31</v>
      </c>
      <c r="AH514" s="6" t="str">
        <f t="shared" ca="1" si="138"/>
        <v>20195</v>
      </c>
      <c r="AI514" s="6">
        <f t="shared" ca="1" si="139"/>
        <v>2019</v>
      </c>
      <c r="AJ514" s="6">
        <f t="shared" ca="1" si="140"/>
        <v>5</v>
      </c>
      <c r="AK514" s="68">
        <f ca="1">IFERROR(__xludf.DUMMYFUNCTION("""COMPUTED_VALUE"""),43606.9986111111)</f>
        <v>43606.998611111099</v>
      </c>
      <c r="AL514" s="6">
        <f ca="1">IFERROR(__xludf.DUMMYFUNCTION("""COMPUTED_VALUE"""),7944.941)</f>
        <v>7944.9409999999998</v>
      </c>
      <c r="AP514" s="6" t="str">
        <f t="shared" ca="1" si="141"/>
        <v>20201</v>
      </c>
      <c r="AQ514" s="6">
        <f t="shared" ca="1" si="142"/>
        <v>2020</v>
      </c>
      <c r="AR514" s="6">
        <f t="shared" ca="1" si="143"/>
        <v>1</v>
      </c>
      <c r="AS514" s="68">
        <f ca="1">IFERROR(__xludf.DUMMYFUNCTION("""COMPUTED_VALUE"""),43853.9986111111)</f>
        <v>43853.998611111099</v>
      </c>
      <c r="AT514" s="6">
        <f ca="1">IFERROR(__xludf.DUMMYFUNCTION("""COMPUTED_VALUE"""),1565.4)</f>
        <v>1565.4</v>
      </c>
    </row>
    <row r="515" spans="2:46" x14ac:dyDescent="0.35">
      <c r="B515" s="6" t="str">
        <f t="shared" ca="1" si="126"/>
        <v>20201</v>
      </c>
      <c r="C515" s="6">
        <f t="shared" ca="1" si="127"/>
        <v>2020</v>
      </c>
      <c r="D515" s="6">
        <f t="shared" ca="1" si="128"/>
        <v>1</v>
      </c>
      <c r="E515" s="68">
        <f ca="1">IFERROR(__xludf.DUMMYFUNCTION("""COMPUTED_VALUE"""),43844.6666666666)</f>
        <v>43844.666666666599</v>
      </c>
      <c r="F515" s="6">
        <f ca="1">IFERROR(__xludf.DUMMYFUNCTION("""COMPUTED_VALUE"""),3283.15)</f>
        <v>3283.15</v>
      </c>
      <c r="J515" s="6" t="str">
        <f t="shared" ca="1" si="129"/>
        <v>20201</v>
      </c>
      <c r="K515" s="6">
        <f t="shared" ca="1" si="130"/>
        <v>2020</v>
      </c>
      <c r="L515" s="6">
        <f t="shared" ca="1" si="131"/>
        <v>1</v>
      </c>
      <c r="M515" s="68">
        <f ca="1">IFERROR(__xludf.DUMMYFUNCTION("""COMPUTED_VALUE"""),43838.6666666666)</f>
        <v>43838.666666666599</v>
      </c>
      <c r="N515" s="6">
        <f ca="1">IFERROR(__xludf.DUMMYFUNCTION("""COMPUTED_VALUE"""),9129.24)</f>
        <v>9129.24</v>
      </c>
      <c r="R515" s="6" t="str">
        <f t="shared" ca="1" si="132"/>
        <v>20202</v>
      </c>
      <c r="S515" s="6">
        <f t="shared" ca="1" si="133"/>
        <v>2020</v>
      </c>
      <c r="T515" s="6">
        <f t="shared" ca="1" si="134"/>
        <v>2</v>
      </c>
      <c r="U515" s="68">
        <f ca="1">IFERROR(__xludf.DUMMYFUNCTION("""COMPUTED_VALUE"""),43871.6458333333)</f>
        <v>43871.645833333299</v>
      </c>
      <c r="V515" s="6">
        <f ca="1">IFERROR(__xludf.DUMMYFUNCTION("""COMPUTED_VALUE"""),2201.07)</f>
        <v>2201.0700000000002</v>
      </c>
      <c r="Z515" s="6" t="str">
        <f t="shared" ca="1" si="135"/>
        <v>20196</v>
      </c>
      <c r="AA515" s="6">
        <f t="shared" ca="1" si="136"/>
        <v>2019</v>
      </c>
      <c r="AB515" s="6">
        <f t="shared" ca="1" si="137"/>
        <v>6</v>
      </c>
      <c r="AC515" s="68">
        <f ca="1">IFERROR(__xludf.DUMMYFUNCTION("""COMPUTED_VALUE"""),43640.9986111111)</f>
        <v>43640.998611111099</v>
      </c>
      <c r="AD515" s="6">
        <f ca="1">IFERROR(__xludf.DUMMYFUNCTION("""COMPUTED_VALUE"""),1152.47)</f>
        <v>1152.47</v>
      </c>
      <c r="AH515" s="6" t="str">
        <f t="shared" ca="1" si="138"/>
        <v>20195</v>
      </c>
      <c r="AI515" s="6">
        <f t="shared" ca="1" si="139"/>
        <v>2019</v>
      </c>
      <c r="AJ515" s="6">
        <f t="shared" ca="1" si="140"/>
        <v>5</v>
      </c>
      <c r="AK515" s="68">
        <f ca="1">IFERROR(__xludf.DUMMYFUNCTION("""COMPUTED_VALUE"""),43607.9986111111)</f>
        <v>43607.998611111099</v>
      </c>
      <c r="AL515" s="6">
        <f ca="1">IFERROR(__xludf.DUMMYFUNCTION("""COMPUTED_VALUE"""),7624.847)</f>
        <v>7624.8469999999998</v>
      </c>
      <c r="AP515" s="6" t="str">
        <f t="shared" ca="1" si="141"/>
        <v>20201</v>
      </c>
      <c r="AQ515" s="6">
        <f t="shared" ca="1" si="142"/>
        <v>2020</v>
      </c>
      <c r="AR515" s="6">
        <f t="shared" ca="1" si="143"/>
        <v>1</v>
      </c>
      <c r="AS515" s="68">
        <f ca="1">IFERROR(__xludf.DUMMYFUNCTION("""COMPUTED_VALUE"""),43854.9986111111)</f>
        <v>43854.998611111099</v>
      </c>
      <c r="AT515" s="6">
        <f ca="1">IFERROR(__xludf.DUMMYFUNCTION("""COMPUTED_VALUE"""),1578.2)</f>
        <v>1578.2</v>
      </c>
    </row>
    <row r="516" spans="2:46" x14ac:dyDescent="0.35">
      <c r="B516" s="6" t="str">
        <f t="shared" ca="1" si="126"/>
        <v>20201</v>
      </c>
      <c r="C516" s="6">
        <f t="shared" ca="1" si="127"/>
        <v>2020</v>
      </c>
      <c r="D516" s="6">
        <f t="shared" ca="1" si="128"/>
        <v>1</v>
      </c>
      <c r="E516" s="68">
        <f ca="1">IFERROR(__xludf.DUMMYFUNCTION("""COMPUTED_VALUE"""),43845.6666666666)</f>
        <v>43845.666666666599</v>
      </c>
      <c r="F516" s="6">
        <f ca="1">IFERROR(__xludf.DUMMYFUNCTION("""COMPUTED_VALUE"""),3289.29)</f>
        <v>3289.29</v>
      </c>
      <c r="J516" s="6" t="str">
        <f t="shared" ca="1" si="129"/>
        <v>20201</v>
      </c>
      <c r="K516" s="6">
        <f t="shared" ca="1" si="130"/>
        <v>2020</v>
      </c>
      <c r="L516" s="6">
        <f t="shared" ca="1" si="131"/>
        <v>1</v>
      </c>
      <c r="M516" s="68">
        <f ca="1">IFERROR(__xludf.DUMMYFUNCTION("""COMPUTED_VALUE"""),43839.6666666666)</f>
        <v>43839.666666666599</v>
      </c>
      <c r="N516" s="6">
        <f ca="1">IFERROR(__xludf.DUMMYFUNCTION("""COMPUTED_VALUE"""),9203.43)</f>
        <v>9203.43</v>
      </c>
      <c r="R516" s="6" t="str">
        <f t="shared" ca="1" si="132"/>
        <v>20202</v>
      </c>
      <c r="S516" s="6">
        <f t="shared" ca="1" si="133"/>
        <v>2020</v>
      </c>
      <c r="T516" s="6">
        <f t="shared" ca="1" si="134"/>
        <v>2</v>
      </c>
      <c r="U516" s="68">
        <f ca="1">IFERROR(__xludf.DUMMYFUNCTION("""COMPUTED_VALUE"""),43872.6458333333)</f>
        <v>43872.645833333299</v>
      </c>
      <c r="V516" s="6">
        <f ca="1">IFERROR(__xludf.DUMMYFUNCTION("""COMPUTED_VALUE"""),2223.12)</f>
        <v>2223.12</v>
      </c>
      <c r="Z516" s="6" t="str">
        <f t="shared" ca="1" si="135"/>
        <v>20196</v>
      </c>
      <c r="AA516" s="6">
        <f t="shared" ca="1" si="136"/>
        <v>2019</v>
      </c>
      <c r="AB516" s="6">
        <f t="shared" ca="1" si="137"/>
        <v>6</v>
      </c>
      <c r="AC516" s="68">
        <f ca="1">IFERROR(__xludf.DUMMYFUNCTION("""COMPUTED_VALUE"""),43641.9986111111)</f>
        <v>43641.998611111099</v>
      </c>
      <c r="AD516" s="6">
        <f ca="1">IFERROR(__xludf.DUMMYFUNCTION("""COMPUTED_VALUE"""),1155.71)</f>
        <v>1155.71</v>
      </c>
      <c r="AH516" s="6" t="str">
        <f t="shared" ca="1" si="138"/>
        <v>20195</v>
      </c>
      <c r="AI516" s="6">
        <f t="shared" ca="1" si="139"/>
        <v>2019</v>
      </c>
      <c r="AJ516" s="6">
        <f t="shared" ca="1" si="140"/>
        <v>5</v>
      </c>
      <c r="AK516" s="68">
        <f ca="1">IFERROR(__xludf.DUMMYFUNCTION("""COMPUTED_VALUE"""),43608.9986111111)</f>
        <v>43608.998611111099</v>
      </c>
      <c r="AL516" s="6">
        <f ca="1">IFERROR(__xludf.DUMMYFUNCTION("""COMPUTED_VALUE"""),7862.905)</f>
        <v>7862.9049999999997</v>
      </c>
      <c r="AP516" s="6" t="str">
        <f t="shared" ca="1" si="141"/>
        <v>20201</v>
      </c>
      <c r="AQ516" s="6">
        <f t="shared" ca="1" si="142"/>
        <v>2020</v>
      </c>
      <c r="AR516" s="6">
        <f t="shared" ca="1" si="143"/>
        <v>1</v>
      </c>
      <c r="AS516" s="68">
        <f ca="1">IFERROR(__xludf.DUMMYFUNCTION("""COMPUTED_VALUE"""),43857.9986111111)</f>
        <v>43857.998611111099</v>
      </c>
      <c r="AT516" s="6">
        <f ca="1">IFERROR(__xludf.DUMMYFUNCTION("""COMPUTED_VALUE"""),1583.7)</f>
        <v>1583.7</v>
      </c>
    </row>
    <row r="517" spans="2:46" x14ac:dyDescent="0.35">
      <c r="B517" s="6" t="str">
        <f t="shared" ca="1" si="126"/>
        <v>20201</v>
      </c>
      <c r="C517" s="6">
        <f t="shared" ca="1" si="127"/>
        <v>2020</v>
      </c>
      <c r="D517" s="6">
        <f t="shared" ca="1" si="128"/>
        <v>1</v>
      </c>
      <c r="E517" s="68">
        <f ca="1">IFERROR(__xludf.DUMMYFUNCTION("""COMPUTED_VALUE"""),43846.6666666666)</f>
        <v>43846.666666666599</v>
      </c>
      <c r="F517" s="6">
        <f ca="1">IFERROR(__xludf.DUMMYFUNCTION("""COMPUTED_VALUE"""),3316.81)</f>
        <v>3316.81</v>
      </c>
      <c r="J517" s="6" t="str">
        <f t="shared" ca="1" si="129"/>
        <v>20201</v>
      </c>
      <c r="K517" s="6">
        <f t="shared" ca="1" si="130"/>
        <v>2020</v>
      </c>
      <c r="L517" s="6">
        <f t="shared" ca="1" si="131"/>
        <v>1</v>
      </c>
      <c r="M517" s="68">
        <f ca="1">IFERROR(__xludf.DUMMYFUNCTION("""COMPUTED_VALUE"""),43840.6666666666)</f>
        <v>43840.666666666599</v>
      </c>
      <c r="N517" s="6">
        <f ca="1">IFERROR(__xludf.DUMMYFUNCTION("""COMPUTED_VALUE"""),9178.86)</f>
        <v>9178.86</v>
      </c>
      <c r="R517" s="6" t="str">
        <f t="shared" ca="1" si="132"/>
        <v>20202</v>
      </c>
      <c r="S517" s="6">
        <f t="shared" ca="1" si="133"/>
        <v>2020</v>
      </c>
      <c r="T517" s="6">
        <f t="shared" ca="1" si="134"/>
        <v>2</v>
      </c>
      <c r="U517" s="68">
        <f ca="1">IFERROR(__xludf.DUMMYFUNCTION("""COMPUTED_VALUE"""),43873.6458333333)</f>
        <v>43873.645833333299</v>
      </c>
      <c r="V517" s="6">
        <f ca="1">IFERROR(__xludf.DUMMYFUNCTION("""COMPUTED_VALUE"""),2238.38)</f>
        <v>2238.38</v>
      </c>
      <c r="Z517" s="6" t="str">
        <f t="shared" ca="1" si="135"/>
        <v>20196</v>
      </c>
      <c r="AA517" s="6">
        <f t="shared" ca="1" si="136"/>
        <v>2019</v>
      </c>
      <c r="AB517" s="6">
        <f t="shared" ca="1" si="137"/>
        <v>6</v>
      </c>
      <c r="AC517" s="68">
        <f ca="1">IFERROR(__xludf.DUMMYFUNCTION("""COMPUTED_VALUE"""),43642.9986111111)</f>
        <v>43642.998611111099</v>
      </c>
      <c r="AD517" s="6">
        <f ca="1">IFERROR(__xludf.DUMMYFUNCTION("""COMPUTED_VALUE"""),1152.5)</f>
        <v>1152.5</v>
      </c>
      <c r="AH517" s="6" t="str">
        <f t="shared" ca="1" si="138"/>
        <v>20195</v>
      </c>
      <c r="AI517" s="6">
        <f t="shared" ca="1" si="139"/>
        <v>2019</v>
      </c>
      <c r="AJ517" s="6">
        <f t="shared" ca="1" si="140"/>
        <v>5</v>
      </c>
      <c r="AK517" s="68">
        <f ca="1">IFERROR(__xludf.DUMMYFUNCTION("""COMPUTED_VALUE"""),43609.9986111111)</f>
        <v>43609.998611111099</v>
      </c>
      <c r="AL517" s="6">
        <f ca="1">IFERROR(__xludf.DUMMYFUNCTION("""COMPUTED_VALUE"""),7998.16)</f>
        <v>7998.16</v>
      </c>
      <c r="AP517" s="6" t="str">
        <f t="shared" ca="1" si="141"/>
        <v>20201</v>
      </c>
      <c r="AQ517" s="6">
        <f t="shared" ca="1" si="142"/>
        <v>2020</v>
      </c>
      <c r="AR517" s="6">
        <f t="shared" ca="1" si="143"/>
        <v>1</v>
      </c>
      <c r="AS517" s="68">
        <f ca="1">IFERROR(__xludf.DUMMYFUNCTION("""COMPUTED_VALUE"""),43858.9986111111)</f>
        <v>43858.998611111099</v>
      </c>
      <c r="AT517" s="6">
        <f ca="1">IFERROR(__xludf.DUMMYFUNCTION("""COMPUTED_VALUE"""),1575.8)</f>
        <v>1575.8</v>
      </c>
    </row>
    <row r="518" spans="2:46" x14ac:dyDescent="0.35">
      <c r="B518" s="6" t="str">
        <f t="shared" ca="1" si="126"/>
        <v>20201</v>
      </c>
      <c r="C518" s="6">
        <f t="shared" ca="1" si="127"/>
        <v>2020</v>
      </c>
      <c r="D518" s="6">
        <f t="shared" ca="1" si="128"/>
        <v>1</v>
      </c>
      <c r="E518" s="68">
        <f ca="1">IFERROR(__xludf.DUMMYFUNCTION("""COMPUTED_VALUE"""),43847.6666666666)</f>
        <v>43847.666666666599</v>
      </c>
      <c r="F518" s="6">
        <f ca="1">IFERROR(__xludf.DUMMYFUNCTION("""COMPUTED_VALUE"""),3329.62)</f>
        <v>3329.62</v>
      </c>
      <c r="J518" s="6" t="str">
        <f t="shared" ca="1" si="129"/>
        <v>20201</v>
      </c>
      <c r="K518" s="6">
        <f t="shared" ca="1" si="130"/>
        <v>2020</v>
      </c>
      <c r="L518" s="6">
        <f t="shared" ca="1" si="131"/>
        <v>1</v>
      </c>
      <c r="M518" s="68">
        <f ca="1">IFERROR(__xludf.DUMMYFUNCTION("""COMPUTED_VALUE"""),43843.6666666666)</f>
        <v>43843.666666666599</v>
      </c>
      <c r="N518" s="6">
        <f ca="1">IFERROR(__xludf.DUMMYFUNCTION("""COMPUTED_VALUE"""),9273.93)</f>
        <v>9273.93</v>
      </c>
      <c r="R518" s="6" t="str">
        <f t="shared" ca="1" si="132"/>
        <v>20202</v>
      </c>
      <c r="S518" s="6">
        <f t="shared" ca="1" si="133"/>
        <v>2020</v>
      </c>
      <c r="T518" s="6">
        <f t="shared" ca="1" si="134"/>
        <v>2</v>
      </c>
      <c r="U518" s="68">
        <f ca="1">IFERROR(__xludf.DUMMYFUNCTION("""COMPUTED_VALUE"""),43874.6458333333)</f>
        <v>43874.645833333299</v>
      </c>
      <c r="V518" s="6">
        <f ca="1">IFERROR(__xludf.DUMMYFUNCTION("""COMPUTED_VALUE"""),2232.96)</f>
        <v>2232.96</v>
      </c>
      <c r="Z518" s="6" t="str">
        <f t="shared" ca="1" si="135"/>
        <v>20196</v>
      </c>
      <c r="AA518" s="6">
        <f t="shared" ca="1" si="136"/>
        <v>2019</v>
      </c>
      <c r="AB518" s="6">
        <f t="shared" ca="1" si="137"/>
        <v>6</v>
      </c>
      <c r="AC518" s="68">
        <f ca="1">IFERROR(__xludf.DUMMYFUNCTION("""COMPUTED_VALUE"""),43643.9986111111)</f>
        <v>43643.998611111099</v>
      </c>
      <c r="AD518" s="6">
        <f ca="1">IFERROR(__xludf.DUMMYFUNCTION("""COMPUTED_VALUE"""),1155.51)</f>
        <v>1155.51</v>
      </c>
      <c r="AH518" s="6" t="str">
        <f t="shared" ca="1" si="138"/>
        <v>20195</v>
      </c>
      <c r="AI518" s="6">
        <f t="shared" ca="1" si="139"/>
        <v>2019</v>
      </c>
      <c r="AJ518" s="6">
        <f t="shared" ca="1" si="140"/>
        <v>5</v>
      </c>
      <c r="AK518" s="68">
        <f ca="1">IFERROR(__xludf.DUMMYFUNCTION("""COMPUTED_VALUE"""),43610.9986111111)</f>
        <v>43610.998611111099</v>
      </c>
      <c r="AL518" s="6">
        <f ca="1">IFERROR(__xludf.DUMMYFUNCTION("""COMPUTED_VALUE"""),8053.577)</f>
        <v>8053.5770000000002</v>
      </c>
      <c r="AP518" s="6" t="str">
        <f t="shared" ca="1" si="141"/>
        <v>20201</v>
      </c>
      <c r="AQ518" s="6">
        <f t="shared" ca="1" si="142"/>
        <v>2020</v>
      </c>
      <c r="AR518" s="6">
        <f t="shared" ca="1" si="143"/>
        <v>1</v>
      </c>
      <c r="AS518" s="68">
        <f ca="1">IFERROR(__xludf.DUMMYFUNCTION("""COMPUTED_VALUE"""),43859.9986111111)</f>
        <v>43859.998611111099</v>
      </c>
      <c r="AT518" s="6">
        <f ca="1">IFERROR(__xludf.DUMMYFUNCTION("""COMPUTED_VALUE"""),1576)</f>
        <v>1576</v>
      </c>
    </row>
    <row r="519" spans="2:46" x14ac:dyDescent="0.35">
      <c r="B519" s="6" t="str">
        <f t="shared" ref="B519:B582" ca="1" si="144">C519&amp;D519</f>
        <v>20201</v>
      </c>
      <c r="C519" s="6">
        <f t="shared" ref="C519:C582" ca="1" si="145">YEAR(E519)</f>
        <v>2020</v>
      </c>
      <c r="D519" s="6">
        <f t="shared" ref="D519:D582" ca="1" si="146">MONTH(E519)</f>
        <v>1</v>
      </c>
      <c r="E519" s="68">
        <f ca="1">IFERROR(__xludf.DUMMYFUNCTION("""COMPUTED_VALUE"""),43851.6666666666)</f>
        <v>43851.666666666599</v>
      </c>
      <c r="F519" s="6">
        <f ca="1">IFERROR(__xludf.DUMMYFUNCTION("""COMPUTED_VALUE"""),3320.79)</f>
        <v>3320.79</v>
      </c>
      <c r="J519" s="6" t="str">
        <f t="shared" ref="J519:J582" ca="1" si="147">K519&amp;L519</f>
        <v>20201</v>
      </c>
      <c r="K519" s="6">
        <f t="shared" ref="K519:K582" ca="1" si="148">YEAR(M519)</f>
        <v>2020</v>
      </c>
      <c r="L519" s="6">
        <f t="shared" ref="L519:L582" ca="1" si="149">MONTH(M519)</f>
        <v>1</v>
      </c>
      <c r="M519" s="68">
        <f ca="1">IFERROR(__xludf.DUMMYFUNCTION("""COMPUTED_VALUE"""),43844.6666666666)</f>
        <v>43844.666666666599</v>
      </c>
      <c r="N519" s="6">
        <f ca="1">IFERROR(__xludf.DUMMYFUNCTION("""COMPUTED_VALUE"""),9251.33)</f>
        <v>9251.33</v>
      </c>
      <c r="R519" s="6" t="str">
        <f t="shared" ref="R519:R582" ca="1" si="150">S519&amp;T519</f>
        <v>20202</v>
      </c>
      <c r="S519" s="6">
        <f t="shared" ref="S519:S582" ca="1" si="151">YEAR(U519)</f>
        <v>2020</v>
      </c>
      <c r="T519" s="6">
        <f t="shared" ref="T519:T582" ca="1" si="152">MONTH(U519)</f>
        <v>2</v>
      </c>
      <c r="U519" s="68">
        <f ca="1">IFERROR(__xludf.DUMMYFUNCTION("""COMPUTED_VALUE"""),43875.6458333333)</f>
        <v>43875.645833333299</v>
      </c>
      <c r="V519" s="6">
        <f ca="1">IFERROR(__xludf.DUMMYFUNCTION("""COMPUTED_VALUE"""),2243.59)</f>
        <v>2243.59</v>
      </c>
      <c r="Z519" s="6" t="str">
        <f t="shared" ref="Z519:Z582" ca="1" si="153">AA519&amp;AB519</f>
        <v>20196</v>
      </c>
      <c r="AA519" s="6">
        <f t="shared" ref="AA519:AA582" ca="1" si="154">YEAR(AC519)</f>
        <v>2019</v>
      </c>
      <c r="AB519" s="6">
        <f t="shared" ref="AB519:AB582" ca="1" si="155">MONTH(AC519)</f>
        <v>6</v>
      </c>
      <c r="AC519" s="68">
        <f ca="1">IFERROR(__xludf.DUMMYFUNCTION("""COMPUTED_VALUE"""),43644.9986111111)</f>
        <v>43644.998611111099</v>
      </c>
      <c r="AD519" s="6">
        <f ca="1">IFERROR(__xludf.DUMMYFUNCTION("""COMPUTED_VALUE"""),1155.43)</f>
        <v>1155.43</v>
      </c>
      <c r="AH519" s="6" t="str">
        <f t="shared" ref="AH519:AH582" ca="1" si="156">AI519&amp;AJ519</f>
        <v>20195</v>
      </c>
      <c r="AI519" s="6">
        <f t="shared" ref="AI519:AI582" ca="1" si="157">YEAR(AK519)</f>
        <v>2019</v>
      </c>
      <c r="AJ519" s="6">
        <f t="shared" ref="AJ519:AJ582" ca="1" si="158">MONTH(AK519)</f>
        <v>5</v>
      </c>
      <c r="AK519" s="68">
        <f ca="1">IFERROR(__xludf.DUMMYFUNCTION("""COMPUTED_VALUE"""),43611.9986111111)</f>
        <v>43611.998611111099</v>
      </c>
      <c r="AL519" s="6">
        <f ca="1">IFERROR(__xludf.DUMMYFUNCTION("""COMPUTED_VALUE"""),8699.422)</f>
        <v>8699.4220000000005</v>
      </c>
      <c r="AP519" s="6" t="str">
        <f t="shared" ref="AP519:AP582" ca="1" si="159">AQ519&amp;AR519</f>
        <v>20201</v>
      </c>
      <c r="AQ519" s="6">
        <f t="shared" ref="AQ519:AQ582" ca="1" si="160">YEAR(AS519)</f>
        <v>2020</v>
      </c>
      <c r="AR519" s="6">
        <f t="shared" ref="AR519:AR582" ca="1" si="161">MONTH(AS519)</f>
        <v>1</v>
      </c>
      <c r="AS519" s="68">
        <f ca="1">IFERROR(__xludf.DUMMYFUNCTION("""COMPUTED_VALUE"""),43860.9986111111)</f>
        <v>43860.998611111099</v>
      </c>
      <c r="AT519" s="6">
        <f ca="1">IFERROR(__xludf.DUMMYFUNCTION("""COMPUTED_VALUE"""),1589.2)</f>
        <v>1589.2</v>
      </c>
    </row>
    <row r="520" spans="2:46" x14ac:dyDescent="0.35">
      <c r="B520" s="6" t="str">
        <f t="shared" ca="1" si="144"/>
        <v>20201</v>
      </c>
      <c r="C520" s="6">
        <f t="shared" ca="1" si="145"/>
        <v>2020</v>
      </c>
      <c r="D520" s="6">
        <f t="shared" ca="1" si="146"/>
        <v>1</v>
      </c>
      <c r="E520" s="68">
        <f ca="1">IFERROR(__xludf.DUMMYFUNCTION("""COMPUTED_VALUE"""),43852.6666666666)</f>
        <v>43852.666666666599</v>
      </c>
      <c r="F520" s="6">
        <f ca="1">IFERROR(__xludf.DUMMYFUNCTION("""COMPUTED_VALUE"""),3321.75)</f>
        <v>3321.75</v>
      </c>
      <c r="J520" s="6" t="str">
        <f t="shared" ca="1" si="147"/>
        <v>20201</v>
      </c>
      <c r="K520" s="6">
        <f t="shared" ca="1" si="148"/>
        <v>2020</v>
      </c>
      <c r="L520" s="6">
        <f t="shared" ca="1" si="149"/>
        <v>1</v>
      </c>
      <c r="M520" s="68">
        <f ca="1">IFERROR(__xludf.DUMMYFUNCTION("""COMPUTED_VALUE"""),43845.6666666666)</f>
        <v>43845.666666666599</v>
      </c>
      <c r="N520" s="6">
        <f ca="1">IFERROR(__xludf.DUMMYFUNCTION("""COMPUTED_VALUE"""),9258.7)</f>
        <v>9258.7000000000007</v>
      </c>
      <c r="R520" s="6" t="str">
        <f t="shared" ca="1" si="150"/>
        <v>20202</v>
      </c>
      <c r="S520" s="6">
        <f t="shared" ca="1" si="151"/>
        <v>2020</v>
      </c>
      <c r="T520" s="6">
        <f t="shared" ca="1" si="152"/>
        <v>2</v>
      </c>
      <c r="U520" s="68">
        <f ca="1">IFERROR(__xludf.DUMMYFUNCTION("""COMPUTED_VALUE"""),43878.6458333333)</f>
        <v>43878.645833333299</v>
      </c>
      <c r="V520" s="6">
        <f ca="1">IFERROR(__xludf.DUMMYFUNCTION("""COMPUTED_VALUE"""),2242.17)</f>
        <v>2242.17</v>
      </c>
      <c r="Z520" s="6" t="str">
        <f t="shared" ca="1" si="153"/>
        <v>20196</v>
      </c>
      <c r="AA520" s="6">
        <f t="shared" ca="1" si="154"/>
        <v>2019</v>
      </c>
      <c r="AB520" s="6">
        <f t="shared" ca="1" si="155"/>
        <v>6</v>
      </c>
      <c r="AC520" s="68">
        <f ca="1">IFERROR(__xludf.DUMMYFUNCTION("""COMPUTED_VALUE"""),43646.9986111111)</f>
        <v>43646.998611111099</v>
      </c>
      <c r="AD520" s="6">
        <f ca="1">IFERROR(__xludf.DUMMYFUNCTION("""COMPUTED_VALUE"""),1155.6)</f>
        <v>1155.5999999999999</v>
      </c>
      <c r="AH520" s="6" t="str">
        <f t="shared" ca="1" si="156"/>
        <v>20195</v>
      </c>
      <c r="AI520" s="6">
        <f t="shared" ca="1" si="157"/>
        <v>2019</v>
      </c>
      <c r="AJ520" s="6">
        <f t="shared" ca="1" si="158"/>
        <v>5</v>
      </c>
      <c r="AK520" s="68">
        <f ca="1">IFERROR(__xludf.DUMMYFUNCTION("""COMPUTED_VALUE"""),43612.9986111111)</f>
        <v>43612.998611111099</v>
      </c>
      <c r="AL520" s="6">
        <f ca="1">IFERROR(__xludf.DUMMYFUNCTION("""COMPUTED_VALUE"""),8770.217)</f>
        <v>8770.2170000000006</v>
      </c>
      <c r="AP520" s="6" t="str">
        <f t="shared" ca="1" si="159"/>
        <v>20201</v>
      </c>
      <c r="AQ520" s="6">
        <f t="shared" ca="1" si="160"/>
        <v>2020</v>
      </c>
      <c r="AR520" s="6">
        <f t="shared" ca="1" si="161"/>
        <v>1</v>
      </c>
      <c r="AS520" s="68">
        <f ca="1">IFERROR(__xludf.DUMMYFUNCTION("""COMPUTED_VALUE"""),43861.9986111111)</f>
        <v>43861.998611111099</v>
      </c>
      <c r="AT520" s="6">
        <f ca="1">IFERROR(__xludf.DUMMYFUNCTION("""COMPUTED_VALUE"""),1587.9)</f>
        <v>1587.9</v>
      </c>
    </row>
    <row r="521" spans="2:46" x14ac:dyDescent="0.35">
      <c r="B521" s="6" t="str">
        <f t="shared" ca="1" si="144"/>
        <v>20201</v>
      </c>
      <c r="C521" s="6">
        <f t="shared" ca="1" si="145"/>
        <v>2020</v>
      </c>
      <c r="D521" s="6">
        <f t="shared" ca="1" si="146"/>
        <v>1</v>
      </c>
      <c r="E521" s="68">
        <f ca="1">IFERROR(__xludf.DUMMYFUNCTION("""COMPUTED_VALUE"""),43853.6666666666)</f>
        <v>43853.666666666599</v>
      </c>
      <c r="F521" s="6">
        <f ca="1">IFERROR(__xludf.DUMMYFUNCTION("""COMPUTED_VALUE"""),3325.54)</f>
        <v>3325.54</v>
      </c>
      <c r="J521" s="6" t="str">
        <f t="shared" ca="1" si="147"/>
        <v>20201</v>
      </c>
      <c r="K521" s="6">
        <f t="shared" ca="1" si="148"/>
        <v>2020</v>
      </c>
      <c r="L521" s="6">
        <f t="shared" ca="1" si="149"/>
        <v>1</v>
      </c>
      <c r="M521" s="68">
        <f ca="1">IFERROR(__xludf.DUMMYFUNCTION("""COMPUTED_VALUE"""),43846.6666666666)</f>
        <v>43846.666666666599</v>
      </c>
      <c r="N521" s="6">
        <f ca="1">IFERROR(__xludf.DUMMYFUNCTION("""COMPUTED_VALUE"""),9357.13)</f>
        <v>9357.1299999999992</v>
      </c>
      <c r="R521" s="6" t="str">
        <f t="shared" ca="1" si="150"/>
        <v>20202</v>
      </c>
      <c r="S521" s="6">
        <f t="shared" ca="1" si="151"/>
        <v>2020</v>
      </c>
      <c r="T521" s="6">
        <f t="shared" ca="1" si="152"/>
        <v>2</v>
      </c>
      <c r="U521" s="68">
        <f ca="1">IFERROR(__xludf.DUMMYFUNCTION("""COMPUTED_VALUE"""),43879.6458333333)</f>
        <v>43879.645833333299</v>
      </c>
      <c r="V521" s="6">
        <f ca="1">IFERROR(__xludf.DUMMYFUNCTION("""COMPUTED_VALUE"""),2208.88)</f>
        <v>2208.88</v>
      </c>
      <c r="Z521" s="6" t="str">
        <f t="shared" ca="1" si="153"/>
        <v>20197</v>
      </c>
      <c r="AA521" s="6">
        <f t="shared" ca="1" si="154"/>
        <v>2019</v>
      </c>
      <c r="AB521" s="6">
        <f t="shared" ca="1" si="155"/>
        <v>7</v>
      </c>
      <c r="AC521" s="68">
        <f ca="1">IFERROR(__xludf.DUMMYFUNCTION("""COMPUTED_VALUE"""),43647.9986111111)</f>
        <v>43647.998611111099</v>
      </c>
      <c r="AD521" s="6">
        <f ca="1">IFERROR(__xludf.DUMMYFUNCTION("""COMPUTED_VALUE"""),1159.75)</f>
        <v>1159.75</v>
      </c>
      <c r="AH521" s="6" t="str">
        <f t="shared" ca="1" si="156"/>
        <v>20195</v>
      </c>
      <c r="AI521" s="6">
        <f t="shared" ca="1" si="157"/>
        <v>2019</v>
      </c>
      <c r="AJ521" s="6">
        <f t="shared" ca="1" si="158"/>
        <v>5</v>
      </c>
      <c r="AK521" s="68">
        <f ca="1">IFERROR(__xludf.DUMMYFUNCTION("""COMPUTED_VALUE"""),43613.9986111111)</f>
        <v>43613.998611111099</v>
      </c>
      <c r="AL521" s="6">
        <f ca="1">IFERROR(__xludf.DUMMYFUNCTION("""COMPUTED_VALUE"""),8719.517)</f>
        <v>8719.5169999999998</v>
      </c>
      <c r="AP521" s="6" t="str">
        <f t="shared" ca="1" si="159"/>
        <v>20202</v>
      </c>
      <c r="AQ521" s="6">
        <f t="shared" ca="1" si="160"/>
        <v>2020</v>
      </c>
      <c r="AR521" s="6">
        <f t="shared" ca="1" si="161"/>
        <v>2</v>
      </c>
      <c r="AS521" s="68">
        <f ca="1">IFERROR(__xludf.DUMMYFUNCTION("""COMPUTED_VALUE"""),43864.9986111111)</f>
        <v>43864.998611111099</v>
      </c>
      <c r="AT521" s="6">
        <f ca="1">IFERROR(__xludf.DUMMYFUNCTION("""COMPUTED_VALUE"""),1582.4)</f>
        <v>1582.4</v>
      </c>
    </row>
    <row r="522" spans="2:46" x14ac:dyDescent="0.35">
      <c r="B522" s="6" t="str">
        <f t="shared" ca="1" si="144"/>
        <v>20201</v>
      </c>
      <c r="C522" s="6">
        <f t="shared" ca="1" si="145"/>
        <v>2020</v>
      </c>
      <c r="D522" s="6">
        <f t="shared" ca="1" si="146"/>
        <v>1</v>
      </c>
      <c r="E522" s="68">
        <f ca="1">IFERROR(__xludf.DUMMYFUNCTION("""COMPUTED_VALUE"""),43854.6666666666)</f>
        <v>43854.666666666599</v>
      </c>
      <c r="F522" s="6">
        <f ca="1">IFERROR(__xludf.DUMMYFUNCTION("""COMPUTED_VALUE"""),3295.47)</f>
        <v>3295.47</v>
      </c>
      <c r="J522" s="6" t="str">
        <f t="shared" ca="1" si="147"/>
        <v>20201</v>
      </c>
      <c r="K522" s="6">
        <f t="shared" ca="1" si="148"/>
        <v>2020</v>
      </c>
      <c r="L522" s="6">
        <f t="shared" ca="1" si="149"/>
        <v>1</v>
      </c>
      <c r="M522" s="68">
        <f ca="1">IFERROR(__xludf.DUMMYFUNCTION("""COMPUTED_VALUE"""),43847.6666666666)</f>
        <v>43847.666666666599</v>
      </c>
      <c r="N522" s="6">
        <f ca="1">IFERROR(__xludf.DUMMYFUNCTION("""COMPUTED_VALUE"""),9388.94)</f>
        <v>9388.94</v>
      </c>
      <c r="R522" s="6" t="str">
        <f t="shared" ca="1" si="150"/>
        <v>20202</v>
      </c>
      <c r="S522" s="6">
        <f t="shared" ca="1" si="151"/>
        <v>2020</v>
      </c>
      <c r="T522" s="6">
        <f t="shared" ca="1" si="152"/>
        <v>2</v>
      </c>
      <c r="U522" s="68">
        <f ca="1">IFERROR(__xludf.DUMMYFUNCTION("""COMPUTED_VALUE"""),43880.6458333333)</f>
        <v>43880.645833333299</v>
      </c>
      <c r="V522" s="6">
        <f ca="1">IFERROR(__xludf.DUMMYFUNCTION("""COMPUTED_VALUE"""),2210.34)</f>
        <v>2210.34</v>
      </c>
      <c r="Z522" s="6" t="str">
        <f t="shared" ca="1" si="153"/>
        <v>20197</v>
      </c>
      <c r="AA522" s="6">
        <f t="shared" ca="1" si="154"/>
        <v>2019</v>
      </c>
      <c r="AB522" s="6">
        <f t="shared" ca="1" si="155"/>
        <v>7</v>
      </c>
      <c r="AC522" s="68">
        <f ca="1">IFERROR(__xludf.DUMMYFUNCTION("""COMPUTED_VALUE"""),43648.9986111111)</f>
        <v>43648.998611111099</v>
      </c>
      <c r="AD522" s="6">
        <f ca="1">IFERROR(__xludf.DUMMYFUNCTION("""COMPUTED_VALUE"""),1165.58)</f>
        <v>1165.58</v>
      </c>
      <c r="AH522" s="6" t="str">
        <f t="shared" ca="1" si="156"/>
        <v>20195</v>
      </c>
      <c r="AI522" s="6">
        <f t="shared" ca="1" si="157"/>
        <v>2019</v>
      </c>
      <c r="AJ522" s="6">
        <f t="shared" ca="1" si="158"/>
        <v>5</v>
      </c>
      <c r="AK522" s="68">
        <f ca="1">IFERROR(__xludf.DUMMYFUNCTION("""COMPUTED_VALUE"""),43614.9986111111)</f>
        <v>43614.998611111099</v>
      </c>
      <c r="AL522" s="6">
        <f ca="1">IFERROR(__xludf.DUMMYFUNCTION("""COMPUTED_VALUE"""),8658.063)</f>
        <v>8658.0630000000001</v>
      </c>
      <c r="AP522" s="6" t="str">
        <f t="shared" ca="1" si="159"/>
        <v>20202</v>
      </c>
      <c r="AQ522" s="6">
        <f t="shared" ca="1" si="160"/>
        <v>2020</v>
      </c>
      <c r="AR522" s="6">
        <f t="shared" ca="1" si="161"/>
        <v>2</v>
      </c>
      <c r="AS522" s="68">
        <f ca="1">IFERROR(__xludf.DUMMYFUNCTION("""COMPUTED_VALUE"""),43865.9986111111)</f>
        <v>43865.998611111099</v>
      </c>
      <c r="AT522" s="6">
        <f ca="1">IFERROR(__xludf.DUMMYFUNCTION("""COMPUTED_VALUE"""),1555.5)</f>
        <v>1555.5</v>
      </c>
    </row>
    <row r="523" spans="2:46" x14ac:dyDescent="0.35">
      <c r="B523" s="6" t="str">
        <f t="shared" ca="1" si="144"/>
        <v>20201</v>
      </c>
      <c r="C523" s="6">
        <f t="shared" ca="1" si="145"/>
        <v>2020</v>
      </c>
      <c r="D523" s="6">
        <f t="shared" ca="1" si="146"/>
        <v>1</v>
      </c>
      <c r="E523" s="68">
        <f ca="1">IFERROR(__xludf.DUMMYFUNCTION("""COMPUTED_VALUE"""),43857.6666666666)</f>
        <v>43857.666666666599</v>
      </c>
      <c r="F523" s="6">
        <f ca="1">IFERROR(__xludf.DUMMYFUNCTION("""COMPUTED_VALUE"""),3243.63)</f>
        <v>3243.63</v>
      </c>
      <c r="J523" s="6" t="str">
        <f t="shared" ca="1" si="147"/>
        <v>20201</v>
      </c>
      <c r="K523" s="6">
        <f t="shared" ca="1" si="148"/>
        <v>2020</v>
      </c>
      <c r="L523" s="6">
        <f t="shared" ca="1" si="149"/>
        <v>1</v>
      </c>
      <c r="M523" s="68">
        <f ca="1">IFERROR(__xludf.DUMMYFUNCTION("""COMPUTED_VALUE"""),43851.6666666666)</f>
        <v>43851.666666666599</v>
      </c>
      <c r="N523" s="6">
        <f ca="1">IFERROR(__xludf.DUMMYFUNCTION("""COMPUTED_VALUE"""),9370.81)</f>
        <v>9370.81</v>
      </c>
      <c r="R523" s="6" t="str">
        <f t="shared" ca="1" si="150"/>
        <v>20202</v>
      </c>
      <c r="S523" s="6">
        <f t="shared" ca="1" si="151"/>
        <v>2020</v>
      </c>
      <c r="T523" s="6">
        <f t="shared" ca="1" si="152"/>
        <v>2</v>
      </c>
      <c r="U523" s="68">
        <f ca="1">IFERROR(__xludf.DUMMYFUNCTION("""COMPUTED_VALUE"""),43881.6458333333)</f>
        <v>43881.645833333299</v>
      </c>
      <c r="V523" s="6">
        <f ca="1">IFERROR(__xludf.DUMMYFUNCTION("""COMPUTED_VALUE"""),2195.5)</f>
        <v>2195.5</v>
      </c>
      <c r="Z523" s="6" t="str">
        <f t="shared" ca="1" si="153"/>
        <v>20197</v>
      </c>
      <c r="AA523" s="6">
        <f t="shared" ca="1" si="154"/>
        <v>2019</v>
      </c>
      <c r="AB523" s="6">
        <f t="shared" ca="1" si="155"/>
        <v>7</v>
      </c>
      <c r="AC523" s="68">
        <f ca="1">IFERROR(__xludf.DUMMYFUNCTION("""COMPUTED_VALUE"""),43649.9986111111)</f>
        <v>43649.998611111099</v>
      </c>
      <c r="AD523" s="6">
        <f ca="1">IFERROR(__xludf.DUMMYFUNCTION("""COMPUTED_VALUE"""),1168.87)</f>
        <v>1168.8699999999999</v>
      </c>
      <c r="AH523" s="6" t="str">
        <f t="shared" ca="1" si="156"/>
        <v>20195</v>
      </c>
      <c r="AI523" s="6">
        <f t="shared" ca="1" si="157"/>
        <v>2019</v>
      </c>
      <c r="AJ523" s="6">
        <f t="shared" ca="1" si="158"/>
        <v>5</v>
      </c>
      <c r="AK523" s="68">
        <f ca="1">IFERROR(__xludf.DUMMYFUNCTION("""COMPUTED_VALUE"""),43615.9986111111)</f>
        <v>43615.998611111099</v>
      </c>
      <c r="AL523" s="6">
        <f ca="1">IFERROR(__xludf.DUMMYFUNCTION("""COMPUTED_VALUE"""),8273.329)</f>
        <v>8273.3289999999997</v>
      </c>
      <c r="AP523" s="6" t="str">
        <f t="shared" ca="1" si="159"/>
        <v>20202</v>
      </c>
      <c r="AQ523" s="6">
        <f t="shared" ca="1" si="160"/>
        <v>2020</v>
      </c>
      <c r="AR523" s="6">
        <f t="shared" ca="1" si="161"/>
        <v>2</v>
      </c>
      <c r="AS523" s="68">
        <f ca="1">IFERROR(__xludf.DUMMYFUNCTION("""COMPUTED_VALUE"""),43866.9986111111)</f>
        <v>43866.998611111099</v>
      </c>
      <c r="AT523" s="6">
        <f ca="1">IFERROR(__xludf.DUMMYFUNCTION("""COMPUTED_VALUE"""),1562.8)</f>
        <v>1562.8</v>
      </c>
    </row>
    <row r="524" spans="2:46" x14ac:dyDescent="0.35">
      <c r="B524" s="6" t="str">
        <f t="shared" ca="1" si="144"/>
        <v>20201</v>
      </c>
      <c r="C524" s="6">
        <f t="shared" ca="1" si="145"/>
        <v>2020</v>
      </c>
      <c r="D524" s="6">
        <f t="shared" ca="1" si="146"/>
        <v>1</v>
      </c>
      <c r="E524" s="68">
        <f ca="1">IFERROR(__xludf.DUMMYFUNCTION("""COMPUTED_VALUE"""),43858.6666666666)</f>
        <v>43858.666666666599</v>
      </c>
      <c r="F524" s="6">
        <f ca="1">IFERROR(__xludf.DUMMYFUNCTION("""COMPUTED_VALUE"""),3276.24)</f>
        <v>3276.24</v>
      </c>
      <c r="J524" s="6" t="str">
        <f t="shared" ca="1" si="147"/>
        <v>20201</v>
      </c>
      <c r="K524" s="6">
        <f t="shared" ca="1" si="148"/>
        <v>2020</v>
      </c>
      <c r="L524" s="6">
        <f t="shared" ca="1" si="149"/>
        <v>1</v>
      </c>
      <c r="M524" s="68">
        <f ca="1">IFERROR(__xludf.DUMMYFUNCTION("""COMPUTED_VALUE"""),43852.6666666666)</f>
        <v>43852.666666666599</v>
      </c>
      <c r="N524" s="6">
        <f ca="1">IFERROR(__xludf.DUMMYFUNCTION("""COMPUTED_VALUE"""),9383.77)</f>
        <v>9383.77</v>
      </c>
      <c r="R524" s="6" t="str">
        <f t="shared" ca="1" si="150"/>
        <v>20202</v>
      </c>
      <c r="S524" s="6">
        <f t="shared" ca="1" si="151"/>
        <v>2020</v>
      </c>
      <c r="T524" s="6">
        <f t="shared" ca="1" si="152"/>
        <v>2</v>
      </c>
      <c r="U524" s="68">
        <f ca="1">IFERROR(__xludf.DUMMYFUNCTION("""COMPUTED_VALUE"""),43882.6458333333)</f>
        <v>43882.645833333299</v>
      </c>
      <c r="V524" s="6">
        <f ca="1">IFERROR(__xludf.DUMMYFUNCTION("""COMPUTED_VALUE"""),2162.84)</f>
        <v>2162.84</v>
      </c>
      <c r="Z524" s="6" t="str">
        <f t="shared" ca="1" si="153"/>
        <v>20197</v>
      </c>
      <c r="AA524" s="6">
        <f t="shared" ca="1" si="154"/>
        <v>2019</v>
      </c>
      <c r="AB524" s="6">
        <f t="shared" ca="1" si="155"/>
        <v>7</v>
      </c>
      <c r="AC524" s="68">
        <f ca="1">IFERROR(__xludf.DUMMYFUNCTION("""COMPUTED_VALUE"""),43650.9986111111)</f>
        <v>43650.998611111099</v>
      </c>
      <c r="AD524" s="6">
        <f ca="1">IFERROR(__xludf.DUMMYFUNCTION("""COMPUTED_VALUE"""),1167.13)</f>
        <v>1167.1300000000001</v>
      </c>
      <c r="AH524" s="6" t="str">
        <f t="shared" ca="1" si="156"/>
        <v>20195</v>
      </c>
      <c r="AI524" s="6">
        <f t="shared" ca="1" si="157"/>
        <v>2019</v>
      </c>
      <c r="AJ524" s="6">
        <f t="shared" ca="1" si="158"/>
        <v>5</v>
      </c>
      <c r="AK524" s="68">
        <f ca="1">IFERROR(__xludf.DUMMYFUNCTION("""COMPUTED_VALUE"""),43616.9986111111)</f>
        <v>43616.998611111099</v>
      </c>
      <c r="AL524" s="6">
        <f ca="1">IFERROR(__xludf.DUMMYFUNCTION("""COMPUTED_VALUE"""),8554.387)</f>
        <v>8554.3870000000006</v>
      </c>
      <c r="AP524" s="6" t="str">
        <f t="shared" ca="1" si="159"/>
        <v>20202</v>
      </c>
      <c r="AQ524" s="6">
        <f t="shared" ca="1" si="160"/>
        <v>2020</v>
      </c>
      <c r="AR524" s="6">
        <f t="shared" ca="1" si="161"/>
        <v>2</v>
      </c>
      <c r="AS524" s="68">
        <f ca="1">IFERROR(__xludf.DUMMYFUNCTION("""COMPUTED_VALUE"""),43867.9986111111)</f>
        <v>43867.998611111099</v>
      </c>
      <c r="AT524" s="6">
        <f ca="1">IFERROR(__xludf.DUMMYFUNCTION("""COMPUTED_VALUE"""),1570)</f>
        <v>1570</v>
      </c>
    </row>
    <row r="525" spans="2:46" x14ac:dyDescent="0.35">
      <c r="B525" s="6" t="str">
        <f t="shared" ca="1" si="144"/>
        <v>20201</v>
      </c>
      <c r="C525" s="6">
        <f t="shared" ca="1" si="145"/>
        <v>2020</v>
      </c>
      <c r="D525" s="6">
        <f t="shared" ca="1" si="146"/>
        <v>1</v>
      </c>
      <c r="E525" s="68">
        <f ca="1">IFERROR(__xludf.DUMMYFUNCTION("""COMPUTED_VALUE"""),43859.6666666666)</f>
        <v>43859.666666666599</v>
      </c>
      <c r="F525" s="6">
        <f ca="1">IFERROR(__xludf.DUMMYFUNCTION("""COMPUTED_VALUE"""),3273.4)</f>
        <v>3273.4</v>
      </c>
      <c r="J525" s="6" t="str">
        <f t="shared" ca="1" si="147"/>
        <v>20201</v>
      </c>
      <c r="K525" s="6">
        <f t="shared" ca="1" si="148"/>
        <v>2020</v>
      </c>
      <c r="L525" s="6">
        <f t="shared" ca="1" si="149"/>
        <v>1</v>
      </c>
      <c r="M525" s="68">
        <f ca="1">IFERROR(__xludf.DUMMYFUNCTION("""COMPUTED_VALUE"""),43853.6666666666)</f>
        <v>43853.666666666599</v>
      </c>
      <c r="N525" s="6">
        <f ca="1">IFERROR(__xludf.DUMMYFUNCTION("""COMPUTED_VALUE"""),9402.48)</f>
        <v>9402.48</v>
      </c>
      <c r="R525" s="6" t="str">
        <f t="shared" ca="1" si="150"/>
        <v>20202</v>
      </c>
      <c r="S525" s="6">
        <f t="shared" ca="1" si="151"/>
        <v>2020</v>
      </c>
      <c r="T525" s="6">
        <f t="shared" ca="1" si="152"/>
        <v>2</v>
      </c>
      <c r="U525" s="68">
        <f ca="1">IFERROR(__xludf.DUMMYFUNCTION("""COMPUTED_VALUE"""),43885.6458333333)</f>
        <v>43885.645833333299</v>
      </c>
      <c r="V525" s="6">
        <f ca="1">IFERROR(__xludf.DUMMYFUNCTION("""COMPUTED_VALUE"""),2079.04)</f>
        <v>2079.04</v>
      </c>
      <c r="Z525" s="6" t="str">
        <f t="shared" ca="1" si="153"/>
        <v>20197</v>
      </c>
      <c r="AA525" s="6">
        <f t="shared" ca="1" si="154"/>
        <v>2019</v>
      </c>
      <c r="AB525" s="6">
        <f t="shared" ca="1" si="155"/>
        <v>7</v>
      </c>
      <c r="AC525" s="68">
        <f ca="1">IFERROR(__xludf.DUMMYFUNCTION("""COMPUTED_VALUE"""),43651.9986111111)</f>
        <v>43651.998611111099</v>
      </c>
      <c r="AD525" s="6">
        <f ca="1">IFERROR(__xludf.DUMMYFUNCTION("""COMPUTED_VALUE"""),1174.12)</f>
        <v>1174.1199999999999</v>
      </c>
      <c r="AH525" s="6" t="str">
        <f t="shared" ca="1" si="156"/>
        <v>20196</v>
      </c>
      <c r="AI525" s="6">
        <f t="shared" ca="1" si="157"/>
        <v>2019</v>
      </c>
      <c r="AJ525" s="6">
        <f t="shared" ca="1" si="158"/>
        <v>6</v>
      </c>
      <c r="AK525" s="68">
        <f ca="1">IFERROR(__xludf.DUMMYFUNCTION("""COMPUTED_VALUE"""),43617.9986111111)</f>
        <v>43617.998611111099</v>
      </c>
      <c r="AL525" s="6">
        <f ca="1">IFERROR(__xludf.DUMMYFUNCTION("""COMPUTED_VALUE"""),8552.642)</f>
        <v>8552.6419999999998</v>
      </c>
      <c r="AP525" s="6" t="str">
        <f t="shared" ca="1" si="159"/>
        <v>20202</v>
      </c>
      <c r="AQ525" s="6">
        <f t="shared" ca="1" si="160"/>
        <v>2020</v>
      </c>
      <c r="AR525" s="6">
        <f t="shared" ca="1" si="161"/>
        <v>2</v>
      </c>
      <c r="AS525" s="68">
        <f ca="1">IFERROR(__xludf.DUMMYFUNCTION("""COMPUTED_VALUE"""),43868.9986111111)</f>
        <v>43868.998611111099</v>
      </c>
      <c r="AT525" s="6">
        <f ca="1">IFERROR(__xludf.DUMMYFUNCTION("""COMPUTED_VALUE"""),1573.4)</f>
        <v>1573.4</v>
      </c>
    </row>
    <row r="526" spans="2:46" x14ac:dyDescent="0.35">
      <c r="B526" s="6" t="str">
        <f t="shared" ca="1" si="144"/>
        <v>20201</v>
      </c>
      <c r="C526" s="6">
        <f t="shared" ca="1" si="145"/>
        <v>2020</v>
      </c>
      <c r="D526" s="6">
        <f t="shared" ca="1" si="146"/>
        <v>1</v>
      </c>
      <c r="E526" s="68">
        <f ca="1">IFERROR(__xludf.DUMMYFUNCTION("""COMPUTED_VALUE"""),43860.6666666666)</f>
        <v>43860.666666666599</v>
      </c>
      <c r="F526" s="6">
        <f ca="1">IFERROR(__xludf.DUMMYFUNCTION("""COMPUTED_VALUE"""),3283.66)</f>
        <v>3283.66</v>
      </c>
      <c r="J526" s="6" t="str">
        <f t="shared" ca="1" si="147"/>
        <v>20201</v>
      </c>
      <c r="K526" s="6">
        <f t="shared" ca="1" si="148"/>
        <v>2020</v>
      </c>
      <c r="L526" s="6">
        <f t="shared" ca="1" si="149"/>
        <v>1</v>
      </c>
      <c r="M526" s="68">
        <f ca="1">IFERROR(__xludf.DUMMYFUNCTION("""COMPUTED_VALUE"""),43854.6666666666)</f>
        <v>43854.666666666599</v>
      </c>
      <c r="N526" s="6">
        <f ca="1">IFERROR(__xludf.DUMMYFUNCTION("""COMPUTED_VALUE"""),9314.91)</f>
        <v>9314.91</v>
      </c>
      <c r="R526" s="6" t="str">
        <f t="shared" ca="1" si="150"/>
        <v>20202</v>
      </c>
      <c r="S526" s="6">
        <f t="shared" ca="1" si="151"/>
        <v>2020</v>
      </c>
      <c r="T526" s="6">
        <f t="shared" ca="1" si="152"/>
        <v>2</v>
      </c>
      <c r="U526" s="68">
        <f ca="1">IFERROR(__xludf.DUMMYFUNCTION("""COMPUTED_VALUE"""),43886.6458333333)</f>
        <v>43886.645833333299</v>
      </c>
      <c r="V526" s="6">
        <f ca="1">IFERROR(__xludf.DUMMYFUNCTION("""COMPUTED_VALUE"""),2103.61)</f>
        <v>2103.61</v>
      </c>
      <c r="Z526" s="6" t="str">
        <f t="shared" ca="1" si="153"/>
        <v>20197</v>
      </c>
      <c r="AA526" s="6">
        <f t="shared" ca="1" si="154"/>
        <v>2019</v>
      </c>
      <c r="AB526" s="6">
        <f t="shared" ca="1" si="155"/>
        <v>7</v>
      </c>
      <c r="AC526" s="68">
        <f ca="1">IFERROR(__xludf.DUMMYFUNCTION("""COMPUTED_VALUE"""),43652.9986111111)</f>
        <v>43652.998611111099</v>
      </c>
      <c r="AD526" s="6">
        <f ca="1">IFERROR(__xludf.DUMMYFUNCTION("""COMPUTED_VALUE"""),1174.12)</f>
        <v>1174.1199999999999</v>
      </c>
      <c r="AH526" s="6" t="str">
        <f t="shared" ca="1" si="156"/>
        <v>20196</v>
      </c>
      <c r="AI526" s="6">
        <f t="shared" ca="1" si="157"/>
        <v>2019</v>
      </c>
      <c r="AJ526" s="6">
        <f t="shared" ca="1" si="158"/>
        <v>6</v>
      </c>
      <c r="AK526" s="68">
        <f ca="1">IFERROR(__xludf.DUMMYFUNCTION("""COMPUTED_VALUE"""),43618.9986111111)</f>
        <v>43618.998611111099</v>
      </c>
      <c r="AL526" s="6">
        <f ca="1">IFERROR(__xludf.DUMMYFUNCTION("""COMPUTED_VALUE"""),8735.978)</f>
        <v>8735.9779999999992</v>
      </c>
      <c r="AP526" s="6" t="str">
        <f t="shared" ca="1" si="159"/>
        <v>20202</v>
      </c>
      <c r="AQ526" s="6">
        <f t="shared" ca="1" si="160"/>
        <v>2020</v>
      </c>
      <c r="AR526" s="6">
        <f t="shared" ca="1" si="161"/>
        <v>2</v>
      </c>
      <c r="AS526" s="68">
        <f ca="1">IFERROR(__xludf.DUMMYFUNCTION("""COMPUTED_VALUE"""),43871.9986111111)</f>
        <v>43871.998611111099</v>
      </c>
      <c r="AT526" s="6">
        <f ca="1">IFERROR(__xludf.DUMMYFUNCTION("""COMPUTED_VALUE"""),1579.5)</f>
        <v>1579.5</v>
      </c>
    </row>
    <row r="527" spans="2:46" x14ac:dyDescent="0.35">
      <c r="B527" s="6" t="str">
        <f t="shared" ca="1" si="144"/>
        <v>20201</v>
      </c>
      <c r="C527" s="6">
        <f t="shared" ca="1" si="145"/>
        <v>2020</v>
      </c>
      <c r="D527" s="6">
        <f t="shared" ca="1" si="146"/>
        <v>1</v>
      </c>
      <c r="E527" s="68">
        <f ca="1">IFERROR(__xludf.DUMMYFUNCTION("""COMPUTED_VALUE"""),43861.6666666666)</f>
        <v>43861.666666666599</v>
      </c>
      <c r="F527" s="6">
        <f ca="1">IFERROR(__xludf.DUMMYFUNCTION("""COMPUTED_VALUE"""),3225.52)</f>
        <v>3225.52</v>
      </c>
      <c r="J527" s="6" t="str">
        <f t="shared" ca="1" si="147"/>
        <v>20201</v>
      </c>
      <c r="K527" s="6">
        <f t="shared" ca="1" si="148"/>
        <v>2020</v>
      </c>
      <c r="L527" s="6">
        <f t="shared" ca="1" si="149"/>
        <v>1</v>
      </c>
      <c r="M527" s="68">
        <f ca="1">IFERROR(__xludf.DUMMYFUNCTION("""COMPUTED_VALUE"""),43857.6666666666)</f>
        <v>43857.666666666599</v>
      </c>
      <c r="N527" s="6">
        <f ca="1">IFERROR(__xludf.DUMMYFUNCTION("""COMPUTED_VALUE"""),9139.31)</f>
        <v>9139.31</v>
      </c>
      <c r="R527" s="6" t="str">
        <f t="shared" ca="1" si="150"/>
        <v>20202</v>
      </c>
      <c r="S527" s="6">
        <f t="shared" ca="1" si="151"/>
        <v>2020</v>
      </c>
      <c r="T527" s="6">
        <f t="shared" ca="1" si="152"/>
        <v>2</v>
      </c>
      <c r="U527" s="68">
        <f ca="1">IFERROR(__xludf.DUMMYFUNCTION("""COMPUTED_VALUE"""),43887.6458333333)</f>
        <v>43887.645833333299</v>
      </c>
      <c r="V527" s="6">
        <f ca="1">IFERROR(__xludf.DUMMYFUNCTION("""COMPUTED_VALUE"""),2076.77)</f>
        <v>2076.77</v>
      </c>
      <c r="Z527" s="6" t="str">
        <f t="shared" ca="1" si="153"/>
        <v>20197</v>
      </c>
      <c r="AA527" s="6">
        <f t="shared" ca="1" si="154"/>
        <v>2019</v>
      </c>
      <c r="AB527" s="6">
        <f t="shared" ca="1" si="155"/>
        <v>7</v>
      </c>
      <c r="AC527" s="68">
        <f ca="1">IFERROR(__xludf.DUMMYFUNCTION("""COMPUTED_VALUE"""),43653.9986111111)</f>
        <v>43653.998611111099</v>
      </c>
      <c r="AD527" s="6">
        <f ca="1">IFERROR(__xludf.DUMMYFUNCTION("""COMPUTED_VALUE"""),1174.02)</f>
        <v>1174.02</v>
      </c>
      <c r="AH527" s="6" t="str">
        <f t="shared" ca="1" si="156"/>
        <v>20196</v>
      </c>
      <c r="AI527" s="6">
        <f t="shared" ca="1" si="157"/>
        <v>2019</v>
      </c>
      <c r="AJ527" s="6">
        <f t="shared" ca="1" si="158"/>
        <v>6</v>
      </c>
      <c r="AK527" s="68">
        <f ca="1">IFERROR(__xludf.DUMMYFUNCTION("""COMPUTED_VALUE"""),43619.9986111111)</f>
        <v>43619.998611111099</v>
      </c>
      <c r="AL527" s="6">
        <f ca="1">IFERROR(__xludf.DUMMYFUNCTION("""COMPUTED_VALUE"""),8110.814)</f>
        <v>8110.8140000000003</v>
      </c>
      <c r="AP527" s="6" t="str">
        <f t="shared" ca="1" si="159"/>
        <v>20202</v>
      </c>
      <c r="AQ527" s="6">
        <f t="shared" ca="1" si="160"/>
        <v>2020</v>
      </c>
      <c r="AR527" s="6">
        <f t="shared" ca="1" si="161"/>
        <v>2</v>
      </c>
      <c r="AS527" s="68">
        <f ca="1">IFERROR(__xludf.DUMMYFUNCTION("""COMPUTED_VALUE"""),43872.9986111111)</f>
        <v>43872.998611111099</v>
      </c>
      <c r="AT527" s="6">
        <f ca="1">IFERROR(__xludf.DUMMYFUNCTION("""COMPUTED_VALUE"""),1570.1)</f>
        <v>1570.1</v>
      </c>
    </row>
    <row r="528" spans="2:46" x14ac:dyDescent="0.35">
      <c r="B528" s="6" t="str">
        <f t="shared" ca="1" si="144"/>
        <v>20202</v>
      </c>
      <c r="C528" s="6">
        <f t="shared" ca="1" si="145"/>
        <v>2020</v>
      </c>
      <c r="D528" s="6">
        <f t="shared" ca="1" si="146"/>
        <v>2</v>
      </c>
      <c r="E528" s="68">
        <f ca="1">IFERROR(__xludf.DUMMYFUNCTION("""COMPUTED_VALUE"""),43864.6666666666)</f>
        <v>43864.666666666599</v>
      </c>
      <c r="F528" s="6">
        <f ca="1">IFERROR(__xludf.DUMMYFUNCTION("""COMPUTED_VALUE"""),3248.92)</f>
        <v>3248.92</v>
      </c>
      <c r="J528" s="6" t="str">
        <f t="shared" ca="1" si="147"/>
        <v>20201</v>
      </c>
      <c r="K528" s="6">
        <f t="shared" ca="1" si="148"/>
        <v>2020</v>
      </c>
      <c r="L528" s="6">
        <f t="shared" ca="1" si="149"/>
        <v>1</v>
      </c>
      <c r="M528" s="68">
        <f ca="1">IFERROR(__xludf.DUMMYFUNCTION("""COMPUTED_VALUE"""),43858.6666666666)</f>
        <v>43858.666666666599</v>
      </c>
      <c r="N528" s="6">
        <f ca="1">IFERROR(__xludf.DUMMYFUNCTION("""COMPUTED_VALUE"""),9269.68)</f>
        <v>9269.68</v>
      </c>
      <c r="R528" s="6" t="str">
        <f t="shared" ca="1" si="150"/>
        <v>20202</v>
      </c>
      <c r="S528" s="6">
        <f t="shared" ca="1" si="151"/>
        <v>2020</v>
      </c>
      <c r="T528" s="6">
        <f t="shared" ca="1" si="152"/>
        <v>2</v>
      </c>
      <c r="U528" s="68">
        <f ca="1">IFERROR(__xludf.DUMMYFUNCTION("""COMPUTED_VALUE"""),43888.6458333333)</f>
        <v>43888.645833333299</v>
      </c>
      <c r="V528" s="6">
        <f ca="1">IFERROR(__xludf.DUMMYFUNCTION("""COMPUTED_VALUE"""),2054.89)</f>
        <v>2054.89</v>
      </c>
      <c r="Z528" s="6" t="str">
        <f t="shared" ca="1" si="153"/>
        <v>20197</v>
      </c>
      <c r="AA528" s="6">
        <f t="shared" ca="1" si="154"/>
        <v>2019</v>
      </c>
      <c r="AB528" s="6">
        <f t="shared" ca="1" si="155"/>
        <v>7</v>
      </c>
      <c r="AC528" s="68">
        <f ca="1">IFERROR(__xludf.DUMMYFUNCTION("""COMPUTED_VALUE"""),43654.9986111111)</f>
        <v>43654.998611111099</v>
      </c>
      <c r="AD528" s="6">
        <f ca="1">IFERROR(__xludf.DUMMYFUNCTION("""COMPUTED_VALUE"""),1179.85)</f>
        <v>1179.8499999999999</v>
      </c>
      <c r="AH528" s="6" t="str">
        <f t="shared" ca="1" si="156"/>
        <v>20196</v>
      </c>
      <c r="AI528" s="6">
        <f t="shared" ca="1" si="157"/>
        <v>2019</v>
      </c>
      <c r="AJ528" s="6">
        <f t="shared" ca="1" si="158"/>
        <v>6</v>
      </c>
      <c r="AK528" s="68">
        <f ca="1">IFERROR(__xludf.DUMMYFUNCTION("""COMPUTED_VALUE"""),43620.9986111111)</f>
        <v>43620.998611111099</v>
      </c>
      <c r="AL528" s="6">
        <f ca="1">IFERROR(__xludf.DUMMYFUNCTION("""COMPUTED_VALUE"""),7675.762)</f>
        <v>7675.7619999999997</v>
      </c>
      <c r="AP528" s="6" t="str">
        <f t="shared" ca="1" si="159"/>
        <v>20202</v>
      </c>
      <c r="AQ528" s="6">
        <f t="shared" ca="1" si="160"/>
        <v>2020</v>
      </c>
      <c r="AR528" s="6">
        <f t="shared" ca="1" si="161"/>
        <v>2</v>
      </c>
      <c r="AS528" s="68">
        <f ca="1">IFERROR(__xludf.DUMMYFUNCTION("""COMPUTED_VALUE"""),43873.9986111111)</f>
        <v>43873.998611111099</v>
      </c>
      <c r="AT528" s="6">
        <f ca="1">IFERROR(__xludf.DUMMYFUNCTION("""COMPUTED_VALUE"""),1571.6)</f>
        <v>1571.6</v>
      </c>
    </row>
    <row r="529" spans="2:46" x14ac:dyDescent="0.35">
      <c r="B529" s="6" t="str">
        <f t="shared" ca="1" si="144"/>
        <v>20202</v>
      </c>
      <c r="C529" s="6">
        <f t="shared" ca="1" si="145"/>
        <v>2020</v>
      </c>
      <c r="D529" s="6">
        <f t="shared" ca="1" si="146"/>
        <v>2</v>
      </c>
      <c r="E529" s="68">
        <f ca="1">IFERROR(__xludf.DUMMYFUNCTION("""COMPUTED_VALUE"""),43865.6666666666)</f>
        <v>43865.666666666599</v>
      </c>
      <c r="F529" s="6">
        <f ca="1">IFERROR(__xludf.DUMMYFUNCTION("""COMPUTED_VALUE"""),3297.59)</f>
        <v>3297.59</v>
      </c>
      <c r="J529" s="6" t="str">
        <f t="shared" ca="1" si="147"/>
        <v>20201</v>
      </c>
      <c r="K529" s="6">
        <f t="shared" ca="1" si="148"/>
        <v>2020</v>
      </c>
      <c r="L529" s="6">
        <f t="shared" ca="1" si="149"/>
        <v>1</v>
      </c>
      <c r="M529" s="68">
        <f ca="1">IFERROR(__xludf.DUMMYFUNCTION("""COMPUTED_VALUE"""),43859.6666666666)</f>
        <v>43859.666666666599</v>
      </c>
      <c r="N529" s="6">
        <f ca="1">IFERROR(__xludf.DUMMYFUNCTION("""COMPUTED_VALUE"""),9275.16)</f>
        <v>9275.16</v>
      </c>
      <c r="R529" s="6" t="str">
        <f t="shared" ca="1" si="150"/>
        <v>20202</v>
      </c>
      <c r="S529" s="6">
        <f t="shared" ca="1" si="151"/>
        <v>2020</v>
      </c>
      <c r="T529" s="6">
        <f t="shared" ca="1" si="152"/>
        <v>2</v>
      </c>
      <c r="U529" s="68">
        <f ca="1">IFERROR(__xludf.DUMMYFUNCTION("""COMPUTED_VALUE"""),43889.6458333333)</f>
        <v>43889.645833333299</v>
      </c>
      <c r="V529" s="6">
        <f ca="1">IFERROR(__xludf.DUMMYFUNCTION("""COMPUTED_VALUE"""),1987.01)</f>
        <v>1987.01</v>
      </c>
      <c r="Z529" s="6" t="str">
        <f t="shared" ca="1" si="153"/>
        <v>20197</v>
      </c>
      <c r="AA529" s="6">
        <f t="shared" ca="1" si="154"/>
        <v>2019</v>
      </c>
      <c r="AB529" s="6">
        <f t="shared" ca="1" si="155"/>
        <v>7</v>
      </c>
      <c r="AC529" s="68">
        <f ca="1">IFERROR(__xludf.DUMMYFUNCTION("""COMPUTED_VALUE"""),43655.9986111111)</f>
        <v>43655.998611111099</v>
      </c>
      <c r="AD529" s="6">
        <f ca="1">IFERROR(__xludf.DUMMYFUNCTION("""COMPUTED_VALUE"""),1181.48)</f>
        <v>1181.48</v>
      </c>
      <c r="AH529" s="6" t="str">
        <f t="shared" ca="1" si="156"/>
        <v>20196</v>
      </c>
      <c r="AI529" s="6">
        <f t="shared" ca="1" si="157"/>
        <v>2019</v>
      </c>
      <c r="AJ529" s="6">
        <f t="shared" ca="1" si="158"/>
        <v>6</v>
      </c>
      <c r="AK529" s="68">
        <f ca="1">IFERROR(__xludf.DUMMYFUNCTION("""COMPUTED_VALUE"""),43621.9986111111)</f>
        <v>43621.998611111099</v>
      </c>
      <c r="AL529" s="6">
        <f ca="1">IFERROR(__xludf.DUMMYFUNCTION("""COMPUTED_VALUE"""),7788.414)</f>
        <v>7788.4139999999998</v>
      </c>
      <c r="AP529" s="6" t="str">
        <f t="shared" ca="1" si="159"/>
        <v>20202</v>
      </c>
      <c r="AQ529" s="6">
        <f t="shared" ca="1" si="160"/>
        <v>2020</v>
      </c>
      <c r="AR529" s="6">
        <f t="shared" ca="1" si="161"/>
        <v>2</v>
      </c>
      <c r="AS529" s="68">
        <f ca="1">IFERROR(__xludf.DUMMYFUNCTION("""COMPUTED_VALUE"""),43874.9986111111)</f>
        <v>43874.998611111099</v>
      </c>
      <c r="AT529" s="6">
        <f ca="1">IFERROR(__xludf.DUMMYFUNCTION("""COMPUTED_VALUE"""),1578.8)</f>
        <v>1578.8</v>
      </c>
    </row>
    <row r="530" spans="2:46" x14ac:dyDescent="0.35">
      <c r="B530" s="6" t="str">
        <f t="shared" ca="1" si="144"/>
        <v>20202</v>
      </c>
      <c r="C530" s="6">
        <f t="shared" ca="1" si="145"/>
        <v>2020</v>
      </c>
      <c r="D530" s="6">
        <f t="shared" ca="1" si="146"/>
        <v>2</v>
      </c>
      <c r="E530" s="68">
        <f ca="1">IFERROR(__xludf.DUMMYFUNCTION("""COMPUTED_VALUE"""),43866.6666666666)</f>
        <v>43866.666666666599</v>
      </c>
      <c r="F530" s="6">
        <f ca="1">IFERROR(__xludf.DUMMYFUNCTION("""COMPUTED_VALUE"""),3334.69)</f>
        <v>3334.69</v>
      </c>
      <c r="J530" s="6" t="str">
        <f t="shared" ca="1" si="147"/>
        <v>20201</v>
      </c>
      <c r="K530" s="6">
        <f t="shared" ca="1" si="148"/>
        <v>2020</v>
      </c>
      <c r="L530" s="6">
        <f t="shared" ca="1" si="149"/>
        <v>1</v>
      </c>
      <c r="M530" s="68">
        <f ca="1">IFERROR(__xludf.DUMMYFUNCTION("""COMPUTED_VALUE"""),43860.6666666666)</f>
        <v>43860.666666666599</v>
      </c>
      <c r="N530" s="6">
        <f ca="1">IFERROR(__xludf.DUMMYFUNCTION("""COMPUTED_VALUE"""),9298.93)</f>
        <v>9298.93</v>
      </c>
      <c r="R530" s="6" t="str">
        <f t="shared" ca="1" si="150"/>
        <v>20203</v>
      </c>
      <c r="S530" s="6">
        <f t="shared" ca="1" si="151"/>
        <v>2020</v>
      </c>
      <c r="T530" s="6">
        <f t="shared" ca="1" si="152"/>
        <v>3</v>
      </c>
      <c r="U530" s="68">
        <f ca="1">IFERROR(__xludf.DUMMYFUNCTION("""COMPUTED_VALUE"""),43892.6458333333)</f>
        <v>43892.645833333299</v>
      </c>
      <c r="V530" s="6">
        <f ca="1">IFERROR(__xludf.DUMMYFUNCTION("""COMPUTED_VALUE"""),2002.51)</f>
        <v>2002.51</v>
      </c>
      <c r="Z530" s="6" t="str">
        <f t="shared" ca="1" si="153"/>
        <v>20197</v>
      </c>
      <c r="AA530" s="6">
        <f t="shared" ca="1" si="154"/>
        <v>2019</v>
      </c>
      <c r="AB530" s="6">
        <f t="shared" ca="1" si="155"/>
        <v>7</v>
      </c>
      <c r="AC530" s="68">
        <f ca="1">IFERROR(__xludf.DUMMYFUNCTION("""COMPUTED_VALUE"""),43656.9986111111)</f>
        <v>43656.998611111099</v>
      </c>
      <c r="AD530" s="6">
        <f ca="1">IFERROR(__xludf.DUMMYFUNCTION("""COMPUTED_VALUE"""),1175.53)</f>
        <v>1175.53</v>
      </c>
      <c r="AH530" s="6" t="str">
        <f t="shared" ca="1" si="156"/>
        <v>20196</v>
      </c>
      <c r="AI530" s="6">
        <f t="shared" ca="1" si="157"/>
        <v>2019</v>
      </c>
      <c r="AJ530" s="6">
        <f t="shared" ca="1" si="158"/>
        <v>6</v>
      </c>
      <c r="AK530" s="68">
        <f ca="1">IFERROR(__xludf.DUMMYFUNCTION("""COMPUTED_VALUE"""),43622.9986111111)</f>
        <v>43622.998611111099</v>
      </c>
      <c r="AL530" s="6">
        <f ca="1">IFERROR(__xludf.DUMMYFUNCTION("""COMPUTED_VALUE"""),7803.107)</f>
        <v>7803.107</v>
      </c>
      <c r="AP530" s="6" t="str">
        <f t="shared" ca="1" si="159"/>
        <v>20202</v>
      </c>
      <c r="AQ530" s="6">
        <f t="shared" ca="1" si="160"/>
        <v>2020</v>
      </c>
      <c r="AR530" s="6">
        <f t="shared" ca="1" si="161"/>
        <v>2</v>
      </c>
      <c r="AS530" s="68">
        <f ca="1">IFERROR(__xludf.DUMMYFUNCTION("""COMPUTED_VALUE"""),43875.9986111111)</f>
        <v>43875.998611111099</v>
      </c>
      <c r="AT530" s="6">
        <f ca="1">IFERROR(__xludf.DUMMYFUNCTION("""COMPUTED_VALUE"""),1586.4)</f>
        <v>1586.4</v>
      </c>
    </row>
    <row r="531" spans="2:46" x14ac:dyDescent="0.35">
      <c r="B531" s="6" t="str">
        <f t="shared" ca="1" si="144"/>
        <v>20202</v>
      </c>
      <c r="C531" s="6">
        <f t="shared" ca="1" si="145"/>
        <v>2020</v>
      </c>
      <c r="D531" s="6">
        <f t="shared" ca="1" si="146"/>
        <v>2</v>
      </c>
      <c r="E531" s="68">
        <f ca="1">IFERROR(__xludf.DUMMYFUNCTION("""COMPUTED_VALUE"""),43867.6666666666)</f>
        <v>43867.666666666599</v>
      </c>
      <c r="F531" s="6">
        <f ca="1">IFERROR(__xludf.DUMMYFUNCTION("""COMPUTED_VALUE"""),3345.78)</f>
        <v>3345.78</v>
      </c>
      <c r="J531" s="6" t="str">
        <f t="shared" ca="1" si="147"/>
        <v>20201</v>
      </c>
      <c r="K531" s="6">
        <f t="shared" ca="1" si="148"/>
        <v>2020</v>
      </c>
      <c r="L531" s="6">
        <f t="shared" ca="1" si="149"/>
        <v>1</v>
      </c>
      <c r="M531" s="68">
        <f ca="1">IFERROR(__xludf.DUMMYFUNCTION("""COMPUTED_VALUE"""),43861.6666666666)</f>
        <v>43861.666666666599</v>
      </c>
      <c r="N531" s="6">
        <f ca="1">IFERROR(__xludf.DUMMYFUNCTION("""COMPUTED_VALUE"""),9150.94)</f>
        <v>9150.94</v>
      </c>
      <c r="R531" s="6" t="str">
        <f t="shared" ca="1" si="150"/>
        <v>20203</v>
      </c>
      <c r="S531" s="6">
        <f t="shared" ca="1" si="151"/>
        <v>2020</v>
      </c>
      <c r="T531" s="6">
        <f t="shared" ca="1" si="152"/>
        <v>3</v>
      </c>
      <c r="U531" s="68">
        <f ca="1">IFERROR(__xludf.DUMMYFUNCTION("""COMPUTED_VALUE"""),43893.6458333333)</f>
        <v>43893.645833333299</v>
      </c>
      <c r="V531" s="6">
        <f ca="1">IFERROR(__xludf.DUMMYFUNCTION("""COMPUTED_VALUE"""),2014.15)</f>
        <v>2014.15</v>
      </c>
      <c r="Z531" s="6" t="str">
        <f t="shared" ca="1" si="153"/>
        <v>20197</v>
      </c>
      <c r="AA531" s="6">
        <f t="shared" ca="1" si="154"/>
        <v>2019</v>
      </c>
      <c r="AB531" s="6">
        <f t="shared" ca="1" si="155"/>
        <v>7</v>
      </c>
      <c r="AC531" s="68">
        <f ca="1">IFERROR(__xludf.DUMMYFUNCTION("""COMPUTED_VALUE"""),43657.9986111111)</f>
        <v>43657.998611111099</v>
      </c>
      <c r="AD531" s="6">
        <f ca="1">IFERROR(__xludf.DUMMYFUNCTION("""COMPUTED_VALUE"""),1174.08)</f>
        <v>1174.08</v>
      </c>
      <c r="AH531" s="6" t="str">
        <f t="shared" ca="1" si="156"/>
        <v>20196</v>
      </c>
      <c r="AI531" s="6">
        <f t="shared" ca="1" si="157"/>
        <v>2019</v>
      </c>
      <c r="AJ531" s="6">
        <f t="shared" ca="1" si="158"/>
        <v>6</v>
      </c>
      <c r="AK531" s="68">
        <f ca="1">IFERROR(__xludf.DUMMYFUNCTION("""COMPUTED_VALUE"""),43623.9986111111)</f>
        <v>43623.998611111099</v>
      </c>
      <c r="AL531" s="6">
        <f ca="1">IFERROR(__xludf.DUMMYFUNCTION("""COMPUTED_VALUE"""),8007.554)</f>
        <v>8007.5540000000001</v>
      </c>
      <c r="AP531" s="6" t="str">
        <f t="shared" ca="1" si="159"/>
        <v>20202</v>
      </c>
      <c r="AQ531" s="6">
        <f t="shared" ca="1" si="160"/>
        <v>2020</v>
      </c>
      <c r="AR531" s="6">
        <f t="shared" ca="1" si="161"/>
        <v>2</v>
      </c>
      <c r="AS531" s="68">
        <f ca="1">IFERROR(__xludf.DUMMYFUNCTION("""COMPUTED_VALUE"""),43879.9986111111)</f>
        <v>43879.998611111099</v>
      </c>
      <c r="AT531" s="6">
        <f ca="1">IFERROR(__xludf.DUMMYFUNCTION("""COMPUTED_VALUE"""),1603.6)</f>
        <v>1603.6</v>
      </c>
    </row>
    <row r="532" spans="2:46" x14ac:dyDescent="0.35">
      <c r="B532" s="6" t="str">
        <f t="shared" ca="1" si="144"/>
        <v>20202</v>
      </c>
      <c r="C532" s="6">
        <f t="shared" ca="1" si="145"/>
        <v>2020</v>
      </c>
      <c r="D532" s="6">
        <f t="shared" ca="1" si="146"/>
        <v>2</v>
      </c>
      <c r="E532" s="68">
        <f ca="1">IFERROR(__xludf.DUMMYFUNCTION("""COMPUTED_VALUE"""),43868.6666666666)</f>
        <v>43868.666666666599</v>
      </c>
      <c r="F532" s="6">
        <f ca="1">IFERROR(__xludf.DUMMYFUNCTION("""COMPUTED_VALUE"""),3327.71)</f>
        <v>3327.71</v>
      </c>
      <c r="J532" s="6" t="str">
        <f t="shared" ca="1" si="147"/>
        <v>20202</v>
      </c>
      <c r="K532" s="6">
        <f t="shared" ca="1" si="148"/>
        <v>2020</v>
      </c>
      <c r="L532" s="6">
        <f t="shared" ca="1" si="149"/>
        <v>2</v>
      </c>
      <c r="M532" s="68">
        <f ca="1">IFERROR(__xludf.DUMMYFUNCTION("""COMPUTED_VALUE"""),43864.6666666666)</f>
        <v>43864.666666666599</v>
      </c>
      <c r="N532" s="6">
        <f ca="1">IFERROR(__xludf.DUMMYFUNCTION("""COMPUTED_VALUE"""),9273.4)</f>
        <v>9273.4</v>
      </c>
      <c r="R532" s="6" t="str">
        <f t="shared" ca="1" si="150"/>
        <v>20203</v>
      </c>
      <c r="S532" s="6">
        <f t="shared" ca="1" si="151"/>
        <v>2020</v>
      </c>
      <c r="T532" s="6">
        <f t="shared" ca="1" si="152"/>
        <v>3</v>
      </c>
      <c r="U532" s="68">
        <f ca="1">IFERROR(__xludf.DUMMYFUNCTION("""COMPUTED_VALUE"""),43894.6458333333)</f>
        <v>43894.645833333299</v>
      </c>
      <c r="V532" s="6">
        <f ca="1">IFERROR(__xludf.DUMMYFUNCTION("""COMPUTED_VALUE"""),2059.33)</f>
        <v>2059.33</v>
      </c>
      <c r="Z532" s="6" t="str">
        <f t="shared" ca="1" si="153"/>
        <v>20197</v>
      </c>
      <c r="AA532" s="6">
        <f t="shared" ca="1" si="154"/>
        <v>2019</v>
      </c>
      <c r="AB532" s="6">
        <f t="shared" ca="1" si="155"/>
        <v>7</v>
      </c>
      <c r="AC532" s="68">
        <f ca="1">IFERROR(__xludf.DUMMYFUNCTION("""COMPUTED_VALUE"""),43658.9986111111)</f>
        <v>43658.998611111099</v>
      </c>
      <c r="AD532" s="6">
        <f ca="1">IFERROR(__xludf.DUMMYFUNCTION("""COMPUTED_VALUE"""),1177.22)</f>
        <v>1177.22</v>
      </c>
      <c r="AH532" s="6" t="str">
        <f t="shared" ca="1" si="156"/>
        <v>20196</v>
      </c>
      <c r="AI532" s="6">
        <f t="shared" ca="1" si="157"/>
        <v>2019</v>
      </c>
      <c r="AJ532" s="6">
        <f t="shared" ca="1" si="158"/>
        <v>6</v>
      </c>
      <c r="AK532" s="68">
        <f ca="1">IFERROR(__xludf.DUMMYFUNCTION("""COMPUTED_VALUE"""),43624.9986111111)</f>
        <v>43624.998611111099</v>
      </c>
      <c r="AL532" s="6">
        <f ca="1">IFERROR(__xludf.DUMMYFUNCTION("""COMPUTED_VALUE"""),7927.408)</f>
        <v>7927.4080000000004</v>
      </c>
      <c r="AP532" s="6" t="str">
        <f t="shared" ca="1" si="159"/>
        <v>20202</v>
      </c>
      <c r="AQ532" s="6">
        <f t="shared" ca="1" si="160"/>
        <v>2020</v>
      </c>
      <c r="AR532" s="6">
        <f t="shared" ca="1" si="161"/>
        <v>2</v>
      </c>
      <c r="AS532" s="68">
        <f ca="1">IFERROR(__xludf.DUMMYFUNCTION("""COMPUTED_VALUE"""),43880.9986111111)</f>
        <v>43880.998611111099</v>
      </c>
      <c r="AT532" s="6">
        <f ca="1">IFERROR(__xludf.DUMMYFUNCTION("""COMPUTED_VALUE"""),1611.8)</f>
        <v>1611.8</v>
      </c>
    </row>
    <row r="533" spans="2:46" x14ac:dyDescent="0.35">
      <c r="B533" s="6" t="str">
        <f t="shared" ca="1" si="144"/>
        <v>20202</v>
      </c>
      <c r="C533" s="6">
        <f t="shared" ca="1" si="145"/>
        <v>2020</v>
      </c>
      <c r="D533" s="6">
        <f t="shared" ca="1" si="146"/>
        <v>2</v>
      </c>
      <c r="E533" s="68">
        <f ca="1">IFERROR(__xludf.DUMMYFUNCTION("""COMPUTED_VALUE"""),43871.6666666666)</f>
        <v>43871.666666666599</v>
      </c>
      <c r="F533" s="6">
        <f ca="1">IFERROR(__xludf.DUMMYFUNCTION("""COMPUTED_VALUE"""),3352.09)</f>
        <v>3352.09</v>
      </c>
      <c r="J533" s="6" t="str">
        <f t="shared" ca="1" si="147"/>
        <v>20202</v>
      </c>
      <c r="K533" s="6">
        <f t="shared" ca="1" si="148"/>
        <v>2020</v>
      </c>
      <c r="L533" s="6">
        <f t="shared" ca="1" si="149"/>
        <v>2</v>
      </c>
      <c r="M533" s="68">
        <f ca="1">IFERROR(__xludf.DUMMYFUNCTION("""COMPUTED_VALUE"""),43865.6666666666)</f>
        <v>43865.666666666599</v>
      </c>
      <c r="N533" s="6">
        <f ca="1">IFERROR(__xludf.DUMMYFUNCTION("""COMPUTED_VALUE"""),9467.97)</f>
        <v>9467.9699999999993</v>
      </c>
      <c r="R533" s="6" t="str">
        <f t="shared" ca="1" si="150"/>
        <v>20203</v>
      </c>
      <c r="S533" s="6">
        <f t="shared" ca="1" si="151"/>
        <v>2020</v>
      </c>
      <c r="T533" s="6">
        <f t="shared" ca="1" si="152"/>
        <v>3</v>
      </c>
      <c r="U533" s="68">
        <f ca="1">IFERROR(__xludf.DUMMYFUNCTION("""COMPUTED_VALUE"""),43895.6458333333)</f>
        <v>43895.645833333299</v>
      </c>
      <c r="V533" s="6">
        <f ca="1">IFERROR(__xludf.DUMMYFUNCTION("""COMPUTED_VALUE"""),2085.26)</f>
        <v>2085.2600000000002</v>
      </c>
      <c r="Z533" s="6" t="str">
        <f t="shared" ca="1" si="153"/>
        <v>20197</v>
      </c>
      <c r="AA533" s="6">
        <f t="shared" ca="1" si="154"/>
        <v>2019</v>
      </c>
      <c r="AB533" s="6">
        <f t="shared" ca="1" si="155"/>
        <v>7</v>
      </c>
      <c r="AC533" s="68">
        <f ca="1">IFERROR(__xludf.DUMMYFUNCTION("""COMPUTED_VALUE"""),43660.9986111111)</f>
        <v>43660.998611111099</v>
      </c>
      <c r="AD533" s="6">
        <f ca="1">IFERROR(__xludf.DUMMYFUNCTION("""COMPUTED_VALUE"""),1176.41)</f>
        <v>1176.4100000000001</v>
      </c>
      <c r="AH533" s="6" t="str">
        <f t="shared" ca="1" si="156"/>
        <v>20196</v>
      </c>
      <c r="AI533" s="6">
        <f t="shared" ca="1" si="157"/>
        <v>2019</v>
      </c>
      <c r="AJ533" s="6">
        <f t="shared" ca="1" si="158"/>
        <v>6</v>
      </c>
      <c r="AK533" s="68">
        <f ca="1">IFERROR(__xludf.DUMMYFUNCTION("""COMPUTED_VALUE"""),43625.9986111111)</f>
        <v>43625.998611111099</v>
      </c>
      <c r="AL533" s="6">
        <f ca="1">IFERROR(__xludf.DUMMYFUNCTION("""COMPUTED_VALUE"""),7636.332)</f>
        <v>7636.3320000000003</v>
      </c>
      <c r="AP533" s="6" t="str">
        <f t="shared" ca="1" si="159"/>
        <v>20202</v>
      </c>
      <c r="AQ533" s="6">
        <f t="shared" ca="1" si="160"/>
        <v>2020</v>
      </c>
      <c r="AR533" s="6">
        <f t="shared" ca="1" si="161"/>
        <v>2</v>
      </c>
      <c r="AS533" s="68">
        <f ca="1">IFERROR(__xludf.DUMMYFUNCTION("""COMPUTED_VALUE"""),43881.9986111111)</f>
        <v>43881.998611111099</v>
      </c>
      <c r="AT533" s="6">
        <f ca="1">IFERROR(__xludf.DUMMYFUNCTION("""COMPUTED_VALUE"""),1620.5)</f>
        <v>1620.5</v>
      </c>
    </row>
    <row r="534" spans="2:46" x14ac:dyDescent="0.35">
      <c r="B534" s="6" t="str">
        <f t="shared" ca="1" si="144"/>
        <v>20202</v>
      </c>
      <c r="C534" s="6">
        <f t="shared" ca="1" si="145"/>
        <v>2020</v>
      </c>
      <c r="D534" s="6">
        <f t="shared" ca="1" si="146"/>
        <v>2</v>
      </c>
      <c r="E534" s="68">
        <f ca="1">IFERROR(__xludf.DUMMYFUNCTION("""COMPUTED_VALUE"""),43872.6666666666)</f>
        <v>43872.666666666599</v>
      </c>
      <c r="F534" s="6">
        <f ca="1">IFERROR(__xludf.DUMMYFUNCTION("""COMPUTED_VALUE"""),3357.75)</f>
        <v>3357.75</v>
      </c>
      <c r="J534" s="6" t="str">
        <f t="shared" ca="1" si="147"/>
        <v>20202</v>
      </c>
      <c r="K534" s="6">
        <f t="shared" ca="1" si="148"/>
        <v>2020</v>
      </c>
      <c r="L534" s="6">
        <f t="shared" ca="1" si="149"/>
        <v>2</v>
      </c>
      <c r="M534" s="68">
        <f ca="1">IFERROR(__xludf.DUMMYFUNCTION("""COMPUTED_VALUE"""),43866.6666666666)</f>
        <v>43866.666666666599</v>
      </c>
      <c r="N534" s="6">
        <f ca="1">IFERROR(__xludf.DUMMYFUNCTION("""COMPUTED_VALUE"""),9508.68)</f>
        <v>9508.68</v>
      </c>
      <c r="R534" s="6" t="str">
        <f t="shared" ca="1" si="150"/>
        <v>20203</v>
      </c>
      <c r="S534" s="6">
        <f t="shared" ca="1" si="151"/>
        <v>2020</v>
      </c>
      <c r="T534" s="6">
        <f t="shared" ca="1" si="152"/>
        <v>3</v>
      </c>
      <c r="U534" s="68">
        <f ca="1">IFERROR(__xludf.DUMMYFUNCTION("""COMPUTED_VALUE"""),43896.6458333333)</f>
        <v>43896.645833333299</v>
      </c>
      <c r="V534" s="6">
        <f ca="1">IFERROR(__xludf.DUMMYFUNCTION("""COMPUTED_VALUE"""),2040.22)</f>
        <v>2040.22</v>
      </c>
      <c r="Z534" s="6" t="str">
        <f t="shared" ca="1" si="153"/>
        <v>20197</v>
      </c>
      <c r="AA534" s="6">
        <f t="shared" ca="1" si="154"/>
        <v>2019</v>
      </c>
      <c r="AB534" s="6">
        <f t="shared" ca="1" si="155"/>
        <v>7</v>
      </c>
      <c r="AC534" s="68">
        <f ca="1">IFERROR(__xludf.DUMMYFUNCTION("""COMPUTED_VALUE"""),43661.9986111111)</f>
        <v>43661.998611111099</v>
      </c>
      <c r="AD534" s="6">
        <f ca="1">IFERROR(__xludf.DUMMYFUNCTION("""COMPUTED_VALUE"""),1178.43)</f>
        <v>1178.43</v>
      </c>
      <c r="AH534" s="6" t="str">
        <f t="shared" ca="1" si="156"/>
        <v>20196</v>
      </c>
      <c r="AI534" s="6">
        <f t="shared" ca="1" si="157"/>
        <v>2019</v>
      </c>
      <c r="AJ534" s="6">
        <f t="shared" ca="1" si="158"/>
        <v>6</v>
      </c>
      <c r="AK534" s="68">
        <f ca="1">IFERROR(__xludf.DUMMYFUNCTION("""COMPUTED_VALUE"""),43626.9986111111)</f>
        <v>43626.998611111099</v>
      </c>
      <c r="AL534" s="6">
        <f ca="1">IFERROR(__xludf.DUMMYFUNCTION("""COMPUTED_VALUE"""),8007.007)</f>
        <v>8007.0069999999996</v>
      </c>
      <c r="AP534" s="6" t="str">
        <f t="shared" ca="1" si="159"/>
        <v>20202</v>
      </c>
      <c r="AQ534" s="6">
        <f t="shared" ca="1" si="160"/>
        <v>2020</v>
      </c>
      <c r="AR534" s="6">
        <f t="shared" ca="1" si="161"/>
        <v>2</v>
      </c>
      <c r="AS534" s="68">
        <f ca="1">IFERROR(__xludf.DUMMYFUNCTION("""COMPUTED_VALUE"""),43882.9986111111)</f>
        <v>43882.998611111099</v>
      </c>
      <c r="AT534" s="6">
        <f ca="1">IFERROR(__xludf.DUMMYFUNCTION("""COMPUTED_VALUE"""),1648.8)</f>
        <v>1648.8</v>
      </c>
    </row>
    <row r="535" spans="2:46" x14ac:dyDescent="0.35">
      <c r="B535" s="6" t="str">
        <f t="shared" ca="1" si="144"/>
        <v>20202</v>
      </c>
      <c r="C535" s="6">
        <f t="shared" ca="1" si="145"/>
        <v>2020</v>
      </c>
      <c r="D535" s="6">
        <f t="shared" ca="1" si="146"/>
        <v>2</v>
      </c>
      <c r="E535" s="68">
        <f ca="1">IFERROR(__xludf.DUMMYFUNCTION("""COMPUTED_VALUE"""),43873.6666666666)</f>
        <v>43873.666666666599</v>
      </c>
      <c r="F535" s="6">
        <f ca="1">IFERROR(__xludf.DUMMYFUNCTION("""COMPUTED_VALUE"""),3379.45)</f>
        <v>3379.45</v>
      </c>
      <c r="J535" s="6" t="str">
        <f t="shared" ca="1" si="147"/>
        <v>20202</v>
      </c>
      <c r="K535" s="6">
        <f t="shared" ca="1" si="148"/>
        <v>2020</v>
      </c>
      <c r="L535" s="6">
        <f t="shared" ca="1" si="149"/>
        <v>2</v>
      </c>
      <c r="M535" s="68">
        <f ca="1">IFERROR(__xludf.DUMMYFUNCTION("""COMPUTED_VALUE"""),43867.6666666666)</f>
        <v>43867.666666666599</v>
      </c>
      <c r="N535" s="6">
        <f ca="1">IFERROR(__xludf.DUMMYFUNCTION("""COMPUTED_VALUE"""),9572.15)</f>
        <v>9572.15</v>
      </c>
      <c r="R535" s="6" t="str">
        <f t="shared" ca="1" si="150"/>
        <v>20203</v>
      </c>
      <c r="S535" s="6">
        <f t="shared" ca="1" si="151"/>
        <v>2020</v>
      </c>
      <c r="T535" s="6">
        <f t="shared" ca="1" si="152"/>
        <v>3</v>
      </c>
      <c r="U535" s="68">
        <f ca="1">IFERROR(__xludf.DUMMYFUNCTION("""COMPUTED_VALUE"""),43899.6458333333)</f>
        <v>43899.645833333299</v>
      </c>
      <c r="V535" s="6">
        <f ca="1">IFERROR(__xludf.DUMMYFUNCTION("""COMPUTED_VALUE"""),1954.77)</f>
        <v>1954.77</v>
      </c>
      <c r="Z535" s="6" t="str">
        <f t="shared" ca="1" si="153"/>
        <v>20197</v>
      </c>
      <c r="AA535" s="6">
        <f t="shared" ca="1" si="154"/>
        <v>2019</v>
      </c>
      <c r="AB535" s="6">
        <f t="shared" ca="1" si="155"/>
        <v>7</v>
      </c>
      <c r="AC535" s="68">
        <f ca="1">IFERROR(__xludf.DUMMYFUNCTION("""COMPUTED_VALUE"""),43662.9986111111)</f>
        <v>43662.998611111099</v>
      </c>
      <c r="AD535" s="6">
        <f ca="1">IFERROR(__xludf.DUMMYFUNCTION("""COMPUTED_VALUE"""),1177.88)</f>
        <v>1177.8800000000001</v>
      </c>
      <c r="AH535" s="6" t="str">
        <f t="shared" ca="1" si="156"/>
        <v>20196</v>
      </c>
      <c r="AI535" s="6">
        <f t="shared" ca="1" si="157"/>
        <v>2019</v>
      </c>
      <c r="AJ535" s="6">
        <f t="shared" ca="1" si="158"/>
        <v>6</v>
      </c>
      <c r="AK535" s="68">
        <f ca="1">IFERROR(__xludf.DUMMYFUNCTION("""COMPUTED_VALUE"""),43627.9986111111)</f>
        <v>43627.998611111099</v>
      </c>
      <c r="AL535" s="6">
        <f ca="1">IFERROR(__xludf.DUMMYFUNCTION("""COMPUTED_VALUE"""),7911.261)</f>
        <v>7911.2610000000004</v>
      </c>
      <c r="AP535" s="6" t="str">
        <f t="shared" ca="1" si="159"/>
        <v>20202</v>
      </c>
      <c r="AQ535" s="6">
        <f t="shared" ca="1" si="160"/>
        <v>2020</v>
      </c>
      <c r="AR535" s="6">
        <f t="shared" ca="1" si="161"/>
        <v>2</v>
      </c>
      <c r="AS535" s="68">
        <f ca="1">IFERROR(__xludf.DUMMYFUNCTION("""COMPUTED_VALUE"""),43885.9986111111)</f>
        <v>43885.998611111099</v>
      </c>
      <c r="AT535" s="6">
        <f ca="1">IFERROR(__xludf.DUMMYFUNCTION("""COMPUTED_VALUE"""),1676.6)</f>
        <v>1676.6</v>
      </c>
    </row>
    <row r="536" spans="2:46" x14ac:dyDescent="0.35">
      <c r="B536" s="6" t="str">
        <f t="shared" ca="1" si="144"/>
        <v>20202</v>
      </c>
      <c r="C536" s="6">
        <f t="shared" ca="1" si="145"/>
        <v>2020</v>
      </c>
      <c r="D536" s="6">
        <f t="shared" ca="1" si="146"/>
        <v>2</v>
      </c>
      <c r="E536" s="68">
        <f ca="1">IFERROR(__xludf.DUMMYFUNCTION("""COMPUTED_VALUE"""),43874.6666666666)</f>
        <v>43874.666666666599</v>
      </c>
      <c r="F536" s="6">
        <f ca="1">IFERROR(__xludf.DUMMYFUNCTION("""COMPUTED_VALUE"""),3373.94)</f>
        <v>3373.94</v>
      </c>
      <c r="J536" s="6" t="str">
        <f t="shared" ca="1" si="147"/>
        <v>20202</v>
      </c>
      <c r="K536" s="6">
        <f t="shared" ca="1" si="148"/>
        <v>2020</v>
      </c>
      <c r="L536" s="6">
        <f t="shared" ca="1" si="149"/>
        <v>2</v>
      </c>
      <c r="M536" s="68">
        <f ca="1">IFERROR(__xludf.DUMMYFUNCTION("""COMPUTED_VALUE"""),43868.6666666666)</f>
        <v>43868.666666666599</v>
      </c>
      <c r="N536" s="6">
        <f ca="1">IFERROR(__xludf.DUMMYFUNCTION("""COMPUTED_VALUE"""),9520.51)</f>
        <v>9520.51</v>
      </c>
      <c r="R536" s="6" t="str">
        <f t="shared" ca="1" si="150"/>
        <v>20203</v>
      </c>
      <c r="S536" s="6">
        <f t="shared" ca="1" si="151"/>
        <v>2020</v>
      </c>
      <c r="T536" s="6">
        <f t="shared" ca="1" si="152"/>
        <v>3</v>
      </c>
      <c r="U536" s="68">
        <f ca="1">IFERROR(__xludf.DUMMYFUNCTION("""COMPUTED_VALUE"""),43900.6458333333)</f>
        <v>43900.645833333299</v>
      </c>
      <c r="V536" s="6">
        <f ca="1">IFERROR(__xludf.DUMMYFUNCTION("""COMPUTED_VALUE"""),1962.93)</f>
        <v>1962.93</v>
      </c>
      <c r="Z536" s="6" t="str">
        <f t="shared" ca="1" si="153"/>
        <v>20197</v>
      </c>
      <c r="AA536" s="6">
        <f t="shared" ca="1" si="154"/>
        <v>2019</v>
      </c>
      <c r="AB536" s="6">
        <f t="shared" ca="1" si="155"/>
        <v>7</v>
      </c>
      <c r="AC536" s="68">
        <f ca="1">IFERROR(__xludf.DUMMYFUNCTION("""COMPUTED_VALUE"""),43663.9986111111)</f>
        <v>43663.998611111099</v>
      </c>
      <c r="AD536" s="6">
        <f ca="1">IFERROR(__xludf.DUMMYFUNCTION("""COMPUTED_VALUE"""),1178.69)</f>
        <v>1178.69</v>
      </c>
      <c r="AH536" s="6" t="str">
        <f t="shared" ca="1" si="156"/>
        <v>20196</v>
      </c>
      <c r="AI536" s="6">
        <f t="shared" ca="1" si="157"/>
        <v>2019</v>
      </c>
      <c r="AJ536" s="6">
        <f t="shared" ca="1" si="158"/>
        <v>6</v>
      </c>
      <c r="AK536" s="68">
        <f ca="1">IFERROR(__xludf.DUMMYFUNCTION("""COMPUTED_VALUE"""),43628.9986111111)</f>
        <v>43628.998611111099</v>
      </c>
      <c r="AL536" s="6">
        <f ca="1">IFERROR(__xludf.DUMMYFUNCTION("""COMPUTED_VALUE"""),8161.967)</f>
        <v>8161.9669999999996</v>
      </c>
      <c r="AP536" s="6" t="str">
        <f t="shared" ca="1" si="159"/>
        <v>20202</v>
      </c>
      <c r="AQ536" s="6">
        <f t="shared" ca="1" si="160"/>
        <v>2020</v>
      </c>
      <c r="AR536" s="6">
        <f t="shared" ca="1" si="161"/>
        <v>2</v>
      </c>
      <c r="AS536" s="68">
        <f ca="1">IFERROR(__xludf.DUMMYFUNCTION("""COMPUTED_VALUE"""),43886.9986111111)</f>
        <v>43886.998611111099</v>
      </c>
      <c r="AT536" s="6">
        <f ca="1">IFERROR(__xludf.DUMMYFUNCTION("""COMPUTED_VALUE"""),1650)</f>
        <v>1650</v>
      </c>
    </row>
    <row r="537" spans="2:46" x14ac:dyDescent="0.35">
      <c r="B537" s="6" t="str">
        <f t="shared" ca="1" si="144"/>
        <v>20202</v>
      </c>
      <c r="C537" s="6">
        <f t="shared" ca="1" si="145"/>
        <v>2020</v>
      </c>
      <c r="D537" s="6">
        <f t="shared" ca="1" si="146"/>
        <v>2</v>
      </c>
      <c r="E537" s="68">
        <f ca="1">IFERROR(__xludf.DUMMYFUNCTION("""COMPUTED_VALUE"""),43875.6666666666)</f>
        <v>43875.666666666599</v>
      </c>
      <c r="F537" s="6">
        <f ca="1">IFERROR(__xludf.DUMMYFUNCTION("""COMPUTED_VALUE"""),3380.16)</f>
        <v>3380.16</v>
      </c>
      <c r="J537" s="6" t="str">
        <f t="shared" ca="1" si="147"/>
        <v>20202</v>
      </c>
      <c r="K537" s="6">
        <f t="shared" ca="1" si="148"/>
        <v>2020</v>
      </c>
      <c r="L537" s="6">
        <f t="shared" ca="1" si="149"/>
        <v>2</v>
      </c>
      <c r="M537" s="68">
        <f ca="1">IFERROR(__xludf.DUMMYFUNCTION("""COMPUTED_VALUE"""),43871.6666666666)</f>
        <v>43871.666666666599</v>
      </c>
      <c r="N537" s="6">
        <f ca="1">IFERROR(__xludf.DUMMYFUNCTION("""COMPUTED_VALUE"""),9628.39)</f>
        <v>9628.39</v>
      </c>
      <c r="R537" s="6" t="str">
        <f t="shared" ca="1" si="150"/>
        <v>20203</v>
      </c>
      <c r="S537" s="6">
        <f t="shared" ca="1" si="151"/>
        <v>2020</v>
      </c>
      <c r="T537" s="6">
        <f t="shared" ca="1" si="152"/>
        <v>3</v>
      </c>
      <c r="U537" s="68">
        <f ca="1">IFERROR(__xludf.DUMMYFUNCTION("""COMPUTED_VALUE"""),43901.6458333333)</f>
        <v>43901.645833333299</v>
      </c>
      <c r="V537" s="6">
        <f ca="1">IFERROR(__xludf.DUMMYFUNCTION("""COMPUTED_VALUE"""),1908.27)</f>
        <v>1908.27</v>
      </c>
      <c r="Z537" s="6" t="str">
        <f t="shared" ca="1" si="153"/>
        <v>20197</v>
      </c>
      <c r="AA537" s="6">
        <f t="shared" ca="1" si="154"/>
        <v>2019</v>
      </c>
      <c r="AB537" s="6">
        <f t="shared" ca="1" si="155"/>
        <v>7</v>
      </c>
      <c r="AC537" s="68">
        <f ca="1">IFERROR(__xludf.DUMMYFUNCTION("""COMPUTED_VALUE"""),43664.9986111111)</f>
        <v>43664.998611111099</v>
      </c>
      <c r="AD537" s="6">
        <f ca="1">IFERROR(__xludf.DUMMYFUNCTION("""COMPUTED_VALUE"""),1170.77)</f>
        <v>1170.77</v>
      </c>
      <c r="AH537" s="6" t="str">
        <f t="shared" ca="1" si="156"/>
        <v>20196</v>
      </c>
      <c r="AI537" s="6">
        <f t="shared" ca="1" si="157"/>
        <v>2019</v>
      </c>
      <c r="AJ537" s="6">
        <f t="shared" ca="1" si="158"/>
        <v>6</v>
      </c>
      <c r="AK537" s="68">
        <f ca="1">IFERROR(__xludf.DUMMYFUNCTION("""COMPUTED_VALUE"""),43629.9986111111)</f>
        <v>43629.998611111099</v>
      </c>
      <c r="AL537" s="6">
        <f ca="1">IFERROR(__xludf.DUMMYFUNCTION("""COMPUTED_VALUE"""),8231.103)</f>
        <v>8231.1029999999992</v>
      </c>
      <c r="AP537" s="6" t="str">
        <f t="shared" ca="1" si="159"/>
        <v>20202</v>
      </c>
      <c r="AQ537" s="6">
        <f t="shared" ca="1" si="160"/>
        <v>2020</v>
      </c>
      <c r="AR537" s="6">
        <f t="shared" ca="1" si="161"/>
        <v>2</v>
      </c>
      <c r="AS537" s="68">
        <f ca="1">IFERROR(__xludf.DUMMYFUNCTION("""COMPUTED_VALUE"""),43887.9986111111)</f>
        <v>43887.998611111099</v>
      </c>
      <c r="AT537" s="6">
        <f ca="1">IFERROR(__xludf.DUMMYFUNCTION("""COMPUTED_VALUE"""),1643.1)</f>
        <v>1643.1</v>
      </c>
    </row>
    <row r="538" spans="2:46" x14ac:dyDescent="0.35">
      <c r="B538" s="6" t="str">
        <f t="shared" ca="1" si="144"/>
        <v>20202</v>
      </c>
      <c r="C538" s="6">
        <f t="shared" ca="1" si="145"/>
        <v>2020</v>
      </c>
      <c r="D538" s="6">
        <f t="shared" ca="1" si="146"/>
        <v>2</v>
      </c>
      <c r="E538" s="68">
        <f ca="1">IFERROR(__xludf.DUMMYFUNCTION("""COMPUTED_VALUE"""),43879.6666666666)</f>
        <v>43879.666666666599</v>
      </c>
      <c r="F538" s="6">
        <f ca="1">IFERROR(__xludf.DUMMYFUNCTION("""COMPUTED_VALUE"""),3370.29)</f>
        <v>3370.29</v>
      </c>
      <c r="J538" s="6" t="str">
        <f t="shared" ca="1" si="147"/>
        <v>20202</v>
      </c>
      <c r="K538" s="6">
        <f t="shared" ca="1" si="148"/>
        <v>2020</v>
      </c>
      <c r="L538" s="6">
        <f t="shared" ca="1" si="149"/>
        <v>2</v>
      </c>
      <c r="M538" s="68">
        <f ca="1">IFERROR(__xludf.DUMMYFUNCTION("""COMPUTED_VALUE"""),43872.6666666666)</f>
        <v>43872.666666666599</v>
      </c>
      <c r="N538" s="6">
        <f ca="1">IFERROR(__xludf.DUMMYFUNCTION("""COMPUTED_VALUE"""),9638.94)</f>
        <v>9638.94</v>
      </c>
      <c r="R538" s="6" t="str">
        <f t="shared" ca="1" si="150"/>
        <v>20203</v>
      </c>
      <c r="S538" s="6">
        <f t="shared" ca="1" si="151"/>
        <v>2020</v>
      </c>
      <c r="T538" s="6">
        <f t="shared" ca="1" si="152"/>
        <v>3</v>
      </c>
      <c r="U538" s="68">
        <f ca="1">IFERROR(__xludf.DUMMYFUNCTION("""COMPUTED_VALUE"""),43902.6458333333)</f>
        <v>43902.645833333299</v>
      </c>
      <c r="V538" s="6">
        <f ca="1">IFERROR(__xludf.DUMMYFUNCTION("""COMPUTED_VALUE"""),1834.33)</f>
        <v>1834.33</v>
      </c>
      <c r="Z538" s="6" t="str">
        <f t="shared" ca="1" si="153"/>
        <v>20197</v>
      </c>
      <c r="AA538" s="6">
        <f t="shared" ca="1" si="154"/>
        <v>2019</v>
      </c>
      <c r="AB538" s="6">
        <f t="shared" ca="1" si="155"/>
        <v>7</v>
      </c>
      <c r="AC538" s="68">
        <f ca="1">IFERROR(__xludf.DUMMYFUNCTION("""COMPUTED_VALUE"""),43665.9986111111)</f>
        <v>43665.998611111099</v>
      </c>
      <c r="AD538" s="6">
        <f ca="1">IFERROR(__xludf.DUMMYFUNCTION("""COMPUTED_VALUE"""),1175.1)</f>
        <v>1175.0999999999999</v>
      </c>
      <c r="AH538" s="6" t="str">
        <f t="shared" ca="1" si="156"/>
        <v>20196</v>
      </c>
      <c r="AI538" s="6">
        <f t="shared" ca="1" si="157"/>
        <v>2019</v>
      </c>
      <c r="AJ538" s="6">
        <f t="shared" ca="1" si="158"/>
        <v>6</v>
      </c>
      <c r="AK538" s="68">
        <f ca="1">IFERROR(__xludf.DUMMYFUNCTION("""COMPUTED_VALUE"""),43630.9986111111)</f>
        <v>43630.998611111099</v>
      </c>
      <c r="AL538" s="6">
        <f ca="1">IFERROR(__xludf.DUMMYFUNCTION("""COMPUTED_VALUE"""),8693.585)</f>
        <v>8693.5849999999991</v>
      </c>
      <c r="AP538" s="6" t="str">
        <f t="shared" ca="1" si="159"/>
        <v>20202</v>
      </c>
      <c r="AQ538" s="6">
        <f t="shared" ca="1" si="160"/>
        <v>2020</v>
      </c>
      <c r="AR538" s="6">
        <f t="shared" ca="1" si="161"/>
        <v>2</v>
      </c>
      <c r="AS538" s="68">
        <f ca="1">IFERROR(__xludf.DUMMYFUNCTION("""COMPUTED_VALUE"""),43888.9986111111)</f>
        <v>43888.998611111099</v>
      </c>
      <c r="AT538" s="6">
        <f ca="1">IFERROR(__xludf.DUMMYFUNCTION("""COMPUTED_VALUE"""),1642.5)</f>
        <v>1642.5</v>
      </c>
    </row>
    <row r="539" spans="2:46" x14ac:dyDescent="0.35">
      <c r="B539" s="6" t="str">
        <f t="shared" ca="1" si="144"/>
        <v>20202</v>
      </c>
      <c r="C539" s="6">
        <f t="shared" ca="1" si="145"/>
        <v>2020</v>
      </c>
      <c r="D539" s="6">
        <f t="shared" ca="1" si="146"/>
        <v>2</v>
      </c>
      <c r="E539" s="68">
        <f ca="1">IFERROR(__xludf.DUMMYFUNCTION("""COMPUTED_VALUE"""),43880.6666666666)</f>
        <v>43880.666666666599</v>
      </c>
      <c r="F539" s="6">
        <f ca="1">IFERROR(__xludf.DUMMYFUNCTION("""COMPUTED_VALUE"""),3386.15)</f>
        <v>3386.15</v>
      </c>
      <c r="J539" s="6" t="str">
        <f t="shared" ca="1" si="147"/>
        <v>20202</v>
      </c>
      <c r="K539" s="6">
        <f t="shared" ca="1" si="148"/>
        <v>2020</v>
      </c>
      <c r="L539" s="6">
        <f t="shared" ca="1" si="149"/>
        <v>2</v>
      </c>
      <c r="M539" s="68">
        <f ca="1">IFERROR(__xludf.DUMMYFUNCTION("""COMPUTED_VALUE"""),43873.6666666666)</f>
        <v>43873.666666666599</v>
      </c>
      <c r="N539" s="6">
        <f ca="1">IFERROR(__xludf.DUMMYFUNCTION("""COMPUTED_VALUE"""),9725.96)</f>
        <v>9725.9599999999991</v>
      </c>
      <c r="R539" s="6" t="str">
        <f t="shared" ca="1" si="150"/>
        <v>20203</v>
      </c>
      <c r="S539" s="6">
        <f t="shared" ca="1" si="151"/>
        <v>2020</v>
      </c>
      <c r="T539" s="6">
        <f t="shared" ca="1" si="152"/>
        <v>3</v>
      </c>
      <c r="U539" s="68">
        <f ca="1">IFERROR(__xludf.DUMMYFUNCTION("""COMPUTED_VALUE"""),43903.6458333333)</f>
        <v>43903.645833333299</v>
      </c>
      <c r="V539" s="6">
        <f ca="1">IFERROR(__xludf.DUMMYFUNCTION("""COMPUTED_VALUE"""),1771.44)</f>
        <v>1771.44</v>
      </c>
      <c r="Z539" s="6" t="str">
        <f t="shared" ca="1" si="153"/>
        <v>20197</v>
      </c>
      <c r="AA539" s="6">
        <f t="shared" ca="1" si="154"/>
        <v>2019</v>
      </c>
      <c r="AB539" s="6">
        <f t="shared" ca="1" si="155"/>
        <v>7</v>
      </c>
      <c r="AC539" s="68">
        <f ca="1">IFERROR(__xludf.DUMMYFUNCTION("""COMPUTED_VALUE"""),43666.9986111111)</f>
        <v>43666.998611111099</v>
      </c>
      <c r="AD539" s="6">
        <f ca="1">IFERROR(__xludf.DUMMYFUNCTION("""COMPUTED_VALUE"""),1174.2)</f>
        <v>1174.2</v>
      </c>
      <c r="AH539" s="6" t="str">
        <f t="shared" ca="1" si="156"/>
        <v>20196</v>
      </c>
      <c r="AI539" s="6">
        <f t="shared" ca="1" si="157"/>
        <v>2019</v>
      </c>
      <c r="AJ539" s="6">
        <f t="shared" ca="1" si="158"/>
        <v>6</v>
      </c>
      <c r="AK539" s="68">
        <f ca="1">IFERROR(__xludf.DUMMYFUNCTION("""COMPUTED_VALUE"""),43631.9986111111)</f>
        <v>43631.998611111099</v>
      </c>
      <c r="AL539" s="6">
        <f ca="1">IFERROR(__xludf.DUMMYFUNCTION("""COMPUTED_VALUE"""),8852.57)</f>
        <v>8852.57</v>
      </c>
      <c r="AP539" s="6" t="str">
        <f t="shared" ca="1" si="159"/>
        <v>20202</v>
      </c>
      <c r="AQ539" s="6">
        <f t="shared" ca="1" si="160"/>
        <v>2020</v>
      </c>
      <c r="AR539" s="6">
        <f t="shared" ca="1" si="161"/>
        <v>2</v>
      </c>
      <c r="AS539" s="68">
        <f ca="1">IFERROR(__xludf.DUMMYFUNCTION("""COMPUTED_VALUE"""),43889.9986111111)</f>
        <v>43889.998611111099</v>
      </c>
      <c r="AT539" s="6">
        <f ca="1">IFERROR(__xludf.DUMMYFUNCTION("""COMPUTED_VALUE"""),1566.7)</f>
        <v>1566.7</v>
      </c>
    </row>
    <row r="540" spans="2:46" x14ac:dyDescent="0.35">
      <c r="B540" s="6" t="str">
        <f t="shared" ca="1" si="144"/>
        <v>20202</v>
      </c>
      <c r="C540" s="6">
        <f t="shared" ca="1" si="145"/>
        <v>2020</v>
      </c>
      <c r="D540" s="6">
        <f t="shared" ca="1" si="146"/>
        <v>2</v>
      </c>
      <c r="E540" s="68">
        <f ca="1">IFERROR(__xludf.DUMMYFUNCTION("""COMPUTED_VALUE"""),43881.6666666666)</f>
        <v>43881.666666666599</v>
      </c>
      <c r="F540" s="6">
        <f ca="1">IFERROR(__xludf.DUMMYFUNCTION("""COMPUTED_VALUE"""),3373.23)</f>
        <v>3373.23</v>
      </c>
      <c r="J540" s="6" t="str">
        <f t="shared" ca="1" si="147"/>
        <v>20202</v>
      </c>
      <c r="K540" s="6">
        <f t="shared" ca="1" si="148"/>
        <v>2020</v>
      </c>
      <c r="L540" s="6">
        <f t="shared" ca="1" si="149"/>
        <v>2</v>
      </c>
      <c r="M540" s="68">
        <f ca="1">IFERROR(__xludf.DUMMYFUNCTION("""COMPUTED_VALUE"""),43874.6666666666)</f>
        <v>43874.666666666599</v>
      </c>
      <c r="N540" s="6">
        <f ca="1">IFERROR(__xludf.DUMMYFUNCTION("""COMPUTED_VALUE"""),9711.97)</f>
        <v>9711.9699999999993</v>
      </c>
      <c r="R540" s="6" t="str">
        <f t="shared" ca="1" si="150"/>
        <v>20203</v>
      </c>
      <c r="S540" s="6">
        <f t="shared" ca="1" si="151"/>
        <v>2020</v>
      </c>
      <c r="T540" s="6">
        <f t="shared" ca="1" si="152"/>
        <v>3</v>
      </c>
      <c r="U540" s="68">
        <f ca="1">IFERROR(__xludf.DUMMYFUNCTION("""COMPUTED_VALUE"""),43906.6458333333)</f>
        <v>43906.645833333299</v>
      </c>
      <c r="V540" s="6">
        <f ca="1">IFERROR(__xludf.DUMMYFUNCTION("""COMPUTED_VALUE"""),1714.86)</f>
        <v>1714.86</v>
      </c>
      <c r="Z540" s="6" t="str">
        <f t="shared" ca="1" si="153"/>
        <v>20197</v>
      </c>
      <c r="AA540" s="6">
        <f t="shared" ca="1" si="154"/>
        <v>2019</v>
      </c>
      <c r="AB540" s="6">
        <f t="shared" ca="1" si="155"/>
        <v>7</v>
      </c>
      <c r="AC540" s="68">
        <f ca="1">IFERROR(__xludf.DUMMYFUNCTION("""COMPUTED_VALUE"""),43667.9986111111)</f>
        <v>43667.998611111099</v>
      </c>
      <c r="AD540" s="6">
        <f ca="1">IFERROR(__xludf.DUMMYFUNCTION("""COMPUTED_VALUE"""),1175.11)</f>
        <v>1175.1099999999999</v>
      </c>
      <c r="AH540" s="6" t="str">
        <f t="shared" ca="1" si="156"/>
        <v>20196</v>
      </c>
      <c r="AI540" s="6">
        <f t="shared" ca="1" si="157"/>
        <v>2019</v>
      </c>
      <c r="AJ540" s="6">
        <f t="shared" ca="1" si="158"/>
        <v>6</v>
      </c>
      <c r="AK540" s="68">
        <f ca="1">IFERROR(__xludf.DUMMYFUNCTION("""COMPUTED_VALUE"""),43632.9986111111)</f>
        <v>43632.998611111099</v>
      </c>
      <c r="AL540" s="6">
        <f ca="1">IFERROR(__xludf.DUMMYFUNCTION("""COMPUTED_VALUE"""),8973.007)</f>
        <v>8973.0069999999996</v>
      </c>
      <c r="AP540" s="6" t="str">
        <f t="shared" ca="1" si="159"/>
        <v>20203</v>
      </c>
      <c r="AQ540" s="6">
        <f t="shared" ca="1" si="160"/>
        <v>2020</v>
      </c>
      <c r="AR540" s="6">
        <f t="shared" ca="1" si="161"/>
        <v>3</v>
      </c>
      <c r="AS540" s="68">
        <f ca="1">IFERROR(__xludf.DUMMYFUNCTION("""COMPUTED_VALUE"""),43892.9986111111)</f>
        <v>43892.998611111099</v>
      </c>
      <c r="AT540" s="6">
        <f ca="1">IFERROR(__xludf.DUMMYFUNCTION("""COMPUTED_VALUE"""),1594.8)</f>
        <v>1594.8</v>
      </c>
    </row>
    <row r="541" spans="2:46" x14ac:dyDescent="0.35">
      <c r="B541" s="6" t="str">
        <f t="shared" ca="1" si="144"/>
        <v>20202</v>
      </c>
      <c r="C541" s="6">
        <f t="shared" ca="1" si="145"/>
        <v>2020</v>
      </c>
      <c r="D541" s="6">
        <f t="shared" ca="1" si="146"/>
        <v>2</v>
      </c>
      <c r="E541" s="68">
        <f ca="1">IFERROR(__xludf.DUMMYFUNCTION("""COMPUTED_VALUE"""),43882.6666666666)</f>
        <v>43882.666666666599</v>
      </c>
      <c r="F541" s="6">
        <f ca="1">IFERROR(__xludf.DUMMYFUNCTION("""COMPUTED_VALUE"""),3337.75)</f>
        <v>3337.75</v>
      </c>
      <c r="J541" s="6" t="str">
        <f t="shared" ca="1" si="147"/>
        <v>20202</v>
      </c>
      <c r="K541" s="6">
        <f t="shared" ca="1" si="148"/>
        <v>2020</v>
      </c>
      <c r="L541" s="6">
        <f t="shared" ca="1" si="149"/>
        <v>2</v>
      </c>
      <c r="M541" s="68">
        <f ca="1">IFERROR(__xludf.DUMMYFUNCTION("""COMPUTED_VALUE"""),43875.6666666666)</f>
        <v>43875.666666666599</v>
      </c>
      <c r="N541" s="6">
        <f ca="1">IFERROR(__xludf.DUMMYFUNCTION("""COMPUTED_VALUE"""),9731.18)</f>
        <v>9731.18</v>
      </c>
      <c r="R541" s="6" t="str">
        <f t="shared" ca="1" si="150"/>
        <v>20203</v>
      </c>
      <c r="S541" s="6">
        <f t="shared" ca="1" si="151"/>
        <v>2020</v>
      </c>
      <c r="T541" s="6">
        <f t="shared" ca="1" si="152"/>
        <v>3</v>
      </c>
      <c r="U541" s="68">
        <f ca="1">IFERROR(__xludf.DUMMYFUNCTION("""COMPUTED_VALUE"""),43907.6458333333)</f>
        <v>43907.645833333299</v>
      </c>
      <c r="V541" s="6">
        <f ca="1">IFERROR(__xludf.DUMMYFUNCTION("""COMPUTED_VALUE"""),1672.44)</f>
        <v>1672.44</v>
      </c>
      <c r="Z541" s="6" t="str">
        <f t="shared" ca="1" si="153"/>
        <v>20197</v>
      </c>
      <c r="AA541" s="6">
        <f t="shared" ca="1" si="154"/>
        <v>2019</v>
      </c>
      <c r="AB541" s="6">
        <f t="shared" ca="1" si="155"/>
        <v>7</v>
      </c>
      <c r="AC541" s="68">
        <f ca="1">IFERROR(__xludf.DUMMYFUNCTION("""COMPUTED_VALUE"""),43668.9986111111)</f>
        <v>43668.998611111099</v>
      </c>
      <c r="AD541" s="6">
        <f ca="1">IFERROR(__xludf.DUMMYFUNCTION("""COMPUTED_VALUE"""),1174.76)</f>
        <v>1174.76</v>
      </c>
      <c r="AH541" s="6" t="str">
        <f t="shared" ca="1" si="156"/>
        <v>20196</v>
      </c>
      <c r="AI541" s="6">
        <f t="shared" ca="1" si="157"/>
        <v>2019</v>
      </c>
      <c r="AJ541" s="6">
        <f t="shared" ca="1" si="158"/>
        <v>6</v>
      </c>
      <c r="AK541" s="68">
        <f ca="1">IFERROR(__xludf.DUMMYFUNCTION("""COMPUTED_VALUE"""),43633.9986111111)</f>
        <v>43633.998611111099</v>
      </c>
      <c r="AL541" s="6">
        <f ca="1">IFERROR(__xludf.DUMMYFUNCTION("""COMPUTED_VALUE"""),9331.599)</f>
        <v>9331.5990000000002</v>
      </c>
      <c r="AP541" s="6" t="str">
        <f t="shared" ca="1" si="159"/>
        <v>20203</v>
      </c>
      <c r="AQ541" s="6">
        <f t="shared" ca="1" si="160"/>
        <v>2020</v>
      </c>
      <c r="AR541" s="6">
        <f t="shared" ca="1" si="161"/>
        <v>3</v>
      </c>
      <c r="AS541" s="68">
        <f ca="1">IFERROR(__xludf.DUMMYFUNCTION("""COMPUTED_VALUE"""),43893.9986111111)</f>
        <v>43893.998611111099</v>
      </c>
      <c r="AT541" s="6">
        <f ca="1">IFERROR(__xludf.DUMMYFUNCTION("""COMPUTED_VALUE"""),1644.4)</f>
        <v>1644.4</v>
      </c>
    </row>
    <row r="542" spans="2:46" x14ac:dyDescent="0.35">
      <c r="B542" s="6" t="str">
        <f t="shared" ca="1" si="144"/>
        <v>20202</v>
      </c>
      <c r="C542" s="6">
        <f t="shared" ca="1" si="145"/>
        <v>2020</v>
      </c>
      <c r="D542" s="6">
        <f t="shared" ca="1" si="146"/>
        <v>2</v>
      </c>
      <c r="E542" s="68">
        <f ca="1">IFERROR(__xludf.DUMMYFUNCTION("""COMPUTED_VALUE"""),43885.6666666666)</f>
        <v>43885.666666666599</v>
      </c>
      <c r="F542" s="6">
        <f ca="1">IFERROR(__xludf.DUMMYFUNCTION("""COMPUTED_VALUE"""),3225.89)</f>
        <v>3225.89</v>
      </c>
      <c r="J542" s="6" t="str">
        <f t="shared" ca="1" si="147"/>
        <v>20202</v>
      </c>
      <c r="K542" s="6">
        <f t="shared" ca="1" si="148"/>
        <v>2020</v>
      </c>
      <c r="L542" s="6">
        <f t="shared" ca="1" si="149"/>
        <v>2</v>
      </c>
      <c r="M542" s="68">
        <f ca="1">IFERROR(__xludf.DUMMYFUNCTION("""COMPUTED_VALUE"""),43879.6666666666)</f>
        <v>43879.666666666599</v>
      </c>
      <c r="N542" s="6">
        <f ca="1">IFERROR(__xludf.DUMMYFUNCTION("""COMPUTED_VALUE"""),9732.74)</f>
        <v>9732.74</v>
      </c>
      <c r="R542" s="6" t="str">
        <f t="shared" ca="1" si="150"/>
        <v>20203</v>
      </c>
      <c r="S542" s="6">
        <f t="shared" ca="1" si="151"/>
        <v>2020</v>
      </c>
      <c r="T542" s="6">
        <f t="shared" ca="1" si="152"/>
        <v>3</v>
      </c>
      <c r="U542" s="68">
        <f ca="1">IFERROR(__xludf.DUMMYFUNCTION("""COMPUTED_VALUE"""),43908.6458333333)</f>
        <v>43908.645833333299</v>
      </c>
      <c r="V542" s="6">
        <f ca="1">IFERROR(__xludf.DUMMYFUNCTION("""COMPUTED_VALUE"""),1591.2)</f>
        <v>1591.2</v>
      </c>
      <c r="Z542" s="6" t="str">
        <f t="shared" ca="1" si="153"/>
        <v>20197</v>
      </c>
      <c r="AA542" s="6">
        <f t="shared" ca="1" si="154"/>
        <v>2019</v>
      </c>
      <c r="AB542" s="6">
        <f t="shared" ca="1" si="155"/>
        <v>7</v>
      </c>
      <c r="AC542" s="68">
        <f ca="1">IFERROR(__xludf.DUMMYFUNCTION("""COMPUTED_VALUE"""),43669.9986111111)</f>
        <v>43669.998611111099</v>
      </c>
      <c r="AD542" s="6">
        <f ca="1">IFERROR(__xludf.DUMMYFUNCTION("""COMPUTED_VALUE"""),1176.8)</f>
        <v>1176.8</v>
      </c>
      <c r="AH542" s="6" t="str">
        <f t="shared" ca="1" si="156"/>
        <v>20196</v>
      </c>
      <c r="AI542" s="6">
        <f t="shared" ca="1" si="157"/>
        <v>2019</v>
      </c>
      <c r="AJ542" s="6">
        <f t="shared" ca="1" si="158"/>
        <v>6</v>
      </c>
      <c r="AK542" s="68">
        <f ca="1">IFERROR(__xludf.DUMMYFUNCTION("""COMPUTED_VALUE"""),43634.9986111111)</f>
        <v>43634.998611111099</v>
      </c>
      <c r="AL542" s="6">
        <f ca="1">IFERROR(__xludf.DUMMYFUNCTION("""COMPUTED_VALUE"""),9074.902)</f>
        <v>9074.902</v>
      </c>
      <c r="AP542" s="6" t="str">
        <f t="shared" ca="1" si="159"/>
        <v>20203</v>
      </c>
      <c r="AQ542" s="6">
        <f t="shared" ca="1" si="160"/>
        <v>2020</v>
      </c>
      <c r="AR542" s="6">
        <f t="shared" ca="1" si="161"/>
        <v>3</v>
      </c>
      <c r="AS542" s="68">
        <f ca="1">IFERROR(__xludf.DUMMYFUNCTION("""COMPUTED_VALUE"""),43894.9986111111)</f>
        <v>43894.998611111099</v>
      </c>
      <c r="AT542" s="6">
        <f ca="1">IFERROR(__xludf.DUMMYFUNCTION("""COMPUTED_VALUE"""),1643)</f>
        <v>1643</v>
      </c>
    </row>
    <row r="543" spans="2:46" x14ac:dyDescent="0.35">
      <c r="B543" s="6" t="str">
        <f t="shared" ca="1" si="144"/>
        <v>20202</v>
      </c>
      <c r="C543" s="6">
        <f t="shared" ca="1" si="145"/>
        <v>2020</v>
      </c>
      <c r="D543" s="6">
        <f t="shared" ca="1" si="146"/>
        <v>2</v>
      </c>
      <c r="E543" s="68">
        <f ca="1">IFERROR(__xludf.DUMMYFUNCTION("""COMPUTED_VALUE"""),43886.6666666666)</f>
        <v>43886.666666666599</v>
      </c>
      <c r="F543" s="6">
        <f ca="1">IFERROR(__xludf.DUMMYFUNCTION("""COMPUTED_VALUE"""),3128.21)</f>
        <v>3128.21</v>
      </c>
      <c r="J543" s="6" t="str">
        <f t="shared" ca="1" si="147"/>
        <v>20202</v>
      </c>
      <c r="K543" s="6">
        <f t="shared" ca="1" si="148"/>
        <v>2020</v>
      </c>
      <c r="L543" s="6">
        <f t="shared" ca="1" si="149"/>
        <v>2</v>
      </c>
      <c r="M543" s="68">
        <f ca="1">IFERROR(__xludf.DUMMYFUNCTION("""COMPUTED_VALUE"""),43880.6666666666)</f>
        <v>43880.666666666599</v>
      </c>
      <c r="N543" s="6">
        <f ca="1">IFERROR(__xludf.DUMMYFUNCTION("""COMPUTED_VALUE"""),9817.18)</f>
        <v>9817.18</v>
      </c>
      <c r="R543" s="6" t="str">
        <f t="shared" ca="1" si="150"/>
        <v>20203</v>
      </c>
      <c r="S543" s="6">
        <f t="shared" ca="1" si="151"/>
        <v>2020</v>
      </c>
      <c r="T543" s="6">
        <f t="shared" ca="1" si="152"/>
        <v>3</v>
      </c>
      <c r="U543" s="68">
        <f ca="1">IFERROR(__xludf.DUMMYFUNCTION("""COMPUTED_VALUE"""),43909.6458333333)</f>
        <v>43909.645833333299</v>
      </c>
      <c r="V543" s="6">
        <f ca="1">IFERROR(__xludf.DUMMYFUNCTION("""COMPUTED_VALUE"""),1457.64)</f>
        <v>1457.64</v>
      </c>
      <c r="Z543" s="6" t="str">
        <f t="shared" ca="1" si="153"/>
        <v>20197</v>
      </c>
      <c r="AA543" s="6">
        <f t="shared" ca="1" si="154"/>
        <v>2019</v>
      </c>
      <c r="AB543" s="6">
        <f t="shared" ca="1" si="155"/>
        <v>7</v>
      </c>
      <c r="AC543" s="68">
        <f ca="1">IFERROR(__xludf.DUMMYFUNCTION("""COMPUTED_VALUE"""),43670.9986111111)</f>
        <v>43670.998611111099</v>
      </c>
      <c r="AD543" s="6">
        <f ca="1">IFERROR(__xludf.DUMMYFUNCTION("""COMPUTED_VALUE"""),1176.55)</f>
        <v>1176.55</v>
      </c>
      <c r="AH543" s="6" t="str">
        <f t="shared" ca="1" si="156"/>
        <v>20196</v>
      </c>
      <c r="AI543" s="6">
        <f t="shared" ca="1" si="157"/>
        <v>2019</v>
      </c>
      <c r="AJ543" s="6">
        <f t="shared" ca="1" si="158"/>
        <v>6</v>
      </c>
      <c r="AK543" s="68">
        <f ca="1">IFERROR(__xludf.DUMMYFUNCTION("""COMPUTED_VALUE"""),43635.9986111111)</f>
        <v>43635.998611111099</v>
      </c>
      <c r="AL543" s="6">
        <f ca="1">IFERROR(__xludf.DUMMYFUNCTION("""COMPUTED_VALUE"""),9276.275)</f>
        <v>9276.2749999999996</v>
      </c>
      <c r="AP543" s="6" t="str">
        <f t="shared" ca="1" si="159"/>
        <v>20203</v>
      </c>
      <c r="AQ543" s="6">
        <f t="shared" ca="1" si="160"/>
        <v>2020</v>
      </c>
      <c r="AR543" s="6">
        <f t="shared" ca="1" si="161"/>
        <v>3</v>
      </c>
      <c r="AS543" s="68">
        <f ca="1">IFERROR(__xludf.DUMMYFUNCTION("""COMPUTED_VALUE"""),43895.9986111111)</f>
        <v>43895.998611111099</v>
      </c>
      <c r="AT543" s="6">
        <f ca="1">IFERROR(__xludf.DUMMYFUNCTION("""COMPUTED_VALUE"""),1668)</f>
        <v>1668</v>
      </c>
    </row>
    <row r="544" spans="2:46" x14ac:dyDescent="0.35">
      <c r="B544" s="6" t="str">
        <f t="shared" ca="1" si="144"/>
        <v>20202</v>
      </c>
      <c r="C544" s="6">
        <f t="shared" ca="1" si="145"/>
        <v>2020</v>
      </c>
      <c r="D544" s="6">
        <f t="shared" ca="1" si="146"/>
        <v>2</v>
      </c>
      <c r="E544" s="68">
        <f ca="1">IFERROR(__xludf.DUMMYFUNCTION("""COMPUTED_VALUE"""),43887.6666666666)</f>
        <v>43887.666666666599</v>
      </c>
      <c r="F544" s="6">
        <f ca="1">IFERROR(__xludf.DUMMYFUNCTION("""COMPUTED_VALUE"""),3116.39)</f>
        <v>3116.39</v>
      </c>
      <c r="J544" s="6" t="str">
        <f t="shared" ca="1" si="147"/>
        <v>20202</v>
      </c>
      <c r="K544" s="6">
        <f t="shared" ca="1" si="148"/>
        <v>2020</v>
      </c>
      <c r="L544" s="6">
        <f t="shared" ca="1" si="149"/>
        <v>2</v>
      </c>
      <c r="M544" s="68">
        <f ca="1">IFERROR(__xludf.DUMMYFUNCTION("""COMPUTED_VALUE"""),43881.6666666666)</f>
        <v>43881.666666666599</v>
      </c>
      <c r="N544" s="6">
        <f ca="1">IFERROR(__xludf.DUMMYFUNCTION("""COMPUTED_VALUE"""),9750.97)</f>
        <v>9750.9699999999993</v>
      </c>
      <c r="R544" s="6" t="str">
        <f t="shared" ca="1" si="150"/>
        <v>20203</v>
      </c>
      <c r="S544" s="6">
        <f t="shared" ca="1" si="151"/>
        <v>2020</v>
      </c>
      <c r="T544" s="6">
        <f t="shared" ca="1" si="152"/>
        <v>3</v>
      </c>
      <c r="U544" s="68">
        <f ca="1">IFERROR(__xludf.DUMMYFUNCTION("""COMPUTED_VALUE"""),43910.6458333333)</f>
        <v>43910.645833333299</v>
      </c>
      <c r="V544" s="6">
        <f ca="1">IFERROR(__xludf.DUMMYFUNCTION("""COMPUTED_VALUE"""),1566.15)</f>
        <v>1566.15</v>
      </c>
      <c r="Z544" s="6" t="str">
        <f t="shared" ca="1" si="153"/>
        <v>20197</v>
      </c>
      <c r="AA544" s="6">
        <f t="shared" ca="1" si="154"/>
        <v>2019</v>
      </c>
      <c r="AB544" s="6">
        <f t="shared" ca="1" si="155"/>
        <v>7</v>
      </c>
      <c r="AC544" s="68">
        <f ca="1">IFERROR(__xludf.DUMMYFUNCTION("""COMPUTED_VALUE"""),43671.9986111111)</f>
        <v>43671.998611111099</v>
      </c>
      <c r="AD544" s="6">
        <f ca="1">IFERROR(__xludf.DUMMYFUNCTION("""COMPUTED_VALUE"""),1182.39)</f>
        <v>1182.3900000000001</v>
      </c>
      <c r="AH544" s="6" t="str">
        <f t="shared" ca="1" si="156"/>
        <v>20196</v>
      </c>
      <c r="AI544" s="6">
        <f t="shared" ca="1" si="157"/>
        <v>2019</v>
      </c>
      <c r="AJ544" s="6">
        <f t="shared" ca="1" si="158"/>
        <v>6</v>
      </c>
      <c r="AK544" s="68">
        <f ca="1">IFERROR(__xludf.DUMMYFUNCTION("""COMPUTED_VALUE"""),43636.9986111111)</f>
        <v>43636.998611111099</v>
      </c>
      <c r="AL544" s="6">
        <f ca="1">IFERROR(__xludf.DUMMYFUNCTION("""COMPUTED_VALUE"""),9534.129)</f>
        <v>9534.1290000000008</v>
      </c>
      <c r="AP544" s="6" t="str">
        <f t="shared" ca="1" si="159"/>
        <v>20203</v>
      </c>
      <c r="AQ544" s="6">
        <f t="shared" ca="1" si="160"/>
        <v>2020</v>
      </c>
      <c r="AR544" s="6">
        <f t="shared" ca="1" si="161"/>
        <v>3</v>
      </c>
      <c r="AS544" s="68">
        <f ca="1">IFERROR(__xludf.DUMMYFUNCTION("""COMPUTED_VALUE"""),43896.9986111111)</f>
        <v>43896.998611111099</v>
      </c>
      <c r="AT544" s="6">
        <f ca="1">IFERROR(__xludf.DUMMYFUNCTION("""COMPUTED_VALUE"""),1672.4)</f>
        <v>1672.4</v>
      </c>
    </row>
    <row r="545" spans="2:46" x14ac:dyDescent="0.35">
      <c r="B545" s="6" t="str">
        <f t="shared" ca="1" si="144"/>
        <v>20202</v>
      </c>
      <c r="C545" s="6">
        <f t="shared" ca="1" si="145"/>
        <v>2020</v>
      </c>
      <c r="D545" s="6">
        <f t="shared" ca="1" si="146"/>
        <v>2</v>
      </c>
      <c r="E545" s="68">
        <f ca="1">IFERROR(__xludf.DUMMYFUNCTION("""COMPUTED_VALUE"""),43888.6666666666)</f>
        <v>43888.666666666599</v>
      </c>
      <c r="F545" s="6">
        <f ca="1">IFERROR(__xludf.DUMMYFUNCTION("""COMPUTED_VALUE"""),2978.76)</f>
        <v>2978.76</v>
      </c>
      <c r="J545" s="6" t="str">
        <f t="shared" ca="1" si="147"/>
        <v>20202</v>
      </c>
      <c r="K545" s="6">
        <f t="shared" ca="1" si="148"/>
        <v>2020</v>
      </c>
      <c r="L545" s="6">
        <f t="shared" ca="1" si="149"/>
        <v>2</v>
      </c>
      <c r="M545" s="68">
        <f ca="1">IFERROR(__xludf.DUMMYFUNCTION("""COMPUTED_VALUE"""),43882.6666666666)</f>
        <v>43882.666666666599</v>
      </c>
      <c r="N545" s="6">
        <f ca="1">IFERROR(__xludf.DUMMYFUNCTION("""COMPUTED_VALUE"""),9576.59)</f>
        <v>9576.59</v>
      </c>
      <c r="R545" s="6" t="str">
        <f t="shared" ca="1" si="150"/>
        <v>20203</v>
      </c>
      <c r="S545" s="6">
        <f t="shared" ca="1" si="151"/>
        <v>2020</v>
      </c>
      <c r="T545" s="6">
        <f t="shared" ca="1" si="152"/>
        <v>3</v>
      </c>
      <c r="U545" s="68">
        <f ca="1">IFERROR(__xludf.DUMMYFUNCTION("""COMPUTED_VALUE"""),43913.6458333333)</f>
        <v>43913.645833333299</v>
      </c>
      <c r="V545" s="6">
        <f ca="1">IFERROR(__xludf.DUMMYFUNCTION("""COMPUTED_VALUE"""),1482.46)</f>
        <v>1482.46</v>
      </c>
      <c r="Z545" s="6" t="str">
        <f t="shared" ca="1" si="153"/>
        <v>20197</v>
      </c>
      <c r="AA545" s="6">
        <f t="shared" ca="1" si="154"/>
        <v>2019</v>
      </c>
      <c r="AB545" s="6">
        <f t="shared" ca="1" si="155"/>
        <v>7</v>
      </c>
      <c r="AC545" s="68">
        <f ca="1">IFERROR(__xludf.DUMMYFUNCTION("""COMPUTED_VALUE"""),43672.9986111111)</f>
        <v>43672.998611111099</v>
      </c>
      <c r="AD545" s="6">
        <f ca="1">IFERROR(__xludf.DUMMYFUNCTION("""COMPUTED_VALUE"""),1183.25)</f>
        <v>1183.25</v>
      </c>
      <c r="AH545" s="6" t="str">
        <f t="shared" ca="1" si="156"/>
        <v>20196</v>
      </c>
      <c r="AI545" s="6">
        <f t="shared" ca="1" si="157"/>
        <v>2019</v>
      </c>
      <c r="AJ545" s="6">
        <f t="shared" ca="1" si="158"/>
        <v>6</v>
      </c>
      <c r="AK545" s="68">
        <f ca="1">IFERROR(__xludf.DUMMYFUNCTION("""COMPUTED_VALUE"""),43637.9986111111)</f>
        <v>43637.998611111099</v>
      </c>
      <c r="AL545" s="6">
        <f ca="1">IFERROR(__xludf.DUMMYFUNCTION("""COMPUTED_VALUE"""),10210.77)</f>
        <v>10210.77</v>
      </c>
      <c r="AP545" s="6" t="str">
        <f t="shared" ca="1" si="159"/>
        <v>20203</v>
      </c>
      <c r="AQ545" s="6">
        <f t="shared" ca="1" si="160"/>
        <v>2020</v>
      </c>
      <c r="AR545" s="6">
        <f t="shared" ca="1" si="161"/>
        <v>3</v>
      </c>
      <c r="AS545" s="68">
        <f ca="1">IFERROR(__xludf.DUMMYFUNCTION("""COMPUTED_VALUE"""),43899.9986111111)</f>
        <v>43899.998611111099</v>
      </c>
      <c r="AT545" s="6">
        <f ca="1">IFERROR(__xludf.DUMMYFUNCTION("""COMPUTED_VALUE"""),1675.7)</f>
        <v>1675.7</v>
      </c>
    </row>
    <row r="546" spans="2:46" x14ac:dyDescent="0.35">
      <c r="B546" s="6" t="str">
        <f t="shared" ca="1" si="144"/>
        <v>20202</v>
      </c>
      <c r="C546" s="6">
        <f t="shared" ca="1" si="145"/>
        <v>2020</v>
      </c>
      <c r="D546" s="6">
        <f t="shared" ca="1" si="146"/>
        <v>2</v>
      </c>
      <c r="E546" s="68">
        <f ca="1">IFERROR(__xludf.DUMMYFUNCTION("""COMPUTED_VALUE"""),43889.6666666666)</f>
        <v>43889.666666666599</v>
      </c>
      <c r="F546" s="6">
        <f ca="1">IFERROR(__xludf.DUMMYFUNCTION("""COMPUTED_VALUE"""),2954.22)</f>
        <v>2954.22</v>
      </c>
      <c r="J546" s="6" t="str">
        <f t="shared" ca="1" si="147"/>
        <v>20202</v>
      </c>
      <c r="K546" s="6">
        <f t="shared" ca="1" si="148"/>
        <v>2020</v>
      </c>
      <c r="L546" s="6">
        <f t="shared" ca="1" si="149"/>
        <v>2</v>
      </c>
      <c r="M546" s="68">
        <f ca="1">IFERROR(__xludf.DUMMYFUNCTION("""COMPUTED_VALUE"""),43885.6666666666)</f>
        <v>43885.666666666599</v>
      </c>
      <c r="N546" s="6">
        <f ca="1">IFERROR(__xludf.DUMMYFUNCTION("""COMPUTED_VALUE"""),9221.28)</f>
        <v>9221.2800000000007</v>
      </c>
      <c r="R546" s="6" t="str">
        <f t="shared" ca="1" si="150"/>
        <v>20203</v>
      </c>
      <c r="S546" s="6">
        <f t="shared" ca="1" si="151"/>
        <v>2020</v>
      </c>
      <c r="T546" s="6">
        <f t="shared" ca="1" si="152"/>
        <v>3</v>
      </c>
      <c r="U546" s="68">
        <f ca="1">IFERROR(__xludf.DUMMYFUNCTION("""COMPUTED_VALUE"""),43914.6458333333)</f>
        <v>43914.645833333299</v>
      </c>
      <c r="V546" s="6">
        <f ca="1">IFERROR(__xludf.DUMMYFUNCTION("""COMPUTED_VALUE"""),1609.97)</f>
        <v>1609.97</v>
      </c>
      <c r="Z546" s="6" t="str">
        <f t="shared" ca="1" si="153"/>
        <v>20197</v>
      </c>
      <c r="AA546" s="6">
        <f t="shared" ca="1" si="154"/>
        <v>2019</v>
      </c>
      <c r="AB546" s="6">
        <f t="shared" ca="1" si="155"/>
        <v>7</v>
      </c>
      <c r="AC546" s="68">
        <f ca="1">IFERROR(__xludf.DUMMYFUNCTION("""COMPUTED_VALUE"""),43674.9986111111)</f>
        <v>43674.998611111099</v>
      </c>
      <c r="AD546" s="6">
        <f ca="1">IFERROR(__xludf.DUMMYFUNCTION("""COMPUTED_VALUE"""),1183.35)</f>
        <v>1183.3499999999999</v>
      </c>
      <c r="AH546" s="6" t="str">
        <f t="shared" ca="1" si="156"/>
        <v>20196</v>
      </c>
      <c r="AI546" s="6">
        <f t="shared" ca="1" si="157"/>
        <v>2019</v>
      </c>
      <c r="AJ546" s="6">
        <f t="shared" ca="1" si="158"/>
        <v>6</v>
      </c>
      <c r="AK546" s="68">
        <f ca="1">IFERROR(__xludf.DUMMYFUNCTION("""COMPUTED_VALUE"""),43638.9986111111)</f>
        <v>43638.998611111099</v>
      </c>
      <c r="AL546" s="6">
        <f ca="1">IFERROR(__xludf.DUMMYFUNCTION("""COMPUTED_VALUE"""),10703.1)</f>
        <v>10703.1</v>
      </c>
      <c r="AP546" s="6" t="str">
        <f t="shared" ca="1" si="159"/>
        <v>20203</v>
      </c>
      <c r="AQ546" s="6">
        <f t="shared" ca="1" si="160"/>
        <v>2020</v>
      </c>
      <c r="AR546" s="6">
        <f t="shared" ca="1" si="161"/>
        <v>3</v>
      </c>
      <c r="AS546" s="68">
        <f ca="1">IFERROR(__xludf.DUMMYFUNCTION("""COMPUTED_VALUE"""),43900.9986111111)</f>
        <v>43900.998611111099</v>
      </c>
      <c r="AT546" s="6">
        <f ca="1">IFERROR(__xludf.DUMMYFUNCTION("""COMPUTED_VALUE"""),1660.3)</f>
        <v>1660.3</v>
      </c>
    </row>
    <row r="547" spans="2:46" x14ac:dyDescent="0.35">
      <c r="B547" s="6" t="str">
        <f t="shared" ca="1" si="144"/>
        <v>20203</v>
      </c>
      <c r="C547" s="6">
        <f t="shared" ca="1" si="145"/>
        <v>2020</v>
      </c>
      <c r="D547" s="6">
        <f t="shared" ca="1" si="146"/>
        <v>3</v>
      </c>
      <c r="E547" s="68">
        <f ca="1">IFERROR(__xludf.DUMMYFUNCTION("""COMPUTED_VALUE"""),43892.6666666666)</f>
        <v>43892.666666666599</v>
      </c>
      <c r="F547" s="6">
        <f ca="1">IFERROR(__xludf.DUMMYFUNCTION("""COMPUTED_VALUE"""),3090.23)</f>
        <v>3090.23</v>
      </c>
      <c r="J547" s="6" t="str">
        <f t="shared" ca="1" si="147"/>
        <v>20202</v>
      </c>
      <c r="K547" s="6">
        <f t="shared" ca="1" si="148"/>
        <v>2020</v>
      </c>
      <c r="L547" s="6">
        <f t="shared" ca="1" si="149"/>
        <v>2</v>
      </c>
      <c r="M547" s="68">
        <f ca="1">IFERROR(__xludf.DUMMYFUNCTION("""COMPUTED_VALUE"""),43886.6666666666)</f>
        <v>43886.666666666599</v>
      </c>
      <c r="N547" s="6">
        <f ca="1">IFERROR(__xludf.DUMMYFUNCTION("""COMPUTED_VALUE"""),8965.61)</f>
        <v>8965.61</v>
      </c>
      <c r="R547" s="6" t="str">
        <f t="shared" ca="1" si="150"/>
        <v>20203</v>
      </c>
      <c r="S547" s="6">
        <f t="shared" ca="1" si="151"/>
        <v>2020</v>
      </c>
      <c r="T547" s="6">
        <f t="shared" ca="1" si="152"/>
        <v>3</v>
      </c>
      <c r="U547" s="68">
        <f ca="1">IFERROR(__xludf.DUMMYFUNCTION("""COMPUTED_VALUE"""),43915.6458333333)</f>
        <v>43915.645833333299</v>
      </c>
      <c r="V547" s="6">
        <f ca="1">IFERROR(__xludf.DUMMYFUNCTION("""COMPUTED_VALUE"""),1704.76)</f>
        <v>1704.76</v>
      </c>
      <c r="Z547" s="6" t="str">
        <f t="shared" ca="1" si="153"/>
        <v>20197</v>
      </c>
      <c r="AA547" s="6">
        <f t="shared" ca="1" si="154"/>
        <v>2019</v>
      </c>
      <c r="AB547" s="6">
        <f t="shared" ca="1" si="155"/>
        <v>7</v>
      </c>
      <c r="AC547" s="68">
        <f ca="1">IFERROR(__xludf.DUMMYFUNCTION("""COMPUTED_VALUE"""),43675.9986111111)</f>
        <v>43675.998611111099</v>
      </c>
      <c r="AD547" s="6">
        <f ca="1">IFERROR(__xludf.DUMMYFUNCTION("""COMPUTED_VALUE"""),1181.85)</f>
        <v>1181.8499999999999</v>
      </c>
      <c r="AH547" s="6" t="str">
        <f t="shared" ca="1" si="156"/>
        <v>20196</v>
      </c>
      <c r="AI547" s="6">
        <f t="shared" ca="1" si="157"/>
        <v>2019</v>
      </c>
      <c r="AJ547" s="6">
        <f t="shared" ca="1" si="158"/>
        <v>6</v>
      </c>
      <c r="AK547" s="68">
        <f ca="1">IFERROR(__xludf.DUMMYFUNCTION("""COMPUTED_VALUE"""),43639.9986111111)</f>
        <v>43639.998611111099</v>
      </c>
      <c r="AL547" s="6">
        <f ca="1">IFERROR(__xludf.DUMMYFUNCTION("""COMPUTED_VALUE"""),10859.55)</f>
        <v>10859.55</v>
      </c>
      <c r="AP547" s="6" t="str">
        <f t="shared" ca="1" si="159"/>
        <v>20203</v>
      </c>
      <c r="AQ547" s="6">
        <f t="shared" ca="1" si="160"/>
        <v>2020</v>
      </c>
      <c r="AR547" s="6">
        <f t="shared" ca="1" si="161"/>
        <v>3</v>
      </c>
      <c r="AS547" s="68">
        <f ca="1">IFERROR(__xludf.DUMMYFUNCTION("""COMPUTED_VALUE"""),43901.9986111111)</f>
        <v>43901.998611111099</v>
      </c>
      <c r="AT547" s="6">
        <f ca="1">IFERROR(__xludf.DUMMYFUNCTION("""COMPUTED_VALUE"""),1642.3)</f>
        <v>1642.3</v>
      </c>
    </row>
    <row r="548" spans="2:46" x14ac:dyDescent="0.35">
      <c r="B548" s="6" t="str">
        <f t="shared" ca="1" si="144"/>
        <v>20203</v>
      </c>
      <c r="C548" s="6">
        <f t="shared" ca="1" si="145"/>
        <v>2020</v>
      </c>
      <c r="D548" s="6">
        <f t="shared" ca="1" si="146"/>
        <v>3</v>
      </c>
      <c r="E548" s="68">
        <f ca="1">IFERROR(__xludf.DUMMYFUNCTION("""COMPUTED_VALUE"""),43893.6666666666)</f>
        <v>43893.666666666599</v>
      </c>
      <c r="F548" s="6">
        <f ca="1">IFERROR(__xludf.DUMMYFUNCTION("""COMPUTED_VALUE"""),3003.37)</f>
        <v>3003.37</v>
      </c>
      <c r="J548" s="6" t="str">
        <f t="shared" ca="1" si="147"/>
        <v>20202</v>
      </c>
      <c r="K548" s="6">
        <f t="shared" ca="1" si="148"/>
        <v>2020</v>
      </c>
      <c r="L548" s="6">
        <f t="shared" ca="1" si="149"/>
        <v>2</v>
      </c>
      <c r="M548" s="68">
        <f ca="1">IFERROR(__xludf.DUMMYFUNCTION("""COMPUTED_VALUE"""),43887.6666666666)</f>
        <v>43887.666666666599</v>
      </c>
      <c r="N548" s="6">
        <f ca="1">IFERROR(__xludf.DUMMYFUNCTION("""COMPUTED_VALUE"""),8980.78)</f>
        <v>8980.7800000000007</v>
      </c>
      <c r="R548" s="6" t="str">
        <f t="shared" ca="1" si="150"/>
        <v>20203</v>
      </c>
      <c r="S548" s="6">
        <f t="shared" ca="1" si="151"/>
        <v>2020</v>
      </c>
      <c r="T548" s="6">
        <f t="shared" ca="1" si="152"/>
        <v>3</v>
      </c>
      <c r="U548" s="68">
        <f ca="1">IFERROR(__xludf.DUMMYFUNCTION("""COMPUTED_VALUE"""),43916.6458333333)</f>
        <v>43916.645833333299</v>
      </c>
      <c r="V548" s="6">
        <f ca="1">IFERROR(__xludf.DUMMYFUNCTION("""COMPUTED_VALUE"""),1686.24)</f>
        <v>1686.24</v>
      </c>
      <c r="Z548" s="6" t="str">
        <f t="shared" ca="1" si="153"/>
        <v>20197</v>
      </c>
      <c r="AA548" s="6">
        <f t="shared" ca="1" si="154"/>
        <v>2019</v>
      </c>
      <c r="AB548" s="6">
        <f t="shared" ca="1" si="155"/>
        <v>7</v>
      </c>
      <c r="AC548" s="68">
        <f ca="1">IFERROR(__xludf.DUMMYFUNCTION("""COMPUTED_VALUE"""),43676.9986111111)</f>
        <v>43676.998611111099</v>
      </c>
      <c r="AD548" s="6">
        <f ca="1">IFERROR(__xludf.DUMMYFUNCTION("""COMPUTED_VALUE"""),1180.65)</f>
        <v>1180.6500000000001</v>
      </c>
      <c r="AH548" s="6" t="str">
        <f t="shared" ca="1" si="156"/>
        <v>20196</v>
      </c>
      <c r="AI548" s="6">
        <f t="shared" ca="1" si="157"/>
        <v>2019</v>
      </c>
      <c r="AJ548" s="6">
        <f t="shared" ca="1" si="158"/>
        <v>6</v>
      </c>
      <c r="AK548" s="68">
        <f ca="1">IFERROR(__xludf.DUMMYFUNCTION("""COMPUTED_VALUE"""),43640.9986111111)</f>
        <v>43640.998611111099</v>
      </c>
      <c r="AL548" s="6">
        <f ca="1">IFERROR(__xludf.DUMMYFUNCTION("""COMPUTED_VALUE"""),11037.08)</f>
        <v>11037.08</v>
      </c>
      <c r="AP548" s="6" t="str">
        <f t="shared" ca="1" si="159"/>
        <v>20203</v>
      </c>
      <c r="AQ548" s="6">
        <f t="shared" ca="1" si="160"/>
        <v>2020</v>
      </c>
      <c r="AR548" s="6">
        <f t="shared" ca="1" si="161"/>
        <v>3</v>
      </c>
      <c r="AS548" s="68">
        <f ca="1">IFERROR(__xludf.DUMMYFUNCTION("""COMPUTED_VALUE"""),43902.9986111111)</f>
        <v>43902.998611111099</v>
      </c>
      <c r="AT548" s="6">
        <f ca="1">IFERROR(__xludf.DUMMYFUNCTION("""COMPUTED_VALUE"""),1590.3)</f>
        <v>1590.3</v>
      </c>
    </row>
    <row r="549" spans="2:46" x14ac:dyDescent="0.35">
      <c r="B549" s="6" t="str">
        <f t="shared" ca="1" si="144"/>
        <v>20203</v>
      </c>
      <c r="C549" s="6">
        <f t="shared" ca="1" si="145"/>
        <v>2020</v>
      </c>
      <c r="D549" s="6">
        <f t="shared" ca="1" si="146"/>
        <v>3</v>
      </c>
      <c r="E549" s="68">
        <f ca="1">IFERROR(__xludf.DUMMYFUNCTION("""COMPUTED_VALUE"""),43894.6666666666)</f>
        <v>43894.666666666599</v>
      </c>
      <c r="F549" s="6">
        <f ca="1">IFERROR(__xludf.DUMMYFUNCTION("""COMPUTED_VALUE"""),3130.12)</f>
        <v>3130.12</v>
      </c>
      <c r="J549" s="6" t="str">
        <f t="shared" ca="1" si="147"/>
        <v>20202</v>
      </c>
      <c r="K549" s="6">
        <f t="shared" ca="1" si="148"/>
        <v>2020</v>
      </c>
      <c r="L549" s="6">
        <f t="shared" ca="1" si="149"/>
        <v>2</v>
      </c>
      <c r="M549" s="68">
        <f ca="1">IFERROR(__xludf.DUMMYFUNCTION("""COMPUTED_VALUE"""),43888.6666666666)</f>
        <v>43888.666666666599</v>
      </c>
      <c r="N549" s="6">
        <f ca="1">IFERROR(__xludf.DUMMYFUNCTION("""COMPUTED_VALUE"""),8566.48)</f>
        <v>8566.48</v>
      </c>
      <c r="R549" s="6" t="str">
        <f t="shared" ca="1" si="150"/>
        <v>20203</v>
      </c>
      <c r="S549" s="6">
        <f t="shared" ca="1" si="151"/>
        <v>2020</v>
      </c>
      <c r="T549" s="6">
        <f t="shared" ca="1" si="152"/>
        <v>3</v>
      </c>
      <c r="U549" s="68">
        <f ca="1">IFERROR(__xludf.DUMMYFUNCTION("""COMPUTED_VALUE"""),43917.6458333333)</f>
        <v>43917.645833333299</v>
      </c>
      <c r="V549" s="6">
        <f ca="1">IFERROR(__xludf.DUMMYFUNCTION("""COMPUTED_VALUE"""),1717.73)</f>
        <v>1717.73</v>
      </c>
      <c r="Z549" s="6" t="str">
        <f t="shared" ca="1" si="153"/>
        <v>20197</v>
      </c>
      <c r="AA549" s="6">
        <f t="shared" ca="1" si="154"/>
        <v>2019</v>
      </c>
      <c r="AB549" s="6">
        <f t="shared" ca="1" si="155"/>
        <v>7</v>
      </c>
      <c r="AC549" s="68">
        <f ca="1">IFERROR(__xludf.DUMMYFUNCTION("""COMPUTED_VALUE"""),43677.9986111111)</f>
        <v>43677.998611111099</v>
      </c>
      <c r="AD549" s="6">
        <f ca="1">IFERROR(__xludf.DUMMYFUNCTION("""COMPUTED_VALUE"""),1186.31)</f>
        <v>1186.31</v>
      </c>
      <c r="AH549" s="6" t="str">
        <f t="shared" ca="1" si="156"/>
        <v>20196</v>
      </c>
      <c r="AI549" s="6">
        <f t="shared" ca="1" si="157"/>
        <v>2019</v>
      </c>
      <c r="AJ549" s="6">
        <f t="shared" ca="1" si="158"/>
        <v>6</v>
      </c>
      <c r="AK549" s="68">
        <f ca="1">IFERROR(__xludf.DUMMYFUNCTION("""COMPUTED_VALUE"""),43641.9986111111)</f>
        <v>43641.998611111099</v>
      </c>
      <c r="AL549" s="6">
        <f ca="1">IFERROR(__xludf.DUMMYFUNCTION("""COMPUTED_VALUE"""),11740.15)</f>
        <v>11740.15</v>
      </c>
      <c r="AP549" s="6" t="str">
        <f t="shared" ca="1" si="159"/>
        <v>20203</v>
      </c>
      <c r="AQ549" s="6">
        <f t="shared" ca="1" si="160"/>
        <v>2020</v>
      </c>
      <c r="AR549" s="6">
        <f t="shared" ca="1" si="161"/>
        <v>3</v>
      </c>
      <c r="AS549" s="68">
        <f ca="1">IFERROR(__xludf.DUMMYFUNCTION("""COMPUTED_VALUE"""),43903.9986111111)</f>
        <v>43903.998611111099</v>
      </c>
      <c r="AT549" s="6">
        <f ca="1">IFERROR(__xludf.DUMMYFUNCTION("""COMPUTED_VALUE"""),1516.7)</f>
        <v>1516.7</v>
      </c>
    </row>
    <row r="550" spans="2:46" x14ac:dyDescent="0.35">
      <c r="B550" s="6" t="str">
        <f t="shared" ca="1" si="144"/>
        <v>20203</v>
      </c>
      <c r="C550" s="6">
        <f t="shared" ca="1" si="145"/>
        <v>2020</v>
      </c>
      <c r="D550" s="6">
        <f t="shared" ca="1" si="146"/>
        <v>3</v>
      </c>
      <c r="E550" s="68">
        <f ca="1">IFERROR(__xludf.DUMMYFUNCTION("""COMPUTED_VALUE"""),43895.6666666666)</f>
        <v>43895.666666666599</v>
      </c>
      <c r="F550" s="6">
        <f ca="1">IFERROR(__xludf.DUMMYFUNCTION("""COMPUTED_VALUE"""),3023.94)</f>
        <v>3023.94</v>
      </c>
      <c r="J550" s="6" t="str">
        <f t="shared" ca="1" si="147"/>
        <v>20202</v>
      </c>
      <c r="K550" s="6">
        <f t="shared" ca="1" si="148"/>
        <v>2020</v>
      </c>
      <c r="L550" s="6">
        <f t="shared" ca="1" si="149"/>
        <v>2</v>
      </c>
      <c r="M550" s="68">
        <f ca="1">IFERROR(__xludf.DUMMYFUNCTION("""COMPUTED_VALUE"""),43889.6666666666)</f>
        <v>43889.666666666599</v>
      </c>
      <c r="N550" s="6">
        <f ca="1">IFERROR(__xludf.DUMMYFUNCTION("""COMPUTED_VALUE"""),8567.37)</f>
        <v>8567.3700000000008</v>
      </c>
      <c r="R550" s="6" t="str">
        <f t="shared" ca="1" si="150"/>
        <v>20203</v>
      </c>
      <c r="S550" s="6">
        <f t="shared" ca="1" si="151"/>
        <v>2020</v>
      </c>
      <c r="T550" s="6">
        <f t="shared" ca="1" si="152"/>
        <v>3</v>
      </c>
      <c r="U550" s="68">
        <f ca="1">IFERROR(__xludf.DUMMYFUNCTION("""COMPUTED_VALUE"""),43920.6458333333)</f>
        <v>43920.645833333299</v>
      </c>
      <c r="V550" s="6">
        <f ca="1">IFERROR(__xludf.DUMMYFUNCTION("""COMPUTED_VALUE"""),1717.12)</f>
        <v>1717.12</v>
      </c>
      <c r="Z550" s="6" t="str">
        <f t="shared" ca="1" si="153"/>
        <v>20198</v>
      </c>
      <c r="AA550" s="6">
        <f t="shared" ca="1" si="154"/>
        <v>2019</v>
      </c>
      <c r="AB550" s="6">
        <f t="shared" ca="1" si="155"/>
        <v>8</v>
      </c>
      <c r="AC550" s="68">
        <f ca="1">IFERROR(__xludf.DUMMYFUNCTION("""COMPUTED_VALUE"""),43678.9986111111)</f>
        <v>43678.998611111099</v>
      </c>
      <c r="AD550" s="6">
        <f ca="1">IFERROR(__xludf.DUMMYFUNCTION("""COMPUTED_VALUE"""),1194.75)</f>
        <v>1194.75</v>
      </c>
      <c r="AH550" s="6" t="str">
        <f t="shared" ca="1" si="156"/>
        <v>20196</v>
      </c>
      <c r="AI550" s="6">
        <f t="shared" ca="1" si="157"/>
        <v>2019</v>
      </c>
      <c r="AJ550" s="6">
        <f t="shared" ca="1" si="158"/>
        <v>6</v>
      </c>
      <c r="AK550" s="68">
        <f ca="1">IFERROR(__xludf.DUMMYFUNCTION("""COMPUTED_VALUE"""),43642.9986111111)</f>
        <v>43642.998611111099</v>
      </c>
      <c r="AL550" s="6">
        <f ca="1">IFERROR(__xludf.DUMMYFUNCTION("""COMPUTED_VALUE"""),12938.37)</f>
        <v>12938.37</v>
      </c>
      <c r="AP550" s="6" t="str">
        <f t="shared" ca="1" si="159"/>
        <v>20203</v>
      </c>
      <c r="AQ550" s="6">
        <f t="shared" ca="1" si="160"/>
        <v>2020</v>
      </c>
      <c r="AR550" s="6">
        <f t="shared" ca="1" si="161"/>
        <v>3</v>
      </c>
      <c r="AS550" s="68">
        <f ca="1">IFERROR(__xludf.DUMMYFUNCTION("""COMPUTED_VALUE"""),43906.9986111111)</f>
        <v>43906.998611111099</v>
      </c>
      <c r="AT550" s="6">
        <f ca="1">IFERROR(__xludf.DUMMYFUNCTION("""COMPUTED_VALUE"""),1486.5)</f>
        <v>1486.5</v>
      </c>
    </row>
    <row r="551" spans="2:46" x14ac:dyDescent="0.35">
      <c r="B551" s="6" t="str">
        <f t="shared" ca="1" si="144"/>
        <v>20203</v>
      </c>
      <c r="C551" s="6">
        <f t="shared" ca="1" si="145"/>
        <v>2020</v>
      </c>
      <c r="D551" s="6">
        <f t="shared" ca="1" si="146"/>
        <v>3</v>
      </c>
      <c r="E551" s="68">
        <f ca="1">IFERROR(__xludf.DUMMYFUNCTION("""COMPUTED_VALUE"""),43896.6666666666)</f>
        <v>43896.666666666599</v>
      </c>
      <c r="F551" s="6">
        <f ca="1">IFERROR(__xludf.DUMMYFUNCTION("""COMPUTED_VALUE"""),2972.37)</f>
        <v>2972.37</v>
      </c>
      <c r="J551" s="6" t="str">
        <f t="shared" ca="1" si="147"/>
        <v>20203</v>
      </c>
      <c r="K551" s="6">
        <f t="shared" ca="1" si="148"/>
        <v>2020</v>
      </c>
      <c r="L551" s="6">
        <f t="shared" ca="1" si="149"/>
        <v>3</v>
      </c>
      <c r="M551" s="68">
        <f ca="1">IFERROR(__xludf.DUMMYFUNCTION("""COMPUTED_VALUE"""),43892.6666666666)</f>
        <v>43892.666666666599</v>
      </c>
      <c r="N551" s="6">
        <f ca="1">IFERROR(__xludf.DUMMYFUNCTION("""COMPUTED_VALUE"""),8952.17)</f>
        <v>8952.17</v>
      </c>
      <c r="R551" s="6" t="str">
        <f t="shared" ca="1" si="150"/>
        <v>20203</v>
      </c>
      <c r="S551" s="6">
        <f t="shared" ca="1" si="151"/>
        <v>2020</v>
      </c>
      <c r="T551" s="6">
        <f t="shared" ca="1" si="152"/>
        <v>3</v>
      </c>
      <c r="U551" s="68">
        <f ca="1">IFERROR(__xludf.DUMMYFUNCTION("""COMPUTED_VALUE"""),43921.6458333333)</f>
        <v>43921.645833333299</v>
      </c>
      <c r="V551" s="6">
        <f ca="1">IFERROR(__xludf.DUMMYFUNCTION("""COMPUTED_VALUE"""),1754.64)</f>
        <v>1754.64</v>
      </c>
      <c r="Z551" s="6" t="str">
        <f t="shared" ca="1" si="153"/>
        <v>20198</v>
      </c>
      <c r="AA551" s="6">
        <f t="shared" ca="1" si="154"/>
        <v>2019</v>
      </c>
      <c r="AB551" s="6">
        <f t="shared" ca="1" si="155"/>
        <v>8</v>
      </c>
      <c r="AC551" s="68">
        <f ca="1">IFERROR(__xludf.DUMMYFUNCTION("""COMPUTED_VALUE"""),43679.9986111111)</f>
        <v>43679.998611111099</v>
      </c>
      <c r="AD551" s="6">
        <f ca="1">IFERROR(__xludf.DUMMYFUNCTION("""COMPUTED_VALUE"""),1204.51)</f>
        <v>1204.51</v>
      </c>
      <c r="AH551" s="6" t="str">
        <f t="shared" ca="1" si="156"/>
        <v>20196</v>
      </c>
      <c r="AI551" s="6">
        <f t="shared" ca="1" si="157"/>
        <v>2019</v>
      </c>
      <c r="AJ551" s="6">
        <f t="shared" ca="1" si="158"/>
        <v>6</v>
      </c>
      <c r="AK551" s="68">
        <f ca="1">IFERROR(__xludf.DUMMYFUNCTION("""COMPUTED_VALUE"""),43643.9986111111)</f>
        <v>43643.998611111099</v>
      </c>
      <c r="AL551" s="6">
        <f ca="1">IFERROR(__xludf.DUMMYFUNCTION("""COMPUTED_VALUE"""),11133.89)</f>
        <v>11133.89</v>
      </c>
      <c r="AP551" s="6" t="str">
        <f t="shared" ca="1" si="159"/>
        <v>20203</v>
      </c>
      <c r="AQ551" s="6">
        <f t="shared" ca="1" si="160"/>
        <v>2020</v>
      </c>
      <c r="AR551" s="6">
        <f t="shared" ca="1" si="161"/>
        <v>3</v>
      </c>
      <c r="AS551" s="68">
        <f ca="1">IFERROR(__xludf.DUMMYFUNCTION("""COMPUTED_VALUE"""),43907.9986111111)</f>
        <v>43907.998611111099</v>
      </c>
      <c r="AT551" s="6">
        <f ca="1">IFERROR(__xludf.DUMMYFUNCTION("""COMPUTED_VALUE"""),1525.8)</f>
        <v>1525.8</v>
      </c>
    </row>
    <row r="552" spans="2:46" x14ac:dyDescent="0.35">
      <c r="B552" s="6" t="str">
        <f t="shared" ca="1" si="144"/>
        <v>20203</v>
      </c>
      <c r="C552" s="6">
        <f t="shared" ca="1" si="145"/>
        <v>2020</v>
      </c>
      <c r="D552" s="6">
        <f t="shared" ca="1" si="146"/>
        <v>3</v>
      </c>
      <c r="E552" s="68">
        <f ca="1">IFERROR(__xludf.DUMMYFUNCTION("""COMPUTED_VALUE"""),43899.6666666666)</f>
        <v>43899.666666666599</v>
      </c>
      <c r="F552" s="6">
        <f ca="1">IFERROR(__xludf.DUMMYFUNCTION("""COMPUTED_VALUE"""),2746.56)</f>
        <v>2746.56</v>
      </c>
      <c r="J552" s="6" t="str">
        <f t="shared" ca="1" si="147"/>
        <v>20203</v>
      </c>
      <c r="K552" s="6">
        <f t="shared" ca="1" si="148"/>
        <v>2020</v>
      </c>
      <c r="L552" s="6">
        <f t="shared" ca="1" si="149"/>
        <v>3</v>
      </c>
      <c r="M552" s="68">
        <f ca="1">IFERROR(__xludf.DUMMYFUNCTION("""COMPUTED_VALUE"""),43893.6666666666)</f>
        <v>43893.666666666599</v>
      </c>
      <c r="N552" s="6">
        <f ca="1">IFERROR(__xludf.DUMMYFUNCTION("""COMPUTED_VALUE"""),8684.09)</f>
        <v>8684.09</v>
      </c>
      <c r="R552" s="6" t="str">
        <f t="shared" ca="1" si="150"/>
        <v>20204</v>
      </c>
      <c r="S552" s="6">
        <f t="shared" ca="1" si="151"/>
        <v>2020</v>
      </c>
      <c r="T552" s="6">
        <f t="shared" ca="1" si="152"/>
        <v>4</v>
      </c>
      <c r="U552" s="68">
        <f ca="1">IFERROR(__xludf.DUMMYFUNCTION("""COMPUTED_VALUE"""),43922.6458333333)</f>
        <v>43922.645833333299</v>
      </c>
      <c r="V552" s="6">
        <f ca="1">IFERROR(__xludf.DUMMYFUNCTION("""COMPUTED_VALUE"""),1685.46)</f>
        <v>1685.46</v>
      </c>
      <c r="Z552" s="6" t="str">
        <f t="shared" ca="1" si="153"/>
        <v>20198</v>
      </c>
      <c r="AA552" s="6">
        <f t="shared" ca="1" si="154"/>
        <v>2019</v>
      </c>
      <c r="AB552" s="6">
        <f t="shared" ca="1" si="155"/>
        <v>8</v>
      </c>
      <c r="AC552" s="68">
        <f ca="1">IFERROR(__xludf.DUMMYFUNCTION("""COMPUTED_VALUE"""),43681.9986111111)</f>
        <v>43681.998611111099</v>
      </c>
      <c r="AD552" s="6">
        <f ca="1">IFERROR(__xludf.DUMMYFUNCTION("""COMPUTED_VALUE"""),1203.94)</f>
        <v>1203.94</v>
      </c>
      <c r="AH552" s="6" t="str">
        <f t="shared" ca="1" si="156"/>
        <v>20196</v>
      </c>
      <c r="AI552" s="6">
        <f t="shared" ca="1" si="157"/>
        <v>2019</v>
      </c>
      <c r="AJ552" s="6">
        <f t="shared" ca="1" si="158"/>
        <v>6</v>
      </c>
      <c r="AK552" s="68">
        <f ca="1">IFERROR(__xludf.DUMMYFUNCTION("""COMPUTED_VALUE"""),43644.9986111111)</f>
        <v>43644.998611111099</v>
      </c>
      <c r="AL552" s="6">
        <f ca="1">IFERROR(__xludf.DUMMYFUNCTION("""COMPUTED_VALUE"""),12363.4)</f>
        <v>12363.4</v>
      </c>
      <c r="AP552" s="6" t="str">
        <f t="shared" ca="1" si="159"/>
        <v>20203</v>
      </c>
      <c r="AQ552" s="6">
        <f t="shared" ca="1" si="160"/>
        <v>2020</v>
      </c>
      <c r="AR552" s="6">
        <f t="shared" ca="1" si="161"/>
        <v>3</v>
      </c>
      <c r="AS552" s="68">
        <f ca="1">IFERROR(__xludf.DUMMYFUNCTION("""COMPUTED_VALUE"""),43908.9986111111)</f>
        <v>43908.998611111099</v>
      </c>
      <c r="AT552" s="6">
        <f ca="1">IFERROR(__xludf.DUMMYFUNCTION("""COMPUTED_VALUE"""),1477.9)</f>
        <v>1477.9</v>
      </c>
    </row>
    <row r="553" spans="2:46" x14ac:dyDescent="0.35">
      <c r="B553" s="6" t="str">
        <f t="shared" ca="1" si="144"/>
        <v>20203</v>
      </c>
      <c r="C553" s="6">
        <f t="shared" ca="1" si="145"/>
        <v>2020</v>
      </c>
      <c r="D553" s="6">
        <f t="shared" ca="1" si="146"/>
        <v>3</v>
      </c>
      <c r="E553" s="68">
        <f ca="1">IFERROR(__xludf.DUMMYFUNCTION("""COMPUTED_VALUE"""),43900.6666666666)</f>
        <v>43900.666666666599</v>
      </c>
      <c r="F553" s="6">
        <f ca="1">IFERROR(__xludf.DUMMYFUNCTION("""COMPUTED_VALUE"""),2882.23)</f>
        <v>2882.23</v>
      </c>
      <c r="J553" s="6" t="str">
        <f t="shared" ca="1" si="147"/>
        <v>20203</v>
      </c>
      <c r="K553" s="6">
        <f t="shared" ca="1" si="148"/>
        <v>2020</v>
      </c>
      <c r="L553" s="6">
        <f t="shared" ca="1" si="149"/>
        <v>3</v>
      </c>
      <c r="M553" s="68">
        <f ca="1">IFERROR(__xludf.DUMMYFUNCTION("""COMPUTED_VALUE"""),43894.6666666666)</f>
        <v>43894.666666666599</v>
      </c>
      <c r="N553" s="6">
        <f ca="1">IFERROR(__xludf.DUMMYFUNCTION("""COMPUTED_VALUE"""),9018.09)</f>
        <v>9018.09</v>
      </c>
      <c r="R553" s="6" t="str">
        <f t="shared" ca="1" si="150"/>
        <v>20204</v>
      </c>
      <c r="S553" s="6">
        <f t="shared" ca="1" si="151"/>
        <v>2020</v>
      </c>
      <c r="T553" s="6">
        <f t="shared" ca="1" si="152"/>
        <v>4</v>
      </c>
      <c r="U553" s="68">
        <f ca="1">IFERROR(__xludf.DUMMYFUNCTION("""COMPUTED_VALUE"""),43923.6458333333)</f>
        <v>43923.645833333299</v>
      </c>
      <c r="V553" s="6">
        <f ca="1">IFERROR(__xludf.DUMMYFUNCTION("""COMPUTED_VALUE"""),1724.86)</f>
        <v>1724.86</v>
      </c>
      <c r="Z553" s="6" t="str">
        <f t="shared" ca="1" si="153"/>
        <v>20198</v>
      </c>
      <c r="AA553" s="6">
        <f t="shared" ca="1" si="154"/>
        <v>2019</v>
      </c>
      <c r="AB553" s="6">
        <f t="shared" ca="1" si="155"/>
        <v>8</v>
      </c>
      <c r="AC553" s="68">
        <f ca="1">IFERROR(__xludf.DUMMYFUNCTION("""COMPUTED_VALUE"""),43682.9986111111)</f>
        <v>43682.998611111099</v>
      </c>
      <c r="AD553" s="6">
        <f ca="1">IFERROR(__xludf.DUMMYFUNCTION("""COMPUTED_VALUE"""),1216.65)</f>
        <v>1216.6500000000001</v>
      </c>
      <c r="AH553" s="6" t="str">
        <f t="shared" ca="1" si="156"/>
        <v>20196</v>
      </c>
      <c r="AI553" s="6">
        <f t="shared" ca="1" si="157"/>
        <v>2019</v>
      </c>
      <c r="AJ553" s="6">
        <f t="shared" ca="1" si="158"/>
        <v>6</v>
      </c>
      <c r="AK553" s="68">
        <f ca="1">IFERROR(__xludf.DUMMYFUNCTION("""COMPUTED_VALUE"""),43645.9986111111)</f>
        <v>43645.998611111099</v>
      </c>
      <c r="AL553" s="6">
        <f ca="1">IFERROR(__xludf.DUMMYFUNCTION("""COMPUTED_VALUE"""),11893.99)</f>
        <v>11893.99</v>
      </c>
      <c r="AP553" s="6" t="str">
        <f t="shared" ca="1" si="159"/>
        <v>20203</v>
      </c>
      <c r="AQ553" s="6">
        <f t="shared" ca="1" si="160"/>
        <v>2020</v>
      </c>
      <c r="AR553" s="6">
        <f t="shared" ca="1" si="161"/>
        <v>3</v>
      </c>
      <c r="AS553" s="68">
        <f ca="1">IFERROR(__xludf.DUMMYFUNCTION("""COMPUTED_VALUE"""),43909.9986111111)</f>
        <v>43909.998611111099</v>
      </c>
      <c r="AT553" s="6">
        <f ca="1">IFERROR(__xludf.DUMMYFUNCTION("""COMPUTED_VALUE"""),1479.3)</f>
        <v>1479.3</v>
      </c>
    </row>
    <row r="554" spans="2:46" x14ac:dyDescent="0.35">
      <c r="B554" s="6" t="str">
        <f t="shared" ca="1" si="144"/>
        <v>20203</v>
      </c>
      <c r="C554" s="6">
        <f t="shared" ca="1" si="145"/>
        <v>2020</v>
      </c>
      <c r="D554" s="6">
        <f t="shared" ca="1" si="146"/>
        <v>3</v>
      </c>
      <c r="E554" s="68">
        <f ca="1">IFERROR(__xludf.DUMMYFUNCTION("""COMPUTED_VALUE"""),43901.6666666666)</f>
        <v>43901.666666666599</v>
      </c>
      <c r="F554" s="6">
        <f ca="1">IFERROR(__xludf.DUMMYFUNCTION("""COMPUTED_VALUE"""),2741.38)</f>
        <v>2741.38</v>
      </c>
      <c r="J554" s="6" t="str">
        <f t="shared" ca="1" si="147"/>
        <v>20203</v>
      </c>
      <c r="K554" s="6">
        <f t="shared" ca="1" si="148"/>
        <v>2020</v>
      </c>
      <c r="L554" s="6">
        <f t="shared" ca="1" si="149"/>
        <v>3</v>
      </c>
      <c r="M554" s="68">
        <f ca="1">IFERROR(__xludf.DUMMYFUNCTION("""COMPUTED_VALUE"""),43895.6666666666)</f>
        <v>43895.666666666599</v>
      </c>
      <c r="N554" s="6">
        <f ca="1">IFERROR(__xludf.DUMMYFUNCTION("""COMPUTED_VALUE"""),8738.59)</f>
        <v>8738.59</v>
      </c>
      <c r="R554" s="6" t="str">
        <f t="shared" ca="1" si="150"/>
        <v>20204</v>
      </c>
      <c r="S554" s="6">
        <f t="shared" ca="1" si="151"/>
        <v>2020</v>
      </c>
      <c r="T554" s="6">
        <f t="shared" ca="1" si="152"/>
        <v>4</v>
      </c>
      <c r="U554" s="68">
        <f ca="1">IFERROR(__xludf.DUMMYFUNCTION("""COMPUTED_VALUE"""),43924.6458333333)</f>
        <v>43924.645833333299</v>
      </c>
      <c r="V554" s="6">
        <f ca="1">IFERROR(__xludf.DUMMYFUNCTION("""COMPUTED_VALUE"""),1725.44)</f>
        <v>1725.44</v>
      </c>
      <c r="Z554" s="6" t="str">
        <f t="shared" ca="1" si="153"/>
        <v>20198</v>
      </c>
      <c r="AA554" s="6">
        <f t="shared" ca="1" si="154"/>
        <v>2019</v>
      </c>
      <c r="AB554" s="6">
        <f t="shared" ca="1" si="155"/>
        <v>8</v>
      </c>
      <c r="AC554" s="68">
        <f ca="1">IFERROR(__xludf.DUMMYFUNCTION("""COMPUTED_VALUE"""),43683.9986111111)</f>
        <v>43683.998611111099</v>
      </c>
      <c r="AD554" s="6">
        <f ca="1">IFERROR(__xludf.DUMMYFUNCTION("""COMPUTED_VALUE"""),1212.53)</f>
        <v>1212.53</v>
      </c>
      <c r="AH554" s="6" t="str">
        <f t="shared" ca="1" si="156"/>
        <v>20196</v>
      </c>
      <c r="AI554" s="6">
        <f t="shared" ca="1" si="157"/>
        <v>2019</v>
      </c>
      <c r="AJ554" s="6">
        <f t="shared" ca="1" si="158"/>
        <v>6</v>
      </c>
      <c r="AK554" s="68">
        <f ca="1">IFERROR(__xludf.DUMMYFUNCTION("""COMPUTED_VALUE"""),43646.9986111111)</f>
        <v>43646.998611111099</v>
      </c>
      <c r="AL554" s="6">
        <f ca="1">IFERROR(__xludf.DUMMYFUNCTION("""COMPUTED_VALUE"""),10769.18)</f>
        <v>10769.18</v>
      </c>
      <c r="AP554" s="6" t="str">
        <f t="shared" ca="1" si="159"/>
        <v>20203</v>
      </c>
      <c r="AQ554" s="6">
        <f t="shared" ca="1" si="160"/>
        <v>2020</v>
      </c>
      <c r="AR554" s="6">
        <f t="shared" ca="1" si="161"/>
        <v>3</v>
      </c>
      <c r="AS554" s="68">
        <f ca="1">IFERROR(__xludf.DUMMYFUNCTION("""COMPUTED_VALUE"""),43910.9986111111)</f>
        <v>43910.998611111099</v>
      </c>
      <c r="AT554" s="6">
        <f ca="1">IFERROR(__xludf.DUMMYFUNCTION("""COMPUTED_VALUE"""),1488.1)</f>
        <v>1488.1</v>
      </c>
    </row>
    <row r="555" spans="2:46" x14ac:dyDescent="0.35">
      <c r="B555" s="6" t="str">
        <f t="shared" ca="1" si="144"/>
        <v>20203</v>
      </c>
      <c r="C555" s="6">
        <f t="shared" ca="1" si="145"/>
        <v>2020</v>
      </c>
      <c r="D555" s="6">
        <f t="shared" ca="1" si="146"/>
        <v>3</v>
      </c>
      <c r="E555" s="68">
        <f ca="1">IFERROR(__xludf.DUMMYFUNCTION("""COMPUTED_VALUE"""),43902.6666666666)</f>
        <v>43902.666666666599</v>
      </c>
      <c r="F555" s="6">
        <f ca="1">IFERROR(__xludf.DUMMYFUNCTION("""COMPUTED_VALUE"""),2480.64)</f>
        <v>2480.64</v>
      </c>
      <c r="J555" s="6" t="str">
        <f t="shared" ca="1" si="147"/>
        <v>20203</v>
      </c>
      <c r="K555" s="6">
        <f t="shared" ca="1" si="148"/>
        <v>2020</v>
      </c>
      <c r="L555" s="6">
        <f t="shared" ca="1" si="149"/>
        <v>3</v>
      </c>
      <c r="M555" s="68">
        <f ca="1">IFERROR(__xludf.DUMMYFUNCTION("""COMPUTED_VALUE"""),43896.6666666666)</f>
        <v>43896.666666666599</v>
      </c>
      <c r="N555" s="6">
        <f ca="1">IFERROR(__xludf.DUMMYFUNCTION("""COMPUTED_VALUE"""),8575.62)</f>
        <v>8575.6200000000008</v>
      </c>
      <c r="R555" s="6" t="str">
        <f t="shared" ca="1" si="150"/>
        <v>20204</v>
      </c>
      <c r="S555" s="6">
        <f t="shared" ca="1" si="151"/>
        <v>2020</v>
      </c>
      <c r="T555" s="6">
        <f t="shared" ca="1" si="152"/>
        <v>4</v>
      </c>
      <c r="U555" s="68">
        <f ca="1">IFERROR(__xludf.DUMMYFUNCTION("""COMPUTED_VALUE"""),43927.6458333333)</f>
        <v>43927.645833333299</v>
      </c>
      <c r="V555" s="6">
        <f ca="1">IFERROR(__xludf.DUMMYFUNCTION("""COMPUTED_VALUE"""),1791.88)</f>
        <v>1791.88</v>
      </c>
      <c r="Z555" s="6" t="str">
        <f t="shared" ca="1" si="153"/>
        <v>20198</v>
      </c>
      <c r="AA555" s="6">
        <f t="shared" ca="1" si="154"/>
        <v>2019</v>
      </c>
      <c r="AB555" s="6">
        <f t="shared" ca="1" si="155"/>
        <v>8</v>
      </c>
      <c r="AC555" s="68">
        <f ca="1">IFERROR(__xludf.DUMMYFUNCTION("""COMPUTED_VALUE"""),43684.9986111111)</f>
        <v>43684.998611111099</v>
      </c>
      <c r="AD555" s="6">
        <f ca="1">IFERROR(__xludf.DUMMYFUNCTION("""COMPUTED_VALUE"""),1212.23)</f>
        <v>1212.23</v>
      </c>
      <c r="AH555" s="6" t="str">
        <f t="shared" ca="1" si="156"/>
        <v>20197</v>
      </c>
      <c r="AI555" s="6">
        <f t="shared" ca="1" si="157"/>
        <v>2019</v>
      </c>
      <c r="AJ555" s="6">
        <f t="shared" ca="1" si="158"/>
        <v>7</v>
      </c>
      <c r="AK555" s="68">
        <f ca="1">IFERROR(__xludf.DUMMYFUNCTION("""COMPUTED_VALUE"""),43647.9986111111)</f>
        <v>43647.998611111099</v>
      </c>
      <c r="AL555" s="6">
        <f ca="1">IFERROR(__xludf.DUMMYFUNCTION("""COMPUTED_VALUE"""),10588.54)</f>
        <v>10588.54</v>
      </c>
      <c r="AP555" s="6" t="str">
        <f t="shared" ca="1" si="159"/>
        <v>20203</v>
      </c>
      <c r="AQ555" s="6">
        <f t="shared" ca="1" si="160"/>
        <v>2020</v>
      </c>
      <c r="AR555" s="6">
        <f t="shared" ca="1" si="161"/>
        <v>3</v>
      </c>
      <c r="AS555" s="68">
        <f ca="1">IFERROR(__xludf.DUMMYFUNCTION("""COMPUTED_VALUE"""),43913.9986111111)</f>
        <v>43913.998611111099</v>
      </c>
      <c r="AT555" s="6">
        <f ca="1">IFERROR(__xludf.DUMMYFUNCTION("""COMPUTED_VALUE"""),1572.7)</f>
        <v>1572.7</v>
      </c>
    </row>
    <row r="556" spans="2:46" x14ac:dyDescent="0.35">
      <c r="B556" s="6" t="str">
        <f t="shared" ca="1" si="144"/>
        <v>20203</v>
      </c>
      <c r="C556" s="6">
        <f t="shared" ca="1" si="145"/>
        <v>2020</v>
      </c>
      <c r="D556" s="6">
        <f t="shared" ca="1" si="146"/>
        <v>3</v>
      </c>
      <c r="E556" s="68">
        <f ca="1">IFERROR(__xludf.DUMMYFUNCTION("""COMPUTED_VALUE"""),43903.6666666666)</f>
        <v>43903.666666666599</v>
      </c>
      <c r="F556" s="6">
        <f ca="1">IFERROR(__xludf.DUMMYFUNCTION("""COMPUTED_VALUE"""),2711.02)</f>
        <v>2711.02</v>
      </c>
      <c r="J556" s="6" t="str">
        <f t="shared" ca="1" si="147"/>
        <v>20203</v>
      </c>
      <c r="K556" s="6">
        <f t="shared" ca="1" si="148"/>
        <v>2020</v>
      </c>
      <c r="L556" s="6">
        <f t="shared" ca="1" si="149"/>
        <v>3</v>
      </c>
      <c r="M556" s="68">
        <f ca="1">IFERROR(__xludf.DUMMYFUNCTION("""COMPUTED_VALUE"""),43899.6666666666)</f>
        <v>43899.666666666599</v>
      </c>
      <c r="N556" s="6">
        <f ca="1">IFERROR(__xludf.DUMMYFUNCTION("""COMPUTED_VALUE"""),7950.68)</f>
        <v>7950.68</v>
      </c>
      <c r="R556" s="6" t="str">
        <f t="shared" ca="1" si="150"/>
        <v>20204</v>
      </c>
      <c r="S556" s="6">
        <f t="shared" ca="1" si="151"/>
        <v>2020</v>
      </c>
      <c r="T556" s="6">
        <f t="shared" ca="1" si="152"/>
        <v>4</v>
      </c>
      <c r="U556" s="68">
        <f ca="1">IFERROR(__xludf.DUMMYFUNCTION("""COMPUTED_VALUE"""),43928.6458333333)</f>
        <v>43928.645833333299</v>
      </c>
      <c r="V556" s="6">
        <f ca="1">IFERROR(__xludf.DUMMYFUNCTION("""COMPUTED_VALUE"""),1823.6)</f>
        <v>1823.6</v>
      </c>
      <c r="Z556" s="6" t="str">
        <f t="shared" ca="1" si="153"/>
        <v>20198</v>
      </c>
      <c r="AA556" s="6">
        <f t="shared" ca="1" si="154"/>
        <v>2019</v>
      </c>
      <c r="AB556" s="6">
        <f t="shared" ca="1" si="155"/>
        <v>8</v>
      </c>
      <c r="AC556" s="68">
        <f ca="1">IFERROR(__xludf.DUMMYFUNCTION("""COMPUTED_VALUE"""),43685.9986111111)</f>
        <v>43685.998611111099</v>
      </c>
      <c r="AD556" s="6">
        <f ca="1">IFERROR(__xludf.DUMMYFUNCTION("""COMPUTED_VALUE"""),1207.03)</f>
        <v>1207.03</v>
      </c>
      <c r="AH556" s="6" t="str">
        <f t="shared" ca="1" si="156"/>
        <v>20197</v>
      </c>
      <c r="AI556" s="6">
        <f t="shared" ca="1" si="157"/>
        <v>2019</v>
      </c>
      <c r="AJ556" s="6">
        <f t="shared" ca="1" si="158"/>
        <v>7</v>
      </c>
      <c r="AK556" s="68">
        <f ca="1">IFERROR(__xludf.DUMMYFUNCTION("""COMPUTED_VALUE"""),43648.9986111111)</f>
        <v>43648.998611111099</v>
      </c>
      <c r="AL556" s="6">
        <f ca="1">IFERROR(__xludf.DUMMYFUNCTION("""COMPUTED_VALUE"""),10837.34)</f>
        <v>10837.34</v>
      </c>
      <c r="AP556" s="6" t="str">
        <f t="shared" ca="1" si="159"/>
        <v>20203</v>
      </c>
      <c r="AQ556" s="6">
        <f t="shared" ca="1" si="160"/>
        <v>2020</v>
      </c>
      <c r="AR556" s="6">
        <f t="shared" ca="1" si="161"/>
        <v>3</v>
      </c>
      <c r="AS556" s="68">
        <f ca="1">IFERROR(__xludf.DUMMYFUNCTION("""COMPUTED_VALUE"""),43914.9986111111)</f>
        <v>43914.998611111099</v>
      </c>
      <c r="AT556" s="6">
        <f ca="1">IFERROR(__xludf.DUMMYFUNCTION("""COMPUTED_VALUE"""),1663.3)</f>
        <v>1663.3</v>
      </c>
    </row>
    <row r="557" spans="2:46" x14ac:dyDescent="0.35">
      <c r="B557" s="6" t="str">
        <f t="shared" ca="1" si="144"/>
        <v>20203</v>
      </c>
      <c r="C557" s="6">
        <f t="shared" ca="1" si="145"/>
        <v>2020</v>
      </c>
      <c r="D557" s="6">
        <f t="shared" ca="1" si="146"/>
        <v>3</v>
      </c>
      <c r="E557" s="68">
        <f ca="1">IFERROR(__xludf.DUMMYFUNCTION("""COMPUTED_VALUE"""),43906.6666666666)</f>
        <v>43906.666666666599</v>
      </c>
      <c r="F557" s="6">
        <f ca="1">IFERROR(__xludf.DUMMYFUNCTION("""COMPUTED_VALUE"""),2386.13)</f>
        <v>2386.13</v>
      </c>
      <c r="J557" s="6" t="str">
        <f t="shared" ca="1" si="147"/>
        <v>20203</v>
      </c>
      <c r="K557" s="6">
        <f t="shared" ca="1" si="148"/>
        <v>2020</v>
      </c>
      <c r="L557" s="6">
        <f t="shared" ca="1" si="149"/>
        <v>3</v>
      </c>
      <c r="M557" s="68">
        <f ca="1">IFERROR(__xludf.DUMMYFUNCTION("""COMPUTED_VALUE"""),43900.6666666666)</f>
        <v>43900.666666666599</v>
      </c>
      <c r="N557" s="6">
        <f ca="1">IFERROR(__xludf.DUMMYFUNCTION("""COMPUTED_VALUE"""),8344.25)</f>
        <v>8344.25</v>
      </c>
      <c r="R557" s="6" t="str">
        <f t="shared" ca="1" si="150"/>
        <v>20204</v>
      </c>
      <c r="S557" s="6">
        <f t="shared" ca="1" si="151"/>
        <v>2020</v>
      </c>
      <c r="T557" s="6">
        <f t="shared" ca="1" si="152"/>
        <v>4</v>
      </c>
      <c r="U557" s="68">
        <f ca="1">IFERROR(__xludf.DUMMYFUNCTION("""COMPUTED_VALUE"""),43929.6458333333)</f>
        <v>43929.645833333299</v>
      </c>
      <c r="V557" s="6">
        <f ca="1">IFERROR(__xludf.DUMMYFUNCTION("""COMPUTED_VALUE"""),1807.14)</f>
        <v>1807.14</v>
      </c>
      <c r="Z557" s="6" t="str">
        <f t="shared" ca="1" si="153"/>
        <v>20198</v>
      </c>
      <c r="AA557" s="6">
        <f t="shared" ca="1" si="154"/>
        <v>2019</v>
      </c>
      <c r="AB557" s="6">
        <f t="shared" ca="1" si="155"/>
        <v>8</v>
      </c>
      <c r="AC557" s="68">
        <f ca="1">IFERROR(__xludf.DUMMYFUNCTION("""COMPUTED_VALUE"""),43686.9986111111)</f>
        <v>43686.998611111099</v>
      </c>
      <c r="AD557" s="6">
        <f ca="1">IFERROR(__xludf.DUMMYFUNCTION("""COMPUTED_VALUE"""),1213.42)</f>
        <v>1213.42</v>
      </c>
      <c r="AH557" s="6" t="str">
        <f t="shared" ca="1" si="156"/>
        <v>20197</v>
      </c>
      <c r="AI557" s="6">
        <f t="shared" ca="1" si="157"/>
        <v>2019</v>
      </c>
      <c r="AJ557" s="6">
        <f t="shared" ca="1" si="158"/>
        <v>7</v>
      </c>
      <c r="AK557" s="68">
        <f ca="1">IFERROR(__xludf.DUMMYFUNCTION("""COMPUTED_VALUE"""),43649.9986111111)</f>
        <v>43649.998611111099</v>
      </c>
      <c r="AL557" s="6">
        <f ca="1">IFERROR(__xludf.DUMMYFUNCTION("""COMPUTED_VALUE"""),11972.06)</f>
        <v>11972.06</v>
      </c>
      <c r="AP557" s="6" t="str">
        <f t="shared" ca="1" si="159"/>
        <v>20203</v>
      </c>
      <c r="AQ557" s="6">
        <f t="shared" ca="1" si="160"/>
        <v>2020</v>
      </c>
      <c r="AR557" s="6">
        <f t="shared" ca="1" si="161"/>
        <v>3</v>
      </c>
      <c r="AS557" s="68">
        <f ca="1">IFERROR(__xludf.DUMMYFUNCTION("""COMPUTED_VALUE"""),43915.9986111111)</f>
        <v>43915.998611111099</v>
      </c>
      <c r="AT557" s="6">
        <f ca="1">IFERROR(__xludf.DUMMYFUNCTION("""COMPUTED_VALUE"""),1634.3)</f>
        <v>1634.3</v>
      </c>
    </row>
    <row r="558" spans="2:46" x14ac:dyDescent="0.35">
      <c r="B558" s="6" t="str">
        <f t="shared" ca="1" si="144"/>
        <v>20203</v>
      </c>
      <c r="C558" s="6">
        <f t="shared" ca="1" si="145"/>
        <v>2020</v>
      </c>
      <c r="D558" s="6">
        <f t="shared" ca="1" si="146"/>
        <v>3</v>
      </c>
      <c r="E558" s="68">
        <f ca="1">IFERROR(__xludf.DUMMYFUNCTION("""COMPUTED_VALUE"""),43907.6666666666)</f>
        <v>43907.666666666599</v>
      </c>
      <c r="F558" s="6">
        <f ca="1">IFERROR(__xludf.DUMMYFUNCTION("""COMPUTED_VALUE"""),2529.19)</f>
        <v>2529.19</v>
      </c>
      <c r="J558" s="6" t="str">
        <f t="shared" ca="1" si="147"/>
        <v>20203</v>
      </c>
      <c r="K558" s="6">
        <f t="shared" ca="1" si="148"/>
        <v>2020</v>
      </c>
      <c r="L558" s="6">
        <f t="shared" ca="1" si="149"/>
        <v>3</v>
      </c>
      <c r="M558" s="68">
        <f ca="1">IFERROR(__xludf.DUMMYFUNCTION("""COMPUTED_VALUE"""),43901.6666666666)</f>
        <v>43901.666666666599</v>
      </c>
      <c r="N558" s="6">
        <f ca="1">IFERROR(__xludf.DUMMYFUNCTION("""COMPUTED_VALUE"""),7952.05)</f>
        <v>7952.05</v>
      </c>
      <c r="R558" s="6" t="str">
        <f t="shared" ca="1" si="150"/>
        <v>20204</v>
      </c>
      <c r="S558" s="6">
        <f t="shared" ca="1" si="151"/>
        <v>2020</v>
      </c>
      <c r="T558" s="6">
        <f t="shared" ca="1" si="152"/>
        <v>4</v>
      </c>
      <c r="U558" s="68">
        <f ca="1">IFERROR(__xludf.DUMMYFUNCTION("""COMPUTED_VALUE"""),43930.6458333333)</f>
        <v>43930.645833333299</v>
      </c>
      <c r="V558" s="6">
        <f ca="1">IFERROR(__xludf.DUMMYFUNCTION("""COMPUTED_VALUE"""),1836.21)</f>
        <v>1836.21</v>
      </c>
      <c r="Z558" s="6" t="str">
        <f t="shared" ca="1" si="153"/>
        <v>20198</v>
      </c>
      <c r="AA558" s="6">
        <f t="shared" ca="1" si="154"/>
        <v>2019</v>
      </c>
      <c r="AB558" s="6">
        <f t="shared" ca="1" si="155"/>
        <v>8</v>
      </c>
      <c r="AC558" s="68">
        <f ca="1">IFERROR(__xludf.DUMMYFUNCTION("""COMPUTED_VALUE"""),43688.9986111111)</f>
        <v>43688.998611111099</v>
      </c>
      <c r="AD558" s="6">
        <f ca="1">IFERROR(__xludf.DUMMYFUNCTION("""COMPUTED_VALUE"""),1213.2)</f>
        <v>1213.2</v>
      </c>
      <c r="AH558" s="6" t="str">
        <f t="shared" ca="1" si="156"/>
        <v>20197</v>
      </c>
      <c r="AI558" s="6">
        <f t="shared" ca="1" si="157"/>
        <v>2019</v>
      </c>
      <c r="AJ558" s="6">
        <f t="shared" ca="1" si="158"/>
        <v>7</v>
      </c>
      <c r="AK558" s="68">
        <f ca="1">IFERROR(__xludf.DUMMYFUNCTION("""COMPUTED_VALUE"""),43650.9986111111)</f>
        <v>43650.998611111099</v>
      </c>
      <c r="AL558" s="6">
        <f ca="1">IFERROR(__xludf.DUMMYFUNCTION("""COMPUTED_VALUE"""),11159.69)</f>
        <v>11159.69</v>
      </c>
      <c r="AP558" s="6" t="str">
        <f t="shared" ca="1" si="159"/>
        <v>20203</v>
      </c>
      <c r="AQ558" s="6">
        <f t="shared" ca="1" si="160"/>
        <v>2020</v>
      </c>
      <c r="AR558" s="6">
        <f t="shared" ca="1" si="161"/>
        <v>3</v>
      </c>
      <c r="AS558" s="68">
        <f ca="1">IFERROR(__xludf.DUMMYFUNCTION("""COMPUTED_VALUE"""),43916.9986111111)</f>
        <v>43916.998611111099</v>
      </c>
      <c r="AT558" s="6">
        <f ca="1">IFERROR(__xludf.DUMMYFUNCTION("""COMPUTED_VALUE"""),1660.3)</f>
        <v>1660.3</v>
      </c>
    </row>
    <row r="559" spans="2:46" x14ac:dyDescent="0.35">
      <c r="B559" s="6" t="str">
        <f t="shared" ca="1" si="144"/>
        <v>20203</v>
      </c>
      <c r="C559" s="6">
        <f t="shared" ca="1" si="145"/>
        <v>2020</v>
      </c>
      <c r="D559" s="6">
        <f t="shared" ca="1" si="146"/>
        <v>3</v>
      </c>
      <c r="E559" s="68">
        <f ca="1">IFERROR(__xludf.DUMMYFUNCTION("""COMPUTED_VALUE"""),43908.6666666666)</f>
        <v>43908.666666666599</v>
      </c>
      <c r="F559" s="6">
        <f ca="1">IFERROR(__xludf.DUMMYFUNCTION("""COMPUTED_VALUE"""),2398.1)</f>
        <v>2398.1</v>
      </c>
      <c r="J559" s="6" t="str">
        <f t="shared" ca="1" si="147"/>
        <v>20203</v>
      </c>
      <c r="K559" s="6">
        <f t="shared" ca="1" si="148"/>
        <v>2020</v>
      </c>
      <c r="L559" s="6">
        <f t="shared" ca="1" si="149"/>
        <v>3</v>
      </c>
      <c r="M559" s="68">
        <f ca="1">IFERROR(__xludf.DUMMYFUNCTION("""COMPUTED_VALUE"""),43902.6666666666)</f>
        <v>43902.666666666599</v>
      </c>
      <c r="N559" s="6">
        <f ca="1">IFERROR(__xludf.DUMMYFUNCTION("""COMPUTED_VALUE"""),7201.8)</f>
        <v>7201.8</v>
      </c>
      <c r="R559" s="6" t="str">
        <f t="shared" ca="1" si="150"/>
        <v>20204</v>
      </c>
      <c r="S559" s="6">
        <f t="shared" ca="1" si="151"/>
        <v>2020</v>
      </c>
      <c r="T559" s="6">
        <f t="shared" ca="1" si="152"/>
        <v>4</v>
      </c>
      <c r="U559" s="68">
        <f ca="1">IFERROR(__xludf.DUMMYFUNCTION("""COMPUTED_VALUE"""),43931.6458333333)</f>
        <v>43931.645833333299</v>
      </c>
      <c r="V559" s="6">
        <f ca="1">IFERROR(__xludf.DUMMYFUNCTION("""COMPUTED_VALUE"""),1860.7)</f>
        <v>1860.7</v>
      </c>
      <c r="Z559" s="6" t="str">
        <f t="shared" ca="1" si="153"/>
        <v>20198</v>
      </c>
      <c r="AA559" s="6">
        <f t="shared" ca="1" si="154"/>
        <v>2019</v>
      </c>
      <c r="AB559" s="6">
        <f t="shared" ca="1" si="155"/>
        <v>8</v>
      </c>
      <c r="AC559" s="68">
        <f ca="1">IFERROR(__xludf.DUMMYFUNCTION("""COMPUTED_VALUE"""),43689.9986111111)</f>
        <v>43689.998611111099</v>
      </c>
      <c r="AD559" s="6">
        <f ca="1">IFERROR(__xludf.DUMMYFUNCTION("""COMPUTED_VALUE"""),1217.63)</f>
        <v>1217.6300000000001</v>
      </c>
      <c r="AH559" s="6" t="str">
        <f t="shared" ca="1" si="156"/>
        <v>20197</v>
      </c>
      <c r="AI559" s="6">
        <f t="shared" ca="1" si="157"/>
        <v>2019</v>
      </c>
      <c r="AJ559" s="6">
        <f t="shared" ca="1" si="158"/>
        <v>7</v>
      </c>
      <c r="AK559" s="68">
        <f ca="1">IFERROR(__xludf.DUMMYFUNCTION("""COMPUTED_VALUE"""),43651.9986111111)</f>
        <v>43651.998611111099</v>
      </c>
      <c r="AL559" s="6">
        <f ca="1">IFERROR(__xludf.DUMMYFUNCTION("""COMPUTED_VALUE"""),10982.98)</f>
        <v>10982.98</v>
      </c>
      <c r="AP559" s="6" t="str">
        <f t="shared" ca="1" si="159"/>
        <v>20203</v>
      </c>
      <c r="AQ559" s="6">
        <f t="shared" ca="1" si="160"/>
        <v>2020</v>
      </c>
      <c r="AR559" s="6">
        <f t="shared" ca="1" si="161"/>
        <v>3</v>
      </c>
      <c r="AS559" s="68">
        <f ca="1">IFERROR(__xludf.DUMMYFUNCTION("""COMPUTED_VALUE"""),43917.9986111111)</f>
        <v>43917.998611111099</v>
      </c>
      <c r="AT559" s="6">
        <f ca="1">IFERROR(__xludf.DUMMYFUNCTION("""COMPUTED_VALUE"""),1654.1)</f>
        <v>1654.1</v>
      </c>
    </row>
    <row r="560" spans="2:46" x14ac:dyDescent="0.35">
      <c r="B560" s="6" t="str">
        <f t="shared" ca="1" si="144"/>
        <v>20203</v>
      </c>
      <c r="C560" s="6">
        <f t="shared" ca="1" si="145"/>
        <v>2020</v>
      </c>
      <c r="D560" s="6">
        <f t="shared" ca="1" si="146"/>
        <v>3</v>
      </c>
      <c r="E560" s="68">
        <f ca="1">IFERROR(__xludf.DUMMYFUNCTION("""COMPUTED_VALUE"""),43909.6666666666)</f>
        <v>43909.666666666599</v>
      </c>
      <c r="F560" s="6">
        <f ca="1">IFERROR(__xludf.DUMMYFUNCTION("""COMPUTED_VALUE"""),2409.39)</f>
        <v>2409.39</v>
      </c>
      <c r="J560" s="6" t="str">
        <f t="shared" ca="1" si="147"/>
        <v>20203</v>
      </c>
      <c r="K560" s="6">
        <f t="shared" ca="1" si="148"/>
        <v>2020</v>
      </c>
      <c r="L560" s="6">
        <f t="shared" ca="1" si="149"/>
        <v>3</v>
      </c>
      <c r="M560" s="68">
        <f ca="1">IFERROR(__xludf.DUMMYFUNCTION("""COMPUTED_VALUE"""),43903.6666666666)</f>
        <v>43903.666666666599</v>
      </c>
      <c r="N560" s="6">
        <f ca="1">IFERROR(__xludf.DUMMYFUNCTION("""COMPUTED_VALUE"""),7874.88)</f>
        <v>7874.88</v>
      </c>
      <c r="R560" s="6" t="str">
        <f t="shared" ca="1" si="150"/>
        <v>20204</v>
      </c>
      <c r="S560" s="6">
        <f t="shared" ca="1" si="151"/>
        <v>2020</v>
      </c>
      <c r="T560" s="6">
        <f t="shared" ca="1" si="152"/>
        <v>4</v>
      </c>
      <c r="U560" s="68">
        <f ca="1">IFERROR(__xludf.DUMMYFUNCTION("""COMPUTED_VALUE"""),43934.6458333333)</f>
        <v>43934.645833333299</v>
      </c>
      <c r="V560" s="6">
        <f ca="1">IFERROR(__xludf.DUMMYFUNCTION("""COMPUTED_VALUE"""),1825.76)</f>
        <v>1825.76</v>
      </c>
      <c r="Z560" s="6" t="str">
        <f t="shared" ca="1" si="153"/>
        <v>20198</v>
      </c>
      <c r="AA560" s="6">
        <f t="shared" ca="1" si="154"/>
        <v>2019</v>
      </c>
      <c r="AB560" s="6">
        <f t="shared" ca="1" si="155"/>
        <v>8</v>
      </c>
      <c r="AC560" s="68">
        <f ca="1">IFERROR(__xludf.DUMMYFUNCTION("""COMPUTED_VALUE"""),43690.9986111111)</f>
        <v>43690.998611111099</v>
      </c>
      <c r="AD560" s="6">
        <f ca="1">IFERROR(__xludf.DUMMYFUNCTION("""COMPUTED_VALUE"""),1204.73)</f>
        <v>1204.73</v>
      </c>
      <c r="AH560" s="6" t="str">
        <f t="shared" ca="1" si="156"/>
        <v>20197</v>
      </c>
      <c r="AI560" s="6">
        <f t="shared" ca="1" si="157"/>
        <v>2019</v>
      </c>
      <c r="AJ560" s="6">
        <f t="shared" ca="1" si="158"/>
        <v>7</v>
      </c>
      <c r="AK560" s="68">
        <f ca="1">IFERROR(__xludf.DUMMYFUNCTION("""COMPUTED_VALUE"""),43652.9986111111)</f>
        <v>43652.998611111099</v>
      </c>
      <c r="AL560" s="6">
        <f ca="1">IFERROR(__xludf.DUMMYFUNCTION("""COMPUTED_VALUE"""),11250.14)</f>
        <v>11250.14</v>
      </c>
      <c r="AP560" s="6" t="str">
        <f t="shared" ca="1" si="159"/>
        <v>20203</v>
      </c>
      <c r="AQ560" s="6">
        <f t="shared" ca="1" si="160"/>
        <v>2020</v>
      </c>
      <c r="AR560" s="6">
        <f t="shared" ca="1" si="161"/>
        <v>3</v>
      </c>
      <c r="AS560" s="68">
        <f ca="1">IFERROR(__xludf.DUMMYFUNCTION("""COMPUTED_VALUE"""),43920.9986111111)</f>
        <v>43920.998611111099</v>
      </c>
      <c r="AT560" s="6">
        <f ca="1">IFERROR(__xludf.DUMMYFUNCTION("""COMPUTED_VALUE"""),1643.2)</f>
        <v>1643.2</v>
      </c>
    </row>
    <row r="561" spans="2:46" x14ac:dyDescent="0.35">
      <c r="B561" s="6" t="str">
        <f t="shared" ca="1" si="144"/>
        <v>20203</v>
      </c>
      <c r="C561" s="6">
        <f t="shared" ca="1" si="145"/>
        <v>2020</v>
      </c>
      <c r="D561" s="6">
        <f t="shared" ca="1" si="146"/>
        <v>3</v>
      </c>
      <c r="E561" s="68">
        <f ca="1">IFERROR(__xludf.DUMMYFUNCTION("""COMPUTED_VALUE"""),43910.6666666666)</f>
        <v>43910.666666666599</v>
      </c>
      <c r="F561" s="6">
        <f ca="1">IFERROR(__xludf.DUMMYFUNCTION("""COMPUTED_VALUE"""),2304.92)</f>
        <v>2304.92</v>
      </c>
      <c r="J561" s="6" t="str">
        <f t="shared" ca="1" si="147"/>
        <v>20203</v>
      </c>
      <c r="K561" s="6">
        <f t="shared" ca="1" si="148"/>
        <v>2020</v>
      </c>
      <c r="L561" s="6">
        <f t="shared" ca="1" si="149"/>
        <v>3</v>
      </c>
      <c r="M561" s="68">
        <f ca="1">IFERROR(__xludf.DUMMYFUNCTION("""COMPUTED_VALUE"""),43906.6666666666)</f>
        <v>43906.666666666599</v>
      </c>
      <c r="N561" s="6">
        <f ca="1">IFERROR(__xludf.DUMMYFUNCTION("""COMPUTED_VALUE"""),6904.59)</f>
        <v>6904.59</v>
      </c>
      <c r="R561" s="6" t="str">
        <f t="shared" ca="1" si="150"/>
        <v>20204</v>
      </c>
      <c r="S561" s="6">
        <f t="shared" ca="1" si="151"/>
        <v>2020</v>
      </c>
      <c r="T561" s="6">
        <f t="shared" ca="1" si="152"/>
        <v>4</v>
      </c>
      <c r="U561" s="68">
        <f ca="1">IFERROR(__xludf.DUMMYFUNCTION("""COMPUTED_VALUE"""),43935.6458333333)</f>
        <v>43935.645833333299</v>
      </c>
      <c r="V561" s="6">
        <f ca="1">IFERROR(__xludf.DUMMYFUNCTION("""COMPUTED_VALUE"""),1857.08)</f>
        <v>1857.08</v>
      </c>
      <c r="Z561" s="6" t="str">
        <f t="shared" ca="1" si="153"/>
        <v>20198</v>
      </c>
      <c r="AA561" s="6">
        <f t="shared" ca="1" si="154"/>
        <v>2019</v>
      </c>
      <c r="AB561" s="6">
        <f t="shared" ca="1" si="155"/>
        <v>8</v>
      </c>
      <c r="AC561" s="68">
        <f ca="1">IFERROR(__xludf.DUMMYFUNCTION("""COMPUTED_VALUE"""),43691.9986111111)</f>
        <v>43691.998611111099</v>
      </c>
      <c r="AD561" s="6">
        <f ca="1">IFERROR(__xludf.DUMMYFUNCTION("""COMPUTED_VALUE"""),1215.64)</f>
        <v>1215.6400000000001</v>
      </c>
      <c r="AH561" s="6" t="str">
        <f t="shared" ca="1" si="156"/>
        <v>20197</v>
      </c>
      <c r="AI561" s="6">
        <f t="shared" ca="1" si="157"/>
        <v>2019</v>
      </c>
      <c r="AJ561" s="6">
        <f t="shared" ca="1" si="158"/>
        <v>7</v>
      </c>
      <c r="AK561" s="68">
        <f ca="1">IFERROR(__xludf.DUMMYFUNCTION("""COMPUTED_VALUE"""),43653.9986111111)</f>
        <v>43653.998611111099</v>
      </c>
      <c r="AL561" s="6">
        <f ca="1">IFERROR(__xludf.DUMMYFUNCTION("""COMPUTED_VALUE"""),11472)</f>
        <v>11472</v>
      </c>
      <c r="AP561" s="6" t="str">
        <f t="shared" ca="1" si="159"/>
        <v>20203</v>
      </c>
      <c r="AQ561" s="6">
        <f t="shared" ca="1" si="160"/>
        <v>2020</v>
      </c>
      <c r="AR561" s="6">
        <f t="shared" ca="1" si="161"/>
        <v>3</v>
      </c>
      <c r="AS561" s="68">
        <f ca="1">IFERROR(__xludf.DUMMYFUNCTION("""COMPUTED_VALUE"""),43921.9986111111)</f>
        <v>43921.998611111099</v>
      </c>
      <c r="AT561" s="6">
        <f ca="1">IFERROR(__xludf.DUMMYFUNCTION("""COMPUTED_VALUE"""),1596.6)</f>
        <v>1596.6</v>
      </c>
    </row>
    <row r="562" spans="2:46" x14ac:dyDescent="0.35">
      <c r="B562" s="6" t="str">
        <f t="shared" ca="1" si="144"/>
        <v>20203</v>
      </c>
      <c r="C562" s="6">
        <f t="shared" ca="1" si="145"/>
        <v>2020</v>
      </c>
      <c r="D562" s="6">
        <f t="shared" ca="1" si="146"/>
        <v>3</v>
      </c>
      <c r="E562" s="68">
        <f ca="1">IFERROR(__xludf.DUMMYFUNCTION("""COMPUTED_VALUE"""),43913.6666666666)</f>
        <v>43913.666666666599</v>
      </c>
      <c r="F562" s="6">
        <f ca="1">IFERROR(__xludf.DUMMYFUNCTION("""COMPUTED_VALUE"""),2237.4)</f>
        <v>2237.4</v>
      </c>
      <c r="J562" s="6" t="str">
        <f t="shared" ca="1" si="147"/>
        <v>20203</v>
      </c>
      <c r="K562" s="6">
        <f t="shared" ca="1" si="148"/>
        <v>2020</v>
      </c>
      <c r="L562" s="6">
        <f t="shared" ca="1" si="149"/>
        <v>3</v>
      </c>
      <c r="M562" s="68">
        <f ca="1">IFERROR(__xludf.DUMMYFUNCTION("""COMPUTED_VALUE"""),43907.6666666666)</f>
        <v>43907.666666666599</v>
      </c>
      <c r="N562" s="6">
        <f ca="1">IFERROR(__xludf.DUMMYFUNCTION("""COMPUTED_VALUE"""),7334.78)</f>
        <v>7334.78</v>
      </c>
      <c r="R562" s="6" t="str">
        <f t="shared" ca="1" si="150"/>
        <v>20204</v>
      </c>
      <c r="S562" s="6">
        <f t="shared" ca="1" si="151"/>
        <v>2020</v>
      </c>
      <c r="T562" s="6">
        <f t="shared" ca="1" si="152"/>
        <v>4</v>
      </c>
      <c r="U562" s="68">
        <f ca="1">IFERROR(__xludf.DUMMYFUNCTION("""COMPUTED_VALUE"""),43937.6458333333)</f>
        <v>43937.645833333299</v>
      </c>
      <c r="V562" s="6">
        <f ca="1">IFERROR(__xludf.DUMMYFUNCTION("""COMPUTED_VALUE"""),1857.07)</f>
        <v>1857.07</v>
      </c>
      <c r="Z562" s="6" t="str">
        <f t="shared" ca="1" si="153"/>
        <v>20198</v>
      </c>
      <c r="AA562" s="6">
        <f t="shared" ca="1" si="154"/>
        <v>2019</v>
      </c>
      <c r="AB562" s="6">
        <f t="shared" ca="1" si="155"/>
        <v>8</v>
      </c>
      <c r="AC562" s="68">
        <f ca="1">IFERROR(__xludf.DUMMYFUNCTION("""COMPUTED_VALUE"""),43692.9986111111)</f>
        <v>43692.998611111099</v>
      </c>
      <c r="AD562" s="6">
        <f ca="1">IFERROR(__xludf.DUMMYFUNCTION("""COMPUTED_VALUE"""),1211.5)</f>
        <v>1211.5</v>
      </c>
      <c r="AH562" s="6" t="str">
        <f t="shared" ca="1" si="156"/>
        <v>20197</v>
      </c>
      <c r="AI562" s="6">
        <f t="shared" ca="1" si="157"/>
        <v>2019</v>
      </c>
      <c r="AJ562" s="6">
        <f t="shared" ca="1" si="158"/>
        <v>7</v>
      </c>
      <c r="AK562" s="68">
        <f ca="1">IFERROR(__xludf.DUMMYFUNCTION("""COMPUTED_VALUE"""),43654.9986111111)</f>
        <v>43654.998611111099</v>
      </c>
      <c r="AL562" s="6">
        <f ca="1">IFERROR(__xludf.DUMMYFUNCTION("""COMPUTED_VALUE"""),12286.77)</f>
        <v>12286.77</v>
      </c>
      <c r="AP562" s="6" t="str">
        <f t="shared" ca="1" si="159"/>
        <v>20204</v>
      </c>
      <c r="AQ562" s="6">
        <f t="shared" ca="1" si="160"/>
        <v>2020</v>
      </c>
      <c r="AR562" s="6">
        <f t="shared" ca="1" si="161"/>
        <v>4</v>
      </c>
      <c r="AS562" s="68">
        <f ca="1">IFERROR(__xludf.DUMMYFUNCTION("""COMPUTED_VALUE"""),43922.9986111111)</f>
        <v>43922.998611111099</v>
      </c>
      <c r="AT562" s="6">
        <f ca="1">IFERROR(__xludf.DUMMYFUNCTION("""COMPUTED_VALUE"""),1591.4)</f>
        <v>1591.4</v>
      </c>
    </row>
    <row r="563" spans="2:46" x14ac:dyDescent="0.35">
      <c r="B563" s="6" t="str">
        <f t="shared" ca="1" si="144"/>
        <v>20203</v>
      </c>
      <c r="C563" s="6">
        <f t="shared" ca="1" si="145"/>
        <v>2020</v>
      </c>
      <c r="D563" s="6">
        <f t="shared" ca="1" si="146"/>
        <v>3</v>
      </c>
      <c r="E563" s="68">
        <f ca="1">IFERROR(__xludf.DUMMYFUNCTION("""COMPUTED_VALUE"""),43914.6666666666)</f>
        <v>43914.666666666599</v>
      </c>
      <c r="F563" s="6">
        <f ca="1">IFERROR(__xludf.DUMMYFUNCTION("""COMPUTED_VALUE"""),2447.33)</f>
        <v>2447.33</v>
      </c>
      <c r="J563" s="6" t="str">
        <f t="shared" ca="1" si="147"/>
        <v>20203</v>
      </c>
      <c r="K563" s="6">
        <f t="shared" ca="1" si="148"/>
        <v>2020</v>
      </c>
      <c r="L563" s="6">
        <f t="shared" ca="1" si="149"/>
        <v>3</v>
      </c>
      <c r="M563" s="68">
        <f ca="1">IFERROR(__xludf.DUMMYFUNCTION("""COMPUTED_VALUE"""),43908.6666666666)</f>
        <v>43908.666666666599</v>
      </c>
      <c r="N563" s="6">
        <f ca="1">IFERROR(__xludf.DUMMYFUNCTION("""COMPUTED_VALUE"""),6989.84)</f>
        <v>6989.84</v>
      </c>
      <c r="R563" s="6" t="str">
        <f t="shared" ca="1" si="150"/>
        <v>20204</v>
      </c>
      <c r="S563" s="6">
        <f t="shared" ca="1" si="151"/>
        <v>2020</v>
      </c>
      <c r="T563" s="6">
        <f t="shared" ca="1" si="152"/>
        <v>4</v>
      </c>
      <c r="U563" s="68">
        <f ca="1">IFERROR(__xludf.DUMMYFUNCTION("""COMPUTED_VALUE"""),43938.6458333333)</f>
        <v>43938.645833333299</v>
      </c>
      <c r="V563" s="6">
        <f ca="1">IFERROR(__xludf.DUMMYFUNCTION("""COMPUTED_VALUE"""),1914.53)</f>
        <v>1914.53</v>
      </c>
      <c r="Z563" s="6" t="str">
        <f t="shared" ca="1" si="153"/>
        <v>20198</v>
      </c>
      <c r="AA563" s="6">
        <f t="shared" ca="1" si="154"/>
        <v>2019</v>
      </c>
      <c r="AB563" s="6">
        <f t="shared" ca="1" si="155"/>
        <v>8</v>
      </c>
      <c r="AC563" s="68">
        <f ca="1">IFERROR(__xludf.DUMMYFUNCTION("""COMPUTED_VALUE"""),43693.9986111111)</f>
        <v>43693.998611111099</v>
      </c>
      <c r="AD563" s="6">
        <f ca="1">IFERROR(__xludf.DUMMYFUNCTION("""COMPUTED_VALUE"""),1207.49)</f>
        <v>1207.49</v>
      </c>
      <c r="AH563" s="6" t="str">
        <f t="shared" ca="1" si="156"/>
        <v>20197</v>
      </c>
      <c r="AI563" s="6">
        <f t="shared" ca="1" si="157"/>
        <v>2019</v>
      </c>
      <c r="AJ563" s="6">
        <f t="shared" ca="1" si="158"/>
        <v>7</v>
      </c>
      <c r="AK563" s="68">
        <f ca="1">IFERROR(__xludf.DUMMYFUNCTION("""COMPUTED_VALUE"""),43655.9986111111)</f>
        <v>43655.998611111099</v>
      </c>
      <c r="AL563" s="6">
        <f ca="1">IFERROR(__xludf.DUMMYFUNCTION("""COMPUTED_VALUE"""),12558.42)</f>
        <v>12558.42</v>
      </c>
      <c r="AP563" s="6" t="str">
        <f t="shared" ca="1" si="159"/>
        <v>20204</v>
      </c>
      <c r="AQ563" s="6">
        <f t="shared" ca="1" si="160"/>
        <v>2020</v>
      </c>
      <c r="AR563" s="6">
        <f t="shared" ca="1" si="161"/>
        <v>4</v>
      </c>
      <c r="AS563" s="68">
        <f ca="1">IFERROR(__xludf.DUMMYFUNCTION("""COMPUTED_VALUE"""),43923.9986111111)</f>
        <v>43923.998611111099</v>
      </c>
      <c r="AT563" s="6">
        <f ca="1">IFERROR(__xludf.DUMMYFUNCTION("""COMPUTED_VALUE"""),1637.7)</f>
        <v>1637.7</v>
      </c>
    </row>
    <row r="564" spans="2:46" x14ac:dyDescent="0.35">
      <c r="B564" s="6" t="str">
        <f t="shared" ca="1" si="144"/>
        <v>20203</v>
      </c>
      <c r="C564" s="6">
        <f t="shared" ca="1" si="145"/>
        <v>2020</v>
      </c>
      <c r="D564" s="6">
        <f t="shared" ca="1" si="146"/>
        <v>3</v>
      </c>
      <c r="E564" s="68">
        <f ca="1">IFERROR(__xludf.DUMMYFUNCTION("""COMPUTED_VALUE"""),43915.6666666666)</f>
        <v>43915.666666666599</v>
      </c>
      <c r="F564" s="6">
        <f ca="1">IFERROR(__xludf.DUMMYFUNCTION("""COMPUTED_VALUE"""),2475.56)</f>
        <v>2475.56</v>
      </c>
      <c r="J564" s="6" t="str">
        <f t="shared" ca="1" si="147"/>
        <v>20203</v>
      </c>
      <c r="K564" s="6">
        <f t="shared" ca="1" si="148"/>
        <v>2020</v>
      </c>
      <c r="L564" s="6">
        <f t="shared" ca="1" si="149"/>
        <v>3</v>
      </c>
      <c r="M564" s="68">
        <f ca="1">IFERROR(__xludf.DUMMYFUNCTION("""COMPUTED_VALUE"""),43909.6666666666)</f>
        <v>43909.666666666599</v>
      </c>
      <c r="N564" s="6">
        <f ca="1">IFERROR(__xludf.DUMMYFUNCTION("""COMPUTED_VALUE"""),7150.58)</f>
        <v>7150.58</v>
      </c>
      <c r="R564" s="6" t="str">
        <f t="shared" ca="1" si="150"/>
        <v>20204</v>
      </c>
      <c r="S564" s="6">
        <f t="shared" ca="1" si="151"/>
        <v>2020</v>
      </c>
      <c r="T564" s="6">
        <f t="shared" ca="1" si="152"/>
        <v>4</v>
      </c>
      <c r="U564" s="68">
        <f ca="1">IFERROR(__xludf.DUMMYFUNCTION("""COMPUTED_VALUE"""),43941.6458333333)</f>
        <v>43941.645833333299</v>
      </c>
      <c r="V564" s="6">
        <f ca="1">IFERROR(__xludf.DUMMYFUNCTION("""COMPUTED_VALUE"""),1898.36)</f>
        <v>1898.36</v>
      </c>
      <c r="Z564" s="6" t="str">
        <f t="shared" ca="1" si="153"/>
        <v>20198</v>
      </c>
      <c r="AA564" s="6">
        <f t="shared" ca="1" si="154"/>
        <v>2019</v>
      </c>
      <c r="AB564" s="6">
        <f t="shared" ca="1" si="155"/>
        <v>8</v>
      </c>
      <c r="AC564" s="68">
        <f ca="1">IFERROR(__xludf.DUMMYFUNCTION("""COMPUTED_VALUE"""),43695.9986111111)</f>
        <v>43695.998611111099</v>
      </c>
      <c r="AD564" s="6">
        <f ca="1">IFERROR(__xludf.DUMMYFUNCTION("""COMPUTED_VALUE"""),1207.49)</f>
        <v>1207.49</v>
      </c>
      <c r="AH564" s="6" t="str">
        <f t="shared" ca="1" si="156"/>
        <v>20197</v>
      </c>
      <c r="AI564" s="6">
        <f t="shared" ca="1" si="157"/>
        <v>2019</v>
      </c>
      <c r="AJ564" s="6">
        <f t="shared" ca="1" si="158"/>
        <v>7</v>
      </c>
      <c r="AK564" s="68">
        <f ca="1">IFERROR(__xludf.DUMMYFUNCTION("""COMPUTED_VALUE"""),43656.9986111111)</f>
        <v>43656.998611111099</v>
      </c>
      <c r="AL564" s="6">
        <f ca="1">IFERROR(__xludf.DUMMYFUNCTION("""COMPUTED_VALUE"""),12101.73)</f>
        <v>12101.73</v>
      </c>
      <c r="AP564" s="6" t="str">
        <f t="shared" ca="1" si="159"/>
        <v>20204</v>
      </c>
      <c r="AQ564" s="6">
        <f t="shared" ca="1" si="160"/>
        <v>2020</v>
      </c>
      <c r="AR564" s="6">
        <f t="shared" ca="1" si="161"/>
        <v>4</v>
      </c>
      <c r="AS564" s="68">
        <f ca="1">IFERROR(__xludf.DUMMYFUNCTION("""COMPUTED_VALUE"""),43924.9986111111)</f>
        <v>43924.998611111099</v>
      </c>
      <c r="AT564" s="6">
        <f ca="1">IFERROR(__xludf.DUMMYFUNCTION("""COMPUTED_VALUE"""),1645.7)</f>
        <v>1645.7</v>
      </c>
    </row>
    <row r="565" spans="2:46" x14ac:dyDescent="0.35">
      <c r="B565" s="6" t="str">
        <f t="shared" ca="1" si="144"/>
        <v>20203</v>
      </c>
      <c r="C565" s="6">
        <f t="shared" ca="1" si="145"/>
        <v>2020</v>
      </c>
      <c r="D565" s="6">
        <f t="shared" ca="1" si="146"/>
        <v>3</v>
      </c>
      <c r="E565" s="68">
        <f ca="1">IFERROR(__xludf.DUMMYFUNCTION("""COMPUTED_VALUE"""),43916.6666666666)</f>
        <v>43916.666666666599</v>
      </c>
      <c r="F565" s="6">
        <f ca="1">IFERROR(__xludf.DUMMYFUNCTION("""COMPUTED_VALUE"""),2630.07)</f>
        <v>2630.07</v>
      </c>
      <c r="J565" s="6" t="str">
        <f t="shared" ca="1" si="147"/>
        <v>20203</v>
      </c>
      <c r="K565" s="6">
        <f t="shared" ca="1" si="148"/>
        <v>2020</v>
      </c>
      <c r="L565" s="6">
        <f t="shared" ca="1" si="149"/>
        <v>3</v>
      </c>
      <c r="M565" s="68">
        <f ca="1">IFERROR(__xludf.DUMMYFUNCTION("""COMPUTED_VALUE"""),43910.6666666666)</f>
        <v>43910.666666666599</v>
      </c>
      <c r="N565" s="6">
        <f ca="1">IFERROR(__xludf.DUMMYFUNCTION("""COMPUTED_VALUE"""),6879.52)</f>
        <v>6879.52</v>
      </c>
      <c r="R565" s="6" t="str">
        <f t="shared" ca="1" si="150"/>
        <v>20204</v>
      </c>
      <c r="S565" s="6">
        <f t="shared" ca="1" si="151"/>
        <v>2020</v>
      </c>
      <c r="T565" s="6">
        <f t="shared" ca="1" si="152"/>
        <v>4</v>
      </c>
      <c r="U565" s="68">
        <f ca="1">IFERROR(__xludf.DUMMYFUNCTION("""COMPUTED_VALUE"""),43942.6458333333)</f>
        <v>43942.645833333299</v>
      </c>
      <c r="V565" s="6">
        <f ca="1">IFERROR(__xludf.DUMMYFUNCTION("""COMPUTED_VALUE"""),1879.38)</f>
        <v>1879.38</v>
      </c>
      <c r="Z565" s="6" t="str">
        <f t="shared" ca="1" si="153"/>
        <v>20198</v>
      </c>
      <c r="AA565" s="6">
        <f t="shared" ca="1" si="154"/>
        <v>2019</v>
      </c>
      <c r="AB565" s="6">
        <f t="shared" ca="1" si="155"/>
        <v>8</v>
      </c>
      <c r="AC565" s="68">
        <f ca="1">IFERROR(__xludf.DUMMYFUNCTION("""COMPUTED_VALUE"""),43696.9986111111)</f>
        <v>43696.998611111099</v>
      </c>
      <c r="AD565" s="6">
        <f ca="1">IFERROR(__xludf.DUMMYFUNCTION("""COMPUTED_VALUE"""),1210.53)</f>
        <v>1210.53</v>
      </c>
      <c r="AH565" s="6" t="str">
        <f t="shared" ca="1" si="156"/>
        <v>20197</v>
      </c>
      <c r="AI565" s="6">
        <f t="shared" ca="1" si="157"/>
        <v>2019</v>
      </c>
      <c r="AJ565" s="6">
        <f t="shared" ca="1" si="158"/>
        <v>7</v>
      </c>
      <c r="AK565" s="68">
        <f ca="1">IFERROR(__xludf.DUMMYFUNCTION("""COMPUTED_VALUE"""),43657.9986111111)</f>
        <v>43657.998611111099</v>
      </c>
      <c r="AL565" s="6">
        <f ca="1">IFERROR(__xludf.DUMMYFUNCTION("""COMPUTED_VALUE"""),11350.24)</f>
        <v>11350.24</v>
      </c>
      <c r="AP565" s="6" t="str">
        <f t="shared" ca="1" si="159"/>
        <v>20204</v>
      </c>
      <c r="AQ565" s="6">
        <f t="shared" ca="1" si="160"/>
        <v>2020</v>
      </c>
      <c r="AR565" s="6">
        <f t="shared" ca="1" si="161"/>
        <v>4</v>
      </c>
      <c r="AS565" s="68">
        <f ca="1">IFERROR(__xludf.DUMMYFUNCTION("""COMPUTED_VALUE"""),43927.9986111111)</f>
        <v>43927.998611111099</v>
      </c>
      <c r="AT565" s="6">
        <f ca="1">IFERROR(__xludf.DUMMYFUNCTION("""COMPUTED_VALUE"""),1693.9)</f>
        <v>1693.9</v>
      </c>
    </row>
    <row r="566" spans="2:46" x14ac:dyDescent="0.35">
      <c r="B566" s="6" t="str">
        <f t="shared" ca="1" si="144"/>
        <v>20203</v>
      </c>
      <c r="C566" s="6">
        <f t="shared" ca="1" si="145"/>
        <v>2020</v>
      </c>
      <c r="D566" s="6">
        <f t="shared" ca="1" si="146"/>
        <v>3</v>
      </c>
      <c r="E566" s="68">
        <f ca="1">IFERROR(__xludf.DUMMYFUNCTION("""COMPUTED_VALUE"""),43917.6666666666)</f>
        <v>43917.666666666599</v>
      </c>
      <c r="F566" s="6">
        <f ca="1">IFERROR(__xludf.DUMMYFUNCTION("""COMPUTED_VALUE"""),2541.47)</f>
        <v>2541.4699999999998</v>
      </c>
      <c r="J566" s="6" t="str">
        <f t="shared" ca="1" si="147"/>
        <v>20203</v>
      </c>
      <c r="K566" s="6">
        <f t="shared" ca="1" si="148"/>
        <v>2020</v>
      </c>
      <c r="L566" s="6">
        <f t="shared" ca="1" si="149"/>
        <v>3</v>
      </c>
      <c r="M566" s="68">
        <f ca="1">IFERROR(__xludf.DUMMYFUNCTION("""COMPUTED_VALUE"""),43913.6666666666)</f>
        <v>43913.666666666599</v>
      </c>
      <c r="N566" s="6">
        <f ca="1">IFERROR(__xludf.DUMMYFUNCTION("""COMPUTED_VALUE"""),6860.67)</f>
        <v>6860.67</v>
      </c>
      <c r="R566" s="6" t="str">
        <f t="shared" ca="1" si="150"/>
        <v>20204</v>
      </c>
      <c r="S566" s="6">
        <f t="shared" ca="1" si="151"/>
        <v>2020</v>
      </c>
      <c r="T566" s="6">
        <f t="shared" ca="1" si="152"/>
        <v>4</v>
      </c>
      <c r="U566" s="68">
        <f ca="1">IFERROR(__xludf.DUMMYFUNCTION("""COMPUTED_VALUE"""),43943.6458333333)</f>
        <v>43943.645833333299</v>
      </c>
      <c r="V566" s="6">
        <f ca="1">IFERROR(__xludf.DUMMYFUNCTION("""COMPUTED_VALUE"""),1896.15)</f>
        <v>1896.15</v>
      </c>
      <c r="Z566" s="6" t="str">
        <f t="shared" ca="1" si="153"/>
        <v>20198</v>
      </c>
      <c r="AA566" s="6">
        <f t="shared" ca="1" si="154"/>
        <v>2019</v>
      </c>
      <c r="AB566" s="6">
        <f t="shared" ca="1" si="155"/>
        <v>8</v>
      </c>
      <c r="AC566" s="68">
        <f ca="1">IFERROR(__xludf.DUMMYFUNCTION("""COMPUTED_VALUE"""),43697.9986111111)</f>
        <v>43697.998611111099</v>
      </c>
      <c r="AD566" s="6">
        <f ca="1">IFERROR(__xludf.DUMMYFUNCTION("""COMPUTED_VALUE"""),1205.28)</f>
        <v>1205.28</v>
      </c>
      <c r="AH566" s="6" t="str">
        <f t="shared" ca="1" si="156"/>
        <v>20197</v>
      </c>
      <c r="AI566" s="6">
        <f t="shared" ca="1" si="157"/>
        <v>2019</v>
      </c>
      <c r="AJ566" s="6">
        <f t="shared" ca="1" si="158"/>
        <v>7</v>
      </c>
      <c r="AK566" s="68">
        <f ca="1">IFERROR(__xludf.DUMMYFUNCTION("""COMPUTED_VALUE"""),43658.9986111111)</f>
        <v>43658.998611111099</v>
      </c>
      <c r="AL566" s="6">
        <f ca="1">IFERROR(__xludf.DUMMYFUNCTION("""COMPUTED_VALUE"""),11803.48)</f>
        <v>11803.48</v>
      </c>
      <c r="AP566" s="6" t="str">
        <f t="shared" ca="1" si="159"/>
        <v>20204</v>
      </c>
      <c r="AQ566" s="6">
        <f t="shared" ca="1" si="160"/>
        <v>2020</v>
      </c>
      <c r="AR566" s="6">
        <f t="shared" ca="1" si="161"/>
        <v>4</v>
      </c>
      <c r="AS566" s="68">
        <f ca="1">IFERROR(__xludf.DUMMYFUNCTION("""COMPUTED_VALUE"""),43928.9986111111)</f>
        <v>43928.998611111099</v>
      </c>
      <c r="AT566" s="6">
        <f ca="1">IFERROR(__xludf.DUMMYFUNCTION("""COMPUTED_VALUE"""),1683.7)</f>
        <v>1683.7</v>
      </c>
    </row>
    <row r="567" spans="2:46" x14ac:dyDescent="0.35">
      <c r="B567" s="6" t="str">
        <f t="shared" ca="1" si="144"/>
        <v>20203</v>
      </c>
      <c r="C567" s="6">
        <f t="shared" ca="1" si="145"/>
        <v>2020</v>
      </c>
      <c r="D567" s="6">
        <f t="shared" ca="1" si="146"/>
        <v>3</v>
      </c>
      <c r="E567" s="68">
        <f ca="1">IFERROR(__xludf.DUMMYFUNCTION("""COMPUTED_VALUE"""),43920.6666666666)</f>
        <v>43920.666666666599</v>
      </c>
      <c r="F567" s="6">
        <f ca="1">IFERROR(__xludf.DUMMYFUNCTION("""COMPUTED_VALUE"""),2626.65)</f>
        <v>2626.65</v>
      </c>
      <c r="J567" s="6" t="str">
        <f t="shared" ca="1" si="147"/>
        <v>20203</v>
      </c>
      <c r="K567" s="6">
        <f t="shared" ca="1" si="148"/>
        <v>2020</v>
      </c>
      <c r="L567" s="6">
        <f t="shared" ca="1" si="149"/>
        <v>3</v>
      </c>
      <c r="M567" s="68">
        <f ca="1">IFERROR(__xludf.DUMMYFUNCTION("""COMPUTED_VALUE"""),43914.6666666666)</f>
        <v>43914.666666666599</v>
      </c>
      <c r="N567" s="6">
        <f ca="1">IFERROR(__xludf.DUMMYFUNCTION("""COMPUTED_VALUE"""),7417.86)</f>
        <v>7417.86</v>
      </c>
      <c r="R567" s="6" t="str">
        <f t="shared" ca="1" si="150"/>
        <v>20204</v>
      </c>
      <c r="S567" s="6">
        <f t="shared" ca="1" si="151"/>
        <v>2020</v>
      </c>
      <c r="T567" s="6">
        <f t="shared" ca="1" si="152"/>
        <v>4</v>
      </c>
      <c r="U567" s="68">
        <f ca="1">IFERROR(__xludf.DUMMYFUNCTION("""COMPUTED_VALUE"""),43944.6458333333)</f>
        <v>43944.645833333299</v>
      </c>
      <c r="V567" s="6">
        <f ca="1">IFERROR(__xludf.DUMMYFUNCTION("""COMPUTED_VALUE"""),1914.73)</f>
        <v>1914.73</v>
      </c>
      <c r="Z567" s="6" t="str">
        <f t="shared" ca="1" si="153"/>
        <v>20198</v>
      </c>
      <c r="AA567" s="6">
        <f t="shared" ca="1" si="154"/>
        <v>2019</v>
      </c>
      <c r="AB567" s="6">
        <f t="shared" ca="1" si="155"/>
        <v>8</v>
      </c>
      <c r="AC567" s="68">
        <f ca="1">IFERROR(__xludf.DUMMYFUNCTION("""COMPUTED_VALUE"""),43698.9986111111)</f>
        <v>43698.998611111099</v>
      </c>
      <c r="AD567" s="6">
        <f ca="1">IFERROR(__xludf.DUMMYFUNCTION("""COMPUTED_VALUE"""),1201.32)</f>
        <v>1201.32</v>
      </c>
      <c r="AH567" s="6" t="str">
        <f t="shared" ca="1" si="156"/>
        <v>20197</v>
      </c>
      <c r="AI567" s="6">
        <f t="shared" ca="1" si="157"/>
        <v>2019</v>
      </c>
      <c r="AJ567" s="6">
        <f t="shared" ca="1" si="158"/>
        <v>7</v>
      </c>
      <c r="AK567" s="68">
        <f ca="1">IFERROR(__xludf.DUMMYFUNCTION("""COMPUTED_VALUE"""),43659.9986111111)</f>
        <v>43659.998611111099</v>
      </c>
      <c r="AL567" s="6">
        <f ca="1">IFERROR(__xludf.DUMMYFUNCTION("""COMPUTED_VALUE"""),11364.7)</f>
        <v>11364.7</v>
      </c>
      <c r="AP567" s="6" t="str">
        <f t="shared" ca="1" si="159"/>
        <v>20204</v>
      </c>
      <c r="AQ567" s="6">
        <f t="shared" ca="1" si="160"/>
        <v>2020</v>
      </c>
      <c r="AR567" s="6">
        <f t="shared" ca="1" si="161"/>
        <v>4</v>
      </c>
      <c r="AS567" s="68">
        <f ca="1">IFERROR(__xludf.DUMMYFUNCTION("""COMPUTED_VALUE"""),43929.9986111111)</f>
        <v>43929.998611111099</v>
      </c>
      <c r="AT567" s="6">
        <f ca="1">IFERROR(__xludf.DUMMYFUNCTION("""COMPUTED_VALUE"""),1684.3)</f>
        <v>1684.3</v>
      </c>
    </row>
    <row r="568" spans="2:46" x14ac:dyDescent="0.35">
      <c r="B568" s="6" t="str">
        <f t="shared" ca="1" si="144"/>
        <v>20203</v>
      </c>
      <c r="C568" s="6">
        <f t="shared" ca="1" si="145"/>
        <v>2020</v>
      </c>
      <c r="D568" s="6">
        <f t="shared" ca="1" si="146"/>
        <v>3</v>
      </c>
      <c r="E568" s="68">
        <f ca="1">IFERROR(__xludf.DUMMYFUNCTION("""COMPUTED_VALUE"""),43921.6666666666)</f>
        <v>43921.666666666599</v>
      </c>
      <c r="F568" s="6">
        <f ca="1">IFERROR(__xludf.DUMMYFUNCTION("""COMPUTED_VALUE"""),2584.59)</f>
        <v>2584.59</v>
      </c>
      <c r="J568" s="6" t="str">
        <f t="shared" ca="1" si="147"/>
        <v>20203</v>
      </c>
      <c r="K568" s="6">
        <f t="shared" ca="1" si="148"/>
        <v>2020</v>
      </c>
      <c r="L568" s="6">
        <f t="shared" ca="1" si="149"/>
        <v>3</v>
      </c>
      <c r="M568" s="68">
        <f ca="1">IFERROR(__xludf.DUMMYFUNCTION("""COMPUTED_VALUE"""),43915.6666666666)</f>
        <v>43915.666666666599</v>
      </c>
      <c r="N568" s="6">
        <f ca="1">IFERROR(__xludf.DUMMYFUNCTION("""COMPUTED_VALUE"""),7384.3)</f>
        <v>7384.3</v>
      </c>
      <c r="R568" s="6" t="str">
        <f t="shared" ca="1" si="150"/>
        <v>20204</v>
      </c>
      <c r="S568" s="6">
        <f t="shared" ca="1" si="151"/>
        <v>2020</v>
      </c>
      <c r="T568" s="6">
        <f t="shared" ca="1" si="152"/>
        <v>4</v>
      </c>
      <c r="U568" s="68">
        <f ca="1">IFERROR(__xludf.DUMMYFUNCTION("""COMPUTED_VALUE"""),43945.6458333333)</f>
        <v>43945.645833333299</v>
      </c>
      <c r="V568" s="6">
        <f ca="1">IFERROR(__xludf.DUMMYFUNCTION("""COMPUTED_VALUE"""),1889.01)</f>
        <v>1889.01</v>
      </c>
      <c r="Z568" s="6" t="str">
        <f t="shared" ca="1" si="153"/>
        <v>20198</v>
      </c>
      <c r="AA568" s="6">
        <f t="shared" ca="1" si="154"/>
        <v>2019</v>
      </c>
      <c r="AB568" s="6">
        <f t="shared" ca="1" si="155"/>
        <v>8</v>
      </c>
      <c r="AC568" s="68">
        <f ca="1">IFERROR(__xludf.DUMMYFUNCTION("""COMPUTED_VALUE"""),43699.9986111111)</f>
        <v>43699.998611111099</v>
      </c>
      <c r="AD568" s="6">
        <f ca="1">IFERROR(__xludf.DUMMYFUNCTION("""COMPUTED_VALUE"""),1208.56)</f>
        <v>1208.56</v>
      </c>
      <c r="AH568" s="6" t="str">
        <f t="shared" ca="1" si="156"/>
        <v>20197</v>
      </c>
      <c r="AI568" s="6">
        <f t="shared" ca="1" si="157"/>
        <v>2019</v>
      </c>
      <c r="AJ568" s="6">
        <f t="shared" ca="1" si="158"/>
        <v>7</v>
      </c>
      <c r="AK568" s="68">
        <f ca="1">IFERROR(__xludf.DUMMYFUNCTION("""COMPUTED_VALUE"""),43660.9986111111)</f>
        <v>43660.998611111099</v>
      </c>
      <c r="AL568" s="6">
        <f ca="1">IFERROR(__xludf.DUMMYFUNCTION("""COMPUTED_VALUE"""),10211.42)</f>
        <v>10211.42</v>
      </c>
      <c r="AP568" s="6" t="str">
        <f t="shared" ca="1" si="159"/>
        <v>20204</v>
      </c>
      <c r="AQ568" s="6">
        <f t="shared" ca="1" si="160"/>
        <v>2020</v>
      </c>
      <c r="AR568" s="6">
        <f t="shared" ca="1" si="161"/>
        <v>4</v>
      </c>
      <c r="AS568" s="68">
        <f ca="1">IFERROR(__xludf.DUMMYFUNCTION("""COMPUTED_VALUE"""),43930.9986111111)</f>
        <v>43930.998611111099</v>
      </c>
      <c r="AT568" s="6">
        <f ca="1">IFERROR(__xludf.DUMMYFUNCTION("""COMPUTED_VALUE"""),1752.8)</f>
        <v>1752.8</v>
      </c>
    </row>
    <row r="569" spans="2:46" x14ac:dyDescent="0.35">
      <c r="B569" s="6" t="str">
        <f t="shared" ca="1" si="144"/>
        <v>20204</v>
      </c>
      <c r="C569" s="6">
        <f t="shared" ca="1" si="145"/>
        <v>2020</v>
      </c>
      <c r="D569" s="6">
        <f t="shared" ca="1" si="146"/>
        <v>4</v>
      </c>
      <c r="E569" s="68">
        <f ca="1">IFERROR(__xludf.DUMMYFUNCTION("""COMPUTED_VALUE"""),43922.6666666666)</f>
        <v>43922.666666666599</v>
      </c>
      <c r="F569" s="6">
        <f ca="1">IFERROR(__xludf.DUMMYFUNCTION("""COMPUTED_VALUE"""),2470.5)</f>
        <v>2470.5</v>
      </c>
      <c r="J569" s="6" t="str">
        <f t="shared" ca="1" si="147"/>
        <v>20203</v>
      </c>
      <c r="K569" s="6">
        <f t="shared" ca="1" si="148"/>
        <v>2020</v>
      </c>
      <c r="L569" s="6">
        <f t="shared" ca="1" si="149"/>
        <v>3</v>
      </c>
      <c r="M569" s="68">
        <f ca="1">IFERROR(__xludf.DUMMYFUNCTION("""COMPUTED_VALUE"""),43916.6666666666)</f>
        <v>43916.666666666599</v>
      </c>
      <c r="N569" s="6">
        <f ca="1">IFERROR(__xludf.DUMMYFUNCTION("""COMPUTED_VALUE"""),7797.54)</f>
        <v>7797.54</v>
      </c>
      <c r="R569" s="6" t="str">
        <f t="shared" ca="1" si="150"/>
        <v>20204</v>
      </c>
      <c r="S569" s="6">
        <f t="shared" ca="1" si="151"/>
        <v>2020</v>
      </c>
      <c r="T569" s="6">
        <f t="shared" ca="1" si="152"/>
        <v>4</v>
      </c>
      <c r="U569" s="68">
        <f ca="1">IFERROR(__xludf.DUMMYFUNCTION("""COMPUTED_VALUE"""),43948.6458333333)</f>
        <v>43948.645833333299</v>
      </c>
      <c r="V569" s="6">
        <f ca="1">IFERROR(__xludf.DUMMYFUNCTION("""COMPUTED_VALUE"""),1922.77)</f>
        <v>1922.77</v>
      </c>
      <c r="Z569" s="6" t="str">
        <f t="shared" ca="1" si="153"/>
        <v>20198</v>
      </c>
      <c r="AA569" s="6">
        <f t="shared" ca="1" si="154"/>
        <v>2019</v>
      </c>
      <c r="AB569" s="6">
        <f t="shared" ca="1" si="155"/>
        <v>8</v>
      </c>
      <c r="AC569" s="68">
        <f ca="1">IFERROR(__xludf.DUMMYFUNCTION("""COMPUTED_VALUE"""),43700.9986111111)</f>
        <v>43700.998611111099</v>
      </c>
      <c r="AD569" s="6">
        <f ca="1">IFERROR(__xludf.DUMMYFUNCTION("""COMPUTED_VALUE"""),1212.67)</f>
        <v>1212.67</v>
      </c>
      <c r="AH569" s="6" t="str">
        <f t="shared" ca="1" si="156"/>
        <v>20197</v>
      </c>
      <c r="AI569" s="6">
        <f t="shared" ca="1" si="157"/>
        <v>2019</v>
      </c>
      <c r="AJ569" s="6">
        <f t="shared" ca="1" si="158"/>
        <v>7</v>
      </c>
      <c r="AK569" s="68">
        <f ca="1">IFERROR(__xludf.DUMMYFUNCTION("""COMPUTED_VALUE"""),43661.9986111111)</f>
        <v>43661.998611111099</v>
      </c>
      <c r="AL569" s="6">
        <f ca="1">IFERROR(__xludf.DUMMYFUNCTION("""COMPUTED_VALUE"""),10846.35)</f>
        <v>10846.35</v>
      </c>
      <c r="AP569" s="6" t="str">
        <f t="shared" ca="1" si="159"/>
        <v>20204</v>
      </c>
      <c r="AQ569" s="6">
        <f t="shared" ca="1" si="160"/>
        <v>2020</v>
      </c>
      <c r="AR569" s="6">
        <f t="shared" ca="1" si="161"/>
        <v>4</v>
      </c>
      <c r="AS569" s="68">
        <f ca="1">IFERROR(__xludf.DUMMYFUNCTION("""COMPUTED_VALUE"""),43934.9986111111)</f>
        <v>43934.998611111099</v>
      </c>
      <c r="AT569" s="6">
        <f ca="1">IFERROR(__xludf.DUMMYFUNCTION("""COMPUTED_VALUE"""),1761.4)</f>
        <v>1761.4</v>
      </c>
    </row>
    <row r="570" spans="2:46" x14ac:dyDescent="0.35">
      <c r="B570" s="6" t="str">
        <f t="shared" ca="1" si="144"/>
        <v>20204</v>
      </c>
      <c r="C570" s="6">
        <f t="shared" ca="1" si="145"/>
        <v>2020</v>
      </c>
      <c r="D570" s="6">
        <f t="shared" ca="1" si="146"/>
        <v>4</v>
      </c>
      <c r="E570" s="68">
        <f ca="1">IFERROR(__xludf.DUMMYFUNCTION("""COMPUTED_VALUE"""),43923.6666666666)</f>
        <v>43923.666666666599</v>
      </c>
      <c r="F570" s="6">
        <f ca="1">IFERROR(__xludf.DUMMYFUNCTION("""COMPUTED_VALUE"""),2526.9)</f>
        <v>2526.9</v>
      </c>
      <c r="J570" s="6" t="str">
        <f t="shared" ca="1" si="147"/>
        <v>20203</v>
      </c>
      <c r="K570" s="6">
        <f t="shared" ca="1" si="148"/>
        <v>2020</v>
      </c>
      <c r="L570" s="6">
        <f t="shared" ca="1" si="149"/>
        <v>3</v>
      </c>
      <c r="M570" s="68">
        <f ca="1">IFERROR(__xludf.DUMMYFUNCTION("""COMPUTED_VALUE"""),43917.6666666666)</f>
        <v>43917.666666666599</v>
      </c>
      <c r="N570" s="6">
        <f ca="1">IFERROR(__xludf.DUMMYFUNCTION("""COMPUTED_VALUE"""),7502.38)</f>
        <v>7502.38</v>
      </c>
      <c r="R570" s="6" t="str">
        <f t="shared" ca="1" si="150"/>
        <v>20204</v>
      </c>
      <c r="S570" s="6">
        <f t="shared" ca="1" si="151"/>
        <v>2020</v>
      </c>
      <c r="T570" s="6">
        <f t="shared" ca="1" si="152"/>
        <v>4</v>
      </c>
      <c r="U570" s="68">
        <f ca="1">IFERROR(__xludf.DUMMYFUNCTION("""COMPUTED_VALUE"""),43949.6458333333)</f>
        <v>43949.645833333299</v>
      </c>
      <c r="V570" s="6">
        <f ca="1">IFERROR(__xludf.DUMMYFUNCTION("""COMPUTED_VALUE"""),1934.09)</f>
        <v>1934.09</v>
      </c>
      <c r="Z570" s="6" t="str">
        <f t="shared" ca="1" si="153"/>
        <v>20198</v>
      </c>
      <c r="AA570" s="6">
        <f t="shared" ca="1" si="154"/>
        <v>2019</v>
      </c>
      <c r="AB570" s="6">
        <f t="shared" ca="1" si="155"/>
        <v>8</v>
      </c>
      <c r="AC570" s="68">
        <f ca="1">IFERROR(__xludf.DUMMYFUNCTION("""COMPUTED_VALUE"""),43701.9986111111)</f>
        <v>43701.998611111099</v>
      </c>
      <c r="AD570" s="6">
        <f ca="1">IFERROR(__xludf.DUMMYFUNCTION("""COMPUTED_VALUE"""),1211.7)</f>
        <v>1211.7</v>
      </c>
      <c r="AH570" s="6" t="str">
        <f t="shared" ca="1" si="156"/>
        <v>20197</v>
      </c>
      <c r="AI570" s="6">
        <f t="shared" ca="1" si="157"/>
        <v>2019</v>
      </c>
      <c r="AJ570" s="6">
        <f t="shared" ca="1" si="158"/>
        <v>7</v>
      </c>
      <c r="AK570" s="68">
        <f ca="1">IFERROR(__xludf.DUMMYFUNCTION("""COMPUTED_VALUE"""),43662.9986111111)</f>
        <v>43662.998611111099</v>
      </c>
      <c r="AL570" s="6">
        <f ca="1">IFERROR(__xludf.DUMMYFUNCTION("""COMPUTED_VALUE"""),9425.55)</f>
        <v>9425.5499999999993</v>
      </c>
      <c r="AP570" s="6" t="str">
        <f t="shared" ca="1" si="159"/>
        <v>20204</v>
      </c>
      <c r="AQ570" s="6">
        <f t="shared" ca="1" si="160"/>
        <v>2020</v>
      </c>
      <c r="AR570" s="6">
        <f t="shared" ca="1" si="161"/>
        <v>4</v>
      </c>
      <c r="AS570" s="68">
        <f ca="1">IFERROR(__xludf.DUMMYFUNCTION("""COMPUTED_VALUE"""),43935.9986111111)</f>
        <v>43935.998611111099</v>
      </c>
      <c r="AT570" s="6">
        <f ca="1">IFERROR(__xludf.DUMMYFUNCTION("""COMPUTED_VALUE"""),1768.9)</f>
        <v>1768.9</v>
      </c>
    </row>
    <row r="571" spans="2:46" x14ac:dyDescent="0.35">
      <c r="B571" s="6" t="str">
        <f t="shared" ca="1" si="144"/>
        <v>20204</v>
      </c>
      <c r="C571" s="6">
        <f t="shared" ca="1" si="145"/>
        <v>2020</v>
      </c>
      <c r="D571" s="6">
        <f t="shared" ca="1" si="146"/>
        <v>4</v>
      </c>
      <c r="E571" s="68">
        <f ca="1">IFERROR(__xludf.DUMMYFUNCTION("""COMPUTED_VALUE"""),43924.6666666666)</f>
        <v>43924.666666666599</v>
      </c>
      <c r="F571" s="6">
        <f ca="1">IFERROR(__xludf.DUMMYFUNCTION("""COMPUTED_VALUE"""),2488.65)</f>
        <v>2488.65</v>
      </c>
      <c r="J571" s="6" t="str">
        <f t="shared" ca="1" si="147"/>
        <v>20203</v>
      </c>
      <c r="K571" s="6">
        <f t="shared" ca="1" si="148"/>
        <v>2020</v>
      </c>
      <c r="L571" s="6">
        <f t="shared" ca="1" si="149"/>
        <v>3</v>
      </c>
      <c r="M571" s="68">
        <f ca="1">IFERROR(__xludf.DUMMYFUNCTION("""COMPUTED_VALUE"""),43920.6666666666)</f>
        <v>43920.666666666599</v>
      </c>
      <c r="N571" s="6">
        <f ca="1">IFERROR(__xludf.DUMMYFUNCTION("""COMPUTED_VALUE"""),7774.15)</f>
        <v>7774.15</v>
      </c>
      <c r="R571" s="6" t="str">
        <f t="shared" ca="1" si="150"/>
        <v>20204</v>
      </c>
      <c r="S571" s="6">
        <f t="shared" ca="1" si="151"/>
        <v>2020</v>
      </c>
      <c r="T571" s="6">
        <f t="shared" ca="1" si="152"/>
        <v>4</v>
      </c>
      <c r="U571" s="68">
        <f ca="1">IFERROR(__xludf.DUMMYFUNCTION("""COMPUTED_VALUE"""),43950.6458333333)</f>
        <v>43950.645833333299</v>
      </c>
      <c r="V571" s="6">
        <f ca="1">IFERROR(__xludf.DUMMYFUNCTION("""COMPUTED_VALUE"""),1947.56)</f>
        <v>1947.56</v>
      </c>
      <c r="Z571" s="6" t="str">
        <f t="shared" ca="1" si="153"/>
        <v>20198</v>
      </c>
      <c r="AA571" s="6">
        <f t="shared" ca="1" si="154"/>
        <v>2019</v>
      </c>
      <c r="AB571" s="6">
        <f t="shared" ca="1" si="155"/>
        <v>8</v>
      </c>
      <c r="AC571" s="68">
        <f ca="1">IFERROR(__xludf.DUMMYFUNCTION("""COMPUTED_VALUE"""),43702.9986111111)</f>
        <v>43702.998611111099</v>
      </c>
      <c r="AD571" s="6">
        <f ca="1">IFERROR(__xludf.DUMMYFUNCTION("""COMPUTED_VALUE"""),1212.65)</f>
        <v>1212.6500000000001</v>
      </c>
      <c r="AH571" s="6" t="str">
        <f t="shared" ca="1" si="156"/>
        <v>20197</v>
      </c>
      <c r="AI571" s="6">
        <f t="shared" ca="1" si="157"/>
        <v>2019</v>
      </c>
      <c r="AJ571" s="6">
        <f t="shared" ca="1" si="158"/>
        <v>7</v>
      </c>
      <c r="AK571" s="68">
        <f ca="1">IFERROR(__xludf.DUMMYFUNCTION("""COMPUTED_VALUE"""),43663.9986111111)</f>
        <v>43663.998611111099</v>
      </c>
      <c r="AL571" s="6">
        <f ca="1">IFERROR(__xludf.DUMMYFUNCTION("""COMPUTED_VALUE"""),9684.662)</f>
        <v>9684.6620000000003</v>
      </c>
      <c r="AP571" s="6" t="str">
        <f t="shared" ca="1" si="159"/>
        <v>20204</v>
      </c>
      <c r="AQ571" s="6">
        <f t="shared" ca="1" si="160"/>
        <v>2020</v>
      </c>
      <c r="AR571" s="6">
        <f t="shared" ca="1" si="161"/>
        <v>4</v>
      </c>
      <c r="AS571" s="68">
        <f ca="1">IFERROR(__xludf.DUMMYFUNCTION("""COMPUTED_VALUE"""),43936.9986111111)</f>
        <v>43936.998611111099</v>
      </c>
      <c r="AT571" s="6">
        <f ca="1">IFERROR(__xludf.DUMMYFUNCTION("""COMPUTED_VALUE"""),1740.2)</f>
        <v>1740.2</v>
      </c>
    </row>
    <row r="572" spans="2:46" x14ac:dyDescent="0.35">
      <c r="B572" s="6" t="str">
        <f t="shared" ca="1" si="144"/>
        <v>20204</v>
      </c>
      <c r="C572" s="6">
        <f t="shared" ca="1" si="145"/>
        <v>2020</v>
      </c>
      <c r="D572" s="6">
        <f t="shared" ca="1" si="146"/>
        <v>4</v>
      </c>
      <c r="E572" s="68">
        <f ca="1">IFERROR(__xludf.DUMMYFUNCTION("""COMPUTED_VALUE"""),43927.6666666666)</f>
        <v>43927.666666666599</v>
      </c>
      <c r="F572" s="6">
        <f ca="1">IFERROR(__xludf.DUMMYFUNCTION("""COMPUTED_VALUE"""),2663.68)</f>
        <v>2663.68</v>
      </c>
      <c r="J572" s="6" t="str">
        <f t="shared" ca="1" si="147"/>
        <v>20203</v>
      </c>
      <c r="K572" s="6">
        <f t="shared" ca="1" si="148"/>
        <v>2020</v>
      </c>
      <c r="L572" s="6">
        <f t="shared" ca="1" si="149"/>
        <v>3</v>
      </c>
      <c r="M572" s="68">
        <f ca="1">IFERROR(__xludf.DUMMYFUNCTION("""COMPUTED_VALUE"""),43921.6666666666)</f>
        <v>43921.666666666599</v>
      </c>
      <c r="N572" s="6">
        <f ca="1">IFERROR(__xludf.DUMMYFUNCTION("""COMPUTED_VALUE"""),7700.1)</f>
        <v>7700.1</v>
      </c>
      <c r="R572" s="6" t="str">
        <f t="shared" ca="1" si="150"/>
        <v>20205</v>
      </c>
      <c r="S572" s="6">
        <f t="shared" ca="1" si="151"/>
        <v>2020</v>
      </c>
      <c r="T572" s="6">
        <f t="shared" ca="1" si="152"/>
        <v>5</v>
      </c>
      <c r="U572" s="68">
        <f ca="1">IFERROR(__xludf.DUMMYFUNCTION("""COMPUTED_VALUE"""),43955.6458333333)</f>
        <v>43955.645833333299</v>
      </c>
      <c r="V572" s="6">
        <f ca="1">IFERROR(__xludf.DUMMYFUNCTION("""COMPUTED_VALUE"""),1895.37)</f>
        <v>1895.37</v>
      </c>
      <c r="Z572" s="6" t="str">
        <f t="shared" ca="1" si="153"/>
        <v>20198</v>
      </c>
      <c r="AA572" s="6">
        <f t="shared" ca="1" si="154"/>
        <v>2019</v>
      </c>
      <c r="AB572" s="6">
        <f t="shared" ca="1" si="155"/>
        <v>8</v>
      </c>
      <c r="AC572" s="68">
        <f ca="1">IFERROR(__xludf.DUMMYFUNCTION("""COMPUTED_VALUE"""),43703.9986111111)</f>
        <v>43703.998611111099</v>
      </c>
      <c r="AD572" s="6">
        <f ca="1">IFERROR(__xludf.DUMMYFUNCTION("""COMPUTED_VALUE"""),1210.73)</f>
        <v>1210.73</v>
      </c>
      <c r="AH572" s="6" t="str">
        <f t="shared" ca="1" si="156"/>
        <v>20197</v>
      </c>
      <c r="AI572" s="6">
        <f t="shared" ca="1" si="157"/>
        <v>2019</v>
      </c>
      <c r="AJ572" s="6">
        <f t="shared" ca="1" si="158"/>
        <v>7</v>
      </c>
      <c r="AK572" s="68">
        <f ca="1">IFERROR(__xludf.DUMMYFUNCTION("""COMPUTED_VALUE"""),43664.9986111111)</f>
        <v>43664.998611111099</v>
      </c>
      <c r="AL572" s="6">
        <f ca="1">IFERROR(__xludf.DUMMYFUNCTION("""COMPUTED_VALUE"""),10631.28)</f>
        <v>10631.28</v>
      </c>
      <c r="AP572" s="6" t="str">
        <f t="shared" ca="1" si="159"/>
        <v>20204</v>
      </c>
      <c r="AQ572" s="6">
        <f t="shared" ca="1" si="160"/>
        <v>2020</v>
      </c>
      <c r="AR572" s="6">
        <f t="shared" ca="1" si="161"/>
        <v>4</v>
      </c>
      <c r="AS572" s="68">
        <f ca="1">IFERROR(__xludf.DUMMYFUNCTION("""COMPUTED_VALUE"""),43937.9986111111)</f>
        <v>43937.998611111099</v>
      </c>
      <c r="AT572" s="6">
        <f ca="1">IFERROR(__xludf.DUMMYFUNCTION("""COMPUTED_VALUE"""),1731.7)</f>
        <v>1731.7</v>
      </c>
    </row>
    <row r="573" spans="2:46" x14ac:dyDescent="0.35">
      <c r="B573" s="6" t="str">
        <f t="shared" ca="1" si="144"/>
        <v>20204</v>
      </c>
      <c r="C573" s="6">
        <f t="shared" ca="1" si="145"/>
        <v>2020</v>
      </c>
      <c r="D573" s="6">
        <f t="shared" ca="1" si="146"/>
        <v>4</v>
      </c>
      <c r="E573" s="68">
        <f ca="1">IFERROR(__xludf.DUMMYFUNCTION("""COMPUTED_VALUE"""),43928.6666666666)</f>
        <v>43928.666666666599</v>
      </c>
      <c r="F573" s="6">
        <f ca="1">IFERROR(__xludf.DUMMYFUNCTION("""COMPUTED_VALUE"""),2659.41)</f>
        <v>2659.41</v>
      </c>
      <c r="J573" s="6" t="str">
        <f t="shared" ca="1" si="147"/>
        <v>20204</v>
      </c>
      <c r="K573" s="6">
        <f t="shared" ca="1" si="148"/>
        <v>2020</v>
      </c>
      <c r="L573" s="6">
        <f t="shared" ca="1" si="149"/>
        <v>4</v>
      </c>
      <c r="M573" s="68">
        <f ca="1">IFERROR(__xludf.DUMMYFUNCTION("""COMPUTED_VALUE"""),43922.6666666666)</f>
        <v>43922.666666666599</v>
      </c>
      <c r="N573" s="6">
        <f ca="1">IFERROR(__xludf.DUMMYFUNCTION("""COMPUTED_VALUE"""),7360.58)</f>
        <v>7360.58</v>
      </c>
      <c r="R573" s="6" t="str">
        <f t="shared" ca="1" si="150"/>
        <v>20205</v>
      </c>
      <c r="S573" s="6">
        <f t="shared" ca="1" si="151"/>
        <v>2020</v>
      </c>
      <c r="T573" s="6">
        <f t="shared" ca="1" si="152"/>
        <v>5</v>
      </c>
      <c r="U573" s="68">
        <f ca="1">IFERROR(__xludf.DUMMYFUNCTION("""COMPUTED_VALUE"""),43957.6458333333)</f>
        <v>43957.645833333299</v>
      </c>
      <c r="V573" s="6">
        <f ca="1">IFERROR(__xludf.DUMMYFUNCTION("""COMPUTED_VALUE"""),1928.76)</f>
        <v>1928.76</v>
      </c>
      <c r="Z573" s="6" t="str">
        <f t="shared" ca="1" si="153"/>
        <v>20198</v>
      </c>
      <c r="AA573" s="6">
        <f t="shared" ca="1" si="154"/>
        <v>2019</v>
      </c>
      <c r="AB573" s="6">
        <f t="shared" ca="1" si="155"/>
        <v>8</v>
      </c>
      <c r="AC573" s="68">
        <f ca="1">IFERROR(__xludf.DUMMYFUNCTION("""COMPUTED_VALUE"""),43704.9986111111)</f>
        <v>43704.998611111099</v>
      </c>
      <c r="AD573" s="6">
        <f ca="1">IFERROR(__xludf.DUMMYFUNCTION("""COMPUTED_VALUE"""),1210.76)</f>
        <v>1210.76</v>
      </c>
      <c r="AH573" s="6" t="str">
        <f t="shared" ca="1" si="156"/>
        <v>20197</v>
      </c>
      <c r="AI573" s="6">
        <f t="shared" ca="1" si="157"/>
        <v>2019</v>
      </c>
      <c r="AJ573" s="6">
        <f t="shared" ca="1" si="158"/>
        <v>7</v>
      </c>
      <c r="AK573" s="68">
        <f ca="1">IFERROR(__xludf.DUMMYFUNCTION("""COMPUTED_VALUE"""),43665.9986111111)</f>
        <v>43665.998611111099</v>
      </c>
      <c r="AL573" s="6">
        <f ca="1">IFERROR(__xludf.DUMMYFUNCTION("""COMPUTED_VALUE"""),10528.37)</f>
        <v>10528.37</v>
      </c>
      <c r="AP573" s="6" t="str">
        <f t="shared" ca="1" si="159"/>
        <v>20204</v>
      </c>
      <c r="AQ573" s="6">
        <f t="shared" ca="1" si="160"/>
        <v>2020</v>
      </c>
      <c r="AR573" s="6">
        <f t="shared" ca="1" si="161"/>
        <v>4</v>
      </c>
      <c r="AS573" s="68">
        <f ca="1">IFERROR(__xludf.DUMMYFUNCTION("""COMPUTED_VALUE"""),43938.9986111111)</f>
        <v>43938.998611111099</v>
      </c>
      <c r="AT573" s="6">
        <f ca="1">IFERROR(__xludf.DUMMYFUNCTION("""COMPUTED_VALUE"""),1698.8)</f>
        <v>1698.8</v>
      </c>
    </row>
    <row r="574" spans="2:46" x14ac:dyDescent="0.35">
      <c r="B574" s="6" t="str">
        <f t="shared" ca="1" si="144"/>
        <v>20204</v>
      </c>
      <c r="C574" s="6">
        <f t="shared" ca="1" si="145"/>
        <v>2020</v>
      </c>
      <c r="D574" s="6">
        <f t="shared" ca="1" si="146"/>
        <v>4</v>
      </c>
      <c r="E574" s="68">
        <f ca="1">IFERROR(__xludf.DUMMYFUNCTION("""COMPUTED_VALUE"""),43929.6666666666)</f>
        <v>43929.666666666599</v>
      </c>
      <c r="F574" s="6">
        <f ca="1">IFERROR(__xludf.DUMMYFUNCTION("""COMPUTED_VALUE"""),2749.98)</f>
        <v>2749.98</v>
      </c>
      <c r="J574" s="6" t="str">
        <f t="shared" ca="1" si="147"/>
        <v>20204</v>
      </c>
      <c r="K574" s="6">
        <f t="shared" ca="1" si="148"/>
        <v>2020</v>
      </c>
      <c r="L574" s="6">
        <f t="shared" ca="1" si="149"/>
        <v>4</v>
      </c>
      <c r="M574" s="68">
        <f ca="1">IFERROR(__xludf.DUMMYFUNCTION("""COMPUTED_VALUE"""),43923.6666666666)</f>
        <v>43923.666666666599</v>
      </c>
      <c r="N574" s="6">
        <f ca="1">IFERROR(__xludf.DUMMYFUNCTION("""COMPUTED_VALUE"""),7487.31)</f>
        <v>7487.31</v>
      </c>
      <c r="R574" s="6" t="str">
        <f t="shared" ca="1" si="150"/>
        <v>20205</v>
      </c>
      <c r="S574" s="6">
        <f t="shared" ca="1" si="151"/>
        <v>2020</v>
      </c>
      <c r="T574" s="6">
        <f t="shared" ca="1" si="152"/>
        <v>5</v>
      </c>
      <c r="U574" s="68">
        <f ca="1">IFERROR(__xludf.DUMMYFUNCTION("""COMPUTED_VALUE"""),43958.6458333333)</f>
        <v>43958.645833333299</v>
      </c>
      <c r="V574" s="6">
        <f ca="1">IFERROR(__xludf.DUMMYFUNCTION("""COMPUTED_VALUE"""),1928.61)</f>
        <v>1928.61</v>
      </c>
      <c r="Z574" s="6" t="str">
        <f t="shared" ca="1" si="153"/>
        <v>20198</v>
      </c>
      <c r="AA574" s="6">
        <f t="shared" ca="1" si="154"/>
        <v>2019</v>
      </c>
      <c r="AB574" s="6">
        <f t="shared" ca="1" si="155"/>
        <v>8</v>
      </c>
      <c r="AC574" s="68">
        <f ca="1">IFERROR(__xludf.DUMMYFUNCTION("""COMPUTED_VALUE"""),43705.9986111111)</f>
        <v>43705.998611111099</v>
      </c>
      <c r="AD574" s="6">
        <f ca="1">IFERROR(__xludf.DUMMYFUNCTION("""COMPUTED_VALUE"""),1211.37)</f>
        <v>1211.3699999999999</v>
      </c>
      <c r="AH574" s="6" t="str">
        <f t="shared" ca="1" si="156"/>
        <v>20197</v>
      </c>
      <c r="AI574" s="6">
        <f t="shared" ca="1" si="157"/>
        <v>2019</v>
      </c>
      <c r="AJ574" s="6">
        <f t="shared" ca="1" si="158"/>
        <v>7</v>
      </c>
      <c r="AK574" s="68">
        <f ca="1">IFERROR(__xludf.DUMMYFUNCTION("""COMPUTED_VALUE"""),43666.9986111111)</f>
        <v>43666.998611111099</v>
      </c>
      <c r="AL574" s="6">
        <f ca="1">IFERROR(__xludf.DUMMYFUNCTION("""COMPUTED_VALUE"""),10749.29)</f>
        <v>10749.29</v>
      </c>
      <c r="AP574" s="6" t="str">
        <f t="shared" ca="1" si="159"/>
        <v>20204</v>
      </c>
      <c r="AQ574" s="6">
        <f t="shared" ca="1" si="160"/>
        <v>2020</v>
      </c>
      <c r="AR574" s="6">
        <f t="shared" ca="1" si="161"/>
        <v>4</v>
      </c>
      <c r="AS574" s="68">
        <f ca="1">IFERROR(__xludf.DUMMYFUNCTION("""COMPUTED_VALUE"""),43941.9986111111)</f>
        <v>43941.998611111099</v>
      </c>
      <c r="AT574" s="6">
        <f ca="1">IFERROR(__xludf.DUMMYFUNCTION("""COMPUTED_VALUE"""),1711.2)</f>
        <v>1711.2</v>
      </c>
    </row>
    <row r="575" spans="2:46" x14ac:dyDescent="0.35">
      <c r="B575" s="6" t="str">
        <f t="shared" ca="1" si="144"/>
        <v>20204</v>
      </c>
      <c r="C575" s="6">
        <f t="shared" ca="1" si="145"/>
        <v>2020</v>
      </c>
      <c r="D575" s="6">
        <f t="shared" ca="1" si="146"/>
        <v>4</v>
      </c>
      <c r="E575" s="68">
        <f ca="1">IFERROR(__xludf.DUMMYFUNCTION("""COMPUTED_VALUE"""),43930.6666666666)</f>
        <v>43930.666666666599</v>
      </c>
      <c r="F575" s="6">
        <f ca="1">IFERROR(__xludf.DUMMYFUNCTION("""COMPUTED_VALUE"""),2789.82)</f>
        <v>2789.82</v>
      </c>
      <c r="J575" s="6" t="str">
        <f t="shared" ca="1" si="147"/>
        <v>20204</v>
      </c>
      <c r="K575" s="6">
        <f t="shared" ca="1" si="148"/>
        <v>2020</v>
      </c>
      <c r="L575" s="6">
        <f t="shared" ca="1" si="149"/>
        <v>4</v>
      </c>
      <c r="M575" s="68">
        <f ca="1">IFERROR(__xludf.DUMMYFUNCTION("""COMPUTED_VALUE"""),43924.6666666666)</f>
        <v>43924.666666666599</v>
      </c>
      <c r="N575" s="6">
        <f ca="1">IFERROR(__xludf.DUMMYFUNCTION("""COMPUTED_VALUE"""),7373.08)</f>
        <v>7373.08</v>
      </c>
      <c r="R575" s="6" t="str">
        <f t="shared" ca="1" si="150"/>
        <v>20205</v>
      </c>
      <c r="S575" s="6">
        <f t="shared" ca="1" si="151"/>
        <v>2020</v>
      </c>
      <c r="T575" s="6">
        <f t="shared" ca="1" si="152"/>
        <v>5</v>
      </c>
      <c r="U575" s="68">
        <f ca="1">IFERROR(__xludf.DUMMYFUNCTION("""COMPUTED_VALUE"""),43959.6458333333)</f>
        <v>43959.645833333299</v>
      </c>
      <c r="V575" s="6">
        <f ca="1">IFERROR(__xludf.DUMMYFUNCTION("""COMPUTED_VALUE"""),1945.82)</f>
        <v>1945.82</v>
      </c>
      <c r="Z575" s="6" t="str">
        <f t="shared" ca="1" si="153"/>
        <v>20198</v>
      </c>
      <c r="AA575" s="6">
        <f t="shared" ca="1" si="154"/>
        <v>2019</v>
      </c>
      <c r="AB575" s="6">
        <f t="shared" ca="1" si="155"/>
        <v>8</v>
      </c>
      <c r="AC575" s="68">
        <f ca="1">IFERROR(__xludf.DUMMYFUNCTION("""COMPUTED_VALUE"""),43706.9986111111)</f>
        <v>43706.998611111099</v>
      </c>
      <c r="AD575" s="6">
        <f ca="1">IFERROR(__xludf.DUMMYFUNCTION("""COMPUTED_VALUE"""),1207.16)</f>
        <v>1207.1600000000001</v>
      </c>
      <c r="AH575" s="6" t="str">
        <f t="shared" ca="1" si="156"/>
        <v>20197</v>
      </c>
      <c r="AI575" s="6">
        <f t="shared" ca="1" si="157"/>
        <v>2019</v>
      </c>
      <c r="AJ575" s="6">
        <f t="shared" ca="1" si="158"/>
        <v>7</v>
      </c>
      <c r="AK575" s="68">
        <f ca="1">IFERROR(__xludf.DUMMYFUNCTION("""COMPUTED_VALUE"""),43667.9986111111)</f>
        <v>43667.998611111099</v>
      </c>
      <c r="AL575" s="6">
        <f ca="1">IFERROR(__xludf.DUMMYFUNCTION("""COMPUTED_VALUE"""),10585.77)</f>
        <v>10585.77</v>
      </c>
      <c r="AP575" s="6" t="str">
        <f t="shared" ca="1" si="159"/>
        <v>20204</v>
      </c>
      <c r="AQ575" s="6">
        <f t="shared" ca="1" si="160"/>
        <v>2020</v>
      </c>
      <c r="AR575" s="6">
        <f t="shared" ca="1" si="161"/>
        <v>4</v>
      </c>
      <c r="AS575" s="68">
        <f ca="1">IFERROR(__xludf.DUMMYFUNCTION("""COMPUTED_VALUE"""),43942.9986111111)</f>
        <v>43942.998611111099</v>
      </c>
      <c r="AT575" s="6">
        <f ca="1">IFERROR(__xludf.DUMMYFUNCTION("""COMPUTED_VALUE"""),1687.8)</f>
        <v>1687.8</v>
      </c>
    </row>
    <row r="576" spans="2:46" x14ac:dyDescent="0.35">
      <c r="B576" s="6" t="str">
        <f t="shared" ca="1" si="144"/>
        <v>20204</v>
      </c>
      <c r="C576" s="6">
        <f t="shared" ca="1" si="145"/>
        <v>2020</v>
      </c>
      <c r="D576" s="6">
        <f t="shared" ca="1" si="146"/>
        <v>4</v>
      </c>
      <c r="E576" s="68">
        <f ca="1">IFERROR(__xludf.DUMMYFUNCTION("""COMPUTED_VALUE"""),43934.6666666666)</f>
        <v>43934.666666666599</v>
      </c>
      <c r="F576" s="6">
        <f ca="1">IFERROR(__xludf.DUMMYFUNCTION("""COMPUTED_VALUE"""),2761.63)</f>
        <v>2761.63</v>
      </c>
      <c r="J576" s="6" t="str">
        <f t="shared" ca="1" si="147"/>
        <v>20204</v>
      </c>
      <c r="K576" s="6">
        <f t="shared" ca="1" si="148"/>
        <v>2020</v>
      </c>
      <c r="L576" s="6">
        <f t="shared" ca="1" si="149"/>
        <v>4</v>
      </c>
      <c r="M576" s="68">
        <f ca="1">IFERROR(__xludf.DUMMYFUNCTION("""COMPUTED_VALUE"""),43927.6666666666)</f>
        <v>43927.666666666599</v>
      </c>
      <c r="N576" s="6">
        <f ca="1">IFERROR(__xludf.DUMMYFUNCTION("""COMPUTED_VALUE"""),7913.24)</f>
        <v>7913.24</v>
      </c>
      <c r="R576" s="6" t="str">
        <f t="shared" ca="1" si="150"/>
        <v>20205</v>
      </c>
      <c r="S576" s="6">
        <f t="shared" ca="1" si="151"/>
        <v>2020</v>
      </c>
      <c r="T576" s="6">
        <f t="shared" ca="1" si="152"/>
        <v>5</v>
      </c>
      <c r="U576" s="68">
        <f ca="1">IFERROR(__xludf.DUMMYFUNCTION("""COMPUTED_VALUE"""),43962.6458333333)</f>
        <v>43962.645833333299</v>
      </c>
      <c r="V576" s="6">
        <f ca="1">IFERROR(__xludf.DUMMYFUNCTION("""COMPUTED_VALUE"""),1935.4)</f>
        <v>1935.4</v>
      </c>
      <c r="Z576" s="6" t="str">
        <f t="shared" ca="1" si="153"/>
        <v>20198</v>
      </c>
      <c r="AA576" s="6">
        <f t="shared" ca="1" si="154"/>
        <v>2019</v>
      </c>
      <c r="AB576" s="6">
        <f t="shared" ca="1" si="155"/>
        <v>8</v>
      </c>
      <c r="AC576" s="68">
        <f ca="1">IFERROR(__xludf.DUMMYFUNCTION("""COMPUTED_VALUE"""),43707.9986111111)</f>
        <v>43707.998611111099</v>
      </c>
      <c r="AD576" s="6">
        <f ca="1">IFERROR(__xludf.DUMMYFUNCTION("""COMPUTED_VALUE"""),1209.51)</f>
        <v>1209.51</v>
      </c>
      <c r="AH576" s="6" t="str">
        <f t="shared" ca="1" si="156"/>
        <v>20197</v>
      </c>
      <c r="AI576" s="6">
        <f t="shared" ca="1" si="157"/>
        <v>2019</v>
      </c>
      <c r="AJ576" s="6">
        <f t="shared" ca="1" si="158"/>
        <v>7</v>
      </c>
      <c r="AK576" s="68">
        <f ca="1">IFERROR(__xludf.DUMMYFUNCTION("""COMPUTED_VALUE"""),43668.9986111111)</f>
        <v>43668.998611111099</v>
      </c>
      <c r="AL576" s="6">
        <f ca="1">IFERROR(__xludf.DUMMYFUNCTION("""COMPUTED_VALUE"""),10325.27)</f>
        <v>10325.27</v>
      </c>
      <c r="AP576" s="6" t="str">
        <f t="shared" ca="1" si="159"/>
        <v>20204</v>
      </c>
      <c r="AQ576" s="6">
        <f t="shared" ca="1" si="160"/>
        <v>2020</v>
      </c>
      <c r="AR576" s="6">
        <f t="shared" ca="1" si="161"/>
        <v>4</v>
      </c>
      <c r="AS576" s="68">
        <f ca="1">IFERROR(__xludf.DUMMYFUNCTION("""COMPUTED_VALUE"""),43943.9986111111)</f>
        <v>43943.998611111099</v>
      </c>
      <c r="AT576" s="6">
        <f ca="1">IFERROR(__xludf.DUMMYFUNCTION("""COMPUTED_VALUE"""),1738.3)</f>
        <v>1738.3</v>
      </c>
    </row>
    <row r="577" spans="2:46" x14ac:dyDescent="0.35">
      <c r="B577" s="6" t="str">
        <f t="shared" ca="1" si="144"/>
        <v>20204</v>
      </c>
      <c r="C577" s="6">
        <f t="shared" ca="1" si="145"/>
        <v>2020</v>
      </c>
      <c r="D577" s="6">
        <f t="shared" ca="1" si="146"/>
        <v>4</v>
      </c>
      <c r="E577" s="68">
        <f ca="1">IFERROR(__xludf.DUMMYFUNCTION("""COMPUTED_VALUE"""),43935.6666666666)</f>
        <v>43935.666666666599</v>
      </c>
      <c r="F577" s="6">
        <f ca="1">IFERROR(__xludf.DUMMYFUNCTION("""COMPUTED_VALUE"""),2846.06)</f>
        <v>2846.06</v>
      </c>
      <c r="J577" s="6" t="str">
        <f t="shared" ca="1" si="147"/>
        <v>20204</v>
      </c>
      <c r="K577" s="6">
        <f t="shared" ca="1" si="148"/>
        <v>2020</v>
      </c>
      <c r="L577" s="6">
        <f t="shared" ca="1" si="149"/>
        <v>4</v>
      </c>
      <c r="M577" s="68">
        <f ca="1">IFERROR(__xludf.DUMMYFUNCTION("""COMPUTED_VALUE"""),43928.6666666666)</f>
        <v>43928.666666666599</v>
      </c>
      <c r="N577" s="6">
        <f ca="1">IFERROR(__xludf.DUMMYFUNCTION("""COMPUTED_VALUE"""),7887.26)</f>
        <v>7887.26</v>
      </c>
      <c r="R577" s="6" t="str">
        <f t="shared" ca="1" si="150"/>
        <v>20205</v>
      </c>
      <c r="S577" s="6">
        <f t="shared" ca="1" si="151"/>
        <v>2020</v>
      </c>
      <c r="T577" s="6">
        <f t="shared" ca="1" si="152"/>
        <v>5</v>
      </c>
      <c r="U577" s="68">
        <f ca="1">IFERROR(__xludf.DUMMYFUNCTION("""COMPUTED_VALUE"""),43963.6458333333)</f>
        <v>43963.645833333299</v>
      </c>
      <c r="V577" s="6">
        <f ca="1">IFERROR(__xludf.DUMMYFUNCTION("""COMPUTED_VALUE"""),1922.17)</f>
        <v>1922.17</v>
      </c>
      <c r="Z577" s="6" t="str">
        <f t="shared" ca="1" si="153"/>
        <v>20199</v>
      </c>
      <c r="AA577" s="6">
        <f t="shared" ca="1" si="154"/>
        <v>2019</v>
      </c>
      <c r="AB577" s="6">
        <f t="shared" ca="1" si="155"/>
        <v>9</v>
      </c>
      <c r="AC577" s="68">
        <f ca="1">IFERROR(__xludf.DUMMYFUNCTION("""COMPUTED_VALUE"""),43709.9986111111)</f>
        <v>43709.998611111099</v>
      </c>
      <c r="AD577" s="6">
        <f ca="1">IFERROR(__xludf.DUMMYFUNCTION("""COMPUTED_VALUE"""),1209.15)</f>
        <v>1209.1500000000001</v>
      </c>
      <c r="AH577" s="6" t="str">
        <f t="shared" ca="1" si="156"/>
        <v>20197</v>
      </c>
      <c r="AI577" s="6">
        <f t="shared" ca="1" si="157"/>
        <v>2019</v>
      </c>
      <c r="AJ577" s="6">
        <f t="shared" ca="1" si="158"/>
        <v>7</v>
      </c>
      <c r="AK577" s="68">
        <f ca="1">IFERROR(__xludf.DUMMYFUNCTION("""COMPUTED_VALUE"""),43669.9986111111)</f>
        <v>43669.998611111099</v>
      </c>
      <c r="AL577" s="6">
        <f ca="1">IFERROR(__xludf.DUMMYFUNCTION("""COMPUTED_VALUE"""),9860.352)</f>
        <v>9860.3520000000008</v>
      </c>
      <c r="AP577" s="6" t="str">
        <f t="shared" ca="1" si="159"/>
        <v>20204</v>
      </c>
      <c r="AQ577" s="6">
        <f t="shared" ca="1" si="160"/>
        <v>2020</v>
      </c>
      <c r="AR577" s="6">
        <f t="shared" ca="1" si="161"/>
        <v>4</v>
      </c>
      <c r="AS577" s="68">
        <f ca="1">IFERROR(__xludf.DUMMYFUNCTION("""COMPUTED_VALUE"""),43944.9986111111)</f>
        <v>43944.998611111099</v>
      </c>
      <c r="AT577" s="6">
        <f ca="1">IFERROR(__xludf.DUMMYFUNCTION("""COMPUTED_VALUE"""),1745.4)</f>
        <v>1745.4</v>
      </c>
    </row>
    <row r="578" spans="2:46" x14ac:dyDescent="0.35">
      <c r="B578" s="6" t="str">
        <f t="shared" ca="1" si="144"/>
        <v>20204</v>
      </c>
      <c r="C578" s="6">
        <f t="shared" ca="1" si="145"/>
        <v>2020</v>
      </c>
      <c r="D578" s="6">
        <f t="shared" ca="1" si="146"/>
        <v>4</v>
      </c>
      <c r="E578" s="68">
        <f ca="1">IFERROR(__xludf.DUMMYFUNCTION("""COMPUTED_VALUE"""),43936.6666666666)</f>
        <v>43936.666666666599</v>
      </c>
      <c r="F578" s="6">
        <f ca="1">IFERROR(__xludf.DUMMYFUNCTION("""COMPUTED_VALUE"""),2783.36)</f>
        <v>2783.36</v>
      </c>
      <c r="J578" s="6" t="str">
        <f t="shared" ca="1" si="147"/>
        <v>20204</v>
      </c>
      <c r="K578" s="6">
        <f t="shared" ca="1" si="148"/>
        <v>2020</v>
      </c>
      <c r="L578" s="6">
        <f t="shared" ca="1" si="149"/>
        <v>4</v>
      </c>
      <c r="M578" s="68">
        <f ca="1">IFERROR(__xludf.DUMMYFUNCTION("""COMPUTED_VALUE"""),43929.6666666666)</f>
        <v>43929.666666666599</v>
      </c>
      <c r="N578" s="6">
        <f ca="1">IFERROR(__xludf.DUMMYFUNCTION("""COMPUTED_VALUE"""),8090.9)</f>
        <v>8090.9</v>
      </c>
      <c r="R578" s="6" t="str">
        <f t="shared" ca="1" si="150"/>
        <v>20205</v>
      </c>
      <c r="S578" s="6">
        <f t="shared" ca="1" si="151"/>
        <v>2020</v>
      </c>
      <c r="T578" s="6">
        <f t="shared" ca="1" si="152"/>
        <v>5</v>
      </c>
      <c r="U578" s="68">
        <f ca="1">IFERROR(__xludf.DUMMYFUNCTION("""COMPUTED_VALUE"""),43964.6458333333)</f>
        <v>43964.645833333299</v>
      </c>
      <c r="V578" s="6">
        <f ca="1">IFERROR(__xludf.DUMMYFUNCTION("""COMPUTED_VALUE"""),1940.42)</f>
        <v>1940.42</v>
      </c>
      <c r="Z578" s="6" t="str">
        <f t="shared" ca="1" si="153"/>
        <v>20199</v>
      </c>
      <c r="AA578" s="6">
        <f t="shared" ca="1" si="154"/>
        <v>2019</v>
      </c>
      <c r="AB578" s="6">
        <f t="shared" ca="1" si="155"/>
        <v>9</v>
      </c>
      <c r="AC578" s="68">
        <f ca="1">IFERROR(__xludf.DUMMYFUNCTION("""COMPUTED_VALUE"""),43710.9986111111)</f>
        <v>43710.998611111099</v>
      </c>
      <c r="AD578" s="6">
        <f ca="1">IFERROR(__xludf.DUMMYFUNCTION("""COMPUTED_VALUE"""),1212.77)</f>
        <v>1212.77</v>
      </c>
      <c r="AH578" s="6" t="str">
        <f t="shared" ca="1" si="156"/>
        <v>20197</v>
      </c>
      <c r="AI578" s="6">
        <f t="shared" ca="1" si="157"/>
        <v>2019</v>
      </c>
      <c r="AJ578" s="6">
        <f t="shared" ca="1" si="158"/>
        <v>7</v>
      </c>
      <c r="AK578" s="68">
        <f ca="1">IFERROR(__xludf.DUMMYFUNCTION("""COMPUTED_VALUE"""),43670.9986111111)</f>
        <v>43670.998611111099</v>
      </c>
      <c r="AL578" s="6">
        <f ca="1">IFERROR(__xludf.DUMMYFUNCTION("""COMPUTED_VALUE"""),9773.864)</f>
        <v>9773.8639999999996</v>
      </c>
      <c r="AP578" s="6" t="str">
        <f t="shared" ca="1" si="159"/>
        <v>20204</v>
      </c>
      <c r="AQ578" s="6">
        <f t="shared" ca="1" si="160"/>
        <v>2020</v>
      </c>
      <c r="AR578" s="6">
        <f t="shared" ca="1" si="161"/>
        <v>4</v>
      </c>
      <c r="AS578" s="68">
        <f ca="1">IFERROR(__xludf.DUMMYFUNCTION("""COMPUTED_VALUE"""),43945.9986111111)</f>
        <v>43945.998611111099</v>
      </c>
      <c r="AT578" s="6">
        <f ca="1">IFERROR(__xludf.DUMMYFUNCTION("""COMPUTED_VALUE"""),1735.6)</f>
        <v>1735.6</v>
      </c>
    </row>
    <row r="579" spans="2:46" x14ac:dyDescent="0.35">
      <c r="B579" s="6" t="str">
        <f t="shared" ca="1" si="144"/>
        <v>20204</v>
      </c>
      <c r="C579" s="6">
        <f t="shared" ca="1" si="145"/>
        <v>2020</v>
      </c>
      <c r="D579" s="6">
        <f t="shared" ca="1" si="146"/>
        <v>4</v>
      </c>
      <c r="E579" s="68">
        <f ca="1">IFERROR(__xludf.DUMMYFUNCTION("""COMPUTED_VALUE"""),43937.6666666666)</f>
        <v>43937.666666666599</v>
      </c>
      <c r="F579" s="6">
        <f ca="1">IFERROR(__xludf.DUMMYFUNCTION("""COMPUTED_VALUE"""),2799.55)</f>
        <v>2799.55</v>
      </c>
      <c r="J579" s="6" t="str">
        <f t="shared" ca="1" si="147"/>
        <v>20204</v>
      </c>
      <c r="K579" s="6">
        <f t="shared" ca="1" si="148"/>
        <v>2020</v>
      </c>
      <c r="L579" s="6">
        <f t="shared" ca="1" si="149"/>
        <v>4</v>
      </c>
      <c r="M579" s="68">
        <f ca="1">IFERROR(__xludf.DUMMYFUNCTION("""COMPUTED_VALUE"""),43930.6666666666)</f>
        <v>43930.666666666599</v>
      </c>
      <c r="N579" s="6">
        <f ca="1">IFERROR(__xludf.DUMMYFUNCTION("""COMPUTED_VALUE"""),8153.58)</f>
        <v>8153.58</v>
      </c>
      <c r="R579" s="6" t="str">
        <f t="shared" ca="1" si="150"/>
        <v>20205</v>
      </c>
      <c r="S579" s="6">
        <f t="shared" ca="1" si="151"/>
        <v>2020</v>
      </c>
      <c r="T579" s="6">
        <f t="shared" ca="1" si="152"/>
        <v>5</v>
      </c>
      <c r="U579" s="68">
        <f ca="1">IFERROR(__xludf.DUMMYFUNCTION("""COMPUTED_VALUE"""),43965.6458333333)</f>
        <v>43965.645833333299</v>
      </c>
      <c r="V579" s="6">
        <f ca="1">IFERROR(__xludf.DUMMYFUNCTION("""COMPUTED_VALUE"""),1924.96)</f>
        <v>1924.96</v>
      </c>
      <c r="Z579" s="6" t="str">
        <f t="shared" ca="1" si="153"/>
        <v>20199</v>
      </c>
      <c r="AA579" s="6">
        <f t="shared" ca="1" si="154"/>
        <v>2019</v>
      </c>
      <c r="AB579" s="6">
        <f t="shared" ca="1" si="155"/>
        <v>9</v>
      </c>
      <c r="AC579" s="68">
        <f ca="1">IFERROR(__xludf.DUMMYFUNCTION("""COMPUTED_VALUE"""),43711.9986111111)</f>
        <v>43711.998611111099</v>
      </c>
      <c r="AD579" s="6">
        <f ca="1">IFERROR(__xludf.DUMMYFUNCTION("""COMPUTED_VALUE"""),1210.48)</f>
        <v>1210.48</v>
      </c>
      <c r="AH579" s="6" t="str">
        <f t="shared" ca="1" si="156"/>
        <v>20197</v>
      </c>
      <c r="AI579" s="6">
        <f t="shared" ca="1" si="157"/>
        <v>2019</v>
      </c>
      <c r="AJ579" s="6">
        <f t="shared" ca="1" si="158"/>
        <v>7</v>
      </c>
      <c r="AK579" s="68">
        <f ca="1">IFERROR(__xludf.DUMMYFUNCTION("""COMPUTED_VALUE"""),43671.9986111111)</f>
        <v>43671.998611111099</v>
      </c>
      <c r="AL579" s="6">
        <f ca="1">IFERROR(__xludf.DUMMYFUNCTION("""COMPUTED_VALUE"""),9879.488)</f>
        <v>9879.4879999999994</v>
      </c>
      <c r="AP579" s="6" t="str">
        <f t="shared" ca="1" si="159"/>
        <v>20204</v>
      </c>
      <c r="AQ579" s="6">
        <f t="shared" ca="1" si="160"/>
        <v>2020</v>
      </c>
      <c r="AR579" s="6">
        <f t="shared" ca="1" si="161"/>
        <v>4</v>
      </c>
      <c r="AS579" s="68">
        <f ca="1">IFERROR(__xludf.DUMMYFUNCTION("""COMPUTED_VALUE"""),43948.9986111111)</f>
        <v>43948.998611111099</v>
      </c>
      <c r="AT579" s="6">
        <f ca="1">IFERROR(__xludf.DUMMYFUNCTION("""COMPUTED_VALUE"""),1723.8)</f>
        <v>1723.8</v>
      </c>
    </row>
    <row r="580" spans="2:46" x14ac:dyDescent="0.35">
      <c r="B580" s="6" t="str">
        <f t="shared" ca="1" si="144"/>
        <v>20204</v>
      </c>
      <c r="C580" s="6">
        <f t="shared" ca="1" si="145"/>
        <v>2020</v>
      </c>
      <c r="D580" s="6">
        <f t="shared" ca="1" si="146"/>
        <v>4</v>
      </c>
      <c r="E580" s="68">
        <f ca="1">IFERROR(__xludf.DUMMYFUNCTION("""COMPUTED_VALUE"""),43938.6666666666)</f>
        <v>43938.666666666599</v>
      </c>
      <c r="F580" s="6">
        <f ca="1">IFERROR(__xludf.DUMMYFUNCTION("""COMPUTED_VALUE"""),2874.56)</f>
        <v>2874.56</v>
      </c>
      <c r="J580" s="6" t="str">
        <f t="shared" ca="1" si="147"/>
        <v>20204</v>
      </c>
      <c r="K580" s="6">
        <f t="shared" ca="1" si="148"/>
        <v>2020</v>
      </c>
      <c r="L580" s="6">
        <f t="shared" ca="1" si="149"/>
        <v>4</v>
      </c>
      <c r="M580" s="68">
        <f ca="1">IFERROR(__xludf.DUMMYFUNCTION("""COMPUTED_VALUE"""),43934.6666666666)</f>
        <v>43934.666666666599</v>
      </c>
      <c r="N580" s="6">
        <f ca="1">IFERROR(__xludf.DUMMYFUNCTION("""COMPUTED_VALUE"""),8192.42)</f>
        <v>8192.42</v>
      </c>
      <c r="R580" s="6" t="str">
        <f t="shared" ca="1" si="150"/>
        <v>20205</v>
      </c>
      <c r="S580" s="6">
        <f t="shared" ca="1" si="151"/>
        <v>2020</v>
      </c>
      <c r="T580" s="6">
        <f t="shared" ca="1" si="152"/>
        <v>5</v>
      </c>
      <c r="U580" s="68">
        <f ca="1">IFERROR(__xludf.DUMMYFUNCTION("""COMPUTED_VALUE"""),43966.6458333333)</f>
        <v>43966.645833333299</v>
      </c>
      <c r="V580" s="6">
        <f ca="1">IFERROR(__xludf.DUMMYFUNCTION("""COMPUTED_VALUE"""),1927.28)</f>
        <v>1927.28</v>
      </c>
      <c r="Z580" s="6" t="str">
        <f t="shared" ca="1" si="153"/>
        <v>20199</v>
      </c>
      <c r="AA580" s="6">
        <f t="shared" ca="1" si="154"/>
        <v>2019</v>
      </c>
      <c r="AB580" s="6">
        <f t="shared" ca="1" si="155"/>
        <v>9</v>
      </c>
      <c r="AC580" s="68">
        <f ca="1">IFERROR(__xludf.DUMMYFUNCTION("""COMPUTED_VALUE"""),43712.9986111111)</f>
        <v>43712.998611111099</v>
      </c>
      <c r="AD580" s="6">
        <f ca="1">IFERROR(__xludf.DUMMYFUNCTION("""COMPUTED_VALUE"""),1202.69)</f>
        <v>1202.69</v>
      </c>
      <c r="AH580" s="6" t="str">
        <f t="shared" ca="1" si="156"/>
        <v>20197</v>
      </c>
      <c r="AI580" s="6">
        <f t="shared" ca="1" si="157"/>
        <v>2019</v>
      </c>
      <c r="AJ580" s="6">
        <f t="shared" ca="1" si="158"/>
        <v>7</v>
      </c>
      <c r="AK580" s="68">
        <f ca="1">IFERROR(__xludf.DUMMYFUNCTION("""COMPUTED_VALUE"""),43672.9986111111)</f>
        <v>43672.998611111099</v>
      </c>
      <c r="AL580" s="6">
        <f ca="1">IFERROR(__xludf.DUMMYFUNCTION("""COMPUTED_VALUE"""),9846.078)</f>
        <v>9846.0779999999995</v>
      </c>
      <c r="AP580" s="6" t="str">
        <f t="shared" ca="1" si="159"/>
        <v>20204</v>
      </c>
      <c r="AQ580" s="6">
        <f t="shared" ca="1" si="160"/>
        <v>2020</v>
      </c>
      <c r="AR580" s="6">
        <f t="shared" ca="1" si="161"/>
        <v>4</v>
      </c>
      <c r="AS580" s="68">
        <f ca="1">IFERROR(__xludf.DUMMYFUNCTION("""COMPUTED_VALUE"""),43949.9986111111)</f>
        <v>43949.998611111099</v>
      </c>
      <c r="AT580" s="6">
        <f ca="1">IFERROR(__xludf.DUMMYFUNCTION("""COMPUTED_VALUE"""),1722.2)</f>
        <v>1722.2</v>
      </c>
    </row>
    <row r="581" spans="2:46" x14ac:dyDescent="0.35">
      <c r="B581" s="6" t="str">
        <f t="shared" ca="1" si="144"/>
        <v>20204</v>
      </c>
      <c r="C581" s="6">
        <f t="shared" ca="1" si="145"/>
        <v>2020</v>
      </c>
      <c r="D581" s="6">
        <f t="shared" ca="1" si="146"/>
        <v>4</v>
      </c>
      <c r="E581" s="68">
        <f ca="1">IFERROR(__xludf.DUMMYFUNCTION("""COMPUTED_VALUE"""),43941.6666666666)</f>
        <v>43941.666666666599</v>
      </c>
      <c r="F581" s="6">
        <f ca="1">IFERROR(__xludf.DUMMYFUNCTION("""COMPUTED_VALUE"""),2823.16)</f>
        <v>2823.16</v>
      </c>
      <c r="J581" s="6" t="str">
        <f t="shared" ca="1" si="147"/>
        <v>20204</v>
      </c>
      <c r="K581" s="6">
        <f t="shared" ca="1" si="148"/>
        <v>2020</v>
      </c>
      <c r="L581" s="6">
        <f t="shared" ca="1" si="149"/>
        <v>4</v>
      </c>
      <c r="M581" s="68">
        <f ca="1">IFERROR(__xludf.DUMMYFUNCTION("""COMPUTED_VALUE"""),43935.6666666666)</f>
        <v>43935.666666666599</v>
      </c>
      <c r="N581" s="6">
        <f ca="1">IFERROR(__xludf.DUMMYFUNCTION("""COMPUTED_VALUE"""),8515.74)</f>
        <v>8515.74</v>
      </c>
      <c r="R581" s="6" t="str">
        <f t="shared" ca="1" si="150"/>
        <v>20205</v>
      </c>
      <c r="S581" s="6">
        <f t="shared" ca="1" si="151"/>
        <v>2020</v>
      </c>
      <c r="T581" s="6">
        <f t="shared" ca="1" si="152"/>
        <v>5</v>
      </c>
      <c r="U581" s="68">
        <f ca="1">IFERROR(__xludf.DUMMYFUNCTION("""COMPUTED_VALUE"""),43969.6458333333)</f>
        <v>43969.645833333299</v>
      </c>
      <c r="V581" s="6">
        <f ca="1">IFERROR(__xludf.DUMMYFUNCTION("""COMPUTED_VALUE"""),1937.11)</f>
        <v>1937.11</v>
      </c>
      <c r="Z581" s="6" t="str">
        <f t="shared" ca="1" si="153"/>
        <v>20199</v>
      </c>
      <c r="AA581" s="6">
        <f t="shared" ca="1" si="154"/>
        <v>2019</v>
      </c>
      <c r="AB581" s="6">
        <f t="shared" ca="1" si="155"/>
        <v>9</v>
      </c>
      <c r="AC581" s="68">
        <f ca="1">IFERROR(__xludf.DUMMYFUNCTION("""COMPUTED_VALUE"""),43713.9986111111)</f>
        <v>43713.998611111099</v>
      </c>
      <c r="AD581" s="6">
        <f ca="1">IFERROR(__xludf.DUMMYFUNCTION("""COMPUTED_VALUE"""),1196)</f>
        <v>1196</v>
      </c>
      <c r="AH581" s="6" t="str">
        <f t="shared" ca="1" si="156"/>
        <v>20197</v>
      </c>
      <c r="AI581" s="6">
        <f t="shared" ca="1" si="157"/>
        <v>2019</v>
      </c>
      <c r="AJ581" s="6">
        <f t="shared" ca="1" si="158"/>
        <v>7</v>
      </c>
      <c r="AK581" s="68">
        <f ca="1">IFERROR(__xludf.DUMMYFUNCTION("""COMPUTED_VALUE"""),43673.9986111111)</f>
        <v>43673.998611111099</v>
      </c>
      <c r="AL581" s="6">
        <f ca="1">IFERROR(__xludf.DUMMYFUNCTION("""COMPUTED_VALUE"""),9472.251)</f>
        <v>9472.2510000000002</v>
      </c>
      <c r="AP581" s="6" t="str">
        <f t="shared" ca="1" si="159"/>
        <v>20204</v>
      </c>
      <c r="AQ581" s="6">
        <f t="shared" ca="1" si="160"/>
        <v>2020</v>
      </c>
      <c r="AR581" s="6">
        <f t="shared" ca="1" si="161"/>
        <v>4</v>
      </c>
      <c r="AS581" s="68">
        <f ca="1">IFERROR(__xludf.DUMMYFUNCTION("""COMPUTED_VALUE"""),43950.9986111111)</f>
        <v>43950.998611111099</v>
      </c>
      <c r="AT581" s="6">
        <f ca="1">IFERROR(__xludf.DUMMYFUNCTION("""COMPUTED_VALUE"""),1713.4)</f>
        <v>1713.4</v>
      </c>
    </row>
    <row r="582" spans="2:46" x14ac:dyDescent="0.35">
      <c r="B582" s="6" t="str">
        <f t="shared" ca="1" si="144"/>
        <v>20204</v>
      </c>
      <c r="C582" s="6">
        <f t="shared" ca="1" si="145"/>
        <v>2020</v>
      </c>
      <c r="D582" s="6">
        <f t="shared" ca="1" si="146"/>
        <v>4</v>
      </c>
      <c r="E582" s="68">
        <f ca="1">IFERROR(__xludf.DUMMYFUNCTION("""COMPUTED_VALUE"""),43942.6666666666)</f>
        <v>43942.666666666599</v>
      </c>
      <c r="F582" s="6">
        <f ca="1">IFERROR(__xludf.DUMMYFUNCTION("""COMPUTED_VALUE"""),2736.56)</f>
        <v>2736.56</v>
      </c>
      <c r="J582" s="6" t="str">
        <f t="shared" ca="1" si="147"/>
        <v>20204</v>
      </c>
      <c r="K582" s="6">
        <f t="shared" ca="1" si="148"/>
        <v>2020</v>
      </c>
      <c r="L582" s="6">
        <f t="shared" ca="1" si="149"/>
        <v>4</v>
      </c>
      <c r="M582" s="68">
        <f ca="1">IFERROR(__xludf.DUMMYFUNCTION("""COMPUTED_VALUE"""),43936.6666666666)</f>
        <v>43936.666666666599</v>
      </c>
      <c r="N582" s="6">
        <f ca="1">IFERROR(__xludf.DUMMYFUNCTION("""COMPUTED_VALUE"""),8393.18)</f>
        <v>8393.18</v>
      </c>
      <c r="R582" s="6" t="str">
        <f t="shared" ca="1" si="150"/>
        <v>20205</v>
      </c>
      <c r="S582" s="6">
        <f t="shared" ca="1" si="151"/>
        <v>2020</v>
      </c>
      <c r="T582" s="6">
        <f t="shared" ca="1" si="152"/>
        <v>5</v>
      </c>
      <c r="U582" s="68">
        <f ca="1">IFERROR(__xludf.DUMMYFUNCTION("""COMPUTED_VALUE"""),43970.6458333333)</f>
        <v>43970.645833333299</v>
      </c>
      <c r="V582" s="6">
        <f ca="1">IFERROR(__xludf.DUMMYFUNCTION("""COMPUTED_VALUE"""),1980.61)</f>
        <v>1980.61</v>
      </c>
      <c r="Z582" s="6" t="str">
        <f t="shared" ca="1" si="153"/>
        <v>20199</v>
      </c>
      <c r="AA582" s="6">
        <f t="shared" ca="1" si="154"/>
        <v>2019</v>
      </c>
      <c r="AB582" s="6">
        <f t="shared" ca="1" si="155"/>
        <v>9</v>
      </c>
      <c r="AC582" s="68">
        <f ca="1">IFERROR(__xludf.DUMMYFUNCTION("""COMPUTED_VALUE"""),43714.9986111111)</f>
        <v>43714.998611111099</v>
      </c>
      <c r="AD582" s="6">
        <f ca="1">IFERROR(__xludf.DUMMYFUNCTION("""COMPUTED_VALUE"""),1191.78)</f>
        <v>1191.78</v>
      </c>
      <c r="AH582" s="6" t="str">
        <f t="shared" ca="1" si="156"/>
        <v>20197</v>
      </c>
      <c r="AI582" s="6">
        <f t="shared" ca="1" si="157"/>
        <v>2019</v>
      </c>
      <c r="AJ582" s="6">
        <f t="shared" ca="1" si="158"/>
        <v>7</v>
      </c>
      <c r="AK582" s="68">
        <f ca="1">IFERROR(__xludf.DUMMYFUNCTION("""COMPUTED_VALUE"""),43674.9986111111)</f>
        <v>43674.998611111099</v>
      </c>
      <c r="AL582" s="6">
        <f ca="1">IFERROR(__xludf.DUMMYFUNCTION("""COMPUTED_VALUE"""),9525.349)</f>
        <v>9525.3490000000002</v>
      </c>
      <c r="AP582" s="6" t="str">
        <f t="shared" ca="1" si="159"/>
        <v>20204</v>
      </c>
      <c r="AQ582" s="6">
        <f t="shared" ca="1" si="160"/>
        <v>2020</v>
      </c>
      <c r="AR582" s="6">
        <f t="shared" ca="1" si="161"/>
        <v>4</v>
      </c>
      <c r="AS582" s="68">
        <f ca="1">IFERROR(__xludf.DUMMYFUNCTION("""COMPUTED_VALUE"""),43951.9986111111)</f>
        <v>43951.998611111099</v>
      </c>
      <c r="AT582" s="6">
        <f ca="1">IFERROR(__xludf.DUMMYFUNCTION("""COMPUTED_VALUE"""),1694.2)</f>
        <v>1694.2</v>
      </c>
    </row>
    <row r="583" spans="2:46" x14ac:dyDescent="0.35">
      <c r="B583" s="6" t="str">
        <f t="shared" ref="B583:B646" ca="1" si="162">C583&amp;D583</f>
        <v>20204</v>
      </c>
      <c r="C583" s="6">
        <f t="shared" ref="C583:C646" ca="1" si="163">YEAR(E583)</f>
        <v>2020</v>
      </c>
      <c r="D583" s="6">
        <f t="shared" ref="D583:D646" ca="1" si="164">MONTH(E583)</f>
        <v>4</v>
      </c>
      <c r="E583" s="68">
        <f ca="1">IFERROR(__xludf.DUMMYFUNCTION("""COMPUTED_VALUE"""),43943.6666666666)</f>
        <v>43943.666666666599</v>
      </c>
      <c r="F583" s="6">
        <f ca="1">IFERROR(__xludf.DUMMYFUNCTION("""COMPUTED_VALUE"""),2799.31)</f>
        <v>2799.31</v>
      </c>
      <c r="J583" s="6" t="str">
        <f t="shared" ref="J583:J646" ca="1" si="165">K583&amp;L583</f>
        <v>20204</v>
      </c>
      <c r="K583" s="6">
        <f t="shared" ref="K583:K646" ca="1" si="166">YEAR(M583)</f>
        <v>2020</v>
      </c>
      <c r="L583" s="6">
        <f t="shared" ref="L583:L646" ca="1" si="167">MONTH(M583)</f>
        <v>4</v>
      </c>
      <c r="M583" s="68">
        <f ca="1">IFERROR(__xludf.DUMMYFUNCTION("""COMPUTED_VALUE"""),43937.6666666666)</f>
        <v>43937.666666666599</v>
      </c>
      <c r="N583" s="6">
        <f ca="1">IFERROR(__xludf.DUMMYFUNCTION("""COMPUTED_VALUE"""),8532.36)</f>
        <v>8532.36</v>
      </c>
      <c r="R583" s="6" t="str">
        <f t="shared" ref="R583:R646" ca="1" si="168">S583&amp;T583</f>
        <v>20205</v>
      </c>
      <c r="S583" s="6">
        <f t="shared" ref="S583:S646" ca="1" si="169">YEAR(U583)</f>
        <v>2020</v>
      </c>
      <c r="T583" s="6">
        <f t="shared" ref="T583:T646" ca="1" si="170">MONTH(U583)</f>
        <v>5</v>
      </c>
      <c r="U583" s="68">
        <f ca="1">IFERROR(__xludf.DUMMYFUNCTION("""COMPUTED_VALUE"""),43971.6458333333)</f>
        <v>43971.645833333299</v>
      </c>
      <c r="V583" s="6">
        <f ca="1">IFERROR(__xludf.DUMMYFUNCTION("""COMPUTED_VALUE"""),1989.64)</f>
        <v>1989.64</v>
      </c>
      <c r="Z583" s="6" t="str">
        <f t="shared" ref="Z583:Z646" ca="1" si="171">AA583&amp;AB583</f>
        <v>20199</v>
      </c>
      <c r="AA583" s="6">
        <f t="shared" ref="AA583:AA646" ca="1" si="172">YEAR(AC583)</f>
        <v>2019</v>
      </c>
      <c r="AB583" s="6">
        <f t="shared" ref="AB583:AB646" ca="1" si="173">MONTH(AC583)</f>
        <v>9</v>
      </c>
      <c r="AC583" s="68">
        <f ca="1">IFERROR(__xludf.DUMMYFUNCTION("""COMPUTED_VALUE"""),43715.9986111111)</f>
        <v>43715.998611111099</v>
      </c>
      <c r="AD583" s="6">
        <f ca="1">IFERROR(__xludf.DUMMYFUNCTION("""COMPUTED_VALUE"""),1190.9)</f>
        <v>1190.9000000000001</v>
      </c>
      <c r="AH583" s="6" t="str">
        <f t="shared" ref="AH583:AH646" ca="1" si="174">AI583&amp;AJ583</f>
        <v>20197</v>
      </c>
      <c r="AI583" s="6">
        <f t="shared" ref="AI583:AI646" ca="1" si="175">YEAR(AK583)</f>
        <v>2019</v>
      </c>
      <c r="AJ583" s="6">
        <f t="shared" ref="AJ583:AJ646" ca="1" si="176">MONTH(AK583)</f>
        <v>7</v>
      </c>
      <c r="AK583" s="68">
        <f ca="1">IFERROR(__xludf.DUMMYFUNCTION("""COMPUTED_VALUE"""),43675.9986111111)</f>
        <v>43675.998611111099</v>
      </c>
      <c r="AL583" s="6">
        <f ca="1">IFERROR(__xludf.DUMMYFUNCTION("""COMPUTED_VALUE"""),9508.112)</f>
        <v>9508.1119999999992</v>
      </c>
      <c r="AP583" s="6" t="str">
        <f t="shared" ref="AP583:AP646" ca="1" si="177">AQ583&amp;AR583</f>
        <v>20205</v>
      </c>
      <c r="AQ583" s="6">
        <f t="shared" ref="AQ583:AQ646" ca="1" si="178">YEAR(AS583)</f>
        <v>2020</v>
      </c>
      <c r="AR583" s="6">
        <f t="shared" ref="AR583:AR646" ca="1" si="179">MONTH(AS583)</f>
        <v>5</v>
      </c>
      <c r="AS583" s="68">
        <f ca="1">IFERROR(__xludf.DUMMYFUNCTION("""COMPUTED_VALUE"""),43952.9986111111)</f>
        <v>43952.998611111099</v>
      </c>
      <c r="AT583" s="6">
        <f ca="1">IFERROR(__xludf.DUMMYFUNCTION("""COMPUTED_VALUE"""),1700.9)</f>
        <v>1700.9</v>
      </c>
    </row>
    <row r="584" spans="2:46" x14ac:dyDescent="0.35">
      <c r="B584" s="6" t="str">
        <f t="shared" ca="1" si="162"/>
        <v>20204</v>
      </c>
      <c r="C584" s="6">
        <f t="shared" ca="1" si="163"/>
        <v>2020</v>
      </c>
      <c r="D584" s="6">
        <f t="shared" ca="1" si="164"/>
        <v>4</v>
      </c>
      <c r="E584" s="68">
        <f ca="1">IFERROR(__xludf.DUMMYFUNCTION("""COMPUTED_VALUE"""),43944.6666666666)</f>
        <v>43944.666666666599</v>
      </c>
      <c r="F584" s="6">
        <f ca="1">IFERROR(__xludf.DUMMYFUNCTION("""COMPUTED_VALUE"""),2797.8)</f>
        <v>2797.8</v>
      </c>
      <c r="J584" s="6" t="str">
        <f t="shared" ca="1" si="165"/>
        <v>20204</v>
      </c>
      <c r="K584" s="6">
        <f t="shared" ca="1" si="166"/>
        <v>2020</v>
      </c>
      <c r="L584" s="6">
        <f t="shared" ca="1" si="167"/>
        <v>4</v>
      </c>
      <c r="M584" s="68">
        <f ca="1">IFERROR(__xludf.DUMMYFUNCTION("""COMPUTED_VALUE"""),43938.6666666666)</f>
        <v>43938.666666666599</v>
      </c>
      <c r="N584" s="6">
        <f ca="1">IFERROR(__xludf.DUMMYFUNCTION("""COMPUTED_VALUE"""),8650.14)</f>
        <v>8650.14</v>
      </c>
      <c r="R584" s="6" t="str">
        <f t="shared" ca="1" si="168"/>
        <v>20205</v>
      </c>
      <c r="S584" s="6">
        <f t="shared" ca="1" si="169"/>
        <v>2020</v>
      </c>
      <c r="T584" s="6">
        <f t="shared" ca="1" si="170"/>
        <v>5</v>
      </c>
      <c r="U584" s="68">
        <f ca="1">IFERROR(__xludf.DUMMYFUNCTION("""COMPUTED_VALUE"""),43972.6458333333)</f>
        <v>43972.645833333299</v>
      </c>
      <c r="V584" s="6">
        <f ca="1">IFERROR(__xludf.DUMMYFUNCTION("""COMPUTED_VALUE"""),1998.31)</f>
        <v>1998.31</v>
      </c>
      <c r="Z584" s="6" t="str">
        <f t="shared" ca="1" si="171"/>
        <v>20199</v>
      </c>
      <c r="AA584" s="6">
        <f t="shared" ca="1" si="172"/>
        <v>2019</v>
      </c>
      <c r="AB584" s="6">
        <f t="shared" ca="1" si="173"/>
        <v>9</v>
      </c>
      <c r="AC584" s="68">
        <f ca="1">IFERROR(__xludf.DUMMYFUNCTION("""COMPUTED_VALUE"""),43716.9986111111)</f>
        <v>43716.998611111099</v>
      </c>
      <c r="AD584" s="6">
        <f ca="1">IFERROR(__xludf.DUMMYFUNCTION("""COMPUTED_VALUE"""),1191.62)</f>
        <v>1191.6199999999999</v>
      </c>
      <c r="AH584" s="6" t="str">
        <f t="shared" ca="1" si="174"/>
        <v>20197</v>
      </c>
      <c r="AI584" s="6">
        <f t="shared" ca="1" si="175"/>
        <v>2019</v>
      </c>
      <c r="AJ584" s="6">
        <f t="shared" ca="1" si="176"/>
        <v>7</v>
      </c>
      <c r="AK584" s="68">
        <f ca="1">IFERROR(__xludf.DUMMYFUNCTION("""COMPUTED_VALUE"""),43676.9986111111)</f>
        <v>43676.998611111099</v>
      </c>
      <c r="AL584" s="6">
        <f ca="1">IFERROR(__xludf.DUMMYFUNCTION("""COMPUTED_VALUE"""),9591)</f>
        <v>9591</v>
      </c>
      <c r="AP584" s="6" t="str">
        <f t="shared" ca="1" si="177"/>
        <v>20205</v>
      </c>
      <c r="AQ584" s="6">
        <f t="shared" ca="1" si="178"/>
        <v>2020</v>
      </c>
      <c r="AR584" s="6">
        <f t="shared" ca="1" si="179"/>
        <v>5</v>
      </c>
      <c r="AS584" s="68">
        <f ca="1">IFERROR(__xludf.DUMMYFUNCTION("""COMPUTED_VALUE"""),43955.9986111111)</f>
        <v>43955.998611111099</v>
      </c>
      <c r="AT584" s="6">
        <f ca="1">IFERROR(__xludf.DUMMYFUNCTION("""COMPUTED_VALUE"""),1713.3)</f>
        <v>1713.3</v>
      </c>
    </row>
    <row r="585" spans="2:46" x14ac:dyDescent="0.35">
      <c r="B585" s="6" t="str">
        <f t="shared" ca="1" si="162"/>
        <v>20204</v>
      </c>
      <c r="C585" s="6">
        <f t="shared" ca="1" si="163"/>
        <v>2020</v>
      </c>
      <c r="D585" s="6">
        <f t="shared" ca="1" si="164"/>
        <v>4</v>
      </c>
      <c r="E585" s="68">
        <f ca="1">IFERROR(__xludf.DUMMYFUNCTION("""COMPUTED_VALUE"""),43945.6666666666)</f>
        <v>43945.666666666599</v>
      </c>
      <c r="F585" s="6">
        <f ca="1">IFERROR(__xludf.DUMMYFUNCTION("""COMPUTED_VALUE"""),2836.74)</f>
        <v>2836.74</v>
      </c>
      <c r="J585" s="6" t="str">
        <f t="shared" ca="1" si="165"/>
        <v>20204</v>
      </c>
      <c r="K585" s="6">
        <f t="shared" ca="1" si="166"/>
        <v>2020</v>
      </c>
      <c r="L585" s="6">
        <f t="shared" ca="1" si="167"/>
        <v>4</v>
      </c>
      <c r="M585" s="68">
        <f ca="1">IFERROR(__xludf.DUMMYFUNCTION("""COMPUTED_VALUE"""),43941.6666666666)</f>
        <v>43941.666666666599</v>
      </c>
      <c r="N585" s="6">
        <f ca="1">IFERROR(__xludf.DUMMYFUNCTION("""COMPUTED_VALUE"""),8560.73)</f>
        <v>8560.73</v>
      </c>
      <c r="R585" s="6" t="str">
        <f t="shared" ca="1" si="168"/>
        <v>20205</v>
      </c>
      <c r="S585" s="6">
        <f t="shared" ca="1" si="169"/>
        <v>2020</v>
      </c>
      <c r="T585" s="6">
        <f t="shared" ca="1" si="170"/>
        <v>5</v>
      </c>
      <c r="U585" s="68">
        <f ca="1">IFERROR(__xludf.DUMMYFUNCTION("""COMPUTED_VALUE"""),43973.6458333333)</f>
        <v>43973.645833333299</v>
      </c>
      <c r="V585" s="6">
        <f ca="1">IFERROR(__xludf.DUMMYFUNCTION("""COMPUTED_VALUE"""),1970.13)</f>
        <v>1970.13</v>
      </c>
      <c r="Z585" s="6" t="str">
        <f t="shared" ca="1" si="171"/>
        <v>20199</v>
      </c>
      <c r="AA585" s="6">
        <f t="shared" ca="1" si="172"/>
        <v>2019</v>
      </c>
      <c r="AB585" s="6">
        <f t="shared" ca="1" si="173"/>
        <v>9</v>
      </c>
      <c r="AC585" s="68">
        <f ca="1">IFERROR(__xludf.DUMMYFUNCTION("""COMPUTED_VALUE"""),43717.9986111111)</f>
        <v>43717.998611111099</v>
      </c>
      <c r="AD585" s="6">
        <f ca="1">IFERROR(__xludf.DUMMYFUNCTION("""COMPUTED_VALUE"""),1190.86)</f>
        <v>1190.8599999999999</v>
      </c>
      <c r="AH585" s="6" t="str">
        <f t="shared" ca="1" si="174"/>
        <v>20197</v>
      </c>
      <c r="AI585" s="6">
        <f t="shared" ca="1" si="175"/>
        <v>2019</v>
      </c>
      <c r="AJ585" s="6">
        <f t="shared" ca="1" si="176"/>
        <v>7</v>
      </c>
      <c r="AK585" s="68">
        <f ca="1">IFERROR(__xludf.DUMMYFUNCTION("""COMPUTED_VALUE"""),43677.9986111111)</f>
        <v>43677.998611111099</v>
      </c>
      <c r="AL585" s="6">
        <f ca="1">IFERROR(__xludf.DUMMYFUNCTION("""COMPUTED_VALUE"""),10084.75)</f>
        <v>10084.75</v>
      </c>
      <c r="AP585" s="6" t="str">
        <f t="shared" ca="1" si="177"/>
        <v>20205</v>
      </c>
      <c r="AQ585" s="6">
        <f t="shared" ca="1" si="178"/>
        <v>2020</v>
      </c>
      <c r="AR585" s="6">
        <f t="shared" ca="1" si="179"/>
        <v>5</v>
      </c>
      <c r="AS585" s="68">
        <f ca="1">IFERROR(__xludf.DUMMYFUNCTION("""COMPUTED_VALUE"""),43956.9986111111)</f>
        <v>43956.998611111099</v>
      </c>
      <c r="AT585" s="6">
        <f ca="1">IFERROR(__xludf.DUMMYFUNCTION("""COMPUTED_VALUE"""),1710.6)</f>
        <v>1710.6</v>
      </c>
    </row>
    <row r="586" spans="2:46" x14ac:dyDescent="0.35">
      <c r="B586" s="6" t="str">
        <f t="shared" ca="1" si="162"/>
        <v>20204</v>
      </c>
      <c r="C586" s="6">
        <f t="shared" ca="1" si="163"/>
        <v>2020</v>
      </c>
      <c r="D586" s="6">
        <f t="shared" ca="1" si="164"/>
        <v>4</v>
      </c>
      <c r="E586" s="68">
        <f ca="1">IFERROR(__xludf.DUMMYFUNCTION("""COMPUTED_VALUE"""),43948.6666666666)</f>
        <v>43948.666666666599</v>
      </c>
      <c r="F586" s="6">
        <f ca="1">IFERROR(__xludf.DUMMYFUNCTION("""COMPUTED_VALUE"""),2878.48)</f>
        <v>2878.48</v>
      </c>
      <c r="J586" s="6" t="str">
        <f t="shared" ca="1" si="165"/>
        <v>20204</v>
      </c>
      <c r="K586" s="6">
        <f t="shared" ca="1" si="166"/>
        <v>2020</v>
      </c>
      <c r="L586" s="6">
        <f t="shared" ca="1" si="167"/>
        <v>4</v>
      </c>
      <c r="M586" s="68">
        <f ca="1">IFERROR(__xludf.DUMMYFUNCTION("""COMPUTED_VALUE"""),43942.6666666666)</f>
        <v>43942.666666666599</v>
      </c>
      <c r="N586" s="6">
        <f ca="1">IFERROR(__xludf.DUMMYFUNCTION("""COMPUTED_VALUE"""),8263.23)</f>
        <v>8263.23</v>
      </c>
      <c r="R586" s="6" t="str">
        <f t="shared" ca="1" si="168"/>
        <v>20205</v>
      </c>
      <c r="S586" s="6">
        <f t="shared" ca="1" si="169"/>
        <v>2020</v>
      </c>
      <c r="T586" s="6">
        <f t="shared" ca="1" si="170"/>
        <v>5</v>
      </c>
      <c r="U586" s="68">
        <f ca="1">IFERROR(__xludf.DUMMYFUNCTION("""COMPUTED_VALUE"""),43976.6458333333)</f>
        <v>43976.645833333299</v>
      </c>
      <c r="V586" s="6">
        <f ca="1">IFERROR(__xludf.DUMMYFUNCTION("""COMPUTED_VALUE"""),1994.6)</f>
        <v>1994.6</v>
      </c>
      <c r="Z586" s="6" t="str">
        <f t="shared" ca="1" si="171"/>
        <v>20199</v>
      </c>
      <c r="AA586" s="6">
        <f t="shared" ca="1" si="172"/>
        <v>2019</v>
      </c>
      <c r="AB586" s="6">
        <f t="shared" ca="1" si="173"/>
        <v>9</v>
      </c>
      <c r="AC586" s="68">
        <f ca="1">IFERROR(__xludf.DUMMYFUNCTION("""COMPUTED_VALUE"""),43718.9986111111)</f>
        <v>43718.998611111099</v>
      </c>
      <c r="AD586" s="6">
        <f ca="1">IFERROR(__xludf.DUMMYFUNCTION("""COMPUTED_VALUE"""),1189.5)</f>
        <v>1189.5</v>
      </c>
      <c r="AH586" s="6" t="str">
        <f t="shared" ca="1" si="174"/>
        <v>20198</v>
      </c>
      <c r="AI586" s="6">
        <f t="shared" ca="1" si="175"/>
        <v>2019</v>
      </c>
      <c r="AJ586" s="6">
        <f t="shared" ca="1" si="176"/>
        <v>8</v>
      </c>
      <c r="AK586" s="68">
        <f ca="1">IFERROR(__xludf.DUMMYFUNCTION("""COMPUTED_VALUE"""),43678.9986111111)</f>
        <v>43678.998611111099</v>
      </c>
      <c r="AL586" s="6">
        <f ca="1">IFERROR(__xludf.DUMMYFUNCTION("""COMPUTED_VALUE"""),10400.27)</f>
        <v>10400.27</v>
      </c>
      <c r="AP586" s="6" t="str">
        <f t="shared" ca="1" si="177"/>
        <v>20205</v>
      </c>
      <c r="AQ586" s="6">
        <f t="shared" ca="1" si="178"/>
        <v>2020</v>
      </c>
      <c r="AR586" s="6">
        <f t="shared" ca="1" si="179"/>
        <v>5</v>
      </c>
      <c r="AS586" s="68">
        <f ca="1">IFERROR(__xludf.DUMMYFUNCTION("""COMPUTED_VALUE"""),43957.9986111111)</f>
        <v>43957.998611111099</v>
      </c>
      <c r="AT586" s="6">
        <f ca="1">IFERROR(__xludf.DUMMYFUNCTION("""COMPUTED_VALUE"""),1688.5)</f>
        <v>1688.5</v>
      </c>
    </row>
    <row r="587" spans="2:46" x14ac:dyDescent="0.35">
      <c r="B587" s="6" t="str">
        <f t="shared" ca="1" si="162"/>
        <v>20204</v>
      </c>
      <c r="C587" s="6">
        <f t="shared" ca="1" si="163"/>
        <v>2020</v>
      </c>
      <c r="D587" s="6">
        <f t="shared" ca="1" si="164"/>
        <v>4</v>
      </c>
      <c r="E587" s="68">
        <f ca="1">IFERROR(__xludf.DUMMYFUNCTION("""COMPUTED_VALUE"""),43949.6666666666)</f>
        <v>43949.666666666599</v>
      </c>
      <c r="F587" s="6">
        <f ca="1">IFERROR(__xludf.DUMMYFUNCTION("""COMPUTED_VALUE"""),2863.39)</f>
        <v>2863.39</v>
      </c>
      <c r="J587" s="6" t="str">
        <f t="shared" ca="1" si="165"/>
        <v>20204</v>
      </c>
      <c r="K587" s="6">
        <f t="shared" ca="1" si="166"/>
        <v>2020</v>
      </c>
      <c r="L587" s="6">
        <f t="shared" ca="1" si="167"/>
        <v>4</v>
      </c>
      <c r="M587" s="68">
        <f ca="1">IFERROR(__xludf.DUMMYFUNCTION("""COMPUTED_VALUE"""),43943.6666666666)</f>
        <v>43943.666666666599</v>
      </c>
      <c r="N587" s="6">
        <f ca="1">IFERROR(__xludf.DUMMYFUNCTION("""COMPUTED_VALUE"""),8495.38)</f>
        <v>8495.3799999999992</v>
      </c>
      <c r="R587" s="6" t="str">
        <f t="shared" ca="1" si="168"/>
        <v>20205</v>
      </c>
      <c r="S587" s="6">
        <f t="shared" ca="1" si="169"/>
        <v>2020</v>
      </c>
      <c r="T587" s="6">
        <f t="shared" ca="1" si="170"/>
        <v>5</v>
      </c>
      <c r="U587" s="68">
        <f ca="1">IFERROR(__xludf.DUMMYFUNCTION("""COMPUTED_VALUE"""),43977.6458333333)</f>
        <v>43977.645833333299</v>
      </c>
      <c r="V587" s="6">
        <f ca="1">IFERROR(__xludf.DUMMYFUNCTION("""COMPUTED_VALUE"""),2029.78)</f>
        <v>2029.78</v>
      </c>
      <c r="Z587" s="6" t="str">
        <f t="shared" ca="1" si="171"/>
        <v>20199</v>
      </c>
      <c r="AA587" s="6">
        <f t="shared" ca="1" si="172"/>
        <v>2019</v>
      </c>
      <c r="AB587" s="6">
        <f t="shared" ca="1" si="173"/>
        <v>9</v>
      </c>
      <c r="AC587" s="68">
        <f ca="1">IFERROR(__xludf.DUMMYFUNCTION("""COMPUTED_VALUE"""),43719.9986111111)</f>
        <v>43719.998611111099</v>
      </c>
      <c r="AD587" s="6">
        <f ca="1">IFERROR(__xludf.DUMMYFUNCTION("""COMPUTED_VALUE"""),1189.8)</f>
        <v>1189.8</v>
      </c>
      <c r="AH587" s="6" t="str">
        <f t="shared" ca="1" si="174"/>
        <v>20198</v>
      </c>
      <c r="AI587" s="6">
        <f t="shared" ca="1" si="175"/>
        <v>2019</v>
      </c>
      <c r="AJ587" s="6">
        <f t="shared" ca="1" si="176"/>
        <v>8</v>
      </c>
      <c r="AK587" s="68">
        <f ca="1">IFERROR(__xludf.DUMMYFUNCTION("""COMPUTED_VALUE"""),43679.9986111111)</f>
        <v>43679.998611111099</v>
      </c>
      <c r="AL587" s="6">
        <f ca="1">IFERROR(__xludf.DUMMYFUNCTION("""COMPUTED_VALUE"""),10520.34)</f>
        <v>10520.34</v>
      </c>
      <c r="AP587" s="6" t="str">
        <f t="shared" ca="1" si="177"/>
        <v>20205</v>
      </c>
      <c r="AQ587" s="6">
        <f t="shared" ca="1" si="178"/>
        <v>2020</v>
      </c>
      <c r="AR587" s="6">
        <f t="shared" ca="1" si="179"/>
        <v>5</v>
      </c>
      <c r="AS587" s="68">
        <f ca="1">IFERROR(__xludf.DUMMYFUNCTION("""COMPUTED_VALUE"""),43958.9986111111)</f>
        <v>43958.998611111099</v>
      </c>
      <c r="AT587" s="6">
        <f ca="1">IFERROR(__xludf.DUMMYFUNCTION("""COMPUTED_VALUE"""),1725.8)</f>
        <v>1725.8</v>
      </c>
    </row>
    <row r="588" spans="2:46" x14ac:dyDescent="0.35">
      <c r="B588" s="6" t="str">
        <f t="shared" ca="1" si="162"/>
        <v>20204</v>
      </c>
      <c r="C588" s="6">
        <f t="shared" ca="1" si="163"/>
        <v>2020</v>
      </c>
      <c r="D588" s="6">
        <f t="shared" ca="1" si="164"/>
        <v>4</v>
      </c>
      <c r="E588" s="68">
        <f ca="1">IFERROR(__xludf.DUMMYFUNCTION("""COMPUTED_VALUE"""),43950.6666666666)</f>
        <v>43950.666666666599</v>
      </c>
      <c r="F588" s="6">
        <f ca="1">IFERROR(__xludf.DUMMYFUNCTION("""COMPUTED_VALUE"""),2939.51)</f>
        <v>2939.51</v>
      </c>
      <c r="J588" s="6" t="str">
        <f t="shared" ca="1" si="165"/>
        <v>20204</v>
      </c>
      <c r="K588" s="6">
        <f t="shared" ca="1" si="166"/>
        <v>2020</v>
      </c>
      <c r="L588" s="6">
        <f t="shared" ca="1" si="167"/>
        <v>4</v>
      </c>
      <c r="M588" s="68">
        <f ca="1">IFERROR(__xludf.DUMMYFUNCTION("""COMPUTED_VALUE"""),43944.6666666666)</f>
        <v>43944.666666666599</v>
      </c>
      <c r="N588" s="6">
        <f ca="1">IFERROR(__xludf.DUMMYFUNCTION("""COMPUTED_VALUE"""),8494.75)</f>
        <v>8494.75</v>
      </c>
      <c r="R588" s="6" t="str">
        <f t="shared" ca="1" si="168"/>
        <v>20205</v>
      </c>
      <c r="S588" s="6">
        <f t="shared" ca="1" si="169"/>
        <v>2020</v>
      </c>
      <c r="T588" s="6">
        <f t="shared" ca="1" si="170"/>
        <v>5</v>
      </c>
      <c r="U588" s="68">
        <f ca="1">IFERROR(__xludf.DUMMYFUNCTION("""COMPUTED_VALUE"""),43978.6458333333)</f>
        <v>43978.645833333299</v>
      </c>
      <c r="V588" s="6">
        <f ca="1">IFERROR(__xludf.DUMMYFUNCTION("""COMPUTED_VALUE"""),2031.2)</f>
        <v>2031.2</v>
      </c>
      <c r="Z588" s="6" t="str">
        <f t="shared" ca="1" si="171"/>
        <v>20199</v>
      </c>
      <c r="AA588" s="6">
        <f t="shared" ca="1" si="172"/>
        <v>2019</v>
      </c>
      <c r="AB588" s="6">
        <f t="shared" ca="1" si="173"/>
        <v>9</v>
      </c>
      <c r="AC588" s="68">
        <f ca="1">IFERROR(__xludf.DUMMYFUNCTION("""COMPUTED_VALUE"""),43720.9986111111)</f>
        <v>43720.998611111099</v>
      </c>
      <c r="AD588" s="6">
        <f ca="1">IFERROR(__xludf.DUMMYFUNCTION("""COMPUTED_VALUE"""),1180.75)</f>
        <v>1180.75</v>
      </c>
      <c r="AH588" s="6" t="str">
        <f t="shared" ca="1" si="174"/>
        <v>20198</v>
      </c>
      <c r="AI588" s="6">
        <f t="shared" ca="1" si="175"/>
        <v>2019</v>
      </c>
      <c r="AJ588" s="6">
        <f t="shared" ca="1" si="176"/>
        <v>8</v>
      </c>
      <c r="AK588" s="68">
        <f ca="1">IFERROR(__xludf.DUMMYFUNCTION("""COMPUTED_VALUE"""),43680.9986111111)</f>
        <v>43680.998611111099</v>
      </c>
      <c r="AL588" s="6">
        <f ca="1">IFERROR(__xludf.DUMMYFUNCTION("""COMPUTED_VALUE"""),10815.73)</f>
        <v>10815.73</v>
      </c>
      <c r="AP588" s="6" t="str">
        <f t="shared" ca="1" si="177"/>
        <v>20205</v>
      </c>
      <c r="AQ588" s="6">
        <f t="shared" ca="1" si="178"/>
        <v>2020</v>
      </c>
      <c r="AR588" s="6">
        <f t="shared" ca="1" si="179"/>
        <v>5</v>
      </c>
      <c r="AS588" s="68">
        <f ca="1">IFERROR(__xludf.DUMMYFUNCTION("""COMPUTED_VALUE"""),43959.9986111111)</f>
        <v>43959.998611111099</v>
      </c>
      <c r="AT588" s="6">
        <f ca="1">IFERROR(__xludf.DUMMYFUNCTION("""COMPUTED_VALUE"""),1713.9)</f>
        <v>1713.9</v>
      </c>
    </row>
    <row r="589" spans="2:46" x14ac:dyDescent="0.35">
      <c r="B589" s="6" t="str">
        <f t="shared" ca="1" si="162"/>
        <v>20204</v>
      </c>
      <c r="C589" s="6">
        <f t="shared" ca="1" si="163"/>
        <v>2020</v>
      </c>
      <c r="D589" s="6">
        <f t="shared" ca="1" si="164"/>
        <v>4</v>
      </c>
      <c r="E589" s="68">
        <f ca="1">IFERROR(__xludf.DUMMYFUNCTION("""COMPUTED_VALUE"""),43951.6666666666)</f>
        <v>43951.666666666599</v>
      </c>
      <c r="F589" s="6">
        <f ca="1">IFERROR(__xludf.DUMMYFUNCTION("""COMPUTED_VALUE"""),2912.43)</f>
        <v>2912.43</v>
      </c>
      <c r="J589" s="6" t="str">
        <f t="shared" ca="1" si="165"/>
        <v>20204</v>
      </c>
      <c r="K589" s="6">
        <f t="shared" ca="1" si="166"/>
        <v>2020</v>
      </c>
      <c r="L589" s="6">
        <f t="shared" ca="1" si="167"/>
        <v>4</v>
      </c>
      <c r="M589" s="68">
        <f ca="1">IFERROR(__xludf.DUMMYFUNCTION("""COMPUTED_VALUE"""),43945.6666666666)</f>
        <v>43945.666666666599</v>
      </c>
      <c r="N589" s="6">
        <f ca="1">IFERROR(__xludf.DUMMYFUNCTION("""COMPUTED_VALUE"""),8634.52)</f>
        <v>8634.52</v>
      </c>
      <c r="R589" s="6" t="str">
        <f t="shared" ca="1" si="168"/>
        <v>20205</v>
      </c>
      <c r="S589" s="6">
        <f t="shared" ca="1" si="169"/>
        <v>2020</v>
      </c>
      <c r="T589" s="6">
        <f t="shared" ca="1" si="170"/>
        <v>5</v>
      </c>
      <c r="U589" s="68">
        <f ca="1">IFERROR(__xludf.DUMMYFUNCTION("""COMPUTED_VALUE"""),43979.6458333333)</f>
        <v>43979.645833333299</v>
      </c>
      <c r="V589" s="6">
        <f ca="1">IFERROR(__xludf.DUMMYFUNCTION("""COMPUTED_VALUE"""),2028.54)</f>
        <v>2028.54</v>
      </c>
      <c r="Z589" s="6" t="str">
        <f t="shared" ca="1" si="171"/>
        <v>20199</v>
      </c>
      <c r="AA589" s="6">
        <f t="shared" ca="1" si="172"/>
        <v>2019</v>
      </c>
      <c r="AB589" s="6">
        <f t="shared" ca="1" si="173"/>
        <v>9</v>
      </c>
      <c r="AC589" s="68">
        <f ca="1">IFERROR(__xludf.DUMMYFUNCTION("""COMPUTED_VALUE"""),43721.9986111111)</f>
        <v>43721.998611111099</v>
      </c>
      <c r="AD589" s="6">
        <f ca="1">IFERROR(__xludf.DUMMYFUNCTION("""COMPUTED_VALUE"""),1178.72)</f>
        <v>1178.72</v>
      </c>
      <c r="AH589" s="6" t="str">
        <f t="shared" ca="1" si="174"/>
        <v>20198</v>
      </c>
      <c r="AI589" s="6">
        <f t="shared" ca="1" si="175"/>
        <v>2019</v>
      </c>
      <c r="AJ589" s="6">
        <f t="shared" ca="1" si="176"/>
        <v>8</v>
      </c>
      <c r="AK589" s="68">
        <f ca="1">IFERROR(__xludf.DUMMYFUNCTION("""COMPUTED_VALUE"""),43681.9986111111)</f>
        <v>43681.998611111099</v>
      </c>
      <c r="AL589" s="6">
        <f ca="1">IFERROR(__xludf.DUMMYFUNCTION("""COMPUTED_VALUE"""),10969.55)</f>
        <v>10969.55</v>
      </c>
      <c r="AP589" s="6" t="str">
        <f t="shared" ca="1" si="177"/>
        <v>20205</v>
      </c>
      <c r="AQ589" s="6">
        <f t="shared" ca="1" si="178"/>
        <v>2020</v>
      </c>
      <c r="AR589" s="6">
        <f t="shared" ca="1" si="179"/>
        <v>5</v>
      </c>
      <c r="AS589" s="68">
        <f ca="1">IFERROR(__xludf.DUMMYFUNCTION("""COMPUTED_VALUE"""),43962.9986111111)</f>
        <v>43962.998611111099</v>
      </c>
      <c r="AT589" s="6">
        <f ca="1">IFERROR(__xludf.DUMMYFUNCTION("""COMPUTED_VALUE"""),1698)</f>
        <v>1698</v>
      </c>
    </row>
    <row r="590" spans="2:46" x14ac:dyDescent="0.35">
      <c r="B590" s="6" t="str">
        <f t="shared" ca="1" si="162"/>
        <v>20205</v>
      </c>
      <c r="C590" s="6">
        <f t="shared" ca="1" si="163"/>
        <v>2020</v>
      </c>
      <c r="D590" s="6">
        <f t="shared" ca="1" si="164"/>
        <v>5</v>
      </c>
      <c r="E590" s="68">
        <f ca="1">IFERROR(__xludf.DUMMYFUNCTION("""COMPUTED_VALUE"""),43952.6666666666)</f>
        <v>43952.666666666599</v>
      </c>
      <c r="F590" s="6">
        <f ca="1">IFERROR(__xludf.DUMMYFUNCTION("""COMPUTED_VALUE"""),2830.71)</f>
        <v>2830.71</v>
      </c>
      <c r="J590" s="6" t="str">
        <f t="shared" ca="1" si="165"/>
        <v>20204</v>
      </c>
      <c r="K590" s="6">
        <f t="shared" ca="1" si="166"/>
        <v>2020</v>
      </c>
      <c r="L590" s="6">
        <f t="shared" ca="1" si="167"/>
        <v>4</v>
      </c>
      <c r="M590" s="68">
        <f ca="1">IFERROR(__xludf.DUMMYFUNCTION("""COMPUTED_VALUE"""),43948.6666666666)</f>
        <v>43948.666666666599</v>
      </c>
      <c r="N590" s="6">
        <f ca="1">IFERROR(__xludf.DUMMYFUNCTION("""COMPUTED_VALUE"""),8730.16)</f>
        <v>8730.16</v>
      </c>
      <c r="R590" s="6" t="str">
        <f t="shared" ca="1" si="168"/>
        <v>20205</v>
      </c>
      <c r="S590" s="6">
        <f t="shared" ca="1" si="169"/>
        <v>2020</v>
      </c>
      <c r="T590" s="6">
        <f t="shared" ca="1" si="170"/>
        <v>5</v>
      </c>
      <c r="U590" s="68">
        <f ca="1">IFERROR(__xludf.DUMMYFUNCTION("""COMPUTED_VALUE"""),43980.6458333333)</f>
        <v>43980.645833333299</v>
      </c>
      <c r="V590" s="6">
        <f ca="1">IFERROR(__xludf.DUMMYFUNCTION("""COMPUTED_VALUE"""),2029.6)</f>
        <v>2029.6</v>
      </c>
      <c r="Z590" s="6" t="str">
        <f t="shared" ca="1" si="171"/>
        <v>20199</v>
      </c>
      <c r="AA590" s="6">
        <f t="shared" ca="1" si="172"/>
        <v>2019</v>
      </c>
      <c r="AB590" s="6">
        <f t="shared" ca="1" si="173"/>
        <v>9</v>
      </c>
      <c r="AC590" s="68">
        <f ca="1">IFERROR(__xludf.DUMMYFUNCTION("""COMPUTED_VALUE"""),43722.9986111111)</f>
        <v>43722.998611111099</v>
      </c>
      <c r="AD590" s="6">
        <f ca="1">IFERROR(__xludf.DUMMYFUNCTION("""COMPUTED_VALUE"""),1178.72)</f>
        <v>1178.72</v>
      </c>
      <c r="AH590" s="6" t="str">
        <f t="shared" ca="1" si="174"/>
        <v>20198</v>
      </c>
      <c r="AI590" s="6">
        <f t="shared" ca="1" si="175"/>
        <v>2019</v>
      </c>
      <c r="AJ590" s="6">
        <f t="shared" ca="1" si="176"/>
        <v>8</v>
      </c>
      <c r="AK590" s="68">
        <f ca="1">IFERROR(__xludf.DUMMYFUNCTION("""COMPUTED_VALUE"""),43682.9986111111)</f>
        <v>43682.998611111099</v>
      </c>
      <c r="AL590" s="6">
        <f ca="1">IFERROR(__xludf.DUMMYFUNCTION("""COMPUTED_VALUE"""),11789.66)</f>
        <v>11789.66</v>
      </c>
      <c r="AP590" s="6" t="str">
        <f t="shared" ca="1" si="177"/>
        <v>20205</v>
      </c>
      <c r="AQ590" s="6">
        <f t="shared" ca="1" si="178"/>
        <v>2020</v>
      </c>
      <c r="AR590" s="6">
        <f t="shared" ca="1" si="179"/>
        <v>5</v>
      </c>
      <c r="AS590" s="68">
        <f ca="1">IFERROR(__xludf.DUMMYFUNCTION("""COMPUTED_VALUE"""),43963.9986111111)</f>
        <v>43963.998611111099</v>
      </c>
      <c r="AT590" s="6">
        <f ca="1">IFERROR(__xludf.DUMMYFUNCTION("""COMPUTED_VALUE"""),1706.8)</f>
        <v>1706.8</v>
      </c>
    </row>
    <row r="591" spans="2:46" x14ac:dyDescent="0.35">
      <c r="B591" s="6" t="str">
        <f t="shared" ca="1" si="162"/>
        <v>20205</v>
      </c>
      <c r="C591" s="6">
        <f t="shared" ca="1" si="163"/>
        <v>2020</v>
      </c>
      <c r="D591" s="6">
        <f t="shared" ca="1" si="164"/>
        <v>5</v>
      </c>
      <c r="E591" s="68">
        <f ca="1">IFERROR(__xludf.DUMMYFUNCTION("""COMPUTED_VALUE"""),43955.6666666666)</f>
        <v>43955.666666666599</v>
      </c>
      <c r="F591" s="6">
        <f ca="1">IFERROR(__xludf.DUMMYFUNCTION("""COMPUTED_VALUE"""),2842.74)</f>
        <v>2842.74</v>
      </c>
      <c r="J591" s="6" t="str">
        <f t="shared" ca="1" si="165"/>
        <v>20204</v>
      </c>
      <c r="K591" s="6">
        <f t="shared" ca="1" si="166"/>
        <v>2020</v>
      </c>
      <c r="L591" s="6">
        <f t="shared" ca="1" si="167"/>
        <v>4</v>
      </c>
      <c r="M591" s="68">
        <f ca="1">IFERROR(__xludf.DUMMYFUNCTION("""COMPUTED_VALUE"""),43949.6666666666)</f>
        <v>43949.666666666599</v>
      </c>
      <c r="N591" s="6">
        <f ca="1">IFERROR(__xludf.DUMMYFUNCTION("""COMPUTED_VALUE"""),8607.73)</f>
        <v>8607.73</v>
      </c>
      <c r="R591" s="6" t="str">
        <f t="shared" ca="1" si="168"/>
        <v>20206</v>
      </c>
      <c r="S591" s="6">
        <f t="shared" ca="1" si="169"/>
        <v>2020</v>
      </c>
      <c r="T591" s="6">
        <f t="shared" ca="1" si="170"/>
        <v>6</v>
      </c>
      <c r="U591" s="68">
        <f ca="1">IFERROR(__xludf.DUMMYFUNCTION("""COMPUTED_VALUE"""),43983.6458333333)</f>
        <v>43983.645833333299</v>
      </c>
      <c r="V591" s="6">
        <f ca="1">IFERROR(__xludf.DUMMYFUNCTION("""COMPUTED_VALUE"""),2065.08)</f>
        <v>2065.08</v>
      </c>
      <c r="Z591" s="6" t="str">
        <f t="shared" ca="1" si="171"/>
        <v>20199</v>
      </c>
      <c r="AA591" s="6">
        <f t="shared" ca="1" si="172"/>
        <v>2019</v>
      </c>
      <c r="AB591" s="6">
        <f t="shared" ca="1" si="173"/>
        <v>9</v>
      </c>
      <c r="AC591" s="68">
        <f ca="1">IFERROR(__xludf.DUMMYFUNCTION("""COMPUTED_VALUE"""),43723.9986111111)</f>
        <v>43723.998611111099</v>
      </c>
      <c r="AD591" s="6">
        <f ca="1">IFERROR(__xludf.DUMMYFUNCTION("""COMPUTED_VALUE"""),1178.72)</f>
        <v>1178.72</v>
      </c>
      <c r="AH591" s="6" t="str">
        <f t="shared" ca="1" si="174"/>
        <v>20198</v>
      </c>
      <c r="AI591" s="6">
        <f t="shared" ca="1" si="175"/>
        <v>2019</v>
      </c>
      <c r="AJ591" s="6">
        <f t="shared" ca="1" si="176"/>
        <v>8</v>
      </c>
      <c r="AK591" s="68">
        <f ca="1">IFERROR(__xludf.DUMMYFUNCTION("""COMPUTED_VALUE"""),43683.9986111111)</f>
        <v>43683.998611111099</v>
      </c>
      <c r="AL591" s="6">
        <f ca="1">IFERROR(__xludf.DUMMYFUNCTION("""COMPUTED_VALUE"""),11467.66)</f>
        <v>11467.66</v>
      </c>
      <c r="AP591" s="6" t="str">
        <f t="shared" ca="1" si="177"/>
        <v>20205</v>
      </c>
      <c r="AQ591" s="6">
        <f t="shared" ca="1" si="178"/>
        <v>2020</v>
      </c>
      <c r="AR591" s="6">
        <f t="shared" ca="1" si="179"/>
        <v>5</v>
      </c>
      <c r="AS591" s="68">
        <f ca="1">IFERROR(__xludf.DUMMYFUNCTION("""COMPUTED_VALUE"""),43964.9986111111)</f>
        <v>43964.998611111099</v>
      </c>
      <c r="AT591" s="6">
        <f ca="1">IFERROR(__xludf.DUMMYFUNCTION("""COMPUTED_VALUE"""),1716.4)</f>
        <v>1716.4</v>
      </c>
    </row>
    <row r="592" spans="2:46" x14ac:dyDescent="0.35">
      <c r="B592" s="6" t="str">
        <f t="shared" ca="1" si="162"/>
        <v>20205</v>
      </c>
      <c r="C592" s="6">
        <f t="shared" ca="1" si="163"/>
        <v>2020</v>
      </c>
      <c r="D592" s="6">
        <f t="shared" ca="1" si="164"/>
        <v>5</v>
      </c>
      <c r="E592" s="68">
        <f ca="1">IFERROR(__xludf.DUMMYFUNCTION("""COMPUTED_VALUE"""),43956.6666666666)</f>
        <v>43956.666666666599</v>
      </c>
      <c r="F592" s="6">
        <f ca="1">IFERROR(__xludf.DUMMYFUNCTION("""COMPUTED_VALUE"""),2868.44)</f>
        <v>2868.44</v>
      </c>
      <c r="J592" s="6" t="str">
        <f t="shared" ca="1" si="165"/>
        <v>20204</v>
      </c>
      <c r="K592" s="6">
        <f t="shared" ca="1" si="166"/>
        <v>2020</v>
      </c>
      <c r="L592" s="6">
        <f t="shared" ca="1" si="167"/>
        <v>4</v>
      </c>
      <c r="M592" s="68">
        <f ca="1">IFERROR(__xludf.DUMMYFUNCTION("""COMPUTED_VALUE"""),43950.6666666666)</f>
        <v>43950.666666666599</v>
      </c>
      <c r="N592" s="6">
        <f ca="1">IFERROR(__xludf.DUMMYFUNCTION("""COMPUTED_VALUE"""),8914.71)</f>
        <v>8914.7099999999991</v>
      </c>
      <c r="R592" s="6" t="str">
        <f t="shared" ca="1" si="168"/>
        <v>20206</v>
      </c>
      <c r="S592" s="6">
        <f t="shared" ca="1" si="169"/>
        <v>2020</v>
      </c>
      <c r="T592" s="6">
        <f t="shared" ca="1" si="170"/>
        <v>6</v>
      </c>
      <c r="U592" s="68">
        <f ca="1">IFERROR(__xludf.DUMMYFUNCTION("""COMPUTED_VALUE"""),43984.6458333333)</f>
        <v>43984.645833333299</v>
      </c>
      <c r="V592" s="6">
        <f ca="1">IFERROR(__xludf.DUMMYFUNCTION("""COMPUTED_VALUE"""),2087.19)</f>
        <v>2087.19</v>
      </c>
      <c r="Z592" s="6" t="str">
        <f t="shared" ca="1" si="171"/>
        <v>20199</v>
      </c>
      <c r="AA592" s="6">
        <f t="shared" ca="1" si="172"/>
        <v>2019</v>
      </c>
      <c r="AB592" s="6">
        <f t="shared" ca="1" si="173"/>
        <v>9</v>
      </c>
      <c r="AC592" s="68">
        <f ca="1">IFERROR(__xludf.DUMMYFUNCTION("""COMPUTED_VALUE"""),43724.9986111111)</f>
        <v>43724.998611111099</v>
      </c>
      <c r="AD592" s="6">
        <f ca="1">IFERROR(__xludf.DUMMYFUNCTION("""COMPUTED_VALUE"""),1183.29)</f>
        <v>1183.29</v>
      </c>
      <c r="AH592" s="6" t="str">
        <f t="shared" ca="1" si="174"/>
        <v>20198</v>
      </c>
      <c r="AI592" s="6">
        <f t="shared" ca="1" si="175"/>
        <v>2019</v>
      </c>
      <c r="AJ592" s="6">
        <f t="shared" ca="1" si="176"/>
        <v>8</v>
      </c>
      <c r="AK592" s="68">
        <f ca="1">IFERROR(__xludf.DUMMYFUNCTION("""COMPUTED_VALUE"""),43684.9986111111)</f>
        <v>43684.998611111099</v>
      </c>
      <c r="AL592" s="6">
        <f ca="1">IFERROR(__xludf.DUMMYFUNCTION("""COMPUTED_VALUE"""),11934.21)</f>
        <v>11934.21</v>
      </c>
      <c r="AP592" s="6" t="str">
        <f t="shared" ca="1" si="177"/>
        <v>20205</v>
      </c>
      <c r="AQ592" s="6">
        <f t="shared" ca="1" si="178"/>
        <v>2020</v>
      </c>
      <c r="AR592" s="6">
        <f t="shared" ca="1" si="179"/>
        <v>5</v>
      </c>
      <c r="AS592" s="68">
        <f ca="1">IFERROR(__xludf.DUMMYFUNCTION("""COMPUTED_VALUE"""),43965.9986111111)</f>
        <v>43965.998611111099</v>
      </c>
      <c r="AT592" s="6">
        <f ca="1">IFERROR(__xludf.DUMMYFUNCTION("""COMPUTED_VALUE"""),1740.9)</f>
        <v>1740.9</v>
      </c>
    </row>
    <row r="593" spans="2:46" x14ac:dyDescent="0.35">
      <c r="B593" s="6" t="str">
        <f t="shared" ca="1" si="162"/>
        <v>20205</v>
      </c>
      <c r="C593" s="6">
        <f t="shared" ca="1" si="163"/>
        <v>2020</v>
      </c>
      <c r="D593" s="6">
        <f t="shared" ca="1" si="164"/>
        <v>5</v>
      </c>
      <c r="E593" s="68">
        <f ca="1">IFERROR(__xludf.DUMMYFUNCTION("""COMPUTED_VALUE"""),43957.6666666666)</f>
        <v>43957.666666666599</v>
      </c>
      <c r="F593" s="6">
        <f ca="1">IFERROR(__xludf.DUMMYFUNCTION("""COMPUTED_VALUE"""),2848.42)</f>
        <v>2848.42</v>
      </c>
      <c r="J593" s="6" t="str">
        <f t="shared" ca="1" si="165"/>
        <v>20204</v>
      </c>
      <c r="K593" s="6">
        <f t="shared" ca="1" si="166"/>
        <v>2020</v>
      </c>
      <c r="L593" s="6">
        <f t="shared" ca="1" si="167"/>
        <v>4</v>
      </c>
      <c r="M593" s="68">
        <f ca="1">IFERROR(__xludf.DUMMYFUNCTION("""COMPUTED_VALUE"""),43951.6666666666)</f>
        <v>43951.666666666599</v>
      </c>
      <c r="N593" s="6">
        <f ca="1">IFERROR(__xludf.DUMMYFUNCTION("""COMPUTED_VALUE"""),8889.55)</f>
        <v>8889.5499999999993</v>
      </c>
      <c r="R593" s="6" t="str">
        <f t="shared" ca="1" si="168"/>
        <v>20206</v>
      </c>
      <c r="S593" s="6">
        <f t="shared" ca="1" si="169"/>
        <v>2020</v>
      </c>
      <c r="T593" s="6">
        <f t="shared" ca="1" si="170"/>
        <v>6</v>
      </c>
      <c r="U593" s="68">
        <f ca="1">IFERROR(__xludf.DUMMYFUNCTION("""COMPUTED_VALUE"""),43985.6458333333)</f>
        <v>43985.645833333299</v>
      </c>
      <c r="V593" s="6">
        <f ca="1">IFERROR(__xludf.DUMMYFUNCTION("""COMPUTED_VALUE"""),2147)</f>
        <v>2147</v>
      </c>
      <c r="Z593" s="6" t="str">
        <f t="shared" ca="1" si="171"/>
        <v>20199</v>
      </c>
      <c r="AA593" s="6">
        <f t="shared" ca="1" si="172"/>
        <v>2019</v>
      </c>
      <c r="AB593" s="6">
        <f t="shared" ca="1" si="173"/>
        <v>9</v>
      </c>
      <c r="AC593" s="68">
        <f ca="1">IFERROR(__xludf.DUMMYFUNCTION("""COMPUTED_VALUE"""),43725.9986111111)</f>
        <v>43725.998611111099</v>
      </c>
      <c r="AD593" s="6">
        <f ca="1">IFERROR(__xludf.DUMMYFUNCTION("""COMPUTED_VALUE"""),1185.65)</f>
        <v>1185.6500000000001</v>
      </c>
      <c r="AH593" s="6" t="str">
        <f t="shared" ca="1" si="174"/>
        <v>20198</v>
      </c>
      <c r="AI593" s="6">
        <f t="shared" ca="1" si="175"/>
        <v>2019</v>
      </c>
      <c r="AJ593" s="6">
        <f t="shared" ca="1" si="176"/>
        <v>8</v>
      </c>
      <c r="AK593" s="68">
        <f ca="1">IFERROR(__xludf.DUMMYFUNCTION("""COMPUTED_VALUE"""),43685.9986111111)</f>
        <v>43685.998611111099</v>
      </c>
      <c r="AL593" s="6">
        <f ca="1">IFERROR(__xludf.DUMMYFUNCTION("""COMPUTED_VALUE"""),11986.59)</f>
        <v>11986.59</v>
      </c>
      <c r="AP593" s="6" t="str">
        <f t="shared" ca="1" si="177"/>
        <v>20205</v>
      </c>
      <c r="AQ593" s="6">
        <f t="shared" ca="1" si="178"/>
        <v>2020</v>
      </c>
      <c r="AR593" s="6">
        <f t="shared" ca="1" si="179"/>
        <v>5</v>
      </c>
      <c r="AS593" s="68">
        <f ca="1">IFERROR(__xludf.DUMMYFUNCTION("""COMPUTED_VALUE"""),43966.9986111111)</f>
        <v>43966.998611111099</v>
      </c>
      <c r="AT593" s="6">
        <f ca="1">IFERROR(__xludf.DUMMYFUNCTION("""COMPUTED_VALUE"""),1756.3)</f>
        <v>1756.3</v>
      </c>
    </row>
    <row r="594" spans="2:46" x14ac:dyDescent="0.35">
      <c r="B594" s="6" t="str">
        <f t="shared" ca="1" si="162"/>
        <v>20205</v>
      </c>
      <c r="C594" s="6">
        <f t="shared" ca="1" si="163"/>
        <v>2020</v>
      </c>
      <c r="D594" s="6">
        <f t="shared" ca="1" si="164"/>
        <v>5</v>
      </c>
      <c r="E594" s="68">
        <f ca="1">IFERROR(__xludf.DUMMYFUNCTION("""COMPUTED_VALUE"""),43958.6666666666)</f>
        <v>43958.666666666599</v>
      </c>
      <c r="F594" s="6">
        <f ca="1">IFERROR(__xludf.DUMMYFUNCTION("""COMPUTED_VALUE"""),2881.19)</f>
        <v>2881.19</v>
      </c>
      <c r="J594" s="6" t="str">
        <f t="shared" ca="1" si="165"/>
        <v>20205</v>
      </c>
      <c r="K594" s="6">
        <f t="shared" ca="1" si="166"/>
        <v>2020</v>
      </c>
      <c r="L594" s="6">
        <f t="shared" ca="1" si="167"/>
        <v>5</v>
      </c>
      <c r="M594" s="68">
        <f ca="1">IFERROR(__xludf.DUMMYFUNCTION("""COMPUTED_VALUE"""),43952.6666666666)</f>
        <v>43952.666666666599</v>
      </c>
      <c r="N594" s="6">
        <f ca="1">IFERROR(__xludf.DUMMYFUNCTION("""COMPUTED_VALUE"""),8604.95)</f>
        <v>8604.9500000000007</v>
      </c>
      <c r="R594" s="6" t="str">
        <f t="shared" ca="1" si="168"/>
        <v>20206</v>
      </c>
      <c r="S594" s="6">
        <f t="shared" ca="1" si="169"/>
        <v>2020</v>
      </c>
      <c r="T594" s="6">
        <f t="shared" ca="1" si="170"/>
        <v>6</v>
      </c>
      <c r="U594" s="68">
        <f ca="1">IFERROR(__xludf.DUMMYFUNCTION("""COMPUTED_VALUE"""),43986.6458333333)</f>
        <v>43986.645833333299</v>
      </c>
      <c r="V594" s="6">
        <f ca="1">IFERROR(__xludf.DUMMYFUNCTION("""COMPUTED_VALUE"""),2151.18)</f>
        <v>2151.1799999999998</v>
      </c>
      <c r="Z594" s="6" t="str">
        <f t="shared" ca="1" si="171"/>
        <v>20199</v>
      </c>
      <c r="AA594" s="6">
        <f t="shared" ca="1" si="172"/>
        <v>2019</v>
      </c>
      <c r="AB594" s="6">
        <f t="shared" ca="1" si="173"/>
        <v>9</v>
      </c>
      <c r="AC594" s="68">
        <f ca="1">IFERROR(__xludf.DUMMYFUNCTION("""COMPUTED_VALUE"""),43726.9986111111)</f>
        <v>43726.998611111099</v>
      </c>
      <c r="AD594" s="6">
        <f ca="1">IFERROR(__xludf.DUMMYFUNCTION("""COMPUTED_VALUE"""),1189.55)</f>
        <v>1189.55</v>
      </c>
      <c r="AH594" s="6" t="str">
        <f t="shared" ca="1" si="174"/>
        <v>20198</v>
      </c>
      <c r="AI594" s="6">
        <f t="shared" ca="1" si="175"/>
        <v>2019</v>
      </c>
      <c r="AJ594" s="6">
        <f t="shared" ca="1" si="176"/>
        <v>8</v>
      </c>
      <c r="AK594" s="68">
        <f ca="1">IFERROR(__xludf.DUMMYFUNCTION("""COMPUTED_VALUE"""),43686.9986111111)</f>
        <v>43686.998611111099</v>
      </c>
      <c r="AL594" s="6">
        <f ca="1">IFERROR(__xludf.DUMMYFUNCTION("""COMPUTED_VALUE"""),11854.1)</f>
        <v>11854.1</v>
      </c>
      <c r="AP594" s="6" t="str">
        <f t="shared" ca="1" si="177"/>
        <v>20205</v>
      </c>
      <c r="AQ594" s="6">
        <f t="shared" ca="1" si="178"/>
        <v>2020</v>
      </c>
      <c r="AR594" s="6">
        <f t="shared" ca="1" si="179"/>
        <v>5</v>
      </c>
      <c r="AS594" s="68">
        <f ca="1">IFERROR(__xludf.DUMMYFUNCTION("""COMPUTED_VALUE"""),43969.9986111111)</f>
        <v>43969.998611111099</v>
      </c>
      <c r="AT594" s="6">
        <f ca="1">IFERROR(__xludf.DUMMYFUNCTION("""COMPUTED_VALUE"""),1734.4)</f>
        <v>1734.4</v>
      </c>
    </row>
    <row r="595" spans="2:46" x14ac:dyDescent="0.35">
      <c r="B595" s="6" t="str">
        <f t="shared" ca="1" si="162"/>
        <v>20205</v>
      </c>
      <c r="C595" s="6">
        <f t="shared" ca="1" si="163"/>
        <v>2020</v>
      </c>
      <c r="D595" s="6">
        <f t="shared" ca="1" si="164"/>
        <v>5</v>
      </c>
      <c r="E595" s="68">
        <f ca="1">IFERROR(__xludf.DUMMYFUNCTION("""COMPUTED_VALUE"""),43959.6666666666)</f>
        <v>43959.666666666599</v>
      </c>
      <c r="F595" s="6">
        <f ca="1">IFERROR(__xludf.DUMMYFUNCTION("""COMPUTED_VALUE"""),2929.8)</f>
        <v>2929.8</v>
      </c>
      <c r="J595" s="6" t="str">
        <f t="shared" ca="1" si="165"/>
        <v>20205</v>
      </c>
      <c r="K595" s="6">
        <f t="shared" ca="1" si="166"/>
        <v>2020</v>
      </c>
      <c r="L595" s="6">
        <f t="shared" ca="1" si="167"/>
        <v>5</v>
      </c>
      <c r="M595" s="68">
        <f ca="1">IFERROR(__xludf.DUMMYFUNCTION("""COMPUTED_VALUE"""),43955.6666666666)</f>
        <v>43955.666666666599</v>
      </c>
      <c r="N595" s="6">
        <f ca="1">IFERROR(__xludf.DUMMYFUNCTION("""COMPUTED_VALUE"""),8710.72)</f>
        <v>8710.7199999999993</v>
      </c>
      <c r="R595" s="6" t="str">
        <f t="shared" ca="1" si="168"/>
        <v>20206</v>
      </c>
      <c r="S595" s="6">
        <f t="shared" ca="1" si="169"/>
        <v>2020</v>
      </c>
      <c r="T595" s="6">
        <f t="shared" ca="1" si="170"/>
        <v>6</v>
      </c>
      <c r="U595" s="68">
        <f ca="1">IFERROR(__xludf.DUMMYFUNCTION("""COMPUTED_VALUE"""),43987.6458333333)</f>
        <v>43987.645833333299</v>
      </c>
      <c r="V595" s="6">
        <f ca="1">IFERROR(__xludf.DUMMYFUNCTION("""COMPUTED_VALUE"""),2181.87)</f>
        <v>2181.87</v>
      </c>
      <c r="Z595" s="6" t="str">
        <f t="shared" ca="1" si="171"/>
        <v>20199</v>
      </c>
      <c r="AA595" s="6">
        <f t="shared" ca="1" si="172"/>
        <v>2019</v>
      </c>
      <c r="AB595" s="6">
        <f t="shared" ca="1" si="173"/>
        <v>9</v>
      </c>
      <c r="AC595" s="68">
        <f ca="1">IFERROR(__xludf.DUMMYFUNCTION("""COMPUTED_VALUE"""),43727.9986111111)</f>
        <v>43727.998611111099</v>
      </c>
      <c r="AD595" s="6">
        <f ca="1">IFERROR(__xludf.DUMMYFUNCTION("""COMPUTED_VALUE"""),1193.86)</f>
        <v>1193.8599999999999</v>
      </c>
      <c r="AH595" s="6" t="str">
        <f t="shared" ca="1" si="174"/>
        <v>20198</v>
      </c>
      <c r="AI595" s="6">
        <f t="shared" ca="1" si="175"/>
        <v>2019</v>
      </c>
      <c r="AJ595" s="6">
        <f t="shared" ca="1" si="176"/>
        <v>8</v>
      </c>
      <c r="AK595" s="68">
        <f ca="1">IFERROR(__xludf.DUMMYFUNCTION("""COMPUTED_VALUE"""),43687.9986111111)</f>
        <v>43687.998611111099</v>
      </c>
      <c r="AL595" s="6">
        <f ca="1">IFERROR(__xludf.DUMMYFUNCTION("""COMPUTED_VALUE"""),11288.67)</f>
        <v>11288.67</v>
      </c>
      <c r="AP595" s="6" t="str">
        <f t="shared" ca="1" si="177"/>
        <v>20205</v>
      </c>
      <c r="AQ595" s="6">
        <f t="shared" ca="1" si="178"/>
        <v>2020</v>
      </c>
      <c r="AR595" s="6">
        <f t="shared" ca="1" si="179"/>
        <v>5</v>
      </c>
      <c r="AS595" s="68">
        <f ca="1">IFERROR(__xludf.DUMMYFUNCTION("""COMPUTED_VALUE"""),43970.9986111111)</f>
        <v>43970.998611111099</v>
      </c>
      <c r="AT595" s="6">
        <f ca="1">IFERROR(__xludf.DUMMYFUNCTION("""COMPUTED_VALUE"""),1745.6)</f>
        <v>1745.6</v>
      </c>
    </row>
    <row r="596" spans="2:46" x14ac:dyDescent="0.35">
      <c r="B596" s="6" t="str">
        <f t="shared" ca="1" si="162"/>
        <v>20205</v>
      </c>
      <c r="C596" s="6">
        <f t="shared" ca="1" si="163"/>
        <v>2020</v>
      </c>
      <c r="D596" s="6">
        <f t="shared" ca="1" si="164"/>
        <v>5</v>
      </c>
      <c r="E596" s="68">
        <f ca="1">IFERROR(__xludf.DUMMYFUNCTION("""COMPUTED_VALUE"""),43962.6666666666)</f>
        <v>43962.666666666599</v>
      </c>
      <c r="F596" s="6">
        <f ca="1">IFERROR(__xludf.DUMMYFUNCTION("""COMPUTED_VALUE"""),2930.32)</f>
        <v>2930.32</v>
      </c>
      <c r="J596" s="6" t="str">
        <f t="shared" ca="1" si="165"/>
        <v>20205</v>
      </c>
      <c r="K596" s="6">
        <f t="shared" ca="1" si="166"/>
        <v>2020</v>
      </c>
      <c r="L596" s="6">
        <f t="shared" ca="1" si="167"/>
        <v>5</v>
      </c>
      <c r="M596" s="68">
        <f ca="1">IFERROR(__xludf.DUMMYFUNCTION("""COMPUTED_VALUE"""),43956.6666666666)</f>
        <v>43956.666666666599</v>
      </c>
      <c r="N596" s="6">
        <f ca="1">IFERROR(__xludf.DUMMYFUNCTION("""COMPUTED_VALUE"""),8809.12)</f>
        <v>8809.1200000000008</v>
      </c>
      <c r="R596" s="6" t="str">
        <f t="shared" ca="1" si="168"/>
        <v>20206</v>
      </c>
      <c r="S596" s="6">
        <f t="shared" ca="1" si="169"/>
        <v>2020</v>
      </c>
      <c r="T596" s="6">
        <f t="shared" ca="1" si="170"/>
        <v>6</v>
      </c>
      <c r="U596" s="68">
        <f ca="1">IFERROR(__xludf.DUMMYFUNCTION("""COMPUTED_VALUE"""),43990.6458333333)</f>
        <v>43990.645833333299</v>
      </c>
      <c r="V596" s="6">
        <f ca="1">IFERROR(__xludf.DUMMYFUNCTION("""COMPUTED_VALUE"""),2184.29)</f>
        <v>2184.29</v>
      </c>
      <c r="Z596" s="6" t="str">
        <f t="shared" ca="1" si="171"/>
        <v>20199</v>
      </c>
      <c r="AA596" s="6">
        <f t="shared" ca="1" si="172"/>
        <v>2019</v>
      </c>
      <c r="AB596" s="6">
        <f t="shared" ca="1" si="173"/>
        <v>9</v>
      </c>
      <c r="AC596" s="68">
        <f ca="1">IFERROR(__xludf.DUMMYFUNCTION("""COMPUTED_VALUE"""),43728.9986111111)</f>
        <v>43728.998611111099</v>
      </c>
      <c r="AD596" s="6">
        <f ca="1">IFERROR(__xludf.DUMMYFUNCTION("""COMPUTED_VALUE"""),1192.91)</f>
        <v>1192.9100000000001</v>
      </c>
      <c r="AH596" s="6" t="str">
        <f t="shared" ca="1" si="174"/>
        <v>20198</v>
      </c>
      <c r="AI596" s="6">
        <f t="shared" ca="1" si="175"/>
        <v>2019</v>
      </c>
      <c r="AJ596" s="6">
        <f t="shared" ca="1" si="176"/>
        <v>8</v>
      </c>
      <c r="AK596" s="68">
        <f ca="1">IFERROR(__xludf.DUMMYFUNCTION("""COMPUTED_VALUE"""),43688.9986111111)</f>
        <v>43688.998611111099</v>
      </c>
      <c r="AL596" s="6">
        <f ca="1">IFERROR(__xludf.DUMMYFUNCTION("""COMPUTED_VALUE"""),11536.82)</f>
        <v>11536.82</v>
      </c>
      <c r="AP596" s="6" t="str">
        <f t="shared" ca="1" si="177"/>
        <v>20205</v>
      </c>
      <c r="AQ596" s="6">
        <f t="shared" ca="1" si="178"/>
        <v>2020</v>
      </c>
      <c r="AR596" s="6">
        <f t="shared" ca="1" si="179"/>
        <v>5</v>
      </c>
      <c r="AS596" s="68">
        <f ca="1">IFERROR(__xludf.DUMMYFUNCTION("""COMPUTED_VALUE"""),43971.9986111111)</f>
        <v>43971.998611111099</v>
      </c>
      <c r="AT596" s="6">
        <f ca="1">IFERROR(__xludf.DUMMYFUNCTION("""COMPUTED_VALUE"""),1752.1)</f>
        <v>1752.1</v>
      </c>
    </row>
    <row r="597" spans="2:46" x14ac:dyDescent="0.35">
      <c r="B597" s="6" t="str">
        <f t="shared" ca="1" si="162"/>
        <v>20205</v>
      </c>
      <c r="C597" s="6">
        <f t="shared" ca="1" si="163"/>
        <v>2020</v>
      </c>
      <c r="D597" s="6">
        <f t="shared" ca="1" si="164"/>
        <v>5</v>
      </c>
      <c r="E597" s="68">
        <f ca="1">IFERROR(__xludf.DUMMYFUNCTION("""COMPUTED_VALUE"""),43963.6666666666)</f>
        <v>43963.666666666599</v>
      </c>
      <c r="F597" s="6">
        <f ca="1">IFERROR(__xludf.DUMMYFUNCTION("""COMPUTED_VALUE"""),2870.12)</f>
        <v>2870.12</v>
      </c>
      <c r="J597" s="6" t="str">
        <f t="shared" ca="1" si="165"/>
        <v>20205</v>
      </c>
      <c r="K597" s="6">
        <f t="shared" ca="1" si="166"/>
        <v>2020</v>
      </c>
      <c r="L597" s="6">
        <f t="shared" ca="1" si="167"/>
        <v>5</v>
      </c>
      <c r="M597" s="68">
        <f ca="1">IFERROR(__xludf.DUMMYFUNCTION("""COMPUTED_VALUE"""),43957.6666666666)</f>
        <v>43957.666666666599</v>
      </c>
      <c r="N597" s="6">
        <f ca="1">IFERROR(__xludf.DUMMYFUNCTION("""COMPUTED_VALUE"""),8854.39)</f>
        <v>8854.39</v>
      </c>
      <c r="R597" s="6" t="str">
        <f t="shared" ca="1" si="168"/>
        <v>20206</v>
      </c>
      <c r="S597" s="6">
        <f t="shared" ca="1" si="169"/>
        <v>2020</v>
      </c>
      <c r="T597" s="6">
        <f t="shared" ca="1" si="170"/>
        <v>6</v>
      </c>
      <c r="U597" s="68">
        <f ca="1">IFERROR(__xludf.DUMMYFUNCTION("""COMPUTED_VALUE"""),43991.6458333333)</f>
        <v>43991.645833333299</v>
      </c>
      <c r="V597" s="6">
        <f ca="1">IFERROR(__xludf.DUMMYFUNCTION("""COMPUTED_VALUE"""),2188.92)</f>
        <v>2188.92</v>
      </c>
      <c r="Z597" s="6" t="str">
        <f t="shared" ca="1" si="171"/>
        <v>20199</v>
      </c>
      <c r="AA597" s="6">
        <f t="shared" ca="1" si="172"/>
        <v>2019</v>
      </c>
      <c r="AB597" s="6">
        <f t="shared" ca="1" si="173"/>
        <v>9</v>
      </c>
      <c r="AC597" s="68">
        <f ca="1">IFERROR(__xludf.DUMMYFUNCTION("""COMPUTED_VALUE"""),43730.9986111111)</f>
        <v>43730.998611111099</v>
      </c>
      <c r="AD597" s="6">
        <f ca="1">IFERROR(__xludf.DUMMYFUNCTION("""COMPUTED_VALUE"""),1193.13)</f>
        <v>1193.1300000000001</v>
      </c>
      <c r="AH597" s="6" t="str">
        <f t="shared" ca="1" si="174"/>
        <v>20198</v>
      </c>
      <c r="AI597" s="6">
        <f t="shared" ca="1" si="175"/>
        <v>2019</v>
      </c>
      <c r="AJ597" s="6">
        <f t="shared" ca="1" si="176"/>
        <v>8</v>
      </c>
      <c r="AK597" s="68">
        <f ca="1">IFERROR(__xludf.DUMMYFUNCTION("""COMPUTED_VALUE"""),43689.9986111111)</f>
        <v>43689.998611111099</v>
      </c>
      <c r="AL597" s="6">
        <f ca="1">IFERROR(__xludf.DUMMYFUNCTION("""COMPUTED_VALUE"""),11388.57)</f>
        <v>11388.57</v>
      </c>
      <c r="AP597" s="6" t="str">
        <f t="shared" ca="1" si="177"/>
        <v>20205</v>
      </c>
      <c r="AQ597" s="6">
        <f t="shared" ca="1" si="178"/>
        <v>2020</v>
      </c>
      <c r="AR597" s="6">
        <f t="shared" ca="1" si="179"/>
        <v>5</v>
      </c>
      <c r="AS597" s="68">
        <f ca="1">IFERROR(__xludf.DUMMYFUNCTION("""COMPUTED_VALUE"""),43972.9986111111)</f>
        <v>43972.998611111099</v>
      </c>
      <c r="AT597" s="6">
        <f ca="1">IFERROR(__xludf.DUMMYFUNCTION("""COMPUTED_VALUE"""),1721.9)</f>
        <v>1721.9</v>
      </c>
    </row>
    <row r="598" spans="2:46" x14ac:dyDescent="0.35">
      <c r="B598" s="6" t="str">
        <f t="shared" ca="1" si="162"/>
        <v>20205</v>
      </c>
      <c r="C598" s="6">
        <f t="shared" ca="1" si="163"/>
        <v>2020</v>
      </c>
      <c r="D598" s="6">
        <f t="shared" ca="1" si="164"/>
        <v>5</v>
      </c>
      <c r="E598" s="68">
        <f ca="1">IFERROR(__xludf.DUMMYFUNCTION("""COMPUTED_VALUE"""),43964.6666666666)</f>
        <v>43964.666666666599</v>
      </c>
      <c r="F598" s="6">
        <f ca="1">IFERROR(__xludf.DUMMYFUNCTION("""COMPUTED_VALUE"""),2820)</f>
        <v>2820</v>
      </c>
      <c r="J598" s="6" t="str">
        <f t="shared" ca="1" si="165"/>
        <v>20205</v>
      </c>
      <c r="K598" s="6">
        <f t="shared" ca="1" si="166"/>
        <v>2020</v>
      </c>
      <c r="L598" s="6">
        <f t="shared" ca="1" si="167"/>
        <v>5</v>
      </c>
      <c r="M598" s="68">
        <f ca="1">IFERROR(__xludf.DUMMYFUNCTION("""COMPUTED_VALUE"""),43958.6666666666)</f>
        <v>43958.666666666599</v>
      </c>
      <c r="N598" s="6">
        <f ca="1">IFERROR(__xludf.DUMMYFUNCTION("""COMPUTED_VALUE"""),8979.66)</f>
        <v>8979.66</v>
      </c>
      <c r="R598" s="6" t="str">
        <f t="shared" ca="1" si="168"/>
        <v>20206</v>
      </c>
      <c r="S598" s="6">
        <f t="shared" ca="1" si="169"/>
        <v>2020</v>
      </c>
      <c r="T598" s="6">
        <f t="shared" ca="1" si="170"/>
        <v>6</v>
      </c>
      <c r="U598" s="68">
        <f ca="1">IFERROR(__xludf.DUMMYFUNCTION("""COMPUTED_VALUE"""),43992.6458333333)</f>
        <v>43992.645833333299</v>
      </c>
      <c r="V598" s="6">
        <f ca="1">IFERROR(__xludf.DUMMYFUNCTION("""COMPUTED_VALUE"""),2195.69)</f>
        <v>2195.69</v>
      </c>
      <c r="Z598" s="6" t="str">
        <f t="shared" ca="1" si="171"/>
        <v>20199</v>
      </c>
      <c r="AA598" s="6">
        <f t="shared" ca="1" si="172"/>
        <v>2019</v>
      </c>
      <c r="AB598" s="6">
        <f t="shared" ca="1" si="173"/>
        <v>9</v>
      </c>
      <c r="AC598" s="68">
        <f ca="1">IFERROR(__xludf.DUMMYFUNCTION("""COMPUTED_VALUE"""),43731.9986111111)</f>
        <v>43731.998611111099</v>
      </c>
      <c r="AD598" s="6">
        <f ca="1">IFERROR(__xludf.DUMMYFUNCTION("""COMPUTED_VALUE"""),1193.01)</f>
        <v>1193.01</v>
      </c>
      <c r="AH598" s="6" t="str">
        <f t="shared" ca="1" si="174"/>
        <v>20198</v>
      </c>
      <c r="AI598" s="6">
        <f t="shared" ca="1" si="175"/>
        <v>2019</v>
      </c>
      <c r="AJ598" s="6">
        <f t="shared" ca="1" si="176"/>
        <v>8</v>
      </c>
      <c r="AK598" s="68">
        <f ca="1">IFERROR(__xludf.DUMMYFUNCTION("""COMPUTED_VALUE"""),43690.9986111111)</f>
        <v>43690.998611111099</v>
      </c>
      <c r="AL598" s="6">
        <f ca="1">IFERROR(__xludf.DUMMYFUNCTION("""COMPUTED_VALUE"""),10859.45)</f>
        <v>10859.45</v>
      </c>
      <c r="AP598" s="6" t="str">
        <f t="shared" ca="1" si="177"/>
        <v>20205</v>
      </c>
      <c r="AQ598" s="6">
        <f t="shared" ca="1" si="178"/>
        <v>2020</v>
      </c>
      <c r="AR598" s="6">
        <f t="shared" ca="1" si="179"/>
        <v>5</v>
      </c>
      <c r="AS598" s="68">
        <f ca="1">IFERROR(__xludf.DUMMYFUNCTION("""COMPUTED_VALUE"""),43973.9986111111)</f>
        <v>43973.998611111099</v>
      </c>
      <c r="AT598" s="6">
        <f ca="1">IFERROR(__xludf.DUMMYFUNCTION("""COMPUTED_VALUE"""),1735.5)</f>
        <v>1735.5</v>
      </c>
    </row>
    <row r="599" spans="2:46" x14ac:dyDescent="0.35">
      <c r="B599" s="6" t="str">
        <f t="shared" ca="1" si="162"/>
        <v>20205</v>
      </c>
      <c r="C599" s="6">
        <f t="shared" ca="1" si="163"/>
        <v>2020</v>
      </c>
      <c r="D599" s="6">
        <f t="shared" ca="1" si="164"/>
        <v>5</v>
      </c>
      <c r="E599" s="68">
        <f ca="1">IFERROR(__xludf.DUMMYFUNCTION("""COMPUTED_VALUE"""),43965.6666666666)</f>
        <v>43965.666666666599</v>
      </c>
      <c r="F599" s="6">
        <f ca="1">IFERROR(__xludf.DUMMYFUNCTION("""COMPUTED_VALUE"""),2852.5)</f>
        <v>2852.5</v>
      </c>
      <c r="J599" s="6" t="str">
        <f t="shared" ca="1" si="165"/>
        <v>20205</v>
      </c>
      <c r="K599" s="6">
        <f t="shared" ca="1" si="166"/>
        <v>2020</v>
      </c>
      <c r="L599" s="6">
        <f t="shared" ca="1" si="167"/>
        <v>5</v>
      </c>
      <c r="M599" s="68">
        <f ca="1">IFERROR(__xludf.DUMMYFUNCTION("""COMPUTED_VALUE"""),43959.6666666666)</f>
        <v>43959.666666666599</v>
      </c>
      <c r="N599" s="6">
        <f ca="1">IFERROR(__xludf.DUMMYFUNCTION("""COMPUTED_VALUE"""),9121.32)</f>
        <v>9121.32</v>
      </c>
      <c r="R599" s="6" t="str">
        <f t="shared" ca="1" si="168"/>
        <v>20206</v>
      </c>
      <c r="S599" s="6">
        <f t="shared" ca="1" si="169"/>
        <v>2020</v>
      </c>
      <c r="T599" s="6">
        <f t="shared" ca="1" si="170"/>
        <v>6</v>
      </c>
      <c r="U599" s="68">
        <f ca="1">IFERROR(__xludf.DUMMYFUNCTION("""COMPUTED_VALUE"""),43993.6458333333)</f>
        <v>43993.645833333299</v>
      </c>
      <c r="V599" s="6">
        <f ca="1">IFERROR(__xludf.DUMMYFUNCTION("""COMPUTED_VALUE"""),2176.78)</f>
        <v>2176.7800000000002</v>
      </c>
      <c r="Z599" s="6" t="str">
        <f t="shared" ca="1" si="171"/>
        <v>20199</v>
      </c>
      <c r="AA599" s="6">
        <f t="shared" ca="1" si="172"/>
        <v>2019</v>
      </c>
      <c r="AB599" s="6">
        <f t="shared" ca="1" si="173"/>
        <v>9</v>
      </c>
      <c r="AC599" s="68">
        <f ca="1">IFERROR(__xludf.DUMMYFUNCTION("""COMPUTED_VALUE"""),43732.9986111111)</f>
        <v>43732.998611111099</v>
      </c>
      <c r="AD599" s="6">
        <f ca="1">IFERROR(__xludf.DUMMYFUNCTION("""COMPUTED_VALUE"""),1193.94)</f>
        <v>1193.94</v>
      </c>
      <c r="AH599" s="6" t="str">
        <f t="shared" ca="1" si="174"/>
        <v>20198</v>
      </c>
      <c r="AI599" s="6">
        <f t="shared" ca="1" si="175"/>
        <v>2019</v>
      </c>
      <c r="AJ599" s="6">
        <f t="shared" ca="1" si="176"/>
        <v>8</v>
      </c>
      <c r="AK599" s="68">
        <f ca="1">IFERROR(__xludf.DUMMYFUNCTION("""COMPUTED_VALUE"""),43691.9986111111)</f>
        <v>43691.998611111099</v>
      </c>
      <c r="AL599" s="6">
        <f ca="1">IFERROR(__xludf.DUMMYFUNCTION("""COMPUTED_VALUE"""),10045.26)</f>
        <v>10045.26</v>
      </c>
      <c r="AP599" s="6" t="str">
        <f t="shared" ca="1" si="177"/>
        <v>20205</v>
      </c>
      <c r="AQ599" s="6">
        <f t="shared" ca="1" si="178"/>
        <v>2020</v>
      </c>
      <c r="AR599" s="6">
        <f t="shared" ca="1" si="179"/>
        <v>5</v>
      </c>
      <c r="AS599" s="68">
        <f ca="1">IFERROR(__xludf.DUMMYFUNCTION("""COMPUTED_VALUE"""),43977.9986111111)</f>
        <v>43977.998611111099</v>
      </c>
      <c r="AT599" s="6">
        <f ca="1">IFERROR(__xludf.DUMMYFUNCTION("""COMPUTED_VALUE"""),1728.2)</f>
        <v>1728.2</v>
      </c>
    </row>
    <row r="600" spans="2:46" x14ac:dyDescent="0.35">
      <c r="B600" s="6" t="str">
        <f t="shared" ca="1" si="162"/>
        <v>20205</v>
      </c>
      <c r="C600" s="6">
        <f t="shared" ca="1" si="163"/>
        <v>2020</v>
      </c>
      <c r="D600" s="6">
        <f t="shared" ca="1" si="164"/>
        <v>5</v>
      </c>
      <c r="E600" s="68">
        <f ca="1">IFERROR(__xludf.DUMMYFUNCTION("""COMPUTED_VALUE"""),43966.6666666666)</f>
        <v>43966.666666666599</v>
      </c>
      <c r="F600" s="6">
        <f ca="1">IFERROR(__xludf.DUMMYFUNCTION("""COMPUTED_VALUE"""),2863.7)</f>
        <v>2863.7</v>
      </c>
      <c r="J600" s="6" t="str">
        <f t="shared" ca="1" si="165"/>
        <v>20205</v>
      </c>
      <c r="K600" s="6">
        <f t="shared" ca="1" si="166"/>
        <v>2020</v>
      </c>
      <c r="L600" s="6">
        <f t="shared" ca="1" si="167"/>
        <v>5</v>
      </c>
      <c r="M600" s="68">
        <f ca="1">IFERROR(__xludf.DUMMYFUNCTION("""COMPUTED_VALUE"""),43962.6666666666)</f>
        <v>43962.666666666599</v>
      </c>
      <c r="N600" s="6">
        <f ca="1">IFERROR(__xludf.DUMMYFUNCTION("""COMPUTED_VALUE"""),9192.34)</f>
        <v>9192.34</v>
      </c>
      <c r="R600" s="6" t="str">
        <f t="shared" ca="1" si="168"/>
        <v>20206</v>
      </c>
      <c r="S600" s="6">
        <f t="shared" ca="1" si="169"/>
        <v>2020</v>
      </c>
      <c r="T600" s="6">
        <f t="shared" ca="1" si="170"/>
        <v>6</v>
      </c>
      <c r="U600" s="68">
        <f ca="1">IFERROR(__xludf.DUMMYFUNCTION("""COMPUTED_VALUE"""),43994.6458333333)</f>
        <v>43994.645833333299</v>
      </c>
      <c r="V600" s="6">
        <f ca="1">IFERROR(__xludf.DUMMYFUNCTION("""COMPUTED_VALUE"""),2132.3)</f>
        <v>2132.3000000000002</v>
      </c>
      <c r="Z600" s="6" t="str">
        <f t="shared" ca="1" si="171"/>
        <v>20199</v>
      </c>
      <c r="AA600" s="6">
        <f t="shared" ca="1" si="172"/>
        <v>2019</v>
      </c>
      <c r="AB600" s="6">
        <f t="shared" ca="1" si="173"/>
        <v>9</v>
      </c>
      <c r="AC600" s="68">
        <f ca="1">IFERROR(__xludf.DUMMYFUNCTION("""COMPUTED_VALUE"""),43733.9986111111)</f>
        <v>43733.998611111099</v>
      </c>
      <c r="AD600" s="6">
        <f ca="1">IFERROR(__xludf.DUMMYFUNCTION("""COMPUTED_VALUE"""),1197.89)</f>
        <v>1197.8900000000001</v>
      </c>
      <c r="AH600" s="6" t="str">
        <f t="shared" ca="1" si="174"/>
        <v>20198</v>
      </c>
      <c r="AI600" s="6">
        <f t="shared" ca="1" si="175"/>
        <v>2019</v>
      </c>
      <c r="AJ600" s="6">
        <f t="shared" ca="1" si="176"/>
        <v>8</v>
      </c>
      <c r="AK600" s="68">
        <f ca="1">IFERROR(__xludf.DUMMYFUNCTION("""COMPUTED_VALUE"""),43692.9986111111)</f>
        <v>43692.998611111099</v>
      </c>
      <c r="AL600" s="6">
        <f ca="1">IFERROR(__xludf.DUMMYFUNCTION("""COMPUTED_VALUE"""),10300.12)</f>
        <v>10300.120000000001</v>
      </c>
      <c r="AP600" s="6" t="str">
        <f t="shared" ca="1" si="177"/>
        <v>20205</v>
      </c>
      <c r="AQ600" s="6">
        <f t="shared" ca="1" si="178"/>
        <v>2020</v>
      </c>
      <c r="AR600" s="6">
        <f t="shared" ca="1" si="179"/>
        <v>5</v>
      </c>
      <c r="AS600" s="68">
        <f ca="1">IFERROR(__xludf.DUMMYFUNCTION("""COMPUTED_VALUE"""),43978.9986111111)</f>
        <v>43978.998611111099</v>
      </c>
      <c r="AT600" s="6">
        <f ca="1">IFERROR(__xludf.DUMMYFUNCTION("""COMPUTED_VALUE"""),1726.8)</f>
        <v>1726.8</v>
      </c>
    </row>
    <row r="601" spans="2:46" x14ac:dyDescent="0.35">
      <c r="B601" s="6" t="str">
        <f t="shared" ca="1" si="162"/>
        <v>20205</v>
      </c>
      <c r="C601" s="6">
        <f t="shared" ca="1" si="163"/>
        <v>2020</v>
      </c>
      <c r="D601" s="6">
        <f t="shared" ca="1" si="164"/>
        <v>5</v>
      </c>
      <c r="E601" s="68">
        <f ca="1">IFERROR(__xludf.DUMMYFUNCTION("""COMPUTED_VALUE"""),43969.6666666666)</f>
        <v>43969.666666666599</v>
      </c>
      <c r="F601" s="6">
        <f ca="1">IFERROR(__xludf.DUMMYFUNCTION("""COMPUTED_VALUE"""),2953.91)</f>
        <v>2953.91</v>
      </c>
      <c r="J601" s="6" t="str">
        <f t="shared" ca="1" si="165"/>
        <v>20205</v>
      </c>
      <c r="K601" s="6">
        <f t="shared" ca="1" si="166"/>
        <v>2020</v>
      </c>
      <c r="L601" s="6">
        <f t="shared" ca="1" si="167"/>
        <v>5</v>
      </c>
      <c r="M601" s="68">
        <f ca="1">IFERROR(__xludf.DUMMYFUNCTION("""COMPUTED_VALUE"""),43963.6666666666)</f>
        <v>43963.666666666599</v>
      </c>
      <c r="N601" s="6">
        <f ca="1">IFERROR(__xludf.DUMMYFUNCTION("""COMPUTED_VALUE"""),9002.55)</f>
        <v>9002.5499999999993</v>
      </c>
      <c r="R601" s="6" t="str">
        <f t="shared" ca="1" si="168"/>
        <v>20206</v>
      </c>
      <c r="S601" s="6">
        <f t="shared" ca="1" si="169"/>
        <v>2020</v>
      </c>
      <c r="T601" s="6">
        <f t="shared" ca="1" si="170"/>
        <v>6</v>
      </c>
      <c r="U601" s="68">
        <f ca="1">IFERROR(__xludf.DUMMYFUNCTION("""COMPUTED_VALUE"""),43997.6458333333)</f>
        <v>43997.645833333299</v>
      </c>
      <c r="V601" s="6">
        <f ca="1">IFERROR(__xludf.DUMMYFUNCTION("""COMPUTED_VALUE"""),2030.82)</f>
        <v>2030.82</v>
      </c>
      <c r="Z601" s="6" t="str">
        <f t="shared" ca="1" si="171"/>
        <v>20199</v>
      </c>
      <c r="AA601" s="6">
        <f t="shared" ca="1" si="172"/>
        <v>2019</v>
      </c>
      <c r="AB601" s="6">
        <f t="shared" ca="1" si="173"/>
        <v>9</v>
      </c>
      <c r="AC601" s="68">
        <f ca="1">IFERROR(__xludf.DUMMYFUNCTION("""COMPUTED_VALUE"""),43734.9986111111)</f>
        <v>43734.998611111099</v>
      </c>
      <c r="AD601" s="6">
        <f ca="1">IFERROR(__xludf.DUMMYFUNCTION("""COMPUTED_VALUE"""),1198.63)</f>
        <v>1198.6300000000001</v>
      </c>
      <c r="AH601" s="6" t="str">
        <f t="shared" ca="1" si="174"/>
        <v>20198</v>
      </c>
      <c r="AI601" s="6">
        <f t="shared" ca="1" si="175"/>
        <v>2019</v>
      </c>
      <c r="AJ601" s="6">
        <f t="shared" ca="1" si="176"/>
        <v>8</v>
      </c>
      <c r="AK601" s="68">
        <f ca="1">IFERROR(__xludf.DUMMYFUNCTION("""COMPUTED_VALUE"""),43693.9986111111)</f>
        <v>43693.998611111099</v>
      </c>
      <c r="AL601" s="6">
        <f ca="1">IFERROR(__xludf.DUMMYFUNCTION("""COMPUTED_VALUE"""),10351.36)</f>
        <v>10351.36</v>
      </c>
      <c r="AP601" s="6" t="str">
        <f t="shared" ca="1" si="177"/>
        <v>20205</v>
      </c>
      <c r="AQ601" s="6">
        <f t="shared" ca="1" si="178"/>
        <v>2020</v>
      </c>
      <c r="AR601" s="6">
        <f t="shared" ca="1" si="179"/>
        <v>5</v>
      </c>
      <c r="AS601" s="68">
        <f ca="1">IFERROR(__xludf.DUMMYFUNCTION("""COMPUTED_VALUE"""),43979.9986111111)</f>
        <v>43979.998611111099</v>
      </c>
      <c r="AT601" s="6">
        <f ca="1">IFERROR(__xludf.DUMMYFUNCTION("""COMPUTED_VALUE"""),1728.3)</f>
        <v>1728.3</v>
      </c>
    </row>
    <row r="602" spans="2:46" x14ac:dyDescent="0.35">
      <c r="B602" s="6" t="str">
        <f t="shared" ca="1" si="162"/>
        <v>20205</v>
      </c>
      <c r="C602" s="6">
        <f t="shared" ca="1" si="163"/>
        <v>2020</v>
      </c>
      <c r="D602" s="6">
        <f t="shared" ca="1" si="164"/>
        <v>5</v>
      </c>
      <c r="E602" s="68">
        <f ca="1">IFERROR(__xludf.DUMMYFUNCTION("""COMPUTED_VALUE"""),43970.6666666666)</f>
        <v>43970.666666666599</v>
      </c>
      <c r="F602" s="6">
        <f ca="1">IFERROR(__xludf.DUMMYFUNCTION("""COMPUTED_VALUE"""),2922.94)</f>
        <v>2922.94</v>
      </c>
      <c r="J602" s="6" t="str">
        <f t="shared" ca="1" si="165"/>
        <v>20205</v>
      </c>
      <c r="K602" s="6">
        <f t="shared" ca="1" si="166"/>
        <v>2020</v>
      </c>
      <c r="L602" s="6">
        <f t="shared" ca="1" si="167"/>
        <v>5</v>
      </c>
      <c r="M602" s="68">
        <f ca="1">IFERROR(__xludf.DUMMYFUNCTION("""COMPUTED_VALUE"""),43964.6666666666)</f>
        <v>43964.666666666599</v>
      </c>
      <c r="N602" s="6">
        <f ca="1">IFERROR(__xludf.DUMMYFUNCTION("""COMPUTED_VALUE"""),8863.17)</f>
        <v>8863.17</v>
      </c>
      <c r="R602" s="6" t="str">
        <f t="shared" ca="1" si="168"/>
        <v>20206</v>
      </c>
      <c r="S602" s="6">
        <f t="shared" ca="1" si="169"/>
        <v>2020</v>
      </c>
      <c r="T602" s="6">
        <f t="shared" ca="1" si="170"/>
        <v>6</v>
      </c>
      <c r="U602" s="68">
        <f ca="1">IFERROR(__xludf.DUMMYFUNCTION("""COMPUTED_VALUE"""),43998.6458333333)</f>
        <v>43998.645833333299</v>
      </c>
      <c r="V602" s="6">
        <f ca="1">IFERROR(__xludf.DUMMYFUNCTION("""COMPUTED_VALUE"""),2138.05)</f>
        <v>2138.0500000000002</v>
      </c>
      <c r="Z602" s="6" t="str">
        <f t="shared" ca="1" si="171"/>
        <v>20199</v>
      </c>
      <c r="AA602" s="6">
        <f t="shared" ca="1" si="172"/>
        <v>2019</v>
      </c>
      <c r="AB602" s="6">
        <f t="shared" ca="1" si="173"/>
        <v>9</v>
      </c>
      <c r="AC602" s="68">
        <f ca="1">IFERROR(__xludf.DUMMYFUNCTION("""COMPUTED_VALUE"""),43735.9986111111)</f>
        <v>43735.998611111099</v>
      </c>
      <c r="AD602" s="6">
        <f ca="1">IFERROR(__xludf.DUMMYFUNCTION("""COMPUTED_VALUE"""),1202.8)</f>
        <v>1202.8</v>
      </c>
      <c r="AH602" s="6" t="str">
        <f t="shared" ca="1" si="174"/>
        <v>20198</v>
      </c>
      <c r="AI602" s="6">
        <f t="shared" ca="1" si="175"/>
        <v>2019</v>
      </c>
      <c r="AJ602" s="6">
        <f t="shared" ca="1" si="176"/>
        <v>8</v>
      </c>
      <c r="AK602" s="68">
        <f ca="1">IFERROR(__xludf.DUMMYFUNCTION("""COMPUTED_VALUE"""),43694.9986111111)</f>
        <v>43694.998611111099</v>
      </c>
      <c r="AL602" s="6">
        <f ca="1">IFERROR(__xludf.DUMMYFUNCTION("""COMPUTED_VALUE"""),10219.49)</f>
        <v>10219.49</v>
      </c>
      <c r="AP602" s="6" t="str">
        <f t="shared" ca="1" si="177"/>
        <v>20205</v>
      </c>
      <c r="AQ602" s="6">
        <f t="shared" ca="1" si="178"/>
        <v>2020</v>
      </c>
      <c r="AR602" s="6">
        <f t="shared" ca="1" si="179"/>
        <v>5</v>
      </c>
      <c r="AS602" s="68">
        <f ca="1">IFERROR(__xludf.DUMMYFUNCTION("""COMPUTED_VALUE"""),43980.9986111111)</f>
        <v>43980.998611111099</v>
      </c>
      <c r="AT602" s="6">
        <f ca="1">IFERROR(__xludf.DUMMYFUNCTION("""COMPUTED_VALUE"""),1751.7)</f>
        <v>1751.7</v>
      </c>
    </row>
    <row r="603" spans="2:46" x14ac:dyDescent="0.35">
      <c r="B603" s="6" t="str">
        <f t="shared" ca="1" si="162"/>
        <v>20205</v>
      </c>
      <c r="C603" s="6">
        <f t="shared" ca="1" si="163"/>
        <v>2020</v>
      </c>
      <c r="D603" s="6">
        <f t="shared" ca="1" si="164"/>
        <v>5</v>
      </c>
      <c r="E603" s="68">
        <f ca="1">IFERROR(__xludf.DUMMYFUNCTION("""COMPUTED_VALUE"""),43971.6666666666)</f>
        <v>43971.666666666599</v>
      </c>
      <c r="F603" s="6">
        <f ca="1">IFERROR(__xludf.DUMMYFUNCTION("""COMPUTED_VALUE"""),2971.61)</f>
        <v>2971.61</v>
      </c>
      <c r="J603" s="6" t="str">
        <f t="shared" ca="1" si="165"/>
        <v>20205</v>
      </c>
      <c r="K603" s="6">
        <f t="shared" ca="1" si="166"/>
        <v>2020</v>
      </c>
      <c r="L603" s="6">
        <f t="shared" ca="1" si="167"/>
        <v>5</v>
      </c>
      <c r="M603" s="68">
        <f ca="1">IFERROR(__xludf.DUMMYFUNCTION("""COMPUTED_VALUE"""),43965.6666666666)</f>
        <v>43965.666666666599</v>
      </c>
      <c r="N603" s="6">
        <f ca="1">IFERROR(__xludf.DUMMYFUNCTION("""COMPUTED_VALUE"""),8943.72)</f>
        <v>8943.7199999999993</v>
      </c>
      <c r="R603" s="6" t="str">
        <f t="shared" ca="1" si="168"/>
        <v>20206</v>
      </c>
      <c r="S603" s="6">
        <f t="shared" ca="1" si="169"/>
        <v>2020</v>
      </c>
      <c r="T603" s="6">
        <f t="shared" ca="1" si="170"/>
        <v>6</v>
      </c>
      <c r="U603" s="68">
        <f ca="1">IFERROR(__xludf.DUMMYFUNCTION("""COMPUTED_VALUE"""),43999.6458333333)</f>
        <v>43999.645833333299</v>
      </c>
      <c r="V603" s="6">
        <f ca="1">IFERROR(__xludf.DUMMYFUNCTION("""COMPUTED_VALUE"""),2141.05)</f>
        <v>2141.0500000000002</v>
      </c>
      <c r="Z603" s="6" t="str">
        <f t="shared" ca="1" si="171"/>
        <v>20199</v>
      </c>
      <c r="AA603" s="6">
        <f t="shared" ca="1" si="172"/>
        <v>2019</v>
      </c>
      <c r="AB603" s="6">
        <f t="shared" ca="1" si="173"/>
        <v>9</v>
      </c>
      <c r="AC603" s="68">
        <f ca="1">IFERROR(__xludf.DUMMYFUNCTION("""COMPUTED_VALUE"""),43736.9986111111)</f>
        <v>43736.998611111099</v>
      </c>
      <c r="AD603" s="6">
        <f ca="1">IFERROR(__xludf.DUMMYFUNCTION("""COMPUTED_VALUE"""),1201)</f>
        <v>1201</v>
      </c>
      <c r="AH603" s="6" t="str">
        <f t="shared" ca="1" si="174"/>
        <v>20198</v>
      </c>
      <c r="AI603" s="6">
        <f t="shared" ca="1" si="175"/>
        <v>2019</v>
      </c>
      <c r="AJ603" s="6">
        <f t="shared" ca="1" si="176"/>
        <v>8</v>
      </c>
      <c r="AK603" s="68">
        <f ca="1">IFERROR(__xludf.DUMMYFUNCTION("""COMPUTED_VALUE"""),43695.9986111111)</f>
        <v>43695.998611111099</v>
      </c>
      <c r="AL603" s="6">
        <f ca="1">IFERROR(__xludf.DUMMYFUNCTION("""COMPUTED_VALUE"""),10330.88)</f>
        <v>10330.879999999999</v>
      </c>
      <c r="AP603" s="6" t="str">
        <f t="shared" ca="1" si="177"/>
        <v>20206</v>
      </c>
      <c r="AQ603" s="6">
        <f t="shared" ca="1" si="178"/>
        <v>2020</v>
      </c>
      <c r="AR603" s="6">
        <f t="shared" ca="1" si="179"/>
        <v>6</v>
      </c>
      <c r="AS603" s="68">
        <f ca="1">IFERROR(__xludf.DUMMYFUNCTION("""COMPUTED_VALUE"""),43983.9986111111)</f>
        <v>43983.998611111099</v>
      </c>
      <c r="AT603" s="6">
        <f ca="1">IFERROR(__xludf.DUMMYFUNCTION("""COMPUTED_VALUE"""),1750.3)</f>
        <v>1750.3</v>
      </c>
    </row>
    <row r="604" spans="2:46" x14ac:dyDescent="0.35">
      <c r="B604" s="6" t="str">
        <f t="shared" ca="1" si="162"/>
        <v>20205</v>
      </c>
      <c r="C604" s="6">
        <f t="shared" ca="1" si="163"/>
        <v>2020</v>
      </c>
      <c r="D604" s="6">
        <f t="shared" ca="1" si="164"/>
        <v>5</v>
      </c>
      <c r="E604" s="68">
        <f ca="1">IFERROR(__xludf.DUMMYFUNCTION("""COMPUTED_VALUE"""),43972.6666666666)</f>
        <v>43972.666666666599</v>
      </c>
      <c r="F604" s="6">
        <f ca="1">IFERROR(__xludf.DUMMYFUNCTION("""COMPUTED_VALUE"""),2948.51)</f>
        <v>2948.51</v>
      </c>
      <c r="J604" s="6" t="str">
        <f t="shared" ca="1" si="165"/>
        <v>20205</v>
      </c>
      <c r="K604" s="6">
        <f t="shared" ca="1" si="166"/>
        <v>2020</v>
      </c>
      <c r="L604" s="6">
        <f t="shared" ca="1" si="167"/>
        <v>5</v>
      </c>
      <c r="M604" s="68">
        <f ca="1">IFERROR(__xludf.DUMMYFUNCTION("""COMPUTED_VALUE"""),43966.6666666666)</f>
        <v>43966.666666666599</v>
      </c>
      <c r="N604" s="6">
        <f ca="1">IFERROR(__xludf.DUMMYFUNCTION("""COMPUTED_VALUE"""),9014.56)</f>
        <v>9014.56</v>
      </c>
      <c r="R604" s="6" t="str">
        <f t="shared" ca="1" si="168"/>
        <v>20206</v>
      </c>
      <c r="S604" s="6">
        <f t="shared" ca="1" si="169"/>
        <v>2020</v>
      </c>
      <c r="T604" s="6">
        <f t="shared" ca="1" si="170"/>
        <v>6</v>
      </c>
      <c r="U604" s="68">
        <f ca="1">IFERROR(__xludf.DUMMYFUNCTION("""COMPUTED_VALUE"""),44000.6458333333)</f>
        <v>44000.645833333299</v>
      </c>
      <c r="V604" s="6">
        <f ca="1">IFERROR(__xludf.DUMMYFUNCTION("""COMPUTED_VALUE"""),2133.48)</f>
        <v>2133.48</v>
      </c>
      <c r="Z604" s="6" t="str">
        <f t="shared" ca="1" si="171"/>
        <v>20199</v>
      </c>
      <c r="AA604" s="6">
        <f t="shared" ca="1" si="172"/>
        <v>2019</v>
      </c>
      <c r="AB604" s="6">
        <f t="shared" ca="1" si="173"/>
        <v>9</v>
      </c>
      <c r="AC604" s="68">
        <f ca="1">IFERROR(__xludf.DUMMYFUNCTION("""COMPUTED_VALUE"""),43737.9986111111)</f>
        <v>43737.998611111099</v>
      </c>
      <c r="AD604" s="6">
        <f ca="1">IFERROR(__xludf.DUMMYFUNCTION("""COMPUTED_VALUE"""),1201.91)</f>
        <v>1201.9100000000001</v>
      </c>
      <c r="AH604" s="6" t="str">
        <f t="shared" ca="1" si="174"/>
        <v>20198</v>
      </c>
      <c r="AI604" s="6">
        <f t="shared" ca="1" si="175"/>
        <v>2019</v>
      </c>
      <c r="AJ604" s="6">
        <f t="shared" ca="1" si="176"/>
        <v>8</v>
      </c>
      <c r="AK604" s="68">
        <f ca="1">IFERROR(__xludf.DUMMYFUNCTION("""COMPUTED_VALUE"""),43696.9986111111)</f>
        <v>43696.998611111099</v>
      </c>
      <c r="AL604" s="6">
        <f ca="1">IFERROR(__xludf.DUMMYFUNCTION("""COMPUTED_VALUE"""),10919.87)</f>
        <v>10919.87</v>
      </c>
      <c r="AP604" s="6" t="str">
        <f t="shared" ca="1" si="177"/>
        <v>20206</v>
      </c>
      <c r="AQ604" s="6">
        <f t="shared" ca="1" si="178"/>
        <v>2020</v>
      </c>
      <c r="AR604" s="6">
        <f t="shared" ca="1" si="179"/>
        <v>6</v>
      </c>
      <c r="AS604" s="68">
        <f ca="1">IFERROR(__xludf.DUMMYFUNCTION("""COMPUTED_VALUE"""),43984.9986111111)</f>
        <v>43984.998611111099</v>
      </c>
      <c r="AT604" s="6">
        <f ca="1">IFERROR(__xludf.DUMMYFUNCTION("""COMPUTED_VALUE"""),1734)</f>
        <v>1734</v>
      </c>
    </row>
    <row r="605" spans="2:46" x14ac:dyDescent="0.35">
      <c r="B605" s="6" t="str">
        <f t="shared" ca="1" si="162"/>
        <v>20205</v>
      </c>
      <c r="C605" s="6">
        <f t="shared" ca="1" si="163"/>
        <v>2020</v>
      </c>
      <c r="D605" s="6">
        <f t="shared" ca="1" si="164"/>
        <v>5</v>
      </c>
      <c r="E605" s="68">
        <f ca="1">IFERROR(__xludf.DUMMYFUNCTION("""COMPUTED_VALUE"""),43973.6666666666)</f>
        <v>43973.666666666599</v>
      </c>
      <c r="F605" s="6">
        <f ca="1">IFERROR(__xludf.DUMMYFUNCTION("""COMPUTED_VALUE"""),2955.45)</f>
        <v>2955.45</v>
      </c>
      <c r="J605" s="6" t="str">
        <f t="shared" ca="1" si="165"/>
        <v>20205</v>
      </c>
      <c r="K605" s="6">
        <f t="shared" ca="1" si="166"/>
        <v>2020</v>
      </c>
      <c r="L605" s="6">
        <f t="shared" ca="1" si="167"/>
        <v>5</v>
      </c>
      <c r="M605" s="68">
        <f ca="1">IFERROR(__xludf.DUMMYFUNCTION("""COMPUTED_VALUE"""),43969.6666666666)</f>
        <v>43969.666666666599</v>
      </c>
      <c r="N605" s="6">
        <f ca="1">IFERROR(__xludf.DUMMYFUNCTION("""COMPUTED_VALUE"""),9234.83)</f>
        <v>9234.83</v>
      </c>
      <c r="R605" s="6" t="str">
        <f t="shared" ca="1" si="168"/>
        <v>20206</v>
      </c>
      <c r="S605" s="6">
        <f t="shared" ca="1" si="169"/>
        <v>2020</v>
      </c>
      <c r="T605" s="6">
        <f t="shared" ca="1" si="170"/>
        <v>6</v>
      </c>
      <c r="U605" s="68">
        <f ca="1">IFERROR(__xludf.DUMMYFUNCTION("""COMPUTED_VALUE"""),44001.6458333333)</f>
        <v>44001.645833333299</v>
      </c>
      <c r="V605" s="6">
        <f ca="1">IFERROR(__xludf.DUMMYFUNCTION("""COMPUTED_VALUE"""),2141.32)</f>
        <v>2141.3200000000002</v>
      </c>
      <c r="Z605" s="6" t="str">
        <f t="shared" ca="1" si="171"/>
        <v>20199</v>
      </c>
      <c r="AA605" s="6">
        <f t="shared" ca="1" si="172"/>
        <v>2019</v>
      </c>
      <c r="AB605" s="6">
        <f t="shared" ca="1" si="173"/>
        <v>9</v>
      </c>
      <c r="AC605" s="68">
        <f ca="1">IFERROR(__xludf.DUMMYFUNCTION("""COMPUTED_VALUE"""),43738.9986111111)</f>
        <v>43738.998611111099</v>
      </c>
      <c r="AD605" s="6">
        <f ca="1">IFERROR(__xludf.DUMMYFUNCTION("""COMPUTED_VALUE"""),1198)</f>
        <v>1198</v>
      </c>
      <c r="AH605" s="6" t="str">
        <f t="shared" ca="1" si="174"/>
        <v>20198</v>
      </c>
      <c r="AI605" s="6">
        <f t="shared" ca="1" si="175"/>
        <v>2019</v>
      </c>
      <c r="AJ605" s="6">
        <f t="shared" ca="1" si="176"/>
        <v>8</v>
      </c>
      <c r="AK605" s="68">
        <f ca="1">IFERROR(__xludf.DUMMYFUNCTION("""COMPUTED_VALUE"""),43697.9986111111)</f>
        <v>43697.998611111099</v>
      </c>
      <c r="AL605" s="6">
        <f ca="1">IFERROR(__xludf.DUMMYFUNCTION("""COMPUTED_VALUE"""),10763.62)</f>
        <v>10763.62</v>
      </c>
      <c r="AP605" s="6" t="str">
        <f t="shared" ca="1" si="177"/>
        <v>20206</v>
      </c>
      <c r="AQ605" s="6">
        <f t="shared" ca="1" si="178"/>
        <v>2020</v>
      </c>
      <c r="AR605" s="6">
        <f t="shared" ca="1" si="179"/>
        <v>6</v>
      </c>
      <c r="AS605" s="68">
        <f ca="1">IFERROR(__xludf.DUMMYFUNCTION("""COMPUTED_VALUE"""),43985.9986111111)</f>
        <v>43985.998611111099</v>
      </c>
      <c r="AT605" s="6">
        <f ca="1">IFERROR(__xludf.DUMMYFUNCTION("""COMPUTED_VALUE"""),1704.8)</f>
        <v>1704.8</v>
      </c>
    </row>
    <row r="606" spans="2:46" x14ac:dyDescent="0.35">
      <c r="B606" s="6" t="str">
        <f t="shared" ca="1" si="162"/>
        <v>20205</v>
      </c>
      <c r="C606" s="6">
        <f t="shared" ca="1" si="163"/>
        <v>2020</v>
      </c>
      <c r="D606" s="6">
        <f t="shared" ca="1" si="164"/>
        <v>5</v>
      </c>
      <c r="E606" s="68">
        <f ca="1">IFERROR(__xludf.DUMMYFUNCTION("""COMPUTED_VALUE"""),43977.6666666666)</f>
        <v>43977.666666666599</v>
      </c>
      <c r="F606" s="6">
        <f ca="1">IFERROR(__xludf.DUMMYFUNCTION("""COMPUTED_VALUE"""),2991.77)</f>
        <v>2991.77</v>
      </c>
      <c r="J606" s="6" t="str">
        <f t="shared" ca="1" si="165"/>
        <v>20205</v>
      </c>
      <c r="K606" s="6">
        <f t="shared" ca="1" si="166"/>
        <v>2020</v>
      </c>
      <c r="L606" s="6">
        <f t="shared" ca="1" si="167"/>
        <v>5</v>
      </c>
      <c r="M606" s="68">
        <f ca="1">IFERROR(__xludf.DUMMYFUNCTION("""COMPUTED_VALUE"""),43970.6666666666)</f>
        <v>43970.666666666599</v>
      </c>
      <c r="N606" s="6">
        <f ca="1">IFERROR(__xludf.DUMMYFUNCTION("""COMPUTED_VALUE"""),9185.1)</f>
        <v>9185.1</v>
      </c>
      <c r="R606" s="6" t="str">
        <f t="shared" ca="1" si="168"/>
        <v>20206</v>
      </c>
      <c r="S606" s="6">
        <f t="shared" ca="1" si="169"/>
        <v>2020</v>
      </c>
      <c r="T606" s="6">
        <f t="shared" ca="1" si="170"/>
        <v>6</v>
      </c>
      <c r="U606" s="68">
        <f ca="1">IFERROR(__xludf.DUMMYFUNCTION("""COMPUTED_VALUE"""),44004.6458333333)</f>
        <v>44004.645833333299</v>
      </c>
      <c r="V606" s="6">
        <f ca="1">IFERROR(__xludf.DUMMYFUNCTION("""COMPUTED_VALUE"""),2126.73)</f>
        <v>2126.73</v>
      </c>
      <c r="Z606" s="6" t="str">
        <f t="shared" ca="1" si="171"/>
        <v>201910</v>
      </c>
      <c r="AA606" s="6">
        <f t="shared" ca="1" si="172"/>
        <v>2019</v>
      </c>
      <c r="AB606" s="6">
        <f t="shared" ca="1" si="173"/>
        <v>10</v>
      </c>
      <c r="AC606" s="68">
        <f ca="1">IFERROR(__xludf.DUMMYFUNCTION("""COMPUTED_VALUE"""),43739.9986111111)</f>
        <v>43739.998611111099</v>
      </c>
      <c r="AD606" s="6">
        <f ca="1">IFERROR(__xludf.DUMMYFUNCTION("""COMPUTED_VALUE"""),1201.69)</f>
        <v>1201.69</v>
      </c>
      <c r="AH606" s="6" t="str">
        <f t="shared" ca="1" si="174"/>
        <v>20198</v>
      </c>
      <c r="AI606" s="6">
        <f t="shared" ca="1" si="175"/>
        <v>2019</v>
      </c>
      <c r="AJ606" s="6">
        <f t="shared" ca="1" si="176"/>
        <v>8</v>
      </c>
      <c r="AK606" s="68">
        <f ca="1">IFERROR(__xludf.DUMMYFUNCTION("""COMPUTED_VALUE"""),43698.9986111111)</f>
        <v>43698.998611111099</v>
      </c>
      <c r="AL606" s="6">
        <f ca="1">IFERROR(__xludf.DUMMYFUNCTION("""COMPUTED_VALUE"""),10131.18)</f>
        <v>10131.18</v>
      </c>
      <c r="AP606" s="6" t="str">
        <f t="shared" ca="1" si="177"/>
        <v>20206</v>
      </c>
      <c r="AQ606" s="6">
        <f t="shared" ca="1" si="178"/>
        <v>2020</v>
      </c>
      <c r="AR606" s="6">
        <f t="shared" ca="1" si="179"/>
        <v>6</v>
      </c>
      <c r="AS606" s="68">
        <f ca="1">IFERROR(__xludf.DUMMYFUNCTION("""COMPUTED_VALUE"""),43986.9986111111)</f>
        <v>43986.998611111099</v>
      </c>
      <c r="AT606" s="6">
        <f ca="1">IFERROR(__xludf.DUMMYFUNCTION("""COMPUTED_VALUE"""),1727.4)</f>
        <v>1727.4</v>
      </c>
    </row>
    <row r="607" spans="2:46" x14ac:dyDescent="0.35">
      <c r="B607" s="6" t="str">
        <f t="shared" ca="1" si="162"/>
        <v>20205</v>
      </c>
      <c r="C607" s="6">
        <f t="shared" ca="1" si="163"/>
        <v>2020</v>
      </c>
      <c r="D607" s="6">
        <f t="shared" ca="1" si="164"/>
        <v>5</v>
      </c>
      <c r="E607" s="68">
        <f ca="1">IFERROR(__xludf.DUMMYFUNCTION("""COMPUTED_VALUE"""),43978.6666666666)</f>
        <v>43978.666666666599</v>
      </c>
      <c r="F607" s="6">
        <f ca="1">IFERROR(__xludf.DUMMYFUNCTION("""COMPUTED_VALUE"""),3036.13)</f>
        <v>3036.13</v>
      </c>
      <c r="J607" s="6" t="str">
        <f t="shared" ca="1" si="165"/>
        <v>20205</v>
      </c>
      <c r="K607" s="6">
        <f t="shared" ca="1" si="166"/>
        <v>2020</v>
      </c>
      <c r="L607" s="6">
        <f t="shared" ca="1" si="167"/>
        <v>5</v>
      </c>
      <c r="M607" s="68">
        <f ca="1">IFERROR(__xludf.DUMMYFUNCTION("""COMPUTED_VALUE"""),43971.6666666666)</f>
        <v>43971.666666666599</v>
      </c>
      <c r="N607" s="6">
        <f ca="1">IFERROR(__xludf.DUMMYFUNCTION("""COMPUTED_VALUE"""),9375.78)</f>
        <v>9375.7800000000007</v>
      </c>
      <c r="R607" s="6" t="str">
        <f t="shared" ca="1" si="168"/>
        <v>20206</v>
      </c>
      <c r="S607" s="6">
        <f t="shared" ca="1" si="169"/>
        <v>2020</v>
      </c>
      <c r="T607" s="6">
        <f t="shared" ca="1" si="170"/>
        <v>6</v>
      </c>
      <c r="U607" s="68">
        <f ca="1">IFERROR(__xludf.DUMMYFUNCTION("""COMPUTED_VALUE"""),44005.6458333333)</f>
        <v>44005.645833333299</v>
      </c>
      <c r="V607" s="6">
        <f ca="1">IFERROR(__xludf.DUMMYFUNCTION("""COMPUTED_VALUE"""),2131.24)</f>
        <v>2131.2399999999998</v>
      </c>
      <c r="Z607" s="6" t="str">
        <f t="shared" ca="1" si="171"/>
        <v>201910</v>
      </c>
      <c r="AA607" s="6">
        <f t="shared" ca="1" si="172"/>
        <v>2019</v>
      </c>
      <c r="AB607" s="6">
        <f t="shared" ca="1" si="173"/>
        <v>10</v>
      </c>
      <c r="AC607" s="68">
        <f ca="1">IFERROR(__xludf.DUMMYFUNCTION("""COMPUTED_VALUE"""),43740.9986111111)</f>
        <v>43740.998611111099</v>
      </c>
      <c r="AD607" s="6">
        <f ca="1">IFERROR(__xludf.DUMMYFUNCTION("""COMPUTED_VALUE"""),1203.57)</f>
        <v>1203.57</v>
      </c>
      <c r="AH607" s="6" t="str">
        <f t="shared" ca="1" si="174"/>
        <v>20198</v>
      </c>
      <c r="AI607" s="6">
        <f t="shared" ca="1" si="175"/>
        <v>2019</v>
      </c>
      <c r="AJ607" s="6">
        <f t="shared" ca="1" si="176"/>
        <v>8</v>
      </c>
      <c r="AK607" s="68">
        <f ca="1">IFERROR(__xludf.DUMMYFUNCTION("""COMPUTED_VALUE"""),43699.9986111111)</f>
        <v>43699.998611111099</v>
      </c>
      <c r="AL607" s="6">
        <f ca="1">IFERROR(__xludf.DUMMYFUNCTION("""COMPUTED_VALUE"""),10113.63)</f>
        <v>10113.629999999999</v>
      </c>
      <c r="AP607" s="6" t="str">
        <f t="shared" ca="1" si="177"/>
        <v>20206</v>
      </c>
      <c r="AQ607" s="6">
        <f t="shared" ca="1" si="178"/>
        <v>2020</v>
      </c>
      <c r="AR607" s="6">
        <f t="shared" ca="1" si="179"/>
        <v>6</v>
      </c>
      <c r="AS607" s="68">
        <f ca="1">IFERROR(__xludf.DUMMYFUNCTION("""COMPUTED_VALUE"""),43987.9986111111)</f>
        <v>43987.998611111099</v>
      </c>
      <c r="AT607" s="6">
        <f ca="1">IFERROR(__xludf.DUMMYFUNCTION("""COMPUTED_VALUE"""),1683)</f>
        <v>1683</v>
      </c>
    </row>
    <row r="608" spans="2:46" x14ac:dyDescent="0.35">
      <c r="B608" s="6" t="str">
        <f t="shared" ca="1" si="162"/>
        <v>20205</v>
      </c>
      <c r="C608" s="6">
        <f t="shared" ca="1" si="163"/>
        <v>2020</v>
      </c>
      <c r="D608" s="6">
        <f t="shared" ca="1" si="164"/>
        <v>5</v>
      </c>
      <c r="E608" s="68">
        <f ca="1">IFERROR(__xludf.DUMMYFUNCTION("""COMPUTED_VALUE"""),43979.6666666666)</f>
        <v>43979.666666666599</v>
      </c>
      <c r="F608" s="6">
        <f ca="1">IFERROR(__xludf.DUMMYFUNCTION("""COMPUTED_VALUE"""),3029.73)</f>
        <v>3029.73</v>
      </c>
      <c r="J608" s="6" t="str">
        <f t="shared" ca="1" si="165"/>
        <v>20205</v>
      </c>
      <c r="K608" s="6">
        <f t="shared" ca="1" si="166"/>
        <v>2020</v>
      </c>
      <c r="L608" s="6">
        <f t="shared" ca="1" si="167"/>
        <v>5</v>
      </c>
      <c r="M608" s="68">
        <f ca="1">IFERROR(__xludf.DUMMYFUNCTION("""COMPUTED_VALUE"""),43972.6666666666)</f>
        <v>43972.666666666599</v>
      </c>
      <c r="N608" s="6">
        <f ca="1">IFERROR(__xludf.DUMMYFUNCTION("""COMPUTED_VALUE"""),9284.88)</f>
        <v>9284.8799999999992</v>
      </c>
      <c r="R608" s="6" t="str">
        <f t="shared" ca="1" si="168"/>
        <v>20206</v>
      </c>
      <c r="S608" s="6">
        <f t="shared" ca="1" si="169"/>
        <v>2020</v>
      </c>
      <c r="T608" s="6">
        <f t="shared" ca="1" si="170"/>
        <v>6</v>
      </c>
      <c r="U608" s="68">
        <f ca="1">IFERROR(__xludf.DUMMYFUNCTION("""COMPUTED_VALUE"""),44006.6458333333)</f>
        <v>44006.645833333299</v>
      </c>
      <c r="V608" s="6">
        <f ca="1">IFERROR(__xludf.DUMMYFUNCTION("""COMPUTED_VALUE"""),2161.51)</f>
        <v>2161.5100000000002</v>
      </c>
      <c r="Z608" s="6" t="str">
        <f t="shared" ca="1" si="171"/>
        <v>201910</v>
      </c>
      <c r="AA608" s="6">
        <f t="shared" ca="1" si="172"/>
        <v>2019</v>
      </c>
      <c r="AB608" s="6">
        <f t="shared" ca="1" si="173"/>
        <v>10</v>
      </c>
      <c r="AC608" s="68">
        <f ca="1">IFERROR(__xludf.DUMMYFUNCTION("""COMPUTED_VALUE"""),43741.9986111111)</f>
        <v>43741.998611111099</v>
      </c>
      <c r="AD608" s="6">
        <f ca="1">IFERROR(__xludf.DUMMYFUNCTION("""COMPUTED_VALUE"""),1200.08)</f>
        <v>1200.08</v>
      </c>
      <c r="AH608" s="6" t="str">
        <f t="shared" ca="1" si="174"/>
        <v>20198</v>
      </c>
      <c r="AI608" s="6">
        <f t="shared" ca="1" si="175"/>
        <v>2019</v>
      </c>
      <c r="AJ608" s="6">
        <f t="shared" ca="1" si="176"/>
        <v>8</v>
      </c>
      <c r="AK608" s="68">
        <f ca="1">IFERROR(__xludf.DUMMYFUNCTION("""COMPUTED_VALUE"""),43700.9986111111)</f>
        <v>43700.998611111099</v>
      </c>
      <c r="AL608" s="6">
        <f ca="1">IFERROR(__xludf.DUMMYFUNCTION("""COMPUTED_VALUE"""),10406.7)</f>
        <v>10406.700000000001</v>
      </c>
      <c r="AP608" s="6" t="str">
        <f t="shared" ca="1" si="177"/>
        <v>20206</v>
      </c>
      <c r="AQ608" s="6">
        <f t="shared" ca="1" si="178"/>
        <v>2020</v>
      </c>
      <c r="AR608" s="6">
        <f t="shared" ca="1" si="179"/>
        <v>6</v>
      </c>
      <c r="AS608" s="68">
        <f ca="1">IFERROR(__xludf.DUMMYFUNCTION("""COMPUTED_VALUE"""),43990.9986111111)</f>
        <v>43990.998611111099</v>
      </c>
      <c r="AT608" s="6">
        <f ca="1">IFERROR(__xludf.DUMMYFUNCTION("""COMPUTED_VALUE"""),1705.1)</f>
        <v>1705.1</v>
      </c>
    </row>
    <row r="609" spans="2:46" x14ac:dyDescent="0.35">
      <c r="B609" s="6" t="str">
        <f t="shared" ca="1" si="162"/>
        <v>20205</v>
      </c>
      <c r="C609" s="6">
        <f t="shared" ca="1" si="163"/>
        <v>2020</v>
      </c>
      <c r="D609" s="6">
        <f t="shared" ca="1" si="164"/>
        <v>5</v>
      </c>
      <c r="E609" s="68">
        <f ca="1">IFERROR(__xludf.DUMMYFUNCTION("""COMPUTED_VALUE"""),43980.6666666666)</f>
        <v>43980.666666666599</v>
      </c>
      <c r="F609" s="6">
        <f ca="1">IFERROR(__xludf.DUMMYFUNCTION("""COMPUTED_VALUE"""),3044.31)</f>
        <v>3044.31</v>
      </c>
      <c r="J609" s="6" t="str">
        <f t="shared" ca="1" si="165"/>
        <v>20205</v>
      </c>
      <c r="K609" s="6">
        <f t="shared" ca="1" si="166"/>
        <v>2020</v>
      </c>
      <c r="L609" s="6">
        <f t="shared" ca="1" si="167"/>
        <v>5</v>
      </c>
      <c r="M609" s="68">
        <f ca="1">IFERROR(__xludf.DUMMYFUNCTION("""COMPUTED_VALUE"""),43973.6666666666)</f>
        <v>43973.666666666599</v>
      </c>
      <c r="N609" s="6">
        <f ca="1">IFERROR(__xludf.DUMMYFUNCTION("""COMPUTED_VALUE"""),9324.59)</f>
        <v>9324.59</v>
      </c>
      <c r="R609" s="6" t="str">
        <f t="shared" ca="1" si="168"/>
        <v>20206</v>
      </c>
      <c r="S609" s="6">
        <f t="shared" ca="1" si="169"/>
        <v>2020</v>
      </c>
      <c r="T609" s="6">
        <f t="shared" ca="1" si="170"/>
        <v>6</v>
      </c>
      <c r="U609" s="68">
        <f ca="1">IFERROR(__xludf.DUMMYFUNCTION("""COMPUTED_VALUE"""),44007.6458333333)</f>
        <v>44007.645833333299</v>
      </c>
      <c r="V609" s="6">
        <f ca="1">IFERROR(__xludf.DUMMYFUNCTION("""COMPUTED_VALUE"""),2112.37)</f>
        <v>2112.37</v>
      </c>
      <c r="Z609" s="6" t="str">
        <f t="shared" ca="1" si="171"/>
        <v>201910</v>
      </c>
      <c r="AA609" s="6">
        <f t="shared" ca="1" si="172"/>
        <v>2019</v>
      </c>
      <c r="AB609" s="6">
        <f t="shared" ca="1" si="173"/>
        <v>10</v>
      </c>
      <c r="AC609" s="68">
        <f ca="1">IFERROR(__xludf.DUMMYFUNCTION("""COMPUTED_VALUE"""),43742.9986111111)</f>
        <v>43742.998611111099</v>
      </c>
      <c r="AD609" s="6">
        <f ca="1">IFERROR(__xludf.DUMMYFUNCTION("""COMPUTED_VALUE"""),1191.53)</f>
        <v>1191.53</v>
      </c>
      <c r="AH609" s="6" t="str">
        <f t="shared" ca="1" si="174"/>
        <v>20198</v>
      </c>
      <c r="AI609" s="6">
        <f t="shared" ca="1" si="175"/>
        <v>2019</v>
      </c>
      <c r="AJ609" s="6">
        <f t="shared" ca="1" si="176"/>
        <v>8</v>
      </c>
      <c r="AK609" s="68">
        <f ca="1">IFERROR(__xludf.DUMMYFUNCTION("""COMPUTED_VALUE"""),43701.9986111111)</f>
        <v>43701.998611111099</v>
      </c>
      <c r="AL609" s="6">
        <f ca="1">IFERROR(__xludf.DUMMYFUNCTION("""COMPUTED_VALUE"""),10129.1)</f>
        <v>10129.1</v>
      </c>
      <c r="AP609" s="6" t="str">
        <f t="shared" ca="1" si="177"/>
        <v>20206</v>
      </c>
      <c r="AQ609" s="6">
        <f t="shared" ca="1" si="178"/>
        <v>2020</v>
      </c>
      <c r="AR609" s="6">
        <f t="shared" ca="1" si="179"/>
        <v>6</v>
      </c>
      <c r="AS609" s="68">
        <f ca="1">IFERROR(__xludf.DUMMYFUNCTION("""COMPUTED_VALUE"""),43991.9986111111)</f>
        <v>43991.998611111099</v>
      </c>
      <c r="AT609" s="6">
        <f ca="1">IFERROR(__xludf.DUMMYFUNCTION("""COMPUTED_VALUE"""),1721.9)</f>
        <v>1721.9</v>
      </c>
    </row>
    <row r="610" spans="2:46" x14ac:dyDescent="0.35">
      <c r="B610" s="6" t="str">
        <f t="shared" ca="1" si="162"/>
        <v>20206</v>
      </c>
      <c r="C610" s="6">
        <f t="shared" ca="1" si="163"/>
        <v>2020</v>
      </c>
      <c r="D610" s="6">
        <f t="shared" ca="1" si="164"/>
        <v>6</v>
      </c>
      <c r="E610" s="68">
        <f ca="1">IFERROR(__xludf.DUMMYFUNCTION("""COMPUTED_VALUE"""),43983.6666666666)</f>
        <v>43983.666666666599</v>
      </c>
      <c r="F610" s="6">
        <f ca="1">IFERROR(__xludf.DUMMYFUNCTION("""COMPUTED_VALUE"""),3055.73)</f>
        <v>3055.73</v>
      </c>
      <c r="J610" s="6" t="str">
        <f t="shared" ca="1" si="165"/>
        <v>20205</v>
      </c>
      <c r="K610" s="6">
        <f t="shared" ca="1" si="166"/>
        <v>2020</v>
      </c>
      <c r="L610" s="6">
        <f t="shared" ca="1" si="167"/>
        <v>5</v>
      </c>
      <c r="M610" s="68">
        <f ca="1">IFERROR(__xludf.DUMMYFUNCTION("""COMPUTED_VALUE"""),43977.6666666666)</f>
        <v>43977.666666666599</v>
      </c>
      <c r="N610" s="6">
        <f ca="1">IFERROR(__xludf.DUMMYFUNCTION("""COMPUTED_VALUE"""),9340.22)</f>
        <v>9340.2199999999993</v>
      </c>
      <c r="R610" s="6" t="str">
        <f t="shared" ca="1" si="168"/>
        <v>20206</v>
      </c>
      <c r="S610" s="6">
        <f t="shared" ca="1" si="169"/>
        <v>2020</v>
      </c>
      <c r="T610" s="6">
        <f t="shared" ca="1" si="170"/>
        <v>6</v>
      </c>
      <c r="U610" s="68">
        <f ca="1">IFERROR(__xludf.DUMMYFUNCTION("""COMPUTED_VALUE"""),44008.6458333333)</f>
        <v>44008.645833333299</v>
      </c>
      <c r="V610" s="6">
        <f ca="1">IFERROR(__xludf.DUMMYFUNCTION("""COMPUTED_VALUE"""),2134.65)</f>
        <v>2134.65</v>
      </c>
      <c r="Z610" s="6" t="str">
        <f t="shared" ca="1" si="171"/>
        <v>201910</v>
      </c>
      <c r="AA610" s="6">
        <f t="shared" ca="1" si="172"/>
        <v>2019</v>
      </c>
      <c r="AB610" s="6">
        <f t="shared" ca="1" si="173"/>
        <v>10</v>
      </c>
      <c r="AC610" s="68">
        <f ca="1">IFERROR(__xludf.DUMMYFUNCTION("""COMPUTED_VALUE"""),43743.9986111111)</f>
        <v>43743.998611111099</v>
      </c>
      <c r="AD610" s="6">
        <f ca="1">IFERROR(__xludf.DUMMYFUNCTION("""COMPUTED_VALUE"""),1190.3)</f>
        <v>1190.3</v>
      </c>
      <c r="AH610" s="6" t="str">
        <f t="shared" ca="1" si="174"/>
        <v>20198</v>
      </c>
      <c r="AI610" s="6">
        <f t="shared" ca="1" si="175"/>
        <v>2019</v>
      </c>
      <c r="AJ610" s="6">
        <f t="shared" ca="1" si="176"/>
        <v>8</v>
      </c>
      <c r="AK610" s="68">
        <f ca="1">IFERROR(__xludf.DUMMYFUNCTION("""COMPUTED_VALUE"""),43702.9986111111)</f>
        <v>43702.998611111099</v>
      </c>
      <c r="AL610" s="6">
        <f ca="1">IFERROR(__xludf.DUMMYFUNCTION("""COMPUTED_VALUE"""),10139.37)</f>
        <v>10139.370000000001</v>
      </c>
      <c r="AP610" s="6" t="str">
        <f t="shared" ca="1" si="177"/>
        <v>20206</v>
      </c>
      <c r="AQ610" s="6">
        <f t="shared" ca="1" si="178"/>
        <v>2020</v>
      </c>
      <c r="AR610" s="6">
        <f t="shared" ca="1" si="179"/>
        <v>6</v>
      </c>
      <c r="AS610" s="68">
        <f ca="1">IFERROR(__xludf.DUMMYFUNCTION("""COMPUTED_VALUE"""),43992.9986111111)</f>
        <v>43992.998611111099</v>
      </c>
      <c r="AT610" s="6">
        <f ca="1">IFERROR(__xludf.DUMMYFUNCTION("""COMPUTED_VALUE"""),1720.7)</f>
        <v>1720.7</v>
      </c>
    </row>
    <row r="611" spans="2:46" x14ac:dyDescent="0.35">
      <c r="B611" s="6" t="str">
        <f t="shared" ca="1" si="162"/>
        <v>20206</v>
      </c>
      <c r="C611" s="6">
        <f t="shared" ca="1" si="163"/>
        <v>2020</v>
      </c>
      <c r="D611" s="6">
        <f t="shared" ca="1" si="164"/>
        <v>6</v>
      </c>
      <c r="E611" s="68">
        <f ca="1">IFERROR(__xludf.DUMMYFUNCTION("""COMPUTED_VALUE"""),43984.6666666666)</f>
        <v>43984.666666666599</v>
      </c>
      <c r="F611" s="6">
        <f ca="1">IFERROR(__xludf.DUMMYFUNCTION("""COMPUTED_VALUE"""),3080.82)</f>
        <v>3080.82</v>
      </c>
      <c r="J611" s="6" t="str">
        <f t="shared" ca="1" si="165"/>
        <v>20205</v>
      </c>
      <c r="K611" s="6">
        <f t="shared" ca="1" si="166"/>
        <v>2020</v>
      </c>
      <c r="L611" s="6">
        <f t="shared" ca="1" si="167"/>
        <v>5</v>
      </c>
      <c r="M611" s="68">
        <f ca="1">IFERROR(__xludf.DUMMYFUNCTION("""COMPUTED_VALUE"""),43978.6666666666)</f>
        <v>43978.666666666599</v>
      </c>
      <c r="N611" s="6">
        <f ca="1">IFERROR(__xludf.DUMMYFUNCTION("""COMPUTED_VALUE"""),9412.36)</f>
        <v>9412.36</v>
      </c>
      <c r="R611" s="6" t="str">
        <f t="shared" ca="1" si="168"/>
        <v>20206</v>
      </c>
      <c r="S611" s="6">
        <f t="shared" ca="1" si="169"/>
        <v>2020</v>
      </c>
      <c r="T611" s="6">
        <f t="shared" ca="1" si="170"/>
        <v>6</v>
      </c>
      <c r="U611" s="68">
        <f ca="1">IFERROR(__xludf.DUMMYFUNCTION("""COMPUTED_VALUE"""),44011.6458333333)</f>
        <v>44011.645833333299</v>
      </c>
      <c r="V611" s="6">
        <f ca="1">IFERROR(__xludf.DUMMYFUNCTION("""COMPUTED_VALUE"""),2093.48)</f>
        <v>2093.48</v>
      </c>
      <c r="Z611" s="6" t="str">
        <f t="shared" ca="1" si="171"/>
        <v>201910</v>
      </c>
      <c r="AA611" s="6">
        <f t="shared" ca="1" si="172"/>
        <v>2019</v>
      </c>
      <c r="AB611" s="6">
        <f t="shared" ca="1" si="173"/>
        <v>10</v>
      </c>
      <c r="AC611" s="68">
        <f ca="1">IFERROR(__xludf.DUMMYFUNCTION("""COMPUTED_VALUE"""),43744.9986111111)</f>
        <v>43744.998611111099</v>
      </c>
      <c r="AD611" s="6">
        <f ca="1">IFERROR(__xludf.DUMMYFUNCTION("""COMPUTED_VALUE"""),1191.33)</f>
        <v>1191.33</v>
      </c>
      <c r="AH611" s="6" t="str">
        <f t="shared" ca="1" si="174"/>
        <v>20198</v>
      </c>
      <c r="AI611" s="6">
        <f t="shared" ca="1" si="175"/>
        <v>2019</v>
      </c>
      <c r="AJ611" s="6">
        <f t="shared" ca="1" si="176"/>
        <v>8</v>
      </c>
      <c r="AK611" s="68">
        <f ca="1">IFERROR(__xludf.DUMMYFUNCTION("""COMPUTED_VALUE"""),43703.9986111111)</f>
        <v>43703.998611111099</v>
      </c>
      <c r="AL611" s="6">
        <f ca="1">IFERROR(__xludf.DUMMYFUNCTION("""COMPUTED_VALUE"""),10341.79)</f>
        <v>10341.790000000001</v>
      </c>
      <c r="AP611" s="6" t="str">
        <f t="shared" ca="1" si="177"/>
        <v>20206</v>
      </c>
      <c r="AQ611" s="6">
        <f t="shared" ca="1" si="178"/>
        <v>2020</v>
      </c>
      <c r="AR611" s="6">
        <f t="shared" ca="1" si="179"/>
        <v>6</v>
      </c>
      <c r="AS611" s="68">
        <f ca="1">IFERROR(__xludf.DUMMYFUNCTION("""COMPUTED_VALUE"""),43993.9986111111)</f>
        <v>43993.998611111099</v>
      </c>
      <c r="AT611" s="6">
        <f ca="1">IFERROR(__xludf.DUMMYFUNCTION("""COMPUTED_VALUE"""),1739.8)</f>
        <v>1739.8</v>
      </c>
    </row>
    <row r="612" spans="2:46" x14ac:dyDescent="0.35">
      <c r="B612" s="6" t="str">
        <f t="shared" ca="1" si="162"/>
        <v>20206</v>
      </c>
      <c r="C612" s="6">
        <f t="shared" ca="1" si="163"/>
        <v>2020</v>
      </c>
      <c r="D612" s="6">
        <f t="shared" ca="1" si="164"/>
        <v>6</v>
      </c>
      <c r="E612" s="68">
        <f ca="1">IFERROR(__xludf.DUMMYFUNCTION("""COMPUTED_VALUE"""),43985.6666666666)</f>
        <v>43985.666666666599</v>
      </c>
      <c r="F612" s="6">
        <f ca="1">IFERROR(__xludf.DUMMYFUNCTION("""COMPUTED_VALUE"""),3122.87)</f>
        <v>3122.87</v>
      </c>
      <c r="J612" s="6" t="str">
        <f t="shared" ca="1" si="165"/>
        <v>20205</v>
      </c>
      <c r="K612" s="6">
        <f t="shared" ca="1" si="166"/>
        <v>2020</v>
      </c>
      <c r="L612" s="6">
        <f t="shared" ca="1" si="167"/>
        <v>5</v>
      </c>
      <c r="M612" s="68">
        <f ca="1">IFERROR(__xludf.DUMMYFUNCTION("""COMPUTED_VALUE"""),43979.6666666666)</f>
        <v>43979.666666666599</v>
      </c>
      <c r="N612" s="6">
        <f ca="1">IFERROR(__xludf.DUMMYFUNCTION("""COMPUTED_VALUE"""),9368.99)</f>
        <v>9368.99</v>
      </c>
      <c r="R612" s="6" t="str">
        <f t="shared" ca="1" si="168"/>
        <v>20206</v>
      </c>
      <c r="S612" s="6">
        <f t="shared" ca="1" si="169"/>
        <v>2020</v>
      </c>
      <c r="T612" s="6">
        <f t="shared" ca="1" si="170"/>
        <v>6</v>
      </c>
      <c r="U612" s="68">
        <f ca="1">IFERROR(__xludf.DUMMYFUNCTION("""COMPUTED_VALUE"""),44012.6458333333)</f>
        <v>44012.645833333299</v>
      </c>
      <c r="V612" s="6">
        <f ca="1">IFERROR(__xludf.DUMMYFUNCTION("""COMPUTED_VALUE"""),2108.33)</f>
        <v>2108.33</v>
      </c>
      <c r="Z612" s="6" t="str">
        <f t="shared" ca="1" si="171"/>
        <v>201910</v>
      </c>
      <c r="AA612" s="6">
        <f t="shared" ca="1" si="172"/>
        <v>2019</v>
      </c>
      <c r="AB612" s="6">
        <f t="shared" ca="1" si="173"/>
        <v>10</v>
      </c>
      <c r="AC612" s="68">
        <f ca="1">IFERROR(__xludf.DUMMYFUNCTION("""COMPUTED_VALUE"""),43745.9986111111)</f>
        <v>43745.998611111099</v>
      </c>
      <c r="AD612" s="6">
        <f ca="1">IFERROR(__xludf.DUMMYFUNCTION("""COMPUTED_VALUE"""),1195.76)</f>
        <v>1195.76</v>
      </c>
      <c r="AH612" s="6" t="str">
        <f t="shared" ca="1" si="174"/>
        <v>20198</v>
      </c>
      <c r="AI612" s="6">
        <f t="shared" ca="1" si="175"/>
        <v>2019</v>
      </c>
      <c r="AJ612" s="6">
        <f t="shared" ca="1" si="176"/>
        <v>8</v>
      </c>
      <c r="AK612" s="68">
        <f ca="1">IFERROR(__xludf.DUMMYFUNCTION("""COMPUTED_VALUE"""),43704.9986111111)</f>
        <v>43704.998611111099</v>
      </c>
      <c r="AL612" s="6">
        <f ca="1">IFERROR(__xludf.DUMMYFUNCTION("""COMPUTED_VALUE"""),10179.44)</f>
        <v>10179.44</v>
      </c>
      <c r="AP612" s="6" t="str">
        <f t="shared" ca="1" si="177"/>
        <v>20206</v>
      </c>
      <c r="AQ612" s="6">
        <f t="shared" ca="1" si="178"/>
        <v>2020</v>
      </c>
      <c r="AR612" s="6">
        <f t="shared" ca="1" si="179"/>
        <v>6</v>
      </c>
      <c r="AS612" s="68">
        <f ca="1">IFERROR(__xludf.DUMMYFUNCTION("""COMPUTED_VALUE"""),43994.9986111111)</f>
        <v>43994.998611111099</v>
      </c>
      <c r="AT612" s="6">
        <f ca="1">IFERROR(__xludf.DUMMYFUNCTION("""COMPUTED_VALUE"""),1737.3)</f>
        <v>1737.3</v>
      </c>
    </row>
    <row r="613" spans="2:46" x14ac:dyDescent="0.35">
      <c r="B613" s="6" t="str">
        <f t="shared" ca="1" si="162"/>
        <v>20206</v>
      </c>
      <c r="C613" s="6">
        <f t="shared" ca="1" si="163"/>
        <v>2020</v>
      </c>
      <c r="D613" s="6">
        <f t="shared" ca="1" si="164"/>
        <v>6</v>
      </c>
      <c r="E613" s="68">
        <f ca="1">IFERROR(__xludf.DUMMYFUNCTION("""COMPUTED_VALUE"""),43986.6666666666)</f>
        <v>43986.666666666599</v>
      </c>
      <c r="F613" s="6">
        <f ca="1">IFERROR(__xludf.DUMMYFUNCTION("""COMPUTED_VALUE"""),3112.35)</f>
        <v>3112.35</v>
      </c>
      <c r="J613" s="6" t="str">
        <f t="shared" ca="1" si="165"/>
        <v>20205</v>
      </c>
      <c r="K613" s="6">
        <f t="shared" ca="1" si="166"/>
        <v>2020</v>
      </c>
      <c r="L613" s="6">
        <f t="shared" ca="1" si="167"/>
        <v>5</v>
      </c>
      <c r="M613" s="68">
        <f ca="1">IFERROR(__xludf.DUMMYFUNCTION("""COMPUTED_VALUE"""),43980.6666666666)</f>
        <v>43980.666666666599</v>
      </c>
      <c r="N613" s="6">
        <f ca="1">IFERROR(__xludf.DUMMYFUNCTION("""COMPUTED_VALUE"""),9489.87)</f>
        <v>9489.8700000000008</v>
      </c>
      <c r="R613" s="6" t="str">
        <f t="shared" ca="1" si="168"/>
        <v>20207</v>
      </c>
      <c r="S613" s="6">
        <f t="shared" ca="1" si="169"/>
        <v>2020</v>
      </c>
      <c r="T613" s="6">
        <f t="shared" ca="1" si="170"/>
        <v>7</v>
      </c>
      <c r="U613" s="68">
        <f ca="1">IFERROR(__xludf.DUMMYFUNCTION("""COMPUTED_VALUE"""),44013.6458333333)</f>
        <v>44013.645833333299</v>
      </c>
      <c r="V613" s="6">
        <f ca="1">IFERROR(__xludf.DUMMYFUNCTION("""COMPUTED_VALUE"""),2106.7)</f>
        <v>2106.6999999999998</v>
      </c>
      <c r="Z613" s="6" t="str">
        <f t="shared" ca="1" si="171"/>
        <v>201910</v>
      </c>
      <c r="AA613" s="6">
        <f t="shared" ca="1" si="172"/>
        <v>2019</v>
      </c>
      <c r="AB613" s="6">
        <f t="shared" ca="1" si="173"/>
        <v>10</v>
      </c>
      <c r="AC613" s="68">
        <f ca="1">IFERROR(__xludf.DUMMYFUNCTION("""COMPUTED_VALUE"""),43746.9986111111)</f>
        <v>43746.998611111099</v>
      </c>
      <c r="AD613" s="6">
        <f ca="1">IFERROR(__xludf.DUMMYFUNCTION("""COMPUTED_VALUE"""),1198.37)</f>
        <v>1198.3699999999999</v>
      </c>
      <c r="AH613" s="6" t="str">
        <f t="shared" ca="1" si="174"/>
        <v>20198</v>
      </c>
      <c r="AI613" s="6">
        <f t="shared" ca="1" si="175"/>
        <v>2019</v>
      </c>
      <c r="AJ613" s="6">
        <f t="shared" ca="1" si="176"/>
        <v>8</v>
      </c>
      <c r="AK613" s="68">
        <f ca="1">IFERROR(__xludf.DUMMYFUNCTION("""COMPUTED_VALUE"""),43705.9986111111)</f>
        <v>43705.998611111099</v>
      </c>
      <c r="AL613" s="6">
        <f ca="1">IFERROR(__xludf.DUMMYFUNCTION("""COMPUTED_VALUE"""),9724.275)</f>
        <v>9724.2749999999996</v>
      </c>
      <c r="AP613" s="6" t="str">
        <f t="shared" ca="1" si="177"/>
        <v>20206</v>
      </c>
      <c r="AQ613" s="6">
        <f t="shared" ca="1" si="178"/>
        <v>2020</v>
      </c>
      <c r="AR613" s="6">
        <f t="shared" ca="1" si="179"/>
        <v>6</v>
      </c>
      <c r="AS613" s="68">
        <f ca="1">IFERROR(__xludf.DUMMYFUNCTION("""COMPUTED_VALUE"""),43997.9986111111)</f>
        <v>43997.998611111099</v>
      </c>
      <c r="AT613" s="6">
        <f ca="1">IFERROR(__xludf.DUMMYFUNCTION("""COMPUTED_VALUE"""),1727.2)</f>
        <v>1727.2</v>
      </c>
    </row>
    <row r="614" spans="2:46" x14ac:dyDescent="0.35">
      <c r="B614" s="6" t="str">
        <f t="shared" ca="1" si="162"/>
        <v>20206</v>
      </c>
      <c r="C614" s="6">
        <f t="shared" ca="1" si="163"/>
        <v>2020</v>
      </c>
      <c r="D614" s="6">
        <f t="shared" ca="1" si="164"/>
        <v>6</v>
      </c>
      <c r="E614" s="68">
        <f ca="1">IFERROR(__xludf.DUMMYFUNCTION("""COMPUTED_VALUE"""),43987.6666666666)</f>
        <v>43987.666666666599</v>
      </c>
      <c r="F614" s="6">
        <f ca="1">IFERROR(__xludf.DUMMYFUNCTION("""COMPUTED_VALUE"""),3193.93)</f>
        <v>3193.93</v>
      </c>
      <c r="J614" s="6" t="str">
        <f t="shared" ca="1" si="165"/>
        <v>20206</v>
      </c>
      <c r="K614" s="6">
        <f t="shared" ca="1" si="166"/>
        <v>2020</v>
      </c>
      <c r="L614" s="6">
        <f t="shared" ca="1" si="167"/>
        <v>6</v>
      </c>
      <c r="M614" s="68">
        <f ca="1">IFERROR(__xludf.DUMMYFUNCTION("""COMPUTED_VALUE"""),43983.6666666666)</f>
        <v>43983.666666666599</v>
      </c>
      <c r="N614" s="6">
        <f ca="1">IFERROR(__xludf.DUMMYFUNCTION("""COMPUTED_VALUE"""),9552.05)</f>
        <v>9552.0499999999993</v>
      </c>
      <c r="R614" s="6" t="str">
        <f t="shared" ca="1" si="168"/>
        <v>20207</v>
      </c>
      <c r="S614" s="6">
        <f t="shared" ca="1" si="169"/>
        <v>2020</v>
      </c>
      <c r="T614" s="6">
        <f t="shared" ca="1" si="170"/>
        <v>7</v>
      </c>
      <c r="U614" s="68">
        <f ca="1">IFERROR(__xludf.DUMMYFUNCTION("""COMPUTED_VALUE"""),44014.6458333333)</f>
        <v>44014.645833333299</v>
      </c>
      <c r="V614" s="6">
        <f ca="1">IFERROR(__xludf.DUMMYFUNCTION("""COMPUTED_VALUE"""),2135.37)</f>
        <v>2135.37</v>
      </c>
      <c r="Z614" s="6" t="str">
        <f t="shared" ca="1" si="171"/>
        <v>201910</v>
      </c>
      <c r="AA614" s="6">
        <f t="shared" ca="1" si="172"/>
        <v>2019</v>
      </c>
      <c r="AB614" s="6">
        <f t="shared" ca="1" si="173"/>
        <v>10</v>
      </c>
      <c r="AC614" s="68">
        <f ca="1">IFERROR(__xludf.DUMMYFUNCTION("""COMPUTED_VALUE"""),43747.9986111111)</f>
        <v>43747.998611111099</v>
      </c>
      <c r="AD614" s="6">
        <f ca="1">IFERROR(__xludf.DUMMYFUNCTION("""COMPUTED_VALUE"""),1196.78)</f>
        <v>1196.78</v>
      </c>
      <c r="AH614" s="6" t="str">
        <f t="shared" ca="1" si="174"/>
        <v>20198</v>
      </c>
      <c r="AI614" s="6">
        <f t="shared" ca="1" si="175"/>
        <v>2019</v>
      </c>
      <c r="AJ614" s="6">
        <f t="shared" ca="1" si="176"/>
        <v>8</v>
      </c>
      <c r="AK614" s="68">
        <f ca="1">IFERROR(__xludf.DUMMYFUNCTION("""COMPUTED_VALUE"""),43706.9986111111)</f>
        <v>43706.998611111099</v>
      </c>
      <c r="AL614" s="6">
        <f ca="1">IFERROR(__xludf.DUMMYFUNCTION("""COMPUTED_VALUE"""),9468.333)</f>
        <v>9468.3330000000005</v>
      </c>
      <c r="AP614" s="6" t="str">
        <f t="shared" ca="1" si="177"/>
        <v>20206</v>
      </c>
      <c r="AQ614" s="6">
        <f t="shared" ca="1" si="178"/>
        <v>2020</v>
      </c>
      <c r="AR614" s="6">
        <f t="shared" ca="1" si="179"/>
        <v>6</v>
      </c>
      <c r="AS614" s="68">
        <f ca="1">IFERROR(__xludf.DUMMYFUNCTION("""COMPUTED_VALUE"""),43998.9986111111)</f>
        <v>43998.998611111099</v>
      </c>
      <c r="AT614" s="6">
        <f ca="1">IFERROR(__xludf.DUMMYFUNCTION("""COMPUTED_VALUE"""),1736.5)</f>
        <v>1736.5</v>
      </c>
    </row>
    <row r="615" spans="2:46" x14ac:dyDescent="0.35">
      <c r="B615" s="6" t="str">
        <f t="shared" ca="1" si="162"/>
        <v>20206</v>
      </c>
      <c r="C615" s="6">
        <f t="shared" ca="1" si="163"/>
        <v>2020</v>
      </c>
      <c r="D615" s="6">
        <f t="shared" ca="1" si="164"/>
        <v>6</v>
      </c>
      <c r="E615" s="68">
        <f ca="1">IFERROR(__xludf.DUMMYFUNCTION("""COMPUTED_VALUE"""),43990.6666666666)</f>
        <v>43990.666666666599</v>
      </c>
      <c r="F615" s="6">
        <f ca="1">IFERROR(__xludf.DUMMYFUNCTION("""COMPUTED_VALUE"""),3232.39)</f>
        <v>3232.39</v>
      </c>
      <c r="J615" s="6" t="str">
        <f t="shared" ca="1" si="165"/>
        <v>20206</v>
      </c>
      <c r="K615" s="6">
        <f t="shared" ca="1" si="166"/>
        <v>2020</v>
      </c>
      <c r="L615" s="6">
        <f t="shared" ca="1" si="167"/>
        <v>6</v>
      </c>
      <c r="M615" s="68">
        <f ca="1">IFERROR(__xludf.DUMMYFUNCTION("""COMPUTED_VALUE"""),43984.6666666666)</f>
        <v>43984.666666666599</v>
      </c>
      <c r="N615" s="6">
        <f ca="1">IFERROR(__xludf.DUMMYFUNCTION("""COMPUTED_VALUE"""),9608.38)</f>
        <v>9608.3799999999992</v>
      </c>
      <c r="R615" s="6" t="str">
        <f t="shared" ca="1" si="168"/>
        <v>20207</v>
      </c>
      <c r="S615" s="6">
        <f t="shared" ca="1" si="169"/>
        <v>2020</v>
      </c>
      <c r="T615" s="6">
        <f t="shared" ca="1" si="170"/>
        <v>7</v>
      </c>
      <c r="U615" s="68">
        <f ca="1">IFERROR(__xludf.DUMMYFUNCTION("""COMPUTED_VALUE"""),44015.6458333333)</f>
        <v>44015.645833333299</v>
      </c>
      <c r="V615" s="6">
        <f ca="1">IFERROR(__xludf.DUMMYFUNCTION("""COMPUTED_VALUE"""),2152.41)</f>
        <v>2152.41</v>
      </c>
      <c r="Z615" s="6" t="str">
        <f t="shared" ca="1" si="171"/>
        <v>201910</v>
      </c>
      <c r="AA615" s="6">
        <f t="shared" ca="1" si="172"/>
        <v>2019</v>
      </c>
      <c r="AB615" s="6">
        <f t="shared" ca="1" si="173"/>
        <v>10</v>
      </c>
      <c r="AC615" s="68">
        <f ca="1">IFERROR(__xludf.DUMMYFUNCTION("""COMPUTED_VALUE"""),43748.9986111111)</f>
        <v>43748.998611111099</v>
      </c>
      <c r="AD615" s="6">
        <f ca="1">IFERROR(__xludf.DUMMYFUNCTION("""COMPUTED_VALUE"""),1188.81)</f>
        <v>1188.81</v>
      </c>
      <c r="AH615" s="6" t="str">
        <f t="shared" ca="1" si="174"/>
        <v>20198</v>
      </c>
      <c r="AI615" s="6">
        <f t="shared" ca="1" si="175"/>
        <v>2019</v>
      </c>
      <c r="AJ615" s="6">
        <f t="shared" ca="1" si="176"/>
        <v>8</v>
      </c>
      <c r="AK615" s="68">
        <f ca="1">IFERROR(__xludf.DUMMYFUNCTION("""COMPUTED_VALUE"""),43707.9986111111)</f>
        <v>43707.998611111099</v>
      </c>
      <c r="AL615" s="6">
        <f ca="1">IFERROR(__xludf.DUMMYFUNCTION("""COMPUTED_VALUE"""),9585.251)</f>
        <v>9585.2510000000002</v>
      </c>
      <c r="AP615" s="6" t="str">
        <f t="shared" ca="1" si="177"/>
        <v>20206</v>
      </c>
      <c r="AQ615" s="6">
        <f t="shared" ca="1" si="178"/>
        <v>2020</v>
      </c>
      <c r="AR615" s="6">
        <f t="shared" ca="1" si="179"/>
        <v>6</v>
      </c>
      <c r="AS615" s="68">
        <f ca="1">IFERROR(__xludf.DUMMYFUNCTION("""COMPUTED_VALUE"""),43999.9986111111)</f>
        <v>43999.998611111099</v>
      </c>
      <c r="AT615" s="6">
        <f ca="1">IFERROR(__xludf.DUMMYFUNCTION("""COMPUTED_VALUE"""),1735.6)</f>
        <v>1735.6</v>
      </c>
    </row>
    <row r="616" spans="2:46" x14ac:dyDescent="0.35">
      <c r="B616" s="6" t="str">
        <f t="shared" ca="1" si="162"/>
        <v>20206</v>
      </c>
      <c r="C616" s="6">
        <f t="shared" ca="1" si="163"/>
        <v>2020</v>
      </c>
      <c r="D616" s="6">
        <f t="shared" ca="1" si="164"/>
        <v>6</v>
      </c>
      <c r="E616" s="68">
        <f ca="1">IFERROR(__xludf.DUMMYFUNCTION("""COMPUTED_VALUE"""),43991.6666666666)</f>
        <v>43991.666666666599</v>
      </c>
      <c r="F616" s="6">
        <f ca="1">IFERROR(__xludf.DUMMYFUNCTION("""COMPUTED_VALUE"""),3207.18)</f>
        <v>3207.18</v>
      </c>
      <c r="J616" s="6" t="str">
        <f t="shared" ca="1" si="165"/>
        <v>20206</v>
      </c>
      <c r="K616" s="6">
        <f t="shared" ca="1" si="166"/>
        <v>2020</v>
      </c>
      <c r="L616" s="6">
        <f t="shared" ca="1" si="167"/>
        <v>6</v>
      </c>
      <c r="M616" s="68">
        <f ca="1">IFERROR(__xludf.DUMMYFUNCTION("""COMPUTED_VALUE"""),43985.6666666666)</f>
        <v>43985.666666666599</v>
      </c>
      <c r="N616" s="6">
        <f ca="1">IFERROR(__xludf.DUMMYFUNCTION("""COMPUTED_VALUE"""),9682.91)</f>
        <v>9682.91</v>
      </c>
      <c r="R616" s="6" t="str">
        <f t="shared" ca="1" si="168"/>
        <v>20207</v>
      </c>
      <c r="S616" s="6">
        <f t="shared" ca="1" si="169"/>
        <v>2020</v>
      </c>
      <c r="T616" s="6">
        <f t="shared" ca="1" si="170"/>
        <v>7</v>
      </c>
      <c r="U616" s="68">
        <f ca="1">IFERROR(__xludf.DUMMYFUNCTION("""COMPUTED_VALUE"""),44018.6458333333)</f>
        <v>44018.645833333299</v>
      </c>
      <c r="V616" s="6">
        <f ca="1">IFERROR(__xludf.DUMMYFUNCTION("""COMPUTED_VALUE"""),2187.93)</f>
        <v>2187.9299999999998</v>
      </c>
      <c r="Z616" s="6" t="str">
        <f t="shared" ca="1" si="171"/>
        <v>201910</v>
      </c>
      <c r="AA616" s="6">
        <f t="shared" ca="1" si="172"/>
        <v>2019</v>
      </c>
      <c r="AB616" s="6">
        <f t="shared" ca="1" si="173"/>
        <v>10</v>
      </c>
      <c r="AC616" s="68">
        <f ca="1">IFERROR(__xludf.DUMMYFUNCTION("""COMPUTED_VALUE"""),43749.9986111111)</f>
        <v>43749.998611111099</v>
      </c>
      <c r="AD616" s="6">
        <f ca="1">IFERROR(__xludf.DUMMYFUNCTION("""COMPUTED_VALUE"""),1183.4)</f>
        <v>1183.4000000000001</v>
      </c>
      <c r="AH616" s="6" t="str">
        <f t="shared" ca="1" si="174"/>
        <v>20198</v>
      </c>
      <c r="AI616" s="6">
        <f t="shared" ca="1" si="175"/>
        <v>2019</v>
      </c>
      <c r="AJ616" s="6">
        <f t="shared" ca="1" si="176"/>
        <v>8</v>
      </c>
      <c r="AK616" s="68">
        <f ca="1">IFERROR(__xludf.DUMMYFUNCTION("""COMPUTED_VALUE"""),43708.9986111111)</f>
        <v>43708.998611111099</v>
      </c>
      <c r="AL616" s="6">
        <f ca="1">IFERROR(__xludf.DUMMYFUNCTION("""COMPUTED_VALUE"""),9619.062)</f>
        <v>9619.0619999999999</v>
      </c>
      <c r="AP616" s="6" t="str">
        <f t="shared" ca="1" si="177"/>
        <v>20206</v>
      </c>
      <c r="AQ616" s="6">
        <f t="shared" ca="1" si="178"/>
        <v>2020</v>
      </c>
      <c r="AR616" s="6">
        <f t="shared" ca="1" si="179"/>
        <v>6</v>
      </c>
      <c r="AS616" s="68">
        <f ca="1">IFERROR(__xludf.DUMMYFUNCTION("""COMPUTED_VALUE"""),44000.9986111111)</f>
        <v>44000.998611111099</v>
      </c>
      <c r="AT616" s="6">
        <f ca="1">IFERROR(__xludf.DUMMYFUNCTION("""COMPUTED_VALUE"""),1731.1)</f>
        <v>1731.1</v>
      </c>
    </row>
    <row r="617" spans="2:46" x14ac:dyDescent="0.35">
      <c r="B617" s="6" t="str">
        <f t="shared" ca="1" si="162"/>
        <v>20206</v>
      </c>
      <c r="C617" s="6">
        <f t="shared" ca="1" si="163"/>
        <v>2020</v>
      </c>
      <c r="D617" s="6">
        <f t="shared" ca="1" si="164"/>
        <v>6</v>
      </c>
      <c r="E617" s="68">
        <f ca="1">IFERROR(__xludf.DUMMYFUNCTION("""COMPUTED_VALUE"""),43992.6666666666)</f>
        <v>43992.666666666599</v>
      </c>
      <c r="F617" s="6">
        <f ca="1">IFERROR(__xludf.DUMMYFUNCTION("""COMPUTED_VALUE"""),3190.14)</f>
        <v>3190.14</v>
      </c>
      <c r="J617" s="6" t="str">
        <f t="shared" ca="1" si="165"/>
        <v>20206</v>
      </c>
      <c r="K617" s="6">
        <f t="shared" ca="1" si="166"/>
        <v>2020</v>
      </c>
      <c r="L617" s="6">
        <f t="shared" ca="1" si="167"/>
        <v>6</v>
      </c>
      <c r="M617" s="68">
        <f ca="1">IFERROR(__xludf.DUMMYFUNCTION("""COMPUTED_VALUE"""),43986.6666666666)</f>
        <v>43986.666666666599</v>
      </c>
      <c r="N617" s="6">
        <f ca="1">IFERROR(__xludf.DUMMYFUNCTION("""COMPUTED_VALUE"""),9615.81)</f>
        <v>9615.81</v>
      </c>
      <c r="R617" s="6" t="str">
        <f t="shared" ca="1" si="168"/>
        <v>20207</v>
      </c>
      <c r="S617" s="6">
        <f t="shared" ca="1" si="169"/>
        <v>2020</v>
      </c>
      <c r="T617" s="6">
        <f t="shared" ca="1" si="170"/>
        <v>7</v>
      </c>
      <c r="U617" s="68">
        <f ca="1">IFERROR(__xludf.DUMMYFUNCTION("""COMPUTED_VALUE"""),44019.6458333333)</f>
        <v>44019.645833333299</v>
      </c>
      <c r="V617" s="6">
        <f ca="1">IFERROR(__xludf.DUMMYFUNCTION("""COMPUTED_VALUE"""),2164.17)</f>
        <v>2164.17</v>
      </c>
      <c r="Z617" s="6" t="str">
        <f t="shared" ca="1" si="171"/>
        <v>201910</v>
      </c>
      <c r="AA617" s="6">
        <f t="shared" ca="1" si="172"/>
        <v>2019</v>
      </c>
      <c r="AB617" s="6">
        <f t="shared" ca="1" si="173"/>
        <v>10</v>
      </c>
      <c r="AC617" s="68">
        <f ca="1">IFERROR(__xludf.DUMMYFUNCTION("""COMPUTED_VALUE"""),43751.9986111111)</f>
        <v>43751.998611111099</v>
      </c>
      <c r="AD617" s="6">
        <f ca="1">IFERROR(__xludf.DUMMYFUNCTION("""COMPUTED_VALUE"""),1182.49)</f>
        <v>1182.49</v>
      </c>
      <c r="AH617" s="6" t="str">
        <f t="shared" ca="1" si="174"/>
        <v>20199</v>
      </c>
      <c r="AI617" s="6">
        <f t="shared" ca="1" si="175"/>
        <v>2019</v>
      </c>
      <c r="AJ617" s="6">
        <f t="shared" ca="1" si="176"/>
        <v>9</v>
      </c>
      <c r="AK617" s="68">
        <f ca="1">IFERROR(__xludf.DUMMYFUNCTION("""COMPUTED_VALUE"""),43709.9986111111)</f>
        <v>43709.998611111099</v>
      </c>
      <c r="AL617" s="6">
        <f ca="1">IFERROR(__xludf.DUMMYFUNCTION("""COMPUTED_VALUE"""),9776.468)</f>
        <v>9776.4680000000008</v>
      </c>
      <c r="AP617" s="6" t="str">
        <f t="shared" ca="1" si="177"/>
        <v>20206</v>
      </c>
      <c r="AQ617" s="6">
        <f t="shared" ca="1" si="178"/>
        <v>2020</v>
      </c>
      <c r="AR617" s="6">
        <f t="shared" ca="1" si="179"/>
        <v>6</v>
      </c>
      <c r="AS617" s="68">
        <f ca="1">IFERROR(__xludf.DUMMYFUNCTION("""COMPUTED_VALUE"""),44001.9986111111)</f>
        <v>44001.998611111099</v>
      </c>
      <c r="AT617" s="6">
        <f ca="1">IFERROR(__xludf.DUMMYFUNCTION("""COMPUTED_VALUE"""),1753)</f>
        <v>1753</v>
      </c>
    </row>
    <row r="618" spans="2:46" x14ac:dyDescent="0.35">
      <c r="B618" s="6" t="str">
        <f t="shared" ca="1" si="162"/>
        <v>20206</v>
      </c>
      <c r="C618" s="6">
        <f t="shared" ca="1" si="163"/>
        <v>2020</v>
      </c>
      <c r="D618" s="6">
        <f t="shared" ca="1" si="164"/>
        <v>6</v>
      </c>
      <c r="E618" s="68">
        <f ca="1">IFERROR(__xludf.DUMMYFUNCTION("""COMPUTED_VALUE"""),43993.6666666666)</f>
        <v>43993.666666666599</v>
      </c>
      <c r="F618" s="6">
        <f ca="1">IFERROR(__xludf.DUMMYFUNCTION("""COMPUTED_VALUE"""),3002.1)</f>
        <v>3002.1</v>
      </c>
      <c r="J618" s="6" t="str">
        <f t="shared" ca="1" si="165"/>
        <v>20206</v>
      </c>
      <c r="K618" s="6">
        <f t="shared" ca="1" si="166"/>
        <v>2020</v>
      </c>
      <c r="L618" s="6">
        <f t="shared" ca="1" si="167"/>
        <v>6</v>
      </c>
      <c r="M618" s="68">
        <f ca="1">IFERROR(__xludf.DUMMYFUNCTION("""COMPUTED_VALUE"""),43987.6666666666)</f>
        <v>43987.666666666599</v>
      </c>
      <c r="N618" s="6">
        <f ca="1">IFERROR(__xludf.DUMMYFUNCTION("""COMPUTED_VALUE"""),9814.08)</f>
        <v>9814.08</v>
      </c>
      <c r="R618" s="6" t="str">
        <f t="shared" ca="1" si="168"/>
        <v>20207</v>
      </c>
      <c r="S618" s="6">
        <f t="shared" ca="1" si="169"/>
        <v>2020</v>
      </c>
      <c r="T618" s="6">
        <f t="shared" ca="1" si="170"/>
        <v>7</v>
      </c>
      <c r="U618" s="68">
        <f ca="1">IFERROR(__xludf.DUMMYFUNCTION("""COMPUTED_VALUE"""),44020.6458333333)</f>
        <v>44020.645833333299</v>
      </c>
      <c r="V618" s="6">
        <f ca="1">IFERROR(__xludf.DUMMYFUNCTION("""COMPUTED_VALUE"""),2158.88)</f>
        <v>2158.88</v>
      </c>
      <c r="Z618" s="6" t="str">
        <f t="shared" ca="1" si="171"/>
        <v>201910</v>
      </c>
      <c r="AA618" s="6">
        <f t="shared" ca="1" si="172"/>
        <v>2019</v>
      </c>
      <c r="AB618" s="6">
        <f t="shared" ca="1" si="173"/>
        <v>10</v>
      </c>
      <c r="AC618" s="68">
        <f ca="1">IFERROR(__xludf.DUMMYFUNCTION("""COMPUTED_VALUE"""),43752.9986111111)</f>
        <v>43752.998611111099</v>
      </c>
      <c r="AD618" s="6">
        <f ca="1">IFERROR(__xludf.DUMMYFUNCTION("""COMPUTED_VALUE"""),1182.3)</f>
        <v>1182.3</v>
      </c>
      <c r="AH618" s="6" t="str">
        <f t="shared" ca="1" si="174"/>
        <v>20199</v>
      </c>
      <c r="AI618" s="6">
        <f t="shared" ca="1" si="175"/>
        <v>2019</v>
      </c>
      <c r="AJ618" s="6">
        <f t="shared" ca="1" si="176"/>
        <v>9</v>
      </c>
      <c r="AK618" s="68">
        <f ca="1">IFERROR(__xludf.DUMMYFUNCTION("""COMPUTED_VALUE"""),43710.9986111111)</f>
        <v>43710.998611111099</v>
      </c>
      <c r="AL618" s="6">
        <f ca="1">IFERROR(__xludf.DUMMYFUNCTION("""COMPUTED_VALUE"""),10358.08)</f>
        <v>10358.08</v>
      </c>
      <c r="AP618" s="6" t="str">
        <f t="shared" ca="1" si="177"/>
        <v>20206</v>
      </c>
      <c r="AQ618" s="6">
        <f t="shared" ca="1" si="178"/>
        <v>2020</v>
      </c>
      <c r="AR618" s="6">
        <f t="shared" ca="1" si="179"/>
        <v>6</v>
      </c>
      <c r="AS618" s="68">
        <f ca="1">IFERROR(__xludf.DUMMYFUNCTION("""COMPUTED_VALUE"""),44004.9986111111)</f>
        <v>44004.998611111099</v>
      </c>
      <c r="AT618" s="6">
        <f ca="1">IFERROR(__xludf.DUMMYFUNCTION("""COMPUTED_VALUE"""),1766.4)</f>
        <v>1766.4</v>
      </c>
    </row>
    <row r="619" spans="2:46" x14ac:dyDescent="0.35">
      <c r="B619" s="6" t="str">
        <f t="shared" ca="1" si="162"/>
        <v>20206</v>
      </c>
      <c r="C619" s="6">
        <f t="shared" ca="1" si="163"/>
        <v>2020</v>
      </c>
      <c r="D619" s="6">
        <f t="shared" ca="1" si="164"/>
        <v>6</v>
      </c>
      <c r="E619" s="68">
        <f ca="1">IFERROR(__xludf.DUMMYFUNCTION("""COMPUTED_VALUE"""),43994.6666666666)</f>
        <v>43994.666666666599</v>
      </c>
      <c r="F619" s="6">
        <f ca="1">IFERROR(__xludf.DUMMYFUNCTION("""COMPUTED_VALUE"""),3041.31)</f>
        <v>3041.31</v>
      </c>
      <c r="J619" s="6" t="str">
        <f t="shared" ca="1" si="165"/>
        <v>20206</v>
      </c>
      <c r="K619" s="6">
        <f t="shared" ca="1" si="166"/>
        <v>2020</v>
      </c>
      <c r="L619" s="6">
        <f t="shared" ca="1" si="167"/>
        <v>6</v>
      </c>
      <c r="M619" s="68">
        <f ca="1">IFERROR(__xludf.DUMMYFUNCTION("""COMPUTED_VALUE"""),43990.6666666666)</f>
        <v>43990.666666666599</v>
      </c>
      <c r="N619" s="6">
        <f ca="1">IFERROR(__xludf.DUMMYFUNCTION("""COMPUTED_VALUE"""),9924.75)</f>
        <v>9924.75</v>
      </c>
      <c r="R619" s="6" t="str">
        <f t="shared" ca="1" si="168"/>
        <v>20207</v>
      </c>
      <c r="S619" s="6">
        <f t="shared" ca="1" si="169"/>
        <v>2020</v>
      </c>
      <c r="T619" s="6">
        <f t="shared" ca="1" si="170"/>
        <v>7</v>
      </c>
      <c r="U619" s="68">
        <f ca="1">IFERROR(__xludf.DUMMYFUNCTION("""COMPUTED_VALUE"""),44021.6458333333)</f>
        <v>44021.645833333299</v>
      </c>
      <c r="V619" s="6">
        <f ca="1">IFERROR(__xludf.DUMMYFUNCTION("""COMPUTED_VALUE"""),2167.9)</f>
        <v>2167.9</v>
      </c>
      <c r="Z619" s="6" t="str">
        <f t="shared" ca="1" si="171"/>
        <v>201910</v>
      </c>
      <c r="AA619" s="6">
        <f t="shared" ca="1" si="172"/>
        <v>2019</v>
      </c>
      <c r="AB619" s="6">
        <f t="shared" ca="1" si="173"/>
        <v>10</v>
      </c>
      <c r="AC619" s="68">
        <f ca="1">IFERROR(__xludf.DUMMYFUNCTION("""COMPUTED_VALUE"""),43753.9986111111)</f>
        <v>43753.998611111099</v>
      </c>
      <c r="AD619" s="6">
        <f ca="1">IFERROR(__xludf.DUMMYFUNCTION("""COMPUTED_VALUE"""),1183.93)</f>
        <v>1183.93</v>
      </c>
      <c r="AH619" s="6" t="str">
        <f t="shared" ca="1" si="174"/>
        <v>20199</v>
      </c>
      <c r="AI619" s="6">
        <f t="shared" ca="1" si="175"/>
        <v>2019</v>
      </c>
      <c r="AJ619" s="6">
        <f t="shared" ca="1" si="176"/>
        <v>9</v>
      </c>
      <c r="AK619" s="68">
        <f ca="1">IFERROR(__xludf.DUMMYFUNCTION("""COMPUTED_VALUE"""),43711.9986111111)</f>
        <v>43711.998611111099</v>
      </c>
      <c r="AL619" s="6">
        <f ca="1">IFERROR(__xludf.DUMMYFUNCTION("""COMPUTED_VALUE"""),10615.84)</f>
        <v>10615.84</v>
      </c>
      <c r="AP619" s="6" t="str">
        <f t="shared" ca="1" si="177"/>
        <v>20206</v>
      </c>
      <c r="AQ619" s="6">
        <f t="shared" ca="1" si="178"/>
        <v>2020</v>
      </c>
      <c r="AR619" s="6">
        <f t="shared" ca="1" si="179"/>
        <v>6</v>
      </c>
      <c r="AS619" s="68">
        <f ca="1">IFERROR(__xludf.DUMMYFUNCTION("""COMPUTED_VALUE"""),44005.9986111111)</f>
        <v>44005.998611111099</v>
      </c>
      <c r="AT619" s="6">
        <f ca="1">IFERROR(__xludf.DUMMYFUNCTION("""COMPUTED_VALUE"""),1782)</f>
        <v>1782</v>
      </c>
    </row>
    <row r="620" spans="2:46" x14ac:dyDescent="0.35">
      <c r="B620" s="6" t="str">
        <f t="shared" ca="1" si="162"/>
        <v>20206</v>
      </c>
      <c r="C620" s="6">
        <f t="shared" ca="1" si="163"/>
        <v>2020</v>
      </c>
      <c r="D620" s="6">
        <f t="shared" ca="1" si="164"/>
        <v>6</v>
      </c>
      <c r="E620" s="68">
        <f ca="1">IFERROR(__xludf.DUMMYFUNCTION("""COMPUTED_VALUE"""),43997.6666666666)</f>
        <v>43997.666666666599</v>
      </c>
      <c r="F620" s="6">
        <f ca="1">IFERROR(__xludf.DUMMYFUNCTION("""COMPUTED_VALUE"""),3066.59)</f>
        <v>3066.59</v>
      </c>
      <c r="J620" s="6" t="str">
        <f t="shared" ca="1" si="165"/>
        <v>20206</v>
      </c>
      <c r="K620" s="6">
        <f t="shared" ca="1" si="166"/>
        <v>2020</v>
      </c>
      <c r="L620" s="6">
        <f t="shared" ca="1" si="167"/>
        <v>6</v>
      </c>
      <c r="M620" s="68">
        <f ca="1">IFERROR(__xludf.DUMMYFUNCTION("""COMPUTED_VALUE"""),43991.6666666666)</f>
        <v>43991.666666666599</v>
      </c>
      <c r="N620" s="6">
        <f ca="1">IFERROR(__xludf.DUMMYFUNCTION("""COMPUTED_VALUE"""),9953.75)</f>
        <v>9953.75</v>
      </c>
      <c r="R620" s="6" t="str">
        <f t="shared" ca="1" si="168"/>
        <v>20207</v>
      </c>
      <c r="S620" s="6">
        <f t="shared" ca="1" si="169"/>
        <v>2020</v>
      </c>
      <c r="T620" s="6">
        <f t="shared" ca="1" si="170"/>
        <v>7</v>
      </c>
      <c r="U620" s="68">
        <f ca="1">IFERROR(__xludf.DUMMYFUNCTION("""COMPUTED_VALUE"""),44022.6458333333)</f>
        <v>44022.645833333299</v>
      </c>
      <c r="V620" s="6">
        <f ca="1">IFERROR(__xludf.DUMMYFUNCTION("""COMPUTED_VALUE"""),2150.25)</f>
        <v>2150.25</v>
      </c>
      <c r="Z620" s="6" t="str">
        <f t="shared" ca="1" si="171"/>
        <v>201910</v>
      </c>
      <c r="AA620" s="6">
        <f t="shared" ca="1" si="172"/>
        <v>2019</v>
      </c>
      <c r="AB620" s="6">
        <f t="shared" ca="1" si="173"/>
        <v>10</v>
      </c>
      <c r="AC620" s="68">
        <f ca="1">IFERROR(__xludf.DUMMYFUNCTION("""COMPUTED_VALUE"""),43754.9986111111)</f>
        <v>43754.998611111099</v>
      </c>
      <c r="AD620" s="6">
        <f ca="1">IFERROR(__xludf.DUMMYFUNCTION("""COMPUTED_VALUE"""),1184.83)</f>
        <v>1184.83</v>
      </c>
      <c r="AH620" s="6" t="str">
        <f t="shared" ca="1" si="174"/>
        <v>20199</v>
      </c>
      <c r="AI620" s="6">
        <f t="shared" ca="1" si="175"/>
        <v>2019</v>
      </c>
      <c r="AJ620" s="6">
        <f t="shared" ca="1" si="176"/>
        <v>9</v>
      </c>
      <c r="AK620" s="68">
        <f ca="1">IFERROR(__xludf.DUMMYFUNCTION("""COMPUTED_VALUE"""),43712.9986111111)</f>
        <v>43712.998611111099</v>
      </c>
      <c r="AL620" s="6">
        <f ca="1">IFERROR(__xludf.DUMMYFUNCTION("""COMPUTED_VALUE"""),10571.67)</f>
        <v>10571.67</v>
      </c>
      <c r="AP620" s="6" t="str">
        <f t="shared" ca="1" si="177"/>
        <v>20206</v>
      </c>
      <c r="AQ620" s="6">
        <f t="shared" ca="1" si="178"/>
        <v>2020</v>
      </c>
      <c r="AR620" s="6">
        <f t="shared" ca="1" si="179"/>
        <v>6</v>
      </c>
      <c r="AS620" s="68">
        <f ca="1">IFERROR(__xludf.DUMMYFUNCTION("""COMPUTED_VALUE"""),44006.9986111111)</f>
        <v>44006.998611111099</v>
      </c>
      <c r="AT620" s="6">
        <f ca="1">IFERROR(__xludf.DUMMYFUNCTION("""COMPUTED_VALUE"""),1775.1)</f>
        <v>1775.1</v>
      </c>
    </row>
    <row r="621" spans="2:46" x14ac:dyDescent="0.35">
      <c r="B621" s="6" t="str">
        <f t="shared" ca="1" si="162"/>
        <v>20206</v>
      </c>
      <c r="C621" s="6">
        <f t="shared" ca="1" si="163"/>
        <v>2020</v>
      </c>
      <c r="D621" s="6">
        <f t="shared" ca="1" si="164"/>
        <v>6</v>
      </c>
      <c r="E621" s="68">
        <f ca="1">IFERROR(__xludf.DUMMYFUNCTION("""COMPUTED_VALUE"""),43998.6666666666)</f>
        <v>43998.666666666599</v>
      </c>
      <c r="F621" s="6">
        <f ca="1">IFERROR(__xludf.DUMMYFUNCTION("""COMPUTED_VALUE"""),3124.74)</f>
        <v>3124.74</v>
      </c>
      <c r="J621" s="6" t="str">
        <f t="shared" ca="1" si="165"/>
        <v>20206</v>
      </c>
      <c r="K621" s="6">
        <f t="shared" ca="1" si="166"/>
        <v>2020</v>
      </c>
      <c r="L621" s="6">
        <f t="shared" ca="1" si="167"/>
        <v>6</v>
      </c>
      <c r="M621" s="68">
        <f ca="1">IFERROR(__xludf.DUMMYFUNCTION("""COMPUTED_VALUE"""),43992.6666666666)</f>
        <v>43992.666666666599</v>
      </c>
      <c r="N621" s="6">
        <f ca="1">IFERROR(__xludf.DUMMYFUNCTION("""COMPUTED_VALUE"""),10020.35)</f>
        <v>10020.35</v>
      </c>
      <c r="R621" s="6" t="str">
        <f t="shared" ca="1" si="168"/>
        <v>20207</v>
      </c>
      <c r="S621" s="6">
        <f t="shared" ca="1" si="169"/>
        <v>2020</v>
      </c>
      <c r="T621" s="6">
        <f t="shared" ca="1" si="170"/>
        <v>7</v>
      </c>
      <c r="U621" s="68">
        <f ca="1">IFERROR(__xludf.DUMMYFUNCTION("""COMPUTED_VALUE"""),44025.6458333333)</f>
        <v>44025.645833333299</v>
      </c>
      <c r="V621" s="6">
        <f ca="1">IFERROR(__xludf.DUMMYFUNCTION("""COMPUTED_VALUE"""),2186.06)</f>
        <v>2186.06</v>
      </c>
      <c r="Z621" s="6" t="str">
        <f t="shared" ca="1" si="171"/>
        <v>201910</v>
      </c>
      <c r="AA621" s="6">
        <f t="shared" ca="1" si="172"/>
        <v>2019</v>
      </c>
      <c r="AB621" s="6">
        <f t="shared" ca="1" si="173"/>
        <v>10</v>
      </c>
      <c r="AC621" s="68">
        <f ca="1">IFERROR(__xludf.DUMMYFUNCTION("""COMPUTED_VALUE"""),43755.9986111111)</f>
        <v>43755.998611111099</v>
      </c>
      <c r="AD621" s="6">
        <f ca="1">IFERROR(__xludf.DUMMYFUNCTION("""COMPUTED_VALUE"""),1177.27)</f>
        <v>1177.27</v>
      </c>
      <c r="AH621" s="6" t="str">
        <f t="shared" ca="1" si="174"/>
        <v>20199</v>
      </c>
      <c r="AI621" s="6">
        <f t="shared" ca="1" si="175"/>
        <v>2019</v>
      </c>
      <c r="AJ621" s="6">
        <f t="shared" ca="1" si="176"/>
        <v>9</v>
      </c>
      <c r="AK621" s="68">
        <f ca="1">IFERROR(__xludf.DUMMYFUNCTION("""COMPUTED_VALUE"""),43713.9986111111)</f>
        <v>43713.998611111099</v>
      </c>
      <c r="AL621" s="6">
        <f ca="1">IFERROR(__xludf.DUMMYFUNCTION("""COMPUTED_VALUE"""),10583.4)</f>
        <v>10583.4</v>
      </c>
      <c r="AP621" s="6" t="str">
        <f t="shared" ca="1" si="177"/>
        <v>20206</v>
      </c>
      <c r="AQ621" s="6">
        <f t="shared" ca="1" si="178"/>
        <v>2020</v>
      </c>
      <c r="AR621" s="6">
        <f t="shared" ca="1" si="179"/>
        <v>6</v>
      </c>
      <c r="AS621" s="68">
        <f ca="1">IFERROR(__xludf.DUMMYFUNCTION("""COMPUTED_VALUE"""),44007.9986111111)</f>
        <v>44007.998611111099</v>
      </c>
      <c r="AT621" s="6">
        <f ca="1">IFERROR(__xludf.DUMMYFUNCTION("""COMPUTED_VALUE"""),1770.6)</f>
        <v>1770.6</v>
      </c>
    </row>
    <row r="622" spans="2:46" x14ac:dyDescent="0.35">
      <c r="B622" s="6" t="str">
        <f t="shared" ca="1" si="162"/>
        <v>20206</v>
      </c>
      <c r="C622" s="6">
        <f t="shared" ca="1" si="163"/>
        <v>2020</v>
      </c>
      <c r="D622" s="6">
        <f t="shared" ca="1" si="164"/>
        <v>6</v>
      </c>
      <c r="E622" s="68">
        <f ca="1">IFERROR(__xludf.DUMMYFUNCTION("""COMPUTED_VALUE"""),43999.6666666666)</f>
        <v>43999.666666666599</v>
      </c>
      <c r="F622" s="6">
        <f ca="1">IFERROR(__xludf.DUMMYFUNCTION("""COMPUTED_VALUE"""),3113.49)</f>
        <v>3113.49</v>
      </c>
      <c r="J622" s="6" t="str">
        <f t="shared" ca="1" si="165"/>
        <v>20206</v>
      </c>
      <c r="K622" s="6">
        <f t="shared" ca="1" si="166"/>
        <v>2020</v>
      </c>
      <c r="L622" s="6">
        <f t="shared" ca="1" si="167"/>
        <v>6</v>
      </c>
      <c r="M622" s="68">
        <f ca="1">IFERROR(__xludf.DUMMYFUNCTION("""COMPUTED_VALUE"""),43993.6666666666)</f>
        <v>43993.666666666599</v>
      </c>
      <c r="N622" s="6">
        <f ca="1">IFERROR(__xludf.DUMMYFUNCTION("""COMPUTED_VALUE"""),9492.73)</f>
        <v>9492.73</v>
      </c>
      <c r="R622" s="6" t="str">
        <f t="shared" ca="1" si="168"/>
        <v>20207</v>
      </c>
      <c r="S622" s="6">
        <f t="shared" ca="1" si="169"/>
        <v>2020</v>
      </c>
      <c r="T622" s="6">
        <f t="shared" ca="1" si="170"/>
        <v>7</v>
      </c>
      <c r="U622" s="68">
        <f ca="1">IFERROR(__xludf.DUMMYFUNCTION("""COMPUTED_VALUE"""),44026.6458333333)</f>
        <v>44026.645833333299</v>
      </c>
      <c r="V622" s="6">
        <f ca="1">IFERROR(__xludf.DUMMYFUNCTION("""COMPUTED_VALUE"""),2183.61)</f>
        <v>2183.61</v>
      </c>
      <c r="Z622" s="6" t="str">
        <f t="shared" ca="1" si="171"/>
        <v>201910</v>
      </c>
      <c r="AA622" s="6">
        <f t="shared" ca="1" si="172"/>
        <v>2019</v>
      </c>
      <c r="AB622" s="6">
        <f t="shared" ca="1" si="173"/>
        <v>10</v>
      </c>
      <c r="AC622" s="68">
        <f ca="1">IFERROR(__xludf.DUMMYFUNCTION("""COMPUTED_VALUE"""),43756.9986111111)</f>
        <v>43756.998611111099</v>
      </c>
      <c r="AD622" s="6">
        <f ca="1">IFERROR(__xludf.DUMMYFUNCTION("""COMPUTED_VALUE"""),1178.8)</f>
        <v>1178.8</v>
      </c>
      <c r="AH622" s="6" t="str">
        <f t="shared" ca="1" si="174"/>
        <v>20199</v>
      </c>
      <c r="AI622" s="6">
        <f t="shared" ca="1" si="175"/>
        <v>2019</v>
      </c>
      <c r="AJ622" s="6">
        <f t="shared" ca="1" si="176"/>
        <v>9</v>
      </c>
      <c r="AK622" s="68">
        <f ca="1">IFERROR(__xludf.DUMMYFUNCTION("""COMPUTED_VALUE"""),43714.9986111111)</f>
        <v>43714.998611111099</v>
      </c>
      <c r="AL622" s="6">
        <f ca="1">IFERROR(__xludf.DUMMYFUNCTION("""COMPUTED_VALUE"""),10310.99)</f>
        <v>10310.99</v>
      </c>
      <c r="AP622" s="6" t="str">
        <f t="shared" ca="1" si="177"/>
        <v>20206</v>
      </c>
      <c r="AQ622" s="6">
        <f t="shared" ca="1" si="178"/>
        <v>2020</v>
      </c>
      <c r="AR622" s="6">
        <f t="shared" ca="1" si="179"/>
        <v>6</v>
      </c>
      <c r="AS622" s="68">
        <f ca="1">IFERROR(__xludf.DUMMYFUNCTION("""COMPUTED_VALUE"""),44008.9986111111)</f>
        <v>44008.998611111099</v>
      </c>
      <c r="AT622" s="6">
        <f ca="1">IFERROR(__xludf.DUMMYFUNCTION("""COMPUTED_VALUE"""),1780.3)</f>
        <v>1780.3</v>
      </c>
    </row>
    <row r="623" spans="2:46" x14ac:dyDescent="0.35">
      <c r="B623" s="6" t="str">
        <f t="shared" ca="1" si="162"/>
        <v>20206</v>
      </c>
      <c r="C623" s="6">
        <f t="shared" ca="1" si="163"/>
        <v>2020</v>
      </c>
      <c r="D623" s="6">
        <f t="shared" ca="1" si="164"/>
        <v>6</v>
      </c>
      <c r="E623" s="68">
        <f ca="1">IFERROR(__xludf.DUMMYFUNCTION("""COMPUTED_VALUE"""),44000.6666666666)</f>
        <v>44000.666666666599</v>
      </c>
      <c r="F623" s="6">
        <f ca="1">IFERROR(__xludf.DUMMYFUNCTION("""COMPUTED_VALUE"""),3115.34)</f>
        <v>3115.34</v>
      </c>
      <c r="J623" s="6" t="str">
        <f t="shared" ca="1" si="165"/>
        <v>20206</v>
      </c>
      <c r="K623" s="6">
        <f t="shared" ca="1" si="166"/>
        <v>2020</v>
      </c>
      <c r="L623" s="6">
        <f t="shared" ca="1" si="167"/>
        <v>6</v>
      </c>
      <c r="M623" s="68">
        <f ca="1">IFERROR(__xludf.DUMMYFUNCTION("""COMPUTED_VALUE"""),43994.6666666666)</f>
        <v>43994.666666666599</v>
      </c>
      <c r="N623" s="6">
        <f ca="1">IFERROR(__xludf.DUMMYFUNCTION("""COMPUTED_VALUE"""),9588.81)</f>
        <v>9588.81</v>
      </c>
      <c r="R623" s="6" t="str">
        <f t="shared" ca="1" si="168"/>
        <v>20207</v>
      </c>
      <c r="S623" s="6">
        <f t="shared" ca="1" si="169"/>
        <v>2020</v>
      </c>
      <c r="T623" s="6">
        <f t="shared" ca="1" si="170"/>
        <v>7</v>
      </c>
      <c r="U623" s="68">
        <f ca="1">IFERROR(__xludf.DUMMYFUNCTION("""COMPUTED_VALUE"""),44027.6458333333)</f>
        <v>44027.645833333299</v>
      </c>
      <c r="V623" s="6">
        <f ca="1">IFERROR(__xludf.DUMMYFUNCTION("""COMPUTED_VALUE"""),2201.88)</f>
        <v>2201.88</v>
      </c>
      <c r="Z623" s="6" t="str">
        <f t="shared" ca="1" si="171"/>
        <v>201910</v>
      </c>
      <c r="AA623" s="6">
        <f t="shared" ca="1" si="172"/>
        <v>2019</v>
      </c>
      <c r="AB623" s="6">
        <f t="shared" ca="1" si="173"/>
        <v>10</v>
      </c>
      <c r="AC623" s="68">
        <f ca="1">IFERROR(__xludf.DUMMYFUNCTION("""COMPUTED_VALUE"""),43758.9986111111)</f>
        <v>43758.998611111099</v>
      </c>
      <c r="AD623" s="6">
        <f ca="1">IFERROR(__xludf.DUMMYFUNCTION("""COMPUTED_VALUE"""),1178.08)</f>
        <v>1178.08</v>
      </c>
      <c r="AH623" s="6" t="str">
        <f t="shared" ca="1" si="174"/>
        <v>20199</v>
      </c>
      <c r="AI623" s="6">
        <f t="shared" ca="1" si="175"/>
        <v>2019</v>
      </c>
      <c r="AJ623" s="6">
        <f t="shared" ca="1" si="176"/>
        <v>9</v>
      </c>
      <c r="AK623" s="68">
        <f ca="1">IFERROR(__xludf.DUMMYFUNCTION("""COMPUTED_VALUE"""),43715.9986111111)</f>
        <v>43715.998611111099</v>
      </c>
      <c r="AL623" s="6">
        <f ca="1">IFERROR(__xludf.DUMMYFUNCTION("""COMPUTED_VALUE"""),10480.91)</f>
        <v>10480.91</v>
      </c>
      <c r="AP623" s="6" t="str">
        <f t="shared" ca="1" si="177"/>
        <v>20206</v>
      </c>
      <c r="AQ623" s="6">
        <f t="shared" ca="1" si="178"/>
        <v>2020</v>
      </c>
      <c r="AR623" s="6">
        <f t="shared" ca="1" si="179"/>
        <v>6</v>
      </c>
      <c r="AS623" s="68">
        <f ca="1">IFERROR(__xludf.DUMMYFUNCTION("""COMPUTED_VALUE"""),44011.9986111111)</f>
        <v>44011.998611111099</v>
      </c>
      <c r="AT623" s="6">
        <f ca="1">IFERROR(__xludf.DUMMYFUNCTION("""COMPUTED_VALUE"""),1781.2)</f>
        <v>1781.2</v>
      </c>
    </row>
    <row r="624" spans="2:46" x14ac:dyDescent="0.35">
      <c r="B624" s="6" t="str">
        <f t="shared" ca="1" si="162"/>
        <v>20206</v>
      </c>
      <c r="C624" s="6">
        <f t="shared" ca="1" si="163"/>
        <v>2020</v>
      </c>
      <c r="D624" s="6">
        <f t="shared" ca="1" si="164"/>
        <v>6</v>
      </c>
      <c r="E624" s="68">
        <f ca="1">IFERROR(__xludf.DUMMYFUNCTION("""COMPUTED_VALUE"""),44001.6666666666)</f>
        <v>44001.666666666599</v>
      </c>
      <c r="F624" s="6">
        <f ca="1">IFERROR(__xludf.DUMMYFUNCTION("""COMPUTED_VALUE"""),3097.74)</f>
        <v>3097.74</v>
      </c>
      <c r="J624" s="6" t="str">
        <f t="shared" ca="1" si="165"/>
        <v>20206</v>
      </c>
      <c r="K624" s="6">
        <f t="shared" ca="1" si="166"/>
        <v>2020</v>
      </c>
      <c r="L624" s="6">
        <f t="shared" ca="1" si="167"/>
        <v>6</v>
      </c>
      <c r="M624" s="68">
        <f ca="1">IFERROR(__xludf.DUMMYFUNCTION("""COMPUTED_VALUE"""),43997.6666666666)</f>
        <v>43997.666666666599</v>
      </c>
      <c r="N624" s="6">
        <f ca="1">IFERROR(__xludf.DUMMYFUNCTION("""COMPUTED_VALUE"""),9726.02)</f>
        <v>9726.02</v>
      </c>
      <c r="R624" s="6" t="str">
        <f t="shared" ca="1" si="168"/>
        <v>20207</v>
      </c>
      <c r="S624" s="6">
        <f t="shared" ca="1" si="169"/>
        <v>2020</v>
      </c>
      <c r="T624" s="6">
        <f t="shared" ca="1" si="170"/>
        <v>7</v>
      </c>
      <c r="U624" s="68">
        <f ca="1">IFERROR(__xludf.DUMMYFUNCTION("""COMPUTED_VALUE"""),44028.6458333333)</f>
        <v>44028.645833333299</v>
      </c>
      <c r="V624" s="6">
        <f ca="1">IFERROR(__xludf.DUMMYFUNCTION("""COMPUTED_VALUE"""),2183.76)</f>
        <v>2183.7600000000002</v>
      </c>
      <c r="Z624" s="6" t="str">
        <f t="shared" ca="1" si="171"/>
        <v>201910</v>
      </c>
      <c r="AA624" s="6">
        <f t="shared" ca="1" si="172"/>
        <v>2019</v>
      </c>
      <c r="AB624" s="6">
        <f t="shared" ca="1" si="173"/>
        <v>10</v>
      </c>
      <c r="AC624" s="68">
        <f ca="1">IFERROR(__xludf.DUMMYFUNCTION("""COMPUTED_VALUE"""),43759.9986111111)</f>
        <v>43759.998611111099</v>
      </c>
      <c r="AD624" s="6">
        <f ca="1">IFERROR(__xludf.DUMMYFUNCTION("""COMPUTED_VALUE"""),1171.4)</f>
        <v>1171.4000000000001</v>
      </c>
      <c r="AH624" s="6" t="str">
        <f t="shared" ca="1" si="174"/>
        <v>20199</v>
      </c>
      <c r="AI624" s="6">
        <f t="shared" ca="1" si="175"/>
        <v>2019</v>
      </c>
      <c r="AJ624" s="6">
        <f t="shared" ca="1" si="176"/>
        <v>9</v>
      </c>
      <c r="AK624" s="68">
        <f ca="1">IFERROR(__xludf.DUMMYFUNCTION("""COMPUTED_VALUE"""),43716.9986111111)</f>
        <v>43716.998611111099</v>
      </c>
      <c r="AL624" s="6">
        <f ca="1">IFERROR(__xludf.DUMMYFUNCTION("""COMPUTED_VALUE"""),10422.59)</f>
        <v>10422.59</v>
      </c>
      <c r="AP624" s="6" t="str">
        <f t="shared" ca="1" si="177"/>
        <v>20206</v>
      </c>
      <c r="AQ624" s="6">
        <f t="shared" ca="1" si="178"/>
        <v>2020</v>
      </c>
      <c r="AR624" s="6">
        <f t="shared" ca="1" si="179"/>
        <v>6</v>
      </c>
      <c r="AS624" s="68">
        <f ca="1">IFERROR(__xludf.DUMMYFUNCTION("""COMPUTED_VALUE"""),44012.9986111111)</f>
        <v>44012.998611111099</v>
      </c>
      <c r="AT624" s="6">
        <f ca="1">IFERROR(__xludf.DUMMYFUNCTION("""COMPUTED_VALUE"""),1800.5)</f>
        <v>1800.5</v>
      </c>
    </row>
    <row r="625" spans="2:46" x14ac:dyDescent="0.35">
      <c r="B625" s="6" t="str">
        <f t="shared" ca="1" si="162"/>
        <v>20206</v>
      </c>
      <c r="C625" s="6">
        <f t="shared" ca="1" si="163"/>
        <v>2020</v>
      </c>
      <c r="D625" s="6">
        <f t="shared" ca="1" si="164"/>
        <v>6</v>
      </c>
      <c r="E625" s="68">
        <f ca="1">IFERROR(__xludf.DUMMYFUNCTION("""COMPUTED_VALUE"""),44004.6666666666)</f>
        <v>44004.666666666599</v>
      </c>
      <c r="F625" s="6">
        <f ca="1">IFERROR(__xludf.DUMMYFUNCTION("""COMPUTED_VALUE"""),3117.86)</f>
        <v>3117.86</v>
      </c>
      <c r="J625" s="6" t="str">
        <f t="shared" ca="1" si="165"/>
        <v>20206</v>
      </c>
      <c r="K625" s="6">
        <f t="shared" ca="1" si="166"/>
        <v>2020</v>
      </c>
      <c r="L625" s="6">
        <f t="shared" ca="1" si="167"/>
        <v>6</v>
      </c>
      <c r="M625" s="68">
        <f ca="1">IFERROR(__xludf.DUMMYFUNCTION("""COMPUTED_VALUE"""),43998.6666666666)</f>
        <v>43998.666666666599</v>
      </c>
      <c r="N625" s="6">
        <f ca="1">IFERROR(__xludf.DUMMYFUNCTION("""COMPUTED_VALUE"""),9895.87)</f>
        <v>9895.8700000000008</v>
      </c>
      <c r="R625" s="6" t="str">
        <f t="shared" ca="1" si="168"/>
        <v>20207</v>
      </c>
      <c r="S625" s="6">
        <f t="shared" ca="1" si="169"/>
        <v>2020</v>
      </c>
      <c r="T625" s="6">
        <f t="shared" ca="1" si="170"/>
        <v>7</v>
      </c>
      <c r="U625" s="68">
        <f ca="1">IFERROR(__xludf.DUMMYFUNCTION("""COMPUTED_VALUE"""),44029.6458333333)</f>
        <v>44029.645833333299</v>
      </c>
      <c r="V625" s="6">
        <f ca="1">IFERROR(__xludf.DUMMYFUNCTION("""COMPUTED_VALUE"""),2201.19)</f>
        <v>2201.19</v>
      </c>
      <c r="Z625" s="6" t="str">
        <f t="shared" ca="1" si="171"/>
        <v>201910</v>
      </c>
      <c r="AA625" s="6">
        <f t="shared" ca="1" si="172"/>
        <v>2019</v>
      </c>
      <c r="AB625" s="6">
        <f t="shared" ca="1" si="173"/>
        <v>10</v>
      </c>
      <c r="AC625" s="68">
        <f ca="1">IFERROR(__xludf.DUMMYFUNCTION("""COMPUTED_VALUE"""),43760.9986111111)</f>
        <v>43760.998611111099</v>
      </c>
      <c r="AD625" s="6">
        <f ca="1">IFERROR(__xludf.DUMMYFUNCTION("""COMPUTED_VALUE"""),1171.26)</f>
        <v>1171.26</v>
      </c>
      <c r="AH625" s="6" t="str">
        <f t="shared" ca="1" si="174"/>
        <v>20199</v>
      </c>
      <c r="AI625" s="6">
        <f t="shared" ca="1" si="175"/>
        <v>2019</v>
      </c>
      <c r="AJ625" s="6">
        <f t="shared" ca="1" si="176"/>
        <v>9</v>
      </c>
      <c r="AK625" s="68">
        <f ca="1">IFERROR(__xludf.DUMMYFUNCTION("""COMPUTED_VALUE"""),43717.9986111111)</f>
        <v>43717.998611111099</v>
      </c>
      <c r="AL625" s="6">
        <f ca="1">IFERROR(__xludf.DUMMYFUNCTION("""COMPUTED_VALUE"""),10302.1)</f>
        <v>10302.1</v>
      </c>
      <c r="AP625" s="6" t="str">
        <f t="shared" ca="1" si="177"/>
        <v>20207</v>
      </c>
      <c r="AQ625" s="6">
        <f t="shared" ca="1" si="178"/>
        <v>2020</v>
      </c>
      <c r="AR625" s="6">
        <f t="shared" ca="1" si="179"/>
        <v>7</v>
      </c>
      <c r="AS625" s="68">
        <f ca="1">IFERROR(__xludf.DUMMYFUNCTION("""COMPUTED_VALUE"""),44013.9986111111)</f>
        <v>44013.998611111099</v>
      </c>
      <c r="AT625" s="6">
        <f ca="1">IFERROR(__xludf.DUMMYFUNCTION("""COMPUTED_VALUE"""),1779.9)</f>
        <v>1779.9</v>
      </c>
    </row>
    <row r="626" spans="2:46" x14ac:dyDescent="0.35">
      <c r="B626" s="6" t="str">
        <f t="shared" ca="1" si="162"/>
        <v>20206</v>
      </c>
      <c r="C626" s="6">
        <f t="shared" ca="1" si="163"/>
        <v>2020</v>
      </c>
      <c r="D626" s="6">
        <f t="shared" ca="1" si="164"/>
        <v>6</v>
      </c>
      <c r="E626" s="68">
        <f ca="1">IFERROR(__xludf.DUMMYFUNCTION("""COMPUTED_VALUE"""),44005.6666666666)</f>
        <v>44005.666666666599</v>
      </c>
      <c r="F626" s="6">
        <f ca="1">IFERROR(__xludf.DUMMYFUNCTION("""COMPUTED_VALUE"""),3131.29)</f>
        <v>3131.29</v>
      </c>
      <c r="J626" s="6" t="str">
        <f t="shared" ca="1" si="165"/>
        <v>20206</v>
      </c>
      <c r="K626" s="6">
        <f t="shared" ca="1" si="166"/>
        <v>2020</v>
      </c>
      <c r="L626" s="6">
        <f t="shared" ca="1" si="167"/>
        <v>6</v>
      </c>
      <c r="M626" s="68">
        <f ca="1">IFERROR(__xludf.DUMMYFUNCTION("""COMPUTED_VALUE"""),43999.6666666666)</f>
        <v>43999.666666666599</v>
      </c>
      <c r="N626" s="6">
        <f ca="1">IFERROR(__xludf.DUMMYFUNCTION("""COMPUTED_VALUE"""),9910.53)</f>
        <v>9910.5300000000007</v>
      </c>
      <c r="R626" s="6" t="str">
        <f t="shared" ca="1" si="168"/>
        <v>20207</v>
      </c>
      <c r="S626" s="6">
        <f t="shared" ca="1" si="169"/>
        <v>2020</v>
      </c>
      <c r="T626" s="6">
        <f t="shared" ca="1" si="170"/>
        <v>7</v>
      </c>
      <c r="U626" s="68">
        <f ca="1">IFERROR(__xludf.DUMMYFUNCTION("""COMPUTED_VALUE"""),44032.6458333333)</f>
        <v>44032.645833333299</v>
      </c>
      <c r="V626" s="6">
        <f ca="1">IFERROR(__xludf.DUMMYFUNCTION("""COMPUTED_VALUE"""),2198.2)</f>
        <v>2198.1999999999998</v>
      </c>
      <c r="Z626" s="6" t="str">
        <f t="shared" ca="1" si="171"/>
        <v>201910</v>
      </c>
      <c r="AA626" s="6">
        <f t="shared" ca="1" si="172"/>
        <v>2019</v>
      </c>
      <c r="AB626" s="6">
        <f t="shared" ca="1" si="173"/>
        <v>10</v>
      </c>
      <c r="AC626" s="68">
        <f ca="1">IFERROR(__xludf.DUMMYFUNCTION("""COMPUTED_VALUE"""),43761.9986111111)</f>
        <v>43761.998611111099</v>
      </c>
      <c r="AD626" s="6">
        <f ca="1">IFERROR(__xludf.DUMMYFUNCTION("""COMPUTED_VALUE"""),1169.7)</f>
        <v>1169.7</v>
      </c>
      <c r="AH626" s="6" t="str">
        <f t="shared" ca="1" si="174"/>
        <v>20199</v>
      </c>
      <c r="AI626" s="6">
        <f t="shared" ca="1" si="175"/>
        <v>2019</v>
      </c>
      <c r="AJ626" s="6">
        <f t="shared" ca="1" si="176"/>
        <v>9</v>
      </c>
      <c r="AK626" s="68">
        <f ca="1">IFERROR(__xludf.DUMMYFUNCTION("""COMPUTED_VALUE"""),43718.9986111111)</f>
        <v>43718.998611111099</v>
      </c>
      <c r="AL626" s="6">
        <f ca="1">IFERROR(__xludf.DUMMYFUNCTION("""COMPUTED_VALUE"""),10092.41)</f>
        <v>10092.41</v>
      </c>
      <c r="AP626" s="6" t="str">
        <f t="shared" ca="1" si="177"/>
        <v>20207</v>
      </c>
      <c r="AQ626" s="6">
        <f t="shared" ca="1" si="178"/>
        <v>2020</v>
      </c>
      <c r="AR626" s="6">
        <f t="shared" ca="1" si="179"/>
        <v>7</v>
      </c>
      <c r="AS626" s="68">
        <f ca="1">IFERROR(__xludf.DUMMYFUNCTION("""COMPUTED_VALUE"""),44014.9986111111)</f>
        <v>44014.998611111099</v>
      </c>
      <c r="AT626" s="6">
        <f ca="1">IFERROR(__xludf.DUMMYFUNCTION("""COMPUTED_VALUE"""),1790)</f>
        <v>1790</v>
      </c>
    </row>
    <row r="627" spans="2:46" x14ac:dyDescent="0.35">
      <c r="B627" s="6" t="str">
        <f t="shared" ca="1" si="162"/>
        <v>20206</v>
      </c>
      <c r="C627" s="6">
        <f t="shared" ca="1" si="163"/>
        <v>2020</v>
      </c>
      <c r="D627" s="6">
        <f t="shared" ca="1" si="164"/>
        <v>6</v>
      </c>
      <c r="E627" s="68">
        <f ca="1">IFERROR(__xludf.DUMMYFUNCTION("""COMPUTED_VALUE"""),44006.6666666666)</f>
        <v>44006.666666666599</v>
      </c>
      <c r="F627" s="6">
        <f ca="1">IFERROR(__xludf.DUMMYFUNCTION("""COMPUTED_VALUE"""),3050.33)</f>
        <v>3050.33</v>
      </c>
      <c r="J627" s="6" t="str">
        <f t="shared" ca="1" si="165"/>
        <v>20206</v>
      </c>
      <c r="K627" s="6">
        <f t="shared" ca="1" si="166"/>
        <v>2020</v>
      </c>
      <c r="L627" s="6">
        <f t="shared" ca="1" si="167"/>
        <v>6</v>
      </c>
      <c r="M627" s="68">
        <f ca="1">IFERROR(__xludf.DUMMYFUNCTION("""COMPUTED_VALUE"""),44000.6666666666)</f>
        <v>44000.666666666599</v>
      </c>
      <c r="N627" s="6">
        <f ca="1">IFERROR(__xludf.DUMMYFUNCTION("""COMPUTED_VALUE"""),9943.05)</f>
        <v>9943.0499999999993</v>
      </c>
      <c r="R627" s="6" t="str">
        <f t="shared" ca="1" si="168"/>
        <v>20207</v>
      </c>
      <c r="S627" s="6">
        <f t="shared" ca="1" si="169"/>
        <v>2020</v>
      </c>
      <c r="T627" s="6">
        <f t="shared" ca="1" si="170"/>
        <v>7</v>
      </c>
      <c r="U627" s="68">
        <f ca="1">IFERROR(__xludf.DUMMYFUNCTION("""COMPUTED_VALUE"""),44033.6458333333)</f>
        <v>44033.645833333299</v>
      </c>
      <c r="V627" s="6">
        <f ca="1">IFERROR(__xludf.DUMMYFUNCTION("""COMPUTED_VALUE"""),2228.83)</f>
        <v>2228.83</v>
      </c>
      <c r="Z627" s="6" t="str">
        <f t="shared" ca="1" si="171"/>
        <v>201910</v>
      </c>
      <c r="AA627" s="6">
        <f t="shared" ca="1" si="172"/>
        <v>2019</v>
      </c>
      <c r="AB627" s="6">
        <f t="shared" ca="1" si="173"/>
        <v>10</v>
      </c>
      <c r="AC627" s="68">
        <f ca="1">IFERROR(__xludf.DUMMYFUNCTION("""COMPUTED_VALUE"""),43762.9986111111)</f>
        <v>43762.998611111099</v>
      </c>
      <c r="AD627" s="6">
        <f ca="1">IFERROR(__xludf.DUMMYFUNCTION("""COMPUTED_VALUE"""),1174.25)</f>
        <v>1174.25</v>
      </c>
      <c r="AH627" s="6" t="str">
        <f t="shared" ca="1" si="174"/>
        <v>20199</v>
      </c>
      <c r="AI627" s="6">
        <f t="shared" ca="1" si="175"/>
        <v>2019</v>
      </c>
      <c r="AJ627" s="6">
        <f t="shared" ca="1" si="176"/>
        <v>9</v>
      </c>
      <c r="AK627" s="68">
        <f ca="1">IFERROR(__xludf.DUMMYFUNCTION("""COMPUTED_VALUE"""),43719.9986111111)</f>
        <v>43719.998611111099</v>
      </c>
      <c r="AL627" s="6">
        <f ca="1">IFERROR(__xludf.DUMMYFUNCTION("""COMPUTED_VALUE"""),10132.68)</f>
        <v>10132.68</v>
      </c>
      <c r="AP627" s="6" t="str">
        <f t="shared" ca="1" si="177"/>
        <v>20207</v>
      </c>
      <c r="AQ627" s="6">
        <f t="shared" ca="1" si="178"/>
        <v>2020</v>
      </c>
      <c r="AR627" s="6">
        <f t="shared" ca="1" si="179"/>
        <v>7</v>
      </c>
      <c r="AS627" s="68">
        <f ca="1">IFERROR(__xludf.DUMMYFUNCTION("""COMPUTED_VALUE"""),44018.9986111111)</f>
        <v>44018.998611111099</v>
      </c>
      <c r="AT627" s="6">
        <f ca="1">IFERROR(__xludf.DUMMYFUNCTION("""COMPUTED_VALUE"""),1793.5)</f>
        <v>1793.5</v>
      </c>
    </row>
    <row r="628" spans="2:46" x14ac:dyDescent="0.35">
      <c r="B628" s="6" t="str">
        <f t="shared" ca="1" si="162"/>
        <v>20206</v>
      </c>
      <c r="C628" s="6">
        <f t="shared" ca="1" si="163"/>
        <v>2020</v>
      </c>
      <c r="D628" s="6">
        <f t="shared" ca="1" si="164"/>
        <v>6</v>
      </c>
      <c r="E628" s="68">
        <f ca="1">IFERROR(__xludf.DUMMYFUNCTION("""COMPUTED_VALUE"""),44007.6666666666)</f>
        <v>44007.666666666599</v>
      </c>
      <c r="F628" s="6">
        <f ca="1">IFERROR(__xludf.DUMMYFUNCTION("""COMPUTED_VALUE"""),3083.76)</f>
        <v>3083.76</v>
      </c>
      <c r="J628" s="6" t="str">
        <f t="shared" ca="1" si="165"/>
        <v>20206</v>
      </c>
      <c r="K628" s="6">
        <f t="shared" ca="1" si="166"/>
        <v>2020</v>
      </c>
      <c r="L628" s="6">
        <f t="shared" ca="1" si="167"/>
        <v>6</v>
      </c>
      <c r="M628" s="68">
        <f ca="1">IFERROR(__xludf.DUMMYFUNCTION("""COMPUTED_VALUE"""),44001.6666666666)</f>
        <v>44001.666666666599</v>
      </c>
      <c r="N628" s="6">
        <f ca="1">IFERROR(__xludf.DUMMYFUNCTION("""COMPUTED_VALUE"""),9946.12)</f>
        <v>9946.1200000000008</v>
      </c>
      <c r="R628" s="6" t="str">
        <f t="shared" ca="1" si="168"/>
        <v>20207</v>
      </c>
      <c r="S628" s="6">
        <f t="shared" ca="1" si="169"/>
        <v>2020</v>
      </c>
      <c r="T628" s="6">
        <f t="shared" ca="1" si="170"/>
        <v>7</v>
      </c>
      <c r="U628" s="68">
        <f ca="1">IFERROR(__xludf.DUMMYFUNCTION("""COMPUTED_VALUE"""),44034.6458333333)</f>
        <v>44034.645833333299</v>
      </c>
      <c r="V628" s="6">
        <f ca="1">IFERROR(__xludf.DUMMYFUNCTION("""COMPUTED_VALUE"""),2228.66)</f>
        <v>2228.66</v>
      </c>
      <c r="Z628" s="6" t="str">
        <f t="shared" ca="1" si="171"/>
        <v>201910</v>
      </c>
      <c r="AA628" s="6">
        <f t="shared" ca="1" si="172"/>
        <v>2019</v>
      </c>
      <c r="AB628" s="6">
        <f t="shared" ca="1" si="173"/>
        <v>10</v>
      </c>
      <c r="AC628" s="68">
        <f ca="1">IFERROR(__xludf.DUMMYFUNCTION("""COMPUTED_VALUE"""),43763.9986111111)</f>
        <v>43763.998611111099</v>
      </c>
      <c r="AD628" s="6">
        <f ca="1">IFERROR(__xludf.DUMMYFUNCTION("""COMPUTED_VALUE"""),1170.82)</f>
        <v>1170.82</v>
      </c>
      <c r="AH628" s="6" t="str">
        <f t="shared" ca="1" si="174"/>
        <v>20199</v>
      </c>
      <c r="AI628" s="6">
        <f t="shared" ca="1" si="175"/>
        <v>2019</v>
      </c>
      <c r="AJ628" s="6">
        <f t="shared" ca="1" si="176"/>
        <v>9</v>
      </c>
      <c r="AK628" s="68">
        <f ca="1">IFERROR(__xludf.DUMMYFUNCTION("""COMPUTED_VALUE"""),43720.9986111111)</f>
        <v>43720.998611111099</v>
      </c>
      <c r="AL628" s="6">
        <f ca="1">IFERROR(__xludf.DUMMYFUNCTION("""COMPUTED_VALUE"""),10414.72)</f>
        <v>10414.719999999999</v>
      </c>
      <c r="AP628" s="6" t="str">
        <f t="shared" ca="1" si="177"/>
        <v>20207</v>
      </c>
      <c r="AQ628" s="6">
        <f t="shared" ca="1" si="178"/>
        <v>2020</v>
      </c>
      <c r="AR628" s="6">
        <f t="shared" ca="1" si="179"/>
        <v>7</v>
      </c>
      <c r="AS628" s="68">
        <f ca="1">IFERROR(__xludf.DUMMYFUNCTION("""COMPUTED_VALUE"""),44019.9986111111)</f>
        <v>44019.998611111099</v>
      </c>
      <c r="AT628" s="6">
        <f ca="1">IFERROR(__xludf.DUMMYFUNCTION("""COMPUTED_VALUE"""),1809.9)</f>
        <v>1809.9</v>
      </c>
    </row>
    <row r="629" spans="2:46" x14ac:dyDescent="0.35">
      <c r="B629" s="6" t="str">
        <f t="shared" ca="1" si="162"/>
        <v>20206</v>
      </c>
      <c r="C629" s="6">
        <f t="shared" ca="1" si="163"/>
        <v>2020</v>
      </c>
      <c r="D629" s="6">
        <f t="shared" ca="1" si="164"/>
        <v>6</v>
      </c>
      <c r="E629" s="68">
        <f ca="1">IFERROR(__xludf.DUMMYFUNCTION("""COMPUTED_VALUE"""),44008.6666666666)</f>
        <v>44008.666666666599</v>
      </c>
      <c r="F629" s="6">
        <f ca="1">IFERROR(__xludf.DUMMYFUNCTION("""COMPUTED_VALUE"""),3009.05)</f>
        <v>3009.05</v>
      </c>
      <c r="J629" s="6" t="str">
        <f t="shared" ca="1" si="165"/>
        <v>20206</v>
      </c>
      <c r="K629" s="6">
        <f t="shared" ca="1" si="166"/>
        <v>2020</v>
      </c>
      <c r="L629" s="6">
        <f t="shared" ca="1" si="167"/>
        <v>6</v>
      </c>
      <c r="M629" s="68">
        <f ca="1">IFERROR(__xludf.DUMMYFUNCTION("""COMPUTED_VALUE"""),44004.6666666666)</f>
        <v>44004.666666666599</v>
      </c>
      <c r="N629" s="6">
        <f ca="1">IFERROR(__xludf.DUMMYFUNCTION("""COMPUTED_VALUE"""),10056.48)</f>
        <v>10056.48</v>
      </c>
      <c r="R629" s="6" t="str">
        <f t="shared" ca="1" si="168"/>
        <v>20207</v>
      </c>
      <c r="S629" s="6">
        <f t="shared" ca="1" si="169"/>
        <v>2020</v>
      </c>
      <c r="T629" s="6">
        <f t="shared" ca="1" si="170"/>
        <v>7</v>
      </c>
      <c r="U629" s="68">
        <f ca="1">IFERROR(__xludf.DUMMYFUNCTION("""COMPUTED_VALUE"""),44035.6458333333)</f>
        <v>44035.645833333299</v>
      </c>
      <c r="V629" s="6">
        <f ca="1">IFERROR(__xludf.DUMMYFUNCTION("""COMPUTED_VALUE"""),2216.19)</f>
        <v>2216.19</v>
      </c>
      <c r="Z629" s="6" t="str">
        <f t="shared" ca="1" si="171"/>
        <v>201910</v>
      </c>
      <c r="AA629" s="6">
        <f t="shared" ca="1" si="172"/>
        <v>2019</v>
      </c>
      <c r="AB629" s="6">
        <f t="shared" ca="1" si="173"/>
        <v>10</v>
      </c>
      <c r="AC629" s="68">
        <f ca="1">IFERROR(__xludf.DUMMYFUNCTION("""COMPUTED_VALUE"""),43764.9986111111)</f>
        <v>43764.998611111099</v>
      </c>
      <c r="AD629" s="6">
        <f ca="1">IFERROR(__xludf.DUMMYFUNCTION("""COMPUTED_VALUE"""),1170.82)</f>
        <v>1170.82</v>
      </c>
      <c r="AH629" s="6" t="str">
        <f t="shared" ca="1" si="174"/>
        <v>20199</v>
      </c>
      <c r="AI629" s="6">
        <f t="shared" ca="1" si="175"/>
        <v>2019</v>
      </c>
      <c r="AJ629" s="6">
        <f t="shared" ca="1" si="176"/>
        <v>9</v>
      </c>
      <c r="AK629" s="68">
        <f ca="1">IFERROR(__xludf.DUMMYFUNCTION("""COMPUTED_VALUE"""),43721.9986111111)</f>
        <v>43721.998611111099</v>
      </c>
      <c r="AL629" s="6">
        <f ca="1">IFERROR(__xludf.DUMMYFUNCTION("""COMPUTED_VALUE"""),10359.73)</f>
        <v>10359.73</v>
      </c>
      <c r="AP629" s="6" t="str">
        <f t="shared" ca="1" si="177"/>
        <v>20207</v>
      </c>
      <c r="AQ629" s="6">
        <f t="shared" ca="1" si="178"/>
        <v>2020</v>
      </c>
      <c r="AR629" s="6">
        <f t="shared" ca="1" si="179"/>
        <v>7</v>
      </c>
      <c r="AS629" s="68">
        <f ca="1">IFERROR(__xludf.DUMMYFUNCTION("""COMPUTED_VALUE"""),44020.9986111111)</f>
        <v>44020.998611111099</v>
      </c>
      <c r="AT629" s="6">
        <f ca="1">IFERROR(__xludf.DUMMYFUNCTION("""COMPUTED_VALUE"""),1820.6)</f>
        <v>1820.6</v>
      </c>
    </row>
    <row r="630" spans="2:46" x14ac:dyDescent="0.35">
      <c r="B630" s="6" t="str">
        <f t="shared" ca="1" si="162"/>
        <v>20206</v>
      </c>
      <c r="C630" s="6">
        <f t="shared" ca="1" si="163"/>
        <v>2020</v>
      </c>
      <c r="D630" s="6">
        <f t="shared" ca="1" si="164"/>
        <v>6</v>
      </c>
      <c r="E630" s="68">
        <f ca="1">IFERROR(__xludf.DUMMYFUNCTION("""COMPUTED_VALUE"""),44011.6666666666)</f>
        <v>44011.666666666599</v>
      </c>
      <c r="F630" s="6">
        <f ca="1">IFERROR(__xludf.DUMMYFUNCTION("""COMPUTED_VALUE"""),3053.24)</f>
        <v>3053.24</v>
      </c>
      <c r="J630" s="6" t="str">
        <f t="shared" ca="1" si="165"/>
        <v>20206</v>
      </c>
      <c r="K630" s="6">
        <f t="shared" ca="1" si="166"/>
        <v>2020</v>
      </c>
      <c r="L630" s="6">
        <f t="shared" ca="1" si="167"/>
        <v>6</v>
      </c>
      <c r="M630" s="68">
        <f ca="1">IFERROR(__xludf.DUMMYFUNCTION("""COMPUTED_VALUE"""),44005.6666666666)</f>
        <v>44005.666666666599</v>
      </c>
      <c r="N630" s="6">
        <f ca="1">IFERROR(__xludf.DUMMYFUNCTION("""COMPUTED_VALUE"""),10131.37)</f>
        <v>10131.370000000001</v>
      </c>
      <c r="R630" s="6" t="str">
        <f t="shared" ca="1" si="168"/>
        <v>20207</v>
      </c>
      <c r="S630" s="6">
        <f t="shared" ca="1" si="169"/>
        <v>2020</v>
      </c>
      <c r="T630" s="6">
        <f t="shared" ca="1" si="170"/>
        <v>7</v>
      </c>
      <c r="U630" s="68">
        <f ca="1">IFERROR(__xludf.DUMMYFUNCTION("""COMPUTED_VALUE"""),44036.6458333333)</f>
        <v>44036.645833333299</v>
      </c>
      <c r="V630" s="6">
        <f ca="1">IFERROR(__xludf.DUMMYFUNCTION("""COMPUTED_VALUE"""),2200.44)</f>
        <v>2200.44</v>
      </c>
      <c r="Z630" s="6" t="str">
        <f t="shared" ca="1" si="171"/>
        <v>201910</v>
      </c>
      <c r="AA630" s="6">
        <f t="shared" ca="1" si="172"/>
        <v>2019</v>
      </c>
      <c r="AB630" s="6">
        <f t="shared" ca="1" si="173"/>
        <v>10</v>
      </c>
      <c r="AC630" s="68">
        <f ca="1">IFERROR(__xludf.DUMMYFUNCTION("""COMPUTED_VALUE"""),43765.9986111111)</f>
        <v>43765.998611111099</v>
      </c>
      <c r="AD630" s="6">
        <f ca="1">IFERROR(__xludf.DUMMYFUNCTION("""COMPUTED_VALUE"""),1170.82)</f>
        <v>1170.82</v>
      </c>
      <c r="AH630" s="6" t="str">
        <f t="shared" ca="1" si="174"/>
        <v>20199</v>
      </c>
      <c r="AI630" s="6">
        <f t="shared" ca="1" si="175"/>
        <v>2019</v>
      </c>
      <c r="AJ630" s="6">
        <f t="shared" ca="1" si="176"/>
        <v>9</v>
      </c>
      <c r="AK630" s="68">
        <f ca="1">IFERROR(__xludf.DUMMYFUNCTION("""COMPUTED_VALUE"""),43722.9986111111)</f>
        <v>43722.998611111099</v>
      </c>
      <c r="AL630" s="6">
        <f ca="1">IFERROR(__xludf.DUMMYFUNCTION("""COMPUTED_VALUE"""),10357.74)</f>
        <v>10357.74</v>
      </c>
      <c r="AP630" s="6" t="str">
        <f t="shared" ca="1" si="177"/>
        <v>20207</v>
      </c>
      <c r="AQ630" s="6">
        <f t="shared" ca="1" si="178"/>
        <v>2020</v>
      </c>
      <c r="AR630" s="6">
        <f t="shared" ca="1" si="179"/>
        <v>7</v>
      </c>
      <c r="AS630" s="68">
        <f ca="1">IFERROR(__xludf.DUMMYFUNCTION("""COMPUTED_VALUE"""),44021.9986111111)</f>
        <v>44021.998611111099</v>
      </c>
      <c r="AT630" s="6">
        <f ca="1">IFERROR(__xludf.DUMMYFUNCTION("""COMPUTED_VALUE"""),1803.8)</f>
        <v>1803.8</v>
      </c>
    </row>
    <row r="631" spans="2:46" x14ac:dyDescent="0.35">
      <c r="B631" s="6" t="str">
        <f t="shared" ca="1" si="162"/>
        <v>20206</v>
      </c>
      <c r="C631" s="6">
        <f t="shared" ca="1" si="163"/>
        <v>2020</v>
      </c>
      <c r="D631" s="6">
        <f t="shared" ca="1" si="164"/>
        <v>6</v>
      </c>
      <c r="E631" s="68">
        <f ca="1">IFERROR(__xludf.DUMMYFUNCTION("""COMPUTED_VALUE"""),44012.6666666666)</f>
        <v>44012.666666666599</v>
      </c>
      <c r="F631" s="6">
        <f ca="1">IFERROR(__xludf.DUMMYFUNCTION("""COMPUTED_VALUE"""),3100.29)</f>
        <v>3100.29</v>
      </c>
      <c r="J631" s="6" t="str">
        <f t="shared" ca="1" si="165"/>
        <v>20206</v>
      </c>
      <c r="K631" s="6">
        <f t="shared" ca="1" si="166"/>
        <v>2020</v>
      </c>
      <c r="L631" s="6">
        <f t="shared" ca="1" si="167"/>
        <v>6</v>
      </c>
      <c r="M631" s="68">
        <f ca="1">IFERROR(__xludf.DUMMYFUNCTION("""COMPUTED_VALUE"""),44006.6666666666)</f>
        <v>44006.666666666599</v>
      </c>
      <c r="N631" s="6">
        <f ca="1">IFERROR(__xludf.DUMMYFUNCTION("""COMPUTED_VALUE"""),9909.17)</f>
        <v>9909.17</v>
      </c>
      <c r="R631" s="6" t="str">
        <f t="shared" ca="1" si="168"/>
        <v>20207</v>
      </c>
      <c r="S631" s="6">
        <f t="shared" ca="1" si="169"/>
        <v>2020</v>
      </c>
      <c r="T631" s="6">
        <f t="shared" ca="1" si="170"/>
        <v>7</v>
      </c>
      <c r="U631" s="68">
        <f ca="1">IFERROR(__xludf.DUMMYFUNCTION("""COMPUTED_VALUE"""),44039.6458333333)</f>
        <v>44039.645833333299</v>
      </c>
      <c r="V631" s="6">
        <f ca="1">IFERROR(__xludf.DUMMYFUNCTION("""COMPUTED_VALUE"""),2217.86)</f>
        <v>2217.86</v>
      </c>
      <c r="Z631" s="6" t="str">
        <f t="shared" ca="1" si="171"/>
        <v>201910</v>
      </c>
      <c r="AA631" s="6">
        <f t="shared" ca="1" si="172"/>
        <v>2019</v>
      </c>
      <c r="AB631" s="6">
        <f t="shared" ca="1" si="173"/>
        <v>10</v>
      </c>
      <c r="AC631" s="68">
        <f ca="1">IFERROR(__xludf.DUMMYFUNCTION("""COMPUTED_VALUE"""),43766.9986111111)</f>
        <v>43766.998611111099</v>
      </c>
      <c r="AD631" s="6">
        <f ca="1">IFERROR(__xludf.DUMMYFUNCTION("""COMPUTED_VALUE"""),1166.76)</f>
        <v>1166.76</v>
      </c>
      <c r="AH631" s="6" t="str">
        <f t="shared" ca="1" si="174"/>
        <v>20199</v>
      </c>
      <c r="AI631" s="6">
        <f t="shared" ca="1" si="175"/>
        <v>2019</v>
      </c>
      <c r="AJ631" s="6">
        <f t="shared" ca="1" si="176"/>
        <v>9</v>
      </c>
      <c r="AK631" s="68">
        <f ca="1">IFERROR(__xludf.DUMMYFUNCTION("""COMPUTED_VALUE"""),43723.9986111111)</f>
        <v>43723.998611111099</v>
      </c>
      <c r="AL631" s="6">
        <f ca="1">IFERROR(__xludf.DUMMYFUNCTION("""COMPUTED_VALUE"""),10316.15)</f>
        <v>10316.15</v>
      </c>
      <c r="AP631" s="6" t="str">
        <f t="shared" ca="1" si="177"/>
        <v>20207</v>
      </c>
      <c r="AQ631" s="6">
        <f t="shared" ca="1" si="178"/>
        <v>2020</v>
      </c>
      <c r="AR631" s="6">
        <f t="shared" ca="1" si="179"/>
        <v>7</v>
      </c>
      <c r="AS631" s="68">
        <f ca="1">IFERROR(__xludf.DUMMYFUNCTION("""COMPUTED_VALUE"""),44022.9986111111)</f>
        <v>44022.998611111099</v>
      </c>
      <c r="AT631" s="6">
        <f ca="1">IFERROR(__xludf.DUMMYFUNCTION("""COMPUTED_VALUE"""),1801.9)</f>
        <v>1801.9</v>
      </c>
    </row>
    <row r="632" spans="2:46" x14ac:dyDescent="0.35">
      <c r="B632" s="6" t="str">
        <f t="shared" ca="1" si="162"/>
        <v>20207</v>
      </c>
      <c r="C632" s="6">
        <f t="shared" ca="1" si="163"/>
        <v>2020</v>
      </c>
      <c r="D632" s="6">
        <f t="shared" ca="1" si="164"/>
        <v>7</v>
      </c>
      <c r="E632" s="68">
        <f ca="1">IFERROR(__xludf.DUMMYFUNCTION("""COMPUTED_VALUE"""),44013.6666666666)</f>
        <v>44013.666666666599</v>
      </c>
      <c r="F632" s="6">
        <f ca="1">IFERROR(__xludf.DUMMYFUNCTION("""COMPUTED_VALUE"""),3115.86)</f>
        <v>3115.86</v>
      </c>
      <c r="J632" s="6" t="str">
        <f t="shared" ca="1" si="165"/>
        <v>20206</v>
      </c>
      <c r="K632" s="6">
        <f t="shared" ca="1" si="166"/>
        <v>2020</v>
      </c>
      <c r="L632" s="6">
        <f t="shared" ca="1" si="167"/>
        <v>6</v>
      </c>
      <c r="M632" s="68">
        <f ca="1">IFERROR(__xludf.DUMMYFUNCTION("""COMPUTED_VALUE"""),44007.6666666666)</f>
        <v>44007.666666666599</v>
      </c>
      <c r="N632" s="6">
        <f ca="1">IFERROR(__xludf.DUMMYFUNCTION("""COMPUTED_VALUE"""),10017)</f>
        <v>10017</v>
      </c>
      <c r="R632" s="6" t="str">
        <f t="shared" ca="1" si="168"/>
        <v>20207</v>
      </c>
      <c r="S632" s="6">
        <f t="shared" ca="1" si="169"/>
        <v>2020</v>
      </c>
      <c r="T632" s="6">
        <f t="shared" ca="1" si="170"/>
        <v>7</v>
      </c>
      <c r="U632" s="68">
        <f ca="1">IFERROR(__xludf.DUMMYFUNCTION("""COMPUTED_VALUE"""),44040.6458333333)</f>
        <v>44040.645833333299</v>
      </c>
      <c r="V632" s="6">
        <f ca="1">IFERROR(__xludf.DUMMYFUNCTION("""COMPUTED_VALUE"""),2256.99)</f>
        <v>2256.9899999999998</v>
      </c>
      <c r="Z632" s="6" t="str">
        <f t="shared" ca="1" si="171"/>
        <v>201910</v>
      </c>
      <c r="AA632" s="6">
        <f t="shared" ca="1" si="172"/>
        <v>2019</v>
      </c>
      <c r="AB632" s="6">
        <f t="shared" ca="1" si="173"/>
        <v>10</v>
      </c>
      <c r="AC632" s="68">
        <f ca="1">IFERROR(__xludf.DUMMYFUNCTION("""COMPUTED_VALUE"""),43767.9986111111)</f>
        <v>43767.998611111099</v>
      </c>
      <c r="AD632" s="6">
        <f ca="1">IFERROR(__xludf.DUMMYFUNCTION("""COMPUTED_VALUE"""),1165.75)</f>
        <v>1165.75</v>
      </c>
      <c r="AH632" s="6" t="str">
        <f t="shared" ca="1" si="174"/>
        <v>20199</v>
      </c>
      <c r="AI632" s="6">
        <f t="shared" ca="1" si="175"/>
        <v>2019</v>
      </c>
      <c r="AJ632" s="6">
        <f t="shared" ca="1" si="176"/>
        <v>9</v>
      </c>
      <c r="AK632" s="68">
        <f ca="1">IFERROR(__xludf.DUMMYFUNCTION("""COMPUTED_VALUE"""),43724.9986111111)</f>
        <v>43724.998611111099</v>
      </c>
      <c r="AL632" s="6">
        <f ca="1">IFERROR(__xludf.DUMMYFUNCTION("""COMPUTED_VALUE"""),10260.93)</f>
        <v>10260.93</v>
      </c>
      <c r="AP632" s="6" t="str">
        <f t="shared" ca="1" si="177"/>
        <v>20207</v>
      </c>
      <c r="AQ632" s="6">
        <f t="shared" ca="1" si="178"/>
        <v>2020</v>
      </c>
      <c r="AR632" s="6">
        <f t="shared" ca="1" si="179"/>
        <v>7</v>
      </c>
      <c r="AS632" s="68">
        <f ca="1">IFERROR(__xludf.DUMMYFUNCTION("""COMPUTED_VALUE"""),44025.9986111111)</f>
        <v>44025.998611111099</v>
      </c>
      <c r="AT632" s="6">
        <f ca="1">IFERROR(__xludf.DUMMYFUNCTION("""COMPUTED_VALUE"""),1814.1)</f>
        <v>1814.1</v>
      </c>
    </row>
    <row r="633" spans="2:46" x14ac:dyDescent="0.35">
      <c r="B633" s="6" t="str">
        <f t="shared" ca="1" si="162"/>
        <v>20207</v>
      </c>
      <c r="C633" s="6">
        <f t="shared" ca="1" si="163"/>
        <v>2020</v>
      </c>
      <c r="D633" s="6">
        <f t="shared" ca="1" si="164"/>
        <v>7</v>
      </c>
      <c r="E633" s="68">
        <f ca="1">IFERROR(__xludf.DUMMYFUNCTION("""COMPUTED_VALUE"""),44014.6666666666)</f>
        <v>44014.666666666599</v>
      </c>
      <c r="F633" s="6">
        <f ca="1">IFERROR(__xludf.DUMMYFUNCTION("""COMPUTED_VALUE"""),3130.01)</f>
        <v>3130.01</v>
      </c>
      <c r="J633" s="6" t="str">
        <f t="shared" ca="1" si="165"/>
        <v>20206</v>
      </c>
      <c r="K633" s="6">
        <f t="shared" ca="1" si="166"/>
        <v>2020</v>
      </c>
      <c r="L633" s="6">
        <f t="shared" ca="1" si="167"/>
        <v>6</v>
      </c>
      <c r="M633" s="68">
        <f ca="1">IFERROR(__xludf.DUMMYFUNCTION("""COMPUTED_VALUE"""),44008.6666666666)</f>
        <v>44008.666666666599</v>
      </c>
      <c r="N633" s="6">
        <f ca="1">IFERROR(__xludf.DUMMYFUNCTION("""COMPUTED_VALUE"""),9757.22)</f>
        <v>9757.2199999999993</v>
      </c>
      <c r="R633" s="6" t="str">
        <f t="shared" ca="1" si="168"/>
        <v>20207</v>
      </c>
      <c r="S633" s="6">
        <f t="shared" ca="1" si="169"/>
        <v>2020</v>
      </c>
      <c r="T633" s="6">
        <f t="shared" ca="1" si="170"/>
        <v>7</v>
      </c>
      <c r="U633" s="68">
        <f ca="1">IFERROR(__xludf.DUMMYFUNCTION("""COMPUTED_VALUE"""),44041.6458333333)</f>
        <v>44041.645833333299</v>
      </c>
      <c r="V633" s="6">
        <f ca="1">IFERROR(__xludf.DUMMYFUNCTION("""COMPUTED_VALUE"""),2263.16)</f>
        <v>2263.16</v>
      </c>
      <c r="Z633" s="6" t="str">
        <f t="shared" ca="1" si="171"/>
        <v>201910</v>
      </c>
      <c r="AA633" s="6">
        <f t="shared" ca="1" si="172"/>
        <v>2019</v>
      </c>
      <c r="AB633" s="6">
        <f t="shared" ca="1" si="173"/>
        <v>10</v>
      </c>
      <c r="AC633" s="68">
        <f ca="1">IFERROR(__xludf.DUMMYFUNCTION("""COMPUTED_VALUE"""),43768.9986111111)</f>
        <v>43768.998611111099</v>
      </c>
      <c r="AD633" s="6">
        <f ca="1">IFERROR(__xludf.DUMMYFUNCTION("""COMPUTED_VALUE"""),1163.7)</f>
        <v>1163.7</v>
      </c>
      <c r="AH633" s="6" t="str">
        <f t="shared" ca="1" si="174"/>
        <v>20199</v>
      </c>
      <c r="AI633" s="6">
        <f t="shared" ca="1" si="175"/>
        <v>2019</v>
      </c>
      <c r="AJ633" s="6">
        <f t="shared" ca="1" si="176"/>
        <v>9</v>
      </c>
      <c r="AK633" s="68">
        <f ca="1">IFERROR(__xludf.DUMMYFUNCTION("""COMPUTED_VALUE"""),43725.9986111111)</f>
        <v>43725.998611111099</v>
      </c>
      <c r="AL633" s="6">
        <f ca="1">IFERROR(__xludf.DUMMYFUNCTION("""COMPUTED_VALUE"""),10183.79)</f>
        <v>10183.790000000001</v>
      </c>
      <c r="AP633" s="6" t="str">
        <f t="shared" ca="1" si="177"/>
        <v>20207</v>
      </c>
      <c r="AQ633" s="6">
        <f t="shared" ca="1" si="178"/>
        <v>2020</v>
      </c>
      <c r="AR633" s="6">
        <f t="shared" ca="1" si="179"/>
        <v>7</v>
      </c>
      <c r="AS633" s="68">
        <f ca="1">IFERROR(__xludf.DUMMYFUNCTION("""COMPUTED_VALUE"""),44026.9986111111)</f>
        <v>44026.998611111099</v>
      </c>
      <c r="AT633" s="6">
        <f ca="1">IFERROR(__xludf.DUMMYFUNCTION("""COMPUTED_VALUE"""),1813.4)</f>
        <v>1813.4</v>
      </c>
    </row>
    <row r="634" spans="2:46" x14ac:dyDescent="0.35">
      <c r="B634" s="6" t="str">
        <f t="shared" ca="1" si="162"/>
        <v>20207</v>
      </c>
      <c r="C634" s="6">
        <f t="shared" ca="1" si="163"/>
        <v>2020</v>
      </c>
      <c r="D634" s="6">
        <f t="shared" ca="1" si="164"/>
        <v>7</v>
      </c>
      <c r="E634" s="68">
        <f ca="1">IFERROR(__xludf.DUMMYFUNCTION("""COMPUTED_VALUE"""),44018.6666666666)</f>
        <v>44018.666666666599</v>
      </c>
      <c r="F634" s="6">
        <f ca="1">IFERROR(__xludf.DUMMYFUNCTION("""COMPUTED_VALUE"""),3179.72)</f>
        <v>3179.72</v>
      </c>
      <c r="J634" s="6" t="str">
        <f t="shared" ca="1" si="165"/>
        <v>20206</v>
      </c>
      <c r="K634" s="6">
        <f t="shared" ca="1" si="166"/>
        <v>2020</v>
      </c>
      <c r="L634" s="6">
        <f t="shared" ca="1" si="167"/>
        <v>6</v>
      </c>
      <c r="M634" s="68">
        <f ca="1">IFERROR(__xludf.DUMMYFUNCTION("""COMPUTED_VALUE"""),44011.6666666666)</f>
        <v>44011.666666666599</v>
      </c>
      <c r="N634" s="6">
        <f ca="1">IFERROR(__xludf.DUMMYFUNCTION("""COMPUTED_VALUE"""),9874.15)</f>
        <v>9874.15</v>
      </c>
      <c r="R634" s="6" t="str">
        <f t="shared" ca="1" si="168"/>
        <v>20207</v>
      </c>
      <c r="S634" s="6">
        <f t="shared" ca="1" si="169"/>
        <v>2020</v>
      </c>
      <c r="T634" s="6">
        <f t="shared" ca="1" si="170"/>
        <v>7</v>
      </c>
      <c r="U634" s="68">
        <f ca="1">IFERROR(__xludf.DUMMYFUNCTION("""COMPUTED_VALUE"""),44042.6458333333)</f>
        <v>44042.645833333299</v>
      </c>
      <c r="V634" s="6">
        <f ca="1">IFERROR(__xludf.DUMMYFUNCTION("""COMPUTED_VALUE"""),2267.01)</f>
        <v>2267.0100000000002</v>
      </c>
      <c r="Z634" s="6" t="str">
        <f t="shared" ca="1" si="171"/>
        <v>201910</v>
      </c>
      <c r="AA634" s="6">
        <f t="shared" ca="1" si="172"/>
        <v>2019</v>
      </c>
      <c r="AB634" s="6">
        <f t="shared" ca="1" si="173"/>
        <v>10</v>
      </c>
      <c r="AC634" s="68">
        <f ca="1">IFERROR(__xludf.DUMMYFUNCTION("""COMPUTED_VALUE"""),43769.9986111111)</f>
        <v>43769.998611111099</v>
      </c>
      <c r="AD634" s="6">
        <f ca="1">IFERROR(__xludf.DUMMYFUNCTION("""COMPUTED_VALUE"""),1168.55)</f>
        <v>1168.55</v>
      </c>
      <c r="AH634" s="6" t="str">
        <f t="shared" ca="1" si="174"/>
        <v>20199</v>
      </c>
      <c r="AI634" s="6">
        <f t="shared" ca="1" si="175"/>
        <v>2019</v>
      </c>
      <c r="AJ634" s="6">
        <f t="shared" ca="1" si="176"/>
        <v>9</v>
      </c>
      <c r="AK634" s="68">
        <f ca="1">IFERROR(__xludf.DUMMYFUNCTION("""COMPUTED_VALUE"""),43726.9986111111)</f>
        <v>43726.998611111099</v>
      </c>
      <c r="AL634" s="6">
        <f ca="1">IFERROR(__xludf.DUMMYFUNCTION("""COMPUTED_VALUE"""),10148.07)</f>
        <v>10148.07</v>
      </c>
      <c r="AP634" s="6" t="str">
        <f t="shared" ca="1" si="177"/>
        <v>20207</v>
      </c>
      <c r="AQ634" s="6">
        <f t="shared" ca="1" si="178"/>
        <v>2020</v>
      </c>
      <c r="AR634" s="6">
        <f t="shared" ca="1" si="179"/>
        <v>7</v>
      </c>
      <c r="AS634" s="68">
        <f ca="1">IFERROR(__xludf.DUMMYFUNCTION("""COMPUTED_VALUE"""),44027.9986111111)</f>
        <v>44027.998611111099</v>
      </c>
      <c r="AT634" s="6">
        <f ca="1">IFERROR(__xludf.DUMMYFUNCTION("""COMPUTED_VALUE"""),1813.8)</f>
        <v>1813.8</v>
      </c>
    </row>
    <row r="635" spans="2:46" x14ac:dyDescent="0.35">
      <c r="B635" s="6" t="str">
        <f t="shared" ca="1" si="162"/>
        <v>20207</v>
      </c>
      <c r="C635" s="6">
        <f t="shared" ca="1" si="163"/>
        <v>2020</v>
      </c>
      <c r="D635" s="6">
        <f t="shared" ca="1" si="164"/>
        <v>7</v>
      </c>
      <c r="E635" s="68">
        <f ca="1">IFERROR(__xludf.DUMMYFUNCTION("""COMPUTED_VALUE"""),44019.6666666666)</f>
        <v>44019.666666666599</v>
      </c>
      <c r="F635" s="6">
        <f ca="1">IFERROR(__xludf.DUMMYFUNCTION("""COMPUTED_VALUE"""),3145.32)</f>
        <v>3145.32</v>
      </c>
      <c r="J635" s="6" t="str">
        <f t="shared" ca="1" si="165"/>
        <v>20206</v>
      </c>
      <c r="K635" s="6">
        <f t="shared" ca="1" si="166"/>
        <v>2020</v>
      </c>
      <c r="L635" s="6">
        <f t="shared" ca="1" si="167"/>
        <v>6</v>
      </c>
      <c r="M635" s="68">
        <f ca="1">IFERROR(__xludf.DUMMYFUNCTION("""COMPUTED_VALUE"""),44012.6666666666)</f>
        <v>44012.666666666599</v>
      </c>
      <c r="N635" s="6">
        <f ca="1">IFERROR(__xludf.DUMMYFUNCTION("""COMPUTED_VALUE"""),10058.77)</f>
        <v>10058.77</v>
      </c>
      <c r="R635" s="6" t="str">
        <f t="shared" ca="1" si="168"/>
        <v>20207</v>
      </c>
      <c r="S635" s="6">
        <f t="shared" ca="1" si="169"/>
        <v>2020</v>
      </c>
      <c r="T635" s="6">
        <f t="shared" ca="1" si="170"/>
        <v>7</v>
      </c>
      <c r="U635" s="68">
        <f ca="1">IFERROR(__xludf.DUMMYFUNCTION("""COMPUTED_VALUE"""),44043.6458333333)</f>
        <v>44043.645833333299</v>
      </c>
      <c r="V635" s="6">
        <f ca="1">IFERROR(__xludf.DUMMYFUNCTION("""COMPUTED_VALUE"""),2249.37)</f>
        <v>2249.37</v>
      </c>
      <c r="Z635" s="6" t="str">
        <f t="shared" ca="1" si="171"/>
        <v>201911</v>
      </c>
      <c r="AA635" s="6">
        <f t="shared" ca="1" si="172"/>
        <v>2019</v>
      </c>
      <c r="AB635" s="6">
        <f t="shared" ca="1" si="173"/>
        <v>11</v>
      </c>
      <c r="AC635" s="68">
        <f ca="1">IFERROR(__xludf.DUMMYFUNCTION("""COMPUTED_VALUE"""),43770.9986111111)</f>
        <v>43770.998611111099</v>
      </c>
      <c r="AD635" s="6">
        <f ca="1">IFERROR(__xludf.DUMMYFUNCTION("""COMPUTED_VALUE"""),1163.68)</f>
        <v>1163.68</v>
      </c>
      <c r="AH635" s="6" t="str">
        <f t="shared" ca="1" si="174"/>
        <v>20199</v>
      </c>
      <c r="AI635" s="6">
        <f t="shared" ca="1" si="175"/>
        <v>2019</v>
      </c>
      <c r="AJ635" s="6">
        <f t="shared" ca="1" si="176"/>
        <v>9</v>
      </c>
      <c r="AK635" s="68">
        <f ca="1">IFERROR(__xludf.DUMMYFUNCTION("""COMPUTED_VALUE"""),43727.9986111111)</f>
        <v>43727.998611111099</v>
      </c>
      <c r="AL635" s="6">
        <f ca="1">IFERROR(__xludf.DUMMYFUNCTION("""COMPUTED_VALUE"""),10264.86)</f>
        <v>10264.86</v>
      </c>
      <c r="AP635" s="6" t="str">
        <f t="shared" ca="1" si="177"/>
        <v>20207</v>
      </c>
      <c r="AQ635" s="6">
        <f t="shared" ca="1" si="178"/>
        <v>2020</v>
      </c>
      <c r="AR635" s="6">
        <f t="shared" ca="1" si="179"/>
        <v>7</v>
      </c>
      <c r="AS635" s="68">
        <f ca="1">IFERROR(__xludf.DUMMYFUNCTION("""COMPUTED_VALUE"""),44028.9986111111)</f>
        <v>44028.998611111099</v>
      </c>
      <c r="AT635" s="6">
        <f ca="1">IFERROR(__xludf.DUMMYFUNCTION("""COMPUTED_VALUE"""),1800.3)</f>
        <v>1800.3</v>
      </c>
    </row>
    <row r="636" spans="2:46" x14ac:dyDescent="0.35">
      <c r="B636" s="6" t="str">
        <f t="shared" ca="1" si="162"/>
        <v>20207</v>
      </c>
      <c r="C636" s="6">
        <f t="shared" ca="1" si="163"/>
        <v>2020</v>
      </c>
      <c r="D636" s="6">
        <f t="shared" ca="1" si="164"/>
        <v>7</v>
      </c>
      <c r="E636" s="68">
        <f ca="1">IFERROR(__xludf.DUMMYFUNCTION("""COMPUTED_VALUE"""),44020.6666666666)</f>
        <v>44020.666666666599</v>
      </c>
      <c r="F636" s="6">
        <f ca="1">IFERROR(__xludf.DUMMYFUNCTION("""COMPUTED_VALUE"""),3169.94)</f>
        <v>3169.94</v>
      </c>
      <c r="J636" s="6" t="str">
        <f t="shared" ca="1" si="165"/>
        <v>20207</v>
      </c>
      <c r="K636" s="6">
        <f t="shared" ca="1" si="166"/>
        <v>2020</v>
      </c>
      <c r="L636" s="6">
        <f t="shared" ca="1" si="167"/>
        <v>7</v>
      </c>
      <c r="M636" s="68">
        <f ca="1">IFERROR(__xludf.DUMMYFUNCTION("""COMPUTED_VALUE"""),44013.6666666666)</f>
        <v>44013.666666666599</v>
      </c>
      <c r="N636" s="6">
        <f ca="1">IFERROR(__xludf.DUMMYFUNCTION("""COMPUTED_VALUE"""),10154.63)</f>
        <v>10154.629999999999</v>
      </c>
      <c r="R636" s="6" t="str">
        <f t="shared" ca="1" si="168"/>
        <v>20208</v>
      </c>
      <c r="S636" s="6">
        <f t="shared" ca="1" si="169"/>
        <v>2020</v>
      </c>
      <c r="T636" s="6">
        <f t="shared" ca="1" si="170"/>
        <v>8</v>
      </c>
      <c r="U636" s="68">
        <f ca="1">IFERROR(__xludf.DUMMYFUNCTION("""COMPUTED_VALUE"""),44046.6458333333)</f>
        <v>44046.645833333299</v>
      </c>
      <c r="V636" s="6">
        <f ca="1">IFERROR(__xludf.DUMMYFUNCTION("""COMPUTED_VALUE"""),2251.04)</f>
        <v>2251.04</v>
      </c>
      <c r="Z636" s="6" t="str">
        <f t="shared" ca="1" si="171"/>
        <v>201911</v>
      </c>
      <c r="AA636" s="6">
        <f t="shared" ca="1" si="172"/>
        <v>2019</v>
      </c>
      <c r="AB636" s="6">
        <f t="shared" ca="1" si="173"/>
        <v>11</v>
      </c>
      <c r="AC636" s="68">
        <f ca="1">IFERROR(__xludf.DUMMYFUNCTION("""COMPUTED_VALUE"""),43771.9986111111)</f>
        <v>43771.998611111099</v>
      </c>
      <c r="AD636" s="6">
        <f ca="1">IFERROR(__xludf.DUMMYFUNCTION("""COMPUTED_VALUE"""),1163.7)</f>
        <v>1163.7</v>
      </c>
      <c r="AH636" s="6" t="str">
        <f t="shared" ca="1" si="174"/>
        <v>20199</v>
      </c>
      <c r="AI636" s="6">
        <f t="shared" ca="1" si="175"/>
        <v>2019</v>
      </c>
      <c r="AJ636" s="6">
        <f t="shared" ca="1" si="176"/>
        <v>9</v>
      </c>
      <c r="AK636" s="68">
        <f ca="1">IFERROR(__xludf.DUMMYFUNCTION("""COMPUTED_VALUE"""),43728.9986111111)</f>
        <v>43728.998611111099</v>
      </c>
      <c r="AL636" s="6">
        <f ca="1">IFERROR(__xludf.DUMMYFUNCTION("""COMPUTED_VALUE"""),10167.48)</f>
        <v>10167.48</v>
      </c>
      <c r="AP636" s="6" t="str">
        <f t="shared" ca="1" si="177"/>
        <v>20207</v>
      </c>
      <c r="AQ636" s="6">
        <f t="shared" ca="1" si="178"/>
        <v>2020</v>
      </c>
      <c r="AR636" s="6">
        <f t="shared" ca="1" si="179"/>
        <v>7</v>
      </c>
      <c r="AS636" s="68">
        <f ca="1">IFERROR(__xludf.DUMMYFUNCTION("""COMPUTED_VALUE"""),44029.9986111111)</f>
        <v>44029.998611111099</v>
      </c>
      <c r="AT636" s="6">
        <f ca="1">IFERROR(__xludf.DUMMYFUNCTION("""COMPUTED_VALUE"""),1810)</f>
        <v>1810</v>
      </c>
    </row>
    <row r="637" spans="2:46" x14ac:dyDescent="0.35">
      <c r="B637" s="6" t="str">
        <f t="shared" ca="1" si="162"/>
        <v>20207</v>
      </c>
      <c r="C637" s="6">
        <f t="shared" ca="1" si="163"/>
        <v>2020</v>
      </c>
      <c r="D637" s="6">
        <f t="shared" ca="1" si="164"/>
        <v>7</v>
      </c>
      <c r="E637" s="68">
        <f ca="1">IFERROR(__xludf.DUMMYFUNCTION("""COMPUTED_VALUE"""),44021.6666666666)</f>
        <v>44021.666666666599</v>
      </c>
      <c r="F637" s="6">
        <f ca="1">IFERROR(__xludf.DUMMYFUNCTION("""COMPUTED_VALUE"""),3152.05)</f>
        <v>3152.05</v>
      </c>
      <c r="J637" s="6" t="str">
        <f t="shared" ca="1" si="165"/>
        <v>20207</v>
      </c>
      <c r="K637" s="6">
        <f t="shared" ca="1" si="166"/>
        <v>2020</v>
      </c>
      <c r="L637" s="6">
        <f t="shared" ca="1" si="167"/>
        <v>7</v>
      </c>
      <c r="M637" s="68">
        <f ca="1">IFERROR(__xludf.DUMMYFUNCTION("""COMPUTED_VALUE"""),44014.6666666666)</f>
        <v>44014.666666666599</v>
      </c>
      <c r="N637" s="6">
        <f ca="1">IFERROR(__xludf.DUMMYFUNCTION("""COMPUTED_VALUE"""),10207.63)</f>
        <v>10207.629999999999</v>
      </c>
      <c r="R637" s="6" t="str">
        <f t="shared" ca="1" si="168"/>
        <v>20208</v>
      </c>
      <c r="S637" s="6">
        <f t="shared" ca="1" si="169"/>
        <v>2020</v>
      </c>
      <c r="T637" s="6">
        <f t="shared" ca="1" si="170"/>
        <v>8</v>
      </c>
      <c r="U637" s="68">
        <f ca="1">IFERROR(__xludf.DUMMYFUNCTION("""COMPUTED_VALUE"""),44047.6458333333)</f>
        <v>44047.645833333299</v>
      </c>
      <c r="V637" s="6">
        <f ca="1">IFERROR(__xludf.DUMMYFUNCTION("""COMPUTED_VALUE"""),2279.97)</f>
        <v>2279.9699999999998</v>
      </c>
      <c r="Z637" s="6" t="str">
        <f t="shared" ca="1" si="171"/>
        <v>201911</v>
      </c>
      <c r="AA637" s="6">
        <f t="shared" ca="1" si="172"/>
        <v>2019</v>
      </c>
      <c r="AB637" s="6">
        <f t="shared" ca="1" si="173"/>
        <v>11</v>
      </c>
      <c r="AC637" s="68">
        <f ca="1">IFERROR(__xludf.DUMMYFUNCTION("""COMPUTED_VALUE"""),43772.9986111111)</f>
        <v>43772.998611111099</v>
      </c>
      <c r="AD637" s="6">
        <f ca="1">IFERROR(__xludf.DUMMYFUNCTION("""COMPUTED_VALUE"""),1163.8)</f>
        <v>1163.8</v>
      </c>
      <c r="AH637" s="6" t="str">
        <f t="shared" ca="1" si="174"/>
        <v>20199</v>
      </c>
      <c r="AI637" s="6">
        <f t="shared" ca="1" si="175"/>
        <v>2019</v>
      </c>
      <c r="AJ637" s="6">
        <f t="shared" ca="1" si="176"/>
        <v>9</v>
      </c>
      <c r="AK637" s="68">
        <f ca="1">IFERROR(__xludf.DUMMYFUNCTION("""COMPUTED_VALUE"""),43729.9986111111)</f>
        <v>43729.998611111099</v>
      </c>
      <c r="AL637" s="6">
        <f ca="1">IFERROR(__xludf.DUMMYFUNCTION("""COMPUTED_VALUE"""),9971.226)</f>
        <v>9971.2260000000006</v>
      </c>
      <c r="AP637" s="6" t="str">
        <f t="shared" ca="1" si="177"/>
        <v>20207</v>
      </c>
      <c r="AQ637" s="6">
        <f t="shared" ca="1" si="178"/>
        <v>2020</v>
      </c>
      <c r="AR637" s="6">
        <f t="shared" ca="1" si="179"/>
        <v>7</v>
      </c>
      <c r="AS637" s="68">
        <f ca="1">IFERROR(__xludf.DUMMYFUNCTION("""COMPUTED_VALUE"""),44032.9986111111)</f>
        <v>44032.998611111099</v>
      </c>
      <c r="AT637" s="6">
        <f ca="1">IFERROR(__xludf.DUMMYFUNCTION("""COMPUTED_VALUE"""),1817.4)</f>
        <v>1817.4</v>
      </c>
    </row>
    <row r="638" spans="2:46" x14ac:dyDescent="0.35">
      <c r="B638" s="6" t="str">
        <f t="shared" ca="1" si="162"/>
        <v>20207</v>
      </c>
      <c r="C638" s="6">
        <f t="shared" ca="1" si="163"/>
        <v>2020</v>
      </c>
      <c r="D638" s="6">
        <f t="shared" ca="1" si="164"/>
        <v>7</v>
      </c>
      <c r="E638" s="68">
        <f ca="1">IFERROR(__xludf.DUMMYFUNCTION("""COMPUTED_VALUE"""),44022.6666666666)</f>
        <v>44022.666666666599</v>
      </c>
      <c r="F638" s="6">
        <f ca="1">IFERROR(__xludf.DUMMYFUNCTION("""COMPUTED_VALUE"""),3185.04)</f>
        <v>3185.04</v>
      </c>
      <c r="J638" s="6" t="str">
        <f t="shared" ca="1" si="165"/>
        <v>20207</v>
      </c>
      <c r="K638" s="6">
        <f t="shared" ca="1" si="166"/>
        <v>2020</v>
      </c>
      <c r="L638" s="6">
        <f t="shared" ca="1" si="167"/>
        <v>7</v>
      </c>
      <c r="M638" s="68">
        <f ca="1">IFERROR(__xludf.DUMMYFUNCTION("""COMPUTED_VALUE"""),44018.6666666666)</f>
        <v>44018.666666666599</v>
      </c>
      <c r="N638" s="6">
        <f ca="1">IFERROR(__xludf.DUMMYFUNCTION("""COMPUTED_VALUE"""),10433.65)</f>
        <v>10433.65</v>
      </c>
      <c r="R638" s="6" t="str">
        <f t="shared" ca="1" si="168"/>
        <v>20208</v>
      </c>
      <c r="S638" s="6">
        <f t="shared" ca="1" si="169"/>
        <v>2020</v>
      </c>
      <c r="T638" s="6">
        <f t="shared" ca="1" si="170"/>
        <v>8</v>
      </c>
      <c r="U638" s="68">
        <f ca="1">IFERROR(__xludf.DUMMYFUNCTION("""COMPUTED_VALUE"""),44048.6458333333)</f>
        <v>44048.645833333299</v>
      </c>
      <c r="V638" s="6">
        <f ca="1">IFERROR(__xludf.DUMMYFUNCTION("""COMPUTED_VALUE"""),2311.86)</f>
        <v>2311.86</v>
      </c>
      <c r="Z638" s="6" t="str">
        <f t="shared" ca="1" si="171"/>
        <v>201911</v>
      </c>
      <c r="AA638" s="6">
        <f t="shared" ca="1" si="172"/>
        <v>2019</v>
      </c>
      <c r="AB638" s="6">
        <f t="shared" ca="1" si="173"/>
        <v>11</v>
      </c>
      <c r="AC638" s="68">
        <f ca="1">IFERROR(__xludf.DUMMYFUNCTION("""COMPUTED_VALUE"""),43773.9986111111)</f>
        <v>43773.998611111099</v>
      </c>
      <c r="AD638" s="6">
        <f ca="1">IFERROR(__xludf.DUMMYFUNCTION("""COMPUTED_VALUE"""),1161.81)</f>
        <v>1161.81</v>
      </c>
      <c r="AH638" s="6" t="str">
        <f t="shared" ca="1" si="174"/>
        <v>20199</v>
      </c>
      <c r="AI638" s="6">
        <f t="shared" ca="1" si="175"/>
        <v>2019</v>
      </c>
      <c r="AJ638" s="6">
        <f t="shared" ca="1" si="176"/>
        <v>9</v>
      </c>
      <c r="AK638" s="68">
        <f ca="1">IFERROR(__xludf.DUMMYFUNCTION("""COMPUTED_VALUE"""),43730.9986111111)</f>
        <v>43730.998611111099</v>
      </c>
      <c r="AL638" s="6">
        <f ca="1">IFERROR(__xludf.DUMMYFUNCTION("""COMPUTED_VALUE"""),10021.93)</f>
        <v>10021.93</v>
      </c>
      <c r="AP638" s="6" t="str">
        <f t="shared" ca="1" si="177"/>
        <v>20207</v>
      </c>
      <c r="AQ638" s="6">
        <f t="shared" ca="1" si="178"/>
        <v>2020</v>
      </c>
      <c r="AR638" s="6">
        <f t="shared" ca="1" si="179"/>
        <v>7</v>
      </c>
      <c r="AS638" s="68">
        <f ca="1">IFERROR(__xludf.DUMMYFUNCTION("""COMPUTED_VALUE"""),44033.9986111111)</f>
        <v>44033.998611111099</v>
      </c>
      <c r="AT638" s="6">
        <f ca="1">IFERROR(__xludf.DUMMYFUNCTION("""COMPUTED_VALUE"""),1843.9)</f>
        <v>1843.9</v>
      </c>
    </row>
    <row r="639" spans="2:46" x14ac:dyDescent="0.35">
      <c r="B639" s="6" t="str">
        <f t="shared" ca="1" si="162"/>
        <v>20207</v>
      </c>
      <c r="C639" s="6">
        <f t="shared" ca="1" si="163"/>
        <v>2020</v>
      </c>
      <c r="D639" s="6">
        <f t="shared" ca="1" si="164"/>
        <v>7</v>
      </c>
      <c r="E639" s="68">
        <f ca="1">IFERROR(__xludf.DUMMYFUNCTION("""COMPUTED_VALUE"""),44025.6666666666)</f>
        <v>44025.666666666599</v>
      </c>
      <c r="F639" s="6">
        <f ca="1">IFERROR(__xludf.DUMMYFUNCTION("""COMPUTED_VALUE"""),3155.22)</f>
        <v>3155.22</v>
      </c>
      <c r="J639" s="6" t="str">
        <f t="shared" ca="1" si="165"/>
        <v>20207</v>
      </c>
      <c r="K639" s="6">
        <f t="shared" ca="1" si="166"/>
        <v>2020</v>
      </c>
      <c r="L639" s="6">
        <f t="shared" ca="1" si="167"/>
        <v>7</v>
      </c>
      <c r="M639" s="68">
        <f ca="1">IFERROR(__xludf.DUMMYFUNCTION("""COMPUTED_VALUE"""),44019.6666666666)</f>
        <v>44019.666666666599</v>
      </c>
      <c r="N639" s="6">
        <f ca="1">IFERROR(__xludf.DUMMYFUNCTION("""COMPUTED_VALUE"""),10343.89)</f>
        <v>10343.89</v>
      </c>
      <c r="R639" s="6" t="str">
        <f t="shared" ca="1" si="168"/>
        <v>20208</v>
      </c>
      <c r="S639" s="6">
        <f t="shared" ca="1" si="169"/>
        <v>2020</v>
      </c>
      <c r="T639" s="6">
        <f t="shared" ca="1" si="170"/>
        <v>8</v>
      </c>
      <c r="U639" s="68">
        <f ca="1">IFERROR(__xludf.DUMMYFUNCTION("""COMPUTED_VALUE"""),44049.6458333333)</f>
        <v>44049.645833333299</v>
      </c>
      <c r="V639" s="6">
        <f ca="1">IFERROR(__xludf.DUMMYFUNCTION("""COMPUTED_VALUE"""),2342.61)</f>
        <v>2342.61</v>
      </c>
      <c r="Z639" s="6" t="str">
        <f t="shared" ca="1" si="171"/>
        <v>201911</v>
      </c>
      <c r="AA639" s="6">
        <f t="shared" ca="1" si="172"/>
        <v>2019</v>
      </c>
      <c r="AB639" s="6">
        <f t="shared" ca="1" si="173"/>
        <v>11</v>
      </c>
      <c r="AC639" s="68">
        <f ca="1">IFERROR(__xludf.DUMMYFUNCTION("""COMPUTED_VALUE"""),43774.9986111111)</f>
        <v>43774.998611111099</v>
      </c>
      <c r="AD639" s="6">
        <f ca="1">IFERROR(__xludf.DUMMYFUNCTION("""COMPUTED_VALUE"""),1155.2)</f>
        <v>1155.2</v>
      </c>
      <c r="AH639" s="6" t="str">
        <f t="shared" ca="1" si="174"/>
        <v>20199</v>
      </c>
      <c r="AI639" s="6">
        <f t="shared" ca="1" si="175"/>
        <v>2019</v>
      </c>
      <c r="AJ639" s="6">
        <f t="shared" ca="1" si="176"/>
        <v>9</v>
      </c>
      <c r="AK639" s="68">
        <f ca="1">IFERROR(__xludf.DUMMYFUNCTION("""COMPUTED_VALUE"""),43731.9986111111)</f>
        <v>43731.998611111099</v>
      </c>
      <c r="AL639" s="6">
        <f ca="1">IFERROR(__xludf.DUMMYFUNCTION("""COMPUTED_VALUE"""),9687.155)</f>
        <v>9687.1550000000007</v>
      </c>
      <c r="AP639" s="6" t="str">
        <f t="shared" ca="1" si="177"/>
        <v>20207</v>
      </c>
      <c r="AQ639" s="6">
        <f t="shared" ca="1" si="178"/>
        <v>2020</v>
      </c>
      <c r="AR639" s="6">
        <f t="shared" ca="1" si="179"/>
        <v>7</v>
      </c>
      <c r="AS639" s="68">
        <f ca="1">IFERROR(__xludf.DUMMYFUNCTION("""COMPUTED_VALUE"""),44034.9986111111)</f>
        <v>44034.998611111099</v>
      </c>
      <c r="AT639" s="6">
        <f ca="1">IFERROR(__xludf.DUMMYFUNCTION("""COMPUTED_VALUE"""),1865.1)</f>
        <v>1865.1</v>
      </c>
    </row>
    <row r="640" spans="2:46" x14ac:dyDescent="0.35">
      <c r="B640" s="6" t="str">
        <f t="shared" ca="1" si="162"/>
        <v>20207</v>
      </c>
      <c r="C640" s="6">
        <f t="shared" ca="1" si="163"/>
        <v>2020</v>
      </c>
      <c r="D640" s="6">
        <f t="shared" ca="1" si="164"/>
        <v>7</v>
      </c>
      <c r="E640" s="68">
        <f ca="1">IFERROR(__xludf.DUMMYFUNCTION("""COMPUTED_VALUE"""),44026.6666666666)</f>
        <v>44026.666666666599</v>
      </c>
      <c r="F640" s="6">
        <f ca="1">IFERROR(__xludf.DUMMYFUNCTION("""COMPUTED_VALUE"""),3197.52)</f>
        <v>3197.52</v>
      </c>
      <c r="J640" s="6" t="str">
        <f t="shared" ca="1" si="165"/>
        <v>20207</v>
      </c>
      <c r="K640" s="6">
        <f t="shared" ca="1" si="166"/>
        <v>2020</v>
      </c>
      <c r="L640" s="6">
        <f t="shared" ca="1" si="167"/>
        <v>7</v>
      </c>
      <c r="M640" s="68">
        <f ca="1">IFERROR(__xludf.DUMMYFUNCTION("""COMPUTED_VALUE"""),44020.6666666666)</f>
        <v>44020.666666666599</v>
      </c>
      <c r="N640" s="6">
        <f ca="1">IFERROR(__xludf.DUMMYFUNCTION("""COMPUTED_VALUE"""),10492.5)</f>
        <v>10492.5</v>
      </c>
      <c r="R640" s="6" t="str">
        <f t="shared" ca="1" si="168"/>
        <v>20208</v>
      </c>
      <c r="S640" s="6">
        <f t="shared" ca="1" si="169"/>
        <v>2020</v>
      </c>
      <c r="T640" s="6">
        <f t="shared" ca="1" si="170"/>
        <v>8</v>
      </c>
      <c r="U640" s="68">
        <f ca="1">IFERROR(__xludf.DUMMYFUNCTION("""COMPUTED_VALUE"""),44050.6458333333)</f>
        <v>44050.645833333299</v>
      </c>
      <c r="V640" s="6">
        <f ca="1">IFERROR(__xludf.DUMMYFUNCTION("""COMPUTED_VALUE"""),2351.67)</f>
        <v>2351.67</v>
      </c>
      <c r="Z640" s="6" t="str">
        <f t="shared" ca="1" si="171"/>
        <v>201911</v>
      </c>
      <c r="AA640" s="6">
        <f t="shared" ca="1" si="172"/>
        <v>2019</v>
      </c>
      <c r="AB640" s="6">
        <f t="shared" ca="1" si="173"/>
        <v>11</v>
      </c>
      <c r="AC640" s="68">
        <f ca="1">IFERROR(__xludf.DUMMYFUNCTION("""COMPUTED_VALUE"""),43775.9986111111)</f>
        <v>43775.998611111099</v>
      </c>
      <c r="AD640" s="6">
        <f ca="1">IFERROR(__xludf.DUMMYFUNCTION("""COMPUTED_VALUE"""),1160.08)</f>
        <v>1160.08</v>
      </c>
      <c r="AH640" s="6" t="str">
        <f t="shared" ca="1" si="174"/>
        <v>20199</v>
      </c>
      <c r="AI640" s="6">
        <f t="shared" ca="1" si="175"/>
        <v>2019</v>
      </c>
      <c r="AJ640" s="6">
        <f t="shared" ca="1" si="176"/>
        <v>9</v>
      </c>
      <c r="AK640" s="68">
        <f ca="1">IFERROR(__xludf.DUMMYFUNCTION("""COMPUTED_VALUE"""),43732.9986111111)</f>
        <v>43732.998611111099</v>
      </c>
      <c r="AL640" s="6">
        <f ca="1">IFERROR(__xludf.DUMMYFUNCTION("""COMPUTED_VALUE"""),8534.465)</f>
        <v>8534.4650000000001</v>
      </c>
      <c r="AP640" s="6" t="str">
        <f t="shared" ca="1" si="177"/>
        <v>20207</v>
      </c>
      <c r="AQ640" s="6">
        <f t="shared" ca="1" si="178"/>
        <v>2020</v>
      </c>
      <c r="AR640" s="6">
        <f t="shared" ca="1" si="179"/>
        <v>7</v>
      </c>
      <c r="AS640" s="68">
        <f ca="1">IFERROR(__xludf.DUMMYFUNCTION("""COMPUTED_VALUE"""),44035.9986111111)</f>
        <v>44035.998611111099</v>
      </c>
      <c r="AT640" s="6">
        <f ca="1">IFERROR(__xludf.DUMMYFUNCTION("""COMPUTED_VALUE"""),1890)</f>
        <v>1890</v>
      </c>
    </row>
    <row r="641" spans="2:46" x14ac:dyDescent="0.35">
      <c r="B641" s="6" t="str">
        <f t="shared" ca="1" si="162"/>
        <v>20207</v>
      </c>
      <c r="C641" s="6">
        <f t="shared" ca="1" si="163"/>
        <v>2020</v>
      </c>
      <c r="D641" s="6">
        <f t="shared" ca="1" si="164"/>
        <v>7</v>
      </c>
      <c r="E641" s="68">
        <f ca="1">IFERROR(__xludf.DUMMYFUNCTION("""COMPUTED_VALUE"""),44027.6666666666)</f>
        <v>44027.666666666599</v>
      </c>
      <c r="F641" s="6">
        <f ca="1">IFERROR(__xludf.DUMMYFUNCTION("""COMPUTED_VALUE"""),3226.56)</f>
        <v>3226.56</v>
      </c>
      <c r="J641" s="6" t="str">
        <f t="shared" ca="1" si="165"/>
        <v>20207</v>
      </c>
      <c r="K641" s="6">
        <f t="shared" ca="1" si="166"/>
        <v>2020</v>
      </c>
      <c r="L641" s="6">
        <f t="shared" ca="1" si="167"/>
        <v>7</v>
      </c>
      <c r="M641" s="68">
        <f ca="1">IFERROR(__xludf.DUMMYFUNCTION("""COMPUTED_VALUE"""),44021.6666666666)</f>
        <v>44021.666666666599</v>
      </c>
      <c r="N641" s="6">
        <f ca="1">IFERROR(__xludf.DUMMYFUNCTION("""COMPUTED_VALUE"""),10547.75)</f>
        <v>10547.75</v>
      </c>
      <c r="R641" s="6" t="str">
        <f t="shared" ca="1" si="168"/>
        <v>20208</v>
      </c>
      <c r="S641" s="6">
        <f t="shared" ca="1" si="169"/>
        <v>2020</v>
      </c>
      <c r="T641" s="6">
        <f t="shared" ca="1" si="170"/>
        <v>8</v>
      </c>
      <c r="U641" s="68">
        <f ca="1">IFERROR(__xludf.DUMMYFUNCTION("""COMPUTED_VALUE"""),44053.6458333333)</f>
        <v>44053.645833333299</v>
      </c>
      <c r="V641" s="6">
        <f ca="1">IFERROR(__xludf.DUMMYFUNCTION("""COMPUTED_VALUE"""),2386.38)</f>
        <v>2386.38</v>
      </c>
      <c r="Z641" s="6" t="str">
        <f t="shared" ca="1" si="171"/>
        <v>201911</v>
      </c>
      <c r="AA641" s="6">
        <f t="shared" ca="1" si="172"/>
        <v>2019</v>
      </c>
      <c r="AB641" s="6">
        <f t="shared" ca="1" si="173"/>
        <v>11</v>
      </c>
      <c r="AC641" s="68">
        <f ca="1">IFERROR(__xludf.DUMMYFUNCTION("""COMPUTED_VALUE"""),43776.9986111111)</f>
        <v>43776.998611111099</v>
      </c>
      <c r="AD641" s="6">
        <f ca="1">IFERROR(__xludf.DUMMYFUNCTION("""COMPUTED_VALUE"""),1153.77)</f>
        <v>1153.77</v>
      </c>
      <c r="AH641" s="6" t="str">
        <f t="shared" ca="1" si="174"/>
        <v>20199</v>
      </c>
      <c r="AI641" s="6">
        <f t="shared" ca="1" si="175"/>
        <v>2019</v>
      </c>
      <c r="AJ641" s="6">
        <f t="shared" ca="1" si="176"/>
        <v>9</v>
      </c>
      <c r="AK641" s="68">
        <f ca="1">IFERROR(__xludf.DUMMYFUNCTION("""COMPUTED_VALUE"""),43733.9986111111)</f>
        <v>43733.998611111099</v>
      </c>
      <c r="AL641" s="6">
        <f ca="1">IFERROR(__xludf.DUMMYFUNCTION("""COMPUTED_VALUE"""),8433.447)</f>
        <v>8433.4470000000001</v>
      </c>
      <c r="AP641" s="6" t="str">
        <f t="shared" ca="1" si="177"/>
        <v>20207</v>
      </c>
      <c r="AQ641" s="6">
        <f t="shared" ca="1" si="178"/>
        <v>2020</v>
      </c>
      <c r="AR641" s="6">
        <f t="shared" ca="1" si="179"/>
        <v>7</v>
      </c>
      <c r="AS641" s="68">
        <f ca="1">IFERROR(__xludf.DUMMYFUNCTION("""COMPUTED_VALUE"""),44036.9986111111)</f>
        <v>44036.998611111099</v>
      </c>
      <c r="AT641" s="6">
        <f ca="1">IFERROR(__xludf.DUMMYFUNCTION("""COMPUTED_VALUE"""),1925.2)</f>
        <v>1925.2</v>
      </c>
    </row>
    <row r="642" spans="2:46" x14ac:dyDescent="0.35">
      <c r="B642" s="6" t="str">
        <f t="shared" ca="1" si="162"/>
        <v>20207</v>
      </c>
      <c r="C642" s="6">
        <f t="shared" ca="1" si="163"/>
        <v>2020</v>
      </c>
      <c r="D642" s="6">
        <f t="shared" ca="1" si="164"/>
        <v>7</v>
      </c>
      <c r="E642" s="68">
        <f ca="1">IFERROR(__xludf.DUMMYFUNCTION("""COMPUTED_VALUE"""),44028.6666666666)</f>
        <v>44028.666666666599</v>
      </c>
      <c r="F642" s="6">
        <f ca="1">IFERROR(__xludf.DUMMYFUNCTION("""COMPUTED_VALUE"""),3215.57)</f>
        <v>3215.57</v>
      </c>
      <c r="J642" s="6" t="str">
        <f t="shared" ca="1" si="165"/>
        <v>20207</v>
      </c>
      <c r="K642" s="6">
        <f t="shared" ca="1" si="166"/>
        <v>2020</v>
      </c>
      <c r="L642" s="6">
        <f t="shared" ca="1" si="167"/>
        <v>7</v>
      </c>
      <c r="M642" s="68">
        <f ca="1">IFERROR(__xludf.DUMMYFUNCTION("""COMPUTED_VALUE"""),44022.6666666666)</f>
        <v>44022.666666666599</v>
      </c>
      <c r="N642" s="6">
        <f ca="1">IFERROR(__xludf.DUMMYFUNCTION("""COMPUTED_VALUE"""),10617.44)</f>
        <v>10617.44</v>
      </c>
      <c r="R642" s="6" t="str">
        <f t="shared" ca="1" si="168"/>
        <v>20208</v>
      </c>
      <c r="S642" s="6">
        <f t="shared" ca="1" si="169"/>
        <v>2020</v>
      </c>
      <c r="T642" s="6">
        <f t="shared" ca="1" si="170"/>
        <v>8</v>
      </c>
      <c r="U642" s="68">
        <f ca="1">IFERROR(__xludf.DUMMYFUNCTION("""COMPUTED_VALUE"""),44054.6458333333)</f>
        <v>44054.645833333299</v>
      </c>
      <c r="V642" s="6">
        <f ca="1">IFERROR(__xludf.DUMMYFUNCTION("""COMPUTED_VALUE"""),2418.67)</f>
        <v>2418.67</v>
      </c>
      <c r="Z642" s="6" t="str">
        <f t="shared" ca="1" si="171"/>
        <v>201911</v>
      </c>
      <c r="AA642" s="6">
        <f t="shared" ca="1" si="172"/>
        <v>2019</v>
      </c>
      <c r="AB642" s="6">
        <f t="shared" ca="1" si="173"/>
        <v>11</v>
      </c>
      <c r="AC642" s="68">
        <f ca="1">IFERROR(__xludf.DUMMYFUNCTION("""COMPUTED_VALUE"""),43777.9986111111)</f>
        <v>43777.998611111099</v>
      </c>
      <c r="AD642" s="6">
        <f ca="1">IFERROR(__xludf.DUMMYFUNCTION("""COMPUTED_VALUE"""),1158.6)</f>
        <v>1158.5999999999999</v>
      </c>
      <c r="AH642" s="6" t="str">
        <f t="shared" ca="1" si="174"/>
        <v>20199</v>
      </c>
      <c r="AI642" s="6">
        <f t="shared" ca="1" si="175"/>
        <v>2019</v>
      </c>
      <c r="AJ642" s="6">
        <f t="shared" ca="1" si="176"/>
        <v>9</v>
      </c>
      <c r="AK642" s="68">
        <f ca="1">IFERROR(__xludf.DUMMYFUNCTION("""COMPUTED_VALUE"""),43734.9986111111)</f>
        <v>43734.998611111099</v>
      </c>
      <c r="AL642" s="6">
        <f ca="1">IFERROR(__xludf.DUMMYFUNCTION("""COMPUTED_VALUE"""),8057.581)</f>
        <v>8057.5810000000001</v>
      </c>
      <c r="AP642" s="6" t="str">
        <f t="shared" ca="1" si="177"/>
        <v>20207</v>
      </c>
      <c r="AQ642" s="6">
        <f t="shared" ca="1" si="178"/>
        <v>2020</v>
      </c>
      <c r="AR642" s="6">
        <f t="shared" ca="1" si="179"/>
        <v>7</v>
      </c>
      <c r="AS642" s="68">
        <f ca="1">IFERROR(__xludf.DUMMYFUNCTION("""COMPUTED_VALUE"""),44039.9986111111)</f>
        <v>44039.998611111099</v>
      </c>
      <c r="AT642" s="6">
        <f ca="1">IFERROR(__xludf.DUMMYFUNCTION("""COMPUTED_VALUE"""),1955.4)</f>
        <v>1955.4</v>
      </c>
    </row>
    <row r="643" spans="2:46" x14ac:dyDescent="0.35">
      <c r="B643" s="6" t="str">
        <f t="shared" ca="1" si="162"/>
        <v>20207</v>
      </c>
      <c r="C643" s="6">
        <f t="shared" ca="1" si="163"/>
        <v>2020</v>
      </c>
      <c r="D643" s="6">
        <f t="shared" ca="1" si="164"/>
        <v>7</v>
      </c>
      <c r="E643" s="68">
        <f ca="1">IFERROR(__xludf.DUMMYFUNCTION("""COMPUTED_VALUE"""),44029.6666666666)</f>
        <v>44029.666666666599</v>
      </c>
      <c r="F643" s="6">
        <f ca="1">IFERROR(__xludf.DUMMYFUNCTION("""COMPUTED_VALUE"""),3224.73)</f>
        <v>3224.73</v>
      </c>
      <c r="J643" s="6" t="str">
        <f t="shared" ca="1" si="165"/>
        <v>20207</v>
      </c>
      <c r="K643" s="6">
        <f t="shared" ca="1" si="166"/>
        <v>2020</v>
      </c>
      <c r="L643" s="6">
        <f t="shared" ca="1" si="167"/>
        <v>7</v>
      </c>
      <c r="M643" s="68">
        <f ca="1">IFERROR(__xludf.DUMMYFUNCTION("""COMPUTED_VALUE"""),44025.6666666666)</f>
        <v>44025.666666666599</v>
      </c>
      <c r="N643" s="6">
        <f ca="1">IFERROR(__xludf.DUMMYFUNCTION("""COMPUTED_VALUE"""),10390.84)</f>
        <v>10390.84</v>
      </c>
      <c r="R643" s="6" t="str">
        <f t="shared" ca="1" si="168"/>
        <v>20208</v>
      </c>
      <c r="S643" s="6">
        <f t="shared" ca="1" si="169"/>
        <v>2020</v>
      </c>
      <c r="T643" s="6">
        <f t="shared" ca="1" si="170"/>
        <v>8</v>
      </c>
      <c r="U643" s="68">
        <f ca="1">IFERROR(__xludf.DUMMYFUNCTION("""COMPUTED_VALUE"""),44055.6458333333)</f>
        <v>44055.645833333299</v>
      </c>
      <c r="V643" s="6">
        <f ca="1">IFERROR(__xludf.DUMMYFUNCTION("""COMPUTED_VALUE"""),2432.35)</f>
        <v>2432.35</v>
      </c>
      <c r="Z643" s="6" t="str">
        <f t="shared" ca="1" si="171"/>
        <v>201911</v>
      </c>
      <c r="AA643" s="6">
        <f t="shared" ca="1" si="172"/>
        <v>2019</v>
      </c>
      <c r="AB643" s="6">
        <f t="shared" ca="1" si="173"/>
        <v>11</v>
      </c>
      <c r="AC643" s="68">
        <f ca="1">IFERROR(__xludf.DUMMYFUNCTION("""COMPUTED_VALUE"""),43778.9986111111)</f>
        <v>43778.998611111099</v>
      </c>
      <c r="AD643" s="6">
        <f ca="1">IFERROR(__xludf.DUMMYFUNCTION("""COMPUTED_VALUE"""),1158.682)</f>
        <v>1158.682</v>
      </c>
      <c r="AH643" s="6" t="str">
        <f t="shared" ca="1" si="174"/>
        <v>20199</v>
      </c>
      <c r="AI643" s="6">
        <f t="shared" ca="1" si="175"/>
        <v>2019</v>
      </c>
      <c r="AJ643" s="6">
        <f t="shared" ca="1" si="176"/>
        <v>9</v>
      </c>
      <c r="AK643" s="68">
        <f ca="1">IFERROR(__xludf.DUMMYFUNCTION("""COMPUTED_VALUE"""),43735.9986111111)</f>
        <v>43735.998611111099</v>
      </c>
      <c r="AL643" s="6">
        <f ca="1">IFERROR(__xludf.DUMMYFUNCTION("""COMPUTED_VALUE"""),8204.702)</f>
        <v>8204.7019999999993</v>
      </c>
      <c r="AP643" s="6" t="str">
        <f t="shared" ca="1" si="177"/>
        <v>20207</v>
      </c>
      <c r="AQ643" s="6">
        <f t="shared" ca="1" si="178"/>
        <v>2020</v>
      </c>
      <c r="AR643" s="6">
        <f t="shared" ca="1" si="179"/>
        <v>7</v>
      </c>
      <c r="AS643" s="68">
        <f ca="1">IFERROR(__xludf.DUMMYFUNCTION("""COMPUTED_VALUE"""),44040.9986111111)</f>
        <v>44040.998611111099</v>
      </c>
      <c r="AT643" s="6">
        <f ca="1">IFERROR(__xludf.DUMMYFUNCTION("""COMPUTED_VALUE"""),1963.9)</f>
        <v>1963.9</v>
      </c>
    </row>
    <row r="644" spans="2:46" x14ac:dyDescent="0.35">
      <c r="B644" s="6" t="str">
        <f t="shared" ca="1" si="162"/>
        <v>20207</v>
      </c>
      <c r="C644" s="6">
        <f t="shared" ca="1" si="163"/>
        <v>2020</v>
      </c>
      <c r="D644" s="6">
        <f t="shared" ca="1" si="164"/>
        <v>7</v>
      </c>
      <c r="E644" s="68">
        <f ca="1">IFERROR(__xludf.DUMMYFUNCTION("""COMPUTED_VALUE"""),44032.6666666666)</f>
        <v>44032.666666666599</v>
      </c>
      <c r="F644" s="6">
        <f ca="1">IFERROR(__xludf.DUMMYFUNCTION("""COMPUTED_VALUE"""),3251.84)</f>
        <v>3251.84</v>
      </c>
      <c r="J644" s="6" t="str">
        <f t="shared" ca="1" si="165"/>
        <v>20207</v>
      </c>
      <c r="K644" s="6">
        <f t="shared" ca="1" si="166"/>
        <v>2020</v>
      </c>
      <c r="L644" s="6">
        <f t="shared" ca="1" si="167"/>
        <v>7</v>
      </c>
      <c r="M644" s="68">
        <f ca="1">IFERROR(__xludf.DUMMYFUNCTION("""COMPUTED_VALUE"""),44026.6666666666)</f>
        <v>44026.666666666599</v>
      </c>
      <c r="N644" s="6">
        <f ca="1">IFERROR(__xludf.DUMMYFUNCTION("""COMPUTED_VALUE"""),10488.58)</f>
        <v>10488.58</v>
      </c>
      <c r="R644" s="6" t="str">
        <f t="shared" ca="1" si="168"/>
        <v>20208</v>
      </c>
      <c r="S644" s="6">
        <f t="shared" ca="1" si="169"/>
        <v>2020</v>
      </c>
      <c r="T644" s="6">
        <f t="shared" ca="1" si="170"/>
        <v>8</v>
      </c>
      <c r="U644" s="68">
        <f ca="1">IFERROR(__xludf.DUMMYFUNCTION("""COMPUTED_VALUE"""),44056.6458333333)</f>
        <v>44056.645833333299</v>
      </c>
      <c r="V644" s="6">
        <f ca="1">IFERROR(__xludf.DUMMYFUNCTION("""COMPUTED_VALUE"""),2437.53)</f>
        <v>2437.5300000000002</v>
      </c>
      <c r="Z644" s="6" t="str">
        <f t="shared" ca="1" si="171"/>
        <v>201911</v>
      </c>
      <c r="AA644" s="6">
        <f t="shared" ca="1" si="172"/>
        <v>2019</v>
      </c>
      <c r="AB644" s="6">
        <f t="shared" ca="1" si="173"/>
        <v>11</v>
      </c>
      <c r="AC644" s="68">
        <f ca="1">IFERROR(__xludf.DUMMYFUNCTION("""COMPUTED_VALUE"""),43780.9986111111)</f>
        <v>43780.998611111099</v>
      </c>
      <c r="AD644" s="6">
        <f ca="1">IFERROR(__xludf.DUMMYFUNCTION("""COMPUTED_VALUE"""),1163.9)</f>
        <v>1163.9000000000001</v>
      </c>
      <c r="AH644" s="6" t="str">
        <f t="shared" ca="1" si="174"/>
        <v>20199</v>
      </c>
      <c r="AI644" s="6">
        <f t="shared" ca="1" si="175"/>
        <v>2019</v>
      </c>
      <c r="AJ644" s="6">
        <f t="shared" ca="1" si="176"/>
        <v>9</v>
      </c>
      <c r="AK644" s="68">
        <f ca="1">IFERROR(__xludf.DUMMYFUNCTION("""COMPUTED_VALUE"""),43736.9986111111)</f>
        <v>43736.998611111099</v>
      </c>
      <c r="AL644" s="6">
        <f ca="1">IFERROR(__xludf.DUMMYFUNCTION("""COMPUTED_VALUE"""),8197.79)</f>
        <v>8197.7900000000009</v>
      </c>
      <c r="AP644" s="6" t="str">
        <f t="shared" ca="1" si="177"/>
        <v>20207</v>
      </c>
      <c r="AQ644" s="6">
        <f t="shared" ca="1" si="178"/>
        <v>2020</v>
      </c>
      <c r="AR644" s="6">
        <f t="shared" ca="1" si="179"/>
        <v>7</v>
      </c>
      <c r="AS644" s="68">
        <f ca="1">IFERROR(__xludf.DUMMYFUNCTION("""COMPUTED_VALUE"""),44041.9986111111)</f>
        <v>44041.998611111099</v>
      </c>
      <c r="AT644" s="6">
        <f ca="1">IFERROR(__xludf.DUMMYFUNCTION("""COMPUTED_VALUE"""),1976.7)</f>
        <v>1976.7</v>
      </c>
    </row>
    <row r="645" spans="2:46" x14ac:dyDescent="0.35">
      <c r="B645" s="6" t="str">
        <f t="shared" ca="1" si="162"/>
        <v>20207</v>
      </c>
      <c r="C645" s="6">
        <f t="shared" ca="1" si="163"/>
        <v>2020</v>
      </c>
      <c r="D645" s="6">
        <f t="shared" ca="1" si="164"/>
        <v>7</v>
      </c>
      <c r="E645" s="68">
        <f ca="1">IFERROR(__xludf.DUMMYFUNCTION("""COMPUTED_VALUE"""),44033.6666666666)</f>
        <v>44033.666666666599</v>
      </c>
      <c r="F645" s="6">
        <f ca="1">IFERROR(__xludf.DUMMYFUNCTION("""COMPUTED_VALUE"""),3257.3)</f>
        <v>3257.3</v>
      </c>
      <c r="J645" s="6" t="str">
        <f t="shared" ca="1" si="165"/>
        <v>20207</v>
      </c>
      <c r="K645" s="6">
        <f t="shared" ca="1" si="166"/>
        <v>2020</v>
      </c>
      <c r="L645" s="6">
        <f t="shared" ca="1" si="167"/>
        <v>7</v>
      </c>
      <c r="M645" s="68">
        <f ca="1">IFERROR(__xludf.DUMMYFUNCTION("""COMPUTED_VALUE"""),44027.6666666666)</f>
        <v>44027.666666666599</v>
      </c>
      <c r="N645" s="6">
        <f ca="1">IFERROR(__xludf.DUMMYFUNCTION("""COMPUTED_VALUE"""),10550.49)</f>
        <v>10550.49</v>
      </c>
      <c r="R645" s="6" t="str">
        <f t="shared" ca="1" si="168"/>
        <v>20208</v>
      </c>
      <c r="S645" s="6">
        <f t="shared" ca="1" si="169"/>
        <v>2020</v>
      </c>
      <c r="T645" s="6">
        <f t="shared" ca="1" si="170"/>
        <v>8</v>
      </c>
      <c r="U645" s="68">
        <f ca="1">IFERROR(__xludf.DUMMYFUNCTION("""COMPUTED_VALUE"""),44057.6458333333)</f>
        <v>44057.645833333299</v>
      </c>
      <c r="V645" s="6">
        <f ca="1">IFERROR(__xludf.DUMMYFUNCTION("""COMPUTED_VALUE"""),2407.49)</f>
        <v>2407.4899999999998</v>
      </c>
      <c r="Z645" s="6" t="str">
        <f t="shared" ca="1" si="171"/>
        <v>201911</v>
      </c>
      <c r="AA645" s="6">
        <f t="shared" ca="1" si="172"/>
        <v>2019</v>
      </c>
      <c r="AB645" s="6">
        <f t="shared" ca="1" si="173"/>
        <v>11</v>
      </c>
      <c r="AC645" s="68">
        <f ca="1">IFERROR(__xludf.DUMMYFUNCTION("""COMPUTED_VALUE"""),43781.9986111111)</f>
        <v>43781.998611111099</v>
      </c>
      <c r="AD645" s="6">
        <f ca="1">IFERROR(__xludf.DUMMYFUNCTION("""COMPUTED_VALUE"""),1164.95)</f>
        <v>1164.95</v>
      </c>
      <c r="AH645" s="6" t="str">
        <f t="shared" ca="1" si="174"/>
        <v>20199</v>
      </c>
      <c r="AI645" s="6">
        <f t="shared" ca="1" si="175"/>
        <v>2019</v>
      </c>
      <c r="AJ645" s="6">
        <f t="shared" ca="1" si="176"/>
        <v>9</v>
      </c>
      <c r="AK645" s="68">
        <f ca="1">IFERROR(__xludf.DUMMYFUNCTION("""COMPUTED_VALUE"""),43737.9986111111)</f>
        <v>43737.998611111099</v>
      </c>
      <c r="AL645" s="6">
        <f ca="1">IFERROR(__xludf.DUMMYFUNCTION("""COMPUTED_VALUE"""),8056.601)</f>
        <v>8056.6009999999997</v>
      </c>
      <c r="AP645" s="6" t="str">
        <f t="shared" ca="1" si="177"/>
        <v>20207</v>
      </c>
      <c r="AQ645" s="6">
        <f t="shared" ca="1" si="178"/>
        <v>2020</v>
      </c>
      <c r="AR645" s="6">
        <f t="shared" ca="1" si="179"/>
        <v>7</v>
      </c>
      <c r="AS645" s="68">
        <f ca="1">IFERROR(__xludf.DUMMYFUNCTION("""COMPUTED_VALUE"""),44042.9986111111)</f>
        <v>44042.998611111099</v>
      </c>
      <c r="AT645" s="6">
        <f ca="1">IFERROR(__xludf.DUMMYFUNCTION("""COMPUTED_VALUE"""),1966.8)</f>
        <v>1966.8</v>
      </c>
    </row>
    <row r="646" spans="2:46" x14ac:dyDescent="0.35">
      <c r="B646" s="6" t="str">
        <f t="shared" ca="1" si="162"/>
        <v>20207</v>
      </c>
      <c r="C646" s="6">
        <f t="shared" ca="1" si="163"/>
        <v>2020</v>
      </c>
      <c r="D646" s="6">
        <f t="shared" ca="1" si="164"/>
        <v>7</v>
      </c>
      <c r="E646" s="68">
        <f ca="1">IFERROR(__xludf.DUMMYFUNCTION("""COMPUTED_VALUE"""),44034.6666666666)</f>
        <v>44034.666666666599</v>
      </c>
      <c r="F646" s="6">
        <f ca="1">IFERROR(__xludf.DUMMYFUNCTION("""COMPUTED_VALUE"""),3276.02)</f>
        <v>3276.02</v>
      </c>
      <c r="J646" s="6" t="str">
        <f t="shared" ca="1" si="165"/>
        <v>20207</v>
      </c>
      <c r="K646" s="6">
        <f t="shared" ca="1" si="166"/>
        <v>2020</v>
      </c>
      <c r="L646" s="6">
        <f t="shared" ca="1" si="167"/>
        <v>7</v>
      </c>
      <c r="M646" s="68">
        <f ca="1">IFERROR(__xludf.DUMMYFUNCTION("""COMPUTED_VALUE"""),44028.6666666666)</f>
        <v>44028.666666666599</v>
      </c>
      <c r="N646" s="6">
        <f ca="1">IFERROR(__xludf.DUMMYFUNCTION("""COMPUTED_VALUE"""),10473.83)</f>
        <v>10473.83</v>
      </c>
      <c r="R646" s="6" t="str">
        <f t="shared" ca="1" si="168"/>
        <v>20208</v>
      </c>
      <c r="S646" s="6">
        <f t="shared" ca="1" si="169"/>
        <v>2020</v>
      </c>
      <c r="T646" s="6">
        <f t="shared" ca="1" si="170"/>
        <v>8</v>
      </c>
      <c r="U646" s="68">
        <f ca="1">IFERROR(__xludf.DUMMYFUNCTION("""COMPUTED_VALUE"""),44061.6458333333)</f>
        <v>44061.645833333299</v>
      </c>
      <c r="V646" s="6">
        <f ca="1">IFERROR(__xludf.DUMMYFUNCTION("""COMPUTED_VALUE"""),2348.24)</f>
        <v>2348.2399999999998</v>
      </c>
      <c r="Z646" s="6" t="str">
        <f t="shared" ca="1" si="171"/>
        <v>201911</v>
      </c>
      <c r="AA646" s="6">
        <f t="shared" ca="1" si="172"/>
        <v>2019</v>
      </c>
      <c r="AB646" s="6">
        <f t="shared" ca="1" si="173"/>
        <v>11</v>
      </c>
      <c r="AC646" s="68">
        <f ca="1">IFERROR(__xludf.DUMMYFUNCTION("""COMPUTED_VALUE"""),43782.9986111111)</f>
        <v>43782.998611111099</v>
      </c>
      <c r="AD646" s="6">
        <f ca="1">IFERROR(__xludf.DUMMYFUNCTION("""COMPUTED_VALUE"""),1169.86)</f>
        <v>1169.8599999999999</v>
      </c>
      <c r="AH646" s="6" t="str">
        <f t="shared" ca="1" si="174"/>
        <v>20199</v>
      </c>
      <c r="AI646" s="6">
        <f t="shared" ca="1" si="175"/>
        <v>2019</v>
      </c>
      <c r="AJ646" s="6">
        <f t="shared" ca="1" si="176"/>
        <v>9</v>
      </c>
      <c r="AK646" s="68">
        <f ca="1">IFERROR(__xludf.DUMMYFUNCTION("""COMPUTED_VALUE"""),43738.9986111111)</f>
        <v>43738.998611111099</v>
      </c>
      <c r="AL646" s="6">
        <f ca="1">IFERROR(__xludf.DUMMYFUNCTION("""COMPUTED_VALUE"""),8296.118)</f>
        <v>8296.1180000000004</v>
      </c>
      <c r="AP646" s="6" t="str">
        <f t="shared" ca="1" si="177"/>
        <v>20207</v>
      </c>
      <c r="AQ646" s="6">
        <f t="shared" ca="1" si="178"/>
        <v>2020</v>
      </c>
      <c r="AR646" s="6">
        <f t="shared" ca="1" si="179"/>
        <v>7</v>
      </c>
      <c r="AS646" s="68">
        <f ca="1">IFERROR(__xludf.DUMMYFUNCTION("""COMPUTED_VALUE"""),44043.9986111111)</f>
        <v>44043.998611111099</v>
      </c>
      <c r="AT646" s="6">
        <f ca="1">IFERROR(__xludf.DUMMYFUNCTION("""COMPUTED_VALUE"""),1985.9)</f>
        <v>1985.9</v>
      </c>
    </row>
    <row r="647" spans="2:46" x14ac:dyDescent="0.35">
      <c r="B647" s="6" t="str">
        <f t="shared" ref="B647:B710" ca="1" si="180">C647&amp;D647</f>
        <v>20207</v>
      </c>
      <c r="C647" s="6">
        <f t="shared" ref="C647:C710" ca="1" si="181">YEAR(E647)</f>
        <v>2020</v>
      </c>
      <c r="D647" s="6">
        <f t="shared" ref="D647:D710" ca="1" si="182">MONTH(E647)</f>
        <v>7</v>
      </c>
      <c r="E647" s="68">
        <f ca="1">IFERROR(__xludf.DUMMYFUNCTION("""COMPUTED_VALUE"""),44035.6666666666)</f>
        <v>44035.666666666599</v>
      </c>
      <c r="F647" s="6">
        <f ca="1">IFERROR(__xludf.DUMMYFUNCTION("""COMPUTED_VALUE"""),3235.66)</f>
        <v>3235.66</v>
      </c>
      <c r="J647" s="6" t="str">
        <f t="shared" ref="J647:J710" ca="1" si="183">K647&amp;L647</f>
        <v>20207</v>
      </c>
      <c r="K647" s="6">
        <f t="shared" ref="K647:K710" ca="1" si="184">YEAR(M647)</f>
        <v>2020</v>
      </c>
      <c r="L647" s="6">
        <f t="shared" ref="L647:L710" ca="1" si="185">MONTH(M647)</f>
        <v>7</v>
      </c>
      <c r="M647" s="68">
        <f ca="1">IFERROR(__xludf.DUMMYFUNCTION("""COMPUTED_VALUE"""),44029.6666666666)</f>
        <v>44029.666666666599</v>
      </c>
      <c r="N647" s="6">
        <f ca="1">IFERROR(__xludf.DUMMYFUNCTION("""COMPUTED_VALUE"""),10503.19)</f>
        <v>10503.19</v>
      </c>
      <c r="R647" s="6" t="str">
        <f t="shared" ref="R647:R710" ca="1" si="186">S647&amp;T647</f>
        <v>20208</v>
      </c>
      <c r="S647" s="6">
        <f t="shared" ref="S647:S710" ca="1" si="187">YEAR(U647)</f>
        <v>2020</v>
      </c>
      <c r="T647" s="6">
        <f t="shared" ref="T647:T710" ca="1" si="188">MONTH(U647)</f>
        <v>8</v>
      </c>
      <c r="U647" s="68">
        <f ca="1">IFERROR(__xludf.DUMMYFUNCTION("""COMPUTED_VALUE"""),44062.6458333333)</f>
        <v>44062.645833333299</v>
      </c>
      <c r="V647" s="6">
        <f ca="1">IFERROR(__xludf.DUMMYFUNCTION("""COMPUTED_VALUE"""),2360.54)</f>
        <v>2360.54</v>
      </c>
      <c r="Z647" s="6" t="str">
        <f t="shared" ref="Z647:Z710" ca="1" si="189">AA647&amp;AB647</f>
        <v>201911</v>
      </c>
      <c r="AA647" s="6">
        <f t="shared" ref="AA647:AA710" ca="1" si="190">YEAR(AC647)</f>
        <v>2019</v>
      </c>
      <c r="AB647" s="6">
        <f t="shared" ref="AB647:AB710" ca="1" si="191">MONTH(AC647)</f>
        <v>11</v>
      </c>
      <c r="AC647" s="68">
        <f ca="1">IFERROR(__xludf.DUMMYFUNCTION("""COMPUTED_VALUE"""),43783.9986111111)</f>
        <v>43783.998611111099</v>
      </c>
      <c r="AD647" s="6">
        <f ca="1">IFERROR(__xludf.DUMMYFUNCTION("""COMPUTED_VALUE"""),1167.52)</f>
        <v>1167.52</v>
      </c>
      <c r="AH647" s="6" t="str">
        <f t="shared" ref="AH647:AH710" ca="1" si="192">AI647&amp;AJ647</f>
        <v>201910</v>
      </c>
      <c r="AI647" s="6">
        <f t="shared" ref="AI647:AI710" ca="1" si="193">YEAR(AK647)</f>
        <v>2019</v>
      </c>
      <c r="AJ647" s="6">
        <f t="shared" ref="AJ647:AJ710" ca="1" si="194">MONTH(AK647)</f>
        <v>10</v>
      </c>
      <c r="AK647" s="68">
        <f ca="1">IFERROR(__xludf.DUMMYFUNCTION("""COMPUTED_VALUE"""),43739.9986111111)</f>
        <v>43739.998611111099</v>
      </c>
      <c r="AL647" s="6">
        <f ca="1">IFERROR(__xludf.DUMMYFUNCTION("""COMPUTED_VALUE"""),8324.089)</f>
        <v>8324.0889999999999</v>
      </c>
      <c r="AP647" s="6" t="str">
        <f t="shared" ref="AP647:AP710" ca="1" si="195">AQ647&amp;AR647</f>
        <v>20208</v>
      </c>
      <c r="AQ647" s="6">
        <f t="shared" ref="AQ647:AQ710" ca="1" si="196">YEAR(AS647)</f>
        <v>2020</v>
      </c>
      <c r="AR647" s="6">
        <f t="shared" ref="AR647:AR710" ca="1" si="197">MONTH(AS647)</f>
        <v>8</v>
      </c>
      <c r="AS647" s="68">
        <f ca="1">IFERROR(__xludf.DUMMYFUNCTION("""COMPUTED_VALUE"""),44046.9986111111)</f>
        <v>44046.998611111099</v>
      </c>
      <c r="AT647" s="6">
        <f ca="1">IFERROR(__xludf.DUMMYFUNCTION("""COMPUTED_VALUE"""),1986.3)</f>
        <v>1986.3</v>
      </c>
    </row>
    <row r="648" spans="2:46" x14ac:dyDescent="0.35">
      <c r="B648" s="6" t="str">
        <f t="shared" ca="1" si="180"/>
        <v>20207</v>
      </c>
      <c r="C648" s="6">
        <f t="shared" ca="1" si="181"/>
        <v>2020</v>
      </c>
      <c r="D648" s="6">
        <f t="shared" ca="1" si="182"/>
        <v>7</v>
      </c>
      <c r="E648" s="68">
        <f ca="1">IFERROR(__xludf.DUMMYFUNCTION("""COMPUTED_VALUE"""),44036.6666666666)</f>
        <v>44036.666666666599</v>
      </c>
      <c r="F648" s="6">
        <f ca="1">IFERROR(__xludf.DUMMYFUNCTION("""COMPUTED_VALUE"""),3215.63)</f>
        <v>3215.63</v>
      </c>
      <c r="J648" s="6" t="str">
        <f t="shared" ca="1" si="183"/>
        <v>20207</v>
      </c>
      <c r="K648" s="6">
        <f t="shared" ca="1" si="184"/>
        <v>2020</v>
      </c>
      <c r="L648" s="6">
        <f t="shared" ca="1" si="185"/>
        <v>7</v>
      </c>
      <c r="M648" s="68">
        <f ca="1">IFERROR(__xludf.DUMMYFUNCTION("""COMPUTED_VALUE"""),44032.6666666666)</f>
        <v>44032.666666666599</v>
      </c>
      <c r="N648" s="6">
        <f ca="1">IFERROR(__xludf.DUMMYFUNCTION("""COMPUTED_VALUE"""),10767.09)</f>
        <v>10767.09</v>
      </c>
      <c r="R648" s="6" t="str">
        <f t="shared" ca="1" si="186"/>
        <v>20208</v>
      </c>
      <c r="S648" s="6">
        <f t="shared" ca="1" si="187"/>
        <v>2020</v>
      </c>
      <c r="T648" s="6">
        <f t="shared" ca="1" si="188"/>
        <v>8</v>
      </c>
      <c r="U648" s="68">
        <f ca="1">IFERROR(__xludf.DUMMYFUNCTION("""COMPUTED_VALUE"""),44063.6458333333)</f>
        <v>44063.645833333299</v>
      </c>
      <c r="V648" s="6">
        <f ca="1">IFERROR(__xludf.DUMMYFUNCTION("""COMPUTED_VALUE"""),2274.22)</f>
        <v>2274.2199999999998</v>
      </c>
      <c r="Z648" s="6" t="str">
        <f t="shared" ca="1" si="189"/>
        <v>201911</v>
      </c>
      <c r="AA648" s="6">
        <f t="shared" ca="1" si="190"/>
        <v>2019</v>
      </c>
      <c r="AB648" s="6">
        <f t="shared" ca="1" si="191"/>
        <v>11</v>
      </c>
      <c r="AC648" s="68">
        <f ca="1">IFERROR(__xludf.DUMMYFUNCTION("""COMPUTED_VALUE"""),43784.9986111111)</f>
        <v>43784.998611111099</v>
      </c>
      <c r="AD648" s="6">
        <f ca="1">IFERROR(__xludf.DUMMYFUNCTION("""COMPUTED_VALUE"""),1162.73)</f>
        <v>1162.73</v>
      </c>
      <c r="AH648" s="6" t="str">
        <f t="shared" ca="1" si="192"/>
        <v>201910</v>
      </c>
      <c r="AI648" s="6">
        <f t="shared" ca="1" si="193"/>
        <v>2019</v>
      </c>
      <c r="AJ648" s="6">
        <f t="shared" ca="1" si="194"/>
        <v>10</v>
      </c>
      <c r="AK648" s="68">
        <f ca="1">IFERROR(__xludf.DUMMYFUNCTION("""COMPUTED_VALUE"""),43740.9986111111)</f>
        <v>43740.998611111099</v>
      </c>
      <c r="AL648" s="6">
        <f ca="1">IFERROR(__xludf.DUMMYFUNCTION("""COMPUTED_VALUE"""),8372.641)</f>
        <v>8372.6409999999996</v>
      </c>
      <c r="AP648" s="6" t="str">
        <f t="shared" ca="1" si="195"/>
        <v>20208</v>
      </c>
      <c r="AQ648" s="6">
        <f t="shared" ca="1" si="196"/>
        <v>2020</v>
      </c>
      <c r="AR648" s="6">
        <f t="shared" ca="1" si="197"/>
        <v>8</v>
      </c>
      <c r="AS648" s="68">
        <f ca="1">IFERROR(__xludf.DUMMYFUNCTION("""COMPUTED_VALUE"""),44047.9986111111)</f>
        <v>44047.998611111099</v>
      </c>
      <c r="AT648" s="6">
        <f ca="1">IFERROR(__xludf.DUMMYFUNCTION("""COMPUTED_VALUE"""),2021)</f>
        <v>2021</v>
      </c>
    </row>
    <row r="649" spans="2:46" x14ac:dyDescent="0.35">
      <c r="B649" s="6" t="str">
        <f t="shared" ca="1" si="180"/>
        <v>20207</v>
      </c>
      <c r="C649" s="6">
        <f t="shared" ca="1" si="181"/>
        <v>2020</v>
      </c>
      <c r="D649" s="6">
        <f t="shared" ca="1" si="182"/>
        <v>7</v>
      </c>
      <c r="E649" s="68">
        <f ca="1">IFERROR(__xludf.DUMMYFUNCTION("""COMPUTED_VALUE"""),44039.6666666666)</f>
        <v>44039.666666666599</v>
      </c>
      <c r="F649" s="6">
        <f ca="1">IFERROR(__xludf.DUMMYFUNCTION("""COMPUTED_VALUE"""),3239.41)</f>
        <v>3239.41</v>
      </c>
      <c r="J649" s="6" t="str">
        <f t="shared" ca="1" si="183"/>
        <v>20207</v>
      </c>
      <c r="K649" s="6">
        <f t="shared" ca="1" si="184"/>
        <v>2020</v>
      </c>
      <c r="L649" s="6">
        <f t="shared" ca="1" si="185"/>
        <v>7</v>
      </c>
      <c r="M649" s="68">
        <f ca="1">IFERROR(__xludf.DUMMYFUNCTION("""COMPUTED_VALUE"""),44033.6666666666)</f>
        <v>44033.666666666599</v>
      </c>
      <c r="N649" s="6">
        <f ca="1">IFERROR(__xludf.DUMMYFUNCTION("""COMPUTED_VALUE"""),10680.36)</f>
        <v>10680.36</v>
      </c>
      <c r="R649" s="6" t="str">
        <f t="shared" ca="1" si="186"/>
        <v>20208</v>
      </c>
      <c r="S649" s="6">
        <f t="shared" ca="1" si="187"/>
        <v>2020</v>
      </c>
      <c r="T649" s="6">
        <f t="shared" ca="1" si="188"/>
        <v>8</v>
      </c>
      <c r="U649" s="68">
        <f ca="1">IFERROR(__xludf.DUMMYFUNCTION("""COMPUTED_VALUE"""),44064.6458333333)</f>
        <v>44064.645833333299</v>
      </c>
      <c r="V649" s="6">
        <f ca="1">IFERROR(__xludf.DUMMYFUNCTION("""COMPUTED_VALUE"""),2304.59)</f>
        <v>2304.59</v>
      </c>
      <c r="Z649" s="6" t="str">
        <f t="shared" ca="1" si="189"/>
        <v>201911</v>
      </c>
      <c r="AA649" s="6">
        <f t="shared" ca="1" si="190"/>
        <v>2019</v>
      </c>
      <c r="AB649" s="6">
        <f t="shared" ca="1" si="191"/>
        <v>11</v>
      </c>
      <c r="AC649" s="68">
        <f ca="1">IFERROR(__xludf.DUMMYFUNCTION("""COMPUTED_VALUE"""),43785.9986111111)</f>
        <v>43785.998611111099</v>
      </c>
      <c r="AD649" s="6">
        <f ca="1">IFERROR(__xludf.DUMMYFUNCTION("""COMPUTED_VALUE"""),1162.33)</f>
        <v>1162.33</v>
      </c>
      <c r="AH649" s="6" t="str">
        <f t="shared" ca="1" si="192"/>
        <v>201910</v>
      </c>
      <c r="AI649" s="6">
        <f t="shared" ca="1" si="193"/>
        <v>2019</v>
      </c>
      <c r="AJ649" s="6">
        <f t="shared" ca="1" si="194"/>
        <v>10</v>
      </c>
      <c r="AK649" s="68">
        <f ca="1">IFERROR(__xludf.DUMMYFUNCTION("""COMPUTED_VALUE"""),43741.9986111111)</f>
        <v>43741.998611111099</v>
      </c>
      <c r="AL649" s="6">
        <f ca="1">IFERROR(__xludf.DUMMYFUNCTION("""COMPUTED_VALUE"""),8241.702)</f>
        <v>8241.7019999999993</v>
      </c>
      <c r="AP649" s="6" t="str">
        <f t="shared" ca="1" si="195"/>
        <v>20208</v>
      </c>
      <c r="AQ649" s="6">
        <f t="shared" ca="1" si="196"/>
        <v>2020</v>
      </c>
      <c r="AR649" s="6">
        <f t="shared" ca="1" si="197"/>
        <v>8</v>
      </c>
      <c r="AS649" s="68">
        <f ca="1">IFERROR(__xludf.DUMMYFUNCTION("""COMPUTED_VALUE"""),44048.9986111111)</f>
        <v>44048.998611111099</v>
      </c>
      <c r="AT649" s="6">
        <f ca="1">IFERROR(__xludf.DUMMYFUNCTION("""COMPUTED_VALUE"""),2049.3)</f>
        <v>2049.3000000000002</v>
      </c>
    </row>
    <row r="650" spans="2:46" x14ac:dyDescent="0.35">
      <c r="B650" s="6" t="str">
        <f t="shared" ca="1" si="180"/>
        <v>20207</v>
      </c>
      <c r="C650" s="6">
        <f t="shared" ca="1" si="181"/>
        <v>2020</v>
      </c>
      <c r="D650" s="6">
        <f t="shared" ca="1" si="182"/>
        <v>7</v>
      </c>
      <c r="E650" s="68">
        <f ca="1">IFERROR(__xludf.DUMMYFUNCTION("""COMPUTED_VALUE"""),44040.6666666666)</f>
        <v>44040.666666666599</v>
      </c>
      <c r="F650" s="6">
        <f ca="1">IFERROR(__xludf.DUMMYFUNCTION("""COMPUTED_VALUE"""),3218.44)</f>
        <v>3218.44</v>
      </c>
      <c r="J650" s="6" t="str">
        <f t="shared" ca="1" si="183"/>
        <v>20207</v>
      </c>
      <c r="K650" s="6">
        <f t="shared" ca="1" si="184"/>
        <v>2020</v>
      </c>
      <c r="L650" s="6">
        <f t="shared" ca="1" si="185"/>
        <v>7</v>
      </c>
      <c r="M650" s="68">
        <f ca="1">IFERROR(__xludf.DUMMYFUNCTION("""COMPUTED_VALUE"""),44034.6666666666)</f>
        <v>44034.666666666599</v>
      </c>
      <c r="N650" s="6">
        <f ca="1">IFERROR(__xludf.DUMMYFUNCTION("""COMPUTED_VALUE"""),10706.13)</f>
        <v>10706.13</v>
      </c>
      <c r="R650" s="6" t="str">
        <f t="shared" ca="1" si="186"/>
        <v>20208</v>
      </c>
      <c r="S650" s="6">
        <f t="shared" ca="1" si="187"/>
        <v>2020</v>
      </c>
      <c r="T650" s="6">
        <f t="shared" ca="1" si="188"/>
        <v>8</v>
      </c>
      <c r="U650" s="68">
        <f ca="1">IFERROR(__xludf.DUMMYFUNCTION("""COMPUTED_VALUE"""),44067.6458333333)</f>
        <v>44067.645833333299</v>
      </c>
      <c r="V650" s="6">
        <f ca="1">IFERROR(__xludf.DUMMYFUNCTION("""COMPUTED_VALUE"""),2329.83)</f>
        <v>2329.83</v>
      </c>
      <c r="Z650" s="6" t="str">
        <f t="shared" ca="1" si="189"/>
        <v>201911</v>
      </c>
      <c r="AA650" s="6">
        <f t="shared" ca="1" si="190"/>
        <v>2019</v>
      </c>
      <c r="AB650" s="6">
        <f t="shared" ca="1" si="191"/>
        <v>11</v>
      </c>
      <c r="AC650" s="68">
        <f ca="1">IFERROR(__xludf.DUMMYFUNCTION("""COMPUTED_VALUE"""),43786.9986111111)</f>
        <v>43786.998611111099</v>
      </c>
      <c r="AD650" s="6">
        <f ca="1">IFERROR(__xludf.DUMMYFUNCTION("""COMPUTED_VALUE"""),1162.33)</f>
        <v>1162.33</v>
      </c>
      <c r="AH650" s="6" t="str">
        <f t="shared" ca="1" si="192"/>
        <v>201910</v>
      </c>
      <c r="AI650" s="6">
        <f t="shared" ca="1" si="193"/>
        <v>2019</v>
      </c>
      <c r="AJ650" s="6">
        <f t="shared" ca="1" si="194"/>
        <v>10</v>
      </c>
      <c r="AK650" s="68">
        <f ca="1">IFERROR(__xludf.DUMMYFUNCTION("""COMPUTED_VALUE"""),43742.9986111111)</f>
        <v>43742.998611111099</v>
      </c>
      <c r="AL650" s="6">
        <f ca="1">IFERROR(__xludf.DUMMYFUNCTION("""COMPUTED_VALUE"""),8157.721)</f>
        <v>8157.7209999999995</v>
      </c>
      <c r="AP650" s="6" t="str">
        <f t="shared" ca="1" si="195"/>
        <v>20208</v>
      </c>
      <c r="AQ650" s="6">
        <f t="shared" ca="1" si="196"/>
        <v>2020</v>
      </c>
      <c r="AR650" s="6">
        <f t="shared" ca="1" si="197"/>
        <v>8</v>
      </c>
      <c r="AS650" s="68">
        <f ca="1">IFERROR(__xludf.DUMMYFUNCTION("""COMPUTED_VALUE"""),44049.9986111111)</f>
        <v>44049.998611111099</v>
      </c>
      <c r="AT650" s="6">
        <f ca="1">IFERROR(__xludf.DUMMYFUNCTION("""COMPUTED_VALUE"""),2069.4)</f>
        <v>2069.4</v>
      </c>
    </row>
    <row r="651" spans="2:46" x14ac:dyDescent="0.35">
      <c r="B651" s="6" t="str">
        <f t="shared" ca="1" si="180"/>
        <v>20207</v>
      </c>
      <c r="C651" s="6">
        <f t="shared" ca="1" si="181"/>
        <v>2020</v>
      </c>
      <c r="D651" s="6">
        <f t="shared" ca="1" si="182"/>
        <v>7</v>
      </c>
      <c r="E651" s="68">
        <f ca="1">IFERROR(__xludf.DUMMYFUNCTION("""COMPUTED_VALUE"""),44041.6666666666)</f>
        <v>44041.666666666599</v>
      </c>
      <c r="F651" s="6">
        <f ca="1">IFERROR(__xludf.DUMMYFUNCTION("""COMPUTED_VALUE"""),3258.44)</f>
        <v>3258.44</v>
      </c>
      <c r="J651" s="6" t="str">
        <f t="shared" ca="1" si="183"/>
        <v>20207</v>
      </c>
      <c r="K651" s="6">
        <f t="shared" ca="1" si="184"/>
        <v>2020</v>
      </c>
      <c r="L651" s="6">
        <f t="shared" ca="1" si="185"/>
        <v>7</v>
      </c>
      <c r="M651" s="68">
        <f ca="1">IFERROR(__xludf.DUMMYFUNCTION("""COMPUTED_VALUE"""),44035.6666666666)</f>
        <v>44035.666666666599</v>
      </c>
      <c r="N651" s="6">
        <f ca="1">IFERROR(__xludf.DUMMYFUNCTION("""COMPUTED_VALUE"""),10461.42)</f>
        <v>10461.42</v>
      </c>
      <c r="R651" s="6" t="str">
        <f t="shared" ca="1" si="186"/>
        <v>20208</v>
      </c>
      <c r="S651" s="6">
        <f t="shared" ca="1" si="187"/>
        <v>2020</v>
      </c>
      <c r="T651" s="6">
        <f t="shared" ca="1" si="188"/>
        <v>8</v>
      </c>
      <c r="U651" s="68">
        <f ca="1">IFERROR(__xludf.DUMMYFUNCTION("""COMPUTED_VALUE"""),44068.6458333333)</f>
        <v>44068.645833333299</v>
      </c>
      <c r="V651" s="6">
        <f ca="1">IFERROR(__xludf.DUMMYFUNCTION("""COMPUTED_VALUE"""),2366.73)</f>
        <v>2366.73</v>
      </c>
      <c r="Z651" s="6" t="str">
        <f t="shared" ca="1" si="189"/>
        <v>201911</v>
      </c>
      <c r="AA651" s="6">
        <f t="shared" ca="1" si="190"/>
        <v>2019</v>
      </c>
      <c r="AB651" s="6">
        <f t="shared" ca="1" si="191"/>
        <v>11</v>
      </c>
      <c r="AC651" s="68">
        <f ca="1">IFERROR(__xludf.DUMMYFUNCTION("""COMPUTED_VALUE"""),43787.9986111111)</f>
        <v>43787.998611111099</v>
      </c>
      <c r="AD651" s="6">
        <f ca="1">IFERROR(__xludf.DUMMYFUNCTION("""COMPUTED_VALUE"""),1165.69)</f>
        <v>1165.69</v>
      </c>
      <c r="AH651" s="6" t="str">
        <f t="shared" ca="1" si="192"/>
        <v>201910</v>
      </c>
      <c r="AI651" s="6">
        <f t="shared" ca="1" si="193"/>
        <v>2019</v>
      </c>
      <c r="AJ651" s="6">
        <f t="shared" ca="1" si="194"/>
        <v>10</v>
      </c>
      <c r="AK651" s="68">
        <f ca="1">IFERROR(__xludf.DUMMYFUNCTION("""COMPUTED_VALUE"""),43743.9986111111)</f>
        <v>43743.998611111099</v>
      </c>
      <c r="AL651" s="6">
        <f ca="1">IFERROR(__xludf.DUMMYFUNCTION("""COMPUTED_VALUE"""),8156.943)</f>
        <v>8156.9430000000002</v>
      </c>
      <c r="AP651" s="6" t="str">
        <f t="shared" ca="1" si="195"/>
        <v>20208</v>
      </c>
      <c r="AQ651" s="6">
        <f t="shared" ca="1" si="196"/>
        <v>2020</v>
      </c>
      <c r="AR651" s="6">
        <f t="shared" ca="1" si="197"/>
        <v>8</v>
      </c>
      <c r="AS651" s="68">
        <f ca="1">IFERROR(__xludf.DUMMYFUNCTION("""COMPUTED_VALUE"""),44050.9986111111)</f>
        <v>44050.998611111099</v>
      </c>
      <c r="AT651" s="6">
        <f ca="1">IFERROR(__xludf.DUMMYFUNCTION("""COMPUTED_VALUE"""),2028)</f>
        <v>2028</v>
      </c>
    </row>
    <row r="652" spans="2:46" x14ac:dyDescent="0.35">
      <c r="B652" s="6" t="str">
        <f t="shared" ca="1" si="180"/>
        <v>20207</v>
      </c>
      <c r="C652" s="6">
        <f t="shared" ca="1" si="181"/>
        <v>2020</v>
      </c>
      <c r="D652" s="6">
        <f t="shared" ca="1" si="182"/>
        <v>7</v>
      </c>
      <c r="E652" s="68">
        <f ca="1">IFERROR(__xludf.DUMMYFUNCTION("""COMPUTED_VALUE"""),44042.6666666666)</f>
        <v>44042.666666666599</v>
      </c>
      <c r="F652" s="6">
        <f ca="1">IFERROR(__xludf.DUMMYFUNCTION("""COMPUTED_VALUE"""),3246.22)</f>
        <v>3246.22</v>
      </c>
      <c r="J652" s="6" t="str">
        <f t="shared" ca="1" si="183"/>
        <v>20207</v>
      </c>
      <c r="K652" s="6">
        <f t="shared" ca="1" si="184"/>
        <v>2020</v>
      </c>
      <c r="L652" s="6">
        <f t="shared" ca="1" si="185"/>
        <v>7</v>
      </c>
      <c r="M652" s="68">
        <f ca="1">IFERROR(__xludf.DUMMYFUNCTION("""COMPUTED_VALUE"""),44036.6666666666)</f>
        <v>44036.666666666599</v>
      </c>
      <c r="N652" s="6">
        <f ca="1">IFERROR(__xludf.DUMMYFUNCTION("""COMPUTED_VALUE"""),10363.18)</f>
        <v>10363.18</v>
      </c>
      <c r="R652" s="6" t="str">
        <f t="shared" ca="1" si="186"/>
        <v>20208</v>
      </c>
      <c r="S652" s="6">
        <f t="shared" ca="1" si="187"/>
        <v>2020</v>
      </c>
      <c r="T652" s="6">
        <f t="shared" ca="1" si="188"/>
        <v>8</v>
      </c>
      <c r="U652" s="68">
        <f ca="1">IFERROR(__xludf.DUMMYFUNCTION("""COMPUTED_VALUE"""),44069.6458333333)</f>
        <v>44069.645833333299</v>
      </c>
      <c r="V652" s="6">
        <f ca="1">IFERROR(__xludf.DUMMYFUNCTION("""COMPUTED_VALUE"""),2369.32)</f>
        <v>2369.3200000000002</v>
      </c>
      <c r="Z652" s="6" t="str">
        <f t="shared" ca="1" si="189"/>
        <v>201911</v>
      </c>
      <c r="AA652" s="6">
        <f t="shared" ca="1" si="190"/>
        <v>2019</v>
      </c>
      <c r="AB652" s="6">
        <f t="shared" ca="1" si="191"/>
        <v>11</v>
      </c>
      <c r="AC652" s="68">
        <f ca="1">IFERROR(__xludf.DUMMYFUNCTION("""COMPUTED_VALUE"""),43788.9986111111)</f>
        <v>43788.998611111099</v>
      </c>
      <c r="AD652" s="6">
        <f ca="1">IFERROR(__xludf.DUMMYFUNCTION("""COMPUTED_VALUE"""),1165.82)</f>
        <v>1165.82</v>
      </c>
      <c r="AH652" s="6" t="str">
        <f t="shared" ca="1" si="192"/>
        <v>201910</v>
      </c>
      <c r="AI652" s="6">
        <f t="shared" ca="1" si="193"/>
        <v>2019</v>
      </c>
      <c r="AJ652" s="6">
        <f t="shared" ca="1" si="194"/>
        <v>10</v>
      </c>
      <c r="AK652" s="68">
        <f ca="1">IFERROR(__xludf.DUMMYFUNCTION("""COMPUTED_VALUE"""),43744.9986111111)</f>
        <v>43744.998611111099</v>
      </c>
      <c r="AL652" s="6">
        <f ca="1">IFERROR(__xludf.DUMMYFUNCTION("""COMPUTED_VALUE"""),7874.383)</f>
        <v>7874.3829999999998</v>
      </c>
      <c r="AP652" s="6" t="str">
        <f t="shared" ca="1" si="195"/>
        <v>20208</v>
      </c>
      <c r="AQ652" s="6">
        <f t="shared" ca="1" si="196"/>
        <v>2020</v>
      </c>
      <c r="AR652" s="6">
        <f t="shared" ca="1" si="197"/>
        <v>8</v>
      </c>
      <c r="AS652" s="68">
        <f ca="1">IFERROR(__xludf.DUMMYFUNCTION("""COMPUTED_VALUE"""),44053.9986111111)</f>
        <v>44053.998611111099</v>
      </c>
      <c r="AT652" s="6">
        <f ca="1">IFERROR(__xludf.DUMMYFUNCTION("""COMPUTED_VALUE"""),2039.7)</f>
        <v>2039.7</v>
      </c>
    </row>
    <row r="653" spans="2:46" x14ac:dyDescent="0.35">
      <c r="B653" s="6" t="str">
        <f t="shared" ca="1" si="180"/>
        <v>20207</v>
      </c>
      <c r="C653" s="6">
        <f t="shared" ca="1" si="181"/>
        <v>2020</v>
      </c>
      <c r="D653" s="6">
        <f t="shared" ca="1" si="182"/>
        <v>7</v>
      </c>
      <c r="E653" s="68">
        <f ca="1">IFERROR(__xludf.DUMMYFUNCTION("""COMPUTED_VALUE"""),44043.6666666666)</f>
        <v>44043.666666666599</v>
      </c>
      <c r="F653" s="6">
        <f ca="1">IFERROR(__xludf.DUMMYFUNCTION("""COMPUTED_VALUE"""),3271.12)</f>
        <v>3271.12</v>
      </c>
      <c r="J653" s="6" t="str">
        <f t="shared" ca="1" si="183"/>
        <v>20207</v>
      </c>
      <c r="K653" s="6">
        <f t="shared" ca="1" si="184"/>
        <v>2020</v>
      </c>
      <c r="L653" s="6">
        <f t="shared" ca="1" si="185"/>
        <v>7</v>
      </c>
      <c r="M653" s="68">
        <f ca="1">IFERROR(__xludf.DUMMYFUNCTION("""COMPUTED_VALUE"""),44039.6666666666)</f>
        <v>44039.666666666599</v>
      </c>
      <c r="N653" s="6">
        <f ca="1">IFERROR(__xludf.DUMMYFUNCTION("""COMPUTED_VALUE"""),10536.27)</f>
        <v>10536.27</v>
      </c>
      <c r="R653" s="6" t="str">
        <f t="shared" ca="1" si="186"/>
        <v>20208</v>
      </c>
      <c r="S653" s="6">
        <f t="shared" ca="1" si="187"/>
        <v>2020</v>
      </c>
      <c r="T653" s="6">
        <f t="shared" ca="1" si="188"/>
        <v>8</v>
      </c>
      <c r="U653" s="68">
        <f ca="1">IFERROR(__xludf.DUMMYFUNCTION("""COMPUTED_VALUE"""),44070.6458333333)</f>
        <v>44070.645833333299</v>
      </c>
      <c r="V653" s="6">
        <f ca="1">IFERROR(__xludf.DUMMYFUNCTION("""COMPUTED_VALUE"""),2344.45)</f>
        <v>2344.4499999999998</v>
      </c>
      <c r="Z653" s="6" t="str">
        <f t="shared" ca="1" si="189"/>
        <v>201911</v>
      </c>
      <c r="AA653" s="6">
        <f t="shared" ca="1" si="190"/>
        <v>2019</v>
      </c>
      <c r="AB653" s="6">
        <f t="shared" ca="1" si="191"/>
        <v>11</v>
      </c>
      <c r="AC653" s="68">
        <f ca="1">IFERROR(__xludf.DUMMYFUNCTION("""COMPUTED_VALUE"""),43789.9986111111)</f>
        <v>43789.998611111099</v>
      </c>
      <c r="AD653" s="6">
        <f ca="1">IFERROR(__xludf.DUMMYFUNCTION("""COMPUTED_VALUE"""),1168.26)</f>
        <v>1168.26</v>
      </c>
      <c r="AH653" s="6" t="str">
        <f t="shared" ca="1" si="192"/>
        <v>201910</v>
      </c>
      <c r="AI653" s="6">
        <f t="shared" ca="1" si="193"/>
        <v>2019</v>
      </c>
      <c r="AJ653" s="6">
        <f t="shared" ca="1" si="194"/>
        <v>10</v>
      </c>
      <c r="AK653" s="68">
        <f ca="1">IFERROR(__xludf.DUMMYFUNCTION("""COMPUTED_VALUE"""),43745.9986111111)</f>
        <v>43745.998611111099</v>
      </c>
      <c r="AL653" s="6">
        <f ca="1">IFERROR(__xludf.DUMMYFUNCTION("""COMPUTED_VALUE"""),8222.817)</f>
        <v>8222.8169999999991</v>
      </c>
      <c r="AP653" s="6" t="str">
        <f t="shared" ca="1" si="195"/>
        <v>20208</v>
      </c>
      <c r="AQ653" s="6">
        <f t="shared" ca="1" si="196"/>
        <v>2020</v>
      </c>
      <c r="AR653" s="6">
        <f t="shared" ca="1" si="197"/>
        <v>8</v>
      </c>
      <c r="AS653" s="68">
        <f ca="1">IFERROR(__xludf.DUMMYFUNCTION("""COMPUTED_VALUE"""),44054.9986111111)</f>
        <v>44054.998611111099</v>
      </c>
      <c r="AT653" s="6">
        <f ca="1">IFERROR(__xludf.DUMMYFUNCTION("""COMPUTED_VALUE"""),1946.3)</f>
        <v>1946.3</v>
      </c>
    </row>
    <row r="654" spans="2:46" x14ac:dyDescent="0.35">
      <c r="B654" s="6" t="str">
        <f t="shared" ca="1" si="180"/>
        <v>20208</v>
      </c>
      <c r="C654" s="6">
        <f t="shared" ca="1" si="181"/>
        <v>2020</v>
      </c>
      <c r="D654" s="6">
        <f t="shared" ca="1" si="182"/>
        <v>8</v>
      </c>
      <c r="E654" s="68">
        <f ca="1">IFERROR(__xludf.DUMMYFUNCTION("""COMPUTED_VALUE"""),44046.6666666666)</f>
        <v>44046.666666666599</v>
      </c>
      <c r="F654" s="6">
        <f ca="1">IFERROR(__xludf.DUMMYFUNCTION("""COMPUTED_VALUE"""),3294.61)</f>
        <v>3294.61</v>
      </c>
      <c r="J654" s="6" t="str">
        <f t="shared" ca="1" si="183"/>
        <v>20207</v>
      </c>
      <c r="K654" s="6">
        <f t="shared" ca="1" si="184"/>
        <v>2020</v>
      </c>
      <c r="L654" s="6">
        <f t="shared" ca="1" si="185"/>
        <v>7</v>
      </c>
      <c r="M654" s="68">
        <f ca="1">IFERROR(__xludf.DUMMYFUNCTION("""COMPUTED_VALUE"""),44040.6666666666)</f>
        <v>44040.666666666599</v>
      </c>
      <c r="N654" s="6">
        <f ca="1">IFERROR(__xludf.DUMMYFUNCTION("""COMPUTED_VALUE"""),10402.09)</f>
        <v>10402.09</v>
      </c>
      <c r="R654" s="6" t="str">
        <f t="shared" ca="1" si="186"/>
        <v>20208</v>
      </c>
      <c r="S654" s="6">
        <f t="shared" ca="1" si="187"/>
        <v>2020</v>
      </c>
      <c r="T654" s="6">
        <f t="shared" ca="1" si="188"/>
        <v>8</v>
      </c>
      <c r="U654" s="68">
        <f ca="1">IFERROR(__xludf.DUMMYFUNCTION("""COMPUTED_VALUE"""),44071.6458333333)</f>
        <v>44071.645833333299</v>
      </c>
      <c r="V654" s="6">
        <f ca="1">IFERROR(__xludf.DUMMYFUNCTION("""COMPUTED_VALUE"""),2353.8)</f>
        <v>2353.8000000000002</v>
      </c>
      <c r="Z654" s="6" t="str">
        <f t="shared" ca="1" si="189"/>
        <v>201911</v>
      </c>
      <c r="AA654" s="6">
        <f t="shared" ca="1" si="190"/>
        <v>2019</v>
      </c>
      <c r="AB654" s="6">
        <f t="shared" ca="1" si="191"/>
        <v>11</v>
      </c>
      <c r="AC654" s="68">
        <f ca="1">IFERROR(__xludf.DUMMYFUNCTION("""COMPUTED_VALUE"""),43790.9986111111)</f>
        <v>43790.998611111099</v>
      </c>
      <c r="AD654" s="6">
        <f ca="1">IFERROR(__xludf.DUMMYFUNCTION("""COMPUTED_VALUE"""),1175.23)</f>
        <v>1175.23</v>
      </c>
      <c r="AH654" s="6" t="str">
        <f t="shared" ca="1" si="192"/>
        <v>201910</v>
      </c>
      <c r="AI654" s="6">
        <f t="shared" ca="1" si="193"/>
        <v>2019</v>
      </c>
      <c r="AJ654" s="6">
        <f t="shared" ca="1" si="194"/>
        <v>10</v>
      </c>
      <c r="AK654" s="68">
        <f ca="1">IFERROR(__xludf.DUMMYFUNCTION("""COMPUTED_VALUE"""),43746.9986111111)</f>
        <v>43746.998611111099</v>
      </c>
      <c r="AL654" s="6">
        <f ca="1">IFERROR(__xludf.DUMMYFUNCTION("""COMPUTED_VALUE"""),8197.812)</f>
        <v>8197.8119999999999</v>
      </c>
      <c r="AP654" s="6" t="str">
        <f t="shared" ca="1" si="195"/>
        <v>20208</v>
      </c>
      <c r="AQ654" s="6">
        <f t="shared" ca="1" si="196"/>
        <v>2020</v>
      </c>
      <c r="AR654" s="6">
        <f t="shared" ca="1" si="197"/>
        <v>8</v>
      </c>
      <c r="AS654" s="68">
        <f ca="1">IFERROR(__xludf.DUMMYFUNCTION("""COMPUTED_VALUE"""),44055.9986111111)</f>
        <v>44055.998611111099</v>
      </c>
      <c r="AT654" s="6">
        <f ca="1">IFERROR(__xludf.DUMMYFUNCTION("""COMPUTED_VALUE"""),1949)</f>
        <v>1949</v>
      </c>
    </row>
    <row r="655" spans="2:46" x14ac:dyDescent="0.35">
      <c r="B655" s="6" t="str">
        <f t="shared" ca="1" si="180"/>
        <v>20208</v>
      </c>
      <c r="C655" s="6">
        <f t="shared" ca="1" si="181"/>
        <v>2020</v>
      </c>
      <c r="D655" s="6">
        <f t="shared" ca="1" si="182"/>
        <v>8</v>
      </c>
      <c r="E655" s="68">
        <f ca="1">IFERROR(__xludf.DUMMYFUNCTION("""COMPUTED_VALUE"""),44047.6666666666)</f>
        <v>44047.666666666599</v>
      </c>
      <c r="F655" s="6">
        <f ca="1">IFERROR(__xludf.DUMMYFUNCTION("""COMPUTED_VALUE"""),3306.51)</f>
        <v>3306.51</v>
      </c>
      <c r="J655" s="6" t="str">
        <f t="shared" ca="1" si="183"/>
        <v>20207</v>
      </c>
      <c r="K655" s="6">
        <f t="shared" ca="1" si="184"/>
        <v>2020</v>
      </c>
      <c r="L655" s="6">
        <f t="shared" ca="1" si="185"/>
        <v>7</v>
      </c>
      <c r="M655" s="68">
        <f ca="1">IFERROR(__xludf.DUMMYFUNCTION("""COMPUTED_VALUE"""),44041.6666666666)</f>
        <v>44041.666666666599</v>
      </c>
      <c r="N655" s="6">
        <f ca="1">IFERROR(__xludf.DUMMYFUNCTION("""COMPUTED_VALUE"""),10542.94)</f>
        <v>10542.94</v>
      </c>
      <c r="R655" s="6" t="str">
        <f t="shared" ca="1" si="186"/>
        <v>20208</v>
      </c>
      <c r="S655" s="6">
        <f t="shared" ca="1" si="187"/>
        <v>2020</v>
      </c>
      <c r="T655" s="6">
        <f t="shared" ca="1" si="188"/>
        <v>8</v>
      </c>
      <c r="U655" s="68">
        <f ca="1">IFERROR(__xludf.DUMMYFUNCTION("""COMPUTED_VALUE"""),44074.6458333333)</f>
        <v>44074.645833333299</v>
      </c>
      <c r="V655" s="6">
        <f ca="1">IFERROR(__xludf.DUMMYFUNCTION("""COMPUTED_VALUE"""),2326.17)</f>
        <v>2326.17</v>
      </c>
      <c r="Z655" s="6" t="str">
        <f t="shared" ca="1" si="189"/>
        <v>201911</v>
      </c>
      <c r="AA655" s="6">
        <f t="shared" ca="1" si="190"/>
        <v>2019</v>
      </c>
      <c r="AB655" s="6">
        <f t="shared" ca="1" si="191"/>
        <v>11</v>
      </c>
      <c r="AC655" s="68">
        <f ca="1">IFERROR(__xludf.DUMMYFUNCTION("""COMPUTED_VALUE"""),43791.9986111111)</f>
        <v>43791.998611111099</v>
      </c>
      <c r="AD655" s="6">
        <f ca="1">IFERROR(__xludf.DUMMYFUNCTION("""COMPUTED_VALUE"""),1180.27)</f>
        <v>1180.27</v>
      </c>
      <c r="AH655" s="6" t="str">
        <f t="shared" ca="1" si="192"/>
        <v>201910</v>
      </c>
      <c r="AI655" s="6">
        <f t="shared" ca="1" si="193"/>
        <v>2019</v>
      </c>
      <c r="AJ655" s="6">
        <f t="shared" ca="1" si="194"/>
        <v>10</v>
      </c>
      <c r="AK655" s="68">
        <f ca="1">IFERROR(__xludf.DUMMYFUNCTION("""COMPUTED_VALUE"""),43747.9986111111)</f>
        <v>43747.998611111099</v>
      </c>
      <c r="AL655" s="6">
        <f ca="1">IFERROR(__xludf.DUMMYFUNCTION("""COMPUTED_VALUE"""),8596.109)</f>
        <v>8596.1090000000004</v>
      </c>
      <c r="AP655" s="6" t="str">
        <f t="shared" ca="1" si="195"/>
        <v>20208</v>
      </c>
      <c r="AQ655" s="6">
        <f t="shared" ca="1" si="196"/>
        <v>2020</v>
      </c>
      <c r="AR655" s="6">
        <f t="shared" ca="1" si="197"/>
        <v>8</v>
      </c>
      <c r="AS655" s="68">
        <f ca="1">IFERROR(__xludf.DUMMYFUNCTION("""COMPUTED_VALUE"""),44056.9986111111)</f>
        <v>44056.998611111099</v>
      </c>
      <c r="AT655" s="6">
        <f ca="1">IFERROR(__xludf.DUMMYFUNCTION("""COMPUTED_VALUE"""),1970.4)</f>
        <v>1970.4</v>
      </c>
    </row>
    <row r="656" spans="2:46" x14ac:dyDescent="0.35">
      <c r="B656" s="6" t="str">
        <f t="shared" ca="1" si="180"/>
        <v>20208</v>
      </c>
      <c r="C656" s="6">
        <f t="shared" ca="1" si="181"/>
        <v>2020</v>
      </c>
      <c r="D656" s="6">
        <f t="shared" ca="1" si="182"/>
        <v>8</v>
      </c>
      <c r="E656" s="68">
        <f ca="1">IFERROR(__xludf.DUMMYFUNCTION("""COMPUTED_VALUE"""),44048.6666666666)</f>
        <v>44048.666666666599</v>
      </c>
      <c r="F656" s="6">
        <f ca="1">IFERROR(__xludf.DUMMYFUNCTION("""COMPUTED_VALUE"""),3327.77)</f>
        <v>3327.77</v>
      </c>
      <c r="J656" s="6" t="str">
        <f t="shared" ca="1" si="183"/>
        <v>20207</v>
      </c>
      <c r="K656" s="6">
        <f t="shared" ca="1" si="184"/>
        <v>2020</v>
      </c>
      <c r="L656" s="6">
        <f t="shared" ca="1" si="185"/>
        <v>7</v>
      </c>
      <c r="M656" s="68">
        <f ca="1">IFERROR(__xludf.DUMMYFUNCTION("""COMPUTED_VALUE"""),44042.6666666666)</f>
        <v>44042.666666666599</v>
      </c>
      <c r="N656" s="6">
        <f ca="1">IFERROR(__xludf.DUMMYFUNCTION("""COMPUTED_VALUE"""),10587.81)</f>
        <v>10587.81</v>
      </c>
      <c r="R656" s="6" t="str">
        <f t="shared" ca="1" si="186"/>
        <v>20209</v>
      </c>
      <c r="S656" s="6">
        <f t="shared" ca="1" si="187"/>
        <v>2020</v>
      </c>
      <c r="T656" s="6">
        <f t="shared" ca="1" si="188"/>
        <v>9</v>
      </c>
      <c r="U656" s="68">
        <f ca="1">IFERROR(__xludf.DUMMYFUNCTION("""COMPUTED_VALUE"""),44075.6458333333)</f>
        <v>44075.645833333299</v>
      </c>
      <c r="V656" s="6">
        <f ca="1">IFERROR(__xludf.DUMMYFUNCTION("""COMPUTED_VALUE"""),2349.55)</f>
        <v>2349.5500000000002</v>
      </c>
      <c r="Z656" s="6" t="str">
        <f t="shared" ca="1" si="189"/>
        <v>201911</v>
      </c>
      <c r="AA656" s="6">
        <f t="shared" ca="1" si="190"/>
        <v>2019</v>
      </c>
      <c r="AB656" s="6">
        <f t="shared" ca="1" si="191"/>
        <v>11</v>
      </c>
      <c r="AC656" s="68">
        <f ca="1">IFERROR(__xludf.DUMMYFUNCTION("""COMPUTED_VALUE"""),43792.9986111111)</f>
        <v>43792.998611111099</v>
      </c>
      <c r="AD656" s="6">
        <f ca="1">IFERROR(__xludf.DUMMYFUNCTION("""COMPUTED_VALUE"""),1180.27)</f>
        <v>1180.27</v>
      </c>
      <c r="AH656" s="6" t="str">
        <f t="shared" ca="1" si="192"/>
        <v>201910</v>
      </c>
      <c r="AI656" s="6">
        <f t="shared" ca="1" si="193"/>
        <v>2019</v>
      </c>
      <c r="AJ656" s="6">
        <f t="shared" ca="1" si="194"/>
        <v>10</v>
      </c>
      <c r="AK656" s="68">
        <f ca="1">IFERROR(__xludf.DUMMYFUNCTION("""COMPUTED_VALUE"""),43748.9986111111)</f>
        <v>43748.998611111099</v>
      </c>
      <c r="AL656" s="6">
        <f ca="1">IFERROR(__xludf.DUMMYFUNCTION("""COMPUTED_VALUE"""),8589.857)</f>
        <v>8589.857</v>
      </c>
      <c r="AP656" s="6" t="str">
        <f t="shared" ca="1" si="195"/>
        <v>20208</v>
      </c>
      <c r="AQ656" s="6">
        <f t="shared" ca="1" si="196"/>
        <v>2020</v>
      </c>
      <c r="AR656" s="6">
        <f t="shared" ca="1" si="197"/>
        <v>8</v>
      </c>
      <c r="AS656" s="68">
        <f ca="1">IFERROR(__xludf.DUMMYFUNCTION("""COMPUTED_VALUE"""),44057.9986111111)</f>
        <v>44057.998611111099</v>
      </c>
      <c r="AT656" s="6">
        <f ca="1">IFERROR(__xludf.DUMMYFUNCTION("""COMPUTED_VALUE"""),1949.8)</f>
        <v>1949.8</v>
      </c>
    </row>
    <row r="657" spans="2:46" x14ac:dyDescent="0.35">
      <c r="B657" s="6" t="str">
        <f t="shared" ca="1" si="180"/>
        <v>20208</v>
      </c>
      <c r="C657" s="6">
        <f t="shared" ca="1" si="181"/>
        <v>2020</v>
      </c>
      <c r="D657" s="6">
        <f t="shared" ca="1" si="182"/>
        <v>8</v>
      </c>
      <c r="E657" s="68">
        <f ca="1">IFERROR(__xludf.DUMMYFUNCTION("""COMPUTED_VALUE"""),44049.6666666666)</f>
        <v>44049.666666666599</v>
      </c>
      <c r="F657" s="6">
        <f ca="1">IFERROR(__xludf.DUMMYFUNCTION("""COMPUTED_VALUE"""),3349.16)</f>
        <v>3349.16</v>
      </c>
      <c r="J657" s="6" t="str">
        <f t="shared" ca="1" si="183"/>
        <v>20207</v>
      </c>
      <c r="K657" s="6">
        <f t="shared" ca="1" si="184"/>
        <v>2020</v>
      </c>
      <c r="L657" s="6">
        <f t="shared" ca="1" si="185"/>
        <v>7</v>
      </c>
      <c r="M657" s="68">
        <f ca="1">IFERROR(__xludf.DUMMYFUNCTION("""COMPUTED_VALUE"""),44043.6666666666)</f>
        <v>44043.666666666599</v>
      </c>
      <c r="N657" s="6">
        <f ca="1">IFERROR(__xludf.DUMMYFUNCTION("""COMPUTED_VALUE"""),10745.28)</f>
        <v>10745.28</v>
      </c>
      <c r="R657" s="6" t="str">
        <f t="shared" ca="1" si="186"/>
        <v>20209</v>
      </c>
      <c r="S657" s="6">
        <f t="shared" ca="1" si="187"/>
        <v>2020</v>
      </c>
      <c r="T657" s="6">
        <f t="shared" ca="1" si="188"/>
        <v>9</v>
      </c>
      <c r="U657" s="68">
        <f ca="1">IFERROR(__xludf.DUMMYFUNCTION("""COMPUTED_VALUE"""),44076.6458333333)</f>
        <v>44076.645833333299</v>
      </c>
      <c r="V657" s="6">
        <f ca="1">IFERROR(__xludf.DUMMYFUNCTION("""COMPUTED_VALUE"""),2364.37)</f>
        <v>2364.37</v>
      </c>
      <c r="Z657" s="6" t="str">
        <f t="shared" ca="1" si="189"/>
        <v>201911</v>
      </c>
      <c r="AA657" s="6">
        <f t="shared" ca="1" si="190"/>
        <v>2019</v>
      </c>
      <c r="AB657" s="6">
        <f t="shared" ca="1" si="191"/>
        <v>11</v>
      </c>
      <c r="AC657" s="68">
        <f ca="1">IFERROR(__xludf.DUMMYFUNCTION("""COMPUTED_VALUE"""),43793.9986111111)</f>
        <v>43793.998611111099</v>
      </c>
      <c r="AD657" s="6">
        <f ca="1">IFERROR(__xludf.DUMMYFUNCTION("""COMPUTED_VALUE"""),1179.49)</f>
        <v>1179.49</v>
      </c>
      <c r="AH657" s="6" t="str">
        <f t="shared" ca="1" si="192"/>
        <v>201910</v>
      </c>
      <c r="AI657" s="6">
        <f t="shared" ca="1" si="193"/>
        <v>2019</v>
      </c>
      <c r="AJ657" s="6">
        <f t="shared" ca="1" si="194"/>
        <v>10</v>
      </c>
      <c r="AK657" s="68">
        <f ca="1">IFERROR(__xludf.DUMMYFUNCTION("""COMPUTED_VALUE"""),43749.9986111111)</f>
        <v>43749.998611111099</v>
      </c>
      <c r="AL657" s="6">
        <f ca="1">IFERROR(__xludf.DUMMYFUNCTION("""COMPUTED_VALUE"""),8270.426)</f>
        <v>8270.4259999999995</v>
      </c>
      <c r="AP657" s="6" t="str">
        <f t="shared" ca="1" si="195"/>
        <v>20208</v>
      </c>
      <c r="AQ657" s="6">
        <f t="shared" ca="1" si="196"/>
        <v>2020</v>
      </c>
      <c r="AR657" s="6">
        <f t="shared" ca="1" si="197"/>
        <v>8</v>
      </c>
      <c r="AS657" s="68">
        <f ca="1">IFERROR(__xludf.DUMMYFUNCTION("""COMPUTED_VALUE"""),44060.9986111111)</f>
        <v>44060.998611111099</v>
      </c>
      <c r="AT657" s="6">
        <f ca="1">IFERROR(__xludf.DUMMYFUNCTION("""COMPUTED_VALUE"""),1998.7)</f>
        <v>1998.7</v>
      </c>
    </row>
    <row r="658" spans="2:46" x14ac:dyDescent="0.35">
      <c r="B658" s="6" t="str">
        <f t="shared" ca="1" si="180"/>
        <v>20208</v>
      </c>
      <c r="C658" s="6">
        <f t="shared" ca="1" si="181"/>
        <v>2020</v>
      </c>
      <c r="D658" s="6">
        <f t="shared" ca="1" si="182"/>
        <v>8</v>
      </c>
      <c r="E658" s="68">
        <f ca="1">IFERROR(__xludf.DUMMYFUNCTION("""COMPUTED_VALUE"""),44050.6666666666)</f>
        <v>44050.666666666599</v>
      </c>
      <c r="F658" s="6">
        <f ca="1">IFERROR(__xludf.DUMMYFUNCTION("""COMPUTED_VALUE"""),3351.28)</f>
        <v>3351.28</v>
      </c>
      <c r="J658" s="6" t="str">
        <f t="shared" ca="1" si="183"/>
        <v>20208</v>
      </c>
      <c r="K658" s="6">
        <f t="shared" ca="1" si="184"/>
        <v>2020</v>
      </c>
      <c r="L658" s="6">
        <f t="shared" ca="1" si="185"/>
        <v>8</v>
      </c>
      <c r="M658" s="68">
        <f ca="1">IFERROR(__xludf.DUMMYFUNCTION("""COMPUTED_VALUE"""),44046.6666666666)</f>
        <v>44046.666666666599</v>
      </c>
      <c r="N658" s="6">
        <f ca="1">IFERROR(__xludf.DUMMYFUNCTION("""COMPUTED_VALUE"""),10902.8)</f>
        <v>10902.8</v>
      </c>
      <c r="R658" s="6" t="str">
        <f t="shared" ca="1" si="186"/>
        <v>20209</v>
      </c>
      <c r="S658" s="6">
        <f t="shared" ca="1" si="187"/>
        <v>2020</v>
      </c>
      <c r="T658" s="6">
        <f t="shared" ca="1" si="188"/>
        <v>9</v>
      </c>
      <c r="U658" s="68">
        <f ca="1">IFERROR(__xludf.DUMMYFUNCTION("""COMPUTED_VALUE"""),44077.6458333333)</f>
        <v>44077.645833333299</v>
      </c>
      <c r="V658" s="6">
        <f ca="1">IFERROR(__xludf.DUMMYFUNCTION("""COMPUTED_VALUE"""),2395.9)</f>
        <v>2395.9</v>
      </c>
      <c r="Z658" s="6" t="str">
        <f t="shared" ca="1" si="189"/>
        <v>201911</v>
      </c>
      <c r="AA658" s="6">
        <f t="shared" ca="1" si="190"/>
        <v>2019</v>
      </c>
      <c r="AB658" s="6">
        <f t="shared" ca="1" si="191"/>
        <v>11</v>
      </c>
      <c r="AC658" s="68">
        <f ca="1">IFERROR(__xludf.DUMMYFUNCTION("""COMPUTED_VALUE"""),43794.9986111111)</f>
        <v>43794.998611111099</v>
      </c>
      <c r="AD658" s="6">
        <f ca="1">IFERROR(__xludf.DUMMYFUNCTION("""COMPUTED_VALUE"""),1172.41)</f>
        <v>1172.4100000000001</v>
      </c>
      <c r="AH658" s="6" t="str">
        <f t="shared" ca="1" si="192"/>
        <v>201910</v>
      </c>
      <c r="AI658" s="6">
        <f t="shared" ca="1" si="193"/>
        <v>2019</v>
      </c>
      <c r="AJ658" s="6">
        <f t="shared" ca="1" si="194"/>
        <v>10</v>
      </c>
      <c r="AK658" s="68">
        <f ca="1">IFERROR(__xludf.DUMMYFUNCTION("""COMPUTED_VALUE"""),43750.9986111111)</f>
        <v>43750.998611111099</v>
      </c>
      <c r="AL658" s="6">
        <f ca="1">IFERROR(__xludf.DUMMYFUNCTION("""COMPUTED_VALUE"""),8320.54)</f>
        <v>8320.5400000000009</v>
      </c>
      <c r="AP658" s="6" t="str">
        <f t="shared" ca="1" si="195"/>
        <v>20208</v>
      </c>
      <c r="AQ658" s="6">
        <f t="shared" ca="1" si="196"/>
        <v>2020</v>
      </c>
      <c r="AR658" s="6">
        <f t="shared" ca="1" si="197"/>
        <v>8</v>
      </c>
      <c r="AS658" s="68">
        <f ca="1">IFERROR(__xludf.DUMMYFUNCTION("""COMPUTED_VALUE"""),44061.9986111111)</f>
        <v>44061.998611111099</v>
      </c>
      <c r="AT658" s="6">
        <f ca="1">IFERROR(__xludf.DUMMYFUNCTION("""COMPUTED_VALUE"""),2013.1)</f>
        <v>2013.1</v>
      </c>
    </row>
    <row r="659" spans="2:46" x14ac:dyDescent="0.35">
      <c r="B659" s="6" t="str">
        <f t="shared" ca="1" si="180"/>
        <v>20208</v>
      </c>
      <c r="C659" s="6">
        <f t="shared" ca="1" si="181"/>
        <v>2020</v>
      </c>
      <c r="D659" s="6">
        <f t="shared" ca="1" si="182"/>
        <v>8</v>
      </c>
      <c r="E659" s="68">
        <f ca="1">IFERROR(__xludf.DUMMYFUNCTION("""COMPUTED_VALUE"""),44053.6666666666)</f>
        <v>44053.666666666599</v>
      </c>
      <c r="F659" s="6">
        <f ca="1">IFERROR(__xludf.DUMMYFUNCTION("""COMPUTED_VALUE"""),3360.47)</f>
        <v>3360.47</v>
      </c>
      <c r="J659" s="6" t="str">
        <f t="shared" ca="1" si="183"/>
        <v>20208</v>
      </c>
      <c r="K659" s="6">
        <f t="shared" ca="1" si="184"/>
        <v>2020</v>
      </c>
      <c r="L659" s="6">
        <f t="shared" ca="1" si="185"/>
        <v>8</v>
      </c>
      <c r="M659" s="68">
        <f ca="1">IFERROR(__xludf.DUMMYFUNCTION("""COMPUTED_VALUE"""),44047.6666666666)</f>
        <v>44047.666666666599</v>
      </c>
      <c r="N659" s="6">
        <f ca="1">IFERROR(__xludf.DUMMYFUNCTION("""COMPUTED_VALUE"""),10941.17)</f>
        <v>10941.17</v>
      </c>
      <c r="R659" s="6" t="str">
        <f t="shared" ca="1" si="186"/>
        <v>20209</v>
      </c>
      <c r="S659" s="6">
        <f t="shared" ca="1" si="187"/>
        <v>2020</v>
      </c>
      <c r="T659" s="6">
        <f t="shared" ca="1" si="188"/>
        <v>9</v>
      </c>
      <c r="U659" s="68">
        <f ca="1">IFERROR(__xludf.DUMMYFUNCTION("""COMPUTED_VALUE"""),44078.6458333333)</f>
        <v>44078.645833333299</v>
      </c>
      <c r="V659" s="6">
        <f ca="1">IFERROR(__xludf.DUMMYFUNCTION("""COMPUTED_VALUE"""),2368.25)</f>
        <v>2368.25</v>
      </c>
      <c r="Z659" s="6" t="str">
        <f t="shared" ca="1" si="189"/>
        <v>201911</v>
      </c>
      <c r="AA659" s="6">
        <f t="shared" ca="1" si="190"/>
        <v>2019</v>
      </c>
      <c r="AB659" s="6">
        <f t="shared" ca="1" si="191"/>
        <v>11</v>
      </c>
      <c r="AC659" s="68">
        <f ca="1">IFERROR(__xludf.DUMMYFUNCTION("""COMPUTED_VALUE"""),43795.9986111111)</f>
        <v>43795.998611111099</v>
      </c>
      <c r="AD659" s="6">
        <f ca="1">IFERROR(__xludf.DUMMYFUNCTION("""COMPUTED_VALUE"""),1172.6)</f>
        <v>1172.5999999999999</v>
      </c>
      <c r="AH659" s="6" t="str">
        <f t="shared" ca="1" si="192"/>
        <v>201910</v>
      </c>
      <c r="AI659" s="6">
        <f t="shared" ca="1" si="193"/>
        <v>2019</v>
      </c>
      <c r="AJ659" s="6">
        <f t="shared" ca="1" si="194"/>
        <v>10</v>
      </c>
      <c r="AK659" s="68">
        <f ca="1">IFERROR(__xludf.DUMMYFUNCTION("""COMPUTED_VALUE"""),43751.9986111111)</f>
        <v>43751.998611111099</v>
      </c>
      <c r="AL659" s="6">
        <f ca="1">IFERROR(__xludf.DUMMYFUNCTION("""COMPUTED_VALUE"""),8297.67)</f>
        <v>8297.67</v>
      </c>
      <c r="AP659" s="6" t="str">
        <f t="shared" ca="1" si="195"/>
        <v>20208</v>
      </c>
      <c r="AQ659" s="6">
        <f t="shared" ca="1" si="196"/>
        <v>2020</v>
      </c>
      <c r="AR659" s="6">
        <f t="shared" ca="1" si="197"/>
        <v>8</v>
      </c>
      <c r="AS659" s="68">
        <f ca="1">IFERROR(__xludf.DUMMYFUNCTION("""COMPUTED_VALUE"""),44062.9986111111)</f>
        <v>44062.998611111099</v>
      </c>
      <c r="AT659" s="6">
        <f ca="1">IFERROR(__xludf.DUMMYFUNCTION("""COMPUTED_VALUE"""),1970.3)</f>
        <v>1970.3</v>
      </c>
    </row>
    <row r="660" spans="2:46" x14ac:dyDescent="0.35">
      <c r="B660" s="6" t="str">
        <f t="shared" ca="1" si="180"/>
        <v>20208</v>
      </c>
      <c r="C660" s="6">
        <f t="shared" ca="1" si="181"/>
        <v>2020</v>
      </c>
      <c r="D660" s="6">
        <f t="shared" ca="1" si="182"/>
        <v>8</v>
      </c>
      <c r="E660" s="68">
        <f ca="1">IFERROR(__xludf.DUMMYFUNCTION("""COMPUTED_VALUE"""),44054.6666666666)</f>
        <v>44054.666666666599</v>
      </c>
      <c r="F660" s="6">
        <f ca="1">IFERROR(__xludf.DUMMYFUNCTION("""COMPUTED_VALUE"""),3333.69)</f>
        <v>3333.69</v>
      </c>
      <c r="J660" s="6" t="str">
        <f t="shared" ca="1" si="183"/>
        <v>20208</v>
      </c>
      <c r="K660" s="6">
        <f t="shared" ca="1" si="184"/>
        <v>2020</v>
      </c>
      <c r="L660" s="6">
        <f t="shared" ca="1" si="185"/>
        <v>8</v>
      </c>
      <c r="M660" s="68">
        <f ca="1">IFERROR(__xludf.DUMMYFUNCTION("""COMPUTED_VALUE"""),44048.6666666666)</f>
        <v>44048.666666666599</v>
      </c>
      <c r="N660" s="6">
        <f ca="1">IFERROR(__xludf.DUMMYFUNCTION("""COMPUTED_VALUE"""),10998.4)</f>
        <v>10998.4</v>
      </c>
      <c r="R660" s="6" t="str">
        <f t="shared" ca="1" si="186"/>
        <v>20209</v>
      </c>
      <c r="S660" s="6">
        <f t="shared" ca="1" si="187"/>
        <v>2020</v>
      </c>
      <c r="T660" s="6">
        <f t="shared" ca="1" si="188"/>
        <v>9</v>
      </c>
      <c r="U660" s="68">
        <f ca="1">IFERROR(__xludf.DUMMYFUNCTION("""COMPUTED_VALUE"""),44081.6458333333)</f>
        <v>44081.645833333299</v>
      </c>
      <c r="V660" s="6">
        <f ca="1">IFERROR(__xludf.DUMMYFUNCTION("""COMPUTED_VALUE"""),2384.22)</f>
        <v>2384.2199999999998</v>
      </c>
      <c r="Z660" s="6" t="str">
        <f t="shared" ca="1" si="189"/>
        <v>201911</v>
      </c>
      <c r="AA660" s="6">
        <f t="shared" ca="1" si="190"/>
        <v>2019</v>
      </c>
      <c r="AB660" s="6">
        <f t="shared" ca="1" si="191"/>
        <v>11</v>
      </c>
      <c r="AC660" s="68">
        <f ca="1">IFERROR(__xludf.DUMMYFUNCTION("""COMPUTED_VALUE"""),43796.9986111111)</f>
        <v>43796.998611111099</v>
      </c>
      <c r="AD660" s="6">
        <f ca="1">IFERROR(__xludf.DUMMYFUNCTION("""COMPUTED_VALUE"""),1175.36)</f>
        <v>1175.3599999999999</v>
      </c>
      <c r="AH660" s="6" t="str">
        <f t="shared" ca="1" si="192"/>
        <v>201910</v>
      </c>
      <c r="AI660" s="6">
        <f t="shared" ca="1" si="193"/>
        <v>2019</v>
      </c>
      <c r="AJ660" s="6">
        <f t="shared" ca="1" si="194"/>
        <v>10</v>
      </c>
      <c r="AK660" s="68">
        <f ca="1">IFERROR(__xludf.DUMMYFUNCTION("""COMPUTED_VALUE"""),43752.9986111111)</f>
        <v>43752.998611111099</v>
      </c>
      <c r="AL660" s="6">
        <f ca="1">IFERROR(__xludf.DUMMYFUNCTION("""COMPUTED_VALUE"""),8369.895)</f>
        <v>8369.8950000000004</v>
      </c>
      <c r="AP660" s="6" t="str">
        <f t="shared" ca="1" si="195"/>
        <v>20208</v>
      </c>
      <c r="AQ660" s="6">
        <f t="shared" ca="1" si="196"/>
        <v>2020</v>
      </c>
      <c r="AR660" s="6">
        <f t="shared" ca="1" si="197"/>
        <v>8</v>
      </c>
      <c r="AS660" s="68">
        <f ca="1">IFERROR(__xludf.DUMMYFUNCTION("""COMPUTED_VALUE"""),44063.9986111111)</f>
        <v>44063.998611111099</v>
      </c>
      <c r="AT660" s="6">
        <f ca="1">IFERROR(__xludf.DUMMYFUNCTION("""COMPUTED_VALUE"""),1946.5)</f>
        <v>1946.5</v>
      </c>
    </row>
    <row r="661" spans="2:46" x14ac:dyDescent="0.35">
      <c r="B661" s="6" t="str">
        <f t="shared" ca="1" si="180"/>
        <v>20208</v>
      </c>
      <c r="C661" s="6">
        <f t="shared" ca="1" si="181"/>
        <v>2020</v>
      </c>
      <c r="D661" s="6">
        <f t="shared" ca="1" si="182"/>
        <v>8</v>
      </c>
      <c r="E661" s="68">
        <f ca="1">IFERROR(__xludf.DUMMYFUNCTION("""COMPUTED_VALUE"""),44055.6666666666)</f>
        <v>44055.666666666599</v>
      </c>
      <c r="F661" s="6">
        <f ca="1">IFERROR(__xludf.DUMMYFUNCTION("""COMPUTED_VALUE"""),3380.35)</f>
        <v>3380.35</v>
      </c>
      <c r="J661" s="6" t="str">
        <f t="shared" ca="1" si="183"/>
        <v>20208</v>
      </c>
      <c r="K661" s="6">
        <f t="shared" ca="1" si="184"/>
        <v>2020</v>
      </c>
      <c r="L661" s="6">
        <f t="shared" ca="1" si="185"/>
        <v>8</v>
      </c>
      <c r="M661" s="68">
        <f ca="1">IFERROR(__xludf.DUMMYFUNCTION("""COMPUTED_VALUE"""),44049.6666666666)</f>
        <v>44049.666666666599</v>
      </c>
      <c r="N661" s="6">
        <f ca="1">IFERROR(__xludf.DUMMYFUNCTION("""COMPUTED_VALUE"""),11108.07)</f>
        <v>11108.07</v>
      </c>
      <c r="R661" s="6" t="str">
        <f t="shared" ca="1" si="186"/>
        <v>20209</v>
      </c>
      <c r="S661" s="6">
        <f t="shared" ca="1" si="187"/>
        <v>2020</v>
      </c>
      <c r="T661" s="6">
        <f t="shared" ca="1" si="188"/>
        <v>9</v>
      </c>
      <c r="U661" s="68">
        <f ca="1">IFERROR(__xludf.DUMMYFUNCTION("""COMPUTED_VALUE"""),44083.6458333333)</f>
        <v>44083.645833333299</v>
      </c>
      <c r="V661" s="6">
        <f ca="1">IFERROR(__xludf.DUMMYFUNCTION("""COMPUTED_VALUE"""),2375.81)</f>
        <v>2375.81</v>
      </c>
      <c r="Z661" s="6" t="str">
        <f t="shared" ca="1" si="189"/>
        <v>201911</v>
      </c>
      <c r="AA661" s="6">
        <f t="shared" ca="1" si="190"/>
        <v>2019</v>
      </c>
      <c r="AB661" s="6">
        <f t="shared" ca="1" si="191"/>
        <v>11</v>
      </c>
      <c r="AC661" s="68">
        <f ca="1">IFERROR(__xludf.DUMMYFUNCTION("""COMPUTED_VALUE"""),43797.9986111111)</f>
        <v>43797.998611111099</v>
      </c>
      <c r="AD661" s="6">
        <f ca="1">IFERROR(__xludf.DUMMYFUNCTION("""COMPUTED_VALUE"""),1177.01)</f>
        <v>1177.01</v>
      </c>
      <c r="AH661" s="6" t="str">
        <f t="shared" ca="1" si="192"/>
        <v>201910</v>
      </c>
      <c r="AI661" s="6">
        <f t="shared" ca="1" si="193"/>
        <v>2019</v>
      </c>
      <c r="AJ661" s="6">
        <f t="shared" ca="1" si="194"/>
        <v>10</v>
      </c>
      <c r="AK661" s="68">
        <f ca="1">IFERROR(__xludf.DUMMYFUNCTION("""COMPUTED_VALUE"""),43753.9986111111)</f>
        <v>43753.998611111099</v>
      </c>
      <c r="AL661" s="6">
        <f ca="1">IFERROR(__xludf.DUMMYFUNCTION("""COMPUTED_VALUE"""),8170.248)</f>
        <v>8170.2479999999996</v>
      </c>
      <c r="AP661" s="6" t="str">
        <f t="shared" ca="1" si="195"/>
        <v>20208</v>
      </c>
      <c r="AQ661" s="6">
        <f t="shared" ca="1" si="196"/>
        <v>2020</v>
      </c>
      <c r="AR661" s="6">
        <f t="shared" ca="1" si="197"/>
        <v>8</v>
      </c>
      <c r="AS661" s="68">
        <f ca="1">IFERROR(__xludf.DUMMYFUNCTION("""COMPUTED_VALUE"""),44064.9986111111)</f>
        <v>44064.998611111099</v>
      </c>
      <c r="AT661" s="6">
        <f ca="1">IFERROR(__xludf.DUMMYFUNCTION("""COMPUTED_VALUE"""),1947)</f>
        <v>1947</v>
      </c>
    </row>
    <row r="662" spans="2:46" x14ac:dyDescent="0.35">
      <c r="B662" s="6" t="str">
        <f t="shared" ca="1" si="180"/>
        <v>20208</v>
      </c>
      <c r="C662" s="6">
        <f t="shared" ca="1" si="181"/>
        <v>2020</v>
      </c>
      <c r="D662" s="6">
        <f t="shared" ca="1" si="182"/>
        <v>8</v>
      </c>
      <c r="E662" s="68">
        <f ca="1">IFERROR(__xludf.DUMMYFUNCTION("""COMPUTED_VALUE"""),44056.6666666666)</f>
        <v>44056.666666666599</v>
      </c>
      <c r="F662" s="6">
        <f ca="1">IFERROR(__xludf.DUMMYFUNCTION("""COMPUTED_VALUE"""),3373.43)</f>
        <v>3373.43</v>
      </c>
      <c r="J662" s="6" t="str">
        <f t="shared" ca="1" si="183"/>
        <v>20208</v>
      </c>
      <c r="K662" s="6">
        <f t="shared" ca="1" si="184"/>
        <v>2020</v>
      </c>
      <c r="L662" s="6">
        <f t="shared" ca="1" si="185"/>
        <v>8</v>
      </c>
      <c r="M662" s="68">
        <f ca="1">IFERROR(__xludf.DUMMYFUNCTION("""COMPUTED_VALUE"""),44050.6666666666)</f>
        <v>44050.666666666599</v>
      </c>
      <c r="N662" s="6">
        <f ca="1">IFERROR(__xludf.DUMMYFUNCTION("""COMPUTED_VALUE"""),11010.98)</f>
        <v>11010.98</v>
      </c>
      <c r="R662" s="6" t="str">
        <f t="shared" ca="1" si="186"/>
        <v>20209</v>
      </c>
      <c r="S662" s="6">
        <f t="shared" ca="1" si="187"/>
        <v>2020</v>
      </c>
      <c r="T662" s="6">
        <f t="shared" ca="1" si="188"/>
        <v>9</v>
      </c>
      <c r="U662" s="68">
        <f ca="1">IFERROR(__xludf.DUMMYFUNCTION("""COMPUTED_VALUE"""),44084.6458333333)</f>
        <v>44084.645833333299</v>
      </c>
      <c r="V662" s="6">
        <f ca="1">IFERROR(__xludf.DUMMYFUNCTION("""COMPUTED_VALUE"""),2396.48)</f>
        <v>2396.48</v>
      </c>
      <c r="Z662" s="6" t="str">
        <f t="shared" ca="1" si="189"/>
        <v>201911</v>
      </c>
      <c r="AA662" s="6">
        <f t="shared" ca="1" si="190"/>
        <v>2019</v>
      </c>
      <c r="AB662" s="6">
        <f t="shared" ca="1" si="191"/>
        <v>11</v>
      </c>
      <c r="AC662" s="68">
        <f ca="1">IFERROR(__xludf.DUMMYFUNCTION("""COMPUTED_VALUE"""),43798.9986111111)</f>
        <v>43798.998611111099</v>
      </c>
      <c r="AD662" s="6">
        <f ca="1">IFERROR(__xludf.DUMMYFUNCTION("""COMPUTED_VALUE"""),1181.57)</f>
        <v>1181.57</v>
      </c>
      <c r="AH662" s="6" t="str">
        <f t="shared" ca="1" si="192"/>
        <v>201910</v>
      </c>
      <c r="AI662" s="6">
        <f t="shared" ca="1" si="193"/>
        <v>2019</v>
      </c>
      <c r="AJ662" s="6">
        <f t="shared" ca="1" si="194"/>
        <v>10</v>
      </c>
      <c r="AK662" s="68">
        <f ca="1">IFERROR(__xludf.DUMMYFUNCTION("""COMPUTED_VALUE"""),43754.9986111111)</f>
        <v>43754.998611111099</v>
      </c>
      <c r="AL662" s="6">
        <f ca="1">IFERROR(__xludf.DUMMYFUNCTION("""COMPUTED_VALUE"""),8004.409)</f>
        <v>8004.4089999999997</v>
      </c>
      <c r="AP662" s="6" t="str">
        <f t="shared" ca="1" si="195"/>
        <v>20208</v>
      </c>
      <c r="AQ662" s="6">
        <f t="shared" ca="1" si="196"/>
        <v>2020</v>
      </c>
      <c r="AR662" s="6">
        <f t="shared" ca="1" si="197"/>
        <v>8</v>
      </c>
      <c r="AS662" s="68">
        <f ca="1">IFERROR(__xludf.DUMMYFUNCTION("""COMPUTED_VALUE"""),44067.9986111111)</f>
        <v>44067.998611111099</v>
      </c>
      <c r="AT662" s="6">
        <f ca="1">IFERROR(__xludf.DUMMYFUNCTION("""COMPUTED_VALUE"""),1939.2)</f>
        <v>1939.2</v>
      </c>
    </row>
    <row r="663" spans="2:46" x14ac:dyDescent="0.35">
      <c r="B663" s="6" t="str">
        <f t="shared" ca="1" si="180"/>
        <v>20208</v>
      </c>
      <c r="C663" s="6">
        <f t="shared" ca="1" si="181"/>
        <v>2020</v>
      </c>
      <c r="D663" s="6">
        <f t="shared" ca="1" si="182"/>
        <v>8</v>
      </c>
      <c r="E663" s="68">
        <f ca="1">IFERROR(__xludf.DUMMYFUNCTION("""COMPUTED_VALUE"""),44057.6666666666)</f>
        <v>44057.666666666599</v>
      </c>
      <c r="F663" s="6">
        <f ca="1">IFERROR(__xludf.DUMMYFUNCTION("""COMPUTED_VALUE"""),3372.85)</f>
        <v>3372.85</v>
      </c>
      <c r="J663" s="6" t="str">
        <f t="shared" ca="1" si="183"/>
        <v>20208</v>
      </c>
      <c r="K663" s="6">
        <f t="shared" ca="1" si="184"/>
        <v>2020</v>
      </c>
      <c r="L663" s="6">
        <f t="shared" ca="1" si="185"/>
        <v>8</v>
      </c>
      <c r="M663" s="68">
        <f ca="1">IFERROR(__xludf.DUMMYFUNCTION("""COMPUTED_VALUE"""),44053.6666666666)</f>
        <v>44053.666666666599</v>
      </c>
      <c r="N663" s="6">
        <f ca="1">IFERROR(__xludf.DUMMYFUNCTION("""COMPUTED_VALUE"""),10968.36)</f>
        <v>10968.36</v>
      </c>
      <c r="R663" s="6" t="str">
        <f t="shared" ca="1" si="186"/>
        <v>20209</v>
      </c>
      <c r="S663" s="6">
        <f t="shared" ca="1" si="187"/>
        <v>2020</v>
      </c>
      <c r="T663" s="6">
        <f t="shared" ca="1" si="188"/>
        <v>9</v>
      </c>
      <c r="U663" s="68">
        <f ca="1">IFERROR(__xludf.DUMMYFUNCTION("""COMPUTED_VALUE"""),44085.6458333333)</f>
        <v>44085.645833333299</v>
      </c>
      <c r="V663" s="6">
        <f ca="1">IFERROR(__xludf.DUMMYFUNCTION("""COMPUTED_VALUE"""),2396.69)</f>
        <v>2396.69</v>
      </c>
      <c r="Z663" s="6" t="str">
        <f t="shared" ca="1" si="189"/>
        <v>201911</v>
      </c>
      <c r="AA663" s="6">
        <f t="shared" ca="1" si="190"/>
        <v>2019</v>
      </c>
      <c r="AB663" s="6">
        <f t="shared" ca="1" si="191"/>
        <v>11</v>
      </c>
      <c r="AC663" s="68">
        <f ca="1">IFERROR(__xludf.DUMMYFUNCTION("""COMPUTED_VALUE"""),43799.9986111111)</f>
        <v>43799.998611111099</v>
      </c>
      <c r="AD663" s="6">
        <f ca="1">IFERROR(__xludf.DUMMYFUNCTION("""COMPUTED_VALUE"""),1181.47)</f>
        <v>1181.47</v>
      </c>
      <c r="AH663" s="6" t="str">
        <f t="shared" ca="1" si="192"/>
        <v>201910</v>
      </c>
      <c r="AI663" s="6">
        <f t="shared" ca="1" si="193"/>
        <v>2019</v>
      </c>
      <c r="AJ663" s="6">
        <f t="shared" ca="1" si="194"/>
        <v>10</v>
      </c>
      <c r="AK663" s="68">
        <f ca="1">IFERROR(__xludf.DUMMYFUNCTION("""COMPUTED_VALUE"""),43755.9986111111)</f>
        <v>43755.998611111099</v>
      </c>
      <c r="AL663" s="6">
        <f ca="1">IFERROR(__xludf.DUMMYFUNCTION("""COMPUTED_VALUE"""),8086.304)</f>
        <v>8086.3040000000001</v>
      </c>
      <c r="AP663" s="6" t="str">
        <f t="shared" ca="1" si="195"/>
        <v>20208</v>
      </c>
      <c r="AQ663" s="6">
        <f t="shared" ca="1" si="196"/>
        <v>2020</v>
      </c>
      <c r="AR663" s="6">
        <f t="shared" ca="1" si="197"/>
        <v>8</v>
      </c>
      <c r="AS663" s="68">
        <f ca="1">IFERROR(__xludf.DUMMYFUNCTION("""COMPUTED_VALUE"""),44068.9986111111)</f>
        <v>44068.998611111099</v>
      </c>
      <c r="AT663" s="6">
        <f ca="1">IFERROR(__xludf.DUMMYFUNCTION("""COMPUTED_VALUE"""),1923.1)</f>
        <v>1923.1</v>
      </c>
    </row>
    <row r="664" spans="2:46" x14ac:dyDescent="0.35">
      <c r="B664" s="6" t="str">
        <f t="shared" ca="1" si="180"/>
        <v>20208</v>
      </c>
      <c r="C664" s="6">
        <f t="shared" ca="1" si="181"/>
        <v>2020</v>
      </c>
      <c r="D664" s="6">
        <f t="shared" ca="1" si="182"/>
        <v>8</v>
      </c>
      <c r="E664" s="68">
        <f ca="1">IFERROR(__xludf.DUMMYFUNCTION("""COMPUTED_VALUE"""),44060.6666666666)</f>
        <v>44060.666666666599</v>
      </c>
      <c r="F664" s="6">
        <f ca="1">IFERROR(__xludf.DUMMYFUNCTION("""COMPUTED_VALUE"""),3381.99)</f>
        <v>3381.99</v>
      </c>
      <c r="J664" s="6" t="str">
        <f t="shared" ca="1" si="183"/>
        <v>20208</v>
      </c>
      <c r="K664" s="6">
        <f t="shared" ca="1" si="184"/>
        <v>2020</v>
      </c>
      <c r="L664" s="6">
        <f t="shared" ca="1" si="185"/>
        <v>8</v>
      </c>
      <c r="M664" s="68">
        <f ca="1">IFERROR(__xludf.DUMMYFUNCTION("""COMPUTED_VALUE"""),44054.6666666666)</f>
        <v>44054.666666666599</v>
      </c>
      <c r="N664" s="6">
        <f ca="1">IFERROR(__xludf.DUMMYFUNCTION("""COMPUTED_VALUE"""),10782.82)</f>
        <v>10782.82</v>
      </c>
      <c r="R664" s="6" t="str">
        <f t="shared" ca="1" si="186"/>
        <v>20209</v>
      </c>
      <c r="S664" s="6">
        <f t="shared" ca="1" si="187"/>
        <v>2020</v>
      </c>
      <c r="T664" s="6">
        <f t="shared" ca="1" si="188"/>
        <v>9</v>
      </c>
      <c r="U664" s="68">
        <f ca="1">IFERROR(__xludf.DUMMYFUNCTION("""COMPUTED_VALUE"""),44088.6458333333)</f>
        <v>44088.645833333299</v>
      </c>
      <c r="V664" s="6">
        <f ca="1">IFERROR(__xludf.DUMMYFUNCTION("""COMPUTED_VALUE"""),2427.91)</f>
        <v>2427.91</v>
      </c>
      <c r="Z664" s="6" t="str">
        <f t="shared" ca="1" si="189"/>
        <v>201912</v>
      </c>
      <c r="AA664" s="6">
        <f t="shared" ca="1" si="190"/>
        <v>2019</v>
      </c>
      <c r="AB664" s="6">
        <f t="shared" ca="1" si="191"/>
        <v>12</v>
      </c>
      <c r="AC664" s="68">
        <f ca="1">IFERROR(__xludf.DUMMYFUNCTION("""COMPUTED_VALUE"""),43800.9986111111)</f>
        <v>43800.998611111099</v>
      </c>
      <c r="AD664" s="6">
        <f ca="1">IFERROR(__xludf.DUMMYFUNCTION("""COMPUTED_VALUE"""),1181.47)</f>
        <v>1181.47</v>
      </c>
      <c r="AH664" s="6" t="str">
        <f t="shared" ca="1" si="192"/>
        <v>201910</v>
      </c>
      <c r="AI664" s="6">
        <f t="shared" ca="1" si="193"/>
        <v>2019</v>
      </c>
      <c r="AJ664" s="6">
        <f t="shared" ca="1" si="194"/>
        <v>10</v>
      </c>
      <c r="AK664" s="68">
        <f ca="1">IFERROR(__xludf.DUMMYFUNCTION("""COMPUTED_VALUE"""),43756.9986111111)</f>
        <v>43756.998611111099</v>
      </c>
      <c r="AL664" s="6">
        <f ca="1">IFERROR(__xludf.DUMMYFUNCTION("""COMPUTED_VALUE"""),7965.795)</f>
        <v>7965.7950000000001</v>
      </c>
      <c r="AP664" s="6" t="str">
        <f t="shared" ca="1" si="195"/>
        <v>20208</v>
      </c>
      <c r="AQ664" s="6">
        <f t="shared" ca="1" si="196"/>
        <v>2020</v>
      </c>
      <c r="AR664" s="6">
        <f t="shared" ca="1" si="197"/>
        <v>8</v>
      </c>
      <c r="AS664" s="68">
        <f ca="1">IFERROR(__xludf.DUMMYFUNCTION("""COMPUTED_VALUE"""),44069.9986111111)</f>
        <v>44069.998611111099</v>
      </c>
      <c r="AT664" s="6">
        <f ca="1">IFERROR(__xludf.DUMMYFUNCTION("""COMPUTED_VALUE"""),1952.5)</f>
        <v>1952.5</v>
      </c>
    </row>
    <row r="665" spans="2:46" x14ac:dyDescent="0.35">
      <c r="B665" s="6" t="str">
        <f t="shared" ca="1" si="180"/>
        <v>20208</v>
      </c>
      <c r="C665" s="6">
        <f t="shared" ca="1" si="181"/>
        <v>2020</v>
      </c>
      <c r="D665" s="6">
        <f t="shared" ca="1" si="182"/>
        <v>8</v>
      </c>
      <c r="E665" s="68">
        <f ca="1">IFERROR(__xludf.DUMMYFUNCTION("""COMPUTED_VALUE"""),44061.6666666666)</f>
        <v>44061.666666666599</v>
      </c>
      <c r="F665" s="6">
        <f ca="1">IFERROR(__xludf.DUMMYFUNCTION("""COMPUTED_VALUE"""),3389.78)</f>
        <v>3389.78</v>
      </c>
      <c r="J665" s="6" t="str">
        <f t="shared" ca="1" si="183"/>
        <v>20208</v>
      </c>
      <c r="K665" s="6">
        <f t="shared" ca="1" si="184"/>
        <v>2020</v>
      </c>
      <c r="L665" s="6">
        <f t="shared" ca="1" si="185"/>
        <v>8</v>
      </c>
      <c r="M665" s="68">
        <f ca="1">IFERROR(__xludf.DUMMYFUNCTION("""COMPUTED_VALUE"""),44055.6666666666)</f>
        <v>44055.666666666599</v>
      </c>
      <c r="N665" s="6">
        <f ca="1">IFERROR(__xludf.DUMMYFUNCTION("""COMPUTED_VALUE"""),11012.24)</f>
        <v>11012.24</v>
      </c>
      <c r="R665" s="6" t="str">
        <f t="shared" ca="1" si="186"/>
        <v>20209</v>
      </c>
      <c r="S665" s="6">
        <f t="shared" ca="1" si="187"/>
        <v>2020</v>
      </c>
      <c r="T665" s="6">
        <f t="shared" ca="1" si="188"/>
        <v>9</v>
      </c>
      <c r="U665" s="68">
        <f ca="1">IFERROR(__xludf.DUMMYFUNCTION("""COMPUTED_VALUE"""),44089.6458333333)</f>
        <v>44089.645833333299</v>
      </c>
      <c r="V665" s="6">
        <f ca="1">IFERROR(__xludf.DUMMYFUNCTION("""COMPUTED_VALUE"""),2443.58)</f>
        <v>2443.58</v>
      </c>
      <c r="Z665" s="6" t="str">
        <f t="shared" ca="1" si="189"/>
        <v>201912</v>
      </c>
      <c r="AA665" s="6">
        <f t="shared" ca="1" si="190"/>
        <v>2019</v>
      </c>
      <c r="AB665" s="6">
        <f t="shared" ca="1" si="191"/>
        <v>12</v>
      </c>
      <c r="AC665" s="68">
        <f ca="1">IFERROR(__xludf.DUMMYFUNCTION("""COMPUTED_VALUE"""),43801.9986111111)</f>
        <v>43801.998611111099</v>
      </c>
      <c r="AD665" s="6">
        <f ca="1">IFERROR(__xludf.DUMMYFUNCTION("""COMPUTED_VALUE"""),1183.79)</f>
        <v>1183.79</v>
      </c>
      <c r="AH665" s="6" t="str">
        <f t="shared" ca="1" si="192"/>
        <v>201910</v>
      </c>
      <c r="AI665" s="6">
        <f t="shared" ca="1" si="193"/>
        <v>2019</v>
      </c>
      <c r="AJ665" s="6">
        <f t="shared" ca="1" si="194"/>
        <v>10</v>
      </c>
      <c r="AK665" s="68">
        <f ca="1">IFERROR(__xludf.DUMMYFUNCTION("""COMPUTED_VALUE"""),43757.9986111111)</f>
        <v>43757.998611111099</v>
      </c>
      <c r="AL665" s="6">
        <f ca="1">IFERROR(__xludf.DUMMYFUNCTION("""COMPUTED_VALUE"""),7972.998)</f>
        <v>7972.9979999999996</v>
      </c>
      <c r="AP665" s="6" t="str">
        <f t="shared" ca="1" si="195"/>
        <v>20208</v>
      </c>
      <c r="AQ665" s="6">
        <f t="shared" ca="1" si="196"/>
        <v>2020</v>
      </c>
      <c r="AR665" s="6">
        <f t="shared" ca="1" si="197"/>
        <v>8</v>
      </c>
      <c r="AS665" s="68">
        <f ca="1">IFERROR(__xludf.DUMMYFUNCTION("""COMPUTED_VALUE"""),44070.9986111111)</f>
        <v>44070.998611111099</v>
      </c>
      <c r="AT665" s="6">
        <f ca="1">IFERROR(__xludf.DUMMYFUNCTION("""COMPUTED_VALUE"""),1932.6)</f>
        <v>1932.6</v>
      </c>
    </row>
    <row r="666" spans="2:46" x14ac:dyDescent="0.35">
      <c r="B666" s="6" t="str">
        <f t="shared" ca="1" si="180"/>
        <v>20208</v>
      </c>
      <c r="C666" s="6">
        <f t="shared" ca="1" si="181"/>
        <v>2020</v>
      </c>
      <c r="D666" s="6">
        <f t="shared" ca="1" si="182"/>
        <v>8</v>
      </c>
      <c r="E666" s="68">
        <f ca="1">IFERROR(__xludf.DUMMYFUNCTION("""COMPUTED_VALUE"""),44062.6666666666)</f>
        <v>44062.666666666599</v>
      </c>
      <c r="F666" s="6">
        <f ca="1">IFERROR(__xludf.DUMMYFUNCTION("""COMPUTED_VALUE"""),3374.85)</f>
        <v>3374.85</v>
      </c>
      <c r="J666" s="6" t="str">
        <f t="shared" ca="1" si="183"/>
        <v>20208</v>
      </c>
      <c r="K666" s="6">
        <f t="shared" ca="1" si="184"/>
        <v>2020</v>
      </c>
      <c r="L666" s="6">
        <f t="shared" ca="1" si="185"/>
        <v>8</v>
      </c>
      <c r="M666" s="68">
        <f ca="1">IFERROR(__xludf.DUMMYFUNCTION("""COMPUTED_VALUE"""),44056.6666666666)</f>
        <v>44056.666666666599</v>
      </c>
      <c r="N666" s="6">
        <f ca="1">IFERROR(__xludf.DUMMYFUNCTION("""COMPUTED_VALUE"""),11042.5)</f>
        <v>11042.5</v>
      </c>
      <c r="R666" s="6" t="str">
        <f t="shared" ca="1" si="186"/>
        <v>20209</v>
      </c>
      <c r="S666" s="6">
        <f t="shared" ca="1" si="187"/>
        <v>2020</v>
      </c>
      <c r="T666" s="6">
        <f t="shared" ca="1" si="188"/>
        <v>9</v>
      </c>
      <c r="U666" s="68">
        <f ca="1">IFERROR(__xludf.DUMMYFUNCTION("""COMPUTED_VALUE"""),44090.6458333333)</f>
        <v>44090.645833333299</v>
      </c>
      <c r="V666" s="6">
        <f ca="1">IFERROR(__xludf.DUMMYFUNCTION("""COMPUTED_VALUE"""),2435.92)</f>
        <v>2435.92</v>
      </c>
      <c r="Z666" s="6" t="str">
        <f t="shared" ca="1" si="189"/>
        <v>201912</v>
      </c>
      <c r="AA666" s="6">
        <f t="shared" ca="1" si="190"/>
        <v>2019</v>
      </c>
      <c r="AB666" s="6">
        <f t="shared" ca="1" si="191"/>
        <v>12</v>
      </c>
      <c r="AC666" s="68">
        <f ca="1">IFERROR(__xludf.DUMMYFUNCTION("""COMPUTED_VALUE"""),43802.9986111111)</f>
        <v>43802.998611111099</v>
      </c>
      <c r="AD666" s="6">
        <f ca="1">IFERROR(__xludf.DUMMYFUNCTION("""COMPUTED_VALUE"""),1187.63)</f>
        <v>1187.6300000000001</v>
      </c>
      <c r="AH666" s="6" t="str">
        <f t="shared" ca="1" si="192"/>
        <v>201910</v>
      </c>
      <c r="AI666" s="6">
        <f t="shared" ca="1" si="193"/>
        <v>2019</v>
      </c>
      <c r="AJ666" s="6">
        <f t="shared" ca="1" si="194"/>
        <v>10</v>
      </c>
      <c r="AK666" s="68">
        <f ca="1">IFERROR(__xludf.DUMMYFUNCTION("""COMPUTED_VALUE"""),43758.9986111111)</f>
        <v>43758.998611111099</v>
      </c>
      <c r="AL666" s="6">
        <f ca="1">IFERROR(__xludf.DUMMYFUNCTION("""COMPUTED_VALUE"""),8239.474)</f>
        <v>8239.4740000000002</v>
      </c>
      <c r="AP666" s="6" t="str">
        <f t="shared" ca="1" si="195"/>
        <v>20208</v>
      </c>
      <c r="AQ666" s="6">
        <f t="shared" ca="1" si="196"/>
        <v>2020</v>
      </c>
      <c r="AR666" s="6">
        <f t="shared" ca="1" si="197"/>
        <v>8</v>
      </c>
      <c r="AS666" s="68">
        <f ca="1">IFERROR(__xludf.DUMMYFUNCTION("""COMPUTED_VALUE"""),44071.9986111111)</f>
        <v>44071.998611111099</v>
      </c>
      <c r="AT666" s="6">
        <f ca="1">IFERROR(__xludf.DUMMYFUNCTION("""COMPUTED_VALUE"""),1974.9)</f>
        <v>1974.9</v>
      </c>
    </row>
    <row r="667" spans="2:46" x14ac:dyDescent="0.35">
      <c r="B667" s="6" t="str">
        <f t="shared" ca="1" si="180"/>
        <v>20208</v>
      </c>
      <c r="C667" s="6">
        <f t="shared" ca="1" si="181"/>
        <v>2020</v>
      </c>
      <c r="D667" s="6">
        <f t="shared" ca="1" si="182"/>
        <v>8</v>
      </c>
      <c r="E667" s="68">
        <f ca="1">IFERROR(__xludf.DUMMYFUNCTION("""COMPUTED_VALUE"""),44063.6666666666)</f>
        <v>44063.666666666599</v>
      </c>
      <c r="F667" s="6">
        <f ca="1">IFERROR(__xludf.DUMMYFUNCTION("""COMPUTED_VALUE"""),3385.51)</f>
        <v>3385.51</v>
      </c>
      <c r="J667" s="6" t="str">
        <f t="shared" ca="1" si="183"/>
        <v>20208</v>
      </c>
      <c r="K667" s="6">
        <f t="shared" ca="1" si="184"/>
        <v>2020</v>
      </c>
      <c r="L667" s="6">
        <f t="shared" ca="1" si="185"/>
        <v>8</v>
      </c>
      <c r="M667" s="68">
        <f ca="1">IFERROR(__xludf.DUMMYFUNCTION("""COMPUTED_VALUE"""),44057.6666666666)</f>
        <v>44057.666666666599</v>
      </c>
      <c r="N667" s="6">
        <f ca="1">IFERROR(__xludf.DUMMYFUNCTION("""COMPUTED_VALUE"""),11019.3)</f>
        <v>11019.3</v>
      </c>
      <c r="R667" s="6" t="str">
        <f t="shared" ca="1" si="186"/>
        <v>20209</v>
      </c>
      <c r="S667" s="6">
        <f t="shared" ca="1" si="187"/>
        <v>2020</v>
      </c>
      <c r="T667" s="6">
        <f t="shared" ca="1" si="188"/>
        <v>9</v>
      </c>
      <c r="U667" s="68">
        <f ca="1">IFERROR(__xludf.DUMMYFUNCTION("""COMPUTED_VALUE"""),44091.6458333333)</f>
        <v>44091.645833333299</v>
      </c>
      <c r="V667" s="6">
        <f ca="1">IFERROR(__xludf.DUMMYFUNCTION("""COMPUTED_VALUE"""),2406.17)</f>
        <v>2406.17</v>
      </c>
      <c r="Z667" s="6" t="str">
        <f t="shared" ca="1" si="189"/>
        <v>201912</v>
      </c>
      <c r="AA667" s="6">
        <f t="shared" ca="1" si="190"/>
        <v>2019</v>
      </c>
      <c r="AB667" s="6">
        <f t="shared" ca="1" si="191"/>
        <v>12</v>
      </c>
      <c r="AC667" s="68">
        <f ca="1">IFERROR(__xludf.DUMMYFUNCTION("""COMPUTED_VALUE"""),43803.9986111111)</f>
        <v>43803.998611111099</v>
      </c>
      <c r="AD667" s="6">
        <f ca="1">IFERROR(__xludf.DUMMYFUNCTION("""COMPUTED_VALUE"""),1189.46)</f>
        <v>1189.46</v>
      </c>
      <c r="AH667" s="6" t="str">
        <f t="shared" ca="1" si="192"/>
        <v>201910</v>
      </c>
      <c r="AI667" s="6">
        <f t="shared" ca="1" si="193"/>
        <v>2019</v>
      </c>
      <c r="AJ667" s="6">
        <f t="shared" ca="1" si="194"/>
        <v>10</v>
      </c>
      <c r="AK667" s="68">
        <f ca="1">IFERROR(__xludf.DUMMYFUNCTION("""COMPUTED_VALUE"""),43759.9986111111)</f>
        <v>43759.998611111099</v>
      </c>
      <c r="AL667" s="6">
        <f ca="1">IFERROR(__xludf.DUMMYFUNCTION("""COMPUTED_VALUE"""),8220.194)</f>
        <v>8220.1939999999995</v>
      </c>
      <c r="AP667" s="6" t="str">
        <f t="shared" ca="1" si="195"/>
        <v>20208</v>
      </c>
      <c r="AQ667" s="6">
        <f t="shared" ca="1" si="196"/>
        <v>2020</v>
      </c>
      <c r="AR667" s="6">
        <f t="shared" ca="1" si="197"/>
        <v>8</v>
      </c>
      <c r="AS667" s="68">
        <f ca="1">IFERROR(__xludf.DUMMYFUNCTION("""COMPUTED_VALUE"""),44074.9986111111)</f>
        <v>44074.998611111099</v>
      </c>
      <c r="AT667" s="6">
        <f ca="1">IFERROR(__xludf.DUMMYFUNCTION("""COMPUTED_VALUE"""),1978.6)</f>
        <v>1978.6</v>
      </c>
    </row>
    <row r="668" spans="2:46" x14ac:dyDescent="0.35">
      <c r="B668" s="6" t="str">
        <f t="shared" ca="1" si="180"/>
        <v>20208</v>
      </c>
      <c r="C668" s="6">
        <f t="shared" ca="1" si="181"/>
        <v>2020</v>
      </c>
      <c r="D668" s="6">
        <f t="shared" ca="1" si="182"/>
        <v>8</v>
      </c>
      <c r="E668" s="68">
        <f ca="1">IFERROR(__xludf.DUMMYFUNCTION("""COMPUTED_VALUE"""),44064.6666666666)</f>
        <v>44064.666666666599</v>
      </c>
      <c r="F668" s="6">
        <f ca="1">IFERROR(__xludf.DUMMYFUNCTION("""COMPUTED_VALUE"""),3397.16)</f>
        <v>3397.16</v>
      </c>
      <c r="J668" s="6" t="str">
        <f t="shared" ca="1" si="183"/>
        <v>20208</v>
      </c>
      <c r="K668" s="6">
        <f t="shared" ca="1" si="184"/>
        <v>2020</v>
      </c>
      <c r="L668" s="6">
        <f t="shared" ca="1" si="185"/>
        <v>8</v>
      </c>
      <c r="M668" s="68">
        <f ca="1">IFERROR(__xludf.DUMMYFUNCTION("""COMPUTED_VALUE"""),44060.6666666666)</f>
        <v>44060.666666666599</v>
      </c>
      <c r="N668" s="6">
        <f ca="1">IFERROR(__xludf.DUMMYFUNCTION("""COMPUTED_VALUE"""),11129.73)</f>
        <v>11129.73</v>
      </c>
      <c r="R668" s="6" t="str">
        <f t="shared" ca="1" si="186"/>
        <v>20209</v>
      </c>
      <c r="S668" s="6">
        <f t="shared" ca="1" si="187"/>
        <v>2020</v>
      </c>
      <c r="T668" s="6">
        <f t="shared" ca="1" si="188"/>
        <v>9</v>
      </c>
      <c r="U668" s="68">
        <f ca="1">IFERROR(__xludf.DUMMYFUNCTION("""COMPUTED_VALUE"""),44092.6458333333)</f>
        <v>44092.645833333299</v>
      </c>
      <c r="V668" s="6">
        <f ca="1">IFERROR(__xludf.DUMMYFUNCTION("""COMPUTED_VALUE"""),2412.4)</f>
        <v>2412.4</v>
      </c>
      <c r="Z668" s="6" t="str">
        <f t="shared" ca="1" si="189"/>
        <v>201912</v>
      </c>
      <c r="AA668" s="6">
        <f t="shared" ca="1" si="190"/>
        <v>2019</v>
      </c>
      <c r="AB668" s="6">
        <f t="shared" ca="1" si="191"/>
        <v>12</v>
      </c>
      <c r="AC668" s="68">
        <f ca="1">IFERROR(__xludf.DUMMYFUNCTION("""COMPUTED_VALUE"""),43804.9986111111)</f>
        <v>43804.998611111099</v>
      </c>
      <c r="AD668" s="6">
        <f ca="1">IFERROR(__xludf.DUMMYFUNCTION("""COMPUTED_VALUE"""),1187.98)</f>
        <v>1187.98</v>
      </c>
      <c r="AH668" s="6" t="str">
        <f t="shared" ca="1" si="192"/>
        <v>201910</v>
      </c>
      <c r="AI668" s="6">
        <f t="shared" ca="1" si="193"/>
        <v>2019</v>
      </c>
      <c r="AJ668" s="6">
        <f t="shared" ca="1" si="194"/>
        <v>10</v>
      </c>
      <c r="AK668" s="68">
        <f ca="1">IFERROR(__xludf.DUMMYFUNCTION("""COMPUTED_VALUE"""),43760.9986111111)</f>
        <v>43760.998611111099</v>
      </c>
      <c r="AL668" s="6">
        <f ca="1">IFERROR(__xludf.DUMMYFUNCTION("""COMPUTED_VALUE"""),8033.617)</f>
        <v>8033.6170000000002</v>
      </c>
      <c r="AP668" s="6" t="str">
        <f t="shared" ca="1" si="195"/>
        <v>20209</v>
      </c>
      <c r="AQ668" s="6">
        <f t="shared" ca="1" si="196"/>
        <v>2020</v>
      </c>
      <c r="AR668" s="6">
        <f t="shared" ca="1" si="197"/>
        <v>9</v>
      </c>
      <c r="AS668" s="68">
        <f ca="1">IFERROR(__xludf.DUMMYFUNCTION("""COMPUTED_VALUE"""),44075.9986111111)</f>
        <v>44075.998611111099</v>
      </c>
      <c r="AT668" s="6">
        <f ca="1">IFERROR(__xludf.DUMMYFUNCTION("""COMPUTED_VALUE"""),1978.9)</f>
        <v>1978.9</v>
      </c>
    </row>
    <row r="669" spans="2:46" x14ac:dyDescent="0.35">
      <c r="B669" s="6" t="str">
        <f t="shared" ca="1" si="180"/>
        <v>20208</v>
      </c>
      <c r="C669" s="6">
        <f t="shared" ca="1" si="181"/>
        <v>2020</v>
      </c>
      <c r="D669" s="6">
        <f t="shared" ca="1" si="182"/>
        <v>8</v>
      </c>
      <c r="E669" s="68">
        <f ca="1">IFERROR(__xludf.DUMMYFUNCTION("""COMPUTED_VALUE"""),44067.6666666666)</f>
        <v>44067.666666666599</v>
      </c>
      <c r="F669" s="6">
        <f ca="1">IFERROR(__xludf.DUMMYFUNCTION("""COMPUTED_VALUE"""),3431.28)</f>
        <v>3431.28</v>
      </c>
      <c r="J669" s="6" t="str">
        <f t="shared" ca="1" si="183"/>
        <v>20208</v>
      </c>
      <c r="K669" s="6">
        <f t="shared" ca="1" si="184"/>
        <v>2020</v>
      </c>
      <c r="L669" s="6">
        <f t="shared" ca="1" si="185"/>
        <v>8</v>
      </c>
      <c r="M669" s="68">
        <f ca="1">IFERROR(__xludf.DUMMYFUNCTION("""COMPUTED_VALUE"""),44061.6666666666)</f>
        <v>44061.666666666599</v>
      </c>
      <c r="N669" s="6">
        <f ca="1">IFERROR(__xludf.DUMMYFUNCTION("""COMPUTED_VALUE"""),11210.84)</f>
        <v>11210.84</v>
      </c>
      <c r="R669" s="6" t="str">
        <f t="shared" ca="1" si="186"/>
        <v>20209</v>
      </c>
      <c r="S669" s="6">
        <f t="shared" ca="1" si="187"/>
        <v>2020</v>
      </c>
      <c r="T669" s="6">
        <f t="shared" ca="1" si="188"/>
        <v>9</v>
      </c>
      <c r="U669" s="68">
        <f ca="1">IFERROR(__xludf.DUMMYFUNCTION("""COMPUTED_VALUE"""),44095.6458333333)</f>
        <v>44095.645833333299</v>
      </c>
      <c r="V669" s="6">
        <f ca="1">IFERROR(__xludf.DUMMYFUNCTION("""COMPUTED_VALUE"""),2389.39)</f>
        <v>2389.39</v>
      </c>
      <c r="Z669" s="6" t="str">
        <f t="shared" ca="1" si="189"/>
        <v>201912</v>
      </c>
      <c r="AA669" s="6">
        <f t="shared" ca="1" si="190"/>
        <v>2019</v>
      </c>
      <c r="AB669" s="6">
        <f t="shared" ca="1" si="191"/>
        <v>12</v>
      </c>
      <c r="AC669" s="68">
        <f ca="1">IFERROR(__xludf.DUMMYFUNCTION("""COMPUTED_VALUE"""),43805.9986111111)</f>
        <v>43805.998611111099</v>
      </c>
      <c r="AD669" s="6">
        <f ca="1">IFERROR(__xludf.DUMMYFUNCTION("""COMPUTED_VALUE"""),1186.11)</f>
        <v>1186.1099999999999</v>
      </c>
      <c r="AH669" s="6" t="str">
        <f t="shared" ca="1" si="192"/>
        <v>201910</v>
      </c>
      <c r="AI669" s="6">
        <f t="shared" ca="1" si="193"/>
        <v>2019</v>
      </c>
      <c r="AJ669" s="6">
        <f t="shared" ca="1" si="194"/>
        <v>10</v>
      </c>
      <c r="AK669" s="68">
        <f ca="1">IFERROR(__xludf.DUMMYFUNCTION("""COMPUTED_VALUE"""),43761.9986111111)</f>
        <v>43761.998611111099</v>
      </c>
      <c r="AL669" s="6">
        <f ca="1">IFERROR(__xludf.DUMMYFUNCTION("""COMPUTED_VALUE"""),7463.521)</f>
        <v>7463.5209999999997</v>
      </c>
      <c r="AP669" s="6" t="str">
        <f t="shared" ca="1" si="195"/>
        <v>20209</v>
      </c>
      <c r="AQ669" s="6">
        <f t="shared" ca="1" si="196"/>
        <v>2020</v>
      </c>
      <c r="AR669" s="6">
        <f t="shared" ca="1" si="197"/>
        <v>9</v>
      </c>
      <c r="AS669" s="68">
        <f ca="1">IFERROR(__xludf.DUMMYFUNCTION("""COMPUTED_VALUE"""),44076.9986111111)</f>
        <v>44076.998611111099</v>
      </c>
      <c r="AT669" s="6">
        <f ca="1">IFERROR(__xludf.DUMMYFUNCTION("""COMPUTED_VALUE"""),1944.7)</f>
        <v>1944.7</v>
      </c>
    </row>
    <row r="670" spans="2:46" x14ac:dyDescent="0.35">
      <c r="B670" s="6" t="str">
        <f t="shared" ca="1" si="180"/>
        <v>20208</v>
      </c>
      <c r="C670" s="6">
        <f t="shared" ca="1" si="181"/>
        <v>2020</v>
      </c>
      <c r="D670" s="6">
        <f t="shared" ca="1" si="182"/>
        <v>8</v>
      </c>
      <c r="E670" s="68">
        <f ca="1">IFERROR(__xludf.DUMMYFUNCTION("""COMPUTED_VALUE"""),44068.6666666666)</f>
        <v>44068.666666666599</v>
      </c>
      <c r="F670" s="6">
        <f ca="1">IFERROR(__xludf.DUMMYFUNCTION("""COMPUTED_VALUE"""),3443.62)</f>
        <v>3443.62</v>
      </c>
      <c r="J670" s="6" t="str">
        <f t="shared" ca="1" si="183"/>
        <v>20208</v>
      </c>
      <c r="K670" s="6">
        <f t="shared" ca="1" si="184"/>
        <v>2020</v>
      </c>
      <c r="L670" s="6">
        <f t="shared" ca="1" si="185"/>
        <v>8</v>
      </c>
      <c r="M670" s="68">
        <f ca="1">IFERROR(__xludf.DUMMYFUNCTION("""COMPUTED_VALUE"""),44062.6666666666)</f>
        <v>44062.666666666599</v>
      </c>
      <c r="N670" s="6">
        <f ca="1">IFERROR(__xludf.DUMMYFUNCTION("""COMPUTED_VALUE"""),11146.46)</f>
        <v>11146.46</v>
      </c>
      <c r="R670" s="6" t="str">
        <f t="shared" ca="1" si="186"/>
        <v>20209</v>
      </c>
      <c r="S670" s="6">
        <f t="shared" ca="1" si="187"/>
        <v>2020</v>
      </c>
      <c r="T670" s="6">
        <f t="shared" ca="1" si="188"/>
        <v>9</v>
      </c>
      <c r="U670" s="68">
        <f ca="1">IFERROR(__xludf.DUMMYFUNCTION("""COMPUTED_VALUE"""),44096.6458333333)</f>
        <v>44096.645833333299</v>
      </c>
      <c r="V670" s="6">
        <f ca="1">IFERROR(__xludf.DUMMYFUNCTION("""COMPUTED_VALUE"""),2332.59)</f>
        <v>2332.59</v>
      </c>
      <c r="Z670" s="6" t="str">
        <f t="shared" ca="1" si="189"/>
        <v>201912</v>
      </c>
      <c r="AA670" s="6">
        <f t="shared" ca="1" si="190"/>
        <v>2019</v>
      </c>
      <c r="AB670" s="6">
        <f t="shared" ca="1" si="191"/>
        <v>12</v>
      </c>
      <c r="AC670" s="68">
        <f ca="1">IFERROR(__xludf.DUMMYFUNCTION("""COMPUTED_VALUE"""),43806.9986111111)</f>
        <v>43806.998611111099</v>
      </c>
      <c r="AD670" s="6">
        <f ca="1">IFERROR(__xludf.DUMMYFUNCTION("""COMPUTED_VALUE"""),1186.11)</f>
        <v>1186.1099999999999</v>
      </c>
      <c r="AH670" s="6" t="str">
        <f t="shared" ca="1" si="192"/>
        <v>201910</v>
      </c>
      <c r="AI670" s="6">
        <f t="shared" ca="1" si="193"/>
        <v>2019</v>
      </c>
      <c r="AJ670" s="6">
        <f t="shared" ca="1" si="194"/>
        <v>10</v>
      </c>
      <c r="AK670" s="68">
        <f ca="1">IFERROR(__xludf.DUMMYFUNCTION("""COMPUTED_VALUE"""),43762.9986111111)</f>
        <v>43762.998611111099</v>
      </c>
      <c r="AL670" s="6">
        <f ca="1">IFERROR(__xludf.DUMMYFUNCTION("""COMPUTED_VALUE"""),7439.174)</f>
        <v>7439.174</v>
      </c>
      <c r="AP670" s="6" t="str">
        <f t="shared" ca="1" si="195"/>
        <v>20209</v>
      </c>
      <c r="AQ670" s="6">
        <f t="shared" ca="1" si="196"/>
        <v>2020</v>
      </c>
      <c r="AR670" s="6">
        <f t="shared" ca="1" si="197"/>
        <v>9</v>
      </c>
      <c r="AS670" s="68">
        <f ca="1">IFERROR(__xludf.DUMMYFUNCTION("""COMPUTED_VALUE"""),44077.9986111111)</f>
        <v>44077.998611111099</v>
      </c>
      <c r="AT670" s="6">
        <f ca="1">IFERROR(__xludf.DUMMYFUNCTION("""COMPUTED_VALUE"""),1937.8)</f>
        <v>1937.8</v>
      </c>
    </row>
    <row r="671" spans="2:46" x14ac:dyDescent="0.35">
      <c r="B671" s="6" t="str">
        <f t="shared" ca="1" si="180"/>
        <v>20208</v>
      </c>
      <c r="C671" s="6">
        <f t="shared" ca="1" si="181"/>
        <v>2020</v>
      </c>
      <c r="D671" s="6">
        <f t="shared" ca="1" si="182"/>
        <v>8</v>
      </c>
      <c r="E671" s="68">
        <f ca="1">IFERROR(__xludf.DUMMYFUNCTION("""COMPUTED_VALUE"""),44069.6666666666)</f>
        <v>44069.666666666599</v>
      </c>
      <c r="F671" s="6">
        <f ca="1">IFERROR(__xludf.DUMMYFUNCTION("""COMPUTED_VALUE"""),3478.73)</f>
        <v>3478.73</v>
      </c>
      <c r="J671" s="6" t="str">
        <f t="shared" ca="1" si="183"/>
        <v>20208</v>
      </c>
      <c r="K671" s="6">
        <f t="shared" ca="1" si="184"/>
        <v>2020</v>
      </c>
      <c r="L671" s="6">
        <f t="shared" ca="1" si="185"/>
        <v>8</v>
      </c>
      <c r="M671" s="68">
        <f ca="1">IFERROR(__xludf.DUMMYFUNCTION("""COMPUTED_VALUE"""),44063.6666666666)</f>
        <v>44063.666666666599</v>
      </c>
      <c r="N671" s="6">
        <f ca="1">IFERROR(__xludf.DUMMYFUNCTION("""COMPUTED_VALUE"""),11264.95)</f>
        <v>11264.95</v>
      </c>
      <c r="R671" s="6" t="str">
        <f t="shared" ca="1" si="186"/>
        <v>20209</v>
      </c>
      <c r="S671" s="6">
        <f t="shared" ca="1" si="187"/>
        <v>2020</v>
      </c>
      <c r="T671" s="6">
        <f t="shared" ca="1" si="188"/>
        <v>9</v>
      </c>
      <c r="U671" s="68">
        <f ca="1">IFERROR(__xludf.DUMMYFUNCTION("""COMPUTED_VALUE"""),44097.6458333333)</f>
        <v>44097.645833333299</v>
      </c>
      <c r="V671" s="6">
        <f ca="1">IFERROR(__xludf.DUMMYFUNCTION("""COMPUTED_VALUE"""),2333.24)</f>
        <v>2333.2399999999998</v>
      </c>
      <c r="Z671" s="6" t="str">
        <f t="shared" ca="1" si="189"/>
        <v>201912</v>
      </c>
      <c r="AA671" s="6">
        <f t="shared" ca="1" si="190"/>
        <v>2019</v>
      </c>
      <c r="AB671" s="6">
        <f t="shared" ca="1" si="191"/>
        <v>12</v>
      </c>
      <c r="AC671" s="68">
        <f ca="1">IFERROR(__xludf.DUMMYFUNCTION("""COMPUTED_VALUE"""),43807.9986111111)</f>
        <v>43807.998611111099</v>
      </c>
      <c r="AD671" s="6">
        <f ca="1">IFERROR(__xludf.DUMMYFUNCTION("""COMPUTED_VALUE"""),1186.11)</f>
        <v>1186.1099999999999</v>
      </c>
      <c r="AH671" s="6" t="str">
        <f t="shared" ca="1" si="192"/>
        <v>201910</v>
      </c>
      <c r="AI671" s="6">
        <f t="shared" ca="1" si="193"/>
        <v>2019</v>
      </c>
      <c r="AJ671" s="6">
        <f t="shared" ca="1" si="194"/>
        <v>10</v>
      </c>
      <c r="AK671" s="68">
        <f ca="1">IFERROR(__xludf.DUMMYFUNCTION("""COMPUTED_VALUE"""),43763.9986111111)</f>
        <v>43763.998611111099</v>
      </c>
      <c r="AL671" s="6">
        <f ca="1">IFERROR(__xludf.DUMMYFUNCTION("""COMPUTED_VALUE"""),8669.673)</f>
        <v>8669.6730000000007</v>
      </c>
      <c r="AP671" s="6" t="str">
        <f t="shared" ca="1" si="195"/>
        <v>20209</v>
      </c>
      <c r="AQ671" s="6">
        <f t="shared" ca="1" si="196"/>
        <v>2020</v>
      </c>
      <c r="AR671" s="6">
        <f t="shared" ca="1" si="197"/>
        <v>9</v>
      </c>
      <c r="AS671" s="68">
        <f ca="1">IFERROR(__xludf.DUMMYFUNCTION("""COMPUTED_VALUE"""),44078.9986111111)</f>
        <v>44078.998611111099</v>
      </c>
      <c r="AT671" s="6">
        <f ca="1">IFERROR(__xludf.DUMMYFUNCTION("""COMPUTED_VALUE"""),1934.3)</f>
        <v>1934.3</v>
      </c>
    </row>
    <row r="672" spans="2:46" x14ac:dyDescent="0.35">
      <c r="B672" s="6" t="str">
        <f t="shared" ca="1" si="180"/>
        <v>20208</v>
      </c>
      <c r="C672" s="6">
        <f t="shared" ca="1" si="181"/>
        <v>2020</v>
      </c>
      <c r="D672" s="6">
        <f t="shared" ca="1" si="182"/>
        <v>8</v>
      </c>
      <c r="E672" s="68">
        <f ca="1">IFERROR(__xludf.DUMMYFUNCTION("""COMPUTED_VALUE"""),44070.6666666666)</f>
        <v>44070.666666666599</v>
      </c>
      <c r="F672" s="6">
        <f ca="1">IFERROR(__xludf.DUMMYFUNCTION("""COMPUTED_VALUE"""),3484.55)</f>
        <v>3484.55</v>
      </c>
      <c r="J672" s="6" t="str">
        <f t="shared" ca="1" si="183"/>
        <v>20208</v>
      </c>
      <c r="K672" s="6">
        <f t="shared" ca="1" si="184"/>
        <v>2020</v>
      </c>
      <c r="L672" s="6">
        <f t="shared" ca="1" si="185"/>
        <v>8</v>
      </c>
      <c r="M672" s="68">
        <f ca="1">IFERROR(__xludf.DUMMYFUNCTION("""COMPUTED_VALUE"""),44064.6666666666)</f>
        <v>44064.666666666599</v>
      </c>
      <c r="N672" s="6">
        <f ca="1">IFERROR(__xludf.DUMMYFUNCTION("""COMPUTED_VALUE"""),11311.8)</f>
        <v>11311.8</v>
      </c>
      <c r="R672" s="6" t="str">
        <f t="shared" ca="1" si="186"/>
        <v>20209</v>
      </c>
      <c r="S672" s="6">
        <f t="shared" ca="1" si="187"/>
        <v>2020</v>
      </c>
      <c r="T672" s="6">
        <f t="shared" ca="1" si="188"/>
        <v>9</v>
      </c>
      <c r="U672" s="68">
        <f ca="1">IFERROR(__xludf.DUMMYFUNCTION("""COMPUTED_VALUE"""),44098.6458333333)</f>
        <v>44098.645833333299</v>
      </c>
      <c r="V672" s="6">
        <f ca="1">IFERROR(__xludf.DUMMYFUNCTION("""COMPUTED_VALUE"""),2272.7)</f>
        <v>2272.6999999999998</v>
      </c>
      <c r="Z672" s="6" t="str">
        <f t="shared" ca="1" si="189"/>
        <v>201912</v>
      </c>
      <c r="AA672" s="6">
        <f t="shared" ca="1" si="190"/>
        <v>2019</v>
      </c>
      <c r="AB672" s="6">
        <f t="shared" ca="1" si="191"/>
        <v>12</v>
      </c>
      <c r="AC672" s="68">
        <f ca="1">IFERROR(__xludf.DUMMYFUNCTION("""COMPUTED_VALUE"""),43808.9986111111)</f>
        <v>43808.998611111099</v>
      </c>
      <c r="AD672" s="6">
        <f ca="1">IFERROR(__xludf.DUMMYFUNCTION("""COMPUTED_VALUE"""),1188.68)</f>
        <v>1188.68</v>
      </c>
      <c r="AH672" s="6" t="str">
        <f t="shared" ca="1" si="192"/>
        <v>201910</v>
      </c>
      <c r="AI672" s="6">
        <f t="shared" ca="1" si="193"/>
        <v>2019</v>
      </c>
      <c r="AJ672" s="6">
        <f t="shared" ca="1" si="194"/>
        <v>10</v>
      </c>
      <c r="AK672" s="68">
        <f ca="1">IFERROR(__xludf.DUMMYFUNCTION("""COMPUTED_VALUE"""),43764.9986111111)</f>
        <v>43764.998611111099</v>
      </c>
      <c r="AL672" s="6">
        <f ca="1">IFERROR(__xludf.DUMMYFUNCTION("""COMPUTED_VALUE"""),9257.699)</f>
        <v>9257.6990000000005</v>
      </c>
      <c r="AP672" s="6" t="str">
        <f t="shared" ca="1" si="195"/>
        <v>20209</v>
      </c>
      <c r="AQ672" s="6">
        <f t="shared" ca="1" si="196"/>
        <v>2020</v>
      </c>
      <c r="AR672" s="6">
        <f t="shared" ca="1" si="197"/>
        <v>9</v>
      </c>
      <c r="AS672" s="68">
        <f ca="1">IFERROR(__xludf.DUMMYFUNCTION("""COMPUTED_VALUE"""),44082.9986111111)</f>
        <v>44082.998611111099</v>
      </c>
      <c r="AT672" s="6">
        <f ca="1">IFERROR(__xludf.DUMMYFUNCTION("""COMPUTED_VALUE"""),1943.2)</f>
        <v>1943.2</v>
      </c>
    </row>
    <row r="673" spans="2:46" x14ac:dyDescent="0.35">
      <c r="B673" s="6" t="str">
        <f t="shared" ca="1" si="180"/>
        <v>20208</v>
      </c>
      <c r="C673" s="6">
        <f t="shared" ca="1" si="181"/>
        <v>2020</v>
      </c>
      <c r="D673" s="6">
        <f t="shared" ca="1" si="182"/>
        <v>8</v>
      </c>
      <c r="E673" s="68">
        <f ca="1">IFERROR(__xludf.DUMMYFUNCTION("""COMPUTED_VALUE"""),44071.6666666666)</f>
        <v>44071.666666666599</v>
      </c>
      <c r="F673" s="6">
        <f ca="1">IFERROR(__xludf.DUMMYFUNCTION("""COMPUTED_VALUE"""),3508.01)</f>
        <v>3508.01</v>
      </c>
      <c r="J673" s="6" t="str">
        <f t="shared" ca="1" si="183"/>
        <v>20208</v>
      </c>
      <c r="K673" s="6">
        <f t="shared" ca="1" si="184"/>
        <v>2020</v>
      </c>
      <c r="L673" s="6">
        <f t="shared" ca="1" si="185"/>
        <v>8</v>
      </c>
      <c r="M673" s="68">
        <f ca="1">IFERROR(__xludf.DUMMYFUNCTION("""COMPUTED_VALUE"""),44067.6666666666)</f>
        <v>44067.666666666599</v>
      </c>
      <c r="N673" s="6">
        <f ca="1">IFERROR(__xludf.DUMMYFUNCTION("""COMPUTED_VALUE"""),11379.72)</f>
        <v>11379.72</v>
      </c>
      <c r="R673" s="6" t="str">
        <f t="shared" ca="1" si="186"/>
        <v>20209</v>
      </c>
      <c r="S673" s="6">
        <f t="shared" ca="1" si="187"/>
        <v>2020</v>
      </c>
      <c r="T673" s="6">
        <f t="shared" ca="1" si="188"/>
        <v>9</v>
      </c>
      <c r="U673" s="68">
        <f ca="1">IFERROR(__xludf.DUMMYFUNCTION("""COMPUTED_VALUE"""),44099.6458333333)</f>
        <v>44099.645833333299</v>
      </c>
      <c r="V673" s="6">
        <f ca="1">IFERROR(__xludf.DUMMYFUNCTION("""COMPUTED_VALUE"""),2278.79)</f>
        <v>2278.79</v>
      </c>
      <c r="Z673" s="6" t="str">
        <f t="shared" ca="1" si="189"/>
        <v>201912</v>
      </c>
      <c r="AA673" s="6">
        <f t="shared" ca="1" si="190"/>
        <v>2019</v>
      </c>
      <c r="AB673" s="6">
        <f t="shared" ca="1" si="191"/>
        <v>12</v>
      </c>
      <c r="AC673" s="68">
        <f ca="1">IFERROR(__xludf.DUMMYFUNCTION("""COMPUTED_VALUE"""),43809.9986111111)</f>
        <v>43809.998611111099</v>
      </c>
      <c r="AD673" s="6">
        <f ca="1">IFERROR(__xludf.DUMMYFUNCTION("""COMPUTED_VALUE"""),1189.07)</f>
        <v>1189.07</v>
      </c>
      <c r="AH673" s="6" t="str">
        <f t="shared" ca="1" si="192"/>
        <v>201910</v>
      </c>
      <c r="AI673" s="6">
        <f t="shared" ca="1" si="193"/>
        <v>2019</v>
      </c>
      <c r="AJ673" s="6">
        <f t="shared" ca="1" si="194"/>
        <v>10</v>
      </c>
      <c r="AK673" s="68">
        <f ca="1">IFERROR(__xludf.DUMMYFUNCTION("""COMPUTED_VALUE"""),43765.9986111111)</f>
        <v>43765.998611111099</v>
      </c>
      <c r="AL673" s="6">
        <f ca="1">IFERROR(__xludf.DUMMYFUNCTION("""COMPUTED_VALUE"""),9550.732)</f>
        <v>9550.732</v>
      </c>
      <c r="AP673" s="6" t="str">
        <f t="shared" ca="1" si="195"/>
        <v>20209</v>
      </c>
      <c r="AQ673" s="6">
        <f t="shared" ca="1" si="196"/>
        <v>2020</v>
      </c>
      <c r="AR673" s="6">
        <f t="shared" ca="1" si="197"/>
        <v>9</v>
      </c>
      <c r="AS673" s="68">
        <f ca="1">IFERROR(__xludf.DUMMYFUNCTION("""COMPUTED_VALUE"""),44083.9986111111)</f>
        <v>44083.998611111099</v>
      </c>
      <c r="AT673" s="6">
        <f ca="1">IFERROR(__xludf.DUMMYFUNCTION("""COMPUTED_VALUE"""),1954.9)</f>
        <v>1954.9</v>
      </c>
    </row>
    <row r="674" spans="2:46" x14ac:dyDescent="0.35">
      <c r="B674" s="6" t="str">
        <f t="shared" ca="1" si="180"/>
        <v>20208</v>
      </c>
      <c r="C674" s="6">
        <f t="shared" ca="1" si="181"/>
        <v>2020</v>
      </c>
      <c r="D674" s="6">
        <f t="shared" ca="1" si="182"/>
        <v>8</v>
      </c>
      <c r="E674" s="68">
        <f ca="1">IFERROR(__xludf.DUMMYFUNCTION("""COMPUTED_VALUE"""),44074.6666666666)</f>
        <v>44074.666666666599</v>
      </c>
      <c r="F674" s="6">
        <f ca="1">IFERROR(__xludf.DUMMYFUNCTION("""COMPUTED_VALUE"""),3500.31)</f>
        <v>3500.31</v>
      </c>
      <c r="J674" s="6" t="str">
        <f t="shared" ca="1" si="183"/>
        <v>20208</v>
      </c>
      <c r="K674" s="6">
        <f t="shared" ca="1" si="184"/>
        <v>2020</v>
      </c>
      <c r="L674" s="6">
        <f t="shared" ca="1" si="185"/>
        <v>8</v>
      </c>
      <c r="M674" s="68">
        <f ca="1">IFERROR(__xludf.DUMMYFUNCTION("""COMPUTED_VALUE"""),44068.6666666666)</f>
        <v>44068.666666666599</v>
      </c>
      <c r="N674" s="6">
        <f ca="1">IFERROR(__xludf.DUMMYFUNCTION("""COMPUTED_VALUE"""),11466.47)</f>
        <v>11466.47</v>
      </c>
      <c r="R674" s="6" t="str">
        <f t="shared" ca="1" si="186"/>
        <v>20209</v>
      </c>
      <c r="S674" s="6">
        <f t="shared" ca="1" si="187"/>
        <v>2020</v>
      </c>
      <c r="T674" s="6">
        <f t="shared" ca="1" si="188"/>
        <v>9</v>
      </c>
      <c r="U674" s="68">
        <f ca="1">IFERROR(__xludf.DUMMYFUNCTION("""COMPUTED_VALUE"""),44102.6458333333)</f>
        <v>44102.645833333299</v>
      </c>
      <c r="V674" s="6">
        <f ca="1">IFERROR(__xludf.DUMMYFUNCTION("""COMPUTED_VALUE"""),2308.08)</f>
        <v>2308.08</v>
      </c>
      <c r="Z674" s="6" t="str">
        <f t="shared" ca="1" si="189"/>
        <v>201912</v>
      </c>
      <c r="AA674" s="6">
        <f t="shared" ca="1" si="190"/>
        <v>2019</v>
      </c>
      <c r="AB674" s="6">
        <f t="shared" ca="1" si="191"/>
        <v>12</v>
      </c>
      <c r="AC674" s="68">
        <f ca="1">IFERROR(__xludf.DUMMYFUNCTION("""COMPUTED_VALUE"""),43810.9986111111)</f>
        <v>43810.998611111099</v>
      </c>
      <c r="AD674" s="6">
        <f ca="1">IFERROR(__xludf.DUMMYFUNCTION("""COMPUTED_VALUE"""),1187.93)</f>
        <v>1187.93</v>
      </c>
      <c r="AH674" s="6" t="str">
        <f t="shared" ca="1" si="192"/>
        <v>201910</v>
      </c>
      <c r="AI674" s="6">
        <f t="shared" ca="1" si="193"/>
        <v>2019</v>
      </c>
      <c r="AJ674" s="6">
        <f t="shared" ca="1" si="194"/>
        <v>10</v>
      </c>
      <c r="AK674" s="68">
        <f ca="1">IFERROR(__xludf.DUMMYFUNCTION("""COMPUTED_VALUE"""),43766.9986111111)</f>
        <v>43766.998611111099</v>
      </c>
      <c r="AL674" s="6">
        <f ca="1">IFERROR(__xludf.DUMMYFUNCTION("""COMPUTED_VALUE"""),9221.572)</f>
        <v>9221.5720000000001</v>
      </c>
      <c r="AP674" s="6" t="str">
        <f t="shared" ca="1" si="195"/>
        <v>20209</v>
      </c>
      <c r="AQ674" s="6">
        <f t="shared" ca="1" si="196"/>
        <v>2020</v>
      </c>
      <c r="AR674" s="6">
        <f t="shared" ca="1" si="197"/>
        <v>9</v>
      </c>
      <c r="AS674" s="68">
        <f ca="1">IFERROR(__xludf.DUMMYFUNCTION("""COMPUTED_VALUE"""),44084.9986111111)</f>
        <v>44084.998611111099</v>
      </c>
      <c r="AT674" s="6">
        <f ca="1">IFERROR(__xludf.DUMMYFUNCTION("""COMPUTED_VALUE"""),1964.3)</f>
        <v>1964.3</v>
      </c>
    </row>
    <row r="675" spans="2:46" x14ac:dyDescent="0.35">
      <c r="B675" s="6" t="str">
        <f t="shared" ca="1" si="180"/>
        <v>20209</v>
      </c>
      <c r="C675" s="6">
        <f t="shared" ca="1" si="181"/>
        <v>2020</v>
      </c>
      <c r="D675" s="6">
        <f t="shared" ca="1" si="182"/>
        <v>9</v>
      </c>
      <c r="E675" s="68">
        <f ca="1">IFERROR(__xludf.DUMMYFUNCTION("""COMPUTED_VALUE"""),44075.6666666666)</f>
        <v>44075.666666666599</v>
      </c>
      <c r="F675" s="6">
        <f ca="1">IFERROR(__xludf.DUMMYFUNCTION("""COMPUTED_VALUE"""),3526.65)</f>
        <v>3526.65</v>
      </c>
      <c r="J675" s="6" t="str">
        <f t="shared" ca="1" si="183"/>
        <v>20208</v>
      </c>
      <c r="K675" s="6">
        <f t="shared" ca="1" si="184"/>
        <v>2020</v>
      </c>
      <c r="L675" s="6">
        <f t="shared" ca="1" si="185"/>
        <v>8</v>
      </c>
      <c r="M675" s="68">
        <f ca="1">IFERROR(__xludf.DUMMYFUNCTION("""COMPUTED_VALUE"""),44069.6666666666)</f>
        <v>44069.666666666599</v>
      </c>
      <c r="N675" s="6">
        <f ca="1">IFERROR(__xludf.DUMMYFUNCTION("""COMPUTED_VALUE"""),11665.06)</f>
        <v>11665.06</v>
      </c>
      <c r="R675" s="6" t="str">
        <f t="shared" ca="1" si="186"/>
        <v>20209</v>
      </c>
      <c r="S675" s="6">
        <f t="shared" ca="1" si="187"/>
        <v>2020</v>
      </c>
      <c r="T675" s="6">
        <f t="shared" ca="1" si="188"/>
        <v>9</v>
      </c>
      <c r="U675" s="68">
        <f ca="1">IFERROR(__xludf.DUMMYFUNCTION("""COMPUTED_VALUE"""),44103.6458333333)</f>
        <v>44103.645833333299</v>
      </c>
      <c r="V675" s="6">
        <f ca="1">IFERROR(__xludf.DUMMYFUNCTION("""COMPUTED_VALUE"""),2327.89)</f>
        <v>2327.89</v>
      </c>
      <c r="Z675" s="6" t="str">
        <f t="shared" ca="1" si="189"/>
        <v>201912</v>
      </c>
      <c r="AA675" s="6">
        <f t="shared" ca="1" si="190"/>
        <v>2019</v>
      </c>
      <c r="AB675" s="6">
        <f t="shared" ca="1" si="191"/>
        <v>12</v>
      </c>
      <c r="AC675" s="68">
        <f ca="1">IFERROR(__xludf.DUMMYFUNCTION("""COMPUTED_VALUE"""),43811.9986111111)</f>
        <v>43811.998611111099</v>
      </c>
      <c r="AD675" s="6">
        <f ca="1">IFERROR(__xludf.DUMMYFUNCTION("""COMPUTED_VALUE"""),1169.59)</f>
        <v>1169.5899999999999</v>
      </c>
      <c r="AH675" s="6" t="str">
        <f t="shared" ca="1" si="192"/>
        <v>201910</v>
      </c>
      <c r="AI675" s="6">
        <f t="shared" ca="1" si="193"/>
        <v>2019</v>
      </c>
      <c r="AJ675" s="6">
        <f t="shared" ca="1" si="194"/>
        <v>10</v>
      </c>
      <c r="AK675" s="68">
        <f ca="1">IFERROR(__xludf.DUMMYFUNCTION("""COMPUTED_VALUE"""),43767.9986111111)</f>
        <v>43767.998611111099</v>
      </c>
      <c r="AL675" s="6">
        <f ca="1">IFERROR(__xludf.DUMMYFUNCTION("""COMPUTED_VALUE"""),9433.596)</f>
        <v>9433.5959999999995</v>
      </c>
      <c r="AP675" s="6" t="str">
        <f t="shared" ca="1" si="195"/>
        <v>20209</v>
      </c>
      <c r="AQ675" s="6">
        <f t="shared" ca="1" si="196"/>
        <v>2020</v>
      </c>
      <c r="AR675" s="6">
        <f t="shared" ca="1" si="197"/>
        <v>9</v>
      </c>
      <c r="AS675" s="68">
        <f ca="1">IFERROR(__xludf.DUMMYFUNCTION("""COMPUTED_VALUE"""),44085.9986111111)</f>
        <v>44085.998611111099</v>
      </c>
      <c r="AT675" s="6">
        <f ca="1">IFERROR(__xludf.DUMMYFUNCTION("""COMPUTED_VALUE"""),1947.9)</f>
        <v>1947.9</v>
      </c>
    </row>
    <row r="676" spans="2:46" x14ac:dyDescent="0.35">
      <c r="B676" s="6" t="str">
        <f t="shared" ca="1" si="180"/>
        <v>20209</v>
      </c>
      <c r="C676" s="6">
        <f t="shared" ca="1" si="181"/>
        <v>2020</v>
      </c>
      <c r="D676" s="6">
        <f t="shared" ca="1" si="182"/>
        <v>9</v>
      </c>
      <c r="E676" s="68">
        <f ca="1">IFERROR(__xludf.DUMMYFUNCTION("""COMPUTED_VALUE"""),44076.6666666666)</f>
        <v>44076.666666666599</v>
      </c>
      <c r="F676" s="6">
        <f ca="1">IFERROR(__xludf.DUMMYFUNCTION("""COMPUTED_VALUE"""),3580.84)</f>
        <v>3580.84</v>
      </c>
      <c r="J676" s="6" t="str">
        <f t="shared" ca="1" si="183"/>
        <v>20208</v>
      </c>
      <c r="K676" s="6">
        <f t="shared" ca="1" si="184"/>
        <v>2020</v>
      </c>
      <c r="L676" s="6">
        <f t="shared" ca="1" si="185"/>
        <v>8</v>
      </c>
      <c r="M676" s="68">
        <f ca="1">IFERROR(__xludf.DUMMYFUNCTION("""COMPUTED_VALUE"""),44070.6666666666)</f>
        <v>44070.666666666599</v>
      </c>
      <c r="N676" s="6">
        <f ca="1">IFERROR(__xludf.DUMMYFUNCTION("""COMPUTED_VALUE"""),11625.34)</f>
        <v>11625.34</v>
      </c>
      <c r="R676" s="6" t="str">
        <f t="shared" ca="1" si="186"/>
        <v>202010</v>
      </c>
      <c r="S676" s="6">
        <f t="shared" ca="1" si="187"/>
        <v>2020</v>
      </c>
      <c r="T676" s="6">
        <f t="shared" ca="1" si="188"/>
        <v>10</v>
      </c>
      <c r="U676" s="68">
        <f ca="1">IFERROR(__xludf.DUMMYFUNCTION("""COMPUTED_VALUE"""),44109.6458333333)</f>
        <v>44109.645833333299</v>
      </c>
      <c r="V676" s="6">
        <f ca="1">IFERROR(__xludf.DUMMYFUNCTION("""COMPUTED_VALUE"""),2358)</f>
        <v>2358</v>
      </c>
      <c r="Z676" s="6" t="str">
        <f t="shared" ca="1" si="189"/>
        <v>201912</v>
      </c>
      <c r="AA676" s="6">
        <f t="shared" ca="1" si="190"/>
        <v>2019</v>
      </c>
      <c r="AB676" s="6">
        <f t="shared" ca="1" si="191"/>
        <v>12</v>
      </c>
      <c r="AC676" s="68">
        <f ca="1">IFERROR(__xludf.DUMMYFUNCTION("""COMPUTED_VALUE"""),43812.9986111111)</f>
        <v>43812.998611111099</v>
      </c>
      <c r="AD676" s="6">
        <f ca="1">IFERROR(__xludf.DUMMYFUNCTION("""COMPUTED_VALUE"""),1172.53)</f>
        <v>1172.53</v>
      </c>
      <c r="AH676" s="6" t="str">
        <f t="shared" ca="1" si="192"/>
        <v>201910</v>
      </c>
      <c r="AI676" s="6">
        <f t="shared" ca="1" si="193"/>
        <v>2019</v>
      </c>
      <c r="AJ676" s="6">
        <f t="shared" ca="1" si="194"/>
        <v>10</v>
      </c>
      <c r="AK676" s="68">
        <f ca="1">IFERROR(__xludf.DUMMYFUNCTION("""COMPUTED_VALUE"""),43768.9986111111)</f>
        <v>43768.998611111099</v>
      </c>
      <c r="AL676" s="6">
        <f ca="1">IFERROR(__xludf.DUMMYFUNCTION("""COMPUTED_VALUE"""),9168.93)</f>
        <v>9168.93</v>
      </c>
      <c r="AP676" s="6" t="str">
        <f t="shared" ca="1" si="195"/>
        <v>20209</v>
      </c>
      <c r="AQ676" s="6">
        <f t="shared" ca="1" si="196"/>
        <v>2020</v>
      </c>
      <c r="AR676" s="6">
        <f t="shared" ca="1" si="197"/>
        <v>9</v>
      </c>
      <c r="AS676" s="68">
        <f ca="1">IFERROR(__xludf.DUMMYFUNCTION("""COMPUTED_VALUE"""),44088.9986111111)</f>
        <v>44088.998611111099</v>
      </c>
      <c r="AT676" s="6">
        <f ca="1">IFERROR(__xludf.DUMMYFUNCTION("""COMPUTED_VALUE"""),1963.7)</f>
        <v>1963.7</v>
      </c>
    </row>
    <row r="677" spans="2:46" x14ac:dyDescent="0.35">
      <c r="B677" s="6" t="str">
        <f t="shared" ca="1" si="180"/>
        <v>20209</v>
      </c>
      <c r="C677" s="6">
        <f t="shared" ca="1" si="181"/>
        <v>2020</v>
      </c>
      <c r="D677" s="6">
        <f t="shared" ca="1" si="182"/>
        <v>9</v>
      </c>
      <c r="E677" s="68">
        <f ca="1">IFERROR(__xludf.DUMMYFUNCTION("""COMPUTED_VALUE"""),44077.6666666666)</f>
        <v>44077.666666666599</v>
      </c>
      <c r="F677" s="6">
        <f ca="1">IFERROR(__xludf.DUMMYFUNCTION("""COMPUTED_VALUE"""),3455.06)</f>
        <v>3455.06</v>
      </c>
      <c r="J677" s="6" t="str">
        <f t="shared" ca="1" si="183"/>
        <v>20208</v>
      </c>
      <c r="K677" s="6">
        <f t="shared" ca="1" si="184"/>
        <v>2020</v>
      </c>
      <c r="L677" s="6">
        <f t="shared" ca="1" si="185"/>
        <v>8</v>
      </c>
      <c r="M677" s="68">
        <f ca="1">IFERROR(__xludf.DUMMYFUNCTION("""COMPUTED_VALUE"""),44071.6666666666)</f>
        <v>44071.666666666599</v>
      </c>
      <c r="N677" s="6">
        <f ca="1">IFERROR(__xludf.DUMMYFUNCTION("""COMPUTED_VALUE"""),11695.63)</f>
        <v>11695.63</v>
      </c>
      <c r="R677" s="6" t="str">
        <f t="shared" ca="1" si="186"/>
        <v>202010</v>
      </c>
      <c r="S677" s="6">
        <f t="shared" ca="1" si="187"/>
        <v>2020</v>
      </c>
      <c r="T677" s="6">
        <f t="shared" ca="1" si="188"/>
        <v>10</v>
      </c>
      <c r="U677" s="68">
        <f ca="1">IFERROR(__xludf.DUMMYFUNCTION("""COMPUTED_VALUE"""),44110.6458333333)</f>
        <v>44110.645833333299</v>
      </c>
      <c r="V677" s="6">
        <f ca="1">IFERROR(__xludf.DUMMYFUNCTION("""COMPUTED_VALUE"""),2365.9)</f>
        <v>2365.9</v>
      </c>
      <c r="Z677" s="6" t="str">
        <f t="shared" ca="1" si="189"/>
        <v>201912</v>
      </c>
      <c r="AA677" s="6">
        <f t="shared" ca="1" si="190"/>
        <v>2019</v>
      </c>
      <c r="AB677" s="6">
        <f t="shared" ca="1" si="191"/>
        <v>12</v>
      </c>
      <c r="AC677" s="68">
        <f ca="1">IFERROR(__xludf.DUMMYFUNCTION("""COMPUTED_VALUE"""),43813.9986111111)</f>
        <v>43813.998611111099</v>
      </c>
      <c r="AD677" s="6">
        <f ca="1">IFERROR(__xludf.DUMMYFUNCTION("""COMPUTED_VALUE"""),1172.53)</f>
        <v>1172.53</v>
      </c>
      <c r="AH677" s="6" t="str">
        <f t="shared" ca="1" si="192"/>
        <v>201910</v>
      </c>
      <c r="AI677" s="6">
        <f t="shared" ca="1" si="193"/>
        <v>2019</v>
      </c>
      <c r="AJ677" s="6">
        <f t="shared" ca="1" si="194"/>
        <v>10</v>
      </c>
      <c r="AK677" s="68">
        <f ca="1">IFERROR(__xludf.DUMMYFUNCTION("""COMPUTED_VALUE"""),43769.9986111111)</f>
        <v>43769.998611111099</v>
      </c>
      <c r="AL677" s="6">
        <f ca="1">IFERROR(__xludf.DUMMYFUNCTION("""COMPUTED_VALUE"""),9159.36)</f>
        <v>9159.36</v>
      </c>
      <c r="AP677" s="6" t="str">
        <f t="shared" ca="1" si="195"/>
        <v>20209</v>
      </c>
      <c r="AQ677" s="6">
        <f t="shared" ca="1" si="196"/>
        <v>2020</v>
      </c>
      <c r="AR677" s="6">
        <f t="shared" ca="1" si="197"/>
        <v>9</v>
      </c>
      <c r="AS677" s="68">
        <f ca="1">IFERROR(__xludf.DUMMYFUNCTION("""COMPUTED_VALUE"""),44089.9986111111)</f>
        <v>44089.998611111099</v>
      </c>
      <c r="AT677" s="6">
        <f ca="1">IFERROR(__xludf.DUMMYFUNCTION("""COMPUTED_VALUE"""),1966.2)</f>
        <v>1966.2</v>
      </c>
    </row>
    <row r="678" spans="2:46" x14ac:dyDescent="0.35">
      <c r="B678" s="6" t="str">
        <f t="shared" ca="1" si="180"/>
        <v>20209</v>
      </c>
      <c r="C678" s="6">
        <f t="shared" ca="1" si="181"/>
        <v>2020</v>
      </c>
      <c r="D678" s="6">
        <f t="shared" ca="1" si="182"/>
        <v>9</v>
      </c>
      <c r="E678" s="68">
        <f ca="1">IFERROR(__xludf.DUMMYFUNCTION("""COMPUTED_VALUE"""),44078.6666666666)</f>
        <v>44078.666666666599</v>
      </c>
      <c r="F678" s="6">
        <f ca="1">IFERROR(__xludf.DUMMYFUNCTION("""COMPUTED_VALUE"""),3426.96)</f>
        <v>3426.96</v>
      </c>
      <c r="J678" s="6" t="str">
        <f t="shared" ca="1" si="183"/>
        <v>20208</v>
      </c>
      <c r="K678" s="6">
        <f t="shared" ca="1" si="184"/>
        <v>2020</v>
      </c>
      <c r="L678" s="6">
        <f t="shared" ca="1" si="185"/>
        <v>8</v>
      </c>
      <c r="M678" s="68">
        <f ca="1">IFERROR(__xludf.DUMMYFUNCTION("""COMPUTED_VALUE"""),44074.6666666666)</f>
        <v>44074.666666666599</v>
      </c>
      <c r="N678" s="6">
        <f ca="1">IFERROR(__xludf.DUMMYFUNCTION("""COMPUTED_VALUE"""),11775.46)</f>
        <v>11775.46</v>
      </c>
      <c r="R678" s="6" t="str">
        <f t="shared" ca="1" si="186"/>
        <v>202010</v>
      </c>
      <c r="S678" s="6">
        <f t="shared" ca="1" si="187"/>
        <v>2020</v>
      </c>
      <c r="T678" s="6">
        <f t="shared" ca="1" si="188"/>
        <v>10</v>
      </c>
      <c r="U678" s="68">
        <f ca="1">IFERROR(__xludf.DUMMYFUNCTION("""COMPUTED_VALUE"""),44111.6458333333)</f>
        <v>44111.645833333299</v>
      </c>
      <c r="V678" s="6">
        <f ca="1">IFERROR(__xludf.DUMMYFUNCTION("""COMPUTED_VALUE"""),2386.94)</f>
        <v>2386.94</v>
      </c>
      <c r="Z678" s="6" t="str">
        <f t="shared" ca="1" si="189"/>
        <v>201912</v>
      </c>
      <c r="AA678" s="6">
        <f t="shared" ca="1" si="190"/>
        <v>2019</v>
      </c>
      <c r="AB678" s="6">
        <f t="shared" ca="1" si="191"/>
        <v>12</v>
      </c>
      <c r="AC678" s="68">
        <f ca="1">IFERROR(__xludf.DUMMYFUNCTION("""COMPUTED_VALUE"""),43814.9986111111)</f>
        <v>43814.998611111099</v>
      </c>
      <c r="AD678" s="6">
        <f ca="1">IFERROR(__xludf.DUMMYFUNCTION("""COMPUTED_VALUE"""),1172.53)</f>
        <v>1172.53</v>
      </c>
      <c r="AH678" s="6" t="str">
        <f t="shared" ca="1" si="192"/>
        <v>201911</v>
      </c>
      <c r="AI678" s="6">
        <f t="shared" ca="1" si="193"/>
        <v>2019</v>
      </c>
      <c r="AJ678" s="6">
        <f t="shared" ca="1" si="194"/>
        <v>11</v>
      </c>
      <c r="AK678" s="68">
        <f ca="1">IFERROR(__xludf.DUMMYFUNCTION("""COMPUTED_VALUE"""),43770.9986111111)</f>
        <v>43770.998611111099</v>
      </c>
      <c r="AL678" s="6">
        <f ca="1">IFERROR(__xludf.DUMMYFUNCTION("""COMPUTED_VALUE"""),9257.186)</f>
        <v>9257.1859999999997</v>
      </c>
      <c r="AP678" s="6" t="str">
        <f t="shared" ca="1" si="195"/>
        <v>20209</v>
      </c>
      <c r="AQ678" s="6">
        <f t="shared" ca="1" si="196"/>
        <v>2020</v>
      </c>
      <c r="AR678" s="6">
        <f t="shared" ca="1" si="197"/>
        <v>9</v>
      </c>
      <c r="AS678" s="68">
        <f ca="1">IFERROR(__xludf.DUMMYFUNCTION("""COMPUTED_VALUE"""),44090.9986111111)</f>
        <v>44090.998611111099</v>
      </c>
      <c r="AT678" s="6">
        <f ca="1">IFERROR(__xludf.DUMMYFUNCTION("""COMPUTED_VALUE"""),1970.5)</f>
        <v>1970.5</v>
      </c>
    </row>
    <row r="679" spans="2:46" x14ac:dyDescent="0.35">
      <c r="B679" s="6" t="str">
        <f t="shared" ca="1" si="180"/>
        <v>20209</v>
      </c>
      <c r="C679" s="6">
        <f t="shared" ca="1" si="181"/>
        <v>2020</v>
      </c>
      <c r="D679" s="6">
        <f t="shared" ca="1" si="182"/>
        <v>9</v>
      </c>
      <c r="E679" s="68">
        <f ca="1">IFERROR(__xludf.DUMMYFUNCTION("""COMPUTED_VALUE"""),44082.6666666666)</f>
        <v>44082.666666666599</v>
      </c>
      <c r="F679" s="6">
        <f ca="1">IFERROR(__xludf.DUMMYFUNCTION("""COMPUTED_VALUE"""),3331.84)</f>
        <v>3331.84</v>
      </c>
      <c r="J679" s="6" t="str">
        <f t="shared" ca="1" si="183"/>
        <v>20209</v>
      </c>
      <c r="K679" s="6">
        <f t="shared" ca="1" si="184"/>
        <v>2020</v>
      </c>
      <c r="L679" s="6">
        <f t="shared" ca="1" si="185"/>
        <v>9</v>
      </c>
      <c r="M679" s="68">
        <f ca="1">IFERROR(__xludf.DUMMYFUNCTION("""COMPUTED_VALUE"""),44075.6666666666)</f>
        <v>44075.666666666599</v>
      </c>
      <c r="N679" s="6">
        <f ca="1">IFERROR(__xludf.DUMMYFUNCTION("""COMPUTED_VALUE"""),11939.67)</f>
        <v>11939.67</v>
      </c>
      <c r="R679" s="6" t="str">
        <f t="shared" ca="1" si="186"/>
        <v>202010</v>
      </c>
      <c r="S679" s="6">
        <f t="shared" ca="1" si="187"/>
        <v>2020</v>
      </c>
      <c r="T679" s="6">
        <f t="shared" ca="1" si="188"/>
        <v>10</v>
      </c>
      <c r="U679" s="68">
        <f ca="1">IFERROR(__xludf.DUMMYFUNCTION("""COMPUTED_VALUE"""),44112.6458333333)</f>
        <v>44112.645833333299</v>
      </c>
      <c r="V679" s="6">
        <f ca="1">IFERROR(__xludf.DUMMYFUNCTION("""COMPUTED_VALUE"""),2391.96)</f>
        <v>2391.96</v>
      </c>
      <c r="Z679" s="6" t="str">
        <f t="shared" ca="1" si="189"/>
        <v>201912</v>
      </c>
      <c r="AA679" s="6">
        <f t="shared" ca="1" si="190"/>
        <v>2019</v>
      </c>
      <c r="AB679" s="6">
        <f t="shared" ca="1" si="191"/>
        <v>12</v>
      </c>
      <c r="AC679" s="68">
        <f ca="1">IFERROR(__xludf.DUMMYFUNCTION("""COMPUTED_VALUE"""),43815.9986111111)</f>
        <v>43815.998611111099</v>
      </c>
      <c r="AD679" s="6">
        <f ca="1">IFERROR(__xludf.DUMMYFUNCTION("""COMPUTED_VALUE"""),1167.46)</f>
        <v>1167.46</v>
      </c>
      <c r="AH679" s="6" t="str">
        <f t="shared" ca="1" si="192"/>
        <v>201911</v>
      </c>
      <c r="AI679" s="6">
        <f t="shared" ca="1" si="193"/>
        <v>2019</v>
      </c>
      <c r="AJ679" s="6">
        <f t="shared" ca="1" si="194"/>
        <v>11</v>
      </c>
      <c r="AK679" s="68">
        <f ca="1">IFERROR(__xludf.DUMMYFUNCTION("""COMPUTED_VALUE"""),43771.9986111111)</f>
        <v>43771.998611111099</v>
      </c>
      <c r="AL679" s="6">
        <f ca="1">IFERROR(__xludf.DUMMYFUNCTION("""COMPUTED_VALUE"""),9313.13)</f>
        <v>9313.1299999999992</v>
      </c>
      <c r="AP679" s="6" t="str">
        <f t="shared" ca="1" si="195"/>
        <v>20209</v>
      </c>
      <c r="AQ679" s="6">
        <f t="shared" ca="1" si="196"/>
        <v>2020</v>
      </c>
      <c r="AR679" s="6">
        <f t="shared" ca="1" si="197"/>
        <v>9</v>
      </c>
      <c r="AS679" s="68">
        <f ca="1">IFERROR(__xludf.DUMMYFUNCTION("""COMPUTED_VALUE"""),44091.9986111111)</f>
        <v>44091.998611111099</v>
      </c>
      <c r="AT679" s="6">
        <f ca="1">IFERROR(__xludf.DUMMYFUNCTION("""COMPUTED_VALUE"""),1949.9)</f>
        <v>1949.9</v>
      </c>
    </row>
    <row r="680" spans="2:46" x14ac:dyDescent="0.35">
      <c r="B680" s="6" t="str">
        <f t="shared" ca="1" si="180"/>
        <v>20209</v>
      </c>
      <c r="C680" s="6">
        <f t="shared" ca="1" si="181"/>
        <v>2020</v>
      </c>
      <c r="D680" s="6">
        <f t="shared" ca="1" si="182"/>
        <v>9</v>
      </c>
      <c r="E680" s="68">
        <f ca="1">IFERROR(__xludf.DUMMYFUNCTION("""COMPUTED_VALUE"""),44083.6666666666)</f>
        <v>44083.666666666599</v>
      </c>
      <c r="F680" s="6">
        <f ca="1">IFERROR(__xludf.DUMMYFUNCTION("""COMPUTED_VALUE"""),3398.96)</f>
        <v>3398.96</v>
      </c>
      <c r="J680" s="6" t="str">
        <f t="shared" ca="1" si="183"/>
        <v>20209</v>
      </c>
      <c r="K680" s="6">
        <f t="shared" ca="1" si="184"/>
        <v>2020</v>
      </c>
      <c r="L680" s="6">
        <f t="shared" ca="1" si="185"/>
        <v>9</v>
      </c>
      <c r="M680" s="68">
        <f ca="1">IFERROR(__xludf.DUMMYFUNCTION("""COMPUTED_VALUE"""),44076.6666666666)</f>
        <v>44076.666666666599</v>
      </c>
      <c r="N680" s="6">
        <f ca="1">IFERROR(__xludf.DUMMYFUNCTION("""COMPUTED_VALUE"""),12056.44)</f>
        <v>12056.44</v>
      </c>
      <c r="R680" s="6" t="str">
        <f t="shared" ca="1" si="186"/>
        <v>202010</v>
      </c>
      <c r="S680" s="6">
        <f t="shared" ca="1" si="187"/>
        <v>2020</v>
      </c>
      <c r="T680" s="6">
        <f t="shared" ca="1" si="188"/>
        <v>10</v>
      </c>
      <c r="U680" s="68">
        <f ca="1">IFERROR(__xludf.DUMMYFUNCTION("""COMPUTED_VALUE"""),44116.6458333333)</f>
        <v>44116.645833333299</v>
      </c>
      <c r="V680" s="6">
        <f ca="1">IFERROR(__xludf.DUMMYFUNCTION("""COMPUTED_VALUE"""),2403.73)</f>
        <v>2403.73</v>
      </c>
      <c r="Z680" s="6" t="str">
        <f t="shared" ca="1" si="189"/>
        <v>201912</v>
      </c>
      <c r="AA680" s="6">
        <f t="shared" ca="1" si="190"/>
        <v>2019</v>
      </c>
      <c r="AB680" s="6">
        <f t="shared" ca="1" si="191"/>
        <v>12</v>
      </c>
      <c r="AC680" s="68">
        <f ca="1">IFERROR(__xludf.DUMMYFUNCTION("""COMPUTED_VALUE"""),43816.9986111111)</f>
        <v>43816.998611111099</v>
      </c>
      <c r="AD680" s="6">
        <f ca="1">IFERROR(__xludf.DUMMYFUNCTION("""COMPUTED_VALUE"""),1162.78)</f>
        <v>1162.78</v>
      </c>
      <c r="AH680" s="6" t="str">
        <f t="shared" ca="1" si="192"/>
        <v>201911</v>
      </c>
      <c r="AI680" s="6">
        <f t="shared" ca="1" si="193"/>
        <v>2019</v>
      </c>
      <c r="AJ680" s="6">
        <f t="shared" ca="1" si="194"/>
        <v>11</v>
      </c>
      <c r="AK680" s="68">
        <f ca="1">IFERROR(__xludf.DUMMYFUNCTION("""COMPUTED_VALUE"""),43772.9986111111)</f>
        <v>43772.998611111099</v>
      </c>
      <c r="AL680" s="6">
        <f ca="1">IFERROR(__xludf.DUMMYFUNCTION("""COMPUTED_VALUE"""),9213.252)</f>
        <v>9213.2520000000004</v>
      </c>
      <c r="AP680" s="6" t="str">
        <f t="shared" ca="1" si="195"/>
        <v>20209</v>
      </c>
      <c r="AQ680" s="6">
        <f t="shared" ca="1" si="196"/>
        <v>2020</v>
      </c>
      <c r="AR680" s="6">
        <f t="shared" ca="1" si="197"/>
        <v>9</v>
      </c>
      <c r="AS680" s="68">
        <f ca="1">IFERROR(__xludf.DUMMYFUNCTION("""COMPUTED_VALUE"""),44092.9986111111)</f>
        <v>44092.998611111099</v>
      </c>
      <c r="AT680" s="6">
        <f ca="1">IFERROR(__xludf.DUMMYFUNCTION("""COMPUTED_VALUE"""),1962.1)</f>
        <v>1962.1</v>
      </c>
    </row>
    <row r="681" spans="2:46" x14ac:dyDescent="0.35">
      <c r="B681" s="6" t="str">
        <f t="shared" ca="1" si="180"/>
        <v>20209</v>
      </c>
      <c r="C681" s="6">
        <f t="shared" ca="1" si="181"/>
        <v>2020</v>
      </c>
      <c r="D681" s="6">
        <f t="shared" ca="1" si="182"/>
        <v>9</v>
      </c>
      <c r="E681" s="68">
        <f ca="1">IFERROR(__xludf.DUMMYFUNCTION("""COMPUTED_VALUE"""),44084.6666666666)</f>
        <v>44084.666666666599</v>
      </c>
      <c r="F681" s="6">
        <f ca="1">IFERROR(__xludf.DUMMYFUNCTION("""COMPUTED_VALUE"""),3339.19)</f>
        <v>3339.19</v>
      </c>
      <c r="J681" s="6" t="str">
        <f t="shared" ca="1" si="183"/>
        <v>20209</v>
      </c>
      <c r="K681" s="6">
        <f t="shared" ca="1" si="184"/>
        <v>2020</v>
      </c>
      <c r="L681" s="6">
        <f t="shared" ca="1" si="185"/>
        <v>9</v>
      </c>
      <c r="M681" s="68">
        <f ca="1">IFERROR(__xludf.DUMMYFUNCTION("""COMPUTED_VALUE"""),44077.6666666666)</f>
        <v>44077.666666666599</v>
      </c>
      <c r="N681" s="6">
        <f ca="1">IFERROR(__xludf.DUMMYFUNCTION("""COMPUTED_VALUE"""),11458.1)</f>
        <v>11458.1</v>
      </c>
      <c r="R681" s="6" t="str">
        <f t="shared" ca="1" si="186"/>
        <v>202010</v>
      </c>
      <c r="S681" s="6">
        <f t="shared" ca="1" si="187"/>
        <v>2020</v>
      </c>
      <c r="T681" s="6">
        <f t="shared" ca="1" si="188"/>
        <v>10</v>
      </c>
      <c r="U681" s="68">
        <f ca="1">IFERROR(__xludf.DUMMYFUNCTION("""COMPUTED_VALUE"""),44117.6458333333)</f>
        <v>44117.645833333299</v>
      </c>
      <c r="V681" s="6">
        <f ca="1">IFERROR(__xludf.DUMMYFUNCTION("""COMPUTED_VALUE"""),2403.15)</f>
        <v>2403.15</v>
      </c>
      <c r="Z681" s="6" t="str">
        <f t="shared" ca="1" si="189"/>
        <v>201912</v>
      </c>
      <c r="AA681" s="6">
        <f t="shared" ca="1" si="190"/>
        <v>2019</v>
      </c>
      <c r="AB681" s="6">
        <f t="shared" ca="1" si="191"/>
        <v>12</v>
      </c>
      <c r="AC681" s="68">
        <f ca="1">IFERROR(__xludf.DUMMYFUNCTION("""COMPUTED_VALUE"""),43817.9986111111)</f>
        <v>43817.998611111099</v>
      </c>
      <c r="AD681" s="6">
        <f ca="1">IFERROR(__xludf.DUMMYFUNCTION("""COMPUTED_VALUE"""),1164.36)</f>
        <v>1164.3599999999999</v>
      </c>
      <c r="AH681" s="6" t="str">
        <f t="shared" ca="1" si="192"/>
        <v>201911</v>
      </c>
      <c r="AI681" s="6">
        <f t="shared" ca="1" si="193"/>
        <v>2019</v>
      </c>
      <c r="AJ681" s="6">
        <f t="shared" ca="1" si="194"/>
        <v>11</v>
      </c>
      <c r="AK681" s="68">
        <f ca="1">IFERROR(__xludf.DUMMYFUNCTION("""COMPUTED_VALUE"""),43773.9986111111)</f>
        <v>43773.998611111099</v>
      </c>
      <c r="AL681" s="6">
        <f ca="1">IFERROR(__xludf.DUMMYFUNCTION("""COMPUTED_VALUE"""),9423.793)</f>
        <v>9423.7929999999997</v>
      </c>
      <c r="AP681" s="6" t="str">
        <f t="shared" ca="1" si="195"/>
        <v>20209</v>
      </c>
      <c r="AQ681" s="6">
        <f t="shared" ca="1" si="196"/>
        <v>2020</v>
      </c>
      <c r="AR681" s="6">
        <f t="shared" ca="1" si="197"/>
        <v>9</v>
      </c>
      <c r="AS681" s="68">
        <f ca="1">IFERROR(__xludf.DUMMYFUNCTION("""COMPUTED_VALUE"""),44095.9986111111)</f>
        <v>44095.998611111099</v>
      </c>
      <c r="AT681" s="6">
        <f ca="1">IFERROR(__xludf.DUMMYFUNCTION("""COMPUTED_VALUE"""),1910.6)</f>
        <v>1910.6</v>
      </c>
    </row>
    <row r="682" spans="2:46" x14ac:dyDescent="0.35">
      <c r="B682" s="6" t="str">
        <f t="shared" ca="1" si="180"/>
        <v>20209</v>
      </c>
      <c r="C682" s="6">
        <f t="shared" ca="1" si="181"/>
        <v>2020</v>
      </c>
      <c r="D682" s="6">
        <f t="shared" ca="1" si="182"/>
        <v>9</v>
      </c>
      <c r="E682" s="68">
        <f ca="1">IFERROR(__xludf.DUMMYFUNCTION("""COMPUTED_VALUE"""),44085.6666666666)</f>
        <v>44085.666666666599</v>
      </c>
      <c r="F682" s="6">
        <f ca="1">IFERROR(__xludf.DUMMYFUNCTION("""COMPUTED_VALUE"""),3340.97)</f>
        <v>3340.97</v>
      </c>
      <c r="J682" s="6" t="str">
        <f t="shared" ca="1" si="183"/>
        <v>20209</v>
      </c>
      <c r="K682" s="6">
        <f t="shared" ca="1" si="184"/>
        <v>2020</v>
      </c>
      <c r="L682" s="6">
        <f t="shared" ca="1" si="185"/>
        <v>9</v>
      </c>
      <c r="M682" s="68">
        <f ca="1">IFERROR(__xludf.DUMMYFUNCTION("""COMPUTED_VALUE"""),44078.6666666666)</f>
        <v>44078.666666666599</v>
      </c>
      <c r="N682" s="6">
        <f ca="1">IFERROR(__xludf.DUMMYFUNCTION("""COMPUTED_VALUE"""),11313.13)</f>
        <v>11313.13</v>
      </c>
      <c r="R682" s="6" t="str">
        <f t="shared" ca="1" si="186"/>
        <v>202010</v>
      </c>
      <c r="S682" s="6">
        <f t="shared" ca="1" si="187"/>
        <v>2020</v>
      </c>
      <c r="T682" s="6">
        <f t="shared" ca="1" si="188"/>
        <v>10</v>
      </c>
      <c r="U682" s="68">
        <f ca="1">IFERROR(__xludf.DUMMYFUNCTION("""COMPUTED_VALUE"""),44118.6458333333)</f>
        <v>44118.645833333299</v>
      </c>
      <c r="V682" s="6">
        <f ca="1">IFERROR(__xludf.DUMMYFUNCTION("""COMPUTED_VALUE"""),2380.48)</f>
        <v>2380.48</v>
      </c>
      <c r="Z682" s="6" t="str">
        <f t="shared" ca="1" si="189"/>
        <v>201912</v>
      </c>
      <c r="AA682" s="6">
        <f t="shared" ca="1" si="190"/>
        <v>2019</v>
      </c>
      <c r="AB682" s="6">
        <f t="shared" ca="1" si="191"/>
        <v>12</v>
      </c>
      <c r="AC682" s="68">
        <f ca="1">IFERROR(__xludf.DUMMYFUNCTION("""COMPUTED_VALUE"""),43818.9986111111)</f>
        <v>43818.998611111099</v>
      </c>
      <c r="AD682" s="6">
        <f ca="1">IFERROR(__xludf.DUMMYFUNCTION("""COMPUTED_VALUE"""),1161.06)</f>
        <v>1161.06</v>
      </c>
      <c r="AH682" s="6" t="str">
        <f t="shared" ca="1" si="192"/>
        <v>201911</v>
      </c>
      <c r="AI682" s="6">
        <f t="shared" ca="1" si="193"/>
        <v>2019</v>
      </c>
      <c r="AJ682" s="6">
        <f t="shared" ca="1" si="194"/>
        <v>11</v>
      </c>
      <c r="AK682" s="68">
        <f ca="1">IFERROR(__xludf.DUMMYFUNCTION("""COMPUTED_VALUE"""),43774.9986111111)</f>
        <v>43774.998611111099</v>
      </c>
      <c r="AL682" s="6">
        <f ca="1">IFERROR(__xludf.DUMMYFUNCTION("""COMPUTED_VALUE"""),9320.99)</f>
        <v>9320.99</v>
      </c>
      <c r="AP682" s="6" t="str">
        <f t="shared" ca="1" si="195"/>
        <v>20209</v>
      </c>
      <c r="AQ682" s="6">
        <f t="shared" ca="1" si="196"/>
        <v>2020</v>
      </c>
      <c r="AR682" s="6">
        <f t="shared" ca="1" si="197"/>
        <v>9</v>
      </c>
      <c r="AS682" s="68">
        <f ca="1">IFERROR(__xludf.DUMMYFUNCTION("""COMPUTED_VALUE"""),44096.9986111111)</f>
        <v>44096.998611111099</v>
      </c>
      <c r="AT682" s="6">
        <f ca="1">IFERROR(__xludf.DUMMYFUNCTION("""COMPUTED_VALUE"""),1907.6)</f>
        <v>1907.6</v>
      </c>
    </row>
    <row r="683" spans="2:46" x14ac:dyDescent="0.35">
      <c r="B683" s="6" t="str">
        <f t="shared" ca="1" si="180"/>
        <v>20209</v>
      </c>
      <c r="C683" s="6">
        <f t="shared" ca="1" si="181"/>
        <v>2020</v>
      </c>
      <c r="D683" s="6">
        <f t="shared" ca="1" si="182"/>
        <v>9</v>
      </c>
      <c r="E683" s="68">
        <f ca="1">IFERROR(__xludf.DUMMYFUNCTION("""COMPUTED_VALUE"""),44088.6666666666)</f>
        <v>44088.666666666599</v>
      </c>
      <c r="F683" s="6">
        <f ca="1">IFERROR(__xludf.DUMMYFUNCTION("""COMPUTED_VALUE"""),3383.54)</f>
        <v>3383.54</v>
      </c>
      <c r="J683" s="6" t="str">
        <f t="shared" ca="1" si="183"/>
        <v>20209</v>
      </c>
      <c r="K683" s="6">
        <f t="shared" ca="1" si="184"/>
        <v>2020</v>
      </c>
      <c r="L683" s="6">
        <f t="shared" ca="1" si="185"/>
        <v>9</v>
      </c>
      <c r="M683" s="68">
        <f ca="1">IFERROR(__xludf.DUMMYFUNCTION("""COMPUTED_VALUE"""),44082.6666666666)</f>
        <v>44082.666666666599</v>
      </c>
      <c r="N683" s="6">
        <f ca="1">IFERROR(__xludf.DUMMYFUNCTION("""COMPUTED_VALUE"""),10847.69)</f>
        <v>10847.69</v>
      </c>
      <c r="R683" s="6" t="str">
        <f t="shared" ca="1" si="186"/>
        <v>202010</v>
      </c>
      <c r="S683" s="6">
        <f t="shared" ca="1" si="187"/>
        <v>2020</v>
      </c>
      <c r="T683" s="6">
        <f t="shared" ca="1" si="188"/>
        <v>10</v>
      </c>
      <c r="U683" s="68">
        <f ca="1">IFERROR(__xludf.DUMMYFUNCTION("""COMPUTED_VALUE"""),44119.6458333333)</f>
        <v>44119.645833333299</v>
      </c>
      <c r="V683" s="6">
        <f ca="1">IFERROR(__xludf.DUMMYFUNCTION("""COMPUTED_VALUE"""),2361.21)</f>
        <v>2361.21</v>
      </c>
      <c r="Z683" s="6" t="str">
        <f t="shared" ca="1" si="189"/>
        <v>201912</v>
      </c>
      <c r="AA683" s="6">
        <f t="shared" ca="1" si="190"/>
        <v>2019</v>
      </c>
      <c r="AB683" s="6">
        <f t="shared" ca="1" si="191"/>
        <v>12</v>
      </c>
      <c r="AC683" s="68">
        <f ca="1">IFERROR(__xludf.DUMMYFUNCTION("""COMPUTED_VALUE"""),43819.9986111111)</f>
        <v>43819.998611111099</v>
      </c>
      <c r="AD683" s="6">
        <f ca="1">IFERROR(__xludf.DUMMYFUNCTION("""COMPUTED_VALUE"""),1159.3)</f>
        <v>1159.3</v>
      </c>
      <c r="AH683" s="6" t="str">
        <f t="shared" ca="1" si="192"/>
        <v>201911</v>
      </c>
      <c r="AI683" s="6">
        <f t="shared" ca="1" si="193"/>
        <v>2019</v>
      </c>
      <c r="AJ683" s="6">
        <f t="shared" ca="1" si="194"/>
        <v>11</v>
      </c>
      <c r="AK683" s="68">
        <f ca="1">IFERROR(__xludf.DUMMYFUNCTION("""COMPUTED_VALUE"""),43775.9986111111)</f>
        <v>43775.998611111099</v>
      </c>
      <c r="AL683" s="6">
        <f ca="1">IFERROR(__xludf.DUMMYFUNCTION("""COMPUTED_VALUE"""),9349.671)</f>
        <v>9349.6710000000003</v>
      </c>
      <c r="AP683" s="6" t="str">
        <f t="shared" ca="1" si="195"/>
        <v>20209</v>
      </c>
      <c r="AQ683" s="6">
        <f t="shared" ca="1" si="196"/>
        <v>2020</v>
      </c>
      <c r="AR683" s="6">
        <f t="shared" ca="1" si="197"/>
        <v>9</v>
      </c>
      <c r="AS683" s="68">
        <f ca="1">IFERROR(__xludf.DUMMYFUNCTION("""COMPUTED_VALUE"""),44097.9986111111)</f>
        <v>44097.998611111099</v>
      </c>
      <c r="AT683" s="6">
        <f ca="1">IFERROR(__xludf.DUMMYFUNCTION("""COMPUTED_VALUE"""),1868.4)</f>
        <v>1868.4</v>
      </c>
    </row>
    <row r="684" spans="2:46" x14ac:dyDescent="0.35">
      <c r="B684" s="6" t="str">
        <f t="shared" ca="1" si="180"/>
        <v>20209</v>
      </c>
      <c r="C684" s="6">
        <f t="shared" ca="1" si="181"/>
        <v>2020</v>
      </c>
      <c r="D684" s="6">
        <f t="shared" ca="1" si="182"/>
        <v>9</v>
      </c>
      <c r="E684" s="68">
        <f ca="1">IFERROR(__xludf.DUMMYFUNCTION("""COMPUTED_VALUE"""),44089.6666666666)</f>
        <v>44089.666666666599</v>
      </c>
      <c r="F684" s="6">
        <f ca="1">IFERROR(__xludf.DUMMYFUNCTION("""COMPUTED_VALUE"""),3401.2)</f>
        <v>3401.2</v>
      </c>
      <c r="J684" s="6" t="str">
        <f t="shared" ca="1" si="183"/>
        <v>20209</v>
      </c>
      <c r="K684" s="6">
        <f t="shared" ca="1" si="184"/>
        <v>2020</v>
      </c>
      <c r="L684" s="6">
        <f t="shared" ca="1" si="185"/>
        <v>9</v>
      </c>
      <c r="M684" s="68">
        <f ca="1">IFERROR(__xludf.DUMMYFUNCTION("""COMPUTED_VALUE"""),44083.6666666666)</f>
        <v>44083.666666666599</v>
      </c>
      <c r="N684" s="6">
        <f ca="1">IFERROR(__xludf.DUMMYFUNCTION("""COMPUTED_VALUE"""),11141.56)</f>
        <v>11141.56</v>
      </c>
      <c r="R684" s="6" t="str">
        <f t="shared" ca="1" si="186"/>
        <v>202010</v>
      </c>
      <c r="S684" s="6">
        <f t="shared" ca="1" si="187"/>
        <v>2020</v>
      </c>
      <c r="T684" s="6">
        <f t="shared" ca="1" si="188"/>
        <v>10</v>
      </c>
      <c r="U684" s="68">
        <f ca="1">IFERROR(__xludf.DUMMYFUNCTION("""COMPUTED_VALUE"""),44120.6458333333)</f>
        <v>44120.645833333299</v>
      </c>
      <c r="V684" s="6">
        <f ca="1">IFERROR(__xludf.DUMMYFUNCTION("""COMPUTED_VALUE"""),2341.53)</f>
        <v>2341.5300000000002</v>
      </c>
      <c r="Z684" s="6" t="str">
        <f t="shared" ca="1" si="189"/>
        <v>201912</v>
      </c>
      <c r="AA684" s="6">
        <f t="shared" ca="1" si="190"/>
        <v>2019</v>
      </c>
      <c r="AB684" s="6">
        <f t="shared" ca="1" si="191"/>
        <v>12</v>
      </c>
      <c r="AC684" s="68">
        <f ca="1">IFERROR(__xludf.DUMMYFUNCTION("""COMPUTED_VALUE"""),43820.9986111111)</f>
        <v>43820.998611111099</v>
      </c>
      <c r="AD684" s="6">
        <f ca="1">IFERROR(__xludf.DUMMYFUNCTION("""COMPUTED_VALUE"""),1159.3)</f>
        <v>1159.3</v>
      </c>
      <c r="AH684" s="6" t="str">
        <f t="shared" ca="1" si="192"/>
        <v>201911</v>
      </c>
      <c r="AI684" s="6">
        <f t="shared" ca="1" si="193"/>
        <v>2019</v>
      </c>
      <c r="AJ684" s="6">
        <f t="shared" ca="1" si="194"/>
        <v>11</v>
      </c>
      <c r="AK684" s="68">
        <f ca="1">IFERROR(__xludf.DUMMYFUNCTION("""COMPUTED_VALUE"""),43776.9986111111)</f>
        <v>43776.998611111099</v>
      </c>
      <c r="AL684" s="6">
        <f ca="1">IFERROR(__xludf.DUMMYFUNCTION("""COMPUTED_VALUE"""),9204.581)</f>
        <v>9204.5810000000001</v>
      </c>
      <c r="AP684" s="6" t="str">
        <f t="shared" ca="1" si="195"/>
        <v>20209</v>
      </c>
      <c r="AQ684" s="6">
        <f t="shared" ca="1" si="196"/>
        <v>2020</v>
      </c>
      <c r="AR684" s="6">
        <f t="shared" ca="1" si="197"/>
        <v>9</v>
      </c>
      <c r="AS684" s="68">
        <f ca="1">IFERROR(__xludf.DUMMYFUNCTION("""COMPUTED_VALUE"""),44098.9986111111)</f>
        <v>44098.998611111099</v>
      </c>
      <c r="AT684" s="6">
        <f ca="1">IFERROR(__xludf.DUMMYFUNCTION("""COMPUTED_VALUE"""),1876.9)</f>
        <v>1876.9</v>
      </c>
    </row>
    <row r="685" spans="2:46" x14ac:dyDescent="0.35">
      <c r="B685" s="6" t="str">
        <f t="shared" ca="1" si="180"/>
        <v>20209</v>
      </c>
      <c r="C685" s="6">
        <f t="shared" ca="1" si="181"/>
        <v>2020</v>
      </c>
      <c r="D685" s="6">
        <f t="shared" ca="1" si="182"/>
        <v>9</v>
      </c>
      <c r="E685" s="68">
        <f ca="1">IFERROR(__xludf.DUMMYFUNCTION("""COMPUTED_VALUE"""),44090.6666666666)</f>
        <v>44090.666666666599</v>
      </c>
      <c r="F685" s="6">
        <f ca="1">IFERROR(__xludf.DUMMYFUNCTION("""COMPUTED_VALUE"""),3385.49)</f>
        <v>3385.49</v>
      </c>
      <c r="J685" s="6" t="str">
        <f t="shared" ca="1" si="183"/>
        <v>20209</v>
      </c>
      <c r="K685" s="6">
        <f t="shared" ca="1" si="184"/>
        <v>2020</v>
      </c>
      <c r="L685" s="6">
        <f t="shared" ca="1" si="185"/>
        <v>9</v>
      </c>
      <c r="M685" s="68">
        <f ca="1">IFERROR(__xludf.DUMMYFUNCTION("""COMPUTED_VALUE"""),44084.6666666666)</f>
        <v>44084.666666666599</v>
      </c>
      <c r="N685" s="6">
        <f ca="1">IFERROR(__xludf.DUMMYFUNCTION("""COMPUTED_VALUE"""),10919.59)</f>
        <v>10919.59</v>
      </c>
      <c r="R685" s="6" t="str">
        <f t="shared" ca="1" si="186"/>
        <v>202010</v>
      </c>
      <c r="S685" s="6">
        <f t="shared" ca="1" si="187"/>
        <v>2020</v>
      </c>
      <c r="T685" s="6">
        <f t="shared" ca="1" si="188"/>
        <v>10</v>
      </c>
      <c r="U685" s="68">
        <f ca="1">IFERROR(__xludf.DUMMYFUNCTION("""COMPUTED_VALUE"""),44123.6458333333)</f>
        <v>44123.645833333299</v>
      </c>
      <c r="V685" s="6">
        <f ca="1">IFERROR(__xludf.DUMMYFUNCTION("""COMPUTED_VALUE"""),2346.74)</f>
        <v>2346.7399999999998</v>
      </c>
      <c r="Z685" s="6" t="str">
        <f t="shared" ca="1" si="189"/>
        <v>201912</v>
      </c>
      <c r="AA685" s="6">
        <f t="shared" ca="1" si="190"/>
        <v>2019</v>
      </c>
      <c r="AB685" s="6">
        <f t="shared" ca="1" si="191"/>
        <v>12</v>
      </c>
      <c r="AC685" s="68">
        <f ca="1">IFERROR(__xludf.DUMMYFUNCTION("""COMPUTED_VALUE"""),43821.9986111111)</f>
        <v>43821.998611111099</v>
      </c>
      <c r="AD685" s="6">
        <f ca="1">IFERROR(__xludf.DUMMYFUNCTION("""COMPUTED_VALUE"""),1159.3)</f>
        <v>1159.3</v>
      </c>
      <c r="AH685" s="6" t="str">
        <f t="shared" ca="1" si="192"/>
        <v>201911</v>
      </c>
      <c r="AI685" s="6">
        <f t="shared" ca="1" si="193"/>
        <v>2019</v>
      </c>
      <c r="AJ685" s="6">
        <f t="shared" ca="1" si="194"/>
        <v>11</v>
      </c>
      <c r="AK685" s="68">
        <f ca="1">IFERROR(__xludf.DUMMYFUNCTION("""COMPUTED_VALUE"""),43777.9986111111)</f>
        <v>43777.998611111099</v>
      </c>
      <c r="AL685" s="6">
        <f ca="1">IFERROR(__xludf.DUMMYFUNCTION("""COMPUTED_VALUE"""),8769.167)</f>
        <v>8769.1669999999995</v>
      </c>
      <c r="AP685" s="6" t="str">
        <f t="shared" ca="1" si="195"/>
        <v>20209</v>
      </c>
      <c r="AQ685" s="6">
        <f t="shared" ca="1" si="196"/>
        <v>2020</v>
      </c>
      <c r="AR685" s="6">
        <f t="shared" ca="1" si="197"/>
        <v>9</v>
      </c>
      <c r="AS685" s="68">
        <f ca="1">IFERROR(__xludf.DUMMYFUNCTION("""COMPUTED_VALUE"""),44099.9986111111)</f>
        <v>44099.998611111099</v>
      </c>
      <c r="AT685" s="6">
        <f ca="1">IFERROR(__xludf.DUMMYFUNCTION("""COMPUTED_VALUE"""),1866.3)</f>
        <v>1866.3</v>
      </c>
    </row>
    <row r="686" spans="2:46" x14ac:dyDescent="0.35">
      <c r="B686" s="6" t="str">
        <f t="shared" ca="1" si="180"/>
        <v>20209</v>
      </c>
      <c r="C686" s="6">
        <f t="shared" ca="1" si="181"/>
        <v>2020</v>
      </c>
      <c r="D686" s="6">
        <f t="shared" ca="1" si="182"/>
        <v>9</v>
      </c>
      <c r="E686" s="68">
        <f ca="1">IFERROR(__xludf.DUMMYFUNCTION("""COMPUTED_VALUE"""),44091.6666666666)</f>
        <v>44091.666666666599</v>
      </c>
      <c r="F686" s="6">
        <f ca="1">IFERROR(__xludf.DUMMYFUNCTION("""COMPUTED_VALUE"""),3357.01)</f>
        <v>3357.01</v>
      </c>
      <c r="J686" s="6" t="str">
        <f t="shared" ca="1" si="183"/>
        <v>20209</v>
      </c>
      <c r="K686" s="6">
        <f t="shared" ca="1" si="184"/>
        <v>2020</v>
      </c>
      <c r="L686" s="6">
        <f t="shared" ca="1" si="185"/>
        <v>9</v>
      </c>
      <c r="M686" s="68">
        <f ca="1">IFERROR(__xludf.DUMMYFUNCTION("""COMPUTED_VALUE"""),44085.6666666666)</f>
        <v>44085.666666666599</v>
      </c>
      <c r="N686" s="6">
        <f ca="1">IFERROR(__xludf.DUMMYFUNCTION("""COMPUTED_VALUE"""),10853.55)</f>
        <v>10853.55</v>
      </c>
      <c r="R686" s="6" t="str">
        <f t="shared" ca="1" si="186"/>
        <v>202010</v>
      </c>
      <c r="S686" s="6">
        <f t="shared" ca="1" si="187"/>
        <v>2020</v>
      </c>
      <c r="T686" s="6">
        <f t="shared" ca="1" si="188"/>
        <v>10</v>
      </c>
      <c r="U686" s="68">
        <f ca="1">IFERROR(__xludf.DUMMYFUNCTION("""COMPUTED_VALUE"""),44124.6458333333)</f>
        <v>44124.645833333299</v>
      </c>
      <c r="V686" s="6">
        <f ca="1">IFERROR(__xludf.DUMMYFUNCTION("""COMPUTED_VALUE"""),2358.41)</f>
        <v>2358.41</v>
      </c>
      <c r="Z686" s="6" t="str">
        <f t="shared" ca="1" si="189"/>
        <v>201912</v>
      </c>
      <c r="AA686" s="6">
        <f t="shared" ca="1" si="190"/>
        <v>2019</v>
      </c>
      <c r="AB686" s="6">
        <f t="shared" ca="1" si="191"/>
        <v>12</v>
      </c>
      <c r="AC686" s="68">
        <f ca="1">IFERROR(__xludf.DUMMYFUNCTION("""COMPUTED_VALUE"""),43822.9986111111)</f>
        <v>43822.998611111099</v>
      </c>
      <c r="AD686" s="6">
        <f ca="1">IFERROR(__xludf.DUMMYFUNCTION("""COMPUTED_VALUE"""),1161.57)</f>
        <v>1161.57</v>
      </c>
      <c r="AH686" s="6" t="str">
        <f t="shared" ca="1" si="192"/>
        <v>201911</v>
      </c>
      <c r="AI686" s="6">
        <f t="shared" ca="1" si="193"/>
        <v>2019</v>
      </c>
      <c r="AJ686" s="6">
        <f t="shared" ca="1" si="194"/>
        <v>11</v>
      </c>
      <c r="AK686" s="68">
        <f ca="1">IFERROR(__xludf.DUMMYFUNCTION("""COMPUTED_VALUE"""),43778.9986111111)</f>
        <v>43778.998611111099</v>
      </c>
      <c r="AL686" s="6">
        <f ca="1">IFERROR(__xludf.DUMMYFUNCTION("""COMPUTED_VALUE"""),8813.683)</f>
        <v>8813.6830000000009</v>
      </c>
      <c r="AP686" s="6" t="str">
        <f t="shared" ca="1" si="195"/>
        <v>20209</v>
      </c>
      <c r="AQ686" s="6">
        <f t="shared" ca="1" si="196"/>
        <v>2020</v>
      </c>
      <c r="AR686" s="6">
        <f t="shared" ca="1" si="197"/>
        <v>9</v>
      </c>
      <c r="AS686" s="68">
        <f ca="1">IFERROR(__xludf.DUMMYFUNCTION("""COMPUTED_VALUE"""),44102.9986111111)</f>
        <v>44102.998611111099</v>
      </c>
      <c r="AT686" s="6">
        <f ca="1">IFERROR(__xludf.DUMMYFUNCTION("""COMPUTED_VALUE"""),1882.3)</f>
        <v>1882.3</v>
      </c>
    </row>
    <row r="687" spans="2:46" x14ac:dyDescent="0.35">
      <c r="B687" s="6" t="str">
        <f t="shared" ca="1" si="180"/>
        <v>20209</v>
      </c>
      <c r="C687" s="6">
        <f t="shared" ca="1" si="181"/>
        <v>2020</v>
      </c>
      <c r="D687" s="6">
        <f t="shared" ca="1" si="182"/>
        <v>9</v>
      </c>
      <c r="E687" s="68">
        <f ca="1">IFERROR(__xludf.DUMMYFUNCTION("""COMPUTED_VALUE"""),44092.6666666666)</f>
        <v>44092.666666666599</v>
      </c>
      <c r="F687" s="6">
        <f ca="1">IFERROR(__xludf.DUMMYFUNCTION("""COMPUTED_VALUE"""),3319.47)</f>
        <v>3319.47</v>
      </c>
      <c r="J687" s="6" t="str">
        <f t="shared" ca="1" si="183"/>
        <v>20209</v>
      </c>
      <c r="K687" s="6">
        <f t="shared" ca="1" si="184"/>
        <v>2020</v>
      </c>
      <c r="L687" s="6">
        <f t="shared" ca="1" si="185"/>
        <v>9</v>
      </c>
      <c r="M687" s="68">
        <f ca="1">IFERROR(__xludf.DUMMYFUNCTION("""COMPUTED_VALUE"""),44088.6666666666)</f>
        <v>44088.666666666599</v>
      </c>
      <c r="N687" s="6">
        <f ca="1">IFERROR(__xludf.DUMMYFUNCTION("""COMPUTED_VALUE"""),11056.65)</f>
        <v>11056.65</v>
      </c>
      <c r="R687" s="6" t="str">
        <f t="shared" ca="1" si="186"/>
        <v>202010</v>
      </c>
      <c r="S687" s="6">
        <f t="shared" ca="1" si="187"/>
        <v>2020</v>
      </c>
      <c r="T687" s="6">
        <f t="shared" ca="1" si="188"/>
        <v>10</v>
      </c>
      <c r="U687" s="68">
        <f ca="1">IFERROR(__xludf.DUMMYFUNCTION("""COMPUTED_VALUE"""),44125.6458333333)</f>
        <v>44125.645833333299</v>
      </c>
      <c r="V687" s="6">
        <f ca="1">IFERROR(__xludf.DUMMYFUNCTION("""COMPUTED_VALUE"""),2370.86)</f>
        <v>2370.86</v>
      </c>
      <c r="Z687" s="6" t="str">
        <f t="shared" ca="1" si="189"/>
        <v>201912</v>
      </c>
      <c r="AA687" s="6">
        <f t="shared" ca="1" si="190"/>
        <v>2019</v>
      </c>
      <c r="AB687" s="6">
        <f t="shared" ca="1" si="191"/>
        <v>12</v>
      </c>
      <c r="AC687" s="68">
        <f ca="1">IFERROR(__xludf.DUMMYFUNCTION("""COMPUTED_VALUE"""),43823.9986111111)</f>
        <v>43823.998611111099</v>
      </c>
      <c r="AD687" s="6">
        <f ca="1">IFERROR(__xludf.DUMMYFUNCTION("""COMPUTED_VALUE"""),1162.23)</f>
        <v>1162.23</v>
      </c>
      <c r="AH687" s="6" t="str">
        <f t="shared" ca="1" si="192"/>
        <v>201911</v>
      </c>
      <c r="AI687" s="6">
        <f t="shared" ca="1" si="193"/>
        <v>2019</v>
      </c>
      <c r="AJ687" s="6">
        <f t="shared" ca="1" si="194"/>
        <v>11</v>
      </c>
      <c r="AK687" s="68">
        <f ca="1">IFERROR(__xludf.DUMMYFUNCTION("""COMPUTED_VALUE"""),43779.9986111111)</f>
        <v>43779.998611111099</v>
      </c>
      <c r="AL687" s="6">
        <f ca="1">IFERROR(__xludf.DUMMYFUNCTION("""COMPUTED_VALUE"""),9046.242)</f>
        <v>9046.2420000000002</v>
      </c>
      <c r="AP687" s="6" t="str">
        <f t="shared" ca="1" si="195"/>
        <v>20209</v>
      </c>
      <c r="AQ687" s="6">
        <f t="shared" ca="1" si="196"/>
        <v>2020</v>
      </c>
      <c r="AR687" s="6">
        <f t="shared" ca="1" si="197"/>
        <v>9</v>
      </c>
      <c r="AS687" s="68">
        <f ca="1">IFERROR(__xludf.DUMMYFUNCTION("""COMPUTED_VALUE"""),44103.9986111111)</f>
        <v>44103.998611111099</v>
      </c>
      <c r="AT687" s="6">
        <f ca="1">IFERROR(__xludf.DUMMYFUNCTION("""COMPUTED_VALUE"""),1903.2)</f>
        <v>1903.2</v>
      </c>
    </row>
    <row r="688" spans="2:46" x14ac:dyDescent="0.35">
      <c r="B688" s="6" t="str">
        <f t="shared" ca="1" si="180"/>
        <v>20209</v>
      </c>
      <c r="C688" s="6">
        <f t="shared" ca="1" si="181"/>
        <v>2020</v>
      </c>
      <c r="D688" s="6">
        <f t="shared" ca="1" si="182"/>
        <v>9</v>
      </c>
      <c r="E688" s="68">
        <f ca="1">IFERROR(__xludf.DUMMYFUNCTION("""COMPUTED_VALUE"""),44095.6666666666)</f>
        <v>44095.666666666599</v>
      </c>
      <c r="F688" s="6">
        <f ca="1">IFERROR(__xludf.DUMMYFUNCTION("""COMPUTED_VALUE"""),3281.06)</f>
        <v>3281.06</v>
      </c>
      <c r="J688" s="6" t="str">
        <f t="shared" ca="1" si="183"/>
        <v>20209</v>
      </c>
      <c r="K688" s="6">
        <f t="shared" ca="1" si="184"/>
        <v>2020</v>
      </c>
      <c r="L688" s="6">
        <f t="shared" ca="1" si="185"/>
        <v>9</v>
      </c>
      <c r="M688" s="68">
        <f ca="1">IFERROR(__xludf.DUMMYFUNCTION("""COMPUTED_VALUE"""),44089.6666666666)</f>
        <v>44089.666666666599</v>
      </c>
      <c r="N688" s="6">
        <f ca="1">IFERROR(__xludf.DUMMYFUNCTION("""COMPUTED_VALUE"""),11190.32)</f>
        <v>11190.32</v>
      </c>
      <c r="R688" s="6" t="str">
        <f t="shared" ca="1" si="186"/>
        <v>202010</v>
      </c>
      <c r="S688" s="6">
        <f t="shared" ca="1" si="187"/>
        <v>2020</v>
      </c>
      <c r="T688" s="6">
        <f t="shared" ca="1" si="188"/>
        <v>10</v>
      </c>
      <c r="U688" s="68">
        <f ca="1">IFERROR(__xludf.DUMMYFUNCTION("""COMPUTED_VALUE"""),44126.6458333333)</f>
        <v>44126.645833333299</v>
      </c>
      <c r="V688" s="6">
        <f ca="1">IFERROR(__xludf.DUMMYFUNCTION("""COMPUTED_VALUE"""),2355.05)</f>
        <v>2355.0500000000002</v>
      </c>
      <c r="Z688" s="6" t="str">
        <f t="shared" ca="1" si="189"/>
        <v>201912</v>
      </c>
      <c r="AA688" s="6">
        <f t="shared" ca="1" si="190"/>
        <v>2019</v>
      </c>
      <c r="AB688" s="6">
        <f t="shared" ca="1" si="191"/>
        <v>12</v>
      </c>
      <c r="AC688" s="68">
        <f ca="1">IFERROR(__xludf.DUMMYFUNCTION("""COMPUTED_VALUE"""),43824.9986111111)</f>
        <v>43824.998611111099</v>
      </c>
      <c r="AD688" s="6">
        <f ca="1">IFERROR(__xludf.DUMMYFUNCTION("""COMPUTED_VALUE"""),1159.75)</f>
        <v>1159.75</v>
      </c>
      <c r="AH688" s="6" t="str">
        <f t="shared" ca="1" si="192"/>
        <v>201911</v>
      </c>
      <c r="AI688" s="6">
        <f t="shared" ca="1" si="193"/>
        <v>2019</v>
      </c>
      <c r="AJ688" s="6">
        <f t="shared" ca="1" si="194"/>
        <v>11</v>
      </c>
      <c r="AK688" s="68">
        <f ca="1">IFERROR(__xludf.DUMMYFUNCTION("""COMPUTED_VALUE"""),43780.9986111111)</f>
        <v>43780.998611111099</v>
      </c>
      <c r="AL688" s="6">
        <f ca="1">IFERROR(__xludf.DUMMYFUNCTION("""COMPUTED_VALUE"""),8725.195)</f>
        <v>8725.1949999999997</v>
      </c>
      <c r="AP688" s="6" t="str">
        <f t="shared" ca="1" si="195"/>
        <v>20209</v>
      </c>
      <c r="AQ688" s="6">
        <f t="shared" ca="1" si="196"/>
        <v>2020</v>
      </c>
      <c r="AR688" s="6">
        <f t="shared" ca="1" si="197"/>
        <v>9</v>
      </c>
      <c r="AS688" s="68">
        <f ca="1">IFERROR(__xludf.DUMMYFUNCTION("""COMPUTED_VALUE"""),44104.9986111111)</f>
        <v>44104.998611111099</v>
      </c>
      <c r="AT688" s="6">
        <f ca="1">IFERROR(__xludf.DUMMYFUNCTION("""COMPUTED_VALUE"""),1895.5)</f>
        <v>1895.5</v>
      </c>
    </row>
    <row r="689" spans="2:46" x14ac:dyDescent="0.35">
      <c r="B689" s="6" t="str">
        <f t="shared" ca="1" si="180"/>
        <v>20209</v>
      </c>
      <c r="C689" s="6">
        <f t="shared" ca="1" si="181"/>
        <v>2020</v>
      </c>
      <c r="D689" s="6">
        <f t="shared" ca="1" si="182"/>
        <v>9</v>
      </c>
      <c r="E689" s="68">
        <f ca="1">IFERROR(__xludf.DUMMYFUNCTION("""COMPUTED_VALUE"""),44096.6666666666)</f>
        <v>44096.666666666599</v>
      </c>
      <c r="F689" s="6">
        <f ca="1">IFERROR(__xludf.DUMMYFUNCTION("""COMPUTED_VALUE"""),3315.57)</f>
        <v>3315.57</v>
      </c>
      <c r="J689" s="6" t="str">
        <f t="shared" ca="1" si="183"/>
        <v>20209</v>
      </c>
      <c r="K689" s="6">
        <f t="shared" ca="1" si="184"/>
        <v>2020</v>
      </c>
      <c r="L689" s="6">
        <f t="shared" ca="1" si="185"/>
        <v>9</v>
      </c>
      <c r="M689" s="68">
        <f ca="1">IFERROR(__xludf.DUMMYFUNCTION("""COMPUTED_VALUE"""),44090.6666666666)</f>
        <v>44090.666666666599</v>
      </c>
      <c r="N689" s="6">
        <f ca="1">IFERROR(__xludf.DUMMYFUNCTION("""COMPUTED_VALUE"""),11050.47)</f>
        <v>11050.47</v>
      </c>
      <c r="R689" s="6" t="str">
        <f t="shared" ca="1" si="186"/>
        <v>202010</v>
      </c>
      <c r="S689" s="6">
        <f t="shared" ca="1" si="187"/>
        <v>2020</v>
      </c>
      <c r="T689" s="6">
        <f t="shared" ca="1" si="188"/>
        <v>10</v>
      </c>
      <c r="U689" s="68">
        <f ca="1">IFERROR(__xludf.DUMMYFUNCTION("""COMPUTED_VALUE"""),44127.6458333333)</f>
        <v>44127.645833333299</v>
      </c>
      <c r="V689" s="6">
        <f ca="1">IFERROR(__xludf.DUMMYFUNCTION("""COMPUTED_VALUE"""),2360.81)</f>
        <v>2360.81</v>
      </c>
      <c r="Z689" s="6" t="str">
        <f t="shared" ca="1" si="189"/>
        <v>201912</v>
      </c>
      <c r="AA689" s="6">
        <f t="shared" ca="1" si="190"/>
        <v>2019</v>
      </c>
      <c r="AB689" s="6">
        <f t="shared" ca="1" si="191"/>
        <v>12</v>
      </c>
      <c r="AC689" s="68">
        <f ca="1">IFERROR(__xludf.DUMMYFUNCTION("""COMPUTED_VALUE"""),43825.9986111111)</f>
        <v>43825.998611111099</v>
      </c>
      <c r="AD689" s="6">
        <f ca="1">IFERROR(__xludf.DUMMYFUNCTION("""COMPUTED_VALUE"""),1161.2)</f>
        <v>1161.2</v>
      </c>
      <c r="AH689" s="6" t="str">
        <f t="shared" ca="1" si="192"/>
        <v>201911</v>
      </c>
      <c r="AI689" s="6">
        <f t="shared" ca="1" si="193"/>
        <v>2019</v>
      </c>
      <c r="AJ689" s="6">
        <f t="shared" ca="1" si="194"/>
        <v>11</v>
      </c>
      <c r="AK689" s="68">
        <f ca="1">IFERROR(__xludf.DUMMYFUNCTION("""COMPUTED_VALUE"""),43781.9986111111)</f>
        <v>43781.998611111099</v>
      </c>
      <c r="AL689" s="6">
        <f ca="1">IFERROR(__xludf.DUMMYFUNCTION("""COMPUTED_VALUE"""),8813.387)</f>
        <v>8813.3870000000006</v>
      </c>
      <c r="AP689" s="6" t="str">
        <f t="shared" ca="1" si="195"/>
        <v>202010</v>
      </c>
      <c r="AQ689" s="6">
        <f t="shared" ca="1" si="196"/>
        <v>2020</v>
      </c>
      <c r="AR689" s="6">
        <f t="shared" ca="1" si="197"/>
        <v>10</v>
      </c>
      <c r="AS689" s="68">
        <f ca="1">IFERROR(__xludf.DUMMYFUNCTION("""COMPUTED_VALUE"""),44105.9986111111)</f>
        <v>44105.998611111099</v>
      </c>
      <c r="AT689" s="6">
        <f ca="1">IFERROR(__xludf.DUMMYFUNCTION("""COMPUTED_VALUE"""),1916.3)</f>
        <v>1916.3</v>
      </c>
    </row>
    <row r="690" spans="2:46" x14ac:dyDescent="0.35">
      <c r="B690" s="6" t="str">
        <f t="shared" ca="1" si="180"/>
        <v>20209</v>
      </c>
      <c r="C690" s="6">
        <f t="shared" ca="1" si="181"/>
        <v>2020</v>
      </c>
      <c r="D690" s="6">
        <f t="shared" ca="1" si="182"/>
        <v>9</v>
      </c>
      <c r="E690" s="68">
        <f ca="1">IFERROR(__xludf.DUMMYFUNCTION("""COMPUTED_VALUE"""),44097.6666666666)</f>
        <v>44097.666666666599</v>
      </c>
      <c r="F690" s="6">
        <f ca="1">IFERROR(__xludf.DUMMYFUNCTION("""COMPUTED_VALUE"""),3236.92)</f>
        <v>3236.92</v>
      </c>
      <c r="J690" s="6" t="str">
        <f t="shared" ca="1" si="183"/>
        <v>20209</v>
      </c>
      <c r="K690" s="6">
        <f t="shared" ca="1" si="184"/>
        <v>2020</v>
      </c>
      <c r="L690" s="6">
        <f t="shared" ca="1" si="185"/>
        <v>9</v>
      </c>
      <c r="M690" s="68">
        <f ca="1">IFERROR(__xludf.DUMMYFUNCTION("""COMPUTED_VALUE"""),44091.6666666666)</f>
        <v>44091.666666666599</v>
      </c>
      <c r="N690" s="6">
        <f ca="1">IFERROR(__xludf.DUMMYFUNCTION("""COMPUTED_VALUE"""),10910.28)</f>
        <v>10910.28</v>
      </c>
      <c r="R690" s="6" t="str">
        <f t="shared" ca="1" si="186"/>
        <v>202010</v>
      </c>
      <c r="S690" s="6">
        <f t="shared" ca="1" si="187"/>
        <v>2020</v>
      </c>
      <c r="T690" s="6">
        <f t="shared" ca="1" si="188"/>
        <v>10</v>
      </c>
      <c r="U690" s="68">
        <f ca="1">IFERROR(__xludf.DUMMYFUNCTION("""COMPUTED_VALUE"""),44130.6458333333)</f>
        <v>44130.645833333299</v>
      </c>
      <c r="V690" s="6">
        <f ca="1">IFERROR(__xludf.DUMMYFUNCTION("""COMPUTED_VALUE"""),2343.91)</f>
        <v>2343.91</v>
      </c>
      <c r="Z690" s="6" t="str">
        <f t="shared" ca="1" si="189"/>
        <v>201912</v>
      </c>
      <c r="AA690" s="6">
        <f t="shared" ca="1" si="190"/>
        <v>2019</v>
      </c>
      <c r="AB690" s="6">
        <f t="shared" ca="1" si="191"/>
        <v>12</v>
      </c>
      <c r="AC690" s="68">
        <f ca="1">IFERROR(__xludf.DUMMYFUNCTION("""COMPUTED_VALUE"""),43826.9986111111)</f>
        <v>43826.998611111099</v>
      </c>
      <c r="AD690" s="6">
        <f ca="1">IFERROR(__xludf.DUMMYFUNCTION("""COMPUTED_VALUE"""),1160.68)</f>
        <v>1160.68</v>
      </c>
      <c r="AH690" s="6" t="str">
        <f t="shared" ca="1" si="192"/>
        <v>201911</v>
      </c>
      <c r="AI690" s="6">
        <f t="shared" ca="1" si="193"/>
        <v>2019</v>
      </c>
      <c r="AJ690" s="6">
        <f t="shared" ca="1" si="194"/>
        <v>11</v>
      </c>
      <c r="AK690" s="68">
        <f ca="1">IFERROR(__xludf.DUMMYFUNCTION("""COMPUTED_VALUE"""),43782.9986111111)</f>
        <v>43782.998611111099</v>
      </c>
      <c r="AL690" s="6">
        <f ca="1">IFERROR(__xludf.DUMMYFUNCTION("""COMPUTED_VALUE"""),8775.16)</f>
        <v>8775.16</v>
      </c>
      <c r="AP690" s="6" t="str">
        <f t="shared" ca="1" si="195"/>
        <v>202010</v>
      </c>
      <c r="AQ690" s="6">
        <f t="shared" ca="1" si="196"/>
        <v>2020</v>
      </c>
      <c r="AR690" s="6">
        <f t="shared" ca="1" si="197"/>
        <v>10</v>
      </c>
      <c r="AS690" s="68">
        <f ca="1">IFERROR(__xludf.DUMMYFUNCTION("""COMPUTED_VALUE"""),44106.9986111111)</f>
        <v>44106.998611111099</v>
      </c>
      <c r="AT690" s="6">
        <f ca="1">IFERROR(__xludf.DUMMYFUNCTION("""COMPUTED_VALUE"""),1907.6)</f>
        <v>1907.6</v>
      </c>
    </row>
    <row r="691" spans="2:46" x14ac:dyDescent="0.35">
      <c r="B691" s="6" t="str">
        <f t="shared" ca="1" si="180"/>
        <v>20209</v>
      </c>
      <c r="C691" s="6">
        <f t="shared" ca="1" si="181"/>
        <v>2020</v>
      </c>
      <c r="D691" s="6">
        <f t="shared" ca="1" si="182"/>
        <v>9</v>
      </c>
      <c r="E691" s="68">
        <f ca="1">IFERROR(__xludf.DUMMYFUNCTION("""COMPUTED_VALUE"""),44098.6666666666)</f>
        <v>44098.666666666599</v>
      </c>
      <c r="F691" s="6">
        <f ca="1">IFERROR(__xludf.DUMMYFUNCTION("""COMPUTED_VALUE"""),3246.59)</f>
        <v>3246.59</v>
      </c>
      <c r="J691" s="6" t="str">
        <f t="shared" ca="1" si="183"/>
        <v>20209</v>
      </c>
      <c r="K691" s="6">
        <f t="shared" ca="1" si="184"/>
        <v>2020</v>
      </c>
      <c r="L691" s="6">
        <f t="shared" ca="1" si="185"/>
        <v>9</v>
      </c>
      <c r="M691" s="68">
        <f ca="1">IFERROR(__xludf.DUMMYFUNCTION("""COMPUTED_VALUE"""),44092.6666666666)</f>
        <v>44092.666666666599</v>
      </c>
      <c r="N691" s="6">
        <f ca="1">IFERROR(__xludf.DUMMYFUNCTION("""COMPUTED_VALUE"""),10793.28)</f>
        <v>10793.28</v>
      </c>
      <c r="R691" s="6" t="str">
        <f t="shared" ca="1" si="186"/>
        <v>202010</v>
      </c>
      <c r="S691" s="6">
        <f t="shared" ca="1" si="187"/>
        <v>2020</v>
      </c>
      <c r="T691" s="6">
        <f t="shared" ca="1" si="188"/>
        <v>10</v>
      </c>
      <c r="U691" s="68">
        <f ca="1">IFERROR(__xludf.DUMMYFUNCTION("""COMPUTED_VALUE"""),44131.6458333333)</f>
        <v>44131.645833333299</v>
      </c>
      <c r="V691" s="6">
        <f ca="1">IFERROR(__xludf.DUMMYFUNCTION("""COMPUTED_VALUE"""),2330.84)</f>
        <v>2330.84</v>
      </c>
      <c r="Z691" s="6" t="str">
        <f t="shared" ca="1" si="189"/>
        <v>201912</v>
      </c>
      <c r="AA691" s="6">
        <f t="shared" ca="1" si="190"/>
        <v>2019</v>
      </c>
      <c r="AB691" s="6">
        <f t="shared" ca="1" si="191"/>
        <v>12</v>
      </c>
      <c r="AC691" s="68">
        <f ca="1">IFERROR(__xludf.DUMMYFUNCTION("""COMPUTED_VALUE"""),43827.9986111111)</f>
        <v>43827.998611111099</v>
      </c>
      <c r="AD691" s="6">
        <f ca="1">IFERROR(__xludf.DUMMYFUNCTION("""COMPUTED_VALUE"""),1160.68)</f>
        <v>1160.68</v>
      </c>
      <c r="AH691" s="6" t="str">
        <f t="shared" ca="1" si="192"/>
        <v>201911</v>
      </c>
      <c r="AI691" s="6">
        <f t="shared" ca="1" si="193"/>
        <v>2019</v>
      </c>
      <c r="AJ691" s="6">
        <f t="shared" ca="1" si="194"/>
        <v>11</v>
      </c>
      <c r="AK691" s="68">
        <f ca="1">IFERROR(__xludf.DUMMYFUNCTION("""COMPUTED_VALUE"""),43783.9986111111)</f>
        <v>43783.998611111099</v>
      </c>
      <c r="AL691" s="6">
        <f ca="1">IFERROR(__xludf.DUMMYFUNCTION("""COMPUTED_VALUE"""),8639.802)</f>
        <v>8639.8019999999997</v>
      </c>
      <c r="AP691" s="6" t="str">
        <f t="shared" ca="1" si="195"/>
        <v>202010</v>
      </c>
      <c r="AQ691" s="6">
        <f t="shared" ca="1" si="196"/>
        <v>2020</v>
      </c>
      <c r="AR691" s="6">
        <f t="shared" ca="1" si="197"/>
        <v>10</v>
      </c>
      <c r="AS691" s="68">
        <f ca="1">IFERROR(__xludf.DUMMYFUNCTION("""COMPUTED_VALUE"""),44109.9986111111)</f>
        <v>44109.998611111099</v>
      </c>
      <c r="AT691" s="6">
        <f ca="1">IFERROR(__xludf.DUMMYFUNCTION("""COMPUTED_VALUE"""),1920.1)</f>
        <v>1920.1</v>
      </c>
    </row>
    <row r="692" spans="2:46" x14ac:dyDescent="0.35">
      <c r="B692" s="6" t="str">
        <f t="shared" ca="1" si="180"/>
        <v>20209</v>
      </c>
      <c r="C692" s="6">
        <f t="shared" ca="1" si="181"/>
        <v>2020</v>
      </c>
      <c r="D692" s="6">
        <f t="shared" ca="1" si="182"/>
        <v>9</v>
      </c>
      <c r="E692" s="68">
        <f ca="1">IFERROR(__xludf.DUMMYFUNCTION("""COMPUTED_VALUE"""),44099.6666666666)</f>
        <v>44099.666666666599</v>
      </c>
      <c r="F692" s="6">
        <f ca="1">IFERROR(__xludf.DUMMYFUNCTION("""COMPUTED_VALUE"""),3298.46)</f>
        <v>3298.46</v>
      </c>
      <c r="J692" s="6" t="str">
        <f t="shared" ca="1" si="183"/>
        <v>20209</v>
      </c>
      <c r="K692" s="6">
        <f t="shared" ca="1" si="184"/>
        <v>2020</v>
      </c>
      <c r="L692" s="6">
        <f t="shared" ca="1" si="185"/>
        <v>9</v>
      </c>
      <c r="M692" s="68">
        <f ca="1">IFERROR(__xludf.DUMMYFUNCTION("""COMPUTED_VALUE"""),44095.6666666666)</f>
        <v>44095.666666666599</v>
      </c>
      <c r="N692" s="6">
        <f ca="1">IFERROR(__xludf.DUMMYFUNCTION("""COMPUTED_VALUE"""),10778.8)</f>
        <v>10778.8</v>
      </c>
      <c r="R692" s="6" t="str">
        <f t="shared" ca="1" si="186"/>
        <v>202010</v>
      </c>
      <c r="S692" s="6">
        <f t="shared" ca="1" si="187"/>
        <v>2020</v>
      </c>
      <c r="T692" s="6">
        <f t="shared" ca="1" si="188"/>
        <v>10</v>
      </c>
      <c r="U692" s="68">
        <f ca="1">IFERROR(__xludf.DUMMYFUNCTION("""COMPUTED_VALUE"""),44132.6458333333)</f>
        <v>44132.645833333299</v>
      </c>
      <c r="V692" s="6">
        <f ca="1">IFERROR(__xludf.DUMMYFUNCTION("""COMPUTED_VALUE"""),2345.26)</f>
        <v>2345.2600000000002</v>
      </c>
      <c r="Z692" s="6" t="str">
        <f t="shared" ca="1" si="189"/>
        <v>201912</v>
      </c>
      <c r="AA692" s="6">
        <f t="shared" ca="1" si="190"/>
        <v>2019</v>
      </c>
      <c r="AB692" s="6">
        <f t="shared" ca="1" si="191"/>
        <v>12</v>
      </c>
      <c r="AC692" s="68">
        <f ca="1">IFERROR(__xludf.DUMMYFUNCTION("""COMPUTED_VALUE"""),43828.9986111111)</f>
        <v>43828.998611111099</v>
      </c>
      <c r="AD692" s="6">
        <f ca="1">IFERROR(__xludf.DUMMYFUNCTION("""COMPUTED_VALUE"""),1160.68)</f>
        <v>1160.68</v>
      </c>
      <c r="AH692" s="6" t="str">
        <f t="shared" ca="1" si="192"/>
        <v>201911</v>
      </c>
      <c r="AI692" s="6">
        <f t="shared" ca="1" si="193"/>
        <v>2019</v>
      </c>
      <c r="AJ692" s="6">
        <f t="shared" ca="1" si="194"/>
        <v>11</v>
      </c>
      <c r="AK692" s="68">
        <f ca="1">IFERROR(__xludf.DUMMYFUNCTION("""COMPUTED_VALUE"""),43784.9986111111)</f>
        <v>43784.998611111099</v>
      </c>
      <c r="AL692" s="6">
        <f ca="1">IFERROR(__xludf.DUMMYFUNCTION("""COMPUTED_VALUE"""),8466.479)</f>
        <v>8466.4789999999994</v>
      </c>
      <c r="AP692" s="6" t="str">
        <f t="shared" ca="1" si="195"/>
        <v>202010</v>
      </c>
      <c r="AQ692" s="6">
        <f t="shared" ca="1" si="196"/>
        <v>2020</v>
      </c>
      <c r="AR692" s="6">
        <f t="shared" ca="1" si="197"/>
        <v>10</v>
      </c>
      <c r="AS692" s="68">
        <f ca="1">IFERROR(__xludf.DUMMYFUNCTION("""COMPUTED_VALUE"""),44110.9986111111)</f>
        <v>44110.998611111099</v>
      </c>
      <c r="AT692" s="6">
        <f ca="1">IFERROR(__xludf.DUMMYFUNCTION("""COMPUTED_VALUE"""),1908.8)</f>
        <v>1908.8</v>
      </c>
    </row>
    <row r="693" spans="2:46" x14ac:dyDescent="0.35">
      <c r="B693" s="6" t="str">
        <f t="shared" ca="1" si="180"/>
        <v>20209</v>
      </c>
      <c r="C693" s="6">
        <f t="shared" ca="1" si="181"/>
        <v>2020</v>
      </c>
      <c r="D693" s="6">
        <f t="shared" ca="1" si="182"/>
        <v>9</v>
      </c>
      <c r="E693" s="68">
        <f ca="1">IFERROR(__xludf.DUMMYFUNCTION("""COMPUTED_VALUE"""),44102.6666666666)</f>
        <v>44102.666666666599</v>
      </c>
      <c r="F693" s="6">
        <f ca="1">IFERROR(__xludf.DUMMYFUNCTION("""COMPUTED_VALUE"""),3351.6)</f>
        <v>3351.6</v>
      </c>
      <c r="J693" s="6" t="str">
        <f t="shared" ca="1" si="183"/>
        <v>20209</v>
      </c>
      <c r="K693" s="6">
        <f t="shared" ca="1" si="184"/>
        <v>2020</v>
      </c>
      <c r="L693" s="6">
        <f t="shared" ca="1" si="185"/>
        <v>9</v>
      </c>
      <c r="M693" s="68">
        <f ca="1">IFERROR(__xludf.DUMMYFUNCTION("""COMPUTED_VALUE"""),44096.6666666666)</f>
        <v>44096.666666666599</v>
      </c>
      <c r="N693" s="6">
        <f ca="1">IFERROR(__xludf.DUMMYFUNCTION("""COMPUTED_VALUE"""),10963.64)</f>
        <v>10963.64</v>
      </c>
      <c r="R693" s="6" t="str">
        <f t="shared" ca="1" si="186"/>
        <v>202010</v>
      </c>
      <c r="S693" s="6">
        <f t="shared" ca="1" si="187"/>
        <v>2020</v>
      </c>
      <c r="T693" s="6">
        <f t="shared" ca="1" si="188"/>
        <v>10</v>
      </c>
      <c r="U693" s="68">
        <f ca="1">IFERROR(__xludf.DUMMYFUNCTION("""COMPUTED_VALUE"""),44133.6458333333)</f>
        <v>44133.645833333299</v>
      </c>
      <c r="V693" s="6">
        <f ca="1">IFERROR(__xludf.DUMMYFUNCTION("""COMPUTED_VALUE"""),2326.67)</f>
        <v>2326.67</v>
      </c>
      <c r="Z693" s="6" t="str">
        <f t="shared" ca="1" si="189"/>
        <v>201912</v>
      </c>
      <c r="AA693" s="6">
        <f t="shared" ca="1" si="190"/>
        <v>2019</v>
      </c>
      <c r="AB693" s="6">
        <f t="shared" ca="1" si="191"/>
        <v>12</v>
      </c>
      <c r="AC693" s="68">
        <f ca="1">IFERROR(__xludf.DUMMYFUNCTION("""COMPUTED_VALUE"""),43829.9986111111)</f>
        <v>43829.998611111099</v>
      </c>
      <c r="AD693" s="6">
        <f ca="1">IFERROR(__xludf.DUMMYFUNCTION("""COMPUTED_VALUE"""),1156.35)</f>
        <v>1156.3499999999999</v>
      </c>
      <c r="AH693" s="6" t="str">
        <f t="shared" ca="1" si="192"/>
        <v>201911</v>
      </c>
      <c r="AI693" s="6">
        <f t="shared" ca="1" si="193"/>
        <v>2019</v>
      </c>
      <c r="AJ693" s="6">
        <f t="shared" ca="1" si="194"/>
        <v>11</v>
      </c>
      <c r="AK693" s="68">
        <f ca="1">IFERROR(__xludf.DUMMYFUNCTION("""COMPUTED_VALUE"""),43785.9986111111)</f>
        <v>43785.998611111099</v>
      </c>
      <c r="AL693" s="6">
        <f ca="1">IFERROR(__xludf.DUMMYFUNCTION("""COMPUTED_VALUE"""),8496.651)</f>
        <v>8496.6509999999998</v>
      </c>
      <c r="AP693" s="6" t="str">
        <f t="shared" ca="1" si="195"/>
        <v>202010</v>
      </c>
      <c r="AQ693" s="6">
        <f t="shared" ca="1" si="196"/>
        <v>2020</v>
      </c>
      <c r="AR693" s="6">
        <f t="shared" ca="1" si="197"/>
        <v>10</v>
      </c>
      <c r="AS693" s="68">
        <f ca="1">IFERROR(__xludf.DUMMYFUNCTION("""COMPUTED_VALUE"""),44111.9986111111)</f>
        <v>44111.998611111099</v>
      </c>
      <c r="AT693" s="6">
        <f ca="1">IFERROR(__xludf.DUMMYFUNCTION("""COMPUTED_VALUE"""),1890.8)</f>
        <v>1890.8</v>
      </c>
    </row>
    <row r="694" spans="2:46" x14ac:dyDescent="0.35">
      <c r="B694" s="6" t="str">
        <f t="shared" ca="1" si="180"/>
        <v>20209</v>
      </c>
      <c r="C694" s="6">
        <f t="shared" ca="1" si="181"/>
        <v>2020</v>
      </c>
      <c r="D694" s="6">
        <f t="shared" ca="1" si="182"/>
        <v>9</v>
      </c>
      <c r="E694" s="68">
        <f ca="1">IFERROR(__xludf.DUMMYFUNCTION("""COMPUTED_VALUE"""),44103.6666666666)</f>
        <v>44103.666666666599</v>
      </c>
      <c r="F694" s="6">
        <f ca="1">IFERROR(__xludf.DUMMYFUNCTION("""COMPUTED_VALUE"""),3335.47)</f>
        <v>3335.47</v>
      </c>
      <c r="J694" s="6" t="str">
        <f t="shared" ca="1" si="183"/>
        <v>20209</v>
      </c>
      <c r="K694" s="6">
        <f t="shared" ca="1" si="184"/>
        <v>2020</v>
      </c>
      <c r="L694" s="6">
        <f t="shared" ca="1" si="185"/>
        <v>9</v>
      </c>
      <c r="M694" s="68">
        <f ca="1">IFERROR(__xludf.DUMMYFUNCTION("""COMPUTED_VALUE"""),44097.6666666666)</f>
        <v>44097.666666666599</v>
      </c>
      <c r="N694" s="6">
        <f ca="1">IFERROR(__xludf.DUMMYFUNCTION("""COMPUTED_VALUE"""),10632.99)</f>
        <v>10632.99</v>
      </c>
      <c r="R694" s="6" t="str">
        <f t="shared" ca="1" si="186"/>
        <v>202010</v>
      </c>
      <c r="S694" s="6">
        <f t="shared" ca="1" si="187"/>
        <v>2020</v>
      </c>
      <c r="T694" s="6">
        <f t="shared" ca="1" si="188"/>
        <v>10</v>
      </c>
      <c r="U694" s="68">
        <f ca="1">IFERROR(__xludf.DUMMYFUNCTION("""COMPUTED_VALUE"""),44134.6458333333)</f>
        <v>44134.645833333299</v>
      </c>
      <c r="V694" s="6">
        <f ca="1">IFERROR(__xludf.DUMMYFUNCTION("""COMPUTED_VALUE"""),2267.15)</f>
        <v>2267.15</v>
      </c>
      <c r="Z694" s="6" t="str">
        <f t="shared" ca="1" si="189"/>
        <v>201912</v>
      </c>
      <c r="AA694" s="6">
        <f t="shared" ca="1" si="190"/>
        <v>2019</v>
      </c>
      <c r="AB694" s="6">
        <f t="shared" ca="1" si="191"/>
        <v>12</v>
      </c>
      <c r="AC694" s="68">
        <f ca="1">IFERROR(__xludf.DUMMYFUNCTION("""COMPUTED_VALUE"""),43830.9986111111)</f>
        <v>43830.998611111099</v>
      </c>
      <c r="AD694" s="6">
        <f ca="1">IFERROR(__xludf.DUMMYFUNCTION("""COMPUTED_VALUE"""),1153.75)</f>
        <v>1153.75</v>
      </c>
      <c r="AH694" s="6" t="str">
        <f t="shared" ca="1" si="192"/>
        <v>201911</v>
      </c>
      <c r="AI694" s="6">
        <f t="shared" ca="1" si="193"/>
        <v>2019</v>
      </c>
      <c r="AJ694" s="6">
        <f t="shared" ca="1" si="194"/>
        <v>11</v>
      </c>
      <c r="AK694" s="68">
        <f ca="1">IFERROR(__xludf.DUMMYFUNCTION("""COMPUTED_VALUE"""),43786.9986111111)</f>
        <v>43786.998611111099</v>
      </c>
      <c r="AL694" s="6">
        <f ca="1">IFERROR(__xludf.DUMMYFUNCTION("""COMPUTED_VALUE"""),8515.489)</f>
        <v>8515.4889999999996</v>
      </c>
      <c r="AP694" s="6" t="str">
        <f t="shared" ca="1" si="195"/>
        <v>202010</v>
      </c>
      <c r="AQ694" s="6">
        <f t="shared" ca="1" si="196"/>
        <v>2020</v>
      </c>
      <c r="AR694" s="6">
        <f t="shared" ca="1" si="197"/>
        <v>10</v>
      </c>
      <c r="AS694" s="68">
        <f ca="1">IFERROR(__xludf.DUMMYFUNCTION("""COMPUTED_VALUE"""),44112.9986111111)</f>
        <v>44112.998611111099</v>
      </c>
      <c r="AT694" s="6">
        <f ca="1">IFERROR(__xludf.DUMMYFUNCTION("""COMPUTED_VALUE"""),1895.1)</f>
        <v>1895.1</v>
      </c>
    </row>
    <row r="695" spans="2:46" x14ac:dyDescent="0.35">
      <c r="B695" s="6" t="str">
        <f t="shared" ca="1" si="180"/>
        <v>20209</v>
      </c>
      <c r="C695" s="6">
        <f t="shared" ca="1" si="181"/>
        <v>2020</v>
      </c>
      <c r="D695" s="6">
        <f t="shared" ca="1" si="182"/>
        <v>9</v>
      </c>
      <c r="E695" s="68">
        <f ca="1">IFERROR(__xludf.DUMMYFUNCTION("""COMPUTED_VALUE"""),44104.6666666666)</f>
        <v>44104.666666666599</v>
      </c>
      <c r="F695" s="6">
        <f ca="1">IFERROR(__xludf.DUMMYFUNCTION("""COMPUTED_VALUE"""),3363)</f>
        <v>3363</v>
      </c>
      <c r="J695" s="6" t="str">
        <f t="shared" ca="1" si="183"/>
        <v>20209</v>
      </c>
      <c r="K695" s="6">
        <f t="shared" ca="1" si="184"/>
        <v>2020</v>
      </c>
      <c r="L695" s="6">
        <f t="shared" ca="1" si="185"/>
        <v>9</v>
      </c>
      <c r="M695" s="68">
        <f ca="1">IFERROR(__xludf.DUMMYFUNCTION("""COMPUTED_VALUE"""),44098.6666666666)</f>
        <v>44098.666666666599</v>
      </c>
      <c r="N695" s="6">
        <f ca="1">IFERROR(__xludf.DUMMYFUNCTION("""COMPUTED_VALUE"""),10672.27)</f>
        <v>10672.27</v>
      </c>
      <c r="R695" s="6" t="str">
        <f t="shared" ca="1" si="186"/>
        <v>202011</v>
      </c>
      <c r="S695" s="6">
        <f t="shared" ca="1" si="187"/>
        <v>2020</v>
      </c>
      <c r="T695" s="6">
        <f t="shared" ca="1" si="188"/>
        <v>11</v>
      </c>
      <c r="U695" s="68">
        <f ca="1">IFERROR(__xludf.DUMMYFUNCTION("""COMPUTED_VALUE"""),44137.6458333333)</f>
        <v>44137.645833333299</v>
      </c>
      <c r="V695" s="6">
        <f ca="1">IFERROR(__xludf.DUMMYFUNCTION("""COMPUTED_VALUE"""),2300.16)</f>
        <v>2300.16</v>
      </c>
      <c r="Z695" s="6" t="str">
        <f t="shared" ca="1" si="189"/>
        <v>20201</v>
      </c>
      <c r="AA695" s="6">
        <f t="shared" ca="1" si="190"/>
        <v>2020</v>
      </c>
      <c r="AB695" s="6">
        <f t="shared" ca="1" si="191"/>
        <v>1</v>
      </c>
      <c r="AC695" s="68">
        <f ca="1">IFERROR(__xludf.DUMMYFUNCTION("""COMPUTED_VALUE"""),43831.9986111111)</f>
        <v>43831.998611111099</v>
      </c>
      <c r="AD695" s="6">
        <f ca="1">IFERROR(__xludf.DUMMYFUNCTION("""COMPUTED_VALUE"""),1153.97)</f>
        <v>1153.97</v>
      </c>
      <c r="AH695" s="6" t="str">
        <f t="shared" ca="1" si="192"/>
        <v>201911</v>
      </c>
      <c r="AI695" s="6">
        <f t="shared" ca="1" si="193"/>
        <v>2019</v>
      </c>
      <c r="AJ695" s="6">
        <f t="shared" ca="1" si="194"/>
        <v>11</v>
      </c>
      <c r="AK695" s="68">
        <f ca="1">IFERROR(__xludf.DUMMYFUNCTION("""COMPUTED_VALUE"""),43787.9986111111)</f>
        <v>43787.998611111099</v>
      </c>
      <c r="AL695" s="6">
        <f ca="1">IFERROR(__xludf.DUMMYFUNCTION("""COMPUTED_VALUE"""),8185.337)</f>
        <v>8185.3370000000004</v>
      </c>
      <c r="AP695" s="6" t="str">
        <f t="shared" ca="1" si="195"/>
        <v>202010</v>
      </c>
      <c r="AQ695" s="6">
        <f t="shared" ca="1" si="196"/>
        <v>2020</v>
      </c>
      <c r="AR695" s="6">
        <f t="shared" ca="1" si="197"/>
        <v>10</v>
      </c>
      <c r="AS695" s="68">
        <f ca="1">IFERROR(__xludf.DUMMYFUNCTION("""COMPUTED_VALUE"""),44113.9986111111)</f>
        <v>44113.998611111099</v>
      </c>
      <c r="AT695" s="6">
        <f ca="1">IFERROR(__xludf.DUMMYFUNCTION("""COMPUTED_VALUE"""),1926.2)</f>
        <v>1926.2</v>
      </c>
    </row>
    <row r="696" spans="2:46" x14ac:dyDescent="0.35">
      <c r="B696" s="6" t="str">
        <f t="shared" ca="1" si="180"/>
        <v>202010</v>
      </c>
      <c r="C696" s="6">
        <f t="shared" ca="1" si="181"/>
        <v>2020</v>
      </c>
      <c r="D696" s="6">
        <f t="shared" ca="1" si="182"/>
        <v>10</v>
      </c>
      <c r="E696" s="68">
        <f ca="1">IFERROR(__xludf.DUMMYFUNCTION("""COMPUTED_VALUE"""),44105.6666666666)</f>
        <v>44105.666666666599</v>
      </c>
      <c r="F696" s="6">
        <f ca="1">IFERROR(__xludf.DUMMYFUNCTION("""COMPUTED_VALUE"""),3380.8)</f>
        <v>3380.8</v>
      </c>
      <c r="J696" s="6" t="str">
        <f t="shared" ca="1" si="183"/>
        <v>20209</v>
      </c>
      <c r="K696" s="6">
        <f t="shared" ca="1" si="184"/>
        <v>2020</v>
      </c>
      <c r="L696" s="6">
        <f t="shared" ca="1" si="185"/>
        <v>9</v>
      </c>
      <c r="M696" s="68">
        <f ca="1">IFERROR(__xludf.DUMMYFUNCTION("""COMPUTED_VALUE"""),44099.6666666666)</f>
        <v>44099.666666666599</v>
      </c>
      <c r="N696" s="6">
        <f ca="1">IFERROR(__xludf.DUMMYFUNCTION("""COMPUTED_VALUE"""),10913.56)</f>
        <v>10913.56</v>
      </c>
      <c r="R696" s="6" t="str">
        <f t="shared" ca="1" si="186"/>
        <v>202011</v>
      </c>
      <c r="S696" s="6">
        <f t="shared" ca="1" si="187"/>
        <v>2020</v>
      </c>
      <c r="T696" s="6">
        <f t="shared" ca="1" si="188"/>
        <v>11</v>
      </c>
      <c r="U696" s="68">
        <f ca="1">IFERROR(__xludf.DUMMYFUNCTION("""COMPUTED_VALUE"""),44138.6458333333)</f>
        <v>44138.645833333299</v>
      </c>
      <c r="V696" s="6">
        <f ca="1">IFERROR(__xludf.DUMMYFUNCTION("""COMPUTED_VALUE"""),2343.31)</f>
        <v>2343.31</v>
      </c>
      <c r="Z696" s="6" t="str">
        <f t="shared" ca="1" si="189"/>
        <v>20201</v>
      </c>
      <c r="AA696" s="6">
        <f t="shared" ca="1" si="190"/>
        <v>2020</v>
      </c>
      <c r="AB696" s="6">
        <f t="shared" ca="1" si="191"/>
        <v>1</v>
      </c>
      <c r="AC696" s="68">
        <f ca="1">IFERROR(__xludf.DUMMYFUNCTION("""COMPUTED_VALUE"""),43832.9986111111)</f>
        <v>43832.998611111099</v>
      </c>
      <c r="AD696" s="6">
        <f ca="1">IFERROR(__xludf.DUMMYFUNCTION("""COMPUTED_VALUE"""),1157.15)</f>
        <v>1157.1500000000001</v>
      </c>
      <c r="AH696" s="6" t="str">
        <f t="shared" ca="1" si="192"/>
        <v>201911</v>
      </c>
      <c r="AI696" s="6">
        <f t="shared" ca="1" si="193"/>
        <v>2019</v>
      </c>
      <c r="AJ696" s="6">
        <f t="shared" ca="1" si="194"/>
        <v>11</v>
      </c>
      <c r="AK696" s="68">
        <f ca="1">IFERROR(__xludf.DUMMYFUNCTION("""COMPUTED_VALUE"""),43788.9986111111)</f>
        <v>43788.998611111099</v>
      </c>
      <c r="AL696" s="6">
        <f ca="1">IFERROR(__xludf.DUMMYFUNCTION("""COMPUTED_VALUE"""),8129.933)</f>
        <v>8129.933</v>
      </c>
      <c r="AP696" s="6" t="str">
        <f t="shared" ca="1" si="195"/>
        <v>202010</v>
      </c>
      <c r="AQ696" s="6">
        <f t="shared" ca="1" si="196"/>
        <v>2020</v>
      </c>
      <c r="AR696" s="6">
        <f t="shared" ca="1" si="197"/>
        <v>10</v>
      </c>
      <c r="AS696" s="68">
        <f ca="1">IFERROR(__xludf.DUMMYFUNCTION("""COMPUTED_VALUE"""),44116.9986111111)</f>
        <v>44116.998611111099</v>
      </c>
      <c r="AT696" s="6">
        <f ca="1">IFERROR(__xludf.DUMMYFUNCTION("""COMPUTED_VALUE"""),1928.9)</f>
        <v>1928.9</v>
      </c>
    </row>
    <row r="697" spans="2:46" x14ac:dyDescent="0.35">
      <c r="B697" s="6" t="str">
        <f t="shared" ca="1" si="180"/>
        <v>202010</v>
      </c>
      <c r="C697" s="6">
        <f t="shared" ca="1" si="181"/>
        <v>2020</v>
      </c>
      <c r="D697" s="6">
        <f t="shared" ca="1" si="182"/>
        <v>10</v>
      </c>
      <c r="E697" s="68">
        <f ca="1">IFERROR(__xludf.DUMMYFUNCTION("""COMPUTED_VALUE"""),44106.6666666666)</f>
        <v>44106.666666666599</v>
      </c>
      <c r="F697" s="6">
        <f ca="1">IFERROR(__xludf.DUMMYFUNCTION("""COMPUTED_VALUE"""),3348.44)</f>
        <v>3348.44</v>
      </c>
      <c r="J697" s="6" t="str">
        <f t="shared" ca="1" si="183"/>
        <v>20209</v>
      </c>
      <c r="K697" s="6">
        <f t="shared" ca="1" si="184"/>
        <v>2020</v>
      </c>
      <c r="L697" s="6">
        <f t="shared" ca="1" si="185"/>
        <v>9</v>
      </c>
      <c r="M697" s="68">
        <f ca="1">IFERROR(__xludf.DUMMYFUNCTION("""COMPUTED_VALUE"""),44102.6666666666)</f>
        <v>44102.666666666599</v>
      </c>
      <c r="N697" s="6">
        <f ca="1">IFERROR(__xludf.DUMMYFUNCTION("""COMPUTED_VALUE"""),11117.53)</f>
        <v>11117.53</v>
      </c>
      <c r="R697" s="6" t="str">
        <f t="shared" ca="1" si="186"/>
        <v>202011</v>
      </c>
      <c r="S697" s="6">
        <f t="shared" ca="1" si="187"/>
        <v>2020</v>
      </c>
      <c r="T697" s="6">
        <f t="shared" ca="1" si="188"/>
        <v>11</v>
      </c>
      <c r="U697" s="68">
        <f ca="1">IFERROR(__xludf.DUMMYFUNCTION("""COMPUTED_VALUE"""),44139.6458333333)</f>
        <v>44139.645833333299</v>
      </c>
      <c r="V697" s="6">
        <f ca="1">IFERROR(__xludf.DUMMYFUNCTION("""COMPUTED_VALUE"""),2357.32)</f>
        <v>2357.3200000000002</v>
      </c>
      <c r="Z697" s="6" t="str">
        <f t="shared" ca="1" si="189"/>
        <v>20201</v>
      </c>
      <c r="AA697" s="6">
        <f t="shared" ca="1" si="190"/>
        <v>2020</v>
      </c>
      <c r="AB697" s="6">
        <f t="shared" ca="1" si="191"/>
        <v>1</v>
      </c>
      <c r="AC697" s="68">
        <f ca="1">IFERROR(__xludf.DUMMYFUNCTION("""COMPUTED_VALUE"""),43833.9986111111)</f>
        <v>43833.998611111099</v>
      </c>
      <c r="AD697" s="6">
        <f ca="1">IFERROR(__xludf.DUMMYFUNCTION("""COMPUTED_VALUE"""),1165.85)</f>
        <v>1165.8499999999999</v>
      </c>
      <c r="AH697" s="6" t="str">
        <f t="shared" ca="1" si="192"/>
        <v>201911</v>
      </c>
      <c r="AI697" s="6">
        <f t="shared" ca="1" si="193"/>
        <v>2019</v>
      </c>
      <c r="AJ697" s="6">
        <f t="shared" ca="1" si="194"/>
        <v>11</v>
      </c>
      <c r="AK697" s="68">
        <f ca="1">IFERROR(__xludf.DUMMYFUNCTION("""COMPUTED_VALUE"""),43789.9986111111)</f>
        <v>43789.998611111099</v>
      </c>
      <c r="AL697" s="6">
        <f ca="1">IFERROR(__xludf.DUMMYFUNCTION("""COMPUTED_VALUE"""),8094.492)</f>
        <v>8094.4920000000002</v>
      </c>
      <c r="AP697" s="6" t="str">
        <f t="shared" ca="1" si="195"/>
        <v>202010</v>
      </c>
      <c r="AQ697" s="6">
        <f t="shared" ca="1" si="196"/>
        <v>2020</v>
      </c>
      <c r="AR697" s="6">
        <f t="shared" ca="1" si="197"/>
        <v>10</v>
      </c>
      <c r="AS697" s="68">
        <f ca="1">IFERROR(__xludf.DUMMYFUNCTION("""COMPUTED_VALUE"""),44117.9986111111)</f>
        <v>44117.998611111099</v>
      </c>
      <c r="AT697" s="6">
        <f ca="1">IFERROR(__xludf.DUMMYFUNCTION("""COMPUTED_VALUE"""),1894.6)</f>
        <v>1894.6</v>
      </c>
    </row>
    <row r="698" spans="2:46" x14ac:dyDescent="0.35">
      <c r="B698" s="6" t="str">
        <f t="shared" ca="1" si="180"/>
        <v>202010</v>
      </c>
      <c r="C698" s="6">
        <f t="shared" ca="1" si="181"/>
        <v>2020</v>
      </c>
      <c r="D698" s="6">
        <f t="shared" ca="1" si="182"/>
        <v>10</v>
      </c>
      <c r="E698" s="68">
        <f ca="1">IFERROR(__xludf.DUMMYFUNCTION("""COMPUTED_VALUE"""),44109.6666666666)</f>
        <v>44109.666666666599</v>
      </c>
      <c r="F698" s="6">
        <f ca="1">IFERROR(__xludf.DUMMYFUNCTION("""COMPUTED_VALUE"""),3408.63)</f>
        <v>3408.63</v>
      </c>
      <c r="J698" s="6" t="str">
        <f t="shared" ca="1" si="183"/>
        <v>20209</v>
      </c>
      <c r="K698" s="6">
        <f t="shared" ca="1" si="184"/>
        <v>2020</v>
      </c>
      <c r="L698" s="6">
        <f t="shared" ca="1" si="185"/>
        <v>9</v>
      </c>
      <c r="M698" s="68">
        <f ca="1">IFERROR(__xludf.DUMMYFUNCTION("""COMPUTED_VALUE"""),44103.6666666666)</f>
        <v>44103.666666666599</v>
      </c>
      <c r="N698" s="6">
        <f ca="1">IFERROR(__xludf.DUMMYFUNCTION("""COMPUTED_VALUE"""),11085.25)</f>
        <v>11085.25</v>
      </c>
      <c r="R698" s="6" t="str">
        <f t="shared" ca="1" si="186"/>
        <v>202011</v>
      </c>
      <c r="S698" s="6">
        <f t="shared" ca="1" si="187"/>
        <v>2020</v>
      </c>
      <c r="T698" s="6">
        <f t="shared" ca="1" si="188"/>
        <v>11</v>
      </c>
      <c r="U698" s="68">
        <f ca="1">IFERROR(__xludf.DUMMYFUNCTION("""COMPUTED_VALUE"""),44140.6458333333)</f>
        <v>44140.645833333299</v>
      </c>
      <c r="V698" s="6">
        <f ca="1">IFERROR(__xludf.DUMMYFUNCTION("""COMPUTED_VALUE"""),2413.79)</f>
        <v>2413.79</v>
      </c>
      <c r="Z698" s="6" t="str">
        <f t="shared" ca="1" si="189"/>
        <v>20201</v>
      </c>
      <c r="AA698" s="6">
        <f t="shared" ca="1" si="190"/>
        <v>2020</v>
      </c>
      <c r="AB698" s="6">
        <f t="shared" ca="1" si="191"/>
        <v>1</v>
      </c>
      <c r="AC698" s="68">
        <f ca="1">IFERROR(__xludf.DUMMYFUNCTION("""COMPUTED_VALUE"""),43834.9986111111)</f>
        <v>43834.998611111099</v>
      </c>
      <c r="AD698" s="6">
        <f ca="1">IFERROR(__xludf.DUMMYFUNCTION("""COMPUTED_VALUE"""),1165.85)</f>
        <v>1165.8499999999999</v>
      </c>
      <c r="AH698" s="6" t="str">
        <f t="shared" ca="1" si="192"/>
        <v>201911</v>
      </c>
      <c r="AI698" s="6">
        <f t="shared" ca="1" si="193"/>
        <v>2019</v>
      </c>
      <c r="AJ698" s="6">
        <f t="shared" ca="1" si="194"/>
        <v>11</v>
      </c>
      <c r="AK698" s="68">
        <f ca="1">IFERROR(__xludf.DUMMYFUNCTION("""COMPUTED_VALUE"""),43790.9986111111)</f>
        <v>43790.998611111099</v>
      </c>
      <c r="AL698" s="6">
        <f ca="1">IFERROR(__xludf.DUMMYFUNCTION("""COMPUTED_VALUE"""),7624.576)</f>
        <v>7624.576</v>
      </c>
      <c r="AP698" s="6" t="str">
        <f t="shared" ca="1" si="195"/>
        <v>202010</v>
      </c>
      <c r="AQ698" s="6">
        <f t="shared" ca="1" si="196"/>
        <v>2020</v>
      </c>
      <c r="AR698" s="6">
        <f t="shared" ca="1" si="197"/>
        <v>10</v>
      </c>
      <c r="AS698" s="68">
        <f ca="1">IFERROR(__xludf.DUMMYFUNCTION("""COMPUTED_VALUE"""),44118.9986111111)</f>
        <v>44118.998611111099</v>
      </c>
      <c r="AT698" s="6">
        <f ca="1">IFERROR(__xludf.DUMMYFUNCTION("""COMPUTED_VALUE"""),1907.3)</f>
        <v>1907.3</v>
      </c>
    </row>
    <row r="699" spans="2:46" x14ac:dyDescent="0.35">
      <c r="B699" s="6" t="str">
        <f t="shared" ca="1" si="180"/>
        <v>202010</v>
      </c>
      <c r="C699" s="6">
        <f t="shared" ca="1" si="181"/>
        <v>2020</v>
      </c>
      <c r="D699" s="6">
        <f t="shared" ca="1" si="182"/>
        <v>10</v>
      </c>
      <c r="E699" s="68">
        <f ca="1">IFERROR(__xludf.DUMMYFUNCTION("""COMPUTED_VALUE"""),44110.6666666666)</f>
        <v>44110.666666666599</v>
      </c>
      <c r="F699" s="6">
        <f ca="1">IFERROR(__xludf.DUMMYFUNCTION("""COMPUTED_VALUE"""),3360.95)</f>
        <v>3360.95</v>
      </c>
      <c r="J699" s="6" t="str">
        <f t="shared" ca="1" si="183"/>
        <v>20209</v>
      </c>
      <c r="K699" s="6">
        <f t="shared" ca="1" si="184"/>
        <v>2020</v>
      </c>
      <c r="L699" s="6">
        <f t="shared" ca="1" si="185"/>
        <v>9</v>
      </c>
      <c r="M699" s="68">
        <f ca="1">IFERROR(__xludf.DUMMYFUNCTION("""COMPUTED_VALUE"""),44104.6666666666)</f>
        <v>44104.666666666599</v>
      </c>
      <c r="N699" s="6">
        <f ca="1">IFERROR(__xludf.DUMMYFUNCTION("""COMPUTED_VALUE"""),11167.51)</f>
        <v>11167.51</v>
      </c>
      <c r="R699" s="6" t="str">
        <f t="shared" ca="1" si="186"/>
        <v>202011</v>
      </c>
      <c r="S699" s="6">
        <f t="shared" ca="1" si="187"/>
        <v>2020</v>
      </c>
      <c r="T699" s="6">
        <f t="shared" ca="1" si="188"/>
        <v>11</v>
      </c>
      <c r="U699" s="68">
        <f ca="1">IFERROR(__xludf.DUMMYFUNCTION("""COMPUTED_VALUE"""),44141.6458333333)</f>
        <v>44141.645833333299</v>
      </c>
      <c r="V699" s="6">
        <f ca="1">IFERROR(__xludf.DUMMYFUNCTION("""COMPUTED_VALUE"""),2416.5)</f>
        <v>2416.5</v>
      </c>
      <c r="Z699" s="6" t="str">
        <f t="shared" ca="1" si="189"/>
        <v>20201</v>
      </c>
      <c r="AA699" s="6">
        <f t="shared" ca="1" si="190"/>
        <v>2020</v>
      </c>
      <c r="AB699" s="6">
        <f t="shared" ca="1" si="191"/>
        <v>1</v>
      </c>
      <c r="AC699" s="68">
        <f ca="1">IFERROR(__xludf.DUMMYFUNCTION("""COMPUTED_VALUE"""),43835.9986111111)</f>
        <v>43835.998611111099</v>
      </c>
      <c r="AD699" s="6">
        <f ca="1">IFERROR(__xludf.DUMMYFUNCTION("""COMPUTED_VALUE"""),1165.85)</f>
        <v>1165.8499999999999</v>
      </c>
      <c r="AH699" s="6" t="str">
        <f t="shared" ca="1" si="192"/>
        <v>201911</v>
      </c>
      <c r="AI699" s="6">
        <f t="shared" ca="1" si="193"/>
        <v>2019</v>
      </c>
      <c r="AJ699" s="6">
        <f t="shared" ca="1" si="194"/>
        <v>11</v>
      </c>
      <c r="AK699" s="68">
        <f ca="1">IFERROR(__xludf.DUMMYFUNCTION("""COMPUTED_VALUE"""),43791.9986111111)</f>
        <v>43791.998611111099</v>
      </c>
      <c r="AL699" s="6">
        <f ca="1">IFERROR(__xludf.DUMMYFUNCTION("""COMPUTED_VALUE"""),7290.634)</f>
        <v>7290.634</v>
      </c>
      <c r="AP699" s="6" t="str">
        <f t="shared" ca="1" si="195"/>
        <v>202010</v>
      </c>
      <c r="AQ699" s="6">
        <f t="shared" ca="1" si="196"/>
        <v>2020</v>
      </c>
      <c r="AR699" s="6">
        <f t="shared" ca="1" si="197"/>
        <v>10</v>
      </c>
      <c r="AS699" s="68">
        <f ca="1">IFERROR(__xludf.DUMMYFUNCTION("""COMPUTED_VALUE"""),44119.9986111111)</f>
        <v>44119.998611111099</v>
      </c>
      <c r="AT699" s="6">
        <f ca="1">IFERROR(__xludf.DUMMYFUNCTION("""COMPUTED_VALUE"""),1908.9)</f>
        <v>1908.9</v>
      </c>
    </row>
    <row r="700" spans="2:46" x14ac:dyDescent="0.35">
      <c r="B700" s="6" t="str">
        <f t="shared" ca="1" si="180"/>
        <v>202010</v>
      </c>
      <c r="C700" s="6">
        <f t="shared" ca="1" si="181"/>
        <v>2020</v>
      </c>
      <c r="D700" s="6">
        <f t="shared" ca="1" si="182"/>
        <v>10</v>
      </c>
      <c r="E700" s="68">
        <f ca="1">IFERROR(__xludf.DUMMYFUNCTION("""COMPUTED_VALUE"""),44111.6666666666)</f>
        <v>44111.666666666599</v>
      </c>
      <c r="F700" s="6">
        <f ca="1">IFERROR(__xludf.DUMMYFUNCTION("""COMPUTED_VALUE"""),3419.45)</f>
        <v>3419.45</v>
      </c>
      <c r="J700" s="6" t="str">
        <f t="shared" ca="1" si="183"/>
        <v>202010</v>
      </c>
      <c r="K700" s="6">
        <f t="shared" ca="1" si="184"/>
        <v>2020</v>
      </c>
      <c r="L700" s="6">
        <f t="shared" ca="1" si="185"/>
        <v>10</v>
      </c>
      <c r="M700" s="68">
        <f ca="1">IFERROR(__xludf.DUMMYFUNCTION("""COMPUTED_VALUE"""),44105.6666666666)</f>
        <v>44105.666666666599</v>
      </c>
      <c r="N700" s="6">
        <f ca="1">IFERROR(__xludf.DUMMYFUNCTION("""COMPUTED_VALUE"""),11326.51)</f>
        <v>11326.51</v>
      </c>
      <c r="R700" s="6" t="str">
        <f t="shared" ca="1" si="186"/>
        <v>202011</v>
      </c>
      <c r="S700" s="6">
        <f t="shared" ca="1" si="187"/>
        <v>2020</v>
      </c>
      <c r="T700" s="6">
        <f t="shared" ca="1" si="188"/>
        <v>11</v>
      </c>
      <c r="U700" s="68">
        <f ca="1">IFERROR(__xludf.DUMMYFUNCTION("""COMPUTED_VALUE"""),44144.6458333333)</f>
        <v>44144.645833333299</v>
      </c>
      <c r="V700" s="6">
        <f ca="1">IFERROR(__xludf.DUMMYFUNCTION("""COMPUTED_VALUE"""),2447.2)</f>
        <v>2447.1999999999998</v>
      </c>
      <c r="Z700" s="6" t="str">
        <f t="shared" ca="1" si="189"/>
        <v>20201</v>
      </c>
      <c r="AA700" s="6">
        <f t="shared" ca="1" si="190"/>
        <v>2020</v>
      </c>
      <c r="AB700" s="6">
        <f t="shared" ca="1" si="191"/>
        <v>1</v>
      </c>
      <c r="AC700" s="68">
        <f ca="1">IFERROR(__xludf.DUMMYFUNCTION("""COMPUTED_VALUE"""),43836.9986111111)</f>
        <v>43836.998611111099</v>
      </c>
      <c r="AD700" s="6">
        <f ca="1">IFERROR(__xludf.DUMMYFUNCTION("""COMPUTED_VALUE"""),1167.42)</f>
        <v>1167.42</v>
      </c>
      <c r="AH700" s="6" t="str">
        <f t="shared" ca="1" si="192"/>
        <v>201911</v>
      </c>
      <c r="AI700" s="6">
        <f t="shared" ca="1" si="193"/>
        <v>2019</v>
      </c>
      <c r="AJ700" s="6">
        <f t="shared" ca="1" si="194"/>
        <v>11</v>
      </c>
      <c r="AK700" s="68">
        <f ca="1">IFERROR(__xludf.DUMMYFUNCTION("""COMPUTED_VALUE"""),43792.9986111111)</f>
        <v>43792.998611111099</v>
      </c>
      <c r="AL700" s="6">
        <f ca="1">IFERROR(__xludf.DUMMYFUNCTION("""COMPUTED_VALUE"""),7333.467)</f>
        <v>7333.4669999999996</v>
      </c>
      <c r="AP700" s="6" t="str">
        <f t="shared" ca="1" si="195"/>
        <v>202010</v>
      </c>
      <c r="AQ700" s="6">
        <f t="shared" ca="1" si="196"/>
        <v>2020</v>
      </c>
      <c r="AR700" s="6">
        <f t="shared" ca="1" si="197"/>
        <v>10</v>
      </c>
      <c r="AS700" s="68">
        <f ca="1">IFERROR(__xludf.DUMMYFUNCTION("""COMPUTED_VALUE"""),44120.9986111111)</f>
        <v>44120.998611111099</v>
      </c>
      <c r="AT700" s="6">
        <f ca="1">IFERROR(__xludf.DUMMYFUNCTION("""COMPUTED_VALUE"""),1906.4)</f>
        <v>1906.4</v>
      </c>
    </row>
    <row r="701" spans="2:46" x14ac:dyDescent="0.35">
      <c r="B701" s="6" t="str">
        <f t="shared" ca="1" si="180"/>
        <v>202010</v>
      </c>
      <c r="C701" s="6">
        <f t="shared" ca="1" si="181"/>
        <v>2020</v>
      </c>
      <c r="D701" s="6">
        <f t="shared" ca="1" si="182"/>
        <v>10</v>
      </c>
      <c r="E701" s="68">
        <f ca="1">IFERROR(__xludf.DUMMYFUNCTION("""COMPUTED_VALUE"""),44112.6666666666)</f>
        <v>44112.666666666599</v>
      </c>
      <c r="F701" s="6">
        <f ca="1">IFERROR(__xludf.DUMMYFUNCTION("""COMPUTED_VALUE"""),3446.83)</f>
        <v>3446.83</v>
      </c>
      <c r="J701" s="6" t="str">
        <f t="shared" ca="1" si="183"/>
        <v>202010</v>
      </c>
      <c r="K701" s="6">
        <f t="shared" ca="1" si="184"/>
        <v>2020</v>
      </c>
      <c r="L701" s="6">
        <f t="shared" ca="1" si="185"/>
        <v>10</v>
      </c>
      <c r="M701" s="68">
        <f ca="1">IFERROR(__xludf.DUMMYFUNCTION("""COMPUTED_VALUE"""),44106.6666666666)</f>
        <v>44106.666666666599</v>
      </c>
      <c r="N701" s="6">
        <f ca="1">IFERROR(__xludf.DUMMYFUNCTION("""COMPUTED_VALUE"""),11075.02)</f>
        <v>11075.02</v>
      </c>
      <c r="R701" s="6" t="str">
        <f t="shared" ca="1" si="186"/>
        <v>202011</v>
      </c>
      <c r="S701" s="6">
        <f t="shared" ca="1" si="187"/>
        <v>2020</v>
      </c>
      <c r="T701" s="6">
        <f t="shared" ca="1" si="188"/>
        <v>11</v>
      </c>
      <c r="U701" s="68">
        <f ca="1">IFERROR(__xludf.DUMMYFUNCTION("""COMPUTED_VALUE"""),44145.6458333333)</f>
        <v>44145.645833333299</v>
      </c>
      <c r="V701" s="6">
        <f ca="1">IFERROR(__xludf.DUMMYFUNCTION("""COMPUTED_VALUE"""),2452.83)</f>
        <v>2452.83</v>
      </c>
      <c r="Z701" s="6" t="str">
        <f t="shared" ca="1" si="189"/>
        <v>20201</v>
      </c>
      <c r="AA701" s="6">
        <f t="shared" ca="1" si="190"/>
        <v>2020</v>
      </c>
      <c r="AB701" s="6">
        <f t="shared" ca="1" si="191"/>
        <v>1</v>
      </c>
      <c r="AC701" s="68">
        <f ca="1">IFERROR(__xludf.DUMMYFUNCTION("""COMPUTED_VALUE"""),43837.9986111111)</f>
        <v>43837.998611111099</v>
      </c>
      <c r="AD701" s="6">
        <f ca="1">IFERROR(__xludf.DUMMYFUNCTION("""COMPUTED_VALUE"""),1166.46)</f>
        <v>1166.46</v>
      </c>
      <c r="AH701" s="6" t="str">
        <f t="shared" ca="1" si="192"/>
        <v>201911</v>
      </c>
      <c r="AI701" s="6">
        <f t="shared" ca="1" si="193"/>
        <v>2019</v>
      </c>
      <c r="AJ701" s="6">
        <f t="shared" ca="1" si="194"/>
        <v>11</v>
      </c>
      <c r="AK701" s="68">
        <f ca="1">IFERROR(__xludf.DUMMYFUNCTION("""COMPUTED_VALUE"""),43793.9986111111)</f>
        <v>43793.998611111099</v>
      </c>
      <c r="AL701" s="6">
        <f ca="1">IFERROR(__xludf.DUMMYFUNCTION("""COMPUTED_VALUE"""),6919.361)</f>
        <v>6919.3609999999999</v>
      </c>
      <c r="AP701" s="6" t="str">
        <f t="shared" ca="1" si="195"/>
        <v>202010</v>
      </c>
      <c r="AQ701" s="6">
        <f t="shared" ca="1" si="196"/>
        <v>2020</v>
      </c>
      <c r="AR701" s="6">
        <f t="shared" ca="1" si="197"/>
        <v>10</v>
      </c>
      <c r="AS701" s="68">
        <f ca="1">IFERROR(__xludf.DUMMYFUNCTION("""COMPUTED_VALUE"""),44123.9986111111)</f>
        <v>44123.998611111099</v>
      </c>
      <c r="AT701" s="6">
        <f ca="1">IFERROR(__xludf.DUMMYFUNCTION("""COMPUTED_VALUE"""),1911.7)</f>
        <v>1911.7</v>
      </c>
    </row>
    <row r="702" spans="2:46" x14ac:dyDescent="0.35">
      <c r="B702" s="6" t="str">
        <f t="shared" ca="1" si="180"/>
        <v>202010</v>
      </c>
      <c r="C702" s="6">
        <f t="shared" ca="1" si="181"/>
        <v>2020</v>
      </c>
      <c r="D702" s="6">
        <f t="shared" ca="1" si="182"/>
        <v>10</v>
      </c>
      <c r="E702" s="68">
        <f ca="1">IFERROR(__xludf.DUMMYFUNCTION("""COMPUTED_VALUE"""),44113.6666666666)</f>
        <v>44113.666666666599</v>
      </c>
      <c r="F702" s="6">
        <f ca="1">IFERROR(__xludf.DUMMYFUNCTION("""COMPUTED_VALUE"""),3477.13)</f>
        <v>3477.13</v>
      </c>
      <c r="J702" s="6" t="str">
        <f t="shared" ca="1" si="183"/>
        <v>202010</v>
      </c>
      <c r="K702" s="6">
        <f t="shared" ca="1" si="184"/>
        <v>2020</v>
      </c>
      <c r="L702" s="6">
        <f t="shared" ca="1" si="185"/>
        <v>10</v>
      </c>
      <c r="M702" s="68">
        <f ca="1">IFERROR(__xludf.DUMMYFUNCTION("""COMPUTED_VALUE"""),44109.6666666666)</f>
        <v>44109.666666666599</v>
      </c>
      <c r="N702" s="6">
        <f ca="1">IFERROR(__xludf.DUMMYFUNCTION("""COMPUTED_VALUE"""),11332.49)</f>
        <v>11332.49</v>
      </c>
      <c r="R702" s="6" t="str">
        <f t="shared" ca="1" si="186"/>
        <v>202011</v>
      </c>
      <c r="S702" s="6">
        <f t="shared" ca="1" si="187"/>
        <v>2020</v>
      </c>
      <c r="T702" s="6">
        <f t="shared" ca="1" si="188"/>
        <v>11</v>
      </c>
      <c r="U702" s="68">
        <f ca="1">IFERROR(__xludf.DUMMYFUNCTION("""COMPUTED_VALUE"""),44146.6458333333)</f>
        <v>44146.645833333299</v>
      </c>
      <c r="V702" s="6">
        <f ca="1">IFERROR(__xludf.DUMMYFUNCTION("""COMPUTED_VALUE"""),2485.87)</f>
        <v>2485.87</v>
      </c>
      <c r="Z702" s="6" t="str">
        <f t="shared" ca="1" si="189"/>
        <v>20201</v>
      </c>
      <c r="AA702" s="6">
        <f t="shared" ca="1" si="190"/>
        <v>2020</v>
      </c>
      <c r="AB702" s="6">
        <f t="shared" ca="1" si="191"/>
        <v>1</v>
      </c>
      <c r="AC702" s="68">
        <f ca="1">IFERROR(__xludf.DUMMYFUNCTION("""COMPUTED_VALUE"""),43838.9986111111)</f>
        <v>43838.998611111099</v>
      </c>
      <c r="AD702" s="6">
        <f ca="1">IFERROR(__xludf.DUMMYFUNCTION("""COMPUTED_VALUE"""),1161.26)</f>
        <v>1161.26</v>
      </c>
      <c r="AH702" s="6" t="str">
        <f t="shared" ca="1" si="192"/>
        <v>201911</v>
      </c>
      <c r="AI702" s="6">
        <f t="shared" ca="1" si="193"/>
        <v>2019</v>
      </c>
      <c r="AJ702" s="6">
        <f t="shared" ca="1" si="194"/>
        <v>11</v>
      </c>
      <c r="AK702" s="68">
        <f ca="1">IFERROR(__xludf.DUMMYFUNCTION("""COMPUTED_VALUE"""),43794.9986111111)</f>
        <v>43794.998611111099</v>
      </c>
      <c r="AL702" s="6">
        <f ca="1">IFERROR(__xludf.DUMMYFUNCTION("""COMPUTED_VALUE"""),7135.478)</f>
        <v>7135.4780000000001</v>
      </c>
      <c r="AP702" s="6" t="str">
        <f t="shared" ca="1" si="195"/>
        <v>202010</v>
      </c>
      <c r="AQ702" s="6">
        <f t="shared" ca="1" si="196"/>
        <v>2020</v>
      </c>
      <c r="AR702" s="6">
        <f t="shared" ca="1" si="197"/>
        <v>10</v>
      </c>
      <c r="AS702" s="68">
        <f ca="1">IFERROR(__xludf.DUMMYFUNCTION("""COMPUTED_VALUE"""),44124.9986111111)</f>
        <v>44124.998611111099</v>
      </c>
      <c r="AT702" s="6">
        <f ca="1">IFERROR(__xludf.DUMMYFUNCTION("""COMPUTED_VALUE"""),1915.4)</f>
        <v>1915.4</v>
      </c>
    </row>
    <row r="703" spans="2:46" x14ac:dyDescent="0.35">
      <c r="B703" s="6" t="str">
        <f t="shared" ca="1" si="180"/>
        <v>202010</v>
      </c>
      <c r="C703" s="6">
        <f t="shared" ca="1" si="181"/>
        <v>2020</v>
      </c>
      <c r="D703" s="6">
        <f t="shared" ca="1" si="182"/>
        <v>10</v>
      </c>
      <c r="E703" s="68">
        <f ca="1">IFERROR(__xludf.DUMMYFUNCTION("""COMPUTED_VALUE"""),44116.6666666666)</f>
        <v>44116.666666666599</v>
      </c>
      <c r="F703" s="6">
        <f ca="1">IFERROR(__xludf.DUMMYFUNCTION("""COMPUTED_VALUE"""),3534.22)</f>
        <v>3534.22</v>
      </c>
      <c r="J703" s="6" t="str">
        <f t="shared" ca="1" si="183"/>
        <v>202010</v>
      </c>
      <c r="K703" s="6">
        <f t="shared" ca="1" si="184"/>
        <v>2020</v>
      </c>
      <c r="L703" s="6">
        <f t="shared" ca="1" si="185"/>
        <v>10</v>
      </c>
      <c r="M703" s="68">
        <f ca="1">IFERROR(__xludf.DUMMYFUNCTION("""COMPUTED_VALUE"""),44110.6666666666)</f>
        <v>44110.666666666599</v>
      </c>
      <c r="N703" s="6">
        <f ca="1">IFERROR(__xludf.DUMMYFUNCTION("""COMPUTED_VALUE"""),11154.6)</f>
        <v>11154.6</v>
      </c>
      <c r="R703" s="6" t="str">
        <f t="shared" ca="1" si="186"/>
        <v>202011</v>
      </c>
      <c r="S703" s="6">
        <f t="shared" ca="1" si="187"/>
        <v>2020</v>
      </c>
      <c r="T703" s="6">
        <f t="shared" ca="1" si="188"/>
        <v>11</v>
      </c>
      <c r="U703" s="68">
        <f ca="1">IFERROR(__xludf.DUMMYFUNCTION("""COMPUTED_VALUE"""),44147.6458333333)</f>
        <v>44147.645833333299</v>
      </c>
      <c r="V703" s="6">
        <f ca="1">IFERROR(__xludf.DUMMYFUNCTION("""COMPUTED_VALUE"""),2475.62)</f>
        <v>2475.62</v>
      </c>
      <c r="Z703" s="6" t="str">
        <f t="shared" ca="1" si="189"/>
        <v>20201</v>
      </c>
      <c r="AA703" s="6">
        <f t="shared" ca="1" si="190"/>
        <v>2020</v>
      </c>
      <c r="AB703" s="6">
        <f t="shared" ca="1" si="191"/>
        <v>1</v>
      </c>
      <c r="AC703" s="68">
        <f ca="1">IFERROR(__xludf.DUMMYFUNCTION("""COMPUTED_VALUE"""),43839.9986111111)</f>
        <v>43839.998611111099</v>
      </c>
      <c r="AD703" s="6">
        <f ca="1">IFERROR(__xludf.DUMMYFUNCTION("""COMPUTED_VALUE"""),1157.81)</f>
        <v>1157.81</v>
      </c>
      <c r="AH703" s="6" t="str">
        <f t="shared" ca="1" si="192"/>
        <v>201911</v>
      </c>
      <c r="AI703" s="6">
        <f t="shared" ca="1" si="193"/>
        <v>2019</v>
      </c>
      <c r="AJ703" s="6">
        <f t="shared" ca="1" si="194"/>
        <v>11</v>
      </c>
      <c r="AK703" s="68">
        <f ca="1">IFERROR(__xludf.DUMMYFUNCTION("""COMPUTED_VALUE"""),43795.9986111111)</f>
        <v>43795.998611111099</v>
      </c>
      <c r="AL703" s="6">
        <f ca="1">IFERROR(__xludf.DUMMYFUNCTION("""COMPUTED_VALUE"""),7170.994)</f>
        <v>7170.9939999999997</v>
      </c>
      <c r="AP703" s="6" t="str">
        <f t="shared" ca="1" si="195"/>
        <v>202010</v>
      </c>
      <c r="AQ703" s="6">
        <f t="shared" ca="1" si="196"/>
        <v>2020</v>
      </c>
      <c r="AR703" s="6">
        <f t="shared" ca="1" si="197"/>
        <v>10</v>
      </c>
      <c r="AS703" s="68">
        <f ca="1">IFERROR(__xludf.DUMMYFUNCTION("""COMPUTED_VALUE"""),44125.9986111111)</f>
        <v>44125.998611111099</v>
      </c>
      <c r="AT703" s="6">
        <f ca="1">IFERROR(__xludf.DUMMYFUNCTION("""COMPUTED_VALUE"""),1929.5)</f>
        <v>1929.5</v>
      </c>
    </row>
    <row r="704" spans="2:46" x14ac:dyDescent="0.35">
      <c r="B704" s="6" t="str">
        <f t="shared" ca="1" si="180"/>
        <v>202010</v>
      </c>
      <c r="C704" s="6">
        <f t="shared" ca="1" si="181"/>
        <v>2020</v>
      </c>
      <c r="D704" s="6">
        <f t="shared" ca="1" si="182"/>
        <v>10</v>
      </c>
      <c r="E704" s="68">
        <f ca="1">IFERROR(__xludf.DUMMYFUNCTION("""COMPUTED_VALUE"""),44117.6666666666)</f>
        <v>44117.666666666599</v>
      </c>
      <c r="F704" s="6">
        <f ca="1">IFERROR(__xludf.DUMMYFUNCTION("""COMPUTED_VALUE"""),3511.93)</f>
        <v>3511.93</v>
      </c>
      <c r="J704" s="6" t="str">
        <f t="shared" ca="1" si="183"/>
        <v>202010</v>
      </c>
      <c r="K704" s="6">
        <f t="shared" ca="1" si="184"/>
        <v>2020</v>
      </c>
      <c r="L704" s="6">
        <f t="shared" ca="1" si="185"/>
        <v>10</v>
      </c>
      <c r="M704" s="68">
        <f ca="1">IFERROR(__xludf.DUMMYFUNCTION("""COMPUTED_VALUE"""),44111.6666666666)</f>
        <v>44111.666666666599</v>
      </c>
      <c r="N704" s="6">
        <f ca="1">IFERROR(__xludf.DUMMYFUNCTION("""COMPUTED_VALUE"""),11364.6)</f>
        <v>11364.6</v>
      </c>
      <c r="R704" s="6" t="str">
        <f t="shared" ca="1" si="186"/>
        <v>202011</v>
      </c>
      <c r="S704" s="6">
        <f t="shared" ca="1" si="187"/>
        <v>2020</v>
      </c>
      <c r="T704" s="6">
        <f t="shared" ca="1" si="188"/>
        <v>11</v>
      </c>
      <c r="U704" s="68">
        <f ca="1">IFERROR(__xludf.DUMMYFUNCTION("""COMPUTED_VALUE"""),44148.6458333333)</f>
        <v>44148.645833333299</v>
      </c>
      <c r="V704" s="6">
        <f ca="1">IFERROR(__xludf.DUMMYFUNCTION("""COMPUTED_VALUE"""),2493.87)</f>
        <v>2493.87</v>
      </c>
      <c r="Z704" s="6" t="str">
        <f t="shared" ca="1" si="189"/>
        <v>20201</v>
      </c>
      <c r="AA704" s="6">
        <f t="shared" ca="1" si="190"/>
        <v>2020</v>
      </c>
      <c r="AB704" s="6">
        <f t="shared" ca="1" si="191"/>
        <v>1</v>
      </c>
      <c r="AC704" s="68">
        <f ca="1">IFERROR(__xludf.DUMMYFUNCTION("""COMPUTED_VALUE"""),43840.9986111111)</f>
        <v>43840.998611111099</v>
      </c>
      <c r="AD704" s="6">
        <f ca="1">IFERROR(__xludf.DUMMYFUNCTION("""COMPUTED_VALUE"""),1158.03)</f>
        <v>1158.03</v>
      </c>
      <c r="AH704" s="6" t="str">
        <f t="shared" ca="1" si="192"/>
        <v>201911</v>
      </c>
      <c r="AI704" s="6">
        <f t="shared" ca="1" si="193"/>
        <v>2019</v>
      </c>
      <c r="AJ704" s="6">
        <f t="shared" ca="1" si="194"/>
        <v>11</v>
      </c>
      <c r="AK704" s="68">
        <f ca="1">IFERROR(__xludf.DUMMYFUNCTION("""COMPUTED_VALUE"""),43796.9986111111)</f>
        <v>43796.998611111099</v>
      </c>
      <c r="AL704" s="6">
        <f ca="1">IFERROR(__xludf.DUMMYFUNCTION("""COMPUTED_VALUE"""),7530.074)</f>
        <v>7530.0739999999996</v>
      </c>
      <c r="AP704" s="6" t="str">
        <f t="shared" ca="1" si="195"/>
        <v>202010</v>
      </c>
      <c r="AQ704" s="6">
        <f t="shared" ca="1" si="196"/>
        <v>2020</v>
      </c>
      <c r="AR704" s="6">
        <f t="shared" ca="1" si="197"/>
        <v>10</v>
      </c>
      <c r="AS704" s="68">
        <f ca="1">IFERROR(__xludf.DUMMYFUNCTION("""COMPUTED_VALUE"""),44126.9986111111)</f>
        <v>44126.998611111099</v>
      </c>
      <c r="AT704" s="6">
        <f ca="1">IFERROR(__xludf.DUMMYFUNCTION("""COMPUTED_VALUE"""),1904.6)</f>
        <v>1904.6</v>
      </c>
    </row>
    <row r="705" spans="2:46" x14ac:dyDescent="0.35">
      <c r="B705" s="6" t="str">
        <f t="shared" ca="1" si="180"/>
        <v>202010</v>
      </c>
      <c r="C705" s="6">
        <f t="shared" ca="1" si="181"/>
        <v>2020</v>
      </c>
      <c r="D705" s="6">
        <f t="shared" ca="1" si="182"/>
        <v>10</v>
      </c>
      <c r="E705" s="68">
        <f ca="1">IFERROR(__xludf.DUMMYFUNCTION("""COMPUTED_VALUE"""),44118.6666666666)</f>
        <v>44118.666666666599</v>
      </c>
      <c r="F705" s="6">
        <f ca="1">IFERROR(__xludf.DUMMYFUNCTION("""COMPUTED_VALUE"""),3488.67)</f>
        <v>3488.67</v>
      </c>
      <c r="J705" s="6" t="str">
        <f t="shared" ca="1" si="183"/>
        <v>202010</v>
      </c>
      <c r="K705" s="6">
        <f t="shared" ca="1" si="184"/>
        <v>2020</v>
      </c>
      <c r="L705" s="6">
        <f t="shared" ca="1" si="185"/>
        <v>10</v>
      </c>
      <c r="M705" s="68">
        <f ca="1">IFERROR(__xludf.DUMMYFUNCTION("""COMPUTED_VALUE"""),44112.6666666666)</f>
        <v>44112.666666666599</v>
      </c>
      <c r="N705" s="6">
        <f ca="1">IFERROR(__xludf.DUMMYFUNCTION("""COMPUTED_VALUE"""),11420.98)</f>
        <v>11420.98</v>
      </c>
      <c r="R705" s="6" t="str">
        <f t="shared" ca="1" si="186"/>
        <v>202011</v>
      </c>
      <c r="S705" s="6">
        <f t="shared" ca="1" si="187"/>
        <v>2020</v>
      </c>
      <c r="T705" s="6">
        <f t="shared" ca="1" si="188"/>
        <v>11</v>
      </c>
      <c r="U705" s="68">
        <f ca="1">IFERROR(__xludf.DUMMYFUNCTION("""COMPUTED_VALUE"""),44151.6458333333)</f>
        <v>44151.645833333299</v>
      </c>
      <c r="V705" s="6">
        <f ca="1">IFERROR(__xludf.DUMMYFUNCTION("""COMPUTED_VALUE"""),2543.03)</f>
        <v>2543.0300000000002</v>
      </c>
      <c r="Z705" s="6" t="str">
        <f t="shared" ca="1" si="189"/>
        <v>20201</v>
      </c>
      <c r="AA705" s="6">
        <f t="shared" ca="1" si="190"/>
        <v>2020</v>
      </c>
      <c r="AB705" s="6">
        <f t="shared" ca="1" si="191"/>
        <v>1</v>
      </c>
      <c r="AC705" s="68">
        <f ca="1">IFERROR(__xludf.DUMMYFUNCTION("""COMPUTED_VALUE"""),43841.9986111111)</f>
        <v>43841.998611111099</v>
      </c>
      <c r="AD705" s="6">
        <f ca="1">IFERROR(__xludf.DUMMYFUNCTION("""COMPUTED_VALUE"""),1156.93)</f>
        <v>1156.93</v>
      </c>
      <c r="AH705" s="6" t="str">
        <f t="shared" ca="1" si="192"/>
        <v>201911</v>
      </c>
      <c r="AI705" s="6">
        <f t="shared" ca="1" si="193"/>
        <v>2019</v>
      </c>
      <c r="AJ705" s="6">
        <f t="shared" ca="1" si="194"/>
        <v>11</v>
      </c>
      <c r="AK705" s="68">
        <f ca="1">IFERROR(__xludf.DUMMYFUNCTION("""COMPUTED_VALUE"""),43797.9986111111)</f>
        <v>43797.998611111099</v>
      </c>
      <c r="AL705" s="6">
        <f ca="1">IFERROR(__xludf.DUMMYFUNCTION("""COMPUTED_VALUE"""),7439.147)</f>
        <v>7439.1469999999999</v>
      </c>
      <c r="AP705" s="6" t="str">
        <f t="shared" ca="1" si="195"/>
        <v>202010</v>
      </c>
      <c r="AQ705" s="6">
        <f t="shared" ca="1" si="196"/>
        <v>2020</v>
      </c>
      <c r="AR705" s="6">
        <f t="shared" ca="1" si="197"/>
        <v>10</v>
      </c>
      <c r="AS705" s="68">
        <f ca="1">IFERROR(__xludf.DUMMYFUNCTION("""COMPUTED_VALUE"""),44127.9986111111)</f>
        <v>44127.998611111099</v>
      </c>
      <c r="AT705" s="6">
        <f ca="1">IFERROR(__xludf.DUMMYFUNCTION("""COMPUTED_VALUE"""),1905.2)</f>
        <v>1905.2</v>
      </c>
    </row>
    <row r="706" spans="2:46" x14ac:dyDescent="0.35">
      <c r="B706" s="6" t="str">
        <f t="shared" ca="1" si="180"/>
        <v>202010</v>
      </c>
      <c r="C706" s="6">
        <f t="shared" ca="1" si="181"/>
        <v>2020</v>
      </c>
      <c r="D706" s="6">
        <f t="shared" ca="1" si="182"/>
        <v>10</v>
      </c>
      <c r="E706" s="68">
        <f ca="1">IFERROR(__xludf.DUMMYFUNCTION("""COMPUTED_VALUE"""),44119.6666666666)</f>
        <v>44119.666666666599</v>
      </c>
      <c r="F706" s="6">
        <f ca="1">IFERROR(__xludf.DUMMYFUNCTION("""COMPUTED_VALUE"""),3483.34)</f>
        <v>3483.34</v>
      </c>
      <c r="J706" s="6" t="str">
        <f t="shared" ca="1" si="183"/>
        <v>202010</v>
      </c>
      <c r="K706" s="6">
        <f t="shared" ca="1" si="184"/>
        <v>2020</v>
      </c>
      <c r="L706" s="6">
        <f t="shared" ca="1" si="185"/>
        <v>10</v>
      </c>
      <c r="M706" s="68">
        <f ca="1">IFERROR(__xludf.DUMMYFUNCTION("""COMPUTED_VALUE"""),44113.6666666666)</f>
        <v>44113.666666666599</v>
      </c>
      <c r="N706" s="6">
        <f ca="1">IFERROR(__xludf.DUMMYFUNCTION("""COMPUTED_VALUE"""),11579.94)</f>
        <v>11579.94</v>
      </c>
      <c r="R706" s="6" t="str">
        <f t="shared" ca="1" si="186"/>
        <v>202011</v>
      </c>
      <c r="S706" s="6">
        <f t="shared" ca="1" si="187"/>
        <v>2020</v>
      </c>
      <c r="T706" s="6">
        <f t="shared" ca="1" si="188"/>
        <v>11</v>
      </c>
      <c r="U706" s="68">
        <f ca="1">IFERROR(__xludf.DUMMYFUNCTION("""COMPUTED_VALUE"""),44152.6458333333)</f>
        <v>44152.645833333299</v>
      </c>
      <c r="V706" s="6">
        <f ca="1">IFERROR(__xludf.DUMMYFUNCTION("""COMPUTED_VALUE"""),2539.15)</f>
        <v>2539.15</v>
      </c>
      <c r="Z706" s="6" t="str">
        <f t="shared" ca="1" si="189"/>
        <v>20201</v>
      </c>
      <c r="AA706" s="6">
        <f t="shared" ca="1" si="190"/>
        <v>2020</v>
      </c>
      <c r="AB706" s="6">
        <f t="shared" ca="1" si="191"/>
        <v>1</v>
      </c>
      <c r="AC706" s="68">
        <f ca="1">IFERROR(__xludf.DUMMYFUNCTION("""COMPUTED_VALUE"""),43842.9986111111)</f>
        <v>43842.998611111099</v>
      </c>
      <c r="AD706" s="6">
        <f ca="1">IFERROR(__xludf.DUMMYFUNCTION("""COMPUTED_VALUE"""),1156.93)</f>
        <v>1156.93</v>
      </c>
      <c r="AH706" s="6" t="str">
        <f t="shared" ca="1" si="192"/>
        <v>201911</v>
      </c>
      <c r="AI706" s="6">
        <f t="shared" ca="1" si="193"/>
        <v>2019</v>
      </c>
      <c r="AJ706" s="6">
        <f t="shared" ca="1" si="194"/>
        <v>11</v>
      </c>
      <c r="AK706" s="68">
        <f ca="1">IFERROR(__xludf.DUMMYFUNCTION("""COMPUTED_VALUE"""),43798.9986111111)</f>
        <v>43798.998611111099</v>
      </c>
      <c r="AL706" s="6">
        <f ca="1">IFERROR(__xludf.DUMMYFUNCTION("""COMPUTED_VALUE"""),7771.982)</f>
        <v>7771.982</v>
      </c>
      <c r="AP706" s="6" t="str">
        <f t="shared" ca="1" si="195"/>
        <v>202010</v>
      </c>
      <c r="AQ706" s="6">
        <f t="shared" ca="1" si="196"/>
        <v>2020</v>
      </c>
      <c r="AR706" s="6">
        <f t="shared" ca="1" si="197"/>
        <v>10</v>
      </c>
      <c r="AS706" s="68">
        <f ca="1">IFERROR(__xludf.DUMMYFUNCTION("""COMPUTED_VALUE"""),44130.9986111111)</f>
        <v>44130.998611111099</v>
      </c>
      <c r="AT706" s="6">
        <f ca="1">IFERROR(__xludf.DUMMYFUNCTION("""COMPUTED_VALUE"""),1905.7)</f>
        <v>1905.7</v>
      </c>
    </row>
    <row r="707" spans="2:46" x14ac:dyDescent="0.35">
      <c r="B707" s="6" t="str">
        <f t="shared" ca="1" si="180"/>
        <v>202010</v>
      </c>
      <c r="C707" s="6">
        <f t="shared" ca="1" si="181"/>
        <v>2020</v>
      </c>
      <c r="D707" s="6">
        <f t="shared" ca="1" si="182"/>
        <v>10</v>
      </c>
      <c r="E707" s="68">
        <f ca="1">IFERROR(__xludf.DUMMYFUNCTION("""COMPUTED_VALUE"""),44120.6666666666)</f>
        <v>44120.666666666599</v>
      </c>
      <c r="F707" s="6">
        <f ca="1">IFERROR(__xludf.DUMMYFUNCTION("""COMPUTED_VALUE"""),3483.81)</f>
        <v>3483.81</v>
      </c>
      <c r="J707" s="6" t="str">
        <f t="shared" ca="1" si="183"/>
        <v>202010</v>
      </c>
      <c r="K707" s="6">
        <f t="shared" ca="1" si="184"/>
        <v>2020</v>
      </c>
      <c r="L707" s="6">
        <f t="shared" ca="1" si="185"/>
        <v>10</v>
      </c>
      <c r="M707" s="68">
        <f ca="1">IFERROR(__xludf.DUMMYFUNCTION("""COMPUTED_VALUE"""),44116.6666666666)</f>
        <v>44116.666666666599</v>
      </c>
      <c r="N707" s="6">
        <f ca="1">IFERROR(__xludf.DUMMYFUNCTION("""COMPUTED_VALUE"""),11876.26)</f>
        <v>11876.26</v>
      </c>
      <c r="R707" s="6" t="str">
        <f t="shared" ca="1" si="186"/>
        <v>202011</v>
      </c>
      <c r="S707" s="6">
        <f t="shared" ca="1" si="187"/>
        <v>2020</v>
      </c>
      <c r="T707" s="6">
        <f t="shared" ca="1" si="188"/>
        <v>11</v>
      </c>
      <c r="U707" s="68">
        <f ca="1">IFERROR(__xludf.DUMMYFUNCTION("""COMPUTED_VALUE"""),44153.6458333333)</f>
        <v>44153.645833333299</v>
      </c>
      <c r="V707" s="6">
        <f ca="1">IFERROR(__xludf.DUMMYFUNCTION("""COMPUTED_VALUE"""),2545.64)</f>
        <v>2545.64</v>
      </c>
      <c r="Z707" s="6" t="str">
        <f t="shared" ca="1" si="189"/>
        <v>20201</v>
      </c>
      <c r="AA707" s="6">
        <f t="shared" ca="1" si="190"/>
        <v>2020</v>
      </c>
      <c r="AB707" s="6">
        <f t="shared" ca="1" si="191"/>
        <v>1</v>
      </c>
      <c r="AC707" s="68">
        <f ca="1">IFERROR(__xludf.DUMMYFUNCTION("""COMPUTED_VALUE"""),43843.9986111111)</f>
        <v>43843.998611111099</v>
      </c>
      <c r="AD707" s="6">
        <f ca="1">IFERROR(__xludf.DUMMYFUNCTION("""COMPUTED_VALUE"""),1153.94)</f>
        <v>1153.94</v>
      </c>
      <c r="AH707" s="6" t="str">
        <f t="shared" ca="1" si="192"/>
        <v>201911</v>
      </c>
      <c r="AI707" s="6">
        <f t="shared" ca="1" si="193"/>
        <v>2019</v>
      </c>
      <c r="AJ707" s="6">
        <f t="shared" ca="1" si="194"/>
        <v>11</v>
      </c>
      <c r="AK707" s="68">
        <f ca="1">IFERROR(__xludf.DUMMYFUNCTION("""COMPUTED_VALUE"""),43799.9986111111)</f>
        <v>43799.998611111099</v>
      </c>
      <c r="AL707" s="6">
        <f ca="1">IFERROR(__xludf.DUMMYFUNCTION("""COMPUTED_VALUE"""),7573.91)</f>
        <v>7573.91</v>
      </c>
      <c r="AP707" s="6" t="str">
        <f t="shared" ca="1" si="195"/>
        <v>202010</v>
      </c>
      <c r="AQ707" s="6">
        <f t="shared" ca="1" si="196"/>
        <v>2020</v>
      </c>
      <c r="AR707" s="6">
        <f t="shared" ca="1" si="197"/>
        <v>10</v>
      </c>
      <c r="AS707" s="68">
        <f ca="1">IFERROR(__xludf.DUMMYFUNCTION("""COMPUTED_VALUE"""),44131.9986111111)</f>
        <v>44131.998611111099</v>
      </c>
      <c r="AT707" s="6">
        <f ca="1">IFERROR(__xludf.DUMMYFUNCTION("""COMPUTED_VALUE"""),1911.9)</f>
        <v>1911.9</v>
      </c>
    </row>
    <row r="708" spans="2:46" x14ac:dyDescent="0.35">
      <c r="B708" s="6" t="str">
        <f t="shared" ca="1" si="180"/>
        <v>202010</v>
      </c>
      <c r="C708" s="6">
        <f t="shared" ca="1" si="181"/>
        <v>2020</v>
      </c>
      <c r="D708" s="6">
        <f t="shared" ca="1" si="182"/>
        <v>10</v>
      </c>
      <c r="E708" s="68">
        <f ca="1">IFERROR(__xludf.DUMMYFUNCTION("""COMPUTED_VALUE"""),44123.6666666666)</f>
        <v>44123.666666666599</v>
      </c>
      <c r="F708" s="6">
        <f ca="1">IFERROR(__xludf.DUMMYFUNCTION("""COMPUTED_VALUE"""),3426.92)</f>
        <v>3426.92</v>
      </c>
      <c r="J708" s="6" t="str">
        <f t="shared" ca="1" si="183"/>
        <v>202010</v>
      </c>
      <c r="K708" s="6">
        <f t="shared" ca="1" si="184"/>
        <v>2020</v>
      </c>
      <c r="L708" s="6">
        <f t="shared" ca="1" si="185"/>
        <v>10</v>
      </c>
      <c r="M708" s="68">
        <f ca="1">IFERROR(__xludf.DUMMYFUNCTION("""COMPUTED_VALUE"""),44117.6666666666)</f>
        <v>44117.666666666599</v>
      </c>
      <c r="N708" s="6">
        <f ca="1">IFERROR(__xludf.DUMMYFUNCTION("""COMPUTED_VALUE"""),11863.9)</f>
        <v>11863.9</v>
      </c>
      <c r="R708" s="6" t="str">
        <f t="shared" ca="1" si="186"/>
        <v>202011</v>
      </c>
      <c r="S708" s="6">
        <f t="shared" ca="1" si="187"/>
        <v>2020</v>
      </c>
      <c r="T708" s="6">
        <f t="shared" ca="1" si="188"/>
        <v>11</v>
      </c>
      <c r="U708" s="68">
        <f ca="1">IFERROR(__xludf.DUMMYFUNCTION("""COMPUTED_VALUE"""),44154.6458333333)</f>
        <v>44154.645833333299</v>
      </c>
      <c r="V708" s="6">
        <f ca="1">IFERROR(__xludf.DUMMYFUNCTION("""COMPUTED_VALUE"""),2547.42)</f>
        <v>2547.42</v>
      </c>
      <c r="Z708" s="6" t="str">
        <f t="shared" ca="1" si="189"/>
        <v>20201</v>
      </c>
      <c r="AA708" s="6">
        <f t="shared" ca="1" si="190"/>
        <v>2020</v>
      </c>
      <c r="AB708" s="6">
        <f t="shared" ca="1" si="191"/>
        <v>1</v>
      </c>
      <c r="AC708" s="68">
        <f ca="1">IFERROR(__xludf.DUMMYFUNCTION("""COMPUTED_VALUE"""),43844.9986111111)</f>
        <v>43844.998611111099</v>
      </c>
      <c r="AD708" s="6">
        <f ca="1">IFERROR(__xludf.DUMMYFUNCTION("""COMPUTED_VALUE"""),1157.05)</f>
        <v>1157.05</v>
      </c>
      <c r="AH708" s="6" t="str">
        <f t="shared" ca="1" si="192"/>
        <v>201912</v>
      </c>
      <c r="AI708" s="6">
        <f t="shared" ca="1" si="193"/>
        <v>2019</v>
      </c>
      <c r="AJ708" s="6">
        <f t="shared" ca="1" si="194"/>
        <v>12</v>
      </c>
      <c r="AK708" s="68">
        <f ca="1">IFERROR(__xludf.DUMMYFUNCTION("""COMPUTED_VALUE"""),43800.9986111111)</f>
        <v>43800.998611111099</v>
      </c>
      <c r="AL708" s="6">
        <f ca="1">IFERROR(__xludf.DUMMYFUNCTION("""COMPUTED_VALUE"""),7417.492)</f>
        <v>7417.4920000000002</v>
      </c>
      <c r="AP708" s="6" t="str">
        <f t="shared" ca="1" si="195"/>
        <v>202010</v>
      </c>
      <c r="AQ708" s="6">
        <f t="shared" ca="1" si="196"/>
        <v>2020</v>
      </c>
      <c r="AR708" s="6">
        <f t="shared" ca="1" si="197"/>
        <v>10</v>
      </c>
      <c r="AS708" s="68">
        <f ca="1">IFERROR(__xludf.DUMMYFUNCTION("""COMPUTED_VALUE"""),44132.9986111111)</f>
        <v>44132.998611111099</v>
      </c>
      <c r="AT708" s="6">
        <f ca="1">IFERROR(__xludf.DUMMYFUNCTION("""COMPUTED_VALUE"""),1879.2)</f>
        <v>1879.2</v>
      </c>
    </row>
    <row r="709" spans="2:46" x14ac:dyDescent="0.35">
      <c r="B709" s="6" t="str">
        <f t="shared" ca="1" si="180"/>
        <v>202010</v>
      </c>
      <c r="C709" s="6">
        <f t="shared" ca="1" si="181"/>
        <v>2020</v>
      </c>
      <c r="D709" s="6">
        <f t="shared" ca="1" si="182"/>
        <v>10</v>
      </c>
      <c r="E709" s="68">
        <f ca="1">IFERROR(__xludf.DUMMYFUNCTION("""COMPUTED_VALUE"""),44124.6666666666)</f>
        <v>44124.666666666599</v>
      </c>
      <c r="F709" s="6">
        <f ca="1">IFERROR(__xludf.DUMMYFUNCTION("""COMPUTED_VALUE"""),3443.12)</f>
        <v>3443.12</v>
      </c>
      <c r="J709" s="6" t="str">
        <f t="shared" ca="1" si="183"/>
        <v>202010</v>
      </c>
      <c r="K709" s="6">
        <f t="shared" ca="1" si="184"/>
        <v>2020</v>
      </c>
      <c r="L709" s="6">
        <f t="shared" ca="1" si="185"/>
        <v>10</v>
      </c>
      <c r="M709" s="68">
        <f ca="1">IFERROR(__xludf.DUMMYFUNCTION("""COMPUTED_VALUE"""),44118.6666666666)</f>
        <v>44118.666666666599</v>
      </c>
      <c r="N709" s="6">
        <f ca="1">IFERROR(__xludf.DUMMYFUNCTION("""COMPUTED_VALUE"""),11768.73)</f>
        <v>11768.73</v>
      </c>
      <c r="R709" s="6" t="str">
        <f t="shared" ca="1" si="186"/>
        <v>202011</v>
      </c>
      <c r="S709" s="6">
        <f t="shared" ca="1" si="187"/>
        <v>2020</v>
      </c>
      <c r="T709" s="6">
        <f t="shared" ca="1" si="188"/>
        <v>11</v>
      </c>
      <c r="U709" s="68">
        <f ca="1">IFERROR(__xludf.DUMMYFUNCTION("""COMPUTED_VALUE"""),44155.6458333333)</f>
        <v>44155.645833333299</v>
      </c>
      <c r="V709" s="6">
        <f ca="1">IFERROR(__xludf.DUMMYFUNCTION("""COMPUTED_VALUE"""),2553.5)</f>
        <v>2553.5</v>
      </c>
      <c r="Z709" s="6" t="str">
        <f t="shared" ca="1" si="189"/>
        <v>20201</v>
      </c>
      <c r="AA709" s="6">
        <f t="shared" ca="1" si="190"/>
        <v>2020</v>
      </c>
      <c r="AB709" s="6">
        <f t="shared" ca="1" si="191"/>
        <v>1</v>
      </c>
      <c r="AC709" s="68">
        <f ca="1">IFERROR(__xludf.DUMMYFUNCTION("""COMPUTED_VALUE"""),43845.9986111111)</f>
        <v>43845.998611111099</v>
      </c>
      <c r="AD709" s="6">
        <f ca="1">IFERROR(__xludf.DUMMYFUNCTION("""COMPUTED_VALUE"""),1156.78)</f>
        <v>1156.78</v>
      </c>
      <c r="AH709" s="6" t="str">
        <f t="shared" ca="1" si="192"/>
        <v>201912</v>
      </c>
      <c r="AI709" s="6">
        <f t="shared" ca="1" si="193"/>
        <v>2019</v>
      </c>
      <c r="AJ709" s="6">
        <f t="shared" ca="1" si="194"/>
        <v>12</v>
      </c>
      <c r="AK709" s="68">
        <f ca="1">IFERROR(__xludf.DUMMYFUNCTION("""COMPUTED_VALUE"""),43801.9986111111)</f>
        <v>43801.998611111099</v>
      </c>
      <c r="AL709" s="6">
        <f ca="1">IFERROR(__xludf.DUMMYFUNCTION("""COMPUTED_VALUE"""),7320.275)</f>
        <v>7320.2749999999996</v>
      </c>
      <c r="AP709" s="6" t="str">
        <f t="shared" ca="1" si="195"/>
        <v>202010</v>
      </c>
      <c r="AQ709" s="6">
        <f t="shared" ca="1" si="196"/>
        <v>2020</v>
      </c>
      <c r="AR709" s="6">
        <f t="shared" ca="1" si="197"/>
        <v>10</v>
      </c>
      <c r="AS709" s="68">
        <f ca="1">IFERROR(__xludf.DUMMYFUNCTION("""COMPUTED_VALUE"""),44133.9986111111)</f>
        <v>44133.998611111099</v>
      </c>
      <c r="AT709" s="6">
        <f ca="1">IFERROR(__xludf.DUMMYFUNCTION("""COMPUTED_VALUE"""),1868)</f>
        <v>1868</v>
      </c>
    </row>
    <row r="710" spans="2:46" x14ac:dyDescent="0.35">
      <c r="B710" s="6" t="str">
        <f t="shared" ca="1" si="180"/>
        <v>202010</v>
      </c>
      <c r="C710" s="6">
        <f t="shared" ca="1" si="181"/>
        <v>2020</v>
      </c>
      <c r="D710" s="6">
        <f t="shared" ca="1" si="182"/>
        <v>10</v>
      </c>
      <c r="E710" s="68">
        <f ca="1">IFERROR(__xludf.DUMMYFUNCTION("""COMPUTED_VALUE"""),44125.6666666666)</f>
        <v>44125.666666666599</v>
      </c>
      <c r="F710" s="6">
        <f ca="1">IFERROR(__xludf.DUMMYFUNCTION("""COMPUTED_VALUE"""),3435.56)</f>
        <v>3435.56</v>
      </c>
      <c r="J710" s="6" t="str">
        <f t="shared" ca="1" si="183"/>
        <v>202010</v>
      </c>
      <c r="K710" s="6">
        <f t="shared" ca="1" si="184"/>
        <v>2020</v>
      </c>
      <c r="L710" s="6">
        <f t="shared" ca="1" si="185"/>
        <v>10</v>
      </c>
      <c r="M710" s="68">
        <f ca="1">IFERROR(__xludf.DUMMYFUNCTION("""COMPUTED_VALUE"""),44119.6666666666)</f>
        <v>44119.666666666599</v>
      </c>
      <c r="N710" s="6">
        <f ca="1">IFERROR(__xludf.DUMMYFUNCTION("""COMPUTED_VALUE"""),11713.87)</f>
        <v>11713.87</v>
      </c>
      <c r="R710" s="6" t="str">
        <f t="shared" ca="1" si="186"/>
        <v>202011</v>
      </c>
      <c r="S710" s="6">
        <f t="shared" ca="1" si="187"/>
        <v>2020</v>
      </c>
      <c r="T710" s="6">
        <f t="shared" ca="1" si="188"/>
        <v>11</v>
      </c>
      <c r="U710" s="68">
        <f ca="1">IFERROR(__xludf.DUMMYFUNCTION("""COMPUTED_VALUE"""),44158.6458333333)</f>
        <v>44158.645833333299</v>
      </c>
      <c r="V710" s="6">
        <f ca="1">IFERROR(__xludf.DUMMYFUNCTION("""COMPUTED_VALUE"""),2602.59)</f>
        <v>2602.59</v>
      </c>
      <c r="Z710" s="6" t="str">
        <f t="shared" ca="1" si="189"/>
        <v>20201</v>
      </c>
      <c r="AA710" s="6">
        <f t="shared" ca="1" si="190"/>
        <v>2020</v>
      </c>
      <c r="AB710" s="6">
        <f t="shared" ca="1" si="191"/>
        <v>1</v>
      </c>
      <c r="AC710" s="68">
        <f ca="1">IFERROR(__xludf.DUMMYFUNCTION("""COMPUTED_VALUE"""),43846.9986111111)</f>
        <v>43846.998611111099</v>
      </c>
      <c r="AD710" s="6">
        <f ca="1">IFERROR(__xludf.DUMMYFUNCTION("""COMPUTED_VALUE"""),1158.77)</f>
        <v>1158.77</v>
      </c>
      <c r="AH710" s="6" t="str">
        <f t="shared" ca="1" si="192"/>
        <v>201912</v>
      </c>
      <c r="AI710" s="6">
        <f t="shared" ca="1" si="193"/>
        <v>2019</v>
      </c>
      <c r="AJ710" s="6">
        <f t="shared" ca="1" si="194"/>
        <v>12</v>
      </c>
      <c r="AK710" s="68">
        <f ca="1">IFERROR(__xludf.DUMMYFUNCTION("""COMPUTED_VALUE"""),43802.9986111111)</f>
        <v>43802.998611111099</v>
      </c>
      <c r="AL710" s="6">
        <f ca="1">IFERROR(__xludf.DUMMYFUNCTION("""COMPUTED_VALUE"""),7309.502)</f>
        <v>7309.5020000000004</v>
      </c>
      <c r="AP710" s="6" t="str">
        <f t="shared" ca="1" si="195"/>
        <v>202010</v>
      </c>
      <c r="AQ710" s="6">
        <f t="shared" ca="1" si="196"/>
        <v>2020</v>
      </c>
      <c r="AR710" s="6">
        <f t="shared" ca="1" si="197"/>
        <v>10</v>
      </c>
      <c r="AS710" s="68">
        <f ca="1">IFERROR(__xludf.DUMMYFUNCTION("""COMPUTED_VALUE"""),44134.9986111111)</f>
        <v>44134.998611111099</v>
      </c>
      <c r="AT710" s="6">
        <f ca="1">IFERROR(__xludf.DUMMYFUNCTION("""COMPUTED_VALUE"""),1879.9)</f>
        <v>1879.9</v>
      </c>
    </row>
    <row r="711" spans="2:46" x14ac:dyDescent="0.35">
      <c r="B711" s="6" t="str">
        <f t="shared" ref="B711:B774" ca="1" si="198">C711&amp;D711</f>
        <v>202010</v>
      </c>
      <c r="C711" s="6">
        <f t="shared" ref="C711:C774" ca="1" si="199">YEAR(E711)</f>
        <v>2020</v>
      </c>
      <c r="D711" s="6">
        <f t="shared" ref="D711:D774" ca="1" si="200">MONTH(E711)</f>
        <v>10</v>
      </c>
      <c r="E711" s="68">
        <f ca="1">IFERROR(__xludf.DUMMYFUNCTION("""COMPUTED_VALUE"""),44126.6666666666)</f>
        <v>44126.666666666599</v>
      </c>
      <c r="F711" s="6">
        <f ca="1">IFERROR(__xludf.DUMMYFUNCTION("""COMPUTED_VALUE"""),3453.49)</f>
        <v>3453.49</v>
      </c>
      <c r="J711" s="6" t="str">
        <f t="shared" ref="J711:J774" ca="1" si="201">K711&amp;L711</f>
        <v>202010</v>
      </c>
      <c r="K711" s="6">
        <f t="shared" ref="K711:K774" ca="1" si="202">YEAR(M711)</f>
        <v>2020</v>
      </c>
      <c r="L711" s="6">
        <f t="shared" ref="L711:L774" ca="1" si="203">MONTH(M711)</f>
        <v>10</v>
      </c>
      <c r="M711" s="68">
        <f ca="1">IFERROR(__xludf.DUMMYFUNCTION("""COMPUTED_VALUE"""),44120.6666666666)</f>
        <v>44120.666666666599</v>
      </c>
      <c r="N711" s="6">
        <f ca="1">IFERROR(__xludf.DUMMYFUNCTION("""COMPUTED_VALUE"""),11671.56)</f>
        <v>11671.56</v>
      </c>
      <c r="R711" s="6" t="str">
        <f t="shared" ref="R711:R774" ca="1" si="204">S711&amp;T711</f>
        <v>202011</v>
      </c>
      <c r="S711" s="6">
        <f t="shared" ref="S711:S774" ca="1" si="205">YEAR(U711)</f>
        <v>2020</v>
      </c>
      <c r="T711" s="6">
        <f t="shared" ref="T711:T774" ca="1" si="206">MONTH(U711)</f>
        <v>11</v>
      </c>
      <c r="U711" s="68">
        <f ca="1">IFERROR(__xludf.DUMMYFUNCTION("""COMPUTED_VALUE"""),44159.6458333333)</f>
        <v>44159.645833333299</v>
      </c>
      <c r="V711" s="6">
        <f ca="1">IFERROR(__xludf.DUMMYFUNCTION("""COMPUTED_VALUE"""),2617.76)</f>
        <v>2617.7600000000002</v>
      </c>
      <c r="Z711" s="6" t="str">
        <f t="shared" ref="Z711:Z774" ca="1" si="207">AA711&amp;AB711</f>
        <v>20201</v>
      </c>
      <c r="AA711" s="6">
        <f t="shared" ref="AA711:AA774" ca="1" si="208">YEAR(AC711)</f>
        <v>2020</v>
      </c>
      <c r="AB711" s="6">
        <f t="shared" ref="AB711:AB774" ca="1" si="209">MONTH(AC711)</f>
        <v>1</v>
      </c>
      <c r="AC711" s="68">
        <f ca="1">IFERROR(__xludf.DUMMYFUNCTION("""COMPUTED_VALUE"""),43847.9986111111)</f>
        <v>43847.998611111099</v>
      </c>
      <c r="AD711" s="6">
        <f ca="1">IFERROR(__xludf.DUMMYFUNCTION("""COMPUTED_VALUE"""),1160.36)</f>
        <v>1160.3599999999999</v>
      </c>
      <c r="AH711" s="6" t="str">
        <f t="shared" ref="AH711:AH774" ca="1" si="210">AI711&amp;AJ711</f>
        <v>201912</v>
      </c>
      <c r="AI711" s="6">
        <f t="shared" ref="AI711:AI774" ca="1" si="211">YEAR(AK711)</f>
        <v>2019</v>
      </c>
      <c r="AJ711" s="6">
        <f t="shared" ref="AJ711:AJ774" ca="1" si="212">MONTH(AK711)</f>
        <v>12</v>
      </c>
      <c r="AK711" s="68">
        <f ca="1">IFERROR(__xludf.DUMMYFUNCTION("""COMPUTED_VALUE"""),43803.9986111111)</f>
        <v>43803.998611111099</v>
      </c>
      <c r="AL711" s="6">
        <f ca="1">IFERROR(__xludf.DUMMYFUNCTION("""COMPUTED_VALUE"""),7206.325)</f>
        <v>7206.3249999999998</v>
      </c>
      <c r="AP711" s="6" t="str">
        <f t="shared" ref="AP711:AP774" ca="1" si="213">AQ711&amp;AR711</f>
        <v>202011</v>
      </c>
      <c r="AQ711" s="6">
        <f t="shared" ref="AQ711:AQ774" ca="1" si="214">YEAR(AS711)</f>
        <v>2020</v>
      </c>
      <c r="AR711" s="6">
        <f t="shared" ref="AR711:AR774" ca="1" si="215">MONTH(AS711)</f>
        <v>11</v>
      </c>
      <c r="AS711" s="68">
        <f ca="1">IFERROR(__xludf.DUMMYFUNCTION("""COMPUTED_VALUE"""),44137.9986111111)</f>
        <v>44137.998611111099</v>
      </c>
      <c r="AT711" s="6">
        <f ca="1">IFERROR(__xludf.DUMMYFUNCTION("""COMPUTED_VALUE"""),1892.5)</f>
        <v>1892.5</v>
      </c>
    </row>
    <row r="712" spans="2:46" x14ac:dyDescent="0.35">
      <c r="B712" s="6" t="str">
        <f t="shared" ca="1" si="198"/>
        <v>202010</v>
      </c>
      <c r="C712" s="6">
        <f t="shared" ca="1" si="199"/>
        <v>2020</v>
      </c>
      <c r="D712" s="6">
        <f t="shared" ca="1" si="200"/>
        <v>10</v>
      </c>
      <c r="E712" s="68">
        <f ca="1">IFERROR(__xludf.DUMMYFUNCTION("""COMPUTED_VALUE"""),44127.6666666666)</f>
        <v>44127.666666666599</v>
      </c>
      <c r="F712" s="6">
        <f ca="1">IFERROR(__xludf.DUMMYFUNCTION("""COMPUTED_VALUE"""),3465.39)</f>
        <v>3465.39</v>
      </c>
      <c r="J712" s="6" t="str">
        <f t="shared" ca="1" si="201"/>
        <v>202010</v>
      </c>
      <c r="K712" s="6">
        <f t="shared" ca="1" si="202"/>
        <v>2020</v>
      </c>
      <c r="L712" s="6">
        <f t="shared" ca="1" si="203"/>
        <v>10</v>
      </c>
      <c r="M712" s="68">
        <f ca="1">IFERROR(__xludf.DUMMYFUNCTION("""COMPUTED_VALUE"""),44123.6666666666)</f>
        <v>44123.666666666599</v>
      </c>
      <c r="N712" s="6">
        <f ca="1">IFERROR(__xludf.DUMMYFUNCTION("""COMPUTED_VALUE"""),11478.88)</f>
        <v>11478.88</v>
      </c>
      <c r="R712" s="6" t="str">
        <f t="shared" ca="1" si="204"/>
        <v>202011</v>
      </c>
      <c r="S712" s="6">
        <f t="shared" ca="1" si="205"/>
        <v>2020</v>
      </c>
      <c r="T712" s="6">
        <f t="shared" ca="1" si="206"/>
        <v>11</v>
      </c>
      <c r="U712" s="68">
        <f ca="1">IFERROR(__xludf.DUMMYFUNCTION("""COMPUTED_VALUE"""),44160.6458333333)</f>
        <v>44160.645833333299</v>
      </c>
      <c r="V712" s="6">
        <f ca="1">IFERROR(__xludf.DUMMYFUNCTION("""COMPUTED_VALUE"""),2601.54)</f>
        <v>2601.54</v>
      </c>
      <c r="Z712" s="6" t="str">
        <f t="shared" ca="1" si="207"/>
        <v>20201</v>
      </c>
      <c r="AA712" s="6">
        <f t="shared" ca="1" si="208"/>
        <v>2020</v>
      </c>
      <c r="AB712" s="6">
        <f t="shared" ca="1" si="209"/>
        <v>1</v>
      </c>
      <c r="AC712" s="68">
        <f ca="1">IFERROR(__xludf.DUMMYFUNCTION("""COMPUTED_VALUE"""),43848.9986111111)</f>
        <v>43848.998611111099</v>
      </c>
      <c r="AD712" s="6">
        <f ca="1">IFERROR(__xludf.DUMMYFUNCTION("""COMPUTED_VALUE"""),1160.36)</f>
        <v>1160.3599999999999</v>
      </c>
      <c r="AH712" s="6" t="str">
        <f t="shared" ca="1" si="210"/>
        <v>201912</v>
      </c>
      <c r="AI712" s="6">
        <f t="shared" ca="1" si="211"/>
        <v>2019</v>
      </c>
      <c r="AJ712" s="6">
        <f t="shared" ca="1" si="212"/>
        <v>12</v>
      </c>
      <c r="AK712" s="68">
        <f ca="1">IFERROR(__xludf.DUMMYFUNCTION("""COMPUTED_VALUE"""),43804.9986111111)</f>
        <v>43804.998611111099</v>
      </c>
      <c r="AL712" s="6">
        <f ca="1">IFERROR(__xludf.DUMMYFUNCTION("""COMPUTED_VALUE"""),7404.594)</f>
        <v>7404.5940000000001</v>
      </c>
      <c r="AP712" s="6" t="str">
        <f t="shared" ca="1" si="213"/>
        <v>202011</v>
      </c>
      <c r="AQ712" s="6">
        <f t="shared" ca="1" si="214"/>
        <v>2020</v>
      </c>
      <c r="AR712" s="6">
        <f t="shared" ca="1" si="215"/>
        <v>11</v>
      </c>
      <c r="AS712" s="68">
        <f ca="1">IFERROR(__xludf.DUMMYFUNCTION("""COMPUTED_VALUE"""),44138.9986111111)</f>
        <v>44138.998611111099</v>
      </c>
      <c r="AT712" s="6">
        <f ca="1">IFERROR(__xludf.DUMMYFUNCTION("""COMPUTED_VALUE"""),1910.4)</f>
        <v>1910.4</v>
      </c>
    </row>
    <row r="713" spans="2:46" x14ac:dyDescent="0.35">
      <c r="B713" s="6" t="str">
        <f t="shared" ca="1" si="198"/>
        <v>202010</v>
      </c>
      <c r="C713" s="6">
        <f t="shared" ca="1" si="199"/>
        <v>2020</v>
      </c>
      <c r="D713" s="6">
        <f t="shared" ca="1" si="200"/>
        <v>10</v>
      </c>
      <c r="E713" s="68">
        <f ca="1">IFERROR(__xludf.DUMMYFUNCTION("""COMPUTED_VALUE"""),44130.6666666666)</f>
        <v>44130.666666666599</v>
      </c>
      <c r="F713" s="6">
        <f ca="1">IFERROR(__xludf.DUMMYFUNCTION("""COMPUTED_VALUE"""),3400.97)</f>
        <v>3400.97</v>
      </c>
      <c r="J713" s="6" t="str">
        <f t="shared" ca="1" si="201"/>
        <v>202010</v>
      </c>
      <c r="K713" s="6">
        <f t="shared" ca="1" si="202"/>
        <v>2020</v>
      </c>
      <c r="L713" s="6">
        <f t="shared" ca="1" si="203"/>
        <v>10</v>
      </c>
      <c r="M713" s="68">
        <f ca="1">IFERROR(__xludf.DUMMYFUNCTION("""COMPUTED_VALUE"""),44124.6666666666)</f>
        <v>44124.666666666599</v>
      </c>
      <c r="N713" s="6">
        <f ca="1">IFERROR(__xludf.DUMMYFUNCTION("""COMPUTED_VALUE"""),11516.49)</f>
        <v>11516.49</v>
      </c>
      <c r="R713" s="6" t="str">
        <f t="shared" ca="1" si="204"/>
        <v>202011</v>
      </c>
      <c r="S713" s="6">
        <f t="shared" ca="1" si="205"/>
        <v>2020</v>
      </c>
      <c r="T713" s="6">
        <f t="shared" ca="1" si="206"/>
        <v>11</v>
      </c>
      <c r="U713" s="68">
        <f ca="1">IFERROR(__xludf.DUMMYFUNCTION("""COMPUTED_VALUE"""),44161.6458333333)</f>
        <v>44161.645833333299</v>
      </c>
      <c r="V713" s="6">
        <f ca="1">IFERROR(__xludf.DUMMYFUNCTION("""COMPUTED_VALUE"""),2625.91)</f>
        <v>2625.91</v>
      </c>
      <c r="Z713" s="6" t="str">
        <f t="shared" ca="1" si="207"/>
        <v>20201</v>
      </c>
      <c r="AA713" s="6">
        <f t="shared" ca="1" si="208"/>
        <v>2020</v>
      </c>
      <c r="AB713" s="6">
        <f t="shared" ca="1" si="209"/>
        <v>1</v>
      </c>
      <c r="AC713" s="68">
        <f ca="1">IFERROR(__xludf.DUMMYFUNCTION("""COMPUTED_VALUE"""),43849.9986111111)</f>
        <v>43849.998611111099</v>
      </c>
      <c r="AD713" s="6">
        <f ca="1">IFERROR(__xludf.DUMMYFUNCTION("""COMPUTED_VALUE"""),1160.36)</f>
        <v>1160.3599999999999</v>
      </c>
      <c r="AH713" s="6" t="str">
        <f t="shared" ca="1" si="210"/>
        <v>201912</v>
      </c>
      <c r="AI713" s="6">
        <f t="shared" ca="1" si="211"/>
        <v>2019</v>
      </c>
      <c r="AJ713" s="6">
        <f t="shared" ca="1" si="212"/>
        <v>12</v>
      </c>
      <c r="AK713" s="68">
        <f ca="1">IFERROR(__xludf.DUMMYFUNCTION("""COMPUTED_VALUE"""),43805.9986111111)</f>
        <v>43805.998611111099</v>
      </c>
      <c r="AL713" s="6">
        <f ca="1">IFERROR(__xludf.DUMMYFUNCTION("""COMPUTED_VALUE"""),7556.27)</f>
        <v>7556.27</v>
      </c>
      <c r="AP713" s="6" t="str">
        <f t="shared" ca="1" si="213"/>
        <v>202011</v>
      </c>
      <c r="AQ713" s="6">
        <f t="shared" ca="1" si="214"/>
        <v>2020</v>
      </c>
      <c r="AR713" s="6">
        <f t="shared" ca="1" si="215"/>
        <v>11</v>
      </c>
      <c r="AS713" s="68">
        <f ca="1">IFERROR(__xludf.DUMMYFUNCTION("""COMPUTED_VALUE"""),44139.9986111111)</f>
        <v>44139.998611111099</v>
      </c>
      <c r="AT713" s="6">
        <f ca="1">IFERROR(__xludf.DUMMYFUNCTION("""COMPUTED_VALUE"""),1896.2)</f>
        <v>1896.2</v>
      </c>
    </row>
    <row r="714" spans="2:46" x14ac:dyDescent="0.35">
      <c r="B714" s="6" t="str">
        <f t="shared" ca="1" si="198"/>
        <v>202010</v>
      </c>
      <c r="C714" s="6">
        <f t="shared" ca="1" si="199"/>
        <v>2020</v>
      </c>
      <c r="D714" s="6">
        <f t="shared" ca="1" si="200"/>
        <v>10</v>
      </c>
      <c r="E714" s="68">
        <f ca="1">IFERROR(__xludf.DUMMYFUNCTION("""COMPUTED_VALUE"""),44131.6666666666)</f>
        <v>44131.666666666599</v>
      </c>
      <c r="F714" s="6">
        <f ca="1">IFERROR(__xludf.DUMMYFUNCTION("""COMPUTED_VALUE"""),3390.68)</f>
        <v>3390.68</v>
      </c>
      <c r="J714" s="6" t="str">
        <f t="shared" ca="1" si="201"/>
        <v>202010</v>
      </c>
      <c r="K714" s="6">
        <f t="shared" ca="1" si="202"/>
        <v>2020</v>
      </c>
      <c r="L714" s="6">
        <f t="shared" ca="1" si="203"/>
        <v>10</v>
      </c>
      <c r="M714" s="68">
        <f ca="1">IFERROR(__xludf.DUMMYFUNCTION("""COMPUTED_VALUE"""),44125.6666666666)</f>
        <v>44125.666666666599</v>
      </c>
      <c r="N714" s="6">
        <f ca="1">IFERROR(__xludf.DUMMYFUNCTION("""COMPUTED_VALUE"""),11484.69)</f>
        <v>11484.69</v>
      </c>
      <c r="R714" s="6" t="str">
        <f t="shared" ca="1" si="204"/>
        <v>202011</v>
      </c>
      <c r="S714" s="6">
        <f t="shared" ca="1" si="205"/>
        <v>2020</v>
      </c>
      <c r="T714" s="6">
        <f t="shared" ca="1" si="206"/>
        <v>11</v>
      </c>
      <c r="U714" s="68">
        <f ca="1">IFERROR(__xludf.DUMMYFUNCTION("""COMPUTED_VALUE"""),44162.6458333333)</f>
        <v>44162.645833333299</v>
      </c>
      <c r="V714" s="6">
        <f ca="1">IFERROR(__xludf.DUMMYFUNCTION("""COMPUTED_VALUE"""),2633.45)</f>
        <v>2633.45</v>
      </c>
      <c r="Z714" s="6" t="str">
        <f t="shared" ca="1" si="207"/>
        <v>20201</v>
      </c>
      <c r="AA714" s="6">
        <f t="shared" ca="1" si="208"/>
        <v>2020</v>
      </c>
      <c r="AB714" s="6">
        <f t="shared" ca="1" si="209"/>
        <v>1</v>
      </c>
      <c r="AC714" s="68">
        <f ca="1">IFERROR(__xludf.DUMMYFUNCTION("""COMPUTED_VALUE"""),43850.9986111111)</f>
        <v>43850.998611111099</v>
      </c>
      <c r="AD714" s="6">
        <f ca="1">IFERROR(__xludf.DUMMYFUNCTION("""COMPUTED_VALUE"""),1157.57)</f>
        <v>1157.57</v>
      </c>
      <c r="AH714" s="6" t="str">
        <f t="shared" ca="1" si="210"/>
        <v>201912</v>
      </c>
      <c r="AI714" s="6">
        <f t="shared" ca="1" si="211"/>
        <v>2019</v>
      </c>
      <c r="AJ714" s="6">
        <f t="shared" ca="1" si="212"/>
        <v>12</v>
      </c>
      <c r="AK714" s="68">
        <f ca="1">IFERROR(__xludf.DUMMYFUNCTION("""COMPUTED_VALUE"""),43806.9986111111)</f>
        <v>43806.998611111099</v>
      </c>
      <c r="AL714" s="6">
        <f ca="1">IFERROR(__xludf.DUMMYFUNCTION("""COMPUTED_VALUE"""),7521.311)</f>
        <v>7521.3109999999997</v>
      </c>
      <c r="AP714" s="6" t="str">
        <f t="shared" ca="1" si="213"/>
        <v>202011</v>
      </c>
      <c r="AQ714" s="6">
        <f t="shared" ca="1" si="214"/>
        <v>2020</v>
      </c>
      <c r="AR714" s="6">
        <f t="shared" ca="1" si="215"/>
        <v>11</v>
      </c>
      <c r="AS714" s="68">
        <f ca="1">IFERROR(__xludf.DUMMYFUNCTION("""COMPUTED_VALUE"""),44140.9986111111)</f>
        <v>44140.998611111099</v>
      </c>
      <c r="AT714" s="6">
        <f ca="1">IFERROR(__xludf.DUMMYFUNCTION("""COMPUTED_VALUE"""),1946.8)</f>
        <v>1946.8</v>
      </c>
    </row>
    <row r="715" spans="2:46" x14ac:dyDescent="0.35">
      <c r="B715" s="6" t="str">
        <f t="shared" ca="1" si="198"/>
        <v>202010</v>
      </c>
      <c r="C715" s="6">
        <f t="shared" ca="1" si="199"/>
        <v>2020</v>
      </c>
      <c r="D715" s="6">
        <f t="shared" ca="1" si="200"/>
        <v>10</v>
      </c>
      <c r="E715" s="68">
        <f ca="1">IFERROR(__xludf.DUMMYFUNCTION("""COMPUTED_VALUE"""),44132.6666666666)</f>
        <v>44132.666666666599</v>
      </c>
      <c r="F715" s="6">
        <f ca="1">IFERROR(__xludf.DUMMYFUNCTION("""COMPUTED_VALUE"""),3271.03)</f>
        <v>3271.03</v>
      </c>
      <c r="J715" s="6" t="str">
        <f t="shared" ca="1" si="201"/>
        <v>202010</v>
      </c>
      <c r="K715" s="6">
        <f t="shared" ca="1" si="202"/>
        <v>2020</v>
      </c>
      <c r="L715" s="6">
        <f t="shared" ca="1" si="203"/>
        <v>10</v>
      </c>
      <c r="M715" s="68">
        <f ca="1">IFERROR(__xludf.DUMMYFUNCTION("""COMPUTED_VALUE"""),44126.6666666666)</f>
        <v>44126.666666666599</v>
      </c>
      <c r="N715" s="6">
        <f ca="1">IFERROR(__xludf.DUMMYFUNCTION("""COMPUTED_VALUE"""),11506.01)</f>
        <v>11506.01</v>
      </c>
      <c r="R715" s="6" t="str">
        <f t="shared" ca="1" si="204"/>
        <v>202011</v>
      </c>
      <c r="S715" s="6">
        <f t="shared" ca="1" si="205"/>
        <v>2020</v>
      </c>
      <c r="T715" s="6">
        <f t="shared" ca="1" si="206"/>
        <v>11</v>
      </c>
      <c r="U715" s="68">
        <f ca="1">IFERROR(__xludf.DUMMYFUNCTION("""COMPUTED_VALUE"""),44165.6458333333)</f>
        <v>44165.645833333299</v>
      </c>
      <c r="V715" s="6">
        <f ca="1">IFERROR(__xludf.DUMMYFUNCTION("""COMPUTED_VALUE"""),2591.34)</f>
        <v>2591.34</v>
      </c>
      <c r="Z715" s="6" t="str">
        <f t="shared" ca="1" si="207"/>
        <v>20201</v>
      </c>
      <c r="AA715" s="6">
        <f t="shared" ca="1" si="208"/>
        <v>2020</v>
      </c>
      <c r="AB715" s="6">
        <f t="shared" ca="1" si="209"/>
        <v>1</v>
      </c>
      <c r="AC715" s="68">
        <f ca="1">IFERROR(__xludf.DUMMYFUNCTION("""COMPUTED_VALUE"""),43851.9986111111)</f>
        <v>43851.998611111099</v>
      </c>
      <c r="AD715" s="6">
        <f ca="1">IFERROR(__xludf.DUMMYFUNCTION("""COMPUTED_VALUE"""),1168.74)</f>
        <v>1168.74</v>
      </c>
      <c r="AH715" s="6" t="str">
        <f t="shared" ca="1" si="210"/>
        <v>201912</v>
      </c>
      <c r="AI715" s="6">
        <f t="shared" ca="1" si="211"/>
        <v>2019</v>
      </c>
      <c r="AJ715" s="6">
        <f t="shared" ca="1" si="212"/>
        <v>12</v>
      </c>
      <c r="AK715" s="68">
        <f ca="1">IFERROR(__xludf.DUMMYFUNCTION("""COMPUTED_VALUE"""),43807.9986111111)</f>
        <v>43807.998611111099</v>
      </c>
      <c r="AL715" s="6">
        <f ca="1">IFERROR(__xludf.DUMMYFUNCTION("""COMPUTED_VALUE"""),7542.409)</f>
        <v>7542.4089999999997</v>
      </c>
      <c r="AP715" s="6" t="str">
        <f t="shared" ca="1" si="213"/>
        <v>202011</v>
      </c>
      <c r="AQ715" s="6">
        <f t="shared" ca="1" si="214"/>
        <v>2020</v>
      </c>
      <c r="AR715" s="6">
        <f t="shared" ca="1" si="215"/>
        <v>11</v>
      </c>
      <c r="AS715" s="68">
        <f ca="1">IFERROR(__xludf.DUMMYFUNCTION("""COMPUTED_VALUE"""),44141.9986111111)</f>
        <v>44141.998611111099</v>
      </c>
      <c r="AT715" s="6">
        <f ca="1">IFERROR(__xludf.DUMMYFUNCTION("""COMPUTED_VALUE"""),1951.7)</f>
        <v>1951.7</v>
      </c>
    </row>
    <row r="716" spans="2:46" x14ac:dyDescent="0.35">
      <c r="B716" s="6" t="str">
        <f t="shared" ca="1" si="198"/>
        <v>202010</v>
      </c>
      <c r="C716" s="6">
        <f t="shared" ca="1" si="199"/>
        <v>2020</v>
      </c>
      <c r="D716" s="6">
        <f t="shared" ca="1" si="200"/>
        <v>10</v>
      </c>
      <c r="E716" s="68">
        <f ca="1">IFERROR(__xludf.DUMMYFUNCTION("""COMPUTED_VALUE"""),44133.6666666666)</f>
        <v>44133.666666666599</v>
      </c>
      <c r="F716" s="6">
        <f ca="1">IFERROR(__xludf.DUMMYFUNCTION("""COMPUTED_VALUE"""),3310.11)</f>
        <v>3310.11</v>
      </c>
      <c r="J716" s="6" t="str">
        <f t="shared" ca="1" si="201"/>
        <v>202010</v>
      </c>
      <c r="K716" s="6">
        <f t="shared" ca="1" si="202"/>
        <v>2020</v>
      </c>
      <c r="L716" s="6">
        <f t="shared" ca="1" si="203"/>
        <v>10</v>
      </c>
      <c r="M716" s="68">
        <f ca="1">IFERROR(__xludf.DUMMYFUNCTION("""COMPUTED_VALUE"""),44127.6666666666)</f>
        <v>44127.666666666599</v>
      </c>
      <c r="N716" s="6">
        <f ca="1">IFERROR(__xludf.DUMMYFUNCTION("""COMPUTED_VALUE"""),11548.28)</f>
        <v>11548.28</v>
      </c>
      <c r="R716" s="6" t="str">
        <f t="shared" ca="1" si="204"/>
        <v>202012</v>
      </c>
      <c r="S716" s="6">
        <f t="shared" ca="1" si="205"/>
        <v>2020</v>
      </c>
      <c r="T716" s="6">
        <f t="shared" ca="1" si="206"/>
        <v>12</v>
      </c>
      <c r="U716" s="68">
        <f ca="1">IFERROR(__xludf.DUMMYFUNCTION("""COMPUTED_VALUE"""),44166.6458333333)</f>
        <v>44166.645833333299</v>
      </c>
      <c r="V716" s="6">
        <f ca="1">IFERROR(__xludf.DUMMYFUNCTION("""COMPUTED_VALUE"""),2634.25)</f>
        <v>2634.25</v>
      </c>
      <c r="Z716" s="6" t="str">
        <f t="shared" ca="1" si="207"/>
        <v>20201</v>
      </c>
      <c r="AA716" s="6">
        <f t="shared" ca="1" si="208"/>
        <v>2020</v>
      </c>
      <c r="AB716" s="6">
        <f t="shared" ca="1" si="209"/>
        <v>1</v>
      </c>
      <c r="AC716" s="68">
        <f ca="1">IFERROR(__xludf.DUMMYFUNCTION("""COMPUTED_VALUE"""),43852.9986111111)</f>
        <v>43852.998611111099</v>
      </c>
      <c r="AD716" s="6">
        <f ca="1">IFERROR(__xludf.DUMMYFUNCTION("""COMPUTED_VALUE"""),1163.73)</f>
        <v>1163.73</v>
      </c>
      <c r="AH716" s="6" t="str">
        <f t="shared" ca="1" si="210"/>
        <v>201912</v>
      </c>
      <c r="AI716" s="6">
        <f t="shared" ca="1" si="211"/>
        <v>2019</v>
      </c>
      <c r="AJ716" s="6">
        <f t="shared" ca="1" si="212"/>
        <v>12</v>
      </c>
      <c r="AK716" s="68">
        <f ca="1">IFERROR(__xludf.DUMMYFUNCTION("""COMPUTED_VALUE"""),43808.9986111111)</f>
        <v>43808.998611111099</v>
      </c>
      <c r="AL716" s="6">
        <f ca="1">IFERROR(__xludf.DUMMYFUNCTION("""COMPUTED_VALUE"""),7350.122)</f>
        <v>7350.1220000000003</v>
      </c>
      <c r="AP716" s="6" t="str">
        <f t="shared" ca="1" si="213"/>
        <v>202011</v>
      </c>
      <c r="AQ716" s="6">
        <f t="shared" ca="1" si="214"/>
        <v>2020</v>
      </c>
      <c r="AR716" s="6">
        <f t="shared" ca="1" si="215"/>
        <v>11</v>
      </c>
      <c r="AS716" s="68">
        <f ca="1">IFERROR(__xludf.DUMMYFUNCTION("""COMPUTED_VALUE"""),44144.9986111111)</f>
        <v>44144.998611111099</v>
      </c>
      <c r="AT716" s="6">
        <f ca="1">IFERROR(__xludf.DUMMYFUNCTION("""COMPUTED_VALUE"""),1854.4)</f>
        <v>1854.4</v>
      </c>
    </row>
    <row r="717" spans="2:46" x14ac:dyDescent="0.35">
      <c r="B717" s="6" t="str">
        <f t="shared" ca="1" si="198"/>
        <v>202010</v>
      </c>
      <c r="C717" s="6">
        <f t="shared" ca="1" si="199"/>
        <v>2020</v>
      </c>
      <c r="D717" s="6">
        <f t="shared" ca="1" si="200"/>
        <v>10</v>
      </c>
      <c r="E717" s="68">
        <f ca="1">IFERROR(__xludf.DUMMYFUNCTION("""COMPUTED_VALUE"""),44134.6666666666)</f>
        <v>44134.666666666599</v>
      </c>
      <c r="F717" s="6">
        <f ca="1">IFERROR(__xludf.DUMMYFUNCTION("""COMPUTED_VALUE"""),3269.96)</f>
        <v>3269.96</v>
      </c>
      <c r="J717" s="6" t="str">
        <f t="shared" ca="1" si="201"/>
        <v>202010</v>
      </c>
      <c r="K717" s="6">
        <f t="shared" ca="1" si="202"/>
        <v>2020</v>
      </c>
      <c r="L717" s="6">
        <f t="shared" ca="1" si="203"/>
        <v>10</v>
      </c>
      <c r="M717" s="68">
        <f ca="1">IFERROR(__xludf.DUMMYFUNCTION("""COMPUTED_VALUE"""),44130.6666666666)</f>
        <v>44130.666666666599</v>
      </c>
      <c r="N717" s="6">
        <f ca="1">IFERROR(__xludf.DUMMYFUNCTION("""COMPUTED_VALUE"""),11358.94)</f>
        <v>11358.94</v>
      </c>
      <c r="R717" s="6" t="str">
        <f t="shared" ca="1" si="204"/>
        <v>202012</v>
      </c>
      <c r="S717" s="6">
        <f t="shared" ca="1" si="205"/>
        <v>2020</v>
      </c>
      <c r="T717" s="6">
        <f t="shared" ca="1" si="206"/>
        <v>12</v>
      </c>
      <c r="U717" s="68">
        <f ca="1">IFERROR(__xludf.DUMMYFUNCTION("""COMPUTED_VALUE"""),44167.6458333333)</f>
        <v>44167.645833333299</v>
      </c>
      <c r="V717" s="6">
        <f ca="1">IFERROR(__xludf.DUMMYFUNCTION("""COMPUTED_VALUE"""),2675.9)</f>
        <v>2675.9</v>
      </c>
      <c r="Z717" s="6" t="str">
        <f t="shared" ca="1" si="207"/>
        <v>20201</v>
      </c>
      <c r="AA717" s="6">
        <f t="shared" ca="1" si="208"/>
        <v>2020</v>
      </c>
      <c r="AB717" s="6">
        <f t="shared" ca="1" si="209"/>
        <v>1</v>
      </c>
      <c r="AC717" s="68">
        <f ca="1">IFERROR(__xludf.DUMMYFUNCTION("""COMPUTED_VALUE"""),43853.9986111111)</f>
        <v>43853.998611111099</v>
      </c>
      <c r="AD717" s="6">
        <f ca="1">IFERROR(__xludf.DUMMYFUNCTION("""COMPUTED_VALUE"""),1167.6)</f>
        <v>1167.5999999999999</v>
      </c>
      <c r="AH717" s="6" t="str">
        <f t="shared" ca="1" si="210"/>
        <v>201912</v>
      </c>
      <c r="AI717" s="6">
        <f t="shared" ca="1" si="211"/>
        <v>2019</v>
      </c>
      <c r="AJ717" s="6">
        <f t="shared" ca="1" si="212"/>
        <v>12</v>
      </c>
      <c r="AK717" s="68">
        <f ca="1">IFERROR(__xludf.DUMMYFUNCTION("""COMPUTED_VALUE"""),43809.9986111111)</f>
        <v>43809.998611111099</v>
      </c>
      <c r="AL717" s="6">
        <f ca="1">IFERROR(__xludf.DUMMYFUNCTION("""COMPUTED_VALUE"""),7228.046)</f>
        <v>7228.0460000000003</v>
      </c>
      <c r="AP717" s="6" t="str">
        <f t="shared" ca="1" si="213"/>
        <v>202011</v>
      </c>
      <c r="AQ717" s="6">
        <f t="shared" ca="1" si="214"/>
        <v>2020</v>
      </c>
      <c r="AR717" s="6">
        <f t="shared" ca="1" si="215"/>
        <v>11</v>
      </c>
      <c r="AS717" s="68">
        <f ca="1">IFERROR(__xludf.DUMMYFUNCTION("""COMPUTED_VALUE"""),44145.9986111111)</f>
        <v>44145.998611111099</v>
      </c>
      <c r="AT717" s="6">
        <f ca="1">IFERROR(__xludf.DUMMYFUNCTION("""COMPUTED_VALUE"""),1876.4)</f>
        <v>1876.4</v>
      </c>
    </row>
    <row r="718" spans="2:46" x14ac:dyDescent="0.35">
      <c r="B718" s="6" t="str">
        <f t="shared" ca="1" si="198"/>
        <v>202011</v>
      </c>
      <c r="C718" s="6">
        <f t="shared" ca="1" si="199"/>
        <v>2020</v>
      </c>
      <c r="D718" s="6">
        <f t="shared" ca="1" si="200"/>
        <v>11</v>
      </c>
      <c r="E718" s="68">
        <f ca="1">IFERROR(__xludf.DUMMYFUNCTION("""COMPUTED_VALUE"""),44137.6666666666)</f>
        <v>44137.666666666599</v>
      </c>
      <c r="F718" s="6">
        <f ca="1">IFERROR(__xludf.DUMMYFUNCTION("""COMPUTED_VALUE"""),3310.24)</f>
        <v>3310.24</v>
      </c>
      <c r="J718" s="6" t="str">
        <f t="shared" ca="1" si="201"/>
        <v>202010</v>
      </c>
      <c r="K718" s="6">
        <f t="shared" ca="1" si="202"/>
        <v>2020</v>
      </c>
      <c r="L718" s="6">
        <f t="shared" ca="1" si="203"/>
        <v>10</v>
      </c>
      <c r="M718" s="68">
        <f ca="1">IFERROR(__xludf.DUMMYFUNCTION("""COMPUTED_VALUE"""),44131.6666666666)</f>
        <v>44131.666666666599</v>
      </c>
      <c r="N718" s="6">
        <f ca="1">IFERROR(__xludf.DUMMYFUNCTION("""COMPUTED_VALUE"""),11431.35)</f>
        <v>11431.35</v>
      </c>
      <c r="R718" s="6" t="str">
        <f t="shared" ca="1" si="204"/>
        <v>202012</v>
      </c>
      <c r="S718" s="6">
        <f t="shared" ca="1" si="205"/>
        <v>2020</v>
      </c>
      <c r="T718" s="6">
        <f t="shared" ca="1" si="206"/>
        <v>12</v>
      </c>
      <c r="U718" s="68">
        <f ca="1">IFERROR(__xludf.DUMMYFUNCTION("""COMPUTED_VALUE"""),44168.6458333333)</f>
        <v>44168.645833333299</v>
      </c>
      <c r="V718" s="6">
        <f ca="1">IFERROR(__xludf.DUMMYFUNCTION("""COMPUTED_VALUE"""),2696.22)</f>
        <v>2696.22</v>
      </c>
      <c r="Z718" s="6" t="str">
        <f t="shared" ca="1" si="207"/>
        <v>20201</v>
      </c>
      <c r="AA718" s="6">
        <f t="shared" ca="1" si="208"/>
        <v>2020</v>
      </c>
      <c r="AB718" s="6">
        <f t="shared" ca="1" si="209"/>
        <v>1</v>
      </c>
      <c r="AC718" s="68">
        <f ca="1">IFERROR(__xludf.DUMMYFUNCTION("""COMPUTED_VALUE"""),43854.9986111111)</f>
        <v>43854.998611111099</v>
      </c>
      <c r="AD718" s="6">
        <f ca="1">IFERROR(__xludf.DUMMYFUNCTION("""COMPUTED_VALUE"""),1169.15)</f>
        <v>1169.1500000000001</v>
      </c>
      <c r="AH718" s="6" t="str">
        <f t="shared" ca="1" si="210"/>
        <v>201912</v>
      </c>
      <c r="AI718" s="6">
        <f t="shared" ca="1" si="211"/>
        <v>2019</v>
      </c>
      <c r="AJ718" s="6">
        <f t="shared" ca="1" si="212"/>
        <v>12</v>
      </c>
      <c r="AK718" s="68">
        <f ca="1">IFERROR(__xludf.DUMMYFUNCTION("""COMPUTED_VALUE"""),43810.9986111111)</f>
        <v>43810.998611111099</v>
      </c>
      <c r="AL718" s="6">
        <f ca="1">IFERROR(__xludf.DUMMYFUNCTION("""COMPUTED_VALUE"""),7211.062)</f>
        <v>7211.0619999999999</v>
      </c>
      <c r="AP718" s="6" t="str">
        <f t="shared" ca="1" si="213"/>
        <v>202011</v>
      </c>
      <c r="AQ718" s="6">
        <f t="shared" ca="1" si="214"/>
        <v>2020</v>
      </c>
      <c r="AR718" s="6">
        <f t="shared" ca="1" si="215"/>
        <v>11</v>
      </c>
      <c r="AS718" s="68">
        <f ca="1">IFERROR(__xludf.DUMMYFUNCTION("""COMPUTED_VALUE"""),44146.9986111111)</f>
        <v>44146.998611111099</v>
      </c>
      <c r="AT718" s="6">
        <f ca="1">IFERROR(__xludf.DUMMYFUNCTION("""COMPUTED_VALUE"""),1861.6)</f>
        <v>1861.6</v>
      </c>
    </row>
    <row r="719" spans="2:46" x14ac:dyDescent="0.35">
      <c r="B719" s="6" t="str">
        <f t="shared" ca="1" si="198"/>
        <v>202011</v>
      </c>
      <c r="C719" s="6">
        <f t="shared" ca="1" si="199"/>
        <v>2020</v>
      </c>
      <c r="D719" s="6">
        <f t="shared" ca="1" si="200"/>
        <v>11</v>
      </c>
      <c r="E719" s="68">
        <f ca="1">IFERROR(__xludf.DUMMYFUNCTION("""COMPUTED_VALUE"""),44138.6666666666)</f>
        <v>44138.666666666599</v>
      </c>
      <c r="F719" s="6">
        <f ca="1">IFERROR(__xludf.DUMMYFUNCTION("""COMPUTED_VALUE"""),3369.02)</f>
        <v>3369.02</v>
      </c>
      <c r="J719" s="6" t="str">
        <f t="shared" ca="1" si="201"/>
        <v>202010</v>
      </c>
      <c r="K719" s="6">
        <f t="shared" ca="1" si="202"/>
        <v>2020</v>
      </c>
      <c r="L719" s="6">
        <f t="shared" ca="1" si="203"/>
        <v>10</v>
      </c>
      <c r="M719" s="68">
        <f ca="1">IFERROR(__xludf.DUMMYFUNCTION("""COMPUTED_VALUE"""),44132.6666666666)</f>
        <v>44132.666666666599</v>
      </c>
      <c r="N719" s="6">
        <f ca="1">IFERROR(__xludf.DUMMYFUNCTION("""COMPUTED_VALUE"""),11004.87)</f>
        <v>11004.87</v>
      </c>
      <c r="R719" s="6" t="str">
        <f t="shared" ca="1" si="204"/>
        <v>202012</v>
      </c>
      <c r="S719" s="6">
        <f t="shared" ca="1" si="205"/>
        <v>2020</v>
      </c>
      <c r="T719" s="6">
        <f t="shared" ca="1" si="206"/>
        <v>12</v>
      </c>
      <c r="U719" s="68">
        <f ca="1">IFERROR(__xludf.DUMMYFUNCTION("""COMPUTED_VALUE"""),44169.6458333333)</f>
        <v>44169.645833333299</v>
      </c>
      <c r="V719" s="6">
        <f ca="1">IFERROR(__xludf.DUMMYFUNCTION("""COMPUTED_VALUE"""),2731.45)</f>
        <v>2731.45</v>
      </c>
      <c r="Z719" s="6" t="str">
        <f t="shared" ca="1" si="207"/>
        <v>20201</v>
      </c>
      <c r="AA719" s="6">
        <f t="shared" ca="1" si="208"/>
        <v>2020</v>
      </c>
      <c r="AB719" s="6">
        <f t="shared" ca="1" si="209"/>
        <v>1</v>
      </c>
      <c r="AC719" s="68">
        <f ca="1">IFERROR(__xludf.DUMMYFUNCTION("""COMPUTED_VALUE"""),43855.9986111111)</f>
        <v>43855.998611111099</v>
      </c>
      <c r="AD719" s="6">
        <f ca="1">IFERROR(__xludf.DUMMYFUNCTION("""COMPUTED_VALUE"""),1169.15)</f>
        <v>1169.1500000000001</v>
      </c>
      <c r="AH719" s="6" t="str">
        <f t="shared" ca="1" si="210"/>
        <v>201912</v>
      </c>
      <c r="AI719" s="6">
        <f t="shared" ca="1" si="211"/>
        <v>2019</v>
      </c>
      <c r="AJ719" s="6">
        <f t="shared" ca="1" si="212"/>
        <v>12</v>
      </c>
      <c r="AK719" s="68">
        <f ca="1">IFERROR(__xludf.DUMMYFUNCTION("""COMPUTED_VALUE"""),43811.9986111111)</f>
        <v>43811.998611111099</v>
      </c>
      <c r="AL719" s="6">
        <f ca="1">IFERROR(__xludf.DUMMYFUNCTION("""COMPUTED_VALUE"""),7198.699)</f>
        <v>7198.6989999999996</v>
      </c>
      <c r="AP719" s="6" t="str">
        <f t="shared" ca="1" si="213"/>
        <v>202011</v>
      </c>
      <c r="AQ719" s="6">
        <f t="shared" ca="1" si="214"/>
        <v>2020</v>
      </c>
      <c r="AR719" s="6">
        <f t="shared" ca="1" si="215"/>
        <v>11</v>
      </c>
      <c r="AS719" s="68">
        <f ca="1">IFERROR(__xludf.DUMMYFUNCTION("""COMPUTED_VALUE"""),44147.9986111111)</f>
        <v>44147.998611111099</v>
      </c>
      <c r="AT719" s="6">
        <f ca="1">IFERROR(__xludf.DUMMYFUNCTION("""COMPUTED_VALUE"""),1873.3)</f>
        <v>1873.3</v>
      </c>
    </row>
    <row r="720" spans="2:46" x14ac:dyDescent="0.35">
      <c r="B720" s="6" t="str">
        <f t="shared" ca="1" si="198"/>
        <v>202011</v>
      </c>
      <c r="C720" s="6">
        <f t="shared" ca="1" si="199"/>
        <v>2020</v>
      </c>
      <c r="D720" s="6">
        <f t="shared" ca="1" si="200"/>
        <v>11</v>
      </c>
      <c r="E720" s="68">
        <f ca="1">IFERROR(__xludf.DUMMYFUNCTION("""COMPUTED_VALUE"""),44139.6666666666)</f>
        <v>44139.666666666599</v>
      </c>
      <c r="F720" s="6">
        <f ca="1">IFERROR(__xludf.DUMMYFUNCTION("""COMPUTED_VALUE"""),3443.44)</f>
        <v>3443.44</v>
      </c>
      <c r="J720" s="6" t="str">
        <f t="shared" ca="1" si="201"/>
        <v>202010</v>
      </c>
      <c r="K720" s="6">
        <f t="shared" ca="1" si="202"/>
        <v>2020</v>
      </c>
      <c r="L720" s="6">
        <f t="shared" ca="1" si="203"/>
        <v>10</v>
      </c>
      <c r="M720" s="68">
        <f ca="1">IFERROR(__xludf.DUMMYFUNCTION("""COMPUTED_VALUE"""),44133.6666666666)</f>
        <v>44133.666666666599</v>
      </c>
      <c r="N720" s="6">
        <f ca="1">IFERROR(__xludf.DUMMYFUNCTION("""COMPUTED_VALUE"""),11185.59)</f>
        <v>11185.59</v>
      </c>
      <c r="R720" s="6" t="str">
        <f t="shared" ca="1" si="204"/>
        <v>202012</v>
      </c>
      <c r="S720" s="6">
        <f t="shared" ca="1" si="205"/>
        <v>2020</v>
      </c>
      <c r="T720" s="6">
        <f t="shared" ca="1" si="206"/>
        <v>12</v>
      </c>
      <c r="U720" s="68">
        <f ca="1">IFERROR(__xludf.DUMMYFUNCTION("""COMPUTED_VALUE"""),44172.6458333333)</f>
        <v>44172.645833333299</v>
      </c>
      <c r="V720" s="6">
        <f ca="1">IFERROR(__xludf.DUMMYFUNCTION("""COMPUTED_VALUE"""),2745.44)</f>
        <v>2745.44</v>
      </c>
      <c r="Z720" s="6" t="str">
        <f t="shared" ca="1" si="207"/>
        <v>20201</v>
      </c>
      <c r="AA720" s="6">
        <f t="shared" ca="1" si="208"/>
        <v>2020</v>
      </c>
      <c r="AB720" s="6">
        <f t="shared" ca="1" si="209"/>
        <v>1</v>
      </c>
      <c r="AC720" s="68">
        <f ca="1">IFERROR(__xludf.DUMMYFUNCTION("""COMPUTED_VALUE"""),43856.9986111111)</f>
        <v>43856.998611111099</v>
      </c>
      <c r="AD720" s="6">
        <f ca="1">IFERROR(__xludf.DUMMYFUNCTION("""COMPUTED_VALUE"""),1169.15)</f>
        <v>1169.1500000000001</v>
      </c>
      <c r="AH720" s="6" t="str">
        <f t="shared" ca="1" si="210"/>
        <v>201912</v>
      </c>
      <c r="AI720" s="6">
        <f t="shared" ca="1" si="211"/>
        <v>2019</v>
      </c>
      <c r="AJ720" s="6">
        <f t="shared" ca="1" si="212"/>
        <v>12</v>
      </c>
      <c r="AK720" s="68">
        <f ca="1">IFERROR(__xludf.DUMMYFUNCTION("""COMPUTED_VALUE"""),43812.9986111111)</f>
        <v>43812.998611111099</v>
      </c>
      <c r="AL720" s="6">
        <f ca="1">IFERROR(__xludf.DUMMYFUNCTION("""COMPUTED_VALUE"""),7259.227)</f>
        <v>7259.2269999999999</v>
      </c>
      <c r="AP720" s="6" t="str">
        <f t="shared" ca="1" si="213"/>
        <v>202011</v>
      </c>
      <c r="AQ720" s="6">
        <f t="shared" ca="1" si="214"/>
        <v>2020</v>
      </c>
      <c r="AR720" s="6">
        <f t="shared" ca="1" si="215"/>
        <v>11</v>
      </c>
      <c r="AS720" s="68">
        <f ca="1">IFERROR(__xludf.DUMMYFUNCTION("""COMPUTED_VALUE"""),44148.9986111111)</f>
        <v>44148.998611111099</v>
      </c>
      <c r="AT720" s="6">
        <f ca="1">IFERROR(__xludf.DUMMYFUNCTION("""COMPUTED_VALUE"""),1886.2)</f>
        <v>1886.2</v>
      </c>
    </row>
    <row r="721" spans="2:46" x14ac:dyDescent="0.35">
      <c r="B721" s="6" t="str">
        <f t="shared" ca="1" si="198"/>
        <v>202011</v>
      </c>
      <c r="C721" s="6">
        <f t="shared" ca="1" si="199"/>
        <v>2020</v>
      </c>
      <c r="D721" s="6">
        <f t="shared" ca="1" si="200"/>
        <v>11</v>
      </c>
      <c r="E721" s="68">
        <f ca="1">IFERROR(__xludf.DUMMYFUNCTION("""COMPUTED_VALUE"""),44140.6666666666)</f>
        <v>44140.666666666599</v>
      </c>
      <c r="F721" s="6">
        <f ca="1">IFERROR(__xludf.DUMMYFUNCTION("""COMPUTED_VALUE"""),3510.45)</f>
        <v>3510.45</v>
      </c>
      <c r="J721" s="6" t="str">
        <f t="shared" ca="1" si="201"/>
        <v>202010</v>
      </c>
      <c r="K721" s="6">
        <f t="shared" ca="1" si="202"/>
        <v>2020</v>
      </c>
      <c r="L721" s="6">
        <f t="shared" ca="1" si="203"/>
        <v>10</v>
      </c>
      <c r="M721" s="68">
        <f ca="1">IFERROR(__xludf.DUMMYFUNCTION("""COMPUTED_VALUE"""),44134.6666666666)</f>
        <v>44134.666666666599</v>
      </c>
      <c r="N721" s="6">
        <f ca="1">IFERROR(__xludf.DUMMYFUNCTION("""COMPUTED_VALUE"""),10911.59)</f>
        <v>10911.59</v>
      </c>
      <c r="R721" s="6" t="str">
        <f t="shared" ca="1" si="204"/>
        <v>202012</v>
      </c>
      <c r="S721" s="6">
        <f t="shared" ca="1" si="205"/>
        <v>2020</v>
      </c>
      <c r="T721" s="6">
        <f t="shared" ca="1" si="206"/>
        <v>12</v>
      </c>
      <c r="U721" s="68">
        <f ca="1">IFERROR(__xludf.DUMMYFUNCTION("""COMPUTED_VALUE"""),44173.6458333333)</f>
        <v>44173.645833333299</v>
      </c>
      <c r="V721" s="6">
        <f ca="1">IFERROR(__xludf.DUMMYFUNCTION("""COMPUTED_VALUE"""),2700.93)</f>
        <v>2700.93</v>
      </c>
      <c r="Z721" s="6" t="str">
        <f t="shared" ca="1" si="207"/>
        <v>20201</v>
      </c>
      <c r="AA721" s="6">
        <f t="shared" ca="1" si="208"/>
        <v>2020</v>
      </c>
      <c r="AB721" s="6">
        <f t="shared" ca="1" si="209"/>
        <v>1</v>
      </c>
      <c r="AC721" s="68">
        <f ca="1">IFERROR(__xludf.DUMMYFUNCTION("""COMPUTED_VALUE"""),43857.9986111111)</f>
        <v>43857.998611111099</v>
      </c>
      <c r="AD721" s="6">
        <f ca="1">IFERROR(__xludf.DUMMYFUNCTION("""COMPUTED_VALUE"""),1176.73)</f>
        <v>1176.73</v>
      </c>
      <c r="AH721" s="6" t="str">
        <f t="shared" ca="1" si="210"/>
        <v>201912</v>
      </c>
      <c r="AI721" s="6">
        <f t="shared" ca="1" si="211"/>
        <v>2019</v>
      </c>
      <c r="AJ721" s="6">
        <f t="shared" ca="1" si="212"/>
        <v>12</v>
      </c>
      <c r="AK721" s="68">
        <f ca="1">IFERROR(__xludf.DUMMYFUNCTION("""COMPUTED_VALUE"""),43813.9986111111)</f>
        <v>43813.998611111099</v>
      </c>
      <c r="AL721" s="6">
        <f ca="1">IFERROR(__xludf.DUMMYFUNCTION("""COMPUTED_VALUE"""),7079.757)</f>
        <v>7079.7569999999996</v>
      </c>
      <c r="AP721" s="6" t="str">
        <f t="shared" ca="1" si="213"/>
        <v>202011</v>
      </c>
      <c r="AQ721" s="6">
        <f t="shared" ca="1" si="214"/>
        <v>2020</v>
      </c>
      <c r="AR721" s="6">
        <f t="shared" ca="1" si="215"/>
        <v>11</v>
      </c>
      <c r="AS721" s="68">
        <f ca="1">IFERROR(__xludf.DUMMYFUNCTION("""COMPUTED_VALUE"""),44151.9986111111)</f>
        <v>44151.998611111099</v>
      </c>
      <c r="AT721" s="6">
        <f ca="1">IFERROR(__xludf.DUMMYFUNCTION("""COMPUTED_VALUE"""),1887.8)</f>
        <v>1887.8</v>
      </c>
    </row>
    <row r="722" spans="2:46" x14ac:dyDescent="0.35">
      <c r="B722" s="6" t="str">
        <f t="shared" ca="1" si="198"/>
        <v>202011</v>
      </c>
      <c r="C722" s="6">
        <f t="shared" ca="1" si="199"/>
        <v>2020</v>
      </c>
      <c r="D722" s="6">
        <f t="shared" ca="1" si="200"/>
        <v>11</v>
      </c>
      <c r="E722" s="68">
        <f ca="1">IFERROR(__xludf.DUMMYFUNCTION("""COMPUTED_VALUE"""),44141.6666666666)</f>
        <v>44141.666666666599</v>
      </c>
      <c r="F722" s="6">
        <f ca="1">IFERROR(__xludf.DUMMYFUNCTION("""COMPUTED_VALUE"""),3509.44)</f>
        <v>3509.44</v>
      </c>
      <c r="J722" s="6" t="str">
        <f t="shared" ca="1" si="201"/>
        <v>202011</v>
      </c>
      <c r="K722" s="6">
        <f t="shared" ca="1" si="202"/>
        <v>2020</v>
      </c>
      <c r="L722" s="6">
        <f t="shared" ca="1" si="203"/>
        <v>11</v>
      </c>
      <c r="M722" s="68">
        <f ca="1">IFERROR(__xludf.DUMMYFUNCTION("""COMPUTED_VALUE"""),44137.6666666666)</f>
        <v>44137.666666666599</v>
      </c>
      <c r="N722" s="6">
        <f ca="1">IFERROR(__xludf.DUMMYFUNCTION("""COMPUTED_VALUE"""),10957.61)</f>
        <v>10957.61</v>
      </c>
      <c r="R722" s="6" t="str">
        <f t="shared" ca="1" si="204"/>
        <v>202012</v>
      </c>
      <c r="S722" s="6">
        <f t="shared" ca="1" si="205"/>
        <v>2020</v>
      </c>
      <c r="T722" s="6">
        <f t="shared" ca="1" si="206"/>
        <v>12</v>
      </c>
      <c r="U722" s="68">
        <f ca="1">IFERROR(__xludf.DUMMYFUNCTION("""COMPUTED_VALUE"""),44174.6458333333)</f>
        <v>44174.645833333299</v>
      </c>
      <c r="V722" s="6">
        <f ca="1">IFERROR(__xludf.DUMMYFUNCTION("""COMPUTED_VALUE"""),2755.47)</f>
        <v>2755.47</v>
      </c>
      <c r="Z722" s="6" t="str">
        <f t="shared" ca="1" si="207"/>
        <v>20201</v>
      </c>
      <c r="AA722" s="6">
        <f t="shared" ca="1" si="208"/>
        <v>2020</v>
      </c>
      <c r="AB722" s="6">
        <f t="shared" ca="1" si="209"/>
        <v>1</v>
      </c>
      <c r="AC722" s="68">
        <f ca="1">IFERROR(__xludf.DUMMYFUNCTION("""COMPUTED_VALUE"""),43858.9986111111)</f>
        <v>43858.998611111099</v>
      </c>
      <c r="AD722" s="6">
        <f ca="1">IFERROR(__xludf.DUMMYFUNCTION("""COMPUTED_VALUE"""),1174.28)</f>
        <v>1174.28</v>
      </c>
      <c r="AH722" s="6" t="str">
        <f t="shared" ca="1" si="210"/>
        <v>201912</v>
      </c>
      <c r="AI722" s="6">
        <f t="shared" ca="1" si="211"/>
        <v>2019</v>
      </c>
      <c r="AJ722" s="6">
        <f t="shared" ca="1" si="212"/>
        <v>12</v>
      </c>
      <c r="AK722" s="68">
        <f ca="1">IFERROR(__xludf.DUMMYFUNCTION("""COMPUTED_VALUE"""),43814.9986111111)</f>
        <v>43814.998611111099</v>
      </c>
      <c r="AL722" s="6">
        <f ca="1">IFERROR(__xludf.DUMMYFUNCTION("""COMPUTED_VALUE"""),7127.171)</f>
        <v>7127.1710000000003</v>
      </c>
      <c r="AP722" s="6" t="str">
        <f t="shared" ca="1" si="213"/>
        <v>202011</v>
      </c>
      <c r="AQ722" s="6">
        <f t="shared" ca="1" si="214"/>
        <v>2020</v>
      </c>
      <c r="AR722" s="6">
        <f t="shared" ca="1" si="215"/>
        <v>11</v>
      </c>
      <c r="AS722" s="68">
        <f ca="1">IFERROR(__xludf.DUMMYFUNCTION("""COMPUTED_VALUE"""),44152.9986111111)</f>
        <v>44152.998611111099</v>
      </c>
      <c r="AT722" s="6">
        <f ca="1">IFERROR(__xludf.DUMMYFUNCTION("""COMPUTED_VALUE"""),1885.1)</f>
        <v>1885.1</v>
      </c>
    </row>
    <row r="723" spans="2:46" x14ac:dyDescent="0.35">
      <c r="B723" s="6" t="str">
        <f t="shared" ca="1" si="198"/>
        <v>202011</v>
      </c>
      <c r="C723" s="6">
        <f t="shared" ca="1" si="199"/>
        <v>2020</v>
      </c>
      <c r="D723" s="6">
        <f t="shared" ca="1" si="200"/>
        <v>11</v>
      </c>
      <c r="E723" s="68">
        <f ca="1">IFERROR(__xludf.DUMMYFUNCTION("""COMPUTED_VALUE"""),44144.6666666666)</f>
        <v>44144.666666666599</v>
      </c>
      <c r="F723" s="6">
        <f ca="1">IFERROR(__xludf.DUMMYFUNCTION("""COMPUTED_VALUE"""),3550.5)</f>
        <v>3550.5</v>
      </c>
      <c r="J723" s="6" t="str">
        <f t="shared" ca="1" si="201"/>
        <v>202011</v>
      </c>
      <c r="K723" s="6">
        <f t="shared" ca="1" si="202"/>
        <v>2020</v>
      </c>
      <c r="L723" s="6">
        <f t="shared" ca="1" si="203"/>
        <v>11</v>
      </c>
      <c r="M723" s="68">
        <f ca="1">IFERROR(__xludf.DUMMYFUNCTION("""COMPUTED_VALUE"""),44138.6666666666)</f>
        <v>44138.666666666599</v>
      </c>
      <c r="N723" s="6">
        <f ca="1">IFERROR(__xludf.DUMMYFUNCTION("""COMPUTED_VALUE"""),11160.57)</f>
        <v>11160.57</v>
      </c>
      <c r="R723" s="6" t="str">
        <f t="shared" ca="1" si="204"/>
        <v>202012</v>
      </c>
      <c r="S723" s="6">
        <f t="shared" ca="1" si="205"/>
        <v>2020</v>
      </c>
      <c r="T723" s="6">
        <f t="shared" ca="1" si="206"/>
        <v>12</v>
      </c>
      <c r="U723" s="68">
        <f ca="1">IFERROR(__xludf.DUMMYFUNCTION("""COMPUTED_VALUE"""),44175.6458333333)</f>
        <v>44175.645833333299</v>
      </c>
      <c r="V723" s="6">
        <f ca="1">IFERROR(__xludf.DUMMYFUNCTION("""COMPUTED_VALUE"""),2746.46)</f>
        <v>2746.46</v>
      </c>
      <c r="Z723" s="6" t="str">
        <f t="shared" ca="1" si="207"/>
        <v>20201</v>
      </c>
      <c r="AA723" s="6">
        <f t="shared" ca="1" si="208"/>
        <v>2020</v>
      </c>
      <c r="AB723" s="6">
        <f t="shared" ca="1" si="209"/>
        <v>1</v>
      </c>
      <c r="AC723" s="68">
        <f ca="1">IFERROR(__xludf.DUMMYFUNCTION("""COMPUTED_VALUE"""),43859.9986111111)</f>
        <v>43859.998611111099</v>
      </c>
      <c r="AD723" s="6">
        <f ca="1">IFERROR(__xludf.DUMMYFUNCTION("""COMPUTED_VALUE"""),1178.08)</f>
        <v>1178.08</v>
      </c>
      <c r="AH723" s="6" t="str">
        <f t="shared" ca="1" si="210"/>
        <v>201912</v>
      </c>
      <c r="AI723" s="6">
        <f t="shared" ca="1" si="211"/>
        <v>2019</v>
      </c>
      <c r="AJ723" s="6">
        <f t="shared" ca="1" si="212"/>
        <v>12</v>
      </c>
      <c r="AK723" s="68">
        <f ca="1">IFERROR(__xludf.DUMMYFUNCTION("""COMPUTED_VALUE"""),43815.9986111111)</f>
        <v>43815.998611111099</v>
      </c>
      <c r="AL723" s="6">
        <f ca="1">IFERROR(__xludf.DUMMYFUNCTION("""COMPUTED_VALUE"""),6896.028)</f>
        <v>6896.0280000000002</v>
      </c>
      <c r="AP723" s="6" t="str">
        <f t="shared" ca="1" si="213"/>
        <v>202011</v>
      </c>
      <c r="AQ723" s="6">
        <f t="shared" ca="1" si="214"/>
        <v>2020</v>
      </c>
      <c r="AR723" s="6">
        <f t="shared" ca="1" si="215"/>
        <v>11</v>
      </c>
      <c r="AS723" s="68">
        <f ca="1">IFERROR(__xludf.DUMMYFUNCTION("""COMPUTED_VALUE"""),44153.9986111111)</f>
        <v>44153.998611111099</v>
      </c>
      <c r="AT723" s="6">
        <f ca="1">IFERROR(__xludf.DUMMYFUNCTION("""COMPUTED_VALUE"""),1873.9)</f>
        <v>1873.9</v>
      </c>
    </row>
    <row r="724" spans="2:46" x14ac:dyDescent="0.35">
      <c r="B724" s="6" t="str">
        <f t="shared" ca="1" si="198"/>
        <v>202011</v>
      </c>
      <c r="C724" s="6">
        <f t="shared" ca="1" si="199"/>
        <v>2020</v>
      </c>
      <c r="D724" s="6">
        <f t="shared" ca="1" si="200"/>
        <v>11</v>
      </c>
      <c r="E724" s="68">
        <f ca="1">IFERROR(__xludf.DUMMYFUNCTION("""COMPUTED_VALUE"""),44145.6666666666)</f>
        <v>44145.666666666599</v>
      </c>
      <c r="F724" s="6">
        <f ca="1">IFERROR(__xludf.DUMMYFUNCTION("""COMPUTED_VALUE"""),3545.53)</f>
        <v>3545.53</v>
      </c>
      <c r="J724" s="6" t="str">
        <f t="shared" ca="1" si="201"/>
        <v>202011</v>
      </c>
      <c r="K724" s="6">
        <f t="shared" ca="1" si="202"/>
        <v>2020</v>
      </c>
      <c r="L724" s="6">
        <f t="shared" ca="1" si="203"/>
        <v>11</v>
      </c>
      <c r="M724" s="68">
        <f ca="1">IFERROR(__xludf.DUMMYFUNCTION("""COMPUTED_VALUE"""),44139.6666666666)</f>
        <v>44139.666666666599</v>
      </c>
      <c r="N724" s="6">
        <f ca="1">IFERROR(__xludf.DUMMYFUNCTION("""COMPUTED_VALUE"""),11590.78)</f>
        <v>11590.78</v>
      </c>
      <c r="R724" s="6" t="str">
        <f t="shared" ca="1" si="204"/>
        <v>202012</v>
      </c>
      <c r="S724" s="6">
        <f t="shared" ca="1" si="205"/>
        <v>2020</v>
      </c>
      <c r="T724" s="6">
        <f t="shared" ca="1" si="206"/>
        <v>12</v>
      </c>
      <c r="U724" s="68">
        <f ca="1">IFERROR(__xludf.DUMMYFUNCTION("""COMPUTED_VALUE"""),44176.6458333333)</f>
        <v>44176.645833333299</v>
      </c>
      <c r="V724" s="6">
        <f ca="1">IFERROR(__xludf.DUMMYFUNCTION("""COMPUTED_VALUE"""),2770.06)</f>
        <v>2770.06</v>
      </c>
      <c r="Z724" s="6" t="str">
        <f t="shared" ca="1" si="207"/>
        <v>20201</v>
      </c>
      <c r="AA724" s="6">
        <f t="shared" ca="1" si="208"/>
        <v>2020</v>
      </c>
      <c r="AB724" s="6">
        <f t="shared" ca="1" si="209"/>
        <v>1</v>
      </c>
      <c r="AC724" s="68">
        <f ca="1">IFERROR(__xludf.DUMMYFUNCTION("""COMPUTED_VALUE"""),43860.9986111111)</f>
        <v>43860.998611111099</v>
      </c>
      <c r="AD724" s="6">
        <f ca="1">IFERROR(__xludf.DUMMYFUNCTION("""COMPUTED_VALUE"""),1187.12)</f>
        <v>1187.1199999999999</v>
      </c>
      <c r="AH724" s="6" t="str">
        <f t="shared" ca="1" si="210"/>
        <v>201912</v>
      </c>
      <c r="AI724" s="6">
        <f t="shared" ca="1" si="211"/>
        <v>2019</v>
      </c>
      <c r="AJ724" s="6">
        <f t="shared" ca="1" si="212"/>
        <v>12</v>
      </c>
      <c r="AK724" s="68">
        <f ca="1">IFERROR(__xludf.DUMMYFUNCTION("""COMPUTED_VALUE"""),43816.9986111111)</f>
        <v>43816.998611111099</v>
      </c>
      <c r="AL724" s="6">
        <f ca="1">IFERROR(__xludf.DUMMYFUNCTION("""COMPUTED_VALUE"""),6625.686)</f>
        <v>6625.6859999999997</v>
      </c>
      <c r="AP724" s="6" t="str">
        <f t="shared" ca="1" si="213"/>
        <v>202011</v>
      </c>
      <c r="AQ724" s="6">
        <f t="shared" ca="1" si="214"/>
        <v>2020</v>
      </c>
      <c r="AR724" s="6">
        <f t="shared" ca="1" si="215"/>
        <v>11</v>
      </c>
      <c r="AS724" s="68">
        <f ca="1">IFERROR(__xludf.DUMMYFUNCTION("""COMPUTED_VALUE"""),44154.9986111111)</f>
        <v>44154.998611111099</v>
      </c>
      <c r="AT724" s="6">
        <f ca="1">IFERROR(__xludf.DUMMYFUNCTION("""COMPUTED_VALUE"""),1861.5)</f>
        <v>1861.5</v>
      </c>
    </row>
    <row r="725" spans="2:46" x14ac:dyDescent="0.35">
      <c r="B725" s="6" t="str">
        <f t="shared" ca="1" si="198"/>
        <v>202011</v>
      </c>
      <c r="C725" s="6">
        <f t="shared" ca="1" si="199"/>
        <v>2020</v>
      </c>
      <c r="D725" s="6">
        <f t="shared" ca="1" si="200"/>
        <v>11</v>
      </c>
      <c r="E725" s="68">
        <f ca="1">IFERROR(__xludf.DUMMYFUNCTION("""COMPUTED_VALUE"""),44146.6666666666)</f>
        <v>44146.666666666599</v>
      </c>
      <c r="F725" s="6">
        <f ca="1">IFERROR(__xludf.DUMMYFUNCTION("""COMPUTED_VALUE"""),3572.66)</f>
        <v>3572.66</v>
      </c>
      <c r="J725" s="6" t="str">
        <f t="shared" ca="1" si="201"/>
        <v>202011</v>
      </c>
      <c r="K725" s="6">
        <f t="shared" ca="1" si="202"/>
        <v>2020</v>
      </c>
      <c r="L725" s="6">
        <f t="shared" ca="1" si="203"/>
        <v>11</v>
      </c>
      <c r="M725" s="68">
        <f ca="1">IFERROR(__xludf.DUMMYFUNCTION("""COMPUTED_VALUE"""),44140.6666666666)</f>
        <v>44140.666666666599</v>
      </c>
      <c r="N725" s="6">
        <f ca="1">IFERROR(__xludf.DUMMYFUNCTION("""COMPUTED_VALUE"""),11890.93)</f>
        <v>11890.93</v>
      </c>
      <c r="R725" s="6" t="str">
        <f t="shared" ca="1" si="204"/>
        <v>202012</v>
      </c>
      <c r="S725" s="6">
        <f t="shared" ca="1" si="205"/>
        <v>2020</v>
      </c>
      <c r="T725" s="6">
        <f t="shared" ca="1" si="206"/>
        <v>12</v>
      </c>
      <c r="U725" s="68">
        <f ca="1">IFERROR(__xludf.DUMMYFUNCTION("""COMPUTED_VALUE"""),44179.6458333333)</f>
        <v>44179.645833333299</v>
      </c>
      <c r="V725" s="6">
        <f ca="1">IFERROR(__xludf.DUMMYFUNCTION("""COMPUTED_VALUE"""),2762.2)</f>
        <v>2762.2</v>
      </c>
      <c r="Z725" s="6" t="str">
        <f t="shared" ca="1" si="207"/>
        <v>20201</v>
      </c>
      <c r="AA725" s="6">
        <f t="shared" ca="1" si="208"/>
        <v>2020</v>
      </c>
      <c r="AB725" s="6">
        <f t="shared" ca="1" si="209"/>
        <v>1</v>
      </c>
      <c r="AC725" s="68">
        <f ca="1">IFERROR(__xludf.DUMMYFUNCTION("""COMPUTED_VALUE"""),43861.9986111111)</f>
        <v>43861.998611111099</v>
      </c>
      <c r="AD725" s="6">
        <f ca="1">IFERROR(__xludf.DUMMYFUNCTION("""COMPUTED_VALUE"""),1194.87)</f>
        <v>1194.8699999999999</v>
      </c>
      <c r="AH725" s="6" t="str">
        <f t="shared" ca="1" si="210"/>
        <v>201912</v>
      </c>
      <c r="AI725" s="6">
        <f t="shared" ca="1" si="211"/>
        <v>2019</v>
      </c>
      <c r="AJ725" s="6">
        <f t="shared" ca="1" si="212"/>
        <v>12</v>
      </c>
      <c r="AK725" s="68">
        <f ca="1">IFERROR(__xludf.DUMMYFUNCTION("""COMPUTED_VALUE"""),43817.9986111111)</f>
        <v>43817.998611111099</v>
      </c>
      <c r="AL725" s="6">
        <f ca="1">IFERROR(__xludf.DUMMYFUNCTION("""COMPUTED_VALUE"""),7293.888)</f>
        <v>7293.8879999999999</v>
      </c>
      <c r="AP725" s="6" t="str">
        <f t="shared" ca="1" si="213"/>
        <v>202011</v>
      </c>
      <c r="AQ725" s="6">
        <f t="shared" ca="1" si="214"/>
        <v>2020</v>
      </c>
      <c r="AR725" s="6">
        <f t="shared" ca="1" si="215"/>
        <v>11</v>
      </c>
      <c r="AS725" s="68">
        <f ca="1">IFERROR(__xludf.DUMMYFUNCTION("""COMPUTED_VALUE"""),44155.9986111111)</f>
        <v>44155.998611111099</v>
      </c>
      <c r="AT725" s="6">
        <f ca="1">IFERROR(__xludf.DUMMYFUNCTION("""COMPUTED_VALUE"""),1878.2)</f>
        <v>1878.2</v>
      </c>
    </row>
    <row r="726" spans="2:46" x14ac:dyDescent="0.35">
      <c r="B726" s="6" t="str">
        <f t="shared" ca="1" si="198"/>
        <v>202011</v>
      </c>
      <c r="C726" s="6">
        <f t="shared" ca="1" si="199"/>
        <v>2020</v>
      </c>
      <c r="D726" s="6">
        <f t="shared" ca="1" si="200"/>
        <v>11</v>
      </c>
      <c r="E726" s="68">
        <f ca="1">IFERROR(__xludf.DUMMYFUNCTION("""COMPUTED_VALUE"""),44147.6666666666)</f>
        <v>44147.666666666599</v>
      </c>
      <c r="F726" s="6">
        <f ca="1">IFERROR(__xludf.DUMMYFUNCTION("""COMPUTED_VALUE"""),3537.01)</f>
        <v>3537.01</v>
      </c>
      <c r="J726" s="6" t="str">
        <f t="shared" ca="1" si="201"/>
        <v>202011</v>
      </c>
      <c r="K726" s="6">
        <f t="shared" ca="1" si="202"/>
        <v>2020</v>
      </c>
      <c r="L726" s="6">
        <f t="shared" ca="1" si="203"/>
        <v>11</v>
      </c>
      <c r="M726" s="68">
        <f ca="1">IFERROR(__xludf.DUMMYFUNCTION("""COMPUTED_VALUE"""),44141.6666666666)</f>
        <v>44141.666666666599</v>
      </c>
      <c r="N726" s="6">
        <f ca="1">IFERROR(__xludf.DUMMYFUNCTION("""COMPUTED_VALUE"""),11895.23)</f>
        <v>11895.23</v>
      </c>
      <c r="R726" s="6" t="str">
        <f t="shared" ca="1" si="204"/>
        <v>202012</v>
      </c>
      <c r="S726" s="6">
        <f t="shared" ca="1" si="205"/>
        <v>2020</v>
      </c>
      <c r="T726" s="6">
        <f t="shared" ca="1" si="206"/>
        <v>12</v>
      </c>
      <c r="U726" s="68">
        <f ca="1">IFERROR(__xludf.DUMMYFUNCTION("""COMPUTED_VALUE"""),44180.6458333333)</f>
        <v>44180.645833333299</v>
      </c>
      <c r="V726" s="6">
        <f ca="1">IFERROR(__xludf.DUMMYFUNCTION("""COMPUTED_VALUE"""),2756.82)</f>
        <v>2756.82</v>
      </c>
      <c r="Z726" s="6" t="str">
        <f t="shared" ca="1" si="207"/>
        <v>20202</v>
      </c>
      <c r="AA726" s="6">
        <f t="shared" ca="1" si="208"/>
        <v>2020</v>
      </c>
      <c r="AB726" s="6">
        <f t="shared" ca="1" si="209"/>
        <v>2</v>
      </c>
      <c r="AC726" s="68">
        <f ca="1">IFERROR(__xludf.DUMMYFUNCTION("""COMPUTED_VALUE"""),43862.9986111111)</f>
        <v>43862.998611111099</v>
      </c>
      <c r="AD726" s="6">
        <f ca="1">IFERROR(__xludf.DUMMYFUNCTION("""COMPUTED_VALUE"""),1194.87)</f>
        <v>1194.8699999999999</v>
      </c>
      <c r="AH726" s="6" t="str">
        <f t="shared" ca="1" si="210"/>
        <v>201912</v>
      </c>
      <c r="AI726" s="6">
        <f t="shared" ca="1" si="211"/>
        <v>2019</v>
      </c>
      <c r="AJ726" s="6">
        <f t="shared" ca="1" si="212"/>
        <v>12</v>
      </c>
      <c r="AK726" s="68">
        <f ca="1">IFERROR(__xludf.DUMMYFUNCTION("""COMPUTED_VALUE"""),43818.9986111111)</f>
        <v>43818.998611111099</v>
      </c>
      <c r="AL726" s="6">
        <f ca="1">IFERROR(__xludf.DUMMYFUNCTION("""COMPUTED_VALUE"""),7158.255)</f>
        <v>7158.2550000000001</v>
      </c>
      <c r="AP726" s="6" t="str">
        <f t="shared" ca="1" si="213"/>
        <v>202011</v>
      </c>
      <c r="AQ726" s="6">
        <f t="shared" ca="1" si="214"/>
        <v>2020</v>
      </c>
      <c r="AR726" s="6">
        <f t="shared" ca="1" si="215"/>
        <v>11</v>
      </c>
      <c r="AS726" s="68">
        <f ca="1">IFERROR(__xludf.DUMMYFUNCTION("""COMPUTED_VALUE"""),44158.9986111111)</f>
        <v>44158.998611111099</v>
      </c>
      <c r="AT726" s="6">
        <f ca="1">IFERROR(__xludf.DUMMYFUNCTION("""COMPUTED_VALUE"""),1844.1)</f>
        <v>1844.1</v>
      </c>
    </row>
    <row r="727" spans="2:46" x14ac:dyDescent="0.35">
      <c r="B727" s="6" t="str">
        <f t="shared" ca="1" si="198"/>
        <v>202011</v>
      </c>
      <c r="C727" s="6">
        <f t="shared" ca="1" si="199"/>
        <v>2020</v>
      </c>
      <c r="D727" s="6">
        <f t="shared" ca="1" si="200"/>
        <v>11</v>
      </c>
      <c r="E727" s="68">
        <f ca="1">IFERROR(__xludf.DUMMYFUNCTION("""COMPUTED_VALUE"""),44148.6666666666)</f>
        <v>44148.666666666599</v>
      </c>
      <c r="F727" s="6">
        <f ca="1">IFERROR(__xludf.DUMMYFUNCTION("""COMPUTED_VALUE"""),3585.15)</f>
        <v>3585.15</v>
      </c>
      <c r="J727" s="6" t="str">
        <f t="shared" ca="1" si="201"/>
        <v>202011</v>
      </c>
      <c r="K727" s="6">
        <f t="shared" ca="1" si="202"/>
        <v>2020</v>
      </c>
      <c r="L727" s="6">
        <f t="shared" ca="1" si="203"/>
        <v>11</v>
      </c>
      <c r="M727" s="68">
        <f ca="1">IFERROR(__xludf.DUMMYFUNCTION("""COMPUTED_VALUE"""),44144.6666666666)</f>
        <v>44144.666666666599</v>
      </c>
      <c r="N727" s="6">
        <f ca="1">IFERROR(__xludf.DUMMYFUNCTION("""COMPUTED_VALUE"""),11713.78)</f>
        <v>11713.78</v>
      </c>
      <c r="R727" s="6" t="str">
        <f t="shared" ca="1" si="204"/>
        <v>202012</v>
      </c>
      <c r="S727" s="6">
        <f t="shared" ca="1" si="205"/>
        <v>2020</v>
      </c>
      <c r="T727" s="6">
        <f t="shared" ca="1" si="206"/>
        <v>12</v>
      </c>
      <c r="U727" s="68">
        <f ca="1">IFERROR(__xludf.DUMMYFUNCTION("""COMPUTED_VALUE"""),44181.6458333333)</f>
        <v>44181.645833333299</v>
      </c>
      <c r="V727" s="6">
        <f ca="1">IFERROR(__xludf.DUMMYFUNCTION("""COMPUTED_VALUE"""),2771.79)</f>
        <v>2771.79</v>
      </c>
      <c r="Z727" s="6" t="str">
        <f t="shared" ca="1" si="207"/>
        <v>20202</v>
      </c>
      <c r="AA727" s="6">
        <f t="shared" ca="1" si="208"/>
        <v>2020</v>
      </c>
      <c r="AB727" s="6">
        <f t="shared" ca="1" si="209"/>
        <v>2</v>
      </c>
      <c r="AC727" s="68">
        <f ca="1">IFERROR(__xludf.DUMMYFUNCTION("""COMPUTED_VALUE"""),43863.9986111111)</f>
        <v>43863.998611111099</v>
      </c>
      <c r="AD727" s="6">
        <f ca="1">IFERROR(__xludf.DUMMYFUNCTION("""COMPUTED_VALUE"""),1194.87)</f>
        <v>1194.8699999999999</v>
      </c>
      <c r="AH727" s="6" t="str">
        <f t="shared" ca="1" si="210"/>
        <v>201912</v>
      </c>
      <c r="AI727" s="6">
        <f t="shared" ca="1" si="211"/>
        <v>2019</v>
      </c>
      <c r="AJ727" s="6">
        <f t="shared" ca="1" si="212"/>
        <v>12</v>
      </c>
      <c r="AK727" s="68">
        <f ca="1">IFERROR(__xludf.DUMMYFUNCTION("""COMPUTED_VALUE"""),43819.9986111111)</f>
        <v>43819.998611111099</v>
      </c>
      <c r="AL727" s="6">
        <f ca="1">IFERROR(__xludf.DUMMYFUNCTION("""COMPUTED_VALUE"""),7204.101)</f>
        <v>7204.1009999999997</v>
      </c>
      <c r="AP727" s="6" t="str">
        <f t="shared" ca="1" si="213"/>
        <v>202011</v>
      </c>
      <c r="AQ727" s="6">
        <f t="shared" ca="1" si="214"/>
        <v>2020</v>
      </c>
      <c r="AR727" s="6">
        <f t="shared" ca="1" si="215"/>
        <v>11</v>
      </c>
      <c r="AS727" s="68">
        <f ca="1">IFERROR(__xludf.DUMMYFUNCTION("""COMPUTED_VALUE"""),44159.9986111111)</f>
        <v>44159.998611111099</v>
      </c>
      <c r="AT727" s="6">
        <f ca="1">IFERROR(__xludf.DUMMYFUNCTION("""COMPUTED_VALUE"""),1810.9)</f>
        <v>1810.9</v>
      </c>
    </row>
    <row r="728" spans="2:46" x14ac:dyDescent="0.35">
      <c r="B728" s="6" t="str">
        <f t="shared" ca="1" si="198"/>
        <v>202011</v>
      </c>
      <c r="C728" s="6">
        <f t="shared" ca="1" si="199"/>
        <v>2020</v>
      </c>
      <c r="D728" s="6">
        <f t="shared" ca="1" si="200"/>
        <v>11</v>
      </c>
      <c r="E728" s="68">
        <f ca="1">IFERROR(__xludf.DUMMYFUNCTION("""COMPUTED_VALUE"""),44151.6666666666)</f>
        <v>44151.666666666599</v>
      </c>
      <c r="F728" s="6">
        <f ca="1">IFERROR(__xludf.DUMMYFUNCTION("""COMPUTED_VALUE"""),3626.91)</f>
        <v>3626.91</v>
      </c>
      <c r="J728" s="6" t="str">
        <f t="shared" ca="1" si="201"/>
        <v>202011</v>
      </c>
      <c r="K728" s="6">
        <f t="shared" ca="1" si="202"/>
        <v>2020</v>
      </c>
      <c r="L728" s="6">
        <f t="shared" ca="1" si="203"/>
        <v>11</v>
      </c>
      <c r="M728" s="68">
        <f ca="1">IFERROR(__xludf.DUMMYFUNCTION("""COMPUTED_VALUE"""),44145.6666666666)</f>
        <v>44145.666666666599</v>
      </c>
      <c r="N728" s="6">
        <f ca="1">IFERROR(__xludf.DUMMYFUNCTION("""COMPUTED_VALUE"""),11553.86)</f>
        <v>11553.86</v>
      </c>
      <c r="R728" s="6" t="str">
        <f t="shared" ca="1" si="204"/>
        <v>202012</v>
      </c>
      <c r="S728" s="6">
        <f t="shared" ca="1" si="205"/>
        <v>2020</v>
      </c>
      <c r="T728" s="6">
        <f t="shared" ca="1" si="206"/>
        <v>12</v>
      </c>
      <c r="U728" s="68">
        <f ca="1">IFERROR(__xludf.DUMMYFUNCTION("""COMPUTED_VALUE"""),44182.6458333333)</f>
        <v>44182.645833333299</v>
      </c>
      <c r="V728" s="6">
        <f ca="1">IFERROR(__xludf.DUMMYFUNCTION("""COMPUTED_VALUE"""),2770.43)</f>
        <v>2770.43</v>
      </c>
      <c r="Z728" s="6" t="str">
        <f t="shared" ca="1" si="207"/>
        <v>20202</v>
      </c>
      <c r="AA728" s="6">
        <f t="shared" ca="1" si="208"/>
        <v>2020</v>
      </c>
      <c r="AB728" s="6">
        <f t="shared" ca="1" si="209"/>
        <v>2</v>
      </c>
      <c r="AC728" s="68">
        <f ca="1">IFERROR(__xludf.DUMMYFUNCTION("""COMPUTED_VALUE"""),43864.9986111111)</f>
        <v>43864.998611111099</v>
      </c>
      <c r="AD728" s="6">
        <f ca="1">IFERROR(__xludf.DUMMYFUNCTION("""COMPUTED_VALUE"""),1189.36)</f>
        <v>1189.3599999999999</v>
      </c>
      <c r="AH728" s="6" t="str">
        <f t="shared" ca="1" si="210"/>
        <v>201912</v>
      </c>
      <c r="AI728" s="6">
        <f t="shared" ca="1" si="211"/>
        <v>2019</v>
      </c>
      <c r="AJ728" s="6">
        <f t="shared" ca="1" si="212"/>
        <v>12</v>
      </c>
      <c r="AK728" s="68">
        <f ca="1">IFERROR(__xludf.DUMMYFUNCTION("""COMPUTED_VALUE"""),43820.9986111111)</f>
        <v>43820.998611111099</v>
      </c>
      <c r="AL728" s="6">
        <f ca="1">IFERROR(__xludf.DUMMYFUNCTION("""COMPUTED_VALUE"""),7154.57)</f>
        <v>7154.57</v>
      </c>
      <c r="AP728" s="6" t="str">
        <f t="shared" ca="1" si="213"/>
        <v>202011</v>
      </c>
      <c r="AQ728" s="6">
        <f t="shared" ca="1" si="214"/>
        <v>2020</v>
      </c>
      <c r="AR728" s="6">
        <f t="shared" ca="1" si="215"/>
        <v>11</v>
      </c>
      <c r="AS728" s="68">
        <f ca="1">IFERROR(__xludf.DUMMYFUNCTION("""COMPUTED_VALUE"""),44160.9986111111)</f>
        <v>44160.998611111099</v>
      </c>
      <c r="AT728" s="6">
        <f ca="1">IFERROR(__xludf.DUMMYFUNCTION("""COMPUTED_VALUE"""),1811.2)</f>
        <v>1811.2</v>
      </c>
    </row>
    <row r="729" spans="2:46" x14ac:dyDescent="0.35">
      <c r="B729" s="6" t="str">
        <f t="shared" ca="1" si="198"/>
        <v>202011</v>
      </c>
      <c r="C729" s="6">
        <f t="shared" ca="1" si="199"/>
        <v>2020</v>
      </c>
      <c r="D729" s="6">
        <f t="shared" ca="1" si="200"/>
        <v>11</v>
      </c>
      <c r="E729" s="68">
        <f ca="1">IFERROR(__xludf.DUMMYFUNCTION("""COMPUTED_VALUE"""),44152.6666666666)</f>
        <v>44152.666666666599</v>
      </c>
      <c r="F729" s="6">
        <f ca="1">IFERROR(__xludf.DUMMYFUNCTION("""COMPUTED_VALUE"""),3609.53)</f>
        <v>3609.53</v>
      </c>
      <c r="J729" s="6" t="str">
        <f t="shared" ca="1" si="201"/>
        <v>202011</v>
      </c>
      <c r="K729" s="6">
        <f t="shared" ca="1" si="202"/>
        <v>2020</v>
      </c>
      <c r="L729" s="6">
        <f t="shared" ca="1" si="203"/>
        <v>11</v>
      </c>
      <c r="M729" s="68">
        <f ca="1">IFERROR(__xludf.DUMMYFUNCTION("""COMPUTED_VALUE"""),44146.6666666666)</f>
        <v>44146.666666666599</v>
      </c>
      <c r="N729" s="6">
        <f ca="1">IFERROR(__xludf.DUMMYFUNCTION("""COMPUTED_VALUE"""),11786.43)</f>
        <v>11786.43</v>
      </c>
      <c r="R729" s="6" t="str">
        <f t="shared" ca="1" si="204"/>
        <v>202012</v>
      </c>
      <c r="S729" s="6">
        <f t="shared" ca="1" si="205"/>
        <v>2020</v>
      </c>
      <c r="T729" s="6">
        <f t="shared" ca="1" si="206"/>
        <v>12</v>
      </c>
      <c r="U729" s="68">
        <f ca="1">IFERROR(__xludf.DUMMYFUNCTION("""COMPUTED_VALUE"""),44183.6458333333)</f>
        <v>44183.645833333299</v>
      </c>
      <c r="V729" s="6">
        <f ca="1">IFERROR(__xludf.DUMMYFUNCTION("""COMPUTED_VALUE"""),2772.18)</f>
        <v>2772.18</v>
      </c>
      <c r="Z729" s="6" t="str">
        <f t="shared" ca="1" si="207"/>
        <v>20202</v>
      </c>
      <c r="AA729" s="6">
        <f t="shared" ca="1" si="208"/>
        <v>2020</v>
      </c>
      <c r="AB729" s="6">
        <f t="shared" ca="1" si="209"/>
        <v>2</v>
      </c>
      <c r="AC729" s="68">
        <f ca="1">IFERROR(__xludf.DUMMYFUNCTION("""COMPUTED_VALUE"""),43865.9986111111)</f>
        <v>43865.998611111099</v>
      </c>
      <c r="AD729" s="6">
        <f ca="1">IFERROR(__xludf.DUMMYFUNCTION("""COMPUTED_VALUE"""),1182.48)</f>
        <v>1182.48</v>
      </c>
      <c r="AH729" s="6" t="str">
        <f t="shared" ca="1" si="210"/>
        <v>201912</v>
      </c>
      <c r="AI729" s="6">
        <f t="shared" ca="1" si="211"/>
        <v>2019</v>
      </c>
      <c r="AJ729" s="6">
        <f t="shared" ca="1" si="212"/>
        <v>12</v>
      </c>
      <c r="AK729" s="68">
        <f ca="1">IFERROR(__xludf.DUMMYFUNCTION("""COMPUTED_VALUE"""),43821.9986111111)</f>
        <v>43821.998611111099</v>
      </c>
      <c r="AL729" s="6">
        <f ca="1">IFERROR(__xludf.DUMMYFUNCTION("""COMPUTED_VALUE"""),7519.568)</f>
        <v>7519.5680000000002</v>
      </c>
      <c r="AP729" s="6" t="str">
        <f t="shared" ca="1" si="213"/>
        <v>202011</v>
      </c>
      <c r="AQ729" s="6">
        <f t="shared" ca="1" si="214"/>
        <v>2020</v>
      </c>
      <c r="AR729" s="6">
        <f t="shared" ca="1" si="215"/>
        <v>11</v>
      </c>
      <c r="AS729" s="68">
        <f ca="1">IFERROR(__xludf.DUMMYFUNCTION("""COMPUTED_VALUE"""),44162.5416666666)</f>
        <v>44162.541666666599</v>
      </c>
      <c r="AT729" s="6">
        <f ca="1">IFERROR(__xludf.DUMMYFUNCTION("""COMPUTED_VALUE"""),1788.1)</f>
        <v>1788.1</v>
      </c>
    </row>
    <row r="730" spans="2:46" x14ac:dyDescent="0.35">
      <c r="B730" s="6" t="str">
        <f t="shared" ca="1" si="198"/>
        <v>202011</v>
      </c>
      <c r="C730" s="6">
        <f t="shared" ca="1" si="199"/>
        <v>2020</v>
      </c>
      <c r="D730" s="6">
        <f t="shared" ca="1" si="200"/>
        <v>11</v>
      </c>
      <c r="E730" s="68">
        <f ca="1">IFERROR(__xludf.DUMMYFUNCTION("""COMPUTED_VALUE"""),44153.6666666666)</f>
        <v>44153.666666666599</v>
      </c>
      <c r="F730" s="6">
        <f ca="1">IFERROR(__xludf.DUMMYFUNCTION("""COMPUTED_VALUE"""),3567.79)</f>
        <v>3567.79</v>
      </c>
      <c r="J730" s="6" t="str">
        <f t="shared" ca="1" si="201"/>
        <v>202011</v>
      </c>
      <c r="K730" s="6">
        <f t="shared" ca="1" si="202"/>
        <v>2020</v>
      </c>
      <c r="L730" s="6">
        <f t="shared" ca="1" si="203"/>
        <v>11</v>
      </c>
      <c r="M730" s="68">
        <f ca="1">IFERROR(__xludf.DUMMYFUNCTION("""COMPUTED_VALUE"""),44147.6666666666)</f>
        <v>44147.666666666599</v>
      </c>
      <c r="N730" s="6">
        <f ca="1">IFERROR(__xludf.DUMMYFUNCTION("""COMPUTED_VALUE"""),11709.59)</f>
        <v>11709.59</v>
      </c>
      <c r="R730" s="6" t="str">
        <f t="shared" ca="1" si="204"/>
        <v>202012</v>
      </c>
      <c r="S730" s="6">
        <f t="shared" ca="1" si="205"/>
        <v>2020</v>
      </c>
      <c r="T730" s="6">
        <f t="shared" ca="1" si="206"/>
        <v>12</v>
      </c>
      <c r="U730" s="68">
        <f ca="1">IFERROR(__xludf.DUMMYFUNCTION("""COMPUTED_VALUE"""),44186.6458333333)</f>
        <v>44186.645833333299</v>
      </c>
      <c r="V730" s="6">
        <f ca="1">IFERROR(__xludf.DUMMYFUNCTION("""COMPUTED_VALUE"""),2778.65)</f>
        <v>2778.65</v>
      </c>
      <c r="Z730" s="6" t="str">
        <f t="shared" ca="1" si="207"/>
        <v>20202</v>
      </c>
      <c r="AA730" s="6">
        <f t="shared" ca="1" si="208"/>
        <v>2020</v>
      </c>
      <c r="AB730" s="6">
        <f t="shared" ca="1" si="209"/>
        <v>2</v>
      </c>
      <c r="AC730" s="68">
        <f ca="1">IFERROR(__xludf.DUMMYFUNCTION("""COMPUTED_VALUE"""),43866.9986111111)</f>
        <v>43866.998611111099</v>
      </c>
      <c r="AD730" s="6">
        <f ca="1">IFERROR(__xludf.DUMMYFUNCTION("""COMPUTED_VALUE"""),1183.46)</f>
        <v>1183.46</v>
      </c>
      <c r="AH730" s="6" t="str">
        <f t="shared" ca="1" si="210"/>
        <v>201912</v>
      </c>
      <c r="AI730" s="6">
        <f t="shared" ca="1" si="211"/>
        <v>2019</v>
      </c>
      <c r="AJ730" s="6">
        <f t="shared" ca="1" si="212"/>
        <v>12</v>
      </c>
      <c r="AK730" s="68">
        <f ca="1">IFERROR(__xludf.DUMMYFUNCTION("""COMPUTED_VALUE"""),43822.9986111111)</f>
        <v>43822.998611111099</v>
      </c>
      <c r="AL730" s="6">
        <f ca="1">IFERROR(__xludf.DUMMYFUNCTION("""COMPUTED_VALUE"""),7322.984)</f>
        <v>7322.9840000000004</v>
      </c>
      <c r="AP730" s="6" t="str">
        <f t="shared" ca="1" si="213"/>
        <v>202011</v>
      </c>
      <c r="AQ730" s="6">
        <f t="shared" ca="1" si="214"/>
        <v>2020</v>
      </c>
      <c r="AR730" s="6">
        <f t="shared" ca="1" si="215"/>
        <v>11</v>
      </c>
      <c r="AS730" s="68">
        <f ca="1">IFERROR(__xludf.DUMMYFUNCTION("""COMPUTED_VALUE"""),44165.9986111111)</f>
        <v>44165.998611111099</v>
      </c>
      <c r="AT730" s="6">
        <f ca="1">IFERROR(__xludf.DUMMYFUNCTION("""COMPUTED_VALUE"""),1780.9)</f>
        <v>1780.9</v>
      </c>
    </row>
    <row r="731" spans="2:46" x14ac:dyDescent="0.35">
      <c r="B731" s="6" t="str">
        <f t="shared" ca="1" si="198"/>
        <v>202011</v>
      </c>
      <c r="C731" s="6">
        <f t="shared" ca="1" si="199"/>
        <v>2020</v>
      </c>
      <c r="D731" s="6">
        <f t="shared" ca="1" si="200"/>
        <v>11</v>
      </c>
      <c r="E731" s="68">
        <f ca="1">IFERROR(__xludf.DUMMYFUNCTION("""COMPUTED_VALUE"""),44154.6666666666)</f>
        <v>44154.666666666599</v>
      </c>
      <c r="F731" s="6">
        <f ca="1">IFERROR(__xludf.DUMMYFUNCTION("""COMPUTED_VALUE"""),3581.87)</f>
        <v>3581.87</v>
      </c>
      <c r="J731" s="6" t="str">
        <f t="shared" ca="1" si="201"/>
        <v>202011</v>
      </c>
      <c r="K731" s="6">
        <f t="shared" ca="1" si="202"/>
        <v>2020</v>
      </c>
      <c r="L731" s="6">
        <f t="shared" ca="1" si="203"/>
        <v>11</v>
      </c>
      <c r="M731" s="68">
        <f ca="1">IFERROR(__xludf.DUMMYFUNCTION("""COMPUTED_VALUE"""),44148.6666666666)</f>
        <v>44148.666666666599</v>
      </c>
      <c r="N731" s="6">
        <f ca="1">IFERROR(__xludf.DUMMYFUNCTION("""COMPUTED_VALUE"""),11829.29)</f>
        <v>11829.29</v>
      </c>
      <c r="R731" s="6" t="str">
        <f t="shared" ca="1" si="204"/>
        <v>202012</v>
      </c>
      <c r="S731" s="6">
        <f t="shared" ca="1" si="205"/>
        <v>2020</v>
      </c>
      <c r="T731" s="6">
        <f t="shared" ca="1" si="206"/>
        <v>12</v>
      </c>
      <c r="U731" s="68">
        <f ca="1">IFERROR(__xludf.DUMMYFUNCTION("""COMPUTED_VALUE"""),44187.6458333333)</f>
        <v>44187.645833333299</v>
      </c>
      <c r="V731" s="6">
        <f ca="1">IFERROR(__xludf.DUMMYFUNCTION("""COMPUTED_VALUE"""),2733.68)</f>
        <v>2733.68</v>
      </c>
      <c r="Z731" s="6" t="str">
        <f t="shared" ca="1" si="207"/>
        <v>20202</v>
      </c>
      <c r="AA731" s="6">
        <f t="shared" ca="1" si="208"/>
        <v>2020</v>
      </c>
      <c r="AB731" s="6">
        <f t="shared" ca="1" si="209"/>
        <v>2</v>
      </c>
      <c r="AC731" s="68">
        <f ca="1">IFERROR(__xludf.DUMMYFUNCTION("""COMPUTED_VALUE"""),43867.9986111111)</f>
        <v>43867.998611111099</v>
      </c>
      <c r="AD731" s="6">
        <f ca="1">IFERROR(__xludf.DUMMYFUNCTION("""COMPUTED_VALUE"""),1184.25)</f>
        <v>1184.25</v>
      </c>
      <c r="AH731" s="6" t="str">
        <f t="shared" ca="1" si="210"/>
        <v>201912</v>
      </c>
      <c r="AI731" s="6">
        <f t="shared" ca="1" si="211"/>
        <v>2019</v>
      </c>
      <c r="AJ731" s="6">
        <f t="shared" ca="1" si="212"/>
        <v>12</v>
      </c>
      <c r="AK731" s="68">
        <f ca="1">IFERROR(__xludf.DUMMYFUNCTION("""COMPUTED_VALUE"""),43823.9986111111)</f>
        <v>43823.998611111099</v>
      </c>
      <c r="AL731" s="6">
        <f ca="1">IFERROR(__xludf.DUMMYFUNCTION("""COMPUTED_VALUE"""),7260.82)</f>
        <v>7260.82</v>
      </c>
      <c r="AP731" s="6" t="str">
        <f t="shared" ca="1" si="213"/>
        <v>202012</v>
      </c>
      <c r="AQ731" s="6">
        <f t="shared" ca="1" si="214"/>
        <v>2020</v>
      </c>
      <c r="AR731" s="6">
        <f t="shared" ca="1" si="215"/>
        <v>12</v>
      </c>
      <c r="AS731" s="68">
        <f ca="1">IFERROR(__xludf.DUMMYFUNCTION("""COMPUTED_VALUE"""),44166.9986111111)</f>
        <v>44166.998611111099</v>
      </c>
      <c r="AT731" s="6">
        <f ca="1">IFERROR(__xludf.DUMMYFUNCTION("""COMPUTED_VALUE"""),1818.9)</f>
        <v>1818.9</v>
      </c>
    </row>
    <row r="732" spans="2:46" x14ac:dyDescent="0.35">
      <c r="B732" s="6" t="str">
        <f t="shared" ca="1" si="198"/>
        <v>202011</v>
      </c>
      <c r="C732" s="6">
        <f t="shared" ca="1" si="199"/>
        <v>2020</v>
      </c>
      <c r="D732" s="6">
        <f t="shared" ca="1" si="200"/>
        <v>11</v>
      </c>
      <c r="E732" s="68">
        <f ca="1">IFERROR(__xludf.DUMMYFUNCTION("""COMPUTED_VALUE"""),44155.6666666666)</f>
        <v>44155.666666666599</v>
      </c>
      <c r="F732" s="6">
        <f ca="1">IFERROR(__xludf.DUMMYFUNCTION("""COMPUTED_VALUE"""),3557.54)</f>
        <v>3557.54</v>
      </c>
      <c r="J732" s="6" t="str">
        <f t="shared" ca="1" si="201"/>
        <v>202011</v>
      </c>
      <c r="K732" s="6">
        <f t="shared" ca="1" si="202"/>
        <v>2020</v>
      </c>
      <c r="L732" s="6">
        <f t="shared" ca="1" si="203"/>
        <v>11</v>
      </c>
      <c r="M732" s="68">
        <f ca="1">IFERROR(__xludf.DUMMYFUNCTION("""COMPUTED_VALUE"""),44151.6666666666)</f>
        <v>44151.666666666599</v>
      </c>
      <c r="N732" s="6">
        <f ca="1">IFERROR(__xludf.DUMMYFUNCTION("""COMPUTED_VALUE"""),11924.13)</f>
        <v>11924.13</v>
      </c>
      <c r="R732" s="6" t="str">
        <f t="shared" ca="1" si="204"/>
        <v>202012</v>
      </c>
      <c r="S732" s="6">
        <f t="shared" ca="1" si="205"/>
        <v>2020</v>
      </c>
      <c r="T732" s="6">
        <f t="shared" ca="1" si="206"/>
        <v>12</v>
      </c>
      <c r="U732" s="68">
        <f ca="1">IFERROR(__xludf.DUMMYFUNCTION("""COMPUTED_VALUE"""),44188.6458333333)</f>
        <v>44188.645833333299</v>
      </c>
      <c r="V732" s="6">
        <f ca="1">IFERROR(__xludf.DUMMYFUNCTION("""COMPUTED_VALUE"""),2759.82)</f>
        <v>2759.82</v>
      </c>
      <c r="Z732" s="6" t="str">
        <f t="shared" ca="1" si="207"/>
        <v>20202</v>
      </c>
      <c r="AA732" s="6">
        <f t="shared" ca="1" si="208"/>
        <v>2020</v>
      </c>
      <c r="AB732" s="6">
        <f t="shared" ca="1" si="209"/>
        <v>2</v>
      </c>
      <c r="AC732" s="68">
        <f ca="1">IFERROR(__xludf.DUMMYFUNCTION("""COMPUTED_VALUE"""),43868.9986111111)</f>
        <v>43868.998611111099</v>
      </c>
      <c r="AD732" s="6">
        <f ca="1">IFERROR(__xludf.DUMMYFUNCTION("""COMPUTED_VALUE"""),1191.09)</f>
        <v>1191.0899999999999</v>
      </c>
      <c r="AH732" s="6" t="str">
        <f t="shared" ca="1" si="210"/>
        <v>201912</v>
      </c>
      <c r="AI732" s="6">
        <f t="shared" ca="1" si="211"/>
        <v>2019</v>
      </c>
      <c r="AJ732" s="6">
        <f t="shared" ca="1" si="212"/>
        <v>12</v>
      </c>
      <c r="AK732" s="68">
        <f ca="1">IFERROR(__xludf.DUMMYFUNCTION("""COMPUTED_VALUE"""),43824.9986111111)</f>
        <v>43824.998611111099</v>
      </c>
      <c r="AL732" s="6">
        <f ca="1">IFERROR(__xludf.DUMMYFUNCTION("""COMPUTED_VALUE"""),7204.073)</f>
        <v>7204.0730000000003</v>
      </c>
      <c r="AP732" s="6" t="str">
        <f t="shared" ca="1" si="213"/>
        <v>202012</v>
      </c>
      <c r="AQ732" s="6">
        <f t="shared" ca="1" si="214"/>
        <v>2020</v>
      </c>
      <c r="AR732" s="6">
        <f t="shared" ca="1" si="215"/>
        <v>12</v>
      </c>
      <c r="AS732" s="68">
        <f ca="1">IFERROR(__xludf.DUMMYFUNCTION("""COMPUTED_VALUE"""),44167.9986111111)</f>
        <v>44167.998611111099</v>
      </c>
      <c r="AT732" s="6">
        <f ca="1">IFERROR(__xludf.DUMMYFUNCTION("""COMPUTED_VALUE"""),1830.2)</f>
        <v>1830.2</v>
      </c>
    </row>
    <row r="733" spans="2:46" x14ac:dyDescent="0.35">
      <c r="B733" s="6" t="str">
        <f t="shared" ca="1" si="198"/>
        <v>202011</v>
      </c>
      <c r="C733" s="6">
        <f t="shared" ca="1" si="199"/>
        <v>2020</v>
      </c>
      <c r="D733" s="6">
        <f t="shared" ca="1" si="200"/>
        <v>11</v>
      </c>
      <c r="E733" s="68">
        <f ca="1">IFERROR(__xludf.DUMMYFUNCTION("""COMPUTED_VALUE"""),44158.6666666666)</f>
        <v>44158.666666666599</v>
      </c>
      <c r="F733" s="6">
        <f ca="1">IFERROR(__xludf.DUMMYFUNCTION("""COMPUTED_VALUE"""),3577.59)</f>
        <v>3577.59</v>
      </c>
      <c r="J733" s="6" t="str">
        <f t="shared" ca="1" si="201"/>
        <v>202011</v>
      </c>
      <c r="K733" s="6">
        <f t="shared" ca="1" si="202"/>
        <v>2020</v>
      </c>
      <c r="L733" s="6">
        <f t="shared" ca="1" si="203"/>
        <v>11</v>
      </c>
      <c r="M733" s="68">
        <f ca="1">IFERROR(__xludf.DUMMYFUNCTION("""COMPUTED_VALUE"""),44152.6666666666)</f>
        <v>44152.666666666599</v>
      </c>
      <c r="N733" s="6">
        <f ca="1">IFERROR(__xludf.DUMMYFUNCTION("""COMPUTED_VALUE"""),11899.34)</f>
        <v>11899.34</v>
      </c>
      <c r="R733" s="6" t="str">
        <f t="shared" ca="1" si="204"/>
        <v>202012</v>
      </c>
      <c r="S733" s="6">
        <f t="shared" ca="1" si="205"/>
        <v>2020</v>
      </c>
      <c r="T733" s="6">
        <f t="shared" ca="1" si="206"/>
        <v>12</v>
      </c>
      <c r="U733" s="68">
        <f ca="1">IFERROR(__xludf.DUMMYFUNCTION("""COMPUTED_VALUE"""),44189.6458333333)</f>
        <v>44189.645833333299</v>
      </c>
      <c r="V733" s="6">
        <f ca="1">IFERROR(__xludf.DUMMYFUNCTION("""COMPUTED_VALUE"""),2806.86)</f>
        <v>2806.86</v>
      </c>
      <c r="Z733" s="6" t="str">
        <f t="shared" ca="1" si="207"/>
        <v>20202</v>
      </c>
      <c r="AA733" s="6">
        <f t="shared" ca="1" si="208"/>
        <v>2020</v>
      </c>
      <c r="AB733" s="6">
        <f t="shared" ca="1" si="209"/>
        <v>2</v>
      </c>
      <c r="AC733" s="68">
        <f ca="1">IFERROR(__xludf.DUMMYFUNCTION("""COMPUTED_VALUE"""),43869.9986111111)</f>
        <v>43869.998611111099</v>
      </c>
      <c r="AD733" s="6">
        <f ca="1">IFERROR(__xludf.DUMMYFUNCTION("""COMPUTED_VALUE"""),1191.09)</f>
        <v>1191.0899999999999</v>
      </c>
      <c r="AH733" s="6" t="str">
        <f t="shared" ca="1" si="210"/>
        <v>201912</v>
      </c>
      <c r="AI733" s="6">
        <f t="shared" ca="1" si="211"/>
        <v>2019</v>
      </c>
      <c r="AJ733" s="6">
        <f t="shared" ca="1" si="212"/>
        <v>12</v>
      </c>
      <c r="AK733" s="68">
        <f ca="1">IFERROR(__xludf.DUMMYFUNCTION("""COMPUTED_VALUE"""),43825.9986111111)</f>
        <v>43825.998611111099</v>
      </c>
      <c r="AL733" s="6">
        <f ca="1">IFERROR(__xludf.DUMMYFUNCTION("""COMPUTED_VALUE"""),7204.342)</f>
        <v>7204.3419999999996</v>
      </c>
      <c r="AP733" s="6" t="str">
        <f t="shared" ca="1" si="213"/>
        <v>202012</v>
      </c>
      <c r="AQ733" s="6">
        <f t="shared" ca="1" si="214"/>
        <v>2020</v>
      </c>
      <c r="AR733" s="6">
        <f t="shared" ca="1" si="215"/>
        <v>12</v>
      </c>
      <c r="AS733" s="68">
        <f ca="1">IFERROR(__xludf.DUMMYFUNCTION("""COMPUTED_VALUE"""),44168.9986111111)</f>
        <v>44168.998611111099</v>
      </c>
      <c r="AT733" s="6">
        <f ca="1">IFERROR(__xludf.DUMMYFUNCTION("""COMPUTED_VALUE"""),1841.1)</f>
        <v>1841.1</v>
      </c>
    </row>
    <row r="734" spans="2:46" x14ac:dyDescent="0.35">
      <c r="B734" s="6" t="str">
        <f t="shared" ca="1" si="198"/>
        <v>202011</v>
      </c>
      <c r="C734" s="6">
        <f t="shared" ca="1" si="199"/>
        <v>2020</v>
      </c>
      <c r="D734" s="6">
        <f t="shared" ca="1" si="200"/>
        <v>11</v>
      </c>
      <c r="E734" s="68">
        <f ca="1">IFERROR(__xludf.DUMMYFUNCTION("""COMPUTED_VALUE"""),44159.6666666666)</f>
        <v>44159.666666666599</v>
      </c>
      <c r="F734" s="6">
        <f ca="1">IFERROR(__xludf.DUMMYFUNCTION("""COMPUTED_VALUE"""),3635.41)</f>
        <v>3635.41</v>
      </c>
      <c r="J734" s="6" t="str">
        <f t="shared" ca="1" si="201"/>
        <v>202011</v>
      </c>
      <c r="K734" s="6">
        <f t="shared" ca="1" si="202"/>
        <v>2020</v>
      </c>
      <c r="L734" s="6">
        <f t="shared" ca="1" si="203"/>
        <v>11</v>
      </c>
      <c r="M734" s="68">
        <f ca="1">IFERROR(__xludf.DUMMYFUNCTION("""COMPUTED_VALUE"""),44153.6666666666)</f>
        <v>44153.666666666599</v>
      </c>
      <c r="N734" s="6">
        <f ca="1">IFERROR(__xludf.DUMMYFUNCTION("""COMPUTED_VALUE"""),11801.6)</f>
        <v>11801.6</v>
      </c>
      <c r="R734" s="6" t="str">
        <f t="shared" ca="1" si="204"/>
        <v>202012</v>
      </c>
      <c r="S734" s="6">
        <f t="shared" ca="1" si="205"/>
        <v>2020</v>
      </c>
      <c r="T734" s="6">
        <f t="shared" ca="1" si="206"/>
        <v>12</v>
      </c>
      <c r="U734" s="68">
        <f ca="1">IFERROR(__xludf.DUMMYFUNCTION("""COMPUTED_VALUE"""),44193.6458333333)</f>
        <v>44193.645833333299</v>
      </c>
      <c r="V734" s="6">
        <f ca="1">IFERROR(__xludf.DUMMYFUNCTION("""COMPUTED_VALUE"""),2808.6)</f>
        <v>2808.6</v>
      </c>
      <c r="Z734" s="6" t="str">
        <f t="shared" ca="1" si="207"/>
        <v>20202</v>
      </c>
      <c r="AA734" s="6">
        <f t="shared" ca="1" si="208"/>
        <v>2020</v>
      </c>
      <c r="AB734" s="6">
        <f t="shared" ca="1" si="209"/>
        <v>2</v>
      </c>
      <c r="AC734" s="68">
        <f ca="1">IFERROR(__xludf.DUMMYFUNCTION("""COMPUTED_VALUE"""),43870.9986111111)</f>
        <v>43870.998611111099</v>
      </c>
      <c r="AD734" s="6">
        <f ca="1">IFERROR(__xludf.DUMMYFUNCTION("""COMPUTED_VALUE"""),1191.09)</f>
        <v>1191.0899999999999</v>
      </c>
      <c r="AH734" s="6" t="str">
        <f t="shared" ca="1" si="210"/>
        <v>201912</v>
      </c>
      <c r="AI734" s="6">
        <f t="shared" ca="1" si="211"/>
        <v>2019</v>
      </c>
      <c r="AJ734" s="6">
        <f t="shared" ca="1" si="212"/>
        <v>12</v>
      </c>
      <c r="AK734" s="68">
        <f ca="1">IFERROR(__xludf.DUMMYFUNCTION("""COMPUTED_VALUE"""),43826.9986111111)</f>
        <v>43826.998611111099</v>
      </c>
      <c r="AL734" s="6">
        <f ca="1">IFERROR(__xludf.DUMMYFUNCTION("""COMPUTED_VALUE"""),7255.551)</f>
        <v>7255.5510000000004</v>
      </c>
      <c r="AP734" s="6" t="str">
        <f t="shared" ca="1" si="213"/>
        <v>202012</v>
      </c>
      <c r="AQ734" s="6">
        <f t="shared" ca="1" si="214"/>
        <v>2020</v>
      </c>
      <c r="AR734" s="6">
        <f t="shared" ca="1" si="215"/>
        <v>12</v>
      </c>
      <c r="AS734" s="68">
        <f ca="1">IFERROR(__xludf.DUMMYFUNCTION("""COMPUTED_VALUE"""),44169.9986111111)</f>
        <v>44169.998611111099</v>
      </c>
      <c r="AT734" s="6">
        <f ca="1">IFERROR(__xludf.DUMMYFUNCTION("""COMPUTED_VALUE"""),1840)</f>
        <v>1840</v>
      </c>
    </row>
    <row r="735" spans="2:46" x14ac:dyDescent="0.35">
      <c r="B735" s="6" t="str">
        <f t="shared" ca="1" si="198"/>
        <v>202011</v>
      </c>
      <c r="C735" s="6">
        <f t="shared" ca="1" si="199"/>
        <v>2020</v>
      </c>
      <c r="D735" s="6">
        <f t="shared" ca="1" si="200"/>
        <v>11</v>
      </c>
      <c r="E735" s="68">
        <f ca="1">IFERROR(__xludf.DUMMYFUNCTION("""COMPUTED_VALUE"""),44160.6666666666)</f>
        <v>44160.666666666599</v>
      </c>
      <c r="F735" s="6">
        <f ca="1">IFERROR(__xludf.DUMMYFUNCTION("""COMPUTED_VALUE"""),3629.65)</f>
        <v>3629.65</v>
      </c>
      <c r="J735" s="6" t="str">
        <f t="shared" ca="1" si="201"/>
        <v>202011</v>
      </c>
      <c r="K735" s="6">
        <f t="shared" ca="1" si="202"/>
        <v>2020</v>
      </c>
      <c r="L735" s="6">
        <f t="shared" ca="1" si="203"/>
        <v>11</v>
      </c>
      <c r="M735" s="68">
        <f ca="1">IFERROR(__xludf.DUMMYFUNCTION("""COMPUTED_VALUE"""),44154.6666666666)</f>
        <v>44154.666666666599</v>
      </c>
      <c r="N735" s="6">
        <f ca="1">IFERROR(__xludf.DUMMYFUNCTION("""COMPUTED_VALUE"""),11904.71)</f>
        <v>11904.71</v>
      </c>
      <c r="R735" s="6" t="str">
        <f t="shared" ca="1" si="204"/>
        <v>202012</v>
      </c>
      <c r="S735" s="6">
        <f t="shared" ca="1" si="205"/>
        <v>2020</v>
      </c>
      <c r="T735" s="6">
        <f t="shared" ca="1" si="206"/>
        <v>12</v>
      </c>
      <c r="U735" s="68">
        <f ca="1">IFERROR(__xludf.DUMMYFUNCTION("""COMPUTED_VALUE"""),44194.6458333333)</f>
        <v>44194.645833333299</v>
      </c>
      <c r="V735" s="6">
        <f ca="1">IFERROR(__xludf.DUMMYFUNCTION("""COMPUTED_VALUE"""),2820.51)</f>
        <v>2820.51</v>
      </c>
      <c r="Z735" s="6" t="str">
        <f t="shared" ca="1" si="207"/>
        <v>20202</v>
      </c>
      <c r="AA735" s="6">
        <f t="shared" ca="1" si="208"/>
        <v>2020</v>
      </c>
      <c r="AB735" s="6">
        <f t="shared" ca="1" si="209"/>
        <v>2</v>
      </c>
      <c r="AC735" s="68">
        <f ca="1">IFERROR(__xludf.DUMMYFUNCTION("""COMPUTED_VALUE"""),43871.9986111111)</f>
        <v>43871.998611111099</v>
      </c>
      <c r="AD735" s="6">
        <f ca="1">IFERROR(__xludf.DUMMYFUNCTION("""COMPUTED_VALUE"""),1185.63)</f>
        <v>1185.6300000000001</v>
      </c>
      <c r="AH735" s="6" t="str">
        <f t="shared" ca="1" si="210"/>
        <v>201912</v>
      </c>
      <c r="AI735" s="6">
        <f t="shared" ca="1" si="211"/>
        <v>2019</v>
      </c>
      <c r="AJ735" s="6">
        <f t="shared" ca="1" si="212"/>
        <v>12</v>
      </c>
      <c r="AK735" s="68">
        <f ca="1">IFERROR(__xludf.DUMMYFUNCTION("""COMPUTED_VALUE"""),43827.9986111111)</f>
        <v>43827.998611111099</v>
      </c>
      <c r="AL735" s="6">
        <f ca="1">IFERROR(__xludf.DUMMYFUNCTION("""COMPUTED_VALUE"""),7312.049)</f>
        <v>7312.049</v>
      </c>
      <c r="AP735" s="6" t="str">
        <f t="shared" ca="1" si="213"/>
        <v>202012</v>
      </c>
      <c r="AQ735" s="6">
        <f t="shared" ca="1" si="214"/>
        <v>2020</v>
      </c>
      <c r="AR735" s="6">
        <f t="shared" ca="1" si="215"/>
        <v>12</v>
      </c>
      <c r="AS735" s="68">
        <f ca="1">IFERROR(__xludf.DUMMYFUNCTION("""COMPUTED_VALUE"""),44172.9986111111)</f>
        <v>44172.998611111099</v>
      </c>
      <c r="AT735" s="6">
        <f ca="1">IFERROR(__xludf.DUMMYFUNCTION("""COMPUTED_VALUE"""),1866)</f>
        <v>1866</v>
      </c>
    </row>
    <row r="736" spans="2:46" x14ac:dyDescent="0.35">
      <c r="B736" s="6" t="str">
        <f t="shared" ca="1" si="198"/>
        <v>202011</v>
      </c>
      <c r="C736" s="6">
        <f t="shared" ca="1" si="199"/>
        <v>2020</v>
      </c>
      <c r="D736" s="6">
        <f t="shared" ca="1" si="200"/>
        <v>11</v>
      </c>
      <c r="E736" s="68">
        <f ca="1">IFERROR(__xludf.DUMMYFUNCTION("""COMPUTED_VALUE"""),44162.5416666666)</f>
        <v>44162.541666666599</v>
      </c>
      <c r="F736" s="6">
        <f ca="1">IFERROR(__xludf.DUMMYFUNCTION("""COMPUTED_VALUE"""),3638.35)</f>
        <v>3638.35</v>
      </c>
      <c r="J736" s="6" t="str">
        <f t="shared" ca="1" si="201"/>
        <v>202011</v>
      </c>
      <c r="K736" s="6">
        <f t="shared" ca="1" si="202"/>
        <v>2020</v>
      </c>
      <c r="L736" s="6">
        <f t="shared" ca="1" si="203"/>
        <v>11</v>
      </c>
      <c r="M736" s="68">
        <f ca="1">IFERROR(__xludf.DUMMYFUNCTION("""COMPUTED_VALUE"""),44155.6666666666)</f>
        <v>44155.666666666599</v>
      </c>
      <c r="N736" s="6">
        <f ca="1">IFERROR(__xludf.DUMMYFUNCTION("""COMPUTED_VALUE"""),11854.97)</f>
        <v>11854.97</v>
      </c>
      <c r="R736" s="6" t="str">
        <f t="shared" ca="1" si="204"/>
        <v>202012</v>
      </c>
      <c r="S736" s="6">
        <f t="shared" ca="1" si="205"/>
        <v>2020</v>
      </c>
      <c r="T736" s="6">
        <f t="shared" ca="1" si="206"/>
        <v>12</v>
      </c>
      <c r="U736" s="68">
        <f ca="1">IFERROR(__xludf.DUMMYFUNCTION("""COMPUTED_VALUE"""),44195.6458333333)</f>
        <v>44195.645833333299</v>
      </c>
      <c r="V736" s="6">
        <f ca="1">IFERROR(__xludf.DUMMYFUNCTION("""COMPUTED_VALUE"""),2873.47)</f>
        <v>2873.47</v>
      </c>
      <c r="Z736" s="6" t="str">
        <f t="shared" ca="1" si="207"/>
        <v>20202</v>
      </c>
      <c r="AA736" s="6">
        <f t="shared" ca="1" si="208"/>
        <v>2020</v>
      </c>
      <c r="AB736" s="6">
        <f t="shared" ca="1" si="209"/>
        <v>2</v>
      </c>
      <c r="AC736" s="68">
        <f ca="1">IFERROR(__xludf.DUMMYFUNCTION("""COMPUTED_VALUE"""),43872.9986111111)</f>
        <v>43872.998611111099</v>
      </c>
      <c r="AD736" s="6">
        <f ca="1">IFERROR(__xludf.DUMMYFUNCTION("""COMPUTED_VALUE"""),1180.72)</f>
        <v>1180.72</v>
      </c>
      <c r="AH736" s="6" t="str">
        <f t="shared" ca="1" si="210"/>
        <v>201912</v>
      </c>
      <c r="AI736" s="6">
        <f t="shared" ca="1" si="211"/>
        <v>2019</v>
      </c>
      <c r="AJ736" s="6">
        <f t="shared" ca="1" si="212"/>
        <v>12</v>
      </c>
      <c r="AK736" s="68">
        <f ca="1">IFERROR(__xludf.DUMMYFUNCTION("""COMPUTED_VALUE"""),43828.9986111111)</f>
        <v>43828.998611111099</v>
      </c>
      <c r="AL736" s="6">
        <f ca="1">IFERROR(__xludf.DUMMYFUNCTION("""COMPUTED_VALUE"""),7388.7)</f>
        <v>7388.7</v>
      </c>
      <c r="AP736" s="6" t="str">
        <f t="shared" ca="1" si="213"/>
        <v>202012</v>
      </c>
      <c r="AQ736" s="6">
        <f t="shared" ca="1" si="214"/>
        <v>2020</v>
      </c>
      <c r="AR736" s="6">
        <f t="shared" ca="1" si="215"/>
        <v>12</v>
      </c>
      <c r="AS736" s="68">
        <f ca="1">IFERROR(__xludf.DUMMYFUNCTION("""COMPUTED_VALUE"""),44173.9986111111)</f>
        <v>44173.998611111099</v>
      </c>
      <c r="AT736" s="6">
        <f ca="1">IFERROR(__xludf.DUMMYFUNCTION("""COMPUTED_VALUE"""),1874.9)</f>
        <v>1874.9</v>
      </c>
    </row>
    <row r="737" spans="2:46" x14ac:dyDescent="0.35">
      <c r="B737" s="6" t="str">
        <f t="shared" ca="1" si="198"/>
        <v>202011</v>
      </c>
      <c r="C737" s="6">
        <f t="shared" ca="1" si="199"/>
        <v>2020</v>
      </c>
      <c r="D737" s="6">
        <f t="shared" ca="1" si="200"/>
        <v>11</v>
      </c>
      <c r="E737" s="68">
        <f ca="1">IFERROR(__xludf.DUMMYFUNCTION("""COMPUTED_VALUE"""),44165.6666666666)</f>
        <v>44165.666666666599</v>
      </c>
      <c r="F737" s="6">
        <f ca="1">IFERROR(__xludf.DUMMYFUNCTION("""COMPUTED_VALUE"""),3621.63)</f>
        <v>3621.63</v>
      </c>
      <c r="J737" s="6" t="str">
        <f t="shared" ca="1" si="201"/>
        <v>202011</v>
      </c>
      <c r="K737" s="6">
        <f t="shared" ca="1" si="202"/>
        <v>2020</v>
      </c>
      <c r="L737" s="6">
        <f t="shared" ca="1" si="203"/>
        <v>11</v>
      </c>
      <c r="M737" s="68">
        <f ca="1">IFERROR(__xludf.DUMMYFUNCTION("""COMPUTED_VALUE"""),44158.6666666666)</f>
        <v>44158.666666666599</v>
      </c>
      <c r="N737" s="6">
        <f ca="1">IFERROR(__xludf.DUMMYFUNCTION("""COMPUTED_VALUE"""),11880.63)</f>
        <v>11880.63</v>
      </c>
      <c r="R737" s="6" t="str">
        <f t="shared" ca="1" si="204"/>
        <v>20211</v>
      </c>
      <c r="S737" s="6">
        <f t="shared" ca="1" si="205"/>
        <v>2021</v>
      </c>
      <c r="T737" s="6">
        <f t="shared" ca="1" si="206"/>
        <v>1</v>
      </c>
      <c r="U737" s="68">
        <f ca="1">IFERROR(__xludf.DUMMYFUNCTION("""COMPUTED_VALUE"""),44200.6458333333)</f>
        <v>44200.645833333299</v>
      </c>
      <c r="V737" s="6">
        <f ca="1">IFERROR(__xludf.DUMMYFUNCTION("""COMPUTED_VALUE"""),2944.45)</f>
        <v>2944.45</v>
      </c>
      <c r="Z737" s="6" t="str">
        <f t="shared" ca="1" si="207"/>
        <v>20202</v>
      </c>
      <c r="AA737" s="6">
        <f t="shared" ca="1" si="208"/>
        <v>2020</v>
      </c>
      <c r="AB737" s="6">
        <f t="shared" ca="1" si="209"/>
        <v>2</v>
      </c>
      <c r="AC737" s="68">
        <f ca="1">IFERROR(__xludf.DUMMYFUNCTION("""COMPUTED_VALUE"""),43873.9986111111)</f>
        <v>43873.998611111099</v>
      </c>
      <c r="AD737" s="6">
        <f ca="1">IFERROR(__xludf.DUMMYFUNCTION("""COMPUTED_VALUE"""),1177.96)</f>
        <v>1177.96</v>
      </c>
      <c r="AH737" s="6" t="str">
        <f t="shared" ca="1" si="210"/>
        <v>201912</v>
      </c>
      <c r="AI737" s="6">
        <f t="shared" ca="1" si="211"/>
        <v>2019</v>
      </c>
      <c r="AJ737" s="6">
        <f t="shared" ca="1" si="212"/>
        <v>12</v>
      </c>
      <c r="AK737" s="68">
        <f ca="1">IFERROR(__xludf.DUMMYFUNCTION("""COMPUTED_VALUE"""),43829.9986111111)</f>
        <v>43829.998611111099</v>
      </c>
      <c r="AL737" s="6">
        <f ca="1">IFERROR(__xludf.DUMMYFUNCTION("""COMPUTED_VALUE"""),7229.292)</f>
        <v>7229.2920000000004</v>
      </c>
      <c r="AP737" s="6" t="str">
        <f t="shared" ca="1" si="213"/>
        <v>202012</v>
      </c>
      <c r="AQ737" s="6">
        <f t="shared" ca="1" si="214"/>
        <v>2020</v>
      </c>
      <c r="AR737" s="6">
        <f t="shared" ca="1" si="215"/>
        <v>12</v>
      </c>
      <c r="AS737" s="68">
        <f ca="1">IFERROR(__xludf.DUMMYFUNCTION("""COMPUTED_VALUE"""),44174.9986111111)</f>
        <v>44174.998611111099</v>
      </c>
      <c r="AT737" s="6">
        <f ca="1">IFERROR(__xludf.DUMMYFUNCTION("""COMPUTED_VALUE"""),1838.5)</f>
        <v>1838.5</v>
      </c>
    </row>
    <row r="738" spans="2:46" x14ac:dyDescent="0.35">
      <c r="B738" s="6" t="str">
        <f t="shared" ca="1" si="198"/>
        <v>202012</v>
      </c>
      <c r="C738" s="6">
        <f t="shared" ca="1" si="199"/>
        <v>2020</v>
      </c>
      <c r="D738" s="6">
        <f t="shared" ca="1" si="200"/>
        <v>12</v>
      </c>
      <c r="E738" s="68">
        <f ca="1">IFERROR(__xludf.DUMMYFUNCTION("""COMPUTED_VALUE"""),44166.6666666666)</f>
        <v>44166.666666666599</v>
      </c>
      <c r="F738" s="6">
        <f ca="1">IFERROR(__xludf.DUMMYFUNCTION("""COMPUTED_VALUE"""),3662.45)</f>
        <v>3662.45</v>
      </c>
      <c r="J738" s="6" t="str">
        <f t="shared" ca="1" si="201"/>
        <v>202011</v>
      </c>
      <c r="K738" s="6">
        <f t="shared" ca="1" si="202"/>
        <v>2020</v>
      </c>
      <c r="L738" s="6">
        <f t="shared" ca="1" si="203"/>
        <v>11</v>
      </c>
      <c r="M738" s="68">
        <f ca="1">IFERROR(__xludf.DUMMYFUNCTION("""COMPUTED_VALUE"""),44159.6666666666)</f>
        <v>44159.666666666599</v>
      </c>
      <c r="N738" s="6">
        <f ca="1">IFERROR(__xludf.DUMMYFUNCTION("""COMPUTED_VALUE"""),12036.79)</f>
        <v>12036.79</v>
      </c>
      <c r="R738" s="6" t="str">
        <f t="shared" ca="1" si="204"/>
        <v>20211</v>
      </c>
      <c r="S738" s="6">
        <f t="shared" ca="1" si="205"/>
        <v>2021</v>
      </c>
      <c r="T738" s="6">
        <f t="shared" ca="1" si="206"/>
        <v>1</v>
      </c>
      <c r="U738" s="68">
        <f ca="1">IFERROR(__xludf.DUMMYFUNCTION("""COMPUTED_VALUE"""),44201.6458333333)</f>
        <v>44201.645833333299</v>
      </c>
      <c r="V738" s="6">
        <f ca="1">IFERROR(__xludf.DUMMYFUNCTION("""COMPUTED_VALUE"""),2990.57)</f>
        <v>2990.57</v>
      </c>
      <c r="Z738" s="6" t="str">
        <f t="shared" ca="1" si="207"/>
        <v>20202</v>
      </c>
      <c r="AA738" s="6">
        <f t="shared" ca="1" si="208"/>
        <v>2020</v>
      </c>
      <c r="AB738" s="6">
        <f t="shared" ca="1" si="209"/>
        <v>2</v>
      </c>
      <c r="AC738" s="68">
        <f ca="1">IFERROR(__xludf.DUMMYFUNCTION("""COMPUTED_VALUE"""),43874.9986111111)</f>
        <v>43874.998611111099</v>
      </c>
      <c r="AD738" s="6">
        <f ca="1">IFERROR(__xludf.DUMMYFUNCTION("""COMPUTED_VALUE"""),1183.47)</f>
        <v>1183.47</v>
      </c>
      <c r="AH738" s="6" t="str">
        <f t="shared" ca="1" si="210"/>
        <v>201912</v>
      </c>
      <c r="AI738" s="6">
        <f t="shared" ca="1" si="211"/>
        <v>2019</v>
      </c>
      <c r="AJ738" s="6">
        <f t="shared" ca="1" si="212"/>
        <v>12</v>
      </c>
      <c r="AK738" s="68">
        <f ca="1">IFERROR(__xludf.DUMMYFUNCTION("""COMPUTED_VALUE"""),43830.9986111111)</f>
        <v>43830.998611111099</v>
      </c>
      <c r="AL738" s="6">
        <f ca="1">IFERROR(__xludf.DUMMYFUNCTION("""COMPUTED_VALUE"""),7174.535)</f>
        <v>7174.5349999999999</v>
      </c>
      <c r="AP738" s="6" t="str">
        <f t="shared" ca="1" si="213"/>
        <v>202012</v>
      </c>
      <c r="AQ738" s="6">
        <f t="shared" ca="1" si="214"/>
        <v>2020</v>
      </c>
      <c r="AR738" s="6">
        <f t="shared" ca="1" si="215"/>
        <v>12</v>
      </c>
      <c r="AS738" s="68">
        <f ca="1">IFERROR(__xludf.DUMMYFUNCTION("""COMPUTED_VALUE"""),44175.9986111111)</f>
        <v>44175.998611111099</v>
      </c>
      <c r="AT738" s="6">
        <f ca="1">IFERROR(__xludf.DUMMYFUNCTION("""COMPUTED_VALUE"""),1837.4)</f>
        <v>1837.4</v>
      </c>
    </row>
    <row r="739" spans="2:46" x14ac:dyDescent="0.35">
      <c r="B739" s="6" t="str">
        <f t="shared" ca="1" si="198"/>
        <v>202012</v>
      </c>
      <c r="C739" s="6">
        <f t="shared" ca="1" si="199"/>
        <v>2020</v>
      </c>
      <c r="D739" s="6">
        <f t="shared" ca="1" si="200"/>
        <v>12</v>
      </c>
      <c r="E739" s="68">
        <f ca="1">IFERROR(__xludf.DUMMYFUNCTION("""COMPUTED_VALUE"""),44167.6666666666)</f>
        <v>44167.666666666599</v>
      </c>
      <c r="F739" s="6">
        <f ca="1">IFERROR(__xludf.DUMMYFUNCTION("""COMPUTED_VALUE"""),3669.01)</f>
        <v>3669.01</v>
      </c>
      <c r="J739" s="6" t="str">
        <f t="shared" ca="1" si="201"/>
        <v>202011</v>
      </c>
      <c r="K739" s="6">
        <f t="shared" ca="1" si="202"/>
        <v>2020</v>
      </c>
      <c r="L739" s="6">
        <f t="shared" ca="1" si="203"/>
        <v>11</v>
      </c>
      <c r="M739" s="68">
        <f ca="1">IFERROR(__xludf.DUMMYFUNCTION("""COMPUTED_VALUE"""),44160.6666666666)</f>
        <v>44160.666666666599</v>
      </c>
      <c r="N739" s="6">
        <f ca="1">IFERROR(__xludf.DUMMYFUNCTION("""COMPUTED_VALUE"""),12094.4)</f>
        <v>12094.4</v>
      </c>
      <c r="R739" s="6" t="str">
        <f t="shared" ca="1" si="204"/>
        <v>20211</v>
      </c>
      <c r="S739" s="6">
        <f t="shared" ca="1" si="205"/>
        <v>2021</v>
      </c>
      <c r="T739" s="6">
        <f t="shared" ca="1" si="206"/>
        <v>1</v>
      </c>
      <c r="U739" s="68">
        <f ca="1">IFERROR(__xludf.DUMMYFUNCTION("""COMPUTED_VALUE"""),44202.6458333333)</f>
        <v>44202.645833333299</v>
      </c>
      <c r="V739" s="6">
        <f ca="1">IFERROR(__xludf.DUMMYFUNCTION("""COMPUTED_VALUE"""),2968.21)</f>
        <v>2968.21</v>
      </c>
      <c r="Z739" s="6" t="str">
        <f t="shared" ca="1" si="207"/>
        <v>20202</v>
      </c>
      <c r="AA739" s="6">
        <f t="shared" ca="1" si="208"/>
        <v>2020</v>
      </c>
      <c r="AB739" s="6">
        <f t="shared" ca="1" si="209"/>
        <v>2</v>
      </c>
      <c r="AC739" s="68">
        <f ca="1">IFERROR(__xludf.DUMMYFUNCTION("""COMPUTED_VALUE"""),43875.9986111111)</f>
        <v>43875.998611111099</v>
      </c>
      <c r="AD739" s="6">
        <f ca="1">IFERROR(__xludf.DUMMYFUNCTION("""COMPUTED_VALUE"""),1182.18)</f>
        <v>1182.18</v>
      </c>
      <c r="AH739" s="6" t="str">
        <f t="shared" ca="1" si="210"/>
        <v>20201</v>
      </c>
      <c r="AI739" s="6">
        <f t="shared" ca="1" si="211"/>
        <v>2020</v>
      </c>
      <c r="AJ739" s="6">
        <f t="shared" ca="1" si="212"/>
        <v>1</v>
      </c>
      <c r="AK739" s="68">
        <f ca="1">IFERROR(__xludf.DUMMYFUNCTION("""COMPUTED_VALUE"""),43831.9986111111)</f>
        <v>43831.998611111099</v>
      </c>
      <c r="AL739" s="6">
        <f ca="1">IFERROR(__xludf.DUMMYFUNCTION("""COMPUTED_VALUE"""),7185.444)</f>
        <v>7185.4440000000004</v>
      </c>
      <c r="AP739" s="6" t="str">
        <f t="shared" ca="1" si="213"/>
        <v>202012</v>
      </c>
      <c r="AQ739" s="6">
        <f t="shared" ca="1" si="214"/>
        <v>2020</v>
      </c>
      <c r="AR739" s="6">
        <f t="shared" ca="1" si="215"/>
        <v>12</v>
      </c>
      <c r="AS739" s="68">
        <f ca="1">IFERROR(__xludf.DUMMYFUNCTION("""COMPUTED_VALUE"""),44176.9986111111)</f>
        <v>44176.998611111099</v>
      </c>
      <c r="AT739" s="6">
        <f ca="1">IFERROR(__xludf.DUMMYFUNCTION("""COMPUTED_VALUE"""),1843.6)</f>
        <v>1843.6</v>
      </c>
    </row>
    <row r="740" spans="2:46" x14ac:dyDescent="0.35">
      <c r="B740" s="6" t="str">
        <f t="shared" ca="1" si="198"/>
        <v>202012</v>
      </c>
      <c r="C740" s="6">
        <f t="shared" ca="1" si="199"/>
        <v>2020</v>
      </c>
      <c r="D740" s="6">
        <f t="shared" ca="1" si="200"/>
        <v>12</v>
      </c>
      <c r="E740" s="68">
        <f ca="1">IFERROR(__xludf.DUMMYFUNCTION("""COMPUTED_VALUE"""),44168.6666666666)</f>
        <v>44168.666666666599</v>
      </c>
      <c r="F740" s="6">
        <f ca="1">IFERROR(__xludf.DUMMYFUNCTION("""COMPUTED_VALUE"""),3666.72)</f>
        <v>3666.72</v>
      </c>
      <c r="J740" s="6" t="str">
        <f t="shared" ca="1" si="201"/>
        <v>202011</v>
      </c>
      <c r="K740" s="6">
        <f t="shared" ca="1" si="202"/>
        <v>2020</v>
      </c>
      <c r="L740" s="6">
        <f t="shared" ca="1" si="203"/>
        <v>11</v>
      </c>
      <c r="M740" s="68">
        <f ca="1">IFERROR(__xludf.DUMMYFUNCTION("""COMPUTED_VALUE"""),44162.5416666666)</f>
        <v>44162.541666666599</v>
      </c>
      <c r="N740" s="6">
        <f ca="1">IFERROR(__xludf.DUMMYFUNCTION("""COMPUTED_VALUE"""),12205.85)</f>
        <v>12205.85</v>
      </c>
      <c r="R740" s="6" t="str">
        <f t="shared" ca="1" si="204"/>
        <v>20211</v>
      </c>
      <c r="S740" s="6">
        <f t="shared" ca="1" si="205"/>
        <v>2021</v>
      </c>
      <c r="T740" s="6">
        <f t="shared" ca="1" si="206"/>
        <v>1</v>
      </c>
      <c r="U740" s="68">
        <f ca="1">IFERROR(__xludf.DUMMYFUNCTION("""COMPUTED_VALUE"""),44203.6458333333)</f>
        <v>44203.645833333299</v>
      </c>
      <c r="V740" s="6">
        <f ca="1">IFERROR(__xludf.DUMMYFUNCTION("""COMPUTED_VALUE"""),3031.68)</f>
        <v>3031.68</v>
      </c>
      <c r="Z740" s="6" t="str">
        <f t="shared" ca="1" si="207"/>
        <v>20202</v>
      </c>
      <c r="AA740" s="6">
        <f t="shared" ca="1" si="208"/>
        <v>2020</v>
      </c>
      <c r="AB740" s="6">
        <f t="shared" ca="1" si="209"/>
        <v>2</v>
      </c>
      <c r="AC740" s="68">
        <f ca="1">IFERROR(__xludf.DUMMYFUNCTION("""COMPUTED_VALUE"""),43876.9986111111)</f>
        <v>43876.998611111099</v>
      </c>
      <c r="AD740" s="6">
        <f ca="1">IFERROR(__xludf.DUMMYFUNCTION("""COMPUTED_VALUE"""),1182.18)</f>
        <v>1182.18</v>
      </c>
      <c r="AH740" s="6" t="str">
        <f t="shared" ca="1" si="210"/>
        <v>20201</v>
      </c>
      <c r="AI740" s="6">
        <f t="shared" ca="1" si="211"/>
        <v>2020</v>
      </c>
      <c r="AJ740" s="6">
        <f t="shared" ca="1" si="212"/>
        <v>1</v>
      </c>
      <c r="AK740" s="68">
        <f ca="1">IFERROR(__xludf.DUMMYFUNCTION("""COMPUTED_VALUE"""),43832.9986111111)</f>
        <v>43832.998611111099</v>
      </c>
      <c r="AL740" s="6">
        <f ca="1">IFERROR(__xludf.DUMMYFUNCTION("""COMPUTED_VALUE"""),6957.167)</f>
        <v>6957.1670000000004</v>
      </c>
      <c r="AP740" s="6" t="str">
        <f t="shared" ca="1" si="213"/>
        <v>202012</v>
      </c>
      <c r="AQ740" s="6">
        <f t="shared" ca="1" si="214"/>
        <v>2020</v>
      </c>
      <c r="AR740" s="6">
        <f t="shared" ca="1" si="215"/>
        <v>12</v>
      </c>
      <c r="AS740" s="68">
        <f ca="1">IFERROR(__xludf.DUMMYFUNCTION("""COMPUTED_VALUE"""),44179.9986111111)</f>
        <v>44179.998611111099</v>
      </c>
      <c r="AT740" s="6">
        <f ca="1">IFERROR(__xludf.DUMMYFUNCTION("""COMPUTED_VALUE"""),1832.1)</f>
        <v>1832.1</v>
      </c>
    </row>
    <row r="741" spans="2:46" x14ac:dyDescent="0.35">
      <c r="B741" s="6" t="str">
        <f t="shared" ca="1" si="198"/>
        <v>202012</v>
      </c>
      <c r="C741" s="6">
        <f t="shared" ca="1" si="199"/>
        <v>2020</v>
      </c>
      <c r="D741" s="6">
        <f t="shared" ca="1" si="200"/>
        <v>12</v>
      </c>
      <c r="E741" s="68">
        <f ca="1">IFERROR(__xludf.DUMMYFUNCTION("""COMPUTED_VALUE"""),44169.6666666666)</f>
        <v>44169.666666666599</v>
      </c>
      <c r="F741" s="6">
        <f ca="1">IFERROR(__xludf.DUMMYFUNCTION("""COMPUTED_VALUE"""),3699.12)</f>
        <v>3699.12</v>
      </c>
      <c r="J741" s="6" t="str">
        <f t="shared" ca="1" si="201"/>
        <v>202011</v>
      </c>
      <c r="K741" s="6">
        <f t="shared" ca="1" si="202"/>
        <v>2020</v>
      </c>
      <c r="L741" s="6">
        <f t="shared" ca="1" si="203"/>
        <v>11</v>
      </c>
      <c r="M741" s="68">
        <f ca="1">IFERROR(__xludf.DUMMYFUNCTION("""COMPUTED_VALUE"""),44165.6666666666)</f>
        <v>44165.666666666599</v>
      </c>
      <c r="N741" s="6">
        <f ca="1">IFERROR(__xludf.DUMMYFUNCTION("""COMPUTED_VALUE"""),12198.74)</f>
        <v>12198.74</v>
      </c>
      <c r="R741" s="6" t="str">
        <f t="shared" ca="1" si="204"/>
        <v>20211</v>
      </c>
      <c r="S741" s="6">
        <f t="shared" ca="1" si="205"/>
        <v>2021</v>
      </c>
      <c r="T741" s="6">
        <f t="shared" ca="1" si="206"/>
        <v>1</v>
      </c>
      <c r="U741" s="68">
        <f ca="1">IFERROR(__xludf.DUMMYFUNCTION("""COMPUTED_VALUE"""),44204.6458333333)</f>
        <v>44204.645833333299</v>
      </c>
      <c r="V741" s="6">
        <f ca="1">IFERROR(__xludf.DUMMYFUNCTION("""COMPUTED_VALUE"""),3152.18)</f>
        <v>3152.18</v>
      </c>
      <c r="Z741" s="6" t="str">
        <f t="shared" ca="1" si="207"/>
        <v>20202</v>
      </c>
      <c r="AA741" s="6">
        <f t="shared" ca="1" si="208"/>
        <v>2020</v>
      </c>
      <c r="AB741" s="6">
        <f t="shared" ca="1" si="209"/>
        <v>2</v>
      </c>
      <c r="AC741" s="68">
        <f ca="1">IFERROR(__xludf.DUMMYFUNCTION("""COMPUTED_VALUE"""),43877.9986111111)</f>
        <v>43877.998611111099</v>
      </c>
      <c r="AD741" s="6">
        <f ca="1">IFERROR(__xludf.DUMMYFUNCTION("""COMPUTED_VALUE"""),1182.18)</f>
        <v>1182.18</v>
      </c>
      <c r="AH741" s="6" t="str">
        <f t="shared" ca="1" si="210"/>
        <v>20201</v>
      </c>
      <c r="AI741" s="6">
        <f t="shared" ca="1" si="211"/>
        <v>2020</v>
      </c>
      <c r="AJ741" s="6">
        <f t="shared" ca="1" si="212"/>
        <v>1</v>
      </c>
      <c r="AK741" s="68">
        <f ca="1">IFERROR(__xludf.DUMMYFUNCTION("""COMPUTED_VALUE"""),43833.9986111111)</f>
        <v>43833.998611111099</v>
      </c>
      <c r="AL741" s="6">
        <f ca="1">IFERROR(__xludf.DUMMYFUNCTION("""COMPUTED_VALUE"""),7335.04)</f>
        <v>7335.04</v>
      </c>
      <c r="AP741" s="6" t="str">
        <f t="shared" ca="1" si="213"/>
        <v>202012</v>
      </c>
      <c r="AQ741" s="6">
        <f t="shared" ca="1" si="214"/>
        <v>2020</v>
      </c>
      <c r="AR741" s="6">
        <f t="shared" ca="1" si="215"/>
        <v>12</v>
      </c>
      <c r="AS741" s="68">
        <f ca="1">IFERROR(__xludf.DUMMYFUNCTION("""COMPUTED_VALUE"""),44180.9986111111)</f>
        <v>44180.998611111099</v>
      </c>
      <c r="AT741" s="6">
        <f ca="1">IFERROR(__xludf.DUMMYFUNCTION("""COMPUTED_VALUE"""),1855.3)</f>
        <v>1855.3</v>
      </c>
    </row>
    <row r="742" spans="2:46" x14ac:dyDescent="0.35">
      <c r="B742" s="6" t="str">
        <f t="shared" ca="1" si="198"/>
        <v>202012</v>
      </c>
      <c r="C742" s="6">
        <f t="shared" ca="1" si="199"/>
        <v>2020</v>
      </c>
      <c r="D742" s="6">
        <f t="shared" ca="1" si="200"/>
        <v>12</v>
      </c>
      <c r="E742" s="68">
        <f ca="1">IFERROR(__xludf.DUMMYFUNCTION("""COMPUTED_VALUE"""),44172.6666666666)</f>
        <v>44172.666666666599</v>
      </c>
      <c r="F742" s="6">
        <f ca="1">IFERROR(__xludf.DUMMYFUNCTION("""COMPUTED_VALUE"""),3691.96)</f>
        <v>3691.96</v>
      </c>
      <c r="J742" s="6" t="str">
        <f t="shared" ca="1" si="201"/>
        <v>202012</v>
      </c>
      <c r="K742" s="6">
        <f t="shared" ca="1" si="202"/>
        <v>2020</v>
      </c>
      <c r="L742" s="6">
        <f t="shared" ca="1" si="203"/>
        <v>12</v>
      </c>
      <c r="M742" s="68">
        <f ca="1">IFERROR(__xludf.DUMMYFUNCTION("""COMPUTED_VALUE"""),44166.6666666666)</f>
        <v>44166.666666666599</v>
      </c>
      <c r="N742" s="6">
        <f ca="1">IFERROR(__xludf.DUMMYFUNCTION("""COMPUTED_VALUE"""),12355.11)</f>
        <v>12355.11</v>
      </c>
      <c r="R742" s="6" t="str">
        <f t="shared" ca="1" si="204"/>
        <v>20211</v>
      </c>
      <c r="S742" s="6">
        <f t="shared" ca="1" si="205"/>
        <v>2021</v>
      </c>
      <c r="T742" s="6">
        <f t="shared" ca="1" si="206"/>
        <v>1</v>
      </c>
      <c r="U742" s="68">
        <f ca="1">IFERROR(__xludf.DUMMYFUNCTION("""COMPUTED_VALUE"""),44207.6458333333)</f>
        <v>44207.645833333299</v>
      </c>
      <c r="V742" s="6">
        <f ca="1">IFERROR(__xludf.DUMMYFUNCTION("""COMPUTED_VALUE"""),3148.45)</f>
        <v>3148.45</v>
      </c>
      <c r="Z742" s="6" t="str">
        <f t="shared" ca="1" si="207"/>
        <v>20202</v>
      </c>
      <c r="AA742" s="6">
        <f t="shared" ca="1" si="208"/>
        <v>2020</v>
      </c>
      <c r="AB742" s="6">
        <f t="shared" ca="1" si="209"/>
        <v>2</v>
      </c>
      <c r="AC742" s="68">
        <f ca="1">IFERROR(__xludf.DUMMYFUNCTION("""COMPUTED_VALUE"""),43878.9986111111)</f>
        <v>43878.998611111099</v>
      </c>
      <c r="AD742" s="6">
        <f ca="1">IFERROR(__xludf.DUMMYFUNCTION("""COMPUTED_VALUE"""),1183.81)</f>
        <v>1183.81</v>
      </c>
      <c r="AH742" s="6" t="str">
        <f t="shared" ca="1" si="210"/>
        <v>20201</v>
      </c>
      <c r="AI742" s="6">
        <f t="shared" ca="1" si="211"/>
        <v>2020</v>
      </c>
      <c r="AJ742" s="6">
        <f t="shared" ca="1" si="212"/>
        <v>1</v>
      </c>
      <c r="AK742" s="68">
        <f ca="1">IFERROR(__xludf.DUMMYFUNCTION("""COMPUTED_VALUE"""),43834.9986111111)</f>
        <v>43834.998611111099</v>
      </c>
      <c r="AL742" s="6">
        <f ca="1">IFERROR(__xludf.DUMMYFUNCTION("""COMPUTED_VALUE"""),7355.388)</f>
        <v>7355.3879999999999</v>
      </c>
      <c r="AP742" s="6" t="str">
        <f t="shared" ca="1" si="213"/>
        <v>202012</v>
      </c>
      <c r="AQ742" s="6">
        <f t="shared" ca="1" si="214"/>
        <v>2020</v>
      </c>
      <c r="AR742" s="6">
        <f t="shared" ca="1" si="215"/>
        <v>12</v>
      </c>
      <c r="AS742" s="68">
        <f ca="1">IFERROR(__xludf.DUMMYFUNCTION("""COMPUTED_VALUE"""),44181.9986111111)</f>
        <v>44181.998611111099</v>
      </c>
      <c r="AT742" s="6">
        <f ca="1">IFERROR(__xludf.DUMMYFUNCTION("""COMPUTED_VALUE"""),1859.1)</f>
        <v>1859.1</v>
      </c>
    </row>
    <row r="743" spans="2:46" x14ac:dyDescent="0.35">
      <c r="B743" s="6" t="str">
        <f t="shared" ca="1" si="198"/>
        <v>202012</v>
      </c>
      <c r="C743" s="6">
        <f t="shared" ca="1" si="199"/>
        <v>2020</v>
      </c>
      <c r="D743" s="6">
        <f t="shared" ca="1" si="200"/>
        <v>12</v>
      </c>
      <c r="E743" s="68">
        <f ca="1">IFERROR(__xludf.DUMMYFUNCTION("""COMPUTED_VALUE"""),44173.6666666666)</f>
        <v>44173.666666666599</v>
      </c>
      <c r="F743" s="6">
        <f ca="1">IFERROR(__xludf.DUMMYFUNCTION("""COMPUTED_VALUE"""),3702.25)</f>
        <v>3702.25</v>
      </c>
      <c r="J743" s="6" t="str">
        <f t="shared" ca="1" si="201"/>
        <v>202012</v>
      </c>
      <c r="K743" s="6">
        <f t="shared" ca="1" si="202"/>
        <v>2020</v>
      </c>
      <c r="L743" s="6">
        <f t="shared" ca="1" si="203"/>
        <v>12</v>
      </c>
      <c r="M743" s="68">
        <f ca="1">IFERROR(__xludf.DUMMYFUNCTION("""COMPUTED_VALUE"""),44167.6666666666)</f>
        <v>44167.666666666599</v>
      </c>
      <c r="N743" s="6">
        <f ca="1">IFERROR(__xludf.DUMMYFUNCTION("""COMPUTED_VALUE"""),12349.37)</f>
        <v>12349.37</v>
      </c>
      <c r="R743" s="6" t="str">
        <f t="shared" ca="1" si="204"/>
        <v>20211</v>
      </c>
      <c r="S743" s="6">
        <f t="shared" ca="1" si="205"/>
        <v>2021</v>
      </c>
      <c r="T743" s="6">
        <f t="shared" ca="1" si="206"/>
        <v>1</v>
      </c>
      <c r="U743" s="68">
        <f ca="1">IFERROR(__xludf.DUMMYFUNCTION("""COMPUTED_VALUE"""),44208.6458333333)</f>
        <v>44208.645833333299</v>
      </c>
      <c r="V743" s="6">
        <f ca="1">IFERROR(__xludf.DUMMYFUNCTION("""COMPUTED_VALUE"""),3125.95)</f>
        <v>3125.95</v>
      </c>
      <c r="Z743" s="6" t="str">
        <f t="shared" ca="1" si="207"/>
        <v>20202</v>
      </c>
      <c r="AA743" s="6">
        <f t="shared" ca="1" si="208"/>
        <v>2020</v>
      </c>
      <c r="AB743" s="6">
        <f t="shared" ca="1" si="209"/>
        <v>2</v>
      </c>
      <c r="AC743" s="68">
        <f ca="1">IFERROR(__xludf.DUMMYFUNCTION("""COMPUTED_VALUE"""),43879.9986111111)</f>
        <v>43879.998611111099</v>
      </c>
      <c r="AD743" s="6">
        <f ca="1">IFERROR(__xludf.DUMMYFUNCTION("""COMPUTED_VALUE"""),1189.93)</f>
        <v>1189.93</v>
      </c>
      <c r="AH743" s="6" t="str">
        <f t="shared" ca="1" si="210"/>
        <v>20201</v>
      </c>
      <c r="AI743" s="6">
        <f t="shared" ca="1" si="211"/>
        <v>2020</v>
      </c>
      <c r="AJ743" s="6">
        <f t="shared" ca="1" si="212"/>
        <v>1</v>
      </c>
      <c r="AK743" s="68">
        <f ca="1">IFERROR(__xludf.DUMMYFUNCTION("""COMPUTED_VALUE"""),43835.9986111111)</f>
        <v>43835.998611111099</v>
      </c>
      <c r="AL743" s="6">
        <f ca="1">IFERROR(__xludf.DUMMYFUNCTION("""COMPUTED_VALUE"""),7353.388)</f>
        <v>7353.3879999999999</v>
      </c>
      <c r="AP743" s="6" t="str">
        <f t="shared" ca="1" si="213"/>
        <v>202012</v>
      </c>
      <c r="AQ743" s="6">
        <f t="shared" ca="1" si="214"/>
        <v>2020</v>
      </c>
      <c r="AR743" s="6">
        <f t="shared" ca="1" si="215"/>
        <v>12</v>
      </c>
      <c r="AS743" s="68">
        <f ca="1">IFERROR(__xludf.DUMMYFUNCTION("""COMPUTED_VALUE"""),44182.9986111111)</f>
        <v>44182.998611111099</v>
      </c>
      <c r="AT743" s="6">
        <f ca="1">IFERROR(__xludf.DUMMYFUNCTION("""COMPUTED_VALUE"""),1890.4)</f>
        <v>1890.4</v>
      </c>
    </row>
    <row r="744" spans="2:46" x14ac:dyDescent="0.35">
      <c r="B744" s="6" t="str">
        <f t="shared" ca="1" si="198"/>
        <v>202012</v>
      </c>
      <c r="C744" s="6">
        <f t="shared" ca="1" si="199"/>
        <v>2020</v>
      </c>
      <c r="D744" s="6">
        <f t="shared" ca="1" si="200"/>
        <v>12</v>
      </c>
      <c r="E744" s="68">
        <f ca="1">IFERROR(__xludf.DUMMYFUNCTION("""COMPUTED_VALUE"""),44174.6666666666)</f>
        <v>44174.666666666599</v>
      </c>
      <c r="F744" s="6">
        <f ca="1">IFERROR(__xludf.DUMMYFUNCTION("""COMPUTED_VALUE"""),3672.82)</f>
        <v>3672.82</v>
      </c>
      <c r="J744" s="6" t="str">
        <f t="shared" ca="1" si="201"/>
        <v>202012</v>
      </c>
      <c r="K744" s="6">
        <f t="shared" ca="1" si="202"/>
        <v>2020</v>
      </c>
      <c r="L744" s="6">
        <f t="shared" ca="1" si="203"/>
        <v>12</v>
      </c>
      <c r="M744" s="68">
        <f ca="1">IFERROR(__xludf.DUMMYFUNCTION("""COMPUTED_VALUE"""),44168.6666666666)</f>
        <v>44168.666666666599</v>
      </c>
      <c r="N744" s="6">
        <f ca="1">IFERROR(__xludf.DUMMYFUNCTION("""COMPUTED_VALUE"""),12377.18)</f>
        <v>12377.18</v>
      </c>
      <c r="R744" s="6" t="str">
        <f t="shared" ca="1" si="204"/>
        <v>20211</v>
      </c>
      <c r="S744" s="6">
        <f t="shared" ca="1" si="205"/>
        <v>2021</v>
      </c>
      <c r="T744" s="6">
        <f t="shared" ca="1" si="206"/>
        <v>1</v>
      </c>
      <c r="U744" s="68">
        <f ca="1">IFERROR(__xludf.DUMMYFUNCTION("""COMPUTED_VALUE"""),44209.6458333333)</f>
        <v>44209.645833333299</v>
      </c>
      <c r="V744" s="6">
        <f ca="1">IFERROR(__xludf.DUMMYFUNCTION("""COMPUTED_VALUE"""),3148.29)</f>
        <v>3148.29</v>
      </c>
      <c r="Z744" s="6" t="str">
        <f t="shared" ca="1" si="207"/>
        <v>20202</v>
      </c>
      <c r="AA744" s="6">
        <f t="shared" ca="1" si="208"/>
        <v>2020</v>
      </c>
      <c r="AB744" s="6">
        <f t="shared" ca="1" si="209"/>
        <v>2</v>
      </c>
      <c r="AC744" s="68">
        <f ca="1">IFERROR(__xludf.DUMMYFUNCTION("""COMPUTED_VALUE"""),43880.9986111111)</f>
        <v>43880.998611111099</v>
      </c>
      <c r="AD744" s="6">
        <f ca="1">IFERROR(__xludf.DUMMYFUNCTION("""COMPUTED_VALUE"""),1191.37)</f>
        <v>1191.3699999999999</v>
      </c>
      <c r="AH744" s="6" t="str">
        <f t="shared" ca="1" si="210"/>
        <v>20201</v>
      </c>
      <c r="AI744" s="6">
        <f t="shared" ca="1" si="211"/>
        <v>2020</v>
      </c>
      <c r="AJ744" s="6">
        <f t="shared" ca="1" si="212"/>
        <v>1</v>
      </c>
      <c r="AK744" s="68">
        <f ca="1">IFERROR(__xludf.DUMMYFUNCTION("""COMPUTED_VALUE"""),43836.9986111111)</f>
        <v>43836.998611111099</v>
      </c>
      <c r="AL744" s="6">
        <f ca="1">IFERROR(__xludf.DUMMYFUNCTION("""COMPUTED_VALUE"""),7760.68)</f>
        <v>7760.68</v>
      </c>
      <c r="AP744" s="6" t="str">
        <f t="shared" ca="1" si="213"/>
        <v>202012</v>
      </c>
      <c r="AQ744" s="6">
        <f t="shared" ca="1" si="214"/>
        <v>2020</v>
      </c>
      <c r="AR744" s="6">
        <f t="shared" ca="1" si="215"/>
        <v>12</v>
      </c>
      <c r="AS744" s="68">
        <f ca="1">IFERROR(__xludf.DUMMYFUNCTION("""COMPUTED_VALUE"""),44183.9986111111)</f>
        <v>44183.998611111099</v>
      </c>
      <c r="AT744" s="6">
        <f ca="1">IFERROR(__xludf.DUMMYFUNCTION("""COMPUTED_VALUE"""),1888.9)</f>
        <v>1888.9</v>
      </c>
    </row>
    <row r="745" spans="2:46" x14ac:dyDescent="0.35">
      <c r="B745" s="6" t="str">
        <f t="shared" ca="1" si="198"/>
        <v>202012</v>
      </c>
      <c r="C745" s="6">
        <f t="shared" ca="1" si="199"/>
        <v>2020</v>
      </c>
      <c r="D745" s="6">
        <f t="shared" ca="1" si="200"/>
        <v>12</v>
      </c>
      <c r="E745" s="68">
        <f ca="1">IFERROR(__xludf.DUMMYFUNCTION("""COMPUTED_VALUE"""),44175.6666666666)</f>
        <v>44175.666666666599</v>
      </c>
      <c r="F745" s="6">
        <f ca="1">IFERROR(__xludf.DUMMYFUNCTION("""COMPUTED_VALUE"""),3668.1)</f>
        <v>3668.1</v>
      </c>
      <c r="J745" s="6" t="str">
        <f t="shared" ca="1" si="201"/>
        <v>202012</v>
      </c>
      <c r="K745" s="6">
        <f t="shared" ca="1" si="202"/>
        <v>2020</v>
      </c>
      <c r="L745" s="6">
        <f t="shared" ca="1" si="203"/>
        <v>12</v>
      </c>
      <c r="M745" s="68">
        <f ca="1">IFERROR(__xludf.DUMMYFUNCTION("""COMPUTED_VALUE"""),44169.6666666666)</f>
        <v>44169.666666666599</v>
      </c>
      <c r="N745" s="6">
        <f ca="1">IFERROR(__xludf.DUMMYFUNCTION("""COMPUTED_VALUE"""),12464.23)</f>
        <v>12464.23</v>
      </c>
      <c r="R745" s="6" t="str">
        <f t="shared" ca="1" si="204"/>
        <v>20211</v>
      </c>
      <c r="S745" s="6">
        <f t="shared" ca="1" si="205"/>
        <v>2021</v>
      </c>
      <c r="T745" s="6">
        <f t="shared" ca="1" si="206"/>
        <v>1</v>
      </c>
      <c r="U745" s="68">
        <f ca="1">IFERROR(__xludf.DUMMYFUNCTION("""COMPUTED_VALUE"""),44210.6458333333)</f>
        <v>44210.645833333299</v>
      </c>
      <c r="V745" s="6">
        <f ca="1">IFERROR(__xludf.DUMMYFUNCTION("""COMPUTED_VALUE"""),3149.93)</f>
        <v>3149.93</v>
      </c>
      <c r="Z745" s="6" t="str">
        <f t="shared" ca="1" si="207"/>
        <v>20202</v>
      </c>
      <c r="AA745" s="6">
        <f t="shared" ca="1" si="208"/>
        <v>2020</v>
      </c>
      <c r="AB745" s="6">
        <f t="shared" ca="1" si="209"/>
        <v>2</v>
      </c>
      <c r="AC745" s="68">
        <f ca="1">IFERROR(__xludf.DUMMYFUNCTION("""COMPUTED_VALUE"""),43881.9986111111)</f>
        <v>43881.998611111099</v>
      </c>
      <c r="AD745" s="6">
        <f ca="1">IFERROR(__xludf.DUMMYFUNCTION("""COMPUTED_VALUE"""),1204.4)</f>
        <v>1204.4000000000001</v>
      </c>
      <c r="AH745" s="6" t="str">
        <f t="shared" ca="1" si="210"/>
        <v>20201</v>
      </c>
      <c r="AI745" s="6">
        <f t="shared" ca="1" si="211"/>
        <v>2020</v>
      </c>
      <c r="AJ745" s="6">
        <f t="shared" ca="1" si="212"/>
        <v>1</v>
      </c>
      <c r="AK745" s="68">
        <f ca="1">IFERROR(__xludf.DUMMYFUNCTION("""COMPUTED_VALUE"""),43837.9986111111)</f>
        <v>43837.998611111099</v>
      </c>
      <c r="AL745" s="6">
        <f ca="1">IFERROR(__xludf.DUMMYFUNCTION("""COMPUTED_VALUE"""),8158.987)</f>
        <v>8158.9870000000001</v>
      </c>
      <c r="AP745" s="6" t="str">
        <f t="shared" ca="1" si="213"/>
        <v>202012</v>
      </c>
      <c r="AQ745" s="6">
        <f t="shared" ca="1" si="214"/>
        <v>2020</v>
      </c>
      <c r="AR745" s="6">
        <f t="shared" ca="1" si="215"/>
        <v>12</v>
      </c>
      <c r="AS745" s="68">
        <f ca="1">IFERROR(__xludf.DUMMYFUNCTION("""COMPUTED_VALUE"""),44186.9986111111)</f>
        <v>44186.998611111099</v>
      </c>
      <c r="AT745" s="6">
        <f ca="1">IFERROR(__xludf.DUMMYFUNCTION("""COMPUTED_VALUE"""),1882.8)</f>
        <v>1882.8</v>
      </c>
    </row>
    <row r="746" spans="2:46" x14ac:dyDescent="0.35">
      <c r="B746" s="6" t="str">
        <f t="shared" ca="1" si="198"/>
        <v>202012</v>
      </c>
      <c r="C746" s="6">
        <f t="shared" ca="1" si="199"/>
        <v>2020</v>
      </c>
      <c r="D746" s="6">
        <f t="shared" ca="1" si="200"/>
        <v>12</v>
      </c>
      <c r="E746" s="68">
        <f ca="1">IFERROR(__xludf.DUMMYFUNCTION("""COMPUTED_VALUE"""),44176.6666666666)</f>
        <v>44176.666666666599</v>
      </c>
      <c r="F746" s="6">
        <f ca="1">IFERROR(__xludf.DUMMYFUNCTION("""COMPUTED_VALUE"""),3663.46)</f>
        <v>3663.46</v>
      </c>
      <c r="J746" s="6" t="str">
        <f t="shared" ca="1" si="201"/>
        <v>202012</v>
      </c>
      <c r="K746" s="6">
        <f t="shared" ca="1" si="202"/>
        <v>2020</v>
      </c>
      <c r="L746" s="6">
        <f t="shared" ca="1" si="203"/>
        <v>12</v>
      </c>
      <c r="M746" s="68">
        <f ca="1">IFERROR(__xludf.DUMMYFUNCTION("""COMPUTED_VALUE"""),44172.6666666666)</f>
        <v>44172.666666666599</v>
      </c>
      <c r="N746" s="6">
        <f ca="1">IFERROR(__xludf.DUMMYFUNCTION("""COMPUTED_VALUE"""),12519.95)</f>
        <v>12519.95</v>
      </c>
      <c r="R746" s="6" t="str">
        <f t="shared" ca="1" si="204"/>
        <v>20211</v>
      </c>
      <c r="S746" s="6">
        <f t="shared" ca="1" si="205"/>
        <v>2021</v>
      </c>
      <c r="T746" s="6">
        <f t="shared" ca="1" si="206"/>
        <v>1</v>
      </c>
      <c r="U746" s="68">
        <f ca="1">IFERROR(__xludf.DUMMYFUNCTION("""COMPUTED_VALUE"""),44211.6458333333)</f>
        <v>44211.645833333299</v>
      </c>
      <c r="V746" s="6">
        <f ca="1">IFERROR(__xludf.DUMMYFUNCTION("""COMPUTED_VALUE"""),3085.9)</f>
        <v>3085.9</v>
      </c>
      <c r="Z746" s="6" t="str">
        <f t="shared" ca="1" si="207"/>
        <v>20202</v>
      </c>
      <c r="AA746" s="6">
        <f t="shared" ca="1" si="208"/>
        <v>2020</v>
      </c>
      <c r="AB746" s="6">
        <f t="shared" ca="1" si="209"/>
        <v>2</v>
      </c>
      <c r="AC746" s="68">
        <f ca="1">IFERROR(__xludf.DUMMYFUNCTION("""COMPUTED_VALUE"""),43882.9986111111)</f>
        <v>43882.998611111099</v>
      </c>
      <c r="AD746" s="6">
        <f ca="1">IFERROR(__xludf.DUMMYFUNCTION("""COMPUTED_VALUE"""),1205.77)</f>
        <v>1205.77</v>
      </c>
      <c r="AH746" s="6" t="str">
        <f t="shared" ca="1" si="210"/>
        <v>20201</v>
      </c>
      <c r="AI746" s="6">
        <f t="shared" ca="1" si="211"/>
        <v>2020</v>
      </c>
      <c r="AJ746" s="6">
        <f t="shared" ca="1" si="212"/>
        <v>1</v>
      </c>
      <c r="AK746" s="68">
        <f ca="1">IFERROR(__xludf.DUMMYFUNCTION("""COMPUTED_VALUE"""),43838.9986111111)</f>
        <v>43838.998611111099</v>
      </c>
      <c r="AL746" s="6">
        <f ca="1">IFERROR(__xludf.DUMMYFUNCTION("""COMPUTED_VALUE"""),8043.438)</f>
        <v>8043.4380000000001</v>
      </c>
      <c r="AP746" s="6" t="str">
        <f t="shared" ca="1" si="213"/>
        <v>202012</v>
      </c>
      <c r="AQ746" s="6">
        <f t="shared" ca="1" si="214"/>
        <v>2020</v>
      </c>
      <c r="AR746" s="6">
        <f t="shared" ca="1" si="215"/>
        <v>12</v>
      </c>
      <c r="AS746" s="68">
        <f ca="1">IFERROR(__xludf.DUMMYFUNCTION("""COMPUTED_VALUE"""),44187.9986111111)</f>
        <v>44187.998611111099</v>
      </c>
      <c r="AT746" s="6">
        <f ca="1">IFERROR(__xludf.DUMMYFUNCTION("""COMPUTED_VALUE"""),1870.3)</f>
        <v>1870.3</v>
      </c>
    </row>
    <row r="747" spans="2:46" x14ac:dyDescent="0.35">
      <c r="B747" s="6" t="str">
        <f t="shared" ca="1" si="198"/>
        <v>202012</v>
      </c>
      <c r="C747" s="6">
        <f t="shared" ca="1" si="199"/>
        <v>2020</v>
      </c>
      <c r="D747" s="6">
        <f t="shared" ca="1" si="200"/>
        <v>12</v>
      </c>
      <c r="E747" s="68">
        <f ca="1">IFERROR(__xludf.DUMMYFUNCTION("""COMPUTED_VALUE"""),44179.6666666666)</f>
        <v>44179.666666666599</v>
      </c>
      <c r="F747" s="6">
        <f ca="1">IFERROR(__xludf.DUMMYFUNCTION("""COMPUTED_VALUE"""),3647.49)</f>
        <v>3647.49</v>
      </c>
      <c r="J747" s="6" t="str">
        <f t="shared" ca="1" si="201"/>
        <v>202012</v>
      </c>
      <c r="K747" s="6">
        <f t="shared" ca="1" si="202"/>
        <v>2020</v>
      </c>
      <c r="L747" s="6">
        <f t="shared" ca="1" si="203"/>
        <v>12</v>
      </c>
      <c r="M747" s="68">
        <f ca="1">IFERROR(__xludf.DUMMYFUNCTION("""COMPUTED_VALUE"""),44173.6666666666)</f>
        <v>44173.666666666599</v>
      </c>
      <c r="N747" s="6">
        <f ca="1">IFERROR(__xludf.DUMMYFUNCTION("""COMPUTED_VALUE"""),12582.77)</f>
        <v>12582.77</v>
      </c>
      <c r="R747" s="6" t="str">
        <f t="shared" ca="1" si="204"/>
        <v>20211</v>
      </c>
      <c r="S747" s="6">
        <f t="shared" ca="1" si="205"/>
        <v>2021</v>
      </c>
      <c r="T747" s="6">
        <f t="shared" ca="1" si="206"/>
        <v>1</v>
      </c>
      <c r="U747" s="68">
        <f ca="1">IFERROR(__xludf.DUMMYFUNCTION("""COMPUTED_VALUE"""),44214.6458333333)</f>
        <v>44214.645833333299</v>
      </c>
      <c r="V747" s="6">
        <f ca="1">IFERROR(__xludf.DUMMYFUNCTION("""COMPUTED_VALUE"""),3013.93)</f>
        <v>3013.93</v>
      </c>
      <c r="Z747" s="6" t="str">
        <f t="shared" ca="1" si="207"/>
        <v>20202</v>
      </c>
      <c r="AA747" s="6">
        <f t="shared" ca="1" si="208"/>
        <v>2020</v>
      </c>
      <c r="AB747" s="6">
        <f t="shared" ca="1" si="209"/>
        <v>2</v>
      </c>
      <c r="AC747" s="68">
        <f ca="1">IFERROR(__xludf.DUMMYFUNCTION("""COMPUTED_VALUE"""),43883.9986111111)</f>
        <v>43883.998611111099</v>
      </c>
      <c r="AD747" s="6">
        <f ca="1">IFERROR(__xludf.DUMMYFUNCTION("""COMPUTED_VALUE"""),1205.77)</f>
        <v>1205.77</v>
      </c>
      <c r="AH747" s="6" t="str">
        <f t="shared" ca="1" si="210"/>
        <v>20201</v>
      </c>
      <c r="AI747" s="6">
        <f t="shared" ca="1" si="211"/>
        <v>2020</v>
      </c>
      <c r="AJ747" s="6">
        <f t="shared" ca="1" si="212"/>
        <v>1</v>
      </c>
      <c r="AK747" s="68">
        <f ca="1">IFERROR(__xludf.DUMMYFUNCTION("""COMPUTED_VALUE"""),43839.9986111111)</f>
        <v>43839.998611111099</v>
      </c>
      <c r="AL747" s="6">
        <f ca="1">IFERROR(__xludf.DUMMYFUNCTION("""COMPUTED_VALUE"""),7815.659)</f>
        <v>7815.6589999999997</v>
      </c>
      <c r="AP747" s="6" t="str">
        <f t="shared" ca="1" si="213"/>
        <v>202012</v>
      </c>
      <c r="AQ747" s="6">
        <f t="shared" ca="1" si="214"/>
        <v>2020</v>
      </c>
      <c r="AR747" s="6">
        <f t="shared" ca="1" si="215"/>
        <v>12</v>
      </c>
      <c r="AS747" s="68">
        <f ca="1">IFERROR(__xludf.DUMMYFUNCTION("""COMPUTED_VALUE"""),44188.9986111111)</f>
        <v>44188.998611111099</v>
      </c>
      <c r="AT747" s="6">
        <f ca="1">IFERROR(__xludf.DUMMYFUNCTION("""COMPUTED_VALUE"""),1878.1)</f>
        <v>1878.1</v>
      </c>
    </row>
    <row r="748" spans="2:46" x14ac:dyDescent="0.35">
      <c r="B748" s="6" t="str">
        <f t="shared" ca="1" si="198"/>
        <v>202012</v>
      </c>
      <c r="C748" s="6">
        <f t="shared" ca="1" si="199"/>
        <v>2020</v>
      </c>
      <c r="D748" s="6">
        <f t="shared" ca="1" si="200"/>
        <v>12</v>
      </c>
      <c r="E748" s="68">
        <f ca="1">IFERROR(__xludf.DUMMYFUNCTION("""COMPUTED_VALUE"""),44180.6666666666)</f>
        <v>44180.666666666599</v>
      </c>
      <c r="F748" s="6">
        <f ca="1">IFERROR(__xludf.DUMMYFUNCTION("""COMPUTED_VALUE"""),3694.62)</f>
        <v>3694.62</v>
      </c>
      <c r="J748" s="6" t="str">
        <f t="shared" ca="1" si="201"/>
        <v>202012</v>
      </c>
      <c r="K748" s="6">
        <f t="shared" ca="1" si="202"/>
        <v>2020</v>
      </c>
      <c r="L748" s="6">
        <f t="shared" ca="1" si="203"/>
        <v>12</v>
      </c>
      <c r="M748" s="68">
        <f ca="1">IFERROR(__xludf.DUMMYFUNCTION("""COMPUTED_VALUE"""),44174.6666666666)</f>
        <v>44174.666666666599</v>
      </c>
      <c r="N748" s="6">
        <f ca="1">IFERROR(__xludf.DUMMYFUNCTION("""COMPUTED_VALUE"""),12338.95)</f>
        <v>12338.95</v>
      </c>
      <c r="R748" s="6" t="str">
        <f t="shared" ca="1" si="204"/>
        <v>20211</v>
      </c>
      <c r="S748" s="6">
        <f t="shared" ca="1" si="205"/>
        <v>2021</v>
      </c>
      <c r="T748" s="6">
        <f t="shared" ca="1" si="206"/>
        <v>1</v>
      </c>
      <c r="U748" s="68">
        <f ca="1">IFERROR(__xludf.DUMMYFUNCTION("""COMPUTED_VALUE"""),44215.6458333333)</f>
        <v>44215.645833333299</v>
      </c>
      <c r="V748" s="6">
        <f ca="1">IFERROR(__xludf.DUMMYFUNCTION("""COMPUTED_VALUE"""),3092.66)</f>
        <v>3092.66</v>
      </c>
      <c r="Z748" s="6" t="str">
        <f t="shared" ca="1" si="207"/>
        <v>20202</v>
      </c>
      <c r="AA748" s="6">
        <f t="shared" ca="1" si="208"/>
        <v>2020</v>
      </c>
      <c r="AB748" s="6">
        <f t="shared" ca="1" si="209"/>
        <v>2</v>
      </c>
      <c r="AC748" s="68">
        <f ca="1">IFERROR(__xludf.DUMMYFUNCTION("""COMPUTED_VALUE"""),43884.9986111111)</f>
        <v>43884.998611111099</v>
      </c>
      <c r="AD748" s="6">
        <f ca="1">IFERROR(__xludf.DUMMYFUNCTION("""COMPUTED_VALUE"""),1205.77)</f>
        <v>1205.77</v>
      </c>
      <c r="AH748" s="6" t="str">
        <f t="shared" ca="1" si="210"/>
        <v>20201</v>
      </c>
      <c r="AI748" s="6">
        <f t="shared" ca="1" si="211"/>
        <v>2020</v>
      </c>
      <c r="AJ748" s="6">
        <f t="shared" ca="1" si="212"/>
        <v>1</v>
      </c>
      <c r="AK748" s="68">
        <f ca="1">IFERROR(__xludf.DUMMYFUNCTION("""COMPUTED_VALUE"""),43840.9986111111)</f>
        <v>43840.998611111099</v>
      </c>
      <c r="AL748" s="6">
        <f ca="1">IFERROR(__xludf.DUMMYFUNCTION("""COMPUTED_VALUE"""),8189.217)</f>
        <v>8189.2169999999996</v>
      </c>
      <c r="AP748" s="6" t="str">
        <f t="shared" ca="1" si="213"/>
        <v>202012</v>
      </c>
      <c r="AQ748" s="6">
        <f t="shared" ca="1" si="214"/>
        <v>2020</v>
      </c>
      <c r="AR748" s="6">
        <f t="shared" ca="1" si="215"/>
        <v>12</v>
      </c>
      <c r="AS748" s="68">
        <f ca="1">IFERROR(__xludf.DUMMYFUNCTION("""COMPUTED_VALUE"""),44189.5416666666)</f>
        <v>44189.541666666599</v>
      </c>
      <c r="AT748" s="6">
        <f ca="1">IFERROR(__xludf.DUMMYFUNCTION("""COMPUTED_VALUE"""),1883.2)</f>
        <v>1883.2</v>
      </c>
    </row>
    <row r="749" spans="2:46" x14ac:dyDescent="0.35">
      <c r="B749" s="6" t="str">
        <f t="shared" ca="1" si="198"/>
        <v>202012</v>
      </c>
      <c r="C749" s="6">
        <f t="shared" ca="1" si="199"/>
        <v>2020</v>
      </c>
      <c r="D749" s="6">
        <f t="shared" ca="1" si="200"/>
        <v>12</v>
      </c>
      <c r="E749" s="68">
        <f ca="1">IFERROR(__xludf.DUMMYFUNCTION("""COMPUTED_VALUE"""),44181.6666666666)</f>
        <v>44181.666666666599</v>
      </c>
      <c r="F749" s="6">
        <f ca="1">IFERROR(__xludf.DUMMYFUNCTION("""COMPUTED_VALUE"""),3701.17)</f>
        <v>3701.17</v>
      </c>
      <c r="J749" s="6" t="str">
        <f t="shared" ca="1" si="201"/>
        <v>202012</v>
      </c>
      <c r="K749" s="6">
        <f t="shared" ca="1" si="202"/>
        <v>2020</v>
      </c>
      <c r="L749" s="6">
        <f t="shared" ca="1" si="203"/>
        <v>12</v>
      </c>
      <c r="M749" s="68">
        <f ca="1">IFERROR(__xludf.DUMMYFUNCTION("""COMPUTED_VALUE"""),44175.6666666666)</f>
        <v>44175.666666666599</v>
      </c>
      <c r="N749" s="6">
        <f ca="1">IFERROR(__xludf.DUMMYFUNCTION("""COMPUTED_VALUE"""),12405.81)</f>
        <v>12405.81</v>
      </c>
      <c r="R749" s="6" t="str">
        <f t="shared" ca="1" si="204"/>
        <v>20211</v>
      </c>
      <c r="S749" s="6">
        <f t="shared" ca="1" si="205"/>
        <v>2021</v>
      </c>
      <c r="T749" s="6">
        <f t="shared" ca="1" si="206"/>
        <v>1</v>
      </c>
      <c r="U749" s="68">
        <f ca="1">IFERROR(__xludf.DUMMYFUNCTION("""COMPUTED_VALUE"""),44216.6458333333)</f>
        <v>44216.645833333299</v>
      </c>
      <c r="V749" s="6">
        <f ca="1">IFERROR(__xludf.DUMMYFUNCTION("""COMPUTED_VALUE"""),3114.55)</f>
        <v>3114.55</v>
      </c>
      <c r="Z749" s="6" t="str">
        <f t="shared" ca="1" si="207"/>
        <v>20202</v>
      </c>
      <c r="AA749" s="6">
        <f t="shared" ca="1" si="208"/>
        <v>2020</v>
      </c>
      <c r="AB749" s="6">
        <f t="shared" ca="1" si="209"/>
        <v>2</v>
      </c>
      <c r="AC749" s="68">
        <f ca="1">IFERROR(__xludf.DUMMYFUNCTION("""COMPUTED_VALUE"""),43885.9986111111)</f>
        <v>43885.998611111099</v>
      </c>
      <c r="AD749" s="6">
        <f ca="1">IFERROR(__xludf.DUMMYFUNCTION("""COMPUTED_VALUE"""),1217.65)</f>
        <v>1217.6500000000001</v>
      </c>
      <c r="AH749" s="6" t="str">
        <f t="shared" ca="1" si="210"/>
        <v>20201</v>
      </c>
      <c r="AI749" s="6">
        <f t="shared" ca="1" si="211"/>
        <v>2020</v>
      </c>
      <c r="AJ749" s="6">
        <f t="shared" ca="1" si="212"/>
        <v>1</v>
      </c>
      <c r="AK749" s="68">
        <f ca="1">IFERROR(__xludf.DUMMYFUNCTION("""COMPUTED_VALUE"""),43841.9986111111)</f>
        <v>43841.998611111099</v>
      </c>
      <c r="AL749" s="6">
        <f ca="1">IFERROR(__xludf.DUMMYFUNCTION("""COMPUTED_VALUE"""),8020.982)</f>
        <v>8020.982</v>
      </c>
      <c r="AP749" s="6" t="str">
        <f t="shared" ca="1" si="213"/>
        <v>202012</v>
      </c>
      <c r="AQ749" s="6">
        <f t="shared" ca="1" si="214"/>
        <v>2020</v>
      </c>
      <c r="AR749" s="6">
        <f t="shared" ca="1" si="215"/>
        <v>12</v>
      </c>
      <c r="AS749" s="68">
        <f ca="1">IFERROR(__xludf.DUMMYFUNCTION("""COMPUTED_VALUE"""),44193.9986111111)</f>
        <v>44193.998611111099</v>
      </c>
      <c r="AT749" s="6">
        <f ca="1">IFERROR(__xludf.DUMMYFUNCTION("""COMPUTED_VALUE"""),1880.4)</f>
        <v>1880.4</v>
      </c>
    </row>
    <row r="750" spans="2:46" x14ac:dyDescent="0.35">
      <c r="B750" s="6" t="str">
        <f t="shared" ca="1" si="198"/>
        <v>202012</v>
      </c>
      <c r="C750" s="6">
        <f t="shared" ca="1" si="199"/>
        <v>2020</v>
      </c>
      <c r="D750" s="6">
        <f t="shared" ca="1" si="200"/>
        <v>12</v>
      </c>
      <c r="E750" s="68">
        <f ca="1">IFERROR(__xludf.DUMMYFUNCTION("""COMPUTED_VALUE"""),44182.6666666666)</f>
        <v>44182.666666666599</v>
      </c>
      <c r="F750" s="6">
        <f ca="1">IFERROR(__xludf.DUMMYFUNCTION("""COMPUTED_VALUE"""),3722.48)</f>
        <v>3722.48</v>
      </c>
      <c r="J750" s="6" t="str">
        <f t="shared" ca="1" si="201"/>
        <v>202012</v>
      </c>
      <c r="K750" s="6">
        <f t="shared" ca="1" si="202"/>
        <v>2020</v>
      </c>
      <c r="L750" s="6">
        <f t="shared" ca="1" si="203"/>
        <v>12</v>
      </c>
      <c r="M750" s="68">
        <f ca="1">IFERROR(__xludf.DUMMYFUNCTION("""COMPUTED_VALUE"""),44176.6666666666)</f>
        <v>44176.666666666599</v>
      </c>
      <c r="N750" s="6">
        <f ca="1">IFERROR(__xludf.DUMMYFUNCTION("""COMPUTED_VALUE"""),12377.87)</f>
        <v>12377.87</v>
      </c>
      <c r="R750" s="6" t="str">
        <f t="shared" ca="1" si="204"/>
        <v>20211</v>
      </c>
      <c r="S750" s="6">
        <f t="shared" ca="1" si="205"/>
        <v>2021</v>
      </c>
      <c r="T750" s="6">
        <f t="shared" ca="1" si="206"/>
        <v>1</v>
      </c>
      <c r="U750" s="68">
        <f ca="1">IFERROR(__xludf.DUMMYFUNCTION("""COMPUTED_VALUE"""),44217.6458333333)</f>
        <v>44217.645833333299</v>
      </c>
      <c r="V750" s="6">
        <f ca="1">IFERROR(__xludf.DUMMYFUNCTION("""COMPUTED_VALUE"""),3160.84)</f>
        <v>3160.84</v>
      </c>
      <c r="Z750" s="6" t="str">
        <f t="shared" ca="1" si="207"/>
        <v>20202</v>
      </c>
      <c r="AA750" s="6">
        <f t="shared" ca="1" si="208"/>
        <v>2020</v>
      </c>
      <c r="AB750" s="6">
        <f t="shared" ca="1" si="209"/>
        <v>2</v>
      </c>
      <c r="AC750" s="68">
        <f ca="1">IFERROR(__xludf.DUMMYFUNCTION("""COMPUTED_VALUE"""),43886.9986111111)</f>
        <v>43886.998611111099</v>
      </c>
      <c r="AD750" s="6">
        <f ca="1">IFERROR(__xludf.DUMMYFUNCTION("""COMPUTED_VALUE"""),1214.55)</f>
        <v>1214.55</v>
      </c>
      <c r="AH750" s="6" t="str">
        <f t="shared" ca="1" si="210"/>
        <v>20201</v>
      </c>
      <c r="AI750" s="6">
        <f t="shared" ca="1" si="211"/>
        <v>2020</v>
      </c>
      <c r="AJ750" s="6">
        <f t="shared" ca="1" si="212"/>
        <v>1</v>
      </c>
      <c r="AK750" s="68">
        <f ca="1">IFERROR(__xludf.DUMMYFUNCTION("""COMPUTED_VALUE"""),43842.9986111111)</f>
        <v>43842.998611111099</v>
      </c>
      <c r="AL750" s="6">
        <f ca="1">IFERROR(__xludf.DUMMYFUNCTION("""COMPUTED_VALUE"""),8179.694)</f>
        <v>8179.6940000000004</v>
      </c>
      <c r="AP750" s="6" t="str">
        <f t="shared" ca="1" si="213"/>
        <v>202012</v>
      </c>
      <c r="AQ750" s="6">
        <f t="shared" ca="1" si="214"/>
        <v>2020</v>
      </c>
      <c r="AR750" s="6">
        <f t="shared" ca="1" si="215"/>
        <v>12</v>
      </c>
      <c r="AS750" s="68">
        <f ca="1">IFERROR(__xludf.DUMMYFUNCTION("""COMPUTED_VALUE"""),44194.9986111111)</f>
        <v>44194.998611111099</v>
      </c>
      <c r="AT750" s="6">
        <f ca="1">IFERROR(__xludf.DUMMYFUNCTION("""COMPUTED_VALUE"""),1882.9)</f>
        <v>1882.9</v>
      </c>
    </row>
    <row r="751" spans="2:46" x14ac:dyDescent="0.35">
      <c r="B751" s="6" t="str">
        <f t="shared" ca="1" si="198"/>
        <v>202012</v>
      </c>
      <c r="C751" s="6">
        <f t="shared" ca="1" si="199"/>
        <v>2020</v>
      </c>
      <c r="D751" s="6">
        <f t="shared" ca="1" si="200"/>
        <v>12</v>
      </c>
      <c r="E751" s="68">
        <f ca="1">IFERROR(__xludf.DUMMYFUNCTION("""COMPUTED_VALUE"""),44183.6666666666)</f>
        <v>44183.666666666599</v>
      </c>
      <c r="F751" s="6">
        <f ca="1">IFERROR(__xludf.DUMMYFUNCTION("""COMPUTED_VALUE"""),3709.41)</f>
        <v>3709.41</v>
      </c>
      <c r="J751" s="6" t="str">
        <f t="shared" ca="1" si="201"/>
        <v>202012</v>
      </c>
      <c r="K751" s="6">
        <f t="shared" ca="1" si="202"/>
        <v>2020</v>
      </c>
      <c r="L751" s="6">
        <f t="shared" ca="1" si="203"/>
        <v>12</v>
      </c>
      <c r="M751" s="68">
        <f ca="1">IFERROR(__xludf.DUMMYFUNCTION("""COMPUTED_VALUE"""),44179.6666666666)</f>
        <v>44179.666666666599</v>
      </c>
      <c r="N751" s="6">
        <f ca="1">IFERROR(__xludf.DUMMYFUNCTION("""COMPUTED_VALUE"""),12440.04)</f>
        <v>12440.04</v>
      </c>
      <c r="R751" s="6" t="str">
        <f t="shared" ca="1" si="204"/>
        <v>20211</v>
      </c>
      <c r="S751" s="6">
        <f t="shared" ca="1" si="205"/>
        <v>2021</v>
      </c>
      <c r="T751" s="6">
        <f t="shared" ca="1" si="206"/>
        <v>1</v>
      </c>
      <c r="U751" s="68">
        <f ca="1">IFERROR(__xludf.DUMMYFUNCTION("""COMPUTED_VALUE"""),44218.6458333333)</f>
        <v>44218.645833333299</v>
      </c>
      <c r="V751" s="6">
        <f ca="1">IFERROR(__xludf.DUMMYFUNCTION("""COMPUTED_VALUE"""),3140.63)</f>
        <v>3140.63</v>
      </c>
      <c r="Z751" s="6" t="str">
        <f t="shared" ca="1" si="207"/>
        <v>20202</v>
      </c>
      <c r="AA751" s="6">
        <f t="shared" ca="1" si="208"/>
        <v>2020</v>
      </c>
      <c r="AB751" s="6">
        <f t="shared" ca="1" si="209"/>
        <v>2</v>
      </c>
      <c r="AC751" s="68">
        <f ca="1">IFERROR(__xludf.DUMMYFUNCTION("""COMPUTED_VALUE"""),43887.9986111111)</f>
        <v>43887.998611111099</v>
      </c>
      <c r="AD751" s="6">
        <f ca="1">IFERROR(__xludf.DUMMYFUNCTION("""COMPUTED_VALUE"""),1211.36)</f>
        <v>1211.3599999999999</v>
      </c>
      <c r="AH751" s="6" t="str">
        <f t="shared" ca="1" si="210"/>
        <v>20201</v>
      </c>
      <c r="AI751" s="6">
        <f t="shared" ca="1" si="211"/>
        <v>2020</v>
      </c>
      <c r="AJ751" s="6">
        <f t="shared" ca="1" si="212"/>
        <v>1</v>
      </c>
      <c r="AK751" s="68">
        <f ca="1">IFERROR(__xludf.DUMMYFUNCTION("""COMPUTED_VALUE"""),43843.9986111111)</f>
        <v>43843.998611111099</v>
      </c>
      <c r="AL751" s="6">
        <f ca="1">IFERROR(__xludf.DUMMYFUNCTION("""COMPUTED_VALUE"""),8105.678)</f>
        <v>8105.6779999999999</v>
      </c>
      <c r="AP751" s="6" t="str">
        <f t="shared" ca="1" si="213"/>
        <v>202012</v>
      </c>
      <c r="AQ751" s="6">
        <f t="shared" ca="1" si="214"/>
        <v>2020</v>
      </c>
      <c r="AR751" s="6">
        <f t="shared" ca="1" si="215"/>
        <v>12</v>
      </c>
      <c r="AS751" s="68">
        <f ca="1">IFERROR(__xludf.DUMMYFUNCTION("""COMPUTED_VALUE"""),44195.9986111111)</f>
        <v>44195.998611111099</v>
      </c>
      <c r="AT751" s="6">
        <f ca="1">IFERROR(__xludf.DUMMYFUNCTION("""COMPUTED_VALUE"""),1893.4)</f>
        <v>1893.4</v>
      </c>
    </row>
    <row r="752" spans="2:46" x14ac:dyDescent="0.35">
      <c r="B752" s="6" t="str">
        <f t="shared" ca="1" si="198"/>
        <v>202012</v>
      </c>
      <c r="C752" s="6">
        <f t="shared" ca="1" si="199"/>
        <v>2020</v>
      </c>
      <c r="D752" s="6">
        <f t="shared" ca="1" si="200"/>
        <v>12</v>
      </c>
      <c r="E752" s="68">
        <f ca="1">IFERROR(__xludf.DUMMYFUNCTION("""COMPUTED_VALUE"""),44186.6666666666)</f>
        <v>44186.666666666599</v>
      </c>
      <c r="F752" s="6">
        <f ca="1">IFERROR(__xludf.DUMMYFUNCTION("""COMPUTED_VALUE"""),3694.92)</f>
        <v>3694.92</v>
      </c>
      <c r="J752" s="6" t="str">
        <f t="shared" ca="1" si="201"/>
        <v>202012</v>
      </c>
      <c r="K752" s="6">
        <f t="shared" ca="1" si="202"/>
        <v>2020</v>
      </c>
      <c r="L752" s="6">
        <f t="shared" ca="1" si="203"/>
        <v>12</v>
      </c>
      <c r="M752" s="68">
        <f ca="1">IFERROR(__xludf.DUMMYFUNCTION("""COMPUTED_VALUE"""),44180.6666666666)</f>
        <v>44180.666666666599</v>
      </c>
      <c r="N752" s="6">
        <f ca="1">IFERROR(__xludf.DUMMYFUNCTION("""COMPUTED_VALUE"""),12595.06)</f>
        <v>12595.06</v>
      </c>
      <c r="R752" s="6" t="str">
        <f t="shared" ca="1" si="204"/>
        <v>20211</v>
      </c>
      <c r="S752" s="6">
        <f t="shared" ca="1" si="205"/>
        <v>2021</v>
      </c>
      <c r="T752" s="6">
        <f t="shared" ca="1" si="206"/>
        <v>1</v>
      </c>
      <c r="U752" s="68">
        <f ca="1">IFERROR(__xludf.DUMMYFUNCTION("""COMPUTED_VALUE"""),44221.6458333333)</f>
        <v>44221.645833333299</v>
      </c>
      <c r="V752" s="6">
        <f ca="1">IFERROR(__xludf.DUMMYFUNCTION("""COMPUTED_VALUE"""),3208.99)</f>
        <v>3208.99</v>
      </c>
      <c r="Z752" s="6" t="str">
        <f t="shared" ca="1" si="207"/>
        <v>20202</v>
      </c>
      <c r="AA752" s="6">
        <f t="shared" ca="1" si="208"/>
        <v>2020</v>
      </c>
      <c r="AB752" s="6">
        <f t="shared" ca="1" si="209"/>
        <v>2</v>
      </c>
      <c r="AC752" s="68">
        <f ca="1">IFERROR(__xludf.DUMMYFUNCTION("""COMPUTED_VALUE"""),43888.9986111111)</f>
        <v>43888.998611111099</v>
      </c>
      <c r="AD752" s="6">
        <f ca="1">IFERROR(__xludf.DUMMYFUNCTION("""COMPUTED_VALUE"""),1211.31)</f>
        <v>1211.31</v>
      </c>
      <c r="AH752" s="6" t="str">
        <f t="shared" ca="1" si="210"/>
        <v>20201</v>
      </c>
      <c r="AI752" s="6">
        <f t="shared" ca="1" si="211"/>
        <v>2020</v>
      </c>
      <c r="AJ752" s="6">
        <f t="shared" ca="1" si="212"/>
        <v>1</v>
      </c>
      <c r="AK752" s="68">
        <f ca="1">IFERROR(__xludf.DUMMYFUNCTION("""COMPUTED_VALUE"""),43844.9986111111)</f>
        <v>43844.998611111099</v>
      </c>
      <c r="AL752" s="6">
        <f ca="1">IFERROR(__xludf.DUMMYFUNCTION("""COMPUTED_VALUE"""),8814.651)</f>
        <v>8814.6509999999998</v>
      </c>
      <c r="AP752" s="6" t="str">
        <f t="shared" ca="1" si="213"/>
        <v>202012</v>
      </c>
      <c r="AQ752" s="6">
        <f t="shared" ca="1" si="214"/>
        <v>2020</v>
      </c>
      <c r="AR752" s="6">
        <f t="shared" ca="1" si="215"/>
        <v>12</v>
      </c>
      <c r="AS752" s="68">
        <f ca="1">IFERROR(__xludf.DUMMYFUNCTION("""COMPUTED_VALUE"""),44196.9986111111)</f>
        <v>44196.998611111099</v>
      </c>
      <c r="AT752" s="6">
        <f ca="1">IFERROR(__xludf.DUMMYFUNCTION("""COMPUTED_VALUE"""),1895.1)</f>
        <v>1895.1</v>
      </c>
    </row>
    <row r="753" spans="2:46" x14ac:dyDescent="0.35">
      <c r="B753" s="6" t="str">
        <f t="shared" ca="1" si="198"/>
        <v>202012</v>
      </c>
      <c r="C753" s="6">
        <f t="shared" ca="1" si="199"/>
        <v>2020</v>
      </c>
      <c r="D753" s="6">
        <f t="shared" ca="1" si="200"/>
        <v>12</v>
      </c>
      <c r="E753" s="68">
        <f ca="1">IFERROR(__xludf.DUMMYFUNCTION("""COMPUTED_VALUE"""),44187.6666666666)</f>
        <v>44187.666666666599</v>
      </c>
      <c r="F753" s="6">
        <f ca="1">IFERROR(__xludf.DUMMYFUNCTION("""COMPUTED_VALUE"""),3687.26)</f>
        <v>3687.26</v>
      </c>
      <c r="J753" s="6" t="str">
        <f t="shared" ca="1" si="201"/>
        <v>202012</v>
      </c>
      <c r="K753" s="6">
        <f t="shared" ca="1" si="202"/>
        <v>2020</v>
      </c>
      <c r="L753" s="6">
        <f t="shared" ca="1" si="203"/>
        <v>12</v>
      </c>
      <c r="M753" s="68">
        <f ca="1">IFERROR(__xludf.DUMMYFUNCTION("""COMPUTED_VALUE"""),44181.6666666666)</f>
        <v>44181.666666666599</v>
      </c>
      <c r="N753" s="6">
        <f ca="1">IFERROR(__xludf.DUMMYFUNCTION("""COMPUTED_VALUE"""),12658.19)</f>
        <v>12658.19</v>
      </c>
      <c r="R753" s="6" t="str">
        <f t="shared" ca="1" si="204"/>
        <v>20211</v>
      </c>
      <c r="S753" s="6">
        <f t="shared" ca="1" si="205"/>
        <v>2021</v>
      </c>
      <c r="T753" s="6">
        <f t="shared" ca="1" si="206"/>
        <v>1</v>
      </c>
      <c r="U753" s="68">
        <f ca="1">IFERROR(__xludf.DUMMYFUNCTION("""COMPUTED_VALUE"""),44222.6458333333)</f>
        <v>44222.645833333299</v>
      </c>
      <c r="V753" s="6">
        <f ca="1">IFERROR(__xludf.DUMMYFUNCTION("""COMPUTED_VALUE"""),3140.31)</f>
        <v>3140.31</v>
      </c>
      <c r="Z753" s="6" t="str">
        <f t="shared" ca="1" si="207"/>
        <v>20202</v>
      </c>
      <c r="AA753" s="6">
        <f t="shared" ca="1" si="208"/>
        <v>2020</v>
      </c>
      <c r="AB753" s="6">
        <f t="shared" ca="1" si="209"/>
        <v>2</v>
      </c>
      <c r="AC753" s="68">
        <f ca="1">IFERROR(__xludf.DUMMYFUNCTION("""COMPUTED_VALUE"""),43889.9986111111)</f>
        <v>43889.998611111099</v>
      </c>
      <c r="AD753" s="6">
        <f ca="1">IFERROR(__xludf.DUMMYFUNCTION("""COMPUTED_VALUE"""),1200.1)</f>
        <v>1200.0999999999999</v>
      </c>
      <c r="AH753" s="6" t="str">
        <f t="shared" ca="1" si="210"/>
        <v>20201</v>
      </c>
      <c r="AI753" s="6">
        <f t="shared" ca="1" si="211"/>
        <v>2020</v>
      </c>
      <c r="AJ753" s="6">
        <f t="shared" ca="1" si="212"/>
        <v>1</v>
      </c>
      <c r="AK753" s="68">
        <f ca="1">IFERROR(__xludf.DUMMYFUNCTION("""COMPUTED_VALUE"""),43845.9986111111)</f>
        <v>43845.998611111099</v>
      </c>
      <c r="AL753" s="6">
        <f ca="1">IFERROR(__xludf.DUMMYFUNCTION("""COMPUTED_VALUE"""),8809.514)</f>
        <v>8809.5139999999992</v>
      </c>
      <c r="AP753" s="6" t="str">
        <f t="shared" ca="1" si="213"/>
        <v>20211</v>
      </c>
      <c r="AQ753" s="6">
        <f t="shared" ca="1" si="214"/>
        <v>2021</v>
      </c>
      <c r="AR753" s="6">
        <f t="shared" ca="1" si="215"/>
        <v>1</v>
      </c>
      <c r="AS753" s="68">
        <f ca="1">IFERROR(__xludf.DUMMYFUNCTION("""COMPUTED_VALUE"""),44200.9986111111)</f>
        <v>44200.998611111099</v>
      </c>
      <c r="AT753" s="6">
        <f ca="1">IFERROR(__xludf.DUMMYFUNCTION("""COMPUTED_VALUE"""),1946.6)</f>
        <v>1946.6</v>
      </c>
    </row>
    <row r="754" spans="2:46" x14ac:dyDescent="0.35">
      <c r="B754" s="6" t="str">
        <f t="shared" ca="1" si="198"/>
        <v>202012</v>
      </c>
      <c r="C754" s="6">
        <f t="shared" ca="1" si="199"/>
        <v>2020</v>
      </c>
      <c r="D754" s="6">
        <f t="shared" ca="1" si="200"/>
        <v>12</v>
      </c>
      <c r="E754" s="68">
        <f ca="1">IFERROR(__xludf.DUMMYFUNCTION("""COMPUTED_VALUE"""),44188.6666666666)</f>
        <v>44188.666666666599</v>
      </c>
      <c r="F754" s="6">
        <f ca="1">IFERROR(__xludf.DUMMYFUNCTION("""COMPUTED_VALUE"""),3690.01)</f>
        <v>3690.01</v>
      </c>
      <c r="J754" s="6" t="str">
        <f t="shared" ca="1" si="201"/>
        <v>202012</v>
      </c>
      <c r="K754" s="6">
        <f t="shared" ca="1" si="202"/>
        <v>2020</v>
      </c>
      <c r="L754" s="6">
        <f t="shared" ca="1" si="203"/>
        <v>12</v>
      </c>
      <c r="M754" s="68">
        <f ca="1">IFERROR(__xludf.DUMMYFUNCTION("""COMPUTED_VALUE"""),44182.6666666666)</f>
        <v>44182.666666666599</v>
      </c>
      <c r="N754" s="6">
        <f ca="1">IFERROR(__xludf.DUMMYFUNCTION("""COMPUTED_VALUE"""),12764.75)</f>
        <v>12764.75</v>
      </c>
      <c r="R754" s="6" t="str">
        <f t="shared" ca="1" si="204"/>
        <v>20211</v>
      </c>
      <c r="S754" s="6">
        <f t="shared" ca="1" si="205"/>
        <v>2021</v>
      </c>
      <c r="T754" s="6">
        <f t="shared" ca="1" si="206"/>
        <v>1</v>
      </c>
      <c r="U754" s="68">
        <f ca="1">IFERROR(__xludf.DUMMYFUNCTION("""COMPUTED_VALUE"""),44223.6458333333)</f>
        <v>44223.645833333299</v>
      </c>
      <c r="V754" s="6">
        <f ca="1">IFERROR(__xludf.DUMMYFUNCTION("""COMPUTED_VALUE"""),3122.56)</f>
        <v>3122.56</v>
      </c>
      <c r="Z754" s="6" t="str">
        <f t="shared" ca="1" si="207"/>
        <v>20202</v>
      </c>
      <c r="AA754" s="6">
        <f t="shared" ca="1" si="208"/>
        <v>2020</v>
      </c>
      <c r="AB754" s="6">
        <f t="shared" ca="1" si="209"/>
        <v>2</v>
      </c>
      <c r="AC754" s="68">
        <f ca="1">IFERROR(__xludf.DUMMYFUNCTION("""COMPUTED_VALUE"""),43890.9986111111)</f>
        <v>43890.998611111099</v>
      </c>
      <c r="AD754" s="6">
        <f ca="1">IFERROR(__xludf.DUMMYFUNCTION("""COMPUTED_VALUE"""),1200.1)</f>
        <v>1200.0999999999999</v>
      </c>
      <c r="AH754" s="6" t="str">
        <f t="shared" ca="1" si="210"/>
        <v>20201</v>
      </c>
      <c r="AI754" s="6">
        <f t="shared" ca="1" si="211"/>
        <v>2020</v>
      </c>
      <c r="AJ754" s="6">
        <f t="shared" ca="1" si="212"/>
        <v>1</v>
      </c>
      <c r="AK754" s="68">
        <f ca="1">IFERROR(__xludf.DUMMYFUNCTION("""COMPUTED_VALUE"""),43846.9986111111)</f>
        <v>43846.998611111099</v>
      </c>
      <c r="AL754" s="6">
        <f ca="1">IFERROR(__xludf.DUMMYFUNCTION("""COMPUTED_VALUE"""),8716.882)</f>
        <v>8716.8819999999996</v>
      </c>
      <c r="AP754" s="6" t="str">
        <f t="shared" ca="1" si="213"/>
        <v>20211</v>
      </c>
      <c r="AQ754" s="6">
        <f t="shared" ca="1" si="214"/>
        <v>2021</v>
      </c>
      <c r="AR754" s="6">
        <f t="shared" ca="1" si="215"/>
        <v>1</v>
      </c>
      <c r="AS754" s="68">
        <f ca="1">IFERROR(__xludf.DUMMYFUNCTION("""COMPUTED_VALUE"""),44201.9986111111)</f>
        <v>44201.998611111099</v>
      </c>
      <c r="AT754" s="6">
        <f ca="1">IFERROR(__xludf.DUMMYFUNCTION("""COMPUTED_VALUE"""),1954.4)</f>
        <v>1954.4</v>
      </c>
    </row>
    <row r="755" spans="2:46" x14ac:dyDescent="0.35">
      <c r="B755" s="6" t="str">
        <f t="shared" ca="1" si="198"/>
        <v>202012</v>
      </c>
      <c r="C755" s="6">
        <f t="shared" ca="1" si="199"/>
        <v>2020</v>
      </c>
      <c r="D755" s="6">
        <f t="shared" ca="1" si="200"/>
        <v>12</v>
      </c>
      <c r="E755" s="68">
        <f ca="1">IFERROR(__xludf.DUMMYFUNCTION("""COMPUTED_VALUE"""),44193.6666666666)</f>
        <v>44193.666666666599</v>
      </c>
      <c r="F755" s="6">
        <f ca="1">IFERROR(__xludf.DUMMYFUNCTION("""COMPUTED_VALUE"""),3735.36)</f>
        <v>3735.36</v>
      </c>
      <c r="J755" s="6" t="str">
        <f t="shared" ca="1" si="201"/>
        <v>202012</v>
      </c>
      <c r="K755" s="6">
        <f t="shared" ca="1" si="202"/>
        <v>2020</v>
      </c>
      <c r="L755" s="6">
        <f t="shared" ca="1" si="203"/>
        <v>12</v>
      </c>
      <c r="M755" s="68">
        <f ca="1">IFERROR(__xludf.DUMMYFUNCTION("""COMPUTED_VALUE"""),44183.6666666666)</f>
        <v>44183.666666666599</v>
      </c>
      <c r="N755" s="6">
        <f ca="1">IFERROR(__xludf.DUMMYFUNCTION("""COMPUTED_VALUE"""),12755.64)</f>
        <v>12755.64</v>
      </c>
      <c r="R755" s="6" t="str">
        <f t="shared" ca="1" si="204"/>
        <v>20211</v>
      </c>
      <c r="S755" s="6">
        <f t="shared" ca="1" si="205"/>
        <v>2021</v>
      </c>
      <c r="T755" s="6">
        <f t="shared" ca="1" si="206"/>
        <v>1</v>
      </c>
      <c r="U755" s="68">
        <f ca="1">IFERROR(__xludf.DUMMYFUNCTION("""COMPUTED_VALUE"""),44224.6458333333)</f>
        <v>44224.645833333299</v>
      </c>
      <c r="V755" s="6">
        <f ca="1">IFERROR(__xludf.DUMMYFUNCTION("""COMPUTED_VALUE"""),3069.05)</f>
        <v>3069.05</v>
      </c>
      <c r="Z755" s="6" t="str">
        <f t="shared" ca="1" si="207"/>
        <v>20203</v>
      </c>
      <c r="AA755" s="6">
        <f t="shared" ca="1" si="208"/>
        <v>2020</v>
      </c>
      <c r="AB755" s="6">
        <f t="shared" ca="1" si="209"/>
        <v>3</v>
      </c>
      <c r="AC755" s="68">
        <f ca="1">IFERROR(__xludf.DUMMYFUNCTION("""COMPUTED_VALUE"""),43891.9986111111)</f>
        <v>43891.998611111099</v>
      </c>
      <c r="AD755" s="6">
        <f ca="1">IFERROR(__xludf.DUMMYFUNCTION("""COMPUTED_VALUE"""),1200.1)</f>
        <v>1200.0999999999999</v>
      </c>
      <c r="AH755" s="6" t="str">
        <f t="shared" ca="1" si="210"/>
        <v>20201</v>
      </c>
      <c r="AI755" s="6">
        <f t="shared" ca="1" si="211"/>
        <v>2020</v>
      </c>
      <c r="AJ755" s="6">
        <f t="shared" ca="1" si="212"/>
        <v>1</v>
      </c>
      <c r="AK755" s="68">
        <f ca="1">IFERROR(__xludf.DUMMYFUNCTION("""COMPUTED_VALUE"""),43847.9986111111)</f>
        <v>43847.998611111099</v>
      </c>
      <c r="AL755" s="6">
        <f ca="1">IFERROR(__xludf.DUMMYFUNCTION("""COMPUTED_VALUE"""),8893.163)</f>
        <v>8893.1630000000005</v>
      </c>
      <c r="AP755" s="6" t="str">
        <f t="shared" ca="1" si="213"/>
        <v>20211</v>
      </c>
      <c r="AQ755" s="6">
        <f t="shared" ca="1" si="214"/>
        <v>2021</v>
      </c>
      <c r="AR755" s="6">
        <f t="shared" ca="1" si="215"/>
        <v>1</v>
      </c>
      <c r="AS755" s="68">
        <f ca="1">IFERROR(__xludf.DUMMYFUNCTION("""COMPUTED_VALUE"""),44202.9986111111)</f>
        <v>44202.998611111099</v>
      </c>
      <c r="AT755" s="6">
        <f ca="1">IFERROR(__xludf.DUMMYFUNCTION("""COMPUTED_VALUE"""),1908.6)</f>
        <v>1908.6</v>
      </c>
    </row>
    <row r="756" spans="2:46" x14ac:dyDescent="0.35">
      <c r="B756" s="6" t="str">
        <f t="shared" ca="1" si="198"/>
        <v>202012</v>
      </c>
      <c r="C756" s="6">
        <f t="shared" ca="1" si="199"/>
        <v>2020</v>
      </c>
      <c r="D756" s="6">
        <f t="shared" ca="1" si="200"/>
        <v>12</v>
      </c>
      <c r="E756" s="68">
        <f ca="1">IFERROR(__xludf.DUMMYFUNCTION("""COMPUTED_VALUE"""),44194.6666666666)</f>
        <v>44194.666666666599</v>
      </c>
      <c r="F756" s="6">
        <f ca="1">IFERROR(__xludf.DUMMYFUNCTION("""COMPUTED_VALUE"""),3727.04)</f>
        <v>3727.04</v>
      </c>
      <c r="J756" s="6" t="str">
        <f t="shared" ca="1" si="201"/>
        <v>202012</v>
      </c>
      <c r="K756" s="6">
        <f t="shared" ca="1" si="202"/>
        <v>2020</v>
      </c>
      <c r="L756" s="6">
        <f t="shared" ca="1" si="203"/>
        <v>12</v>
      </c>
      <c r="M756" s="68">
        <f ca="1">IFERROR(__xludf.DUMMYFUNCTION("""COMPUTED_VALUE"""),44186.6666666666)</f>
        <v>44186.666666666599</v>
      </c>
      <c r="N756" s="6">
        <f ca="1">IFERROR(__xludf.DUMMYFUNCTION("""COMPUTED_VALUE"""),12742.52)</f>
        <v>12742.52</v>
      </c>
      <c r="R756" s="6" t="str">
        <f t="shared" ca="1" si="204"/>
        <v>20211</v>
      </c>
      <c r="S756" s="6">
        <f t="shared" ca="1" si="205"/>
        <v>2021</v>
      </c>
      <c r="T756" s="6">
        <f t="shared" ca="1" si="206"/>
        <v>1</v>
      </c>
      <c r="U756" s="68">
        <f ca="1">IFERROR(__xludf.DUMMYFUNCTION("""COMPUTED_VALUE"""),44225.6458333333)</f>
        <v>44225.645833333299</v>
      </c>
      <c r="V756" s="6">
        <f ca="1">IFERROR(__xludf.DUMMYFUNCTION("""COMPUTED_VALUE"""),2976.21)</f>
        <v>2976.21</v>
      </c>
      <c r="Z756" s="6" t="str">
        <f t="shared" ca="1" si="207"/>
        <v>20203</v>
      </c>
      <c r="AA756" s="6">
        <f t="shared" ca="1" si="208"/>
        <v>2020</v>
      </c>
      <c r="AB756" s="6">
        <f t="shared" ca="1" si="209"/>
        <v>3</v>
      </c>
      <c r="AC756" s="68">
        <f ca="1">IFERROR(__xludf.DUMMYFUNCTION("""COMPUTED_VALUE"""),43892.9986111111)</f>
        <v>43892.998611111099</v>
      </c>
      <c r="AD756" s="6">
        <f ca="1">IFERROR(__xludf.DUMMYFUNCTION("""COMPUTED_VALUE"""),1188.28)</f>
        <v>1188.28</v>
      </c>
      <c r="AH756" s="6" t="str">
        <f t="shared" ca="1" si="210"/>
        <v>20201</v>
      </c>
      <c r="AI756" s="6">
        <f t="shared" ca="1" si="211"/>
        <v>2020</v>
      </c>
      <c r="AJ756" s="6">
        <f t="shared" ca="1" si="212"/>
        <v>1</v>
      </c>
      <c r="AK756" s="68">
        <f ca="1">IFERROR(__xludf.DUMMYFUNCTION("""COMPUTED_VALUE"""),43848.9986111111)</f>
        <v>43848.998611111099</v>
      </c>
      <c r="AL756" s="6">
        <f ca="1">IFERROR(__xludf.DUMMYFUNCTION("""COMPUTED_VALUE"""),8910.659)</f>
        <v>8910.6589999999997</v>
      </c>
      <c r="AP756" s="6" t="str">
        <f t="shared" ca="1" si="213"/>
        <v>20211</v>
      </c>
      <c r="AQ756" s="6">
        <f t="shared" ca="1" si="214"/>
        <v>2021</v>
      </c>
      <c r="AR756" s="6">
        <f t="shared" ca="1" si="215"/>
        <v>1</v>
      </c>
      <c r="AS756" s="68">
        <f ca="1">IFERROR(__xludf.DUMMYFUNCTION("""COMPUTED_VALUE"""),44203.9986111111)</f>
        <v>44203.998611111099</v>
      </c>
      <c r="AT756" s="6">
        <f ca="1">IFERROR(__xludf.DUMMYFUNCTION("""COMPUTED_VALUE"""),1913.6)</f>
        <v>1913.6</v>
      </c>
    </row>
    <row r="757" spans="2:46" x14ac:dyDescent="0.35">
      <c r="B757" s="6" t="str">
        <f t="shared" ca="1" si="198"/>
        <v>202012</v>
      </c>
      <c r="C757" s="6">
        <f t="shared" ca="1" si="199"/>
        <v>2020</v>
      </c>
      <c r="D757" s="6">
        <f t="shared" ca="1" si="200"/>
        <v>12</v>
      </c>
      <c r="E757" s="68">
        <f ca="1">IFERROR(__xludf.DUMMYFUNCTION("""COMPUTED_VALUE"""),44195.6666666666)</f>
        <v>44195.666666666599</v>
      </c>
      <c r="F757" s="6">
        <f ca="1">IFERROR(__xludf.DUMMYFUNCTION("""COMPUTED_VALUE"""),3732.04)</f>
        <v>3732.04</v>
      </c>
      <c r="J757" s="6" t="str">
        <f t="shared" ca="1" si="201"/>
        <v>202012</v>
      </c>
      <c r="K757" s="6">
        <f t="shared" ca="1" si="202"/>
        <v>2020</v>
      </c>
      <c r="L757" s="6">
        <f t="shared" ca="1" si="203"/>
        <v>12</v>
      </c>
      <c r="M757" s="68">
        <f ca="1">IFERROR(__xludf.DUMMYFUNCTION("""COMPUTED_VALUE"""),44187.6666666666)</f>
        <v>44187.666666666599</v>
      </c>
      <c r="N757" s="6">
        <f ca="1">IFERROR(__xludf.DUMMYFUNCTION("""COMPUTED_VALUE"""),12807.92)</f>
        <v>12807.92</v>
      </c>
      <c r="R757" s="6" t="str">
        <f t="shared" ca="1" si="204"/>
        <v>20212</v>
      </c>
      <c r="S757" s="6">
        <f t="shared" ca="1" si="205"/>
        <v>2021</v>
      </c>
      <c r="T757" s="6">
        <f t="shared" ca="1" si="206"/>
        <v>2</v>
      </c>
      <c r="U757" s="68">
        <f ca="1">IFERROR(__xludf.DUMMYFUNCTION("""COMPUTED_VALUE"""),44228.6458333333)</f>
        <v>44228.645833333299</v>
      </c>
      <c r="V757" s="6">
        <f ca="1">IFERROR(__xludf.DUMMYFUNCTION("""COMPUTED_VALUE"""),3056.53)</f>
        <v>3056.53</v>
      </c>
      <c r="Z757" s="6" t="str">
        <f t="shared" ca="1" si="207"/>
        <v>20203</v>
      </c>
      <c r="AA757" s="6">
        <f t="shared" ca="1" si="208"/>
        <v>2020</v>
      </c>
      <c r="AB757" s="6">
        <f t="shared" ca="1" si="209"/>
        <v>3</v>
      </c>
      <c r="AC757" s="68">
        <f ca="1">IFERROR(__xludf.DUMMYFUNCTION("""COMPUTED_VALUE"""),43893.9986111111)</f>
        <v>43893.998611111099</v>
      </c>
      <c r="AD757" s="6">
        <f ca="1">IFERROR(__xludf.DUMMYFUNCTION("""COMPUTED_VALUE"""),1186.34)</f>
        <v>1186.3399999999999</v>
      </c>
      <c r="AH757" s="6" t="str">
        <f t="shared" ca="1" si="210"/>
        <v>20201</v>
      </c>
      <c r="AI757" s="6">
        <f t="shared" ca="1" si="211"/>
        <v>2020</v>
      </c>
      <c r="AJ757" s="6">
        <f t="shared" ca="1" si="212"/>
        <v>1</v>
      </c>
      <c r="AK757" s="68">
        <f ca="1">IFERROR(__xludf.DUMMYFUNCTION("""COMPUTED_VALUE"""),43849.9986111111)</f>
        <v>43849.998611111099</v>
      </c>
      <c r="AL757" s="6">
        <f ca="1">IFERROR(__xludf.DUMMYFUNCTION("""COMPUTED_VALUE"""),8695.518)</f>
        <v>8695.518</v>
      </c>
      <c r="AP757" s="6" t="str">
        <f t="shared" ca="1" si="213"/>
        <v>20211</v>
      </c>
      <c r="AQ757" s="6">
        <f t="shared" ca="1" si="214"/>
        <v>2021</v>
      </c>
      <c r="AR757" s="6">
        <f t="shared" ca="1" si="215"/>
        <v>1</v>
      </c>
      <c r="AS757" s="68">
        <f ca="1">IFERROR(__xludf.DUMMYFUNCTION("""COMPUTED_VALUE"""),44204.9986111111)</f>
        <v>44204.998611111099</v>
      </c>
      <c r="AT757" s="6">
        <f ca="1">IFERROR(__xludf.DUMMYFUNCTION("""COMPUTED_VALUE"""),1835.4)</f>
        <v>1835.4</v>
      </c>
    </row>
    <row r="758" spans="2:46" x14ac:dyDescent="0.35">
      <c r="B758" s="6" t="str">
        <f t="shared" ca="1" si="198"/>
        <v>202012</v>
      </c>
      <c r="C758" s="6">
        <f t="shared" ca="1" si="199"/>
        <v>2020</v>
      </c>
      <c r="D758" s="6">
        <f t="shared" ca="1" si="200"/>
        <v>12</v>
      </c>
      <c r="E758" s="68">
        <f ca="1">IFERROR(__xludf.DUMMYFUNCTION("""COMPUTED_VALUE"""),44196.6666666666)</f>
        <v>44196.666666666599</v>
      </c>
      <c r="F758" s="6">
        <f ca="1">IFERROR(__xludf.DUMMYFUNCTION("""COMPUTED_VALUE"""),3756.07)</f>
        <v>3756.07</v>
      </c>
      <c r="J758" s="6" t="str">
        <f t="shared" ca="1" si="201"/>
        <v>202012</v>
      </c>
      <c r="K758" s="6">
        <f t="shared" ca="1" si="202"/>
        <v>2020</v>
      </c>
      <c r="L758" s="6">
        <f t="shared" ca="1" si="203"/>
        <v>12</v>
      </c>
      <c r="M758" s="68">
        <f ca="1">IFERROR(__xludf.DUMMYFUNCTION("""COMPUTED_VALUE"""),44188.6666666666)</f>
        <v>44188.666666666599</v>
      </c>
      <c r="N758" s="6">
        <f ca="1">IFERROR(__xludf.DUMMYFUNCTION("""COMPUTED_VALUE"""),12771.11)</f>
        <v>12771.11</v>
      </c>
      <c r="R758" s="6" t="str">
        <f t="shared" ca="1" si="204"/>
        <v>20212</v>
      </c>
      <c r="S758" s="6">
        <f t="shared" ca="1" si="205"/>
        <v>2021</v>
      </c>
      <c r="T758" s="6">
        <f t="shared" ca="1" si="206"/>
        <v>2</v>
      </c>
      <c r="U758" s="68">
        <f ca="1">IFERROR(__xludf.DUMMYFUNCTION("""COMPUTED_VALUE"""),44229.6458333333)</f>
        <v>44229.645833333299</v>
      </c>
      <c r="V758" s="6">
        <f ca="1">IFERROR(__xludf.DUMMYFUNCTION("""COMPUTED_VALUE"""),3096.81)</f>
        <v>3096.81</v>
      </c>
      <c r="Z758" s="6" t="str">
        <f t="shared" ca="1" si="207"/>
        <v>20203</v>
      </c>
      <c r="AA758" s="6">
        <f t="shared" ca="1" si="208"/>
        <v>2020</v>
      </c>
      <c r="AB758" s="6">
        <f t="shared" ca="1" si="209"/>
        <v>3</v>
      </c>
      <c r="AC758" s="68">
        <f ca="1">IFERROR(__xludf.DUMMYFUNCTION("""COMPUTED_VALUE"""),43894.9986111111)</f>
        <v>43894.998611111099</v>
      </c>
      <c r="AD758" s="6">
        <f ca="1">IFERROR(__xludf.DUMMYFUNCTION("""COMPUTED_VALUE"""),1183.68)</f>
        <v>1183.68</v>
      </c>
      <c r="AH758" s="6" t="str">
        <f t="shared" ca="1" si="210"/>
        <v>20201</v>
      </c>
      <c r="AI758" s="6">
        <f t="shared" ca="1" si="211"/>
        <v>2020</v>
      </c>
      <c r="AJ758" s="6">
        <f t="shared" ca="1" si="212"/>
        <v>1</v>
      </c>
      <c r="AK758" s="68">
        <f ca="1">IFERROR(__xludf.DUMMYFUNCTION("""COMPUTED_VALUE"""),43850.9986111111)</f>
        <v>43850.998611111099</v>
      </c>
      <c r="AL758" s="6">
        <f ca="1">IFERROR(__xludf.DUMMYFUNCTION("""COMPUTED_VALUE"""),8632.108)</f>
        <v>8632.1080000000002</v>
      </c>
      <c r="AP758" s="6" t="str">
        <f t="shared" ca="1" si="213"/>
        <v>20211</v>
      </c>
      <c r="AQ758" s="6">
        <f t="shared" ca="1" si="214"/>
        <v>2021</v>
      </c>
      <c r="AR758" s="6">
        <f t="shared" ca="1" si="215"/>
        <v>1</v>
      </c>
      <c r="AS758" s="68">
        <f ca="1">IFERROR(__xludf.DUMMYFUNCTION("""COMPUTED_VALUE"""),44207.9986111111)</f>
        <v>44207.998611111099</v>
      </c>
      <c r="AT758" s="6">
        <f ca="1">IFERROR(__xludf.DUMMYFUNCTION("""COMPUTED_VALUE"""),1850.8)</f>
        <v>1850.8</v>
      </c>
    </row>
    <row r="759" spans="2:46" x14ac:dyDescent="0.35">
      <c r="B759" s="6" t="str">
        <f t="shared" ca="1" si="198"/>
        <v>20211</v>
      </c>
      <c r="C759" s="6">
        <f t="shared" ca="1" si="199"/>
        <v>2021</v>
      </c>
      <c r="D759" s="6">
        <f t="shared" ca="1" si="200"/>
        <v>1</v>
      </c>
      <c r="E759" s="68">
        <f ca="1">IFERROR(__xludf.DUMMYFUNCTION("""COMPUTED_VALUE"""),44200.6666666666)</f>
        <v>44200.666666666599</v>
      </c>
      <c r="F759" s="6">
        <f ca="1">IFERROR(__xludf.DUMMYFUNCTION("""COMPUTED_VALUE"""),3700.65)</f>
        <v>3700.65</v>
      </c>
      <c r="J759" s="6" t="str">
        <f t="shared" ca="1" si="201"/>
        <v>202012</v>
      </c>
      <c r="K759" s="6">
        <f t="shared" ca="1" si="202"/>
        <v>2020</v>
      </c>
      <c r="L759" s="6">
        <f t="shared" ca="1" si="203"/>
        <v>12</v>
      </c>
      <c r="M759" s="68">
        <f ca="1">IFERROR(__xludf.DUMMYFUNCTION("""COMPUTED_VALUE"""),44189.5416666666)</f>
        <v>44189.541666666599</v>
      </c>
      <c r="N759" s="6">
        <f ca="1">IFERROR(__xludf.DUMMYFUNCTION("""COMPUTED_VALUE"""),12804.73)</f>
        <v>12804.73</v>
      </c>
      <c r="R759" s="6" t="str">
        <f t="shared" ca="1" si="204"/>
        <v>20212</v>
      </c>
      <c r="S759" s="6">
        <f t="shared" ca="1" si="205"/>
        <v>2021</v>
      </c>
      <c r="T759" s="6">
        <f t="shared" ca="1" si="206"/>
        <v>2</v>
      </c>
      <c r="U759" s="68">
        <f ca="1">IFERROR(__xludf.DUMMYFUNCTION("""COMPUTED_VALUE"""),44230.6458333333)</f>
        <v>44230.645833333299</v>
      </c>
      <c r="V759" s="6">
        <f ca="1">IFERROR(__xludf.DUMMYFUNCTION("""COMPUTED_VALUE"""),3129.68)</f>
        <v>3129.68</v>
      </c>
      <c r="Z759" s="6" t="str">
        <f t="shared" ca="1" si="207"/>
        <v>20203</v>
      </c>
      <c r="AA759" s="6">
        <f t="shared" ca="1" si="208"/>
        <v>2020</v>
      </c>
      <c r="AB759" s="6">
        <f t="shared" ca="1" si="209"/>
        <v>3</v>
      </c>
      <c r="AC759" s="68">
        <f ca="1">IFERROR(__xludf.DUMMYFUNCTION("""COMPUTED_VALUE"""),43895.9986111111)</f>
        <v>43895.998611111099</v>
      </c>
      <c r="AD759" s="6">
        <f ca="1">IFERROR(__xludf.DUMMYFUNCTION("""COMPUTED_VALUE"""),1187.47)</f>
        <v>1187.47</v>
      </c>
      <c r="AH759" s="6" t="str">
        <f t="shared" ca="1" si="210"/>
        <v>20201</v>
      </c>
      <c r="AI759" s="6">
        <f t="shared" ca="1" si="211"/>
        <v>2020</v>
      </c>
      <c r="AJ759" s="6">
        <f t="shared" ca="1" si="212"/>
        <v>1</v>
      </c>
      <c r="AK759" s="68">
        <f ca="1">IFERROR(__xludf.DUMMYFUNCTION("""COMPUTED_VALUE"""),43851.9986111111)</f>
        <v>43851.998611111099</v>
      </c>
      <c r="AL759" s="6">
        <f ca="1">IFERROR(__xludf.DUMMYFUNCTION("""COMPUTED_VALUE"""),8726.09)</f>
        <v>8726.09</v>
      </c>
      <c r="AP759" s="6" t="str">
        <f t="shared" ca="1" si="213"/>
        <v>20211</v>
      </c>
      <c r="AQ759" s="6">
        <f t="shared" ca="1" si="214"/>
        <v>2021</v>
      </c>
      <c r="AR759" s="6">
        <f t="shared" ca="1" si="215"/>
        <v>1</v>
      </c>
      <c r="AS759" s="68">
        <f ca="1">IFERROR(__xludf.DUMMYFUNCTION("""COMPUTED_VALUE"""),44208.9986111111)</f>
        <v>44208.998611111099</v>
      </c>
      <c r="AT759" s="6">
        <f ca="1">IFERROR(__xludf.DUMMYFUNCTION("""COMPUTED_VALUE"""),1844.2)</f>
        <v>1844.2</v>
      </c>
    </row>
    <row r="760" spans="2:46" x14ac:dyDescent="0.35">
      <c r="B760" s="6" t="str">
        <f t="shared" ca="1" si="198"/>
        <v>20211</v>
      </c>
      <c r="C760" s="6">
        <f t="shared" ca="1" si="199"/>
        <v>2021</v>
      </c>
      <c r="D760" s="6">
        <f t="shared" ca="1" si="200"/>
        <v>1</v>
      </c>
      <c r="E760" s="68">
        <f ca="1">IFERROR(__xludf.DUMMYFUNCTION("""COMPUTED_VALUE"""),44201.6666666666)</f>
        <v>44201.666666666599</v>
      </c>
      <c r="F760" s="6">
        <f ca="1">IFERROR(__xludf.DUMMYFUNCTION("""COMPUTED_VALUE"""),3726.86)</f>
        <v>3726.86</v>
      </c>
      <c r="J760" s="6" t="str">
        <f t="shared" ca="1" si="201"/>
        <v>202012</v>
      </c>
      <c r="K760" s="6">
        <f t="shared" ca="1" si="202"/>
        <v>2020</v>
      </c>
      <c r="L760" s="6">
        <f t="shared" ca="1" si="203"/>
        <v>12</v>
      </c>
      <c r="M760" s="68">
        <f ca="1">IFERROR(__xludf.DUMMYFUNCTION("""COMPUTED_VALUE"""),44193.6666666666)</f>
        <v>44193.666666666599</v>
      </c>
      <c r="N760" s="6">
        <f ca="1">IFERROR(__xludf.DUMMYFUNCTION("""COMPUTED_VALUE"""),12899.42)</f>
        <v>12899.42</v>
      </c>
      <c r="R760" s="6" t="str">
        <f t="shared" ca="1" si="204"/>
        <v>20212</v>
      </c>
      <c r="S760" s="6">
        <f t="shared" ca="1" si="205"/>
        <v>2021</v>
      </c>
      <c r="T760" s="6">
        <f t="shared" ca="1" si="206"/>
        <v>2</v>
      </c>
      <c r="U760" s="68">
        <f ca="1">IFERROR(__xludf.DUMMYFUNCTION("""COMPUTED_VALUE"""),44231.6458333333)</f>
        <v>44231.645833333299</v>
      </c>
      <c r="V760" s="6">
        <f ca="1">IFERROR(__xludf.DUMMYFUNCTION("""COMPUTED_VALUE"""),3087.55)</f>
        <v>3087.55</v>
      </c>
      <c r="Z760" s="6" t="str">
        <f t="shared" ca="1" si="207"/>
        <v>20203</v>
      </c>
      <c r="AA760" s="6">
        <f t="shared" ca="1" si="208"/>
        <v>2020</v>
      </c>
      <c r="AB760" s="6">
        <f t="shared" ca="1" si="209"/>
        <v>3</v>
      </c>
      <c r="AC760" s="68">
        <f ca="1">IFERROR(__xludf.DUMMYFUNCTION("""COMPUTED_VALUE"""),43896.9986111111)</f>
        <v>43896.998611111099</v>
      </c>
      <c r="AD760" s="6">
        <f ca="1">IFERROR(__xludf.DUMMYFUNCTION("""COMPUTED_VALUE"""),1187.9)</f>
        <v>1187.9000000000001</v>
      </c>
      <c r="AH760" s="6" t="str">
        <f t="shared" ca="1" si="210"/>
        <v>20201</v>
      </c>
      <c r="AI760" s="6">
        <f t="shared" ca="1" si="211"/>
        <v>2020</v>
      </c>
      <c r="AJ760" s="6">
        <f t="shared" ca="1" si="212"/>
        <v>1</v>
      </c>
      <c r="AK760" s="68">
        <f ca="1">IFERROR(__xludf.DUMMYFUNCTION("""COMPUTED_VALUE"""),43852.9986111111)</f>
        <v>43852.998611111099</v>
      </c>
      <c r="AL760" s="6">
        <f ca="1">IFERROR(__xludf.DUMMYFUNCTION("""COMPUTED_VALUE"""),8658.842)</f>
        <v>8658.8420000000006</v>
      </c>
      <c r="AP760" s="6" t="str">
        <f t="shared" ca="1" si="213"/>
        <v>20211</v>
      </c>
      <c r="AQ760" s="6">
        <f t="shared" ca="1" si="214"/>
        <v>2021</v>
      </c>
      <c r="AR760" s="6">
        <f t="shared" ca="1" si="215"/>
        <v>1</v>
      </c>
      <c r="AS760" s="68">
        <f ca="1">IFERROR(__xludf.DUMMYFUNCTION("""COMPUTED_VALUE"""),44209.9986111111)</f>
        <v>44209.998611111099</v>
      </c>
      <c r="AT760" s="6">
        <f ca="1">IFERROR(__xludf.DUMMYFUNCTION("""COMPUTED_VALUE"""),1854.9)</f>
        <v>1854.9</v>
      </c>
    </row>
    <row r="761" spans="2:46" x14ac:dyDescent="0.35">
      <c r="B761" s="6" t="str">
        <f t="shared" ca="1" si="198"/>
        <v>20211</v>
      </c>
      <c r="C761" s="6">
        <f t="shared" ca="1" si="199"/>
        <v>2021</v>
      </c>
      <c r="D761" s="6">
        <f t="shared" ca="1" si="200"/>
        <v>1</v>
      </c>
      <c r="E761" s="68">
        <f ca="1">IFERROR(__xludf.DUMMYFUNCTION("""COMPUTED_VALUE"""),44202.6666666666)</f>
        <v>44202.666666666599</v>
      </c>
      <c r="F761" s="6">
        <f ca="1">IFERROR(__xludf.DUMMYFUNCTION("""COMPUTED_VALUE"""),3748.14)</f>
        <v>3748.14</v>
      </c>
      <c r="J761" s="6" t="str">
        <f t="shared" ca="1" si="201"/>
        <v>202012</v>
      </c>
      <c r="K761" s="6">
        <f t="shared" ca="1" si="202"/>
        <v>2020</v>
      </c>
      <c r="L761" s="6">
        <f t="shared" ca="1" si="203"/>
        <v>12</v>
      </c>
      <c r="M761" s="68">
        <f ca="1">IFERROR(__xludf.DUMMYFUNCTION("""COMPUTED_VALUE"""),44194.6666666666)</f>
        <v>44194.666666666599</v>
      </c>
      <c r="N761" s="6">
        <f ca="1">IFERROR(__xludf.DUMMYFUNCTION("""COMPUTED_VALUE"""),12850.22)</f>
        <v>12850.22</v>
      </c>
      <c r="R761" s="6" t="str">
        <f t="shared" ca="1" si="204"/>
        <v>20212</v>
      </c>
      <c r="S761" s="6">
        <f t="shared" ca="1" si="205"/>
        <v>2021</v>
      </c>
      <c r="T761" s="6">
        <f t="shared" ca="1" si="206"/>
        <v>2</v>
      </c>
      <c r="U761" s="68">
        <f ca="1">IFERROR(__xludf.DUMMYFUNCTION("""COMPUTED_VALUE"""),44232.6458333333)</f>
        <v>44232.645833333299</v>
      </c>
      <c r="V761" s="6">
        <f ca="1">IFERROR(__xludf.DUMMYFUNCTION("""COMPUTED_VALUE"""),3120.63)</f>
        <v>3120.63</v>
      </c>
      <c r="Z761" s="6" t="str">
        <f t="shared" ca="1" si="207"/>
        <v>20203</v>
      </c>
      <c r="AA761" s="6">
        <f t="shared" ca="1" si="208"/>
        <v>2020</v>
      </c>
      <c r="AB761" s="6">
        <f t="shared" ca="1" si="209"/>
        <v>3</v>
      </c>
      <c r="AC761" s="68">
        <f ca="1">IFERROR(__xludf.DUMMYFUNCTION("""COMPUTED_VALUE"""),43897.9986111111)</f>
        <v>43897.998611111099</v>
      </c>
      <c r="AD761" s="6">
        <f ca="1">IFERROR(__xludf.DUMMYFUNCTION("""COMPUTED_VALUE"""),1187.8)</f>
        <v>1187.8</v>
      </c>
      <c r="AH761" s="6" t="str">
        <f t="shared" ca="1" si="210"/>
        <v>20201</v>
      </c>
      <c r="AI761" s="6">
        <f t="shared" ca="1" si="211"/>
        <v>2020</v>
      </c>
      <c r="AJ761" s="6">
        <f t="shared" ca="1" si="212"/>
        <v>1</v>
      </c>
      <c r="AK761" s="68">
        <f ca="1">IFERROR(__xludf.DUMMYFUNCTION("""COMPUTED_VALUE"""),43853.9986111111)</f>
        <v>43853.998611111099</v>
      </c>
      <c r="AL761" s="6">
        <f ca="1">IFERROR(__xludf.DUMMYFUNCTION("""COMPUTED_VALUE"""),8382.628)</f>
        <v>8382.6280000000006</v>
      </c>
      <c r="AP761" s="6" t="str">
        <f t="shared" ca="1" si="213"/>
        <v>20211</v>
      </c>
      <c r="AQ761" s="6">
        <f t="shared" ca="1" si="214"/>
        <v>2021</v>
      </c>
      <c r="AR761" s="6">
        <f t="shared" ca="1" si="215"/>
        <v>1</v>
      </c>
      <c r="AS761" s="68">
        <f ca="1">IFERROR(__xludf.DUMMYFUNCTION("""COMPUTED_VALUE"""),44210.9986111111)</f>
        <v>44210.998611111099</v>
      </c>
      <c r="AT761" s="6">
        <f ca="1">IFERROR(__xludf.DUMMYFUNCTION("""COMPUTED_VALUE"""),1851.4)</f>
        <v>1851.4</v>
      </c>
    </row>
    <row r="762" spans="2:46" x14ac:dyDescent="0.35">
      <c r="B762" s="6" t="str">
        <f t="shared" ca="1" si="198"/>
        <v>20211</v>
      </c>
      <c r="C762" s="6">
        <f t="shared" ca="1" si="199"/>
        <v>2021</v>
      </c>
      <c r="D762" s="6">
        <f t="shared" ca="1" si="200"/>
        <v>1</v>
      </c>
      <c r="E762" s="68">
        <f ca="1">IFERROR(__xludf.DUMMYFUNCTION("""COMPUTED_VALUE"""),44203.6666666666)</f>
        <v>44203.666666666599</v>
      </c>
      <c r="F762" s="6">
        <f ca="1">IFERROR(__xludf.DUMMYFUNCTION("""COMPUTED_VALUE"""),3803.79)</f>
        <v>3803.79</v>
      </c>
      <c r="J762" s="6" t="str">
        <f t="shared" ca="1" si="201"/>
        <v>202012</v>
      </c>
      <c r="K762" s="6">
        <f t="shared" ca="1" si="202"/>
        <v>2020</v>
      </c>
      <c r="L762" s="6">
        <f t="shared" ca="1" si="203"/>
        <v>12</v>
      </c>
      <c r="M762" s="68">
        <f ca="1">IFERROR(__xludf.DUMMYFUNCTION("""COMPUTED_VALUE"""),44195.6666666666)</f>
        <v>44195.666666666599</v>
      </c>
      <c r="N762" s="6">
        <f ca="1">IFERROR(__xludf.DUMMYFUNCTION("""COMPUTED_VALUE"""),12870)</f>
        <v>12870</v>
      </c>
      <c r="R762" s="6" t="str">
        <f t="shared" ca="1" si="204"/>
        <v>20212</v>
      </c>
      <c r="S762" s="6">
        <f t="shared" ca="1" si="205"/>
        <v>2021</v>
      </c>
      <c r="T762" s="6">
        <f t="shared" ca="1" si="206"/>
        <v>2</v>
      </c>
      <c r="U762" s="68">
        <f ca="1">IFERROR(__xludf.DUMMYFUNCTION("""COMPUTED_VALUE"""),44235.6458333333)</f>
        <v>44235.645833333299</v>
      </c>
      <c r="V762" s="6">
        <f ca="1">IFERROR(__xludf.DUMMYFUNCTION("""COMPUTED_VALUE"""),3091.24)</f>
        <v>3091.24</v>
      </c>
      <c r="Z762" s="6" t="str">
        <f t="shared" ca="1" si="207"/>
        <v>20203</v>
      </c>
      <c r="AA762" s="6">
        <f t="shared" ca="1" si="208"/>
        <v>2020</v>
      </c>
      <c r="AB762" s="6">
        <f t="shared" ca="1" si="209"/>
        <v>3</v>
      </c>
      <c r="AC762" s="68">
        <f ca="1">IFERROR(__xludf.DUMMYFUNCTION("""COMPUTED_VALUE"""),43898.9986111111)</f>
        <v>43898.998611111099</v>
      </c>
      <c r="AD762" s="6">
        <f ca="1">IFERROR(__xludf.DUMMYFUNCTION("""COMPUTED_VALUE"""),1187.7)</f>
        <v>1187.7</v>
      </c>
      <c r="AH762" s="6" t="str">
        <f t="shared" ca="1" si="210"/>
        <v>20201</v>
      </c>
      <c r="AI762" s="6">
        <f t="shared" ca="1" si="211"/>
        <v>2020</v>
      </c>
      <c r="AJ762" s="6">
        <f t="shared" ca="1" si="212"/>
        <v>1</v>
      </c>
      <c r="AK762" s="68">
        <f ca="1">IFERROR(__xludf.DUMMYFUNCTION("""COMPUTED_VALUE"""),43854.9986111111)</f>
        <v>43854.998611111099</v>
      </c>
      <c r="AL762" s="6">
        <f ca="1">IFERROR(__xludf.DUMMYFUNCTION("""COMPUTED_VALUE"""),8429.902)</f>
        <v>8429.902</v>
      </c>
      <c r="AP762" s="6" t="str">
        <f t="shared" ca="1" si="213"/>
        <v>20211</v>
      </c>
      <c r="AQ762" s="6">
        <f t="shared" ca="1" si="214"/>
        <v>2021</v>
      </c>
      <c r="AR762" s="6">
        <f t="shared" ca="1" si="215"/>
        <v>1</v>
      </c>
      <c r="AS762" s="68">
        <f ca="1">IFERROR(__xludf.DUMMYFUNCTION("""COMPUTED_VALUE"""),44211.9986111111)</f>
        <v>44211.998611111099</v>
      </c>
      <c r="AT762" s="6">
        <f ca="1">IFERROR(__xludf.DUMMYFUNCTION("""COMPUTED_VALUE"""),1829.9)</f>
        <v>1829.9</v>
      </c>
    </row>
    <row r="763" spans="2:46" x14ac:dyDescent="0.35">
      <c r="B763" s="6" t="str">
        <f t="shared" ca="1" si="198"/>
        <v>20211</v>
      </c>
      <c r="C763" s="6">
        <f t="shared" ca="1" si="199"/>
        <v>2021</v>
      </c>
      <c r="D763" s="6">
        <f t="shared" ca="1" si="200"/>
        <v>1</v>
      </c>
      <c r="E763" s="68">
        <f ca="1">IFERROR(__xludf.DUMMYFUNCTION("""COMPUTED_VALUE"""),44204.6666666666)</f>
        <v>44204.666666666599</v>
      </c>
      <c r="F763" s="6">
        <f ca="1">IFERROR(__xludf.DUMMYFUNCTION("""COMPUTED_VALUE"""),3824.68)</f>
        <v>3824.68</v>
      </c>
      <c r="J763" s="6" t="str">
        <f t="shared" ca="1" si="201"/>
        <v>202012</v>
      </c>
      <c r="K763" s="6">
        <f t="shared" ca="1" si="202"/>
        <v>2020</v>
      </c>
      <c r="L763" s="6">
        <f t="shared" ca="1" si="203"/>
        <v>12</v>
      </c>
      <c r="M763" s="68">
        <f ca="1">IFERROR(__xludf.DUMMYFUNCTION("""COMPUTED_VALUE"""),44196.6666666666)</f>
        <v>44196.666666666599</v>
      </c>
      <c r="N763" s="6">
        <f ca="1">IFERROR(__xludf.DUMMYFUNCTION("""COMPUTED_VALUE"""),12888.28)</f>
        <v>12888.28</v>
      </c>
      <c r="R763" s="6" t="str">
        <f t="shared" ca="1" si="204"/>
        <v>20212</v>
      </c>
      <c r="S763" s="6">
        <f t="shared" ca="1" si="205"/>
        <v>2021</v>
      </c>
      <c r="T763" s="6">
        <f t="shared" ca="1" si="206"/>
        <v>2</v>
      </c>
      <c r="U763" s="68">
        <f ca="1">IFERROR(__xludf.DUMMYFUNCTION("""COMPUTED_VALUE"""),44236.6458333333)</f>
        <v>44236.645833333299</v>
      </c>
      <c r="V763" s="6">
        <f ca="1">IFERROR(__xludf.DUMMYFUNCTION("""COMPUTED_VALUE"""),3084.67)</f>
        <v>3084.67</v>
      </c>
      <c r="Z763" s="6" t="str">
        <f t="shared" ca="1" si="207"/>
        <v>20203</v>
      </c>
      <c r="AA763" s="6">
        <f t="shared" ca="1" si="208"/>
        <v>2020</v>
      </c>
      <c r="AB763" s="6">
        <f t="shared" ca="1" si="209"/>
        <v>3</v>
      </c>
      <c r="AC763" s="68">
        <f ca="1">IFERROR(__xludf.DUMMYFUNCTION("""COMPUTED_VALUE"""),43899.9986111111)</f>
        <v>43899.998611111099</v>
      </c>
      <c r="AD763" s="6">
        <f ca="1">IFERROR(__xludf.DUMMYFUNCTION("""COMPUTED_VALUE"""),1199.96)</f>
        <v>1199.96</v>
      </c>
      <c r="AH763" s="6" t="str">
        <f t="shared" ca="1" si="210"/>
        <v>20201</v>
      </c>
      <c r="AI763" s="6">
        <f t="shared" ca="1" si="211"/>
        <v>2020</v>
      </c>
      <c r="AJ763" s="6">
        <f t="shared" ca="1" si="212"/>
        <v>1</v>
      </c>
      <c r="AK763" s="68">
        <f ca="1">IFERROR(__xludf.DUMMYFUNCTION("""COMPUTED_VALUE"""),43855.9986111111)</f>
        <v>43855.998611111099</v>
      </c>
      <c r="AL763" s="6">
        <f ca="1">IFERROR(__xludf.DUMMYFUNCTION("""COMPUTED_VALUE"""),8337.552)</f>
        <v>8337.5519999999997</v>
      </c>
      <c r="AP763" s="6" t="str">
        <f t="shared" ca="1" si="213"/>
        <v>20211</v>
      </c>
      <c r="AQ763" s="6">
        <f t="shared" ca="1" si="214"/>
        <v>2021</v>
      </c>
      <c r="AR763" s="6">
        <f t="shared" ca="1" si="215"/>
        <v>1</v>
      </c>
      <c r="AS763" s="68">
        <f ca="1">IFERROR(__xludf.DUMMYFUNCTION("""COMPUTED_VALUE"""),44215.9986111111)</f>
        <v>44215.998611111099</v>
      </c>
      <c r="AT763" s="6">
        <f ca="1">IFERROR(__xludf.DUMMYFUNCTION("""COMPUTED_VALUE"""),1840.2)</f>
        <v>1840.2</v>
      </c>
    </row>
    <row r="764" spans="2:46" x14ac:dyDescent="0.35">
      <c r="B764" s="6" t="str">
        <f t="shared" ca="1" si="198"/>
        <v>20211</v>
      </c>
      <c r="C764" s="6">
        <f t="shared" ca="1" si="199"/>
        <v>2021</v>
      </c>
      <c r="D764" s="6">
        <f t="shared" ca="1" si="200"/>
        <v>1</v>
      </c>
      <c r="E764" s="68">
        <f ca="1">IFERROR(__xludf.DUMMYFUNCTION("""COMPUTED_VALUE"""),44207.6666666666)</f>
        <v>44207.666666666599</v>
      </c>
      <c r="F764" s="6">
        <f ca="1">IFERROR(__xludf.DUMMYFUNCTION("""COMPUTED_VALUE"""),3799.61)</f>
        <v>3799.61</v>
      </c>
      <c r="J764" s="6" t="str">
        <f t="shared" ca="1" si="201"/>
        <v>20211</v>
      </c>
      <c r="K764" s="6">
        <f t="shared" ca="1" si="202"/>
        <v>2021</v>
      </c>
      <c r="L764" s="6">
        <f t="shared" ca="1" si="203"/>
        <v>1</v>
      </c>
      <c r="M764" s="68">
        <f ca="1">IFERROR(__xludf.DUMMYFUNCTION("""COMPUTED_VALUE"""),44200.6666666666)</f>
        <v>44200.666666666599</v>
      </c>
      <c r="N764" s="6">
        <f ca="1">IFERROR(__xludf.DUMMYFUNCTION("""COMPUTED_VALUE"""),12698.45)</f>
        <v>12698.45</v>
      </c>
      <c r="R764" s="6" t="str">
        <f t="shared" ca="1" si="204"/>
        <v>20212</v>
      </c>
      <c r="S764" s="6">
        <f t="shared" ca="1" si="205"/>
        <v>2021</v>
      </c>
      <c r="T764" s="6">
        <f t="shared" ca="1" si="206"/>
        <v>2</v>
      </c>
      <c r="U764" s="68">
        <f ca="1">IFERROR(__xludf.DUMMYFUNCTION("""COMPUTED_VALUE"""),44237.6458333333)</f>
        <v>44237.645833333299</v>
      </c>
      <c r="V764" s="6">
        <f ca="1">IFERROR(__xludf.DUMMYFUNCTION("""COMPUTED_VALUE"""),3100.58)</f>
        <v>3100.58</v>
      </c>
      <c r="Z764" s="6" t="str">
        <f t="shared" ca="1" si="207"/>
        <v>20203</v>
      </c>
      <c r="AA764" s="6">
        <f t="shared" ca="1" si="208"/>
        <v>2020</v>
      </c>
      <c r="AB764" s="6">
        <f t="shared" ca="1" si="209"/>
        <v>3</v>
      </c>
      <c r="AC764" s="68">
        <f ca="1">IFERROR(__xludf.DUMMYFUNCTION("""COMPUTED_VALUE"""),43900.9986111111)</f>
        <v>43900.998611111099</v>
      </c>
      <c r="AD764" s="6">
        <f ca="1">IFERROR(__xludf.DUMMYFUNCTION("""COMPUTED_VALUE"""),1184.7)</f>
        <v>1184.7</v>
      </c>
      <c r="AH764" s="6" t="str">
        <f t="shared" ca="1" si="210"/>
        <v>20201</v>
      </c>
      <c r="AI764" s="6">
        <f t="shared" ca="1" si="211"/>
        <v>2020</v>
      </c>
      <c r="AJ764" s="6">
        <f t="shared" ca="1" si="212"/>
        <v>1</v>
      </c>
      <c r="AK764" s="68">
        <f ca="1">IFERROR(__xludf.DUMMYFUNCTION("""COMPUTED_VALUE"""),43856.9986111111)</f>
        <v>43856.998611111099</v>
      </c>
      <c r="AL764" s="6">
        <f ca="1">IFERROR(__xludf.DUMMYFUNCTION("""COMPUTED_VALUE"""),8596.776)</f>
        <v>8596.7759999999998</v>
      </c>
      <c r="AP764" s="6" t="str">
        <f t="shared" ca="1" si="213"/>
        <v>20211</v>
      </c>
      <c r="AQ764" s="6">
        <f t="shared" ca="1" si="214"/>
        <v>2021</v>
      </c>
      <c r="AR764" s="6">
        <f t="shared" ca="1" si="215"/>
        <v>1</v>
      </c>
      <c r="AS764" s="68">
        <f ca="1">IFERROR(__xludf.DUMMYFUNCTION("""COMPUTED_VALUE"""),44216.9986111111)</f>
        <v>44216.998611111099</v>
      </c>
      <c r="AT764" s="6">
        <f ca="1">IFERROR(__xludf.DUMMYFUNCTION("""COMPUTED_VALUE"""),1870.2)</f>
        <v>1870.2</v>
      </c>
    </row>
    <row r="765" spans="2:46" x14ac:dyDescent="0.35">
      <c r="B765" s="6" t="str">
        <f t="shared" ca="1" si="198"/>
        <v>20211</v>
      </c>
      <c r="C765" s="6">
        <f t="shared" ca="1" si="199"/>
        <v>2021</v>
      </c>
      <c r="D765" s="6">
        <f t="shared" ca="1" si="200"/>
        <v>1</v>
      </c>
      <c r="E765" s="68">
        <f ca="1">IFERROR(__xludf.DUMMYFUNCTION("""COMPUTED_VALUE"""),44208.6666666666)</f>
        <v>44208.666666666599</v>
      </c>
      <c r="F765" s="6">
        <f ca="1">IFERROR(__xludf.DUMMYFUNCTION("""COMPUTED_VALUE"""),3801.19)</f>
        <v>3801.19</v>
      </c>
      <c r="J765" s="6" t="str">
        <f t="shared" ca="1" si="201"/>
        <v>20211</v>
      </c>
      <c r="K765" s="6">
        <f t="shared" ca="1" si="202"/>
        <v>2021</v>
      </c>
      <c r="L765" s="6">
        <f t="shared" ca="1" si="203"/>
        <v>1</v>
      </c>
      <c r="M765" s="68">
        <f ca="1">IFERROR(__xludf.DUMMYFUNCTION("""COMPUTED_VALUE"""),44201.6666666666)</f>
        <v>44201.666666666599</v>
      </c>
      <c r="N765" s="6">
        <f ca="1">IFERROR(__xludf.DUMMYFUNCTION("""COMPUTED_VALUE"""),12818.96)</f>
        <v>12818.96</v>
      </c>
      <c r="R765" s="6" t="str">
        <f t="shared" ca="1" si="204"/>
        <v>20212</v>
      </c>
      <c r="S765" s="6">
        <f t="shared" ca="1" si="205"/>
        <v>2021</v>
      </c>
      <c r="T765" s="6">
        <f t="shared" ca="1" si="206"/>
        <v>2</v>
      </c>
      <c r="U765" s="68">
        <f ca="1">IFERROR(__xludf.DUMMYFUNCTION("""COMPUTED_VALUE"""),44242.6458333333)</f>
        <v>44242.645833333299</v>
      </c>
      <c r="V765" s="6">
        <f ca="1">IFERROR(__xludf.DUMMYFUNCTION("""COMPUTED_VALUE"""),3147)</f>
        <v>3147</v>
      </c>
      <c r="Z765" s="6" t="str">
        <f t="shared" ca="1" si="207"/>
        <v>20203</v>
      </c>
      <c r="AA765" s="6">
        <f t="shared" ca="1" si="208"/>
        <v>2020</v>
      </c>
      <c r="AB765" s="6">
        <f t="shared" ca="1" si="209"/>
        <v>3</v>
      </c>
      <c r="AC765" s="68">
        <f ca="1">IFERROR(__xludf.DUMMYFUNCTION("""COMPUTED_VALUE"""),43901.9986111111)</f>
        <v>43901.998611111099</v>
      </c>
      <c r="AD765" s="6">
        <f ca="1">IFERROR(__xludf.DUMMYFUNCTION("""COMPUTED_VALUE"""),1189.39)</f>
        <v>1189.3900000000001</v>
      </c>
      <c r="AH765" s="6" t="str">
        <f t="shared" ca="1" si="210"/>
        <v>20201</v>
      </c>
      <c r="AI765" s="6">
        <f t="shared" ca="1" si="211"/>
        <v>2020</v>
      </c>
      <c r="AJ765" s="6">
        <f t="shared" ca="1" si="212"/>
        <v>1</v>
      </c>
      <c r="AK765" s="68">
        <f ca="1">IFERROR(__xludf.DUMMYFUNCTION("""COMPUTED_VALUE"""),43857.9986111111)</f>
        <v>43857.998611111099</v>
      </c>
      <c r="AL765" s="6">
        <f ca="1">IFERROR(__xludf.DUMMYFUNCTION("""COMPUTED_VALUE"""),8897.197)</f>
        <v>8897.1970000000001</v>
      </c>
      <c r="AP765" s="6" t="str">
        <f t="shared" ca="1" si="213"/>
        <v>20211</v>
      </c>
      <c r="AQ765" s="6">
        <f t="shared" ca="1" si="214"/>
        <v>2021</v>
      </c>
      <c r="AR765" s="6">
        <f t="shared" ca="1" si="215"/>
        <v>1</v>
      </c>
      <c r="AS765" s="68">
        <f ca="1">IFERROR(__xludf.DUMMYFUNCTION("""COMPUTED_VALUE"""),44217.9986111111)</f>
        <v>44217.998611111099</v>
      </c>
      <c r="AT765" s="6">
        <f ca="1">IFERROR(__xludf.DUMMYFUNCTION("""COMPUTED_VALUE"""),1869.3)</f>
        <v>1869.3</v>
      </c>
    </row>
    <row r="766" spans="2:46" x14ac:dyDescent="0.35">
      <c r="B766" s="6" t="str">
        <f t="shared" ca="1" si="198"/>
        <v>20211</v>
      </c>
      <c r="C766" s="6">
        <f t="shared" ca="1" si="199"/>
        <v>2021</v>
      </c>
      <c r="D766" s="6">
        <f t="shared" ca="1" si="200"/>
        <v>1</v>
      </c>
      <c r="E766" s="68">
        <f ca="1">IFERROR(__xludf.DUMMYFUNCTION("""COMPUTED_VALUE"""),44209.6666666666)</f>
        <v>44209.666666666599</v>
      </c>
      <c r="F766" s="6">
        <f ca="1">IFERROR(__xludf.DUMMYFUNCTION("""COMPUTED_VALUE"""),3809.84)</f>
        <v>3809.84</v>
      </c>
      <c r="J766" s="6" t="str">
        <f t="shared" ca="1" si="201"/>
        <v>20211</v>
      </c>
      <c r="K766" s="6">
        <f t="shared" ca="1" si="202"/>
        <v>2021</v>
      </c>
      <c r="L766" s="6">
        <f t="shared" ca="1" si="203"/>
        <v>1</v>
      </c>
      <c r="M766" s="68">
        <f ca="1">IFERROR(__xludf.DUMMYFUNCTION("""COMPUTED_VALUE"""),44202.6666666666)</f>
        <v>44202.666666666599</v>
      </c>
      <c r="N766" s="6">
        <f ca="1">IFERROR(__xludf.DUMMYFUNCTION("""COMPUTED_VALUE"""),12740.79)</f>
        <v>12740.79</v>
      </c>
      <c r="R766" s="6" t="str">
        <f t="shared" ca="1" si="204"/>
        <v>20212</v>
      </c>
      <c r="S766" s="6">
        <f t="shared" ca="1" si="205"/>
        <v>2021</v>
      </c>
      <c r="T766" s="6">
        <f t="shared" ca="1" si="206"/>
        <v>2</v>
      </c>
      <c r="U766" s="68">
        <f ca="1">IFERROR(__xludf.DUMMYFUNCTION("""COMPUTED_VALUE"""),44243.6458333333)</f>
        <v>44243.645833333299</v>
      </c>
      <c r="V766" s="6">
        <f ca="1">IFERROR(__xludf.DUMMYFUNCTION("""COMPUTED_VALUE"""),3163.25)</f>
        <v>3163.25</v>
      </c>
      <c r="Z766" s="6" t="str">
        <f t="shared" ca="1" si="207"/>
        <v>20203</v>
      </c>
      <c r="AA766" s="6">
        <f t="shared" ca="1" si="208"/>
        <v>2020</v>
      </c>
      <c r="AB766" s="6">
        <f t="shared" ca="1" si="209"/>
        <v>3</v>
      </c>
      <c r="AC766" s="68">
        <f ca="1">IFERROR(__xludf.DUMMYFUNCTION("""COMPUTED_VALUE"""),43902.9986111111)</f>
        <v>43902.998611111099</v>
      </c>
      <c r="AD766" s="6">
        <f ca="1">IFERROR(__xludf.DUMMYFUNCTION("""COMPUTED_VALUE"""),1209.97)</f>
        <v>1209.97</v>
      </c>
      <c r="AH766" s="6" t="str">
        <f t="shared" ca="1" si="210"/>
        <v>20201</v>
      </c>
      <c r="AI766" s="6">
        <f t="shared" ca="1" si="211"/>
        <v>2020</v>
      </c>
      <c r="AJ766" s="6">
        <f t="shared" ca="1" si="212"/>
        <v>1</v>
      </c>
      <c r="AK766" s="68">
        <f ca="1">IFERROR(__xludf.DUMMYFUNCTION("""COMPUTED_VALUE"""),43858.9986111111)</f>
        <v>43858.998611111099</v>
      </c>
      <c r="AL766" s="6">
        <f ca="1">IFERROR(__xludf.DUMMYFUNCTION("""COMPUTED_VALUE"""),9386.535)</f>
        <v>9386.5349999999999</v>
      </c>
      <c r="AP766" s="6" t="str">
        <f t="shared" ca="1" si="213"/>
        <v>20211</v>
      </c>
      <c r="AQ766" s="6">
        <f t="shared" ca="1" si="214"/>
        <v>2021</v>
      </c>
      <c r="AR766" s="6">
        <f t="shared" ca="1" si="215"/>
        <v>1</v>
      </c>
      <c r="AS766" s="68">
        <f ca="1">IFERROR(__xludf.DUMMYFUNCTION("""COMPUTED_VALUE"""),44218.9986111111)</f>
        <v>44218.998611111099</v>
      </c>
      <c r="AT766" s="6">
        <f ca="1">IFERROR(__xludf.DUMMYFUNCTION("""COMPUTED_VALUE"""),1859.9)</f>
        <v>1859.9</v>
      </c>
    </row>
    <row r="767" spans="2:46" x14ac:dyDescent="0.35">
      <c r="B767" s="6" t="str">
        <f t="shared" ca="1" si="198"/>
        <v>20211</v>
      </c>
      <c r="C767" s="6">
        <f t="shared" ca="1" si="199"/>
        <v>2021</v>
      </c>
      <c r="D767" s="6">
        <f t="shared" ca="1" si="200"/>
        <v>1</v>
      </c>
      <c r="E767" s="68">
        <f ca="1">IFERROR(__xludf.DUMMYFUNCTION("""COMPUTED_VALUE"""),44210.6666666666)</f>
        <v>44210.666666666599</v>
      </c>
      <c r="F767" s="6">
        <f ca="1">IFERROR(__xludf.DUMMYFUNCTION("""COMPUTED_VALUE"""),3795.54)</f>
        <v>3795.54</v>
      </c>
      <c r="J767" s="6" t="str">
        <f t="shared" ca="1" si="201"/>
        <v>20211</v>
      </c>
      <c r="K767" s="6">
        <f t="shared" ca="1" si="202"/>
        <v>2021</v>
      </c>
      <c r="L767" s="6">
        <f t="shared" ca="1" si="203"/>
        <v>1</v>
      </c>
      <c r="M767" s="68">
        <f ca="1">IFERROR(__xludf.DUMMYFUNCTION("""COMPUTED_VALUE"""),44203.6666666666)</f>
        <v>44203.666666666599</v>
      </c>
      <c r="N767" s="6">
        <f ca="1">IFERROR(__xludf.DUMMYFUNCTION("""COMPUTED_VALUE"""),13067.48)</f>
        <v>13067.48</v>
      </c>
      <c r="R767" s="6" t="str">
        <f t="shared" ca="1" si="204"/>
        <v>20212</v>
      </c>
      <c r="S767" s="6">
        <f t="shared" ca="1" si="205"/>
        <v>2021</v>
      </c>
      <c r="T767" s="6">
        <f t="shared" ca="1" si="206"/>
        <v>2</v>
      </c>
      <c r="U767" s="68">
        <f ca="1">IFERROR(__xludf.DUMMYFUNCTION("""COMPUTED_VALUE"""),44244.6458333333)</f>
        <v>44244.645833333299</v>
      </c>
      <c r="V767" s="6">
        <f ca="1">IFERROR(__xludf.DUMMYFUNCTION("""COMPUTED_VALUE"""),3133.73)</f>
        <v>3133.73</v>
      </c>
      <c r="Z767" s="6" t="str">
        <f t="shared" ca="1" si="207"/>
        <v>20203</v>
      </c>
      <c r="AA767" s="6">
        <f t="shared" ca="1" si="208"/>
        <v>2020</v>
      </c>
      <c r="AB767" s="6">
        <f t="shared" ca="1" si="209"/>
        <v>3</v>
      </c>
      <c r="AC767" s="68">
        <f ca="1">IFERROR(__xludf.DUMMYFUNCTION("""COMPUTED_VALUE"""),43903.9986111111)</f>
        <v>43903.998611111099</v>
      </c>
      <c r="AD767" s="6">
        <f ca="1">IFERROR(__xludf.DUMMYFUNCTION("""COMPUTED_VALUE"""),1210.8)</f>
        <v>1210.8</v>
      </c>
      <c r="AH767" s="6" t="str">
        <f t="shared" ca="1" si="210"/>
        <v>20201</v>
      </c>
      <c r="AI767" s="6">
        <f t="shared" ca="1" si="211"/>
        <v>2020</v>
      </c>
      <c r="AJ767" s="6">
        <f t="shared" ca="1" si="212"/>
        <v>1</v>
      </c>
      <c r="AK767" s="68">
        <f ca="1">IFERROR(__xludf.DUMMYFUNCTION("""COMPUTED_VALUE"""),43859.9986111111)</f>
        <v>43859.998611111099</v>
      </c>
      <c r="AL767" s="6">
        <f ca="1">IFERROR(__xludf.DUMMYFUNCTION("""COMPUTED_VALUE"""),9287.392)</f>
        <v>9287.3919999999998</v>
      </c>
      <c r="AP767" s="6" t="str">
        <f t="shared" ca="1" si="213"/>
        <v>20211</v>
      </c>
      <c r="AQ767" s="6">
        <f t="shared" ca="1" si="214"/>
        <v>2021</v>
      </c>
      <c r="AR767" s="6">
        <f t="shared" ca="1" si="215"/>
        <v>1</v>
      </c>
      <c r="AS767" s="68">
        <f ca="1">IFERROR(__xludf.DUMMYFUNCTION("""COMPUTED_VALUE"""),44221.9986111111)</f>
        <v>44221.998611111099</v>
      </c>
      <c r="AT767" s="6">
        <f ca="1">IFERROR(__xludf.DUMMYFUNCTION("""COMPUTED_VALUE"""),1859)</f>
        <v>1859</v>
      </c>
    </row>
    <row r="768" spans="2:46" x14ac:dyDescent="0.35">
      <c r="B768" s="6" t="str">
        <f t="shared" ca="1" si="198"/>
        <v>20211</v>
      </c>
      <c r="C768" s="6">
        <f t="shared" ca="1" si="199"/>
        <v>2021</v>
      </c>
      <c r="D768" s="6">
        <f t="shared" ca="1" si="200"/>
        <v>1</v>
      </c>
      <c r="E768" s="68">
        <f ca="1">IFERROR(__xludf.DUMMYFUNCTION("""COMPUTED_VALUE"""),44211.6666666666)</f>
        <v>44211.666666666599</v>
      </c>
      <c r="F768" s="6">
        <f ca="1">IFERROR(__xludf.DUMMYFUNCTION("""COMPUTED_VALUE"""),3768.25)</f>
        <v>3768.25</v>
      </c>
      <c r="J768" s="6" t="str">
        <f t="shared" ca="1" si="201"/>
        <v>20211</v>
      </c>
      <c r="K768" s="6">
        <f t="shared" ca="1" si="202"/>
        <v>2021</v>
      </c>
      <c r="L768" s="6">
        <f t="shared" ca="1" si="203"/>
        <v>1</v>
      </c>
      <c r="M768" s="68">
        <f ca="1">IFERROR(__xludf.DUMMYFUNCTION("""COMPUTED_VALUE"""),44204.6666666666)</f>
        <v>44204.666666666599</v>
      </c>
      <c r="N768" s="6">
        <f ca="1">IFERROR(__xludf.DUMMYFUNCTION("""COMPUTED_VALUE"""),13201.98)</f>
        <v>13201.98</v>
      </c>
      <c r="R768" s="6" t="str">
        <f t="shared" ca="1" si="204"/>
        <v>20212</v>
      </c>
      <c r="S768" s="6">
        <f t="shared" ca="1" si="205"/>
        <v>2021</v>
      </c>
      <c r="T768" s="6">
        <f t="shared" ca="1" si="206"/>
        <v>2</v>
      </c>
      <c r="U768" s="68">
        <f ca="1">IFERROR(__xludf.DUMMYFUNCTION("""COMPUTED_VALUE"""),44245.6458333333)</f>
        <v>44245.645833333299</v>
      </c>
      <c r="V768" s="6">
        <f ca="1">IFERROR(__xludf.DUMMYFUNCTION("""COMPUTED_VALUE"""),3086.66)</f>
        <v>3086.66</v>
      </c>
      <c r="Z768" s="6" t="str">
        <f t="shared" ca="1" si="207"/>
        <v>20203</v>
      </c>
      <c r="AA768" s="6">
        <f t="shared" ca="1" si="208"/>
        <v>2020</v>
      </c>
      <c r="AB768" s="6">
        <f t="shared" ca="1" si="209"/>
        <v>3</v>
      </c>
      <c r="AC768" s="68">
        <f ca="1">IFERROR(__xludf.DUMMYFUNCTION("""COMPUTED_VALUE"""),43904.9986111111)</f>
        <v>43904.998611111099</v>
      </c>
      <c r="AD768" s="6">
        <f ca="1">IFERROR(__xludf.DUMMYFUNCTION("""COMPUTED_VALUE"""),1210.8)</f>
        <v>1210.8</v>
      </c>
      <c r="AH768" s="6" t="str">
        <f t="shared" ca="1" si="210"/>
        <v>20201</v>
      </c>
      <c r="AI768" s="6">
        <f t="shared" ca="1" si="211"/>
        <v>2020</v>
      </c>
      <c r="AJ768" s="6">
        <f t="shared" ca="1" si="212"/>
        <v>1</v>
      </c>
      <c r="AK768" s="68">
        <f ca="1">IFERROR(__xludf.DUMMYFUNCTION("""COMPUTED_VALUE"""),43860.9986111111)</f>
        <v>43860.998611111099</v>
      </c>
      <c r="AL768" s="6">
        <f ca="1">IFERROR(__xludf.DUMMYFUNCTION("""COMPUTED_VALUE"""),9502.2)</f>
        <v>9502.2000000000007</v>
      </c>
      <c r="AP768" s="6" t="str">
        <f t="shared" ca="1" si="213"/>
        <v>20211</v>
      </c>
      <c r="AQ768" s="6">
        <f t="shared" ca="1" si="214"/>
        <v>2021</v>
      </c>
      <c r="AR768" s="6">
        <f t="shared" ca="1" si="215"/>
        <v>1</v>
      </c>
      <c r="AS768" s="68">
        <f ca="1">IFERROR(__xludf.DUMMYFUNCTION("""COMPUTED_VALUE"""),44222.9986111111)</f>
        <v>44222.998611111099</v>
      </c>
      <c r="AT768" s="6">
        <f ca="1">IFERROR(__xludf.DUMMYFUNCTION("""COMPUTED_VALUE"""),1854.8)</f>
        <v>1854.8</v>
      </c>
    </row>
    <row r="769" spans="2:46" x14ac:dyDescent="0.35">
      <c r="B769" s="6" t="str">
        <f t="shared" ca="1" si="198"/>
        <v>20211</v>
      </c>
      <c r="C769" s="6">
        <f t="shared" ca="1" si="199"/>
        <v>2021</v>
      </c>
      <c r="D769" s="6">
        <f t="shared" ca="1" si="200"/>
        <v>1</v>
      </c>
      <c r="E769" s="68">
        <f ca="1">IFERROR(__xludf.DUMMYFUNCTION("""COMPUTED_VALUE"""),44215.6666666666)</f>
        <v>44215.666666666599</v>
      </c>
      <c r="F769" s="6">
        <f ca="1">IFERROR(__xludf.DUMMYFUNCTION("""COMPUTED_VALUE"""),3798.91)</f>
        <v>3798.91</v>
      </c>
      <c r="J769" s="6" t="str">
        <f t="shared" ca="1" si="201"/>
        <v>20211</v>
      </c>
      <c r="K769" s="6">
        <f t="shared" ca="1" si="202"/>
        <v>2021</v>
      </c>
      <c r="L769" s="6">
        <f t="shared" ca="1" si="203"/>
        <v>1</v>
      </c>
      <c r="M769" s="68">
        <f ca="1">IFERROR(__xludf.DUMMYFUNCTION("""COMPUTED_VALUE"""),44207.6666666666)</f>
        <v>44207.666666666599</v>
      </c>
      <c r="N769" s="6">
        <f ca="1">IFERROR(__xludf.DUMMYFUNCTION("""COMPUTED_VALUE"""),13036.43)</f>
        <v>13036.43</v>
      </c>
      <c r="R769" s="6" t="str">
        <f t="shared" ca="1" si="204"/>
        <v>20212</v>
      </c>
      <c r="S769" s="6">
        <f t="shared" ca="1" si="205"/>
        <v>2021</v>
      </c>
      <c r="T769" s="6">
        <f t="shared" ca="1" si="206"/>
        <v>2</v>
      </c>
      <c r="U769" s="68">
        <f ca="1">IFERROR(__xludf.DUMMYFUNCTION("""COMPUTED_VALUE"""),44246.6458333333)</f>
        <v>44246.645833333299</v>
      </c>
      <c r="V769" s="6">
        <f ca="1">IFERROR(__xludf.DUMMYFUNCTION("""COMPUTED_VALUE"""),3107.62)</f>
        <v>3107.62</v>
      </c>
      <c r="Z769" s="6" t="str">
        <f t="shared" ca="1" si="207"/>
        <v>20203</v>
      </c>
      <c r="AA769" s="6">
        <f t="shared" ca="1" si="208"/>
        <v>2020</v>
      </c>
      <c r="AB769" s="6">
        <f t="shared" ca="1" si="209"/>
        <v>3</v>
      </c>
      <c r="AC769" s="68">
        <f ca="1">IFERROR(__xludf.DUMMYFUNCTION("""COMPUTED_VALUE"""),43905.9986111111)</f>
        <v>43905.998611111099</v>
      </c>
      <c r="AD769" s="6">
        <f ca="1">IFERROR(__xludf.DUMMYFUNCTION("""COMPUTED_VALUE"""),1210.8)</f>
        <v>1210.8</v>
      </c>
      <c r="AH769" s="6" t="str">
        <f t="shared" ca="1" si="210"/>
        <v>20201</v>
      </c>
      <c r="AI769" s="6">
        <f t="shared" ca="1" si="211"/>
        <v>2020</v>
      </c>
      <c r="AJ769" s="6">
        <f t="shared" ca="1" si="212"/>
        <v>1</v>
      </c>
      <c r="AK769" s="68">
        <f ca="1">IFERROR(__xludf.DUMMYFUNCTION("""COMPUTED_VALUE"""),43861.9986111111)</f>
        <v>43861.998611111099</v>
      </c>
      <c r="AL769" s="6">
        <f ca="1">IFERROR(__xludf.DUMMYFUNCTION("""COMPUTED_VALUE"""),9338.332)</f>
        <v>9338.3320000000003</v>
      </c>
      <c r="AP769" s="6" t="str">
        <f t="shared" ca="1" si="213"/>
        <v>20211</v>
      </c>
      <c r="AQ769" s="6">
        <f t="shared" ca="1" si="214"/>
        <v>2021</v>
      </c>
      <c r="AR769" s="6">
        <f t="shared" ca="1" si="215"/>
        <v>1</v>
      </c>
      <c r="AS769" s="68">
        <f ca="1">IFERROR(__xludf.DUMMYFUNCTION("""COMPUTED_VALUE"""),44223.9986111111)</f>
        <v>44223.998611111099</v>
      </c>
      <c r="AT769" s="6">
        <f ca="1">IFERROR(__xludf.DUMMYFUNCTION("""COMPUTED_VALUE"""),1848.9)</f>
        <v>1848.9</v>
      </c>
    </row>
    <row r="770" spans="2:46" x14ac:dyDescent="0.35">
      <c r="B770" s="6" t="str">
        <f t="shared" ca="1" si="198"/>
        <v>20211</v>
      </c>
      <c r="C770" s="6">
        <f t="shared" ca="1" si="199"/>
        <v>2021</v>
      </c>
      <c r="D770" s="6">
        <f t="shared" ca="1" si="200"/>
        <v>1</v>
      </c>
      <c r="E770" s="68">
        <f ca="1">IFERROR(__xludf.DUMMYFUNCTION("""COMPUTED_VALUE"""),44216.6666666666)</f>
        <v>44216.666666666599</v>
      </c>
      <c r="F770" s="6">
        <f ca="1">IFERROR(__xludf.DUMMYFUNCTION("""COMPUTED_VALUE"""),3851.85)</f>
        <v>3851.85</v>
      </c>
      <c r="J770" s="6" t="str">
        <f t="shared" ca="1" si="201"/>
        <v>20211</v>
      </c>
      <c r="K770" s="6">
        <f t="shared" ca="1" si="202"/>
        <v>2021</v>
      </c>
      <c r="L770" s="6">
        <f t="shared" ca="1" si="203"/>
        <v>1</v>
      </c>
      <c r="M770" s="68">
        <f ca="1">IFERROR(__xludf.DUMMYFUNCTION("""COMPUTED_VALUE"""),44208.6666666666)</f>
        <v>44208.666666666599</v>
      </c>
      <c r="N770" s="6">
        <f ca="1">IFERROR(__xludf.DUMMYFUNCTION("""COMPUTED_VALUE"""),13072.43)</f>
        <v>13072.43</v>
      </c>
      <c r="R770" s="6" t="str">
        <f t="shared" ca="1" si="204"/>
        <v>20212</v>
      </c>
      <c r="S770" s="6">
        <f t="shared" ca="1" si="205"/>
        <v>2021</v>
      </c>
      <c r="T770" s="6">
        <f t="shared" ca="1" si="206"/>
        <v>2</v>
      </c>
      <c r="U770" s="68">
        <f ca="1">IFERROR(__xludf.DUMMYFUNCTION("""COMPUTED_VALUE"""),44249.6458333333)</f>
        <v>44249.645833333299</v>
      </c>
      <c r="V770" s="6">
        <f ca="1">IFERROR(__xludf.DUMMYFUNCTION("""COMPUTED_VALUE"""),3079.75)</f>
        <v>3079.75</v>
      </c>
      <c r="Z770" s="6" t="str">
        <f t="shared" ca="1" si="207"/>
        <v>20203</v>
      </c>
      <c r="AA770" s="6">
        <f t="shared" ca="1" si="208"/>
        <v>2020</v>
      </c>
      <c r="AB770" s="6">
        <f t="shared" ca="1" si="209"/>
        <v>3</v>
      </c>
      <c r="AC770" s="68">
        <f ca="1">IFERROR(__xludf.DUMMYFUNCTION("""COMPUTED_VALUE"""),43906.9986111111)</f>
        <v>43906.998611111099</v>
      </c>
      <c r="AD770" s="6">
        <f ca="1">IFERROR(__xludf.DUMMYFUNCTION("""COMPUTED_VALUE"""),1232.04)</f>
        <v>1232.04</v>
      </c>
      <c r="AH770" s="6" t="str">
        <f t="shared" ca="1" si="210"/>
        <v>20202</v>
      </c>
      <c r="AI770" s="6">
        <f t="shared" ca="1" si="211"/>
        <v>2020</v>
      </c>
      <c r="AJ770" s="6">
        <f t="shared" ca="1" si="212"/>
        <v>2</v>
      </c>
      <c r="AK770" s="68">
        <f ca="1">IFERROR(__xludf.DUMMYFUNCTION("""COMPUTED_VALUE"""),43862.9986111111)</f>
        <v>43862.998611111099</v>
      </c>
      <c r="AL770" s="6">
        <f ca="1">IFERROR(__xludf.DUMMYFUNCTION("""COMPUTED_VALUE"""),9383.33)</f>
        <v>9383.33</v>
      </c>
      <c r="AP770" s="6" t="str">
        <f t="shared" ca="1" si="213"/>
        <v>20211</v>
      </c>
      <c r="AQ770" s="6">
        <f t="shared" ca="1" si="214"/>
        <v>2021</v>
      </c>
      <c r="AR770" s="6">
        <f t="shared" ca="1" si="215"/>
        <v>1</v>
      </c>
      <c r="AS770" s="68">
        <f ca="1">IFERROR(__xludf.DUMMYFUNCTION("""COMPUTED_VALUE"""),44224.9986111111)</f>
        <v>44224.998611111099</v>
      </c>
      <c r="AT770" s="6">
        <f ca="1">IFERROR(__xludf.DUMMYFUNCTION("""COMPUTED_VALUE"""),1841.2)</f>
        <v>1841.2</v>
      </c>
    </row>
    <row r="771" spans="2:46" x14ac:dyDescent="0.35">
      <c r="B771" s="6" t="str">
        <f t="shared" ca="1" si="198"/>
        <v>20211</v>
      </c>
      <c r="C771" s="6">
        <f t="shared" ca="1" si="199"/>
        <v>2021</v>
      </c>
      <c r="D771" s="6">
        <f t="shared" ca="1" si="200"/>
        <v>1</v>
      </c>
      <c r="E771" s="68">
        <f ca="1">IFERROR(__xludf.DUMMYFUNCTION("""COMPUTED_VALUE"""),44217.6666666666)</f>
        <v>44217.666666666599</v>
      </c>
      <c r="F771" s="6">
        <f ca="1">IFERROR(__xludf.DUMMYFUNCTION("""COMPUTED_VALUE"""),3853.07)</f>
        <v>3853.07</v>
      </c>
      <c r="J771" s="6" t="str">
        <f t="shared" ca="1" si="201"/>
        <v>20211</v>
      </c>
      <c r="K771" s="6">
        <f t="shared" ca="1" si="202"/>
        <v>2021</v>
      </c>
      <c r="L771" s="6">
        <f t="shared" ca="1" si="203"/>
        <v>1</v>
      </c>
      <c r="M771" s="68">
        <f ca="1">IFERROR(__xludf.DUMMYFUNCTION("""COMPUTED_VALUE"""),44209.6666666666)</f>
        <v>44209.666666666599</v>
      </c>
      <c r="N771" s="6">
        <f ca="1">IFERROR(__xludf.DUMMYFUNCTION("""COMPUTED_VALUE"""),13128.95)</f>
        <v>13128.95</v>
      </c>
      <c r="R771" s="6" t="str">
        <f t="shared" ca="1" si="204"/>
        <v>20212</v>
      </c>
      <c r="S771" s="6">
        <f t="shared" ca="1" si="205"/>
        <v>2021</v>
      </c>
      <c r="T771" s="6">
        <f t="shared" ca="1" si="206"/>
        <v>2</v>
      </c>
      <c r="U771" s="68">
        <f ca="1">IFERROR(__xludf.DUMMYFUNCTION("""COMPUTED_VALUE"""),44250.6458333333)</f>
        <v>44250.645833333299</v>
      </c>
      <c r="V771" s="6">
        <f ca="1">IFERROR(__xludf.DUMMYFUNCTION("""COMPUTED_VALUE"""),3070.09)</f>
        <v>3070.09</v>
      </c>
      <c r="Z771" s="6" t="str">
        <f t="shared" ca="1" si="207"/>
        <v>20203</v>
      </c>
      <c r="AA771" s="6">
        <f t="shared" ca="1" si="208"/>
        <v>2020</v>
      </c>
      <c r="AB771" s="6">
        <f t="shared" ca="1" si="209"/>
        <v>3</v>
      </c>
      <c r="AC771" s="68">
        <f ca="1">IFERROR(__xludf.DUMMYFUNCTION("""COMPUTED_VALUE"""),43907.9986111111)</f>
        <v>43907.998611111099</v>
      </c>
      <c r="AD771" s="6">
        <f ca="1">IFERROR(__xludf.DUMMYFUNCTION("""COMPUTED_VALUE"""),1237.99)</f>
        <v>1237.99</v>
      </c>
      <c r="AH771" s="6" t="str">
        <f t="shared" ca="1" si="210"/>
        <v>20202</v>
      </c>
      <c r="AI771" s="6">
        <f t="shared" ca="1" si="211"/>
        <v>2020</v>
      </c>
      <c r="AJ771" s="6">
        <f t="shared" ca="1" si="212"/>
        <v>2</v>
      </c>
      <c r="AK771" s="68">
        <f ca="1">IFERROR(__xludf.DUMMYFUNCTION("""COMPUTED_VALUE"""),43863.9986111111)</f>
        <v>43863.998611111099</v>
      </c>
      <c r="AL771" s="6">
        <f ca="1">IFERROR(__xludf.DUMMYFUNCTION("""COMPUTED_VALUE"""),9333.018)</f>
        <v>9333.018</v>
      </c>
      <c r="AP771" s="6" t="str">
        <f t="shared" ca="1" si="213"/>
        <v>20211</v>
      </c>
      <c r="AQ771" s="6">
        <f t="shared" ca="1" si="214"/>
        <v>2021</v>
      </c>
      <c r="AR771" s="6">
        <f t="shared" ca="1" si="215"/>
        <v>1</v>
      </c>
      <c r="AS771" s="68">
        <f ca="1">IFERROR(__xludf.DUMMYFUNCTION("""COMPUTED_VALUE"""),44225.9986111111)</f>
        <v>44225.998611111099</v>
      </c>
      <c r="AT771" s="6">
        <f ca="1">IFERROR(__xludf.DUMMYFUNCTION("""COMPUTED_VALUE"""),1850.3)</f>
        <v>1850.3</v>
      </c>
    </row>
    <row r="772" spans="2:46" x14ac:dyDescent="0.35">
      <c r="B772" s="6" t="str">
        <f t="shared" ca="1" si="198"/>
        <v>20211</v>
      </c>
      <c r="C772" s="6">
        <f t="shared" ca="1" si="199"/>
        <v>2021</v>
      </c>
      <c r="D772" s="6">
        <f t="shared" ca="1" si="200"/>
        <v>1</v>
      </c>
      <c r="E772" s="68">
        <f ca="1">IFERROR(__xludf.DUMMYFUNCTION("""COMPUTED_VALUE"""),44218.6666666666)</f>
        <v>44218.666666666599</v>
      </c>
      <c r="F772" s="6">
        <f ca="1">IFERROR(__xludf.DUMMYFUNCTION("""COMPUTED_VALUE"""),3841.47)</f>
        <v>3841.47</v>
      </c>
      <c r="J772" s="6" t="str">
        <f t="shared" ca="1" si="201"/>
        <v>20211</v>
      </c>
      <c r="K772" s="6">
        <f t="shared" ca="1" si="202"/>
        <v>2021</v>
      </c>
      <c r="L772" s="6">
        <f t="shared" ca="1" si="203"/>
        <v>1</v>
      </c>
      <c r="M772" s="68">
        <f ca="1">IFERROR(__xludf.DUMMYFUNCTION("""COMPUTED_VALUE"""),44210.6666666666)</f>
        <v>44210.666666666599</v>
      </c>
      <c r="N772" s="6">
        <f ca="1">IFERROR(__xludf.DUMMYFUNCTION("""COMPUTED_VALUE"""),13112.64)</f>
        <v>13112.64</v>
      </c>
      <c r="R772" s="6" t="str">
        <f t="shared" ca="1" si="204"/>
        <v>20212</v>
      </c>
      <c r="S772" s="6">
        <f t="shared" ca="1" si="205"/>
        <v>2021</v>
      </c>
      <c r="T772" s="6">
        <f t="shared" ca="1" si="206"/>
        <v>2</v>
      </c>
      <c r="U772" s="68">
        <f ca="1">IFERROR(__xludf.DUMMYFUNCTION("""COMPUTED_VALUE"""),44251.6458333333)</f>
        <v>44251.645833333299</v>
      </c>
      <c r="V772" s="6">
        <f ca="1">IFERROR(__xludf.DUMMYFUNCTION("""COMPUTED_VALUE"""),2994.98)</f>
        <v>2994.98</v>
      </c>
      <c r="Z772" s="6" t="str">
        <f t="shared" ca="1" si="207"/>
        <v>20203</v>
      </c>
      <c r="AA772" s="6">
        <f t="shared" ca="1" si="208"/>
        <v>2020</v>
      </c>
      <c r="AB772" s="6">
        <f t="shared" ca="1" si="209"/>
        <v>3</v>
      </c>
      <c r="AC772" s="68">
        <f ca="1">IFERROR(__xludf.DUMMYFUNCTION("""COMPUTED_VALUE"""),43908.9986111111)</f>
        <v>43908.998611111099</v>
      </c>
      <c r="AD772" s="6">
        <f ca="1">IFERROR(__xludf.DUMMYFUNCTION("""COMPUTED_VALUE"""),1255.35)</f>
        <v>1255.3499999999999</v>
      </c>
      <c r="AH772" s="6" t="str">
        <f t="shared" ca="1" si="210"/>
        <v>20202</v>
      </c>
      <c r="AI772" s="6">
        <f t="shared" ca="1" si="211"/>
        <v>2020</v>
      </c>
      <c r="AJ772" s="6">
        <f t="shared" ca="1" si="212"/>
        <v>2</v>
      </c>
      <c r="AK772" s="68">
        <f ca="1">IFERROR(__xludf.DUMMYFUNCTION("""COMPUTED_VALUE"""),43864.9986111111)</f>
        <v>43864.998611111099</v>
      </c>
      <c r="AL772" s="6">
        <f ca="1">IFERROR(__xludf.DUMMYFUNCTION("""COMPUTED_VALUE"""),9289.201)</f>
        <v>9289.2009999999991</v>
      </c>
      <c r="AP772" s="6" t="str">
        <f t="shared" ca="1" si="213"/>
        <v>20212</v>
      </c>
      <c r="AQ772" s="6">
        <f t="shared" ca="1" si="214"/>
        <v>2021</v>
      </c>
      <c r="AR772" s="6">
        <f t="shared" ca="1" si="215"/>
        <v>2</v>
      </c>
      <c r="AS772" s="68">
        <f ca="1">IFERROR(__xludf.DUMMYFUNCTION("""COMPUTED_VALUE"""),44228.9986111111)</f>
        <v>44228.998611111099</v>
      </c>
      <c r="AT772" s="6">
        <f ca="1">IFERROR(__xludf.DUMMYFUNCTION("""COMPUTED_VALUE"""),1863.9)</f>
        <v>1863.9</v>
      </c>
    </row>
    <row r="773" spans="2:46" x14ac:dyDescent="0.35">
      <c r="B773" s="6" t="str">
        <f t="shared" ca="1" si="198"/>
        <v>20211</v>
      </c>
      <c r="C773" s="6">
        <f t="shared" ca="1" si="199"/>
        <v>2021</v>
      </c>
      <c r="D773" s="6">
        <f t="shared" ca="1" si="200"/>
        <v>1</v>
      </c>
      <c r="E773" s="68">
        <f ca="1">IFERROR(__xludf.DUMMYFUNCTION("""COMPUTED_VALUE"""),44221.6666666666)</f>
        <v>44221.666666666599</v>
      </c>
      <c r="F773" s="6">
        <f ca="1">IFERROR(__xludf.DUMMYFUNCTION("""COMPUTED_VALUE"""),3855.36)</f>
        <v>3855.36</v>
      </c>
      <c r="J773" s="6" t="str">
        <f t="shared" ca="1" si="201"/>
        <v>20211</v>
      </c>
      <c r="K773" s="6">
        <f t="shared" ca="1" si="202"/>
        <v>2021</v>
      </c>
      <c r="L773" s="6">
        <f t="shared" ca="1" si="203"/>
        <v>1</v>
      </c>
      <c r="M773" s="68">
        <f ca="1">IFERROR(__xludf.DUMMYFUNCTION("""COMPUTED_VALUE"""),44211.6666666666)</f>
        <v>44211.666666666599</v>
      </c>
      <c r="N773" s="6">
        <f ca="1">IFERROR(__xludf.DUMMYFUNCTION("""COMPUTED_VALUE"""),12998.5)</f>
        <v>12998.5</v>
      </c>
      <c r="R773" s="6" t="str">
        <f t="shared" ca="1" si="204"/>
        <v>20212</v>
      </c>
      <c r="S773" s="6">
        <f t="shared" ca="1" si="205"/>
        <v>2021</v>
      </c>
      <c r="T773" s="6">
        <f t="shared" ca="1" si="206"/>
        <v>2</v>
      </c>
      <c r="U773" s="68">
        <f ca="1">IFERROR(__xludf.DUMMYFUNCTION("""COMPUTED_VALUE"""),44252.6458333333)</f>
        <v>44252.645833333299</v>
      </c>
      <c r="V773" s="6">
        <f ca="1">IFERROR(__xludf.DUMMYFUNCTION("""COMPUTED_VALUE"""),3099.69)</f>
        <v>3099.69</v>
      </c>
      <c r="Z773" s="6" t="str">
        <f t="shared" ca="1" si="207"/>
        <v>20203</v>
      </c>
      <c r="AA773" s="6">
        <f t="shared" ca="1" si="208"/>
        <v>2020</v>
      </c>
      <c r="AB773" s="6">
        <f t="shared" ca="1" si="209"/>
        <v>3</v>
      </c>
      <c r="AC773" s="68">
        <f ca="1">IFERROR(__xludf.DUMMYFUNCTION("""COMPUTED_VALUE"""),43909.9986111111)</f>
        <v>43909.998611111099</v>
      </c>
      <c r="AD773" s="6">
        <f ca="1">IFERROR(__xludf.DUMMYFUNCTION("""COMPUTED_VALUE"""),1256.88)</f>
        <v>1256.8800000000001</v>
      </c>
      <c r="AH773" s="6" t="str">
        <f t="shared" ca="1" si="210"/>
        <v>20202</v>
      </c>
      <c r="AI773" s="6">
        <f t="shared" ca="1" si="211"/>
        <v>2020</v>
      </c>
      <c r="AJ773" s="6">
        <f t="shared" ca="1" si="212"/>
        <v>2</v>
      </c>
      <c r="AK773" s="68">
        <f ca="1">IFERROR(__xludf.DUMMYFUNCTION("""COMPUTED_VALUE"""),43865.9986111111)</f>
        <v>43865.998611111099</v>
      </c>
      <c r="AL773" s="6">
        <f ca="1">IFERROR(__xludf.DUMMYFUNCTION("""COMPUTED_VALUE"""),9172.433)</f>
        <v>9172.4330000000009</v>
      </c>
      <c r="AP773" s="6" t="str">
        <f t="shared" ca="1" si="213"/>
        <v>20212</v>
      </c>
      <c r="AQ773" s="6">
        <f t="shared" ca="1" si="214"/>
        <v>2021</v>
      </c>
      <c r="AR773" s="6">
        <f t="shared" ca="1" si="215"/>
        <v>2</v>
      </c>
      <c r="AS773" s="68">
        <f ca="1">IFERROR(__xludf.DUMMYFUNCTION("""COMPUTED_VALUE"""),44229.9986111111)</f>
        <v>44229.998611111099</v>
      </c>
      <c r="AT773" s="6">
        <f ca="1">IFERROR(__xludf.DUMMYFUNCTION("""COMPUTED_VALUE"""),1833.4)</f>
        <v>1833.4</v>
      </c>
    </row>
    <row r="774" spans="2:46" x14ac:dyDescent="0.35">
      <c r="B774" s="6" t="str">
        <f t="shared" ca="1" si="198"/>
        <v>20211</v>
      </c>
      <c r="C774" s="6">
        <f t="shared" ca="1" si="199"/>
        <v>2021</v>
      </c>
      <c r="D774" s="6">
        <f t="shared" ca="1" si="200"/>
        <v>1</v>
      </c>
      <c r="E774" s="68">
        <f ca="1">IFERROR(__xludf.DUMMYFUNCTION("""COMPUTED_VALUE"""),44222.6666666666)</f>
        <v>44222.666666666599</v>
      </c>
      <c r="F774" s="6">
        <f ca="1">IFERROR(__xludf.DUMMYFUNCTION("""COMPUTED_VALUE"""),3849.62)</f>
        <v>3849.62</v>
      </c>
      <c r="J774" s="6" t="str">
        <f t="shared" ca="1" si="201"/>
        <v>20211</v>
      </c>
      <c r="K774" s="6">
        <f t="shared" ca="1" si="202"/>
        <v>2021</v>
      </c>
      <c r="L774" s="6">
        <f t="shared" ca="1" si="203"/>
        <v>1</v>
      </c>
      <c r="M774" s="68">
        <f ca="1">IFERROR(__xludf.DUMMYFUNCTION("""COMPUTED_VALUE"""),44215.6666666666)</f>
        <v>44215.666666666599</v>
      </c>
      <c r="N774" s="6">
        <f ca="1">IFERROR(__xludf.DUMMYFUNCTION("""COMPUTED_VALUE"""),13197.18)</f>
        <v>13197.18</v>
      </c>
      <c r="R774" s="6" t="str">
        <f t="shared" ca="1" si="204"/>
        <v>20212</v>
      </c>
      <c r="S774" s="6">
        <f t="shared" ca="1" si="205"/>
        <v>2021</v>
      </c>
      <c r="T774" s="6">
        <f t="shared" ca="1" si="206"/>
        <v>2</v>
      </c>
      <c r="U774" s="68">
        <f ca="1">IFERROR(__xludf.DUMMYFUNCTION("""COMPUTED_VALUE"""),44253.6458333333)</f>
        <v>44253.645833333299</v>
      </c>
      <c r="V774" s="6">
        <f ca="1">IFERROR(__xludf.DUMMYFUNCTION("""COMPUTED_VALUE"""),3012.95)</f>
        <v>3012.95</v>
      </c>
      <c r="Z774" s="6" t="str">
        <f t="shared" ca="1" si="207"/>
        <v>20203</v>
      </c>
      <c r="AA774" s="6">
        <f t="shared" ca="1" si="208"/>
        <v>2020</v>
      </c>
      <c r="AB774" s="6">
        <f t="shared" ca="1" si="209"/>
        <v>3</v>
      </c>
      <c r="AC774" s="68">
        <f ca="1">IFERROR(__xludf.DUMMYFUNCTION("""COMPUTED_VALUE"""),43910.9986111111)</f>
        <v>43910.998611111099</v>
      </c>
      <c r="AD774" s="6">
        <f ca="1">IFERROR(__xludf.DUMMYFUNCTION("""COMPUTED_VALUE"""),1253.95)</f>
        <v>1253.95</v>
      </c>
      <c r="AH774" s="6" t="str">
        <f t="shared" ca="1" si="210"/>
        <v>20202</v>
      </c>
      <c r="AI774" s="6">
        <f t="shared" ca="1" si="211"/>
        <v>2020</v>
      </c>
      <c r="AJ774" s="6">
        <f t="shared" ca="1" si="212"/>
        <v>2</v>
      </c>
      <c r="AK774" s="68">
        <f ca="1">IFERROR(__xludf.DUMMYFUNCTION("""COMPUTED_VALUE"""),43866.9986111111)</f>
        <v>43866.998611111099</v>
      </c>
      <c r="AL774" s="6">
        <f ca="1">IFERROR(__xludf.DUMMYFUNCTION("""COMPUTED_VALUE"""),9610.705)</f>
        <v>9610.7049999999999</v>
      </c>
      <c r="AP774" s="6" t="str">
        <f t="shared" ca="1" si="213"/>
        <v>20212</v>
      </c>
      <c r="AQ774" s="6">
        <f t="shared" ca="1" si="214"/>
        <v>2021</v>
      </c>
      <c r="AR774" s="6">
        <f t="shared" ca="1" si="215"/>
        <v>2</v>
      </c>
      <c r="AS774" s="68">
        <f ca="1">IFERROR(__xludf.DUMMYFUNCTION("""COMPUTED_VALUE"""),44230.9986111111)</f>
        <v>44230.998611111099</v>
      </c>
      <c r="AT774" s="6">
        <f ca="1">IFERROR(__xludf.DUMMYFUNCTION("""COMPUTED_VALUE"""),1835.1)</f>
        <v>1835.1</v>
      </c>
    </row>
    <row r="775" spans="2:46" x14ac:dyDescent="0.35">
      <c r="B775" s="6" t="str">
        <f t="shared" ref="B775:B838" ca="1" si="216">C775&amp;D775</f>
        <v>20211</v>
      </c>
      <c r="C775" s="6">
        <f t="shared" ref="C775:C838" ca="1" si="217">YEAR(E775)</f>
        <v>2021</v>
      </c>
      <c r="D775" s="6">
        <f t="shared" ref="D775:D838" ca="1" si="218">MONTH(E775)</f>
        <v>1</v>
      </c>
      <c r="E775" s="68">
        <f ca="1">IFERROR(__xludf.DUMMYFUNCTION("""COMPUTED_VALUE"""),44223.6666666666)</f>
        <v>44223.666666666599</v>
      </c>
      <c r="F775" s="6">
        <f ca="1">IFERROR(__xludf.DUMMYFUNCTION("""COMPUTED_VALUE"""),3750.77)</f>
        <v>3750.77</v>
      </c>
      <c r="J775" s="6" t="str">
        <f t="shared" ref="J775:J838" ca="1" si="219">K775&amp;L775</f>
        <v>20211</v>
      </c>
      <c r="K775" s="6">
        <f t="shared" ref="K775:K838" ca="1" si="220">YEAR(M775)</f>
        <v>2021</v>
      </c>
      <c r="L775" s="6">
        <f t="shared" ref="L775:L838" ca="1" si="221">MONTH(M775)</f>
        <v>1</v>
      </c>
      <c r="M775" s="68">
        <f ca="1">IFERROR(__xludf.DUMMYFUNCTION("""COMPUTED_VALUE"""),44216.6666666666)</f>
        <v>44216.666666666599</v>
      </c>
      <c r="N775" s="6">
        <f ca="1">IFERROR(__xludf.DUMMYFUNCTION("""COMPUTED_VALUE"""),13457.25)</f>
        <v>13457.25</v>
      </c>
      <c r="R775" s="6" t="str">
        <f t="shared" ref="R775:R838" ca="1" si="222">S775&amp;T775</f>
        <v>20213</v>
      </c>
      <c r="S775" s="6">
        <f t="shared" ref="S775:S838" ca="1" si="223">YEAR(U775)</f>
        <v>2021</v>
      </c>
      <c r="T775" s="6">
        <f t="shared" ref="T775:T838" ca="1" si="224">MONTH(U775)</f>
        <v>3</v>
      </c>
      <c r="U775" s="68">
        <f ca="1">IFERROR(__xludf.DUMMYFUNCTION("""COMPUTED_VALUE"""),44257.6458333333)</f>
        <v>44257.645833333299</v>
      </c>
      <c r="V775" s="6">
        <f ca="1">IFERROR(__xludf.DUMMYFUNCTION("""COMPUTED_VALUE"""),3043.87)</f>
        <v>3043.87</v>
      </c>
      <c r="Z775" s="6" t="str">
        <f t="shared" ref="Z775:Z838" ca="1" si="225">AA775&amp;AB775</f>
        <v>20203</v>
      </c>
      <c r="AA775" s="6">
        <f t="shared" ref="AA775:AA838" ca="1" si="226">YEAR(AC775)</f>
        <v>2020</v>
      </c>
      <c r="AB775" s="6">
        <f t="shared" ref="AB775:AB838" ca="1" si="227">MONTH(AC775)</f>
        <v>3</v>
      </c>
      <c r="AC775" s="68">
        <f ca="1">IFERROR(__xludf.DUMMYFUNCTION("""COMPUTED_VALUE"""),43913.9986111111)</f>
        <v>43913.998611111099</v>
      </c>
      <c r="AD775" s="6">
        <f ca="1">IFERROR(__xludf.DUMMYFUNCTION("""COMPUTED_VALUE"""),1262.93)</f>
        <v>1262.93</v>
      </c>
      <c r="AH775" s="6" t="str">
        <f t="shared" ref="AH775:AH838" ca="1" si="228">AI775&amp;AJ775</f>
        <v>20202</v>
      </c>
      <c r="AI775" s="6">
        <f t="shared" ref="AI775:AI838" ca="1" si="229">YEAR(AK775)</f>
        <v>2020</v>
      </c>
      <c r="AJ775" s="6">
        <f t="shared" ref="AJ775:AJ838" ca="1" si="230">MONTH(AK775)</f>
        <v>2</v>
      </c>
      <c r="AK775" s="68">
        <f ca="1">IFERROR(__xludf.DUMMYFUNCTION("""COMPUTED_VALUE"""),43867.9986111111)</f>
        <v>43867.998611111099</v>
      </c>
      <c r="AL775" s="6">
        <f ca="1">IFERROR(__xludf.DUMMYFUNCTION("""COMPUTED_VALUE"""),9756.318)</f>
        <v>9756.3179999999993</v>
      </c>
      <c r="AP775" s="6" t="str">
        <f t="shared" ref="AP775:AP838" ca="1" si="231">AQ775&amp;AR775</f>
        <v>20212</v>
      </c>
      <c r="AQ775" s="6">
        <f t="shared" ref="AQ775:AQ838" ca="1" si="232">YEAR(AS775)</f>
        <v>2021</v>
      </c>
      <c r="AR775" s="6">
        <f t="shared" ref="AR775:AR838" ca="1" si="233">MONTH(AS775)</f>
        <v>2</v>
      </c>
      <c r="AS775" s="68">
        <f ca="1">IFERROR(__xludf.DUMMYFUNCTION("""COMPUTED_VALUE"""),44231.9986111111)</f>
        <v>44231.998611111099</v>
      </c>
      <c r="AT775" s="6">
        <f ca="1">IFERROR(__xludf.DUMMYFUNCTION("""COMPUTED_VALUE"""),1791.2)</f>
        <v>1791.2</v>
      </c>
    </row>
    <row r="776" spans="2:46" x14ac:dyDescent="0.35">
      <c r="B776" s="6" t="str">
        <f t="shared" ca="1" si="216"/>
        <v>20211</v>
      </c>
      <c r="C776" s="6">
        <f t="shared" ca="1" si="217"/>
        <v>2021</v>
      </c>
      <c r="D776" s="6">
        <f t="shared" ca="1" si="218"/>
        <v>1</v>
      </c>
      <c r="E776" s="68">
        <f ca="1">IFERROR(__xludf.DUMMYFUNCTION("""COMPUTED_VALUE"""),44224.6666666666)</f>
        <v>44224.666666666599</v>
      </c>
      <c r="F776" s="6">
        <f ca="1">IFERROR(__xludf.DUMMYFUNCTION("""COMPUTED_VALUE"""),3787.38)</f>
        <v>3787.38</v>
      </c>
      <c r="J776" s="6" t="str">
        <f t="shared" ca="1" si="219"/>
        <v>20211</v>
      </c>
      <c r="K776" s="6">
        <f t="shared" ca="1" si="220"/>
        <v>2021</v>
      </c>
      <c r="L776" s="6">
        <f t="shared" ca="1" si="221"/>
        <v>1</v>
      </c>
      <c r="M776" s="68">
        <f ca="1">IFERROR(__xludf.DUMMYFUNCTION("""COMPUTED_VALUE"""),44217.6666666666)</f>
        <v>44217.666666666599</v>
      </c>
      <c r="N776" s="6">
        <f ca="1">IFERROR(__xludf.DUMMYFUNCTION("""COMPUTED_VALUE"""),13530.92)</f>
        <v>13530.92</v>
      </c>
      <c r="R776" s="6" t="str">
        <f t="shared" ca="1" si="222"/>
        <v>20213</v>
      </c>
      <c r="S776" s="6">
        <f t="shared" ca="1" si="223"/>
        <v>2021</v>
      </c>
      <c r="T776" s="6">
        <f t="shared" ca="1" si="224"/>
        <v>3</v>
      </c>
      <c r="U776" s="68">
        <f ca="1">IFERROR(__xludf.DUMMYFUNCTION("""COMPUTED_VALUE"""),44258.6458333333)</f>
        <v>44258.645833333299</v>
      </c>
      <c r="V776" s="6">
        <f ca="1">IFERROR(__xludf.DUMMYFUNCTION("""COMPUTED_VALUE"""),3082.99)</f>
        <v>3082.99</v>
      </c>
      <c r="Z776" s="6" t="str">
        <f t="shared" ca="1" si="225"/>
        <v>20203</v>
      </c>
      <c r="AA776" s="6">
        <f t="shared" ca="1" si="226"/>
        <v>2020</v>
      </c>
      <c r="AB776" s="6">
        <f t="shared" ca="1" si="227"/>
        <v>3</v>
      </c>
      <c r="AC776" s="68">
        <f ca="1">IFERROR(__xludf.DUMMYFUNCTION("""COMPUTED_VALUE"""),43914.9986111111)</f>
        <v>43914.998611111099</v>
      </c>
      <c r="AD776" s="6">
        <f ca="1">IFERROR(__xludf.DUMMYFUNCTION("""COMPUTED_VALUE"""),1228.6)</f>
        <v>1228.5999999999999</v>
      </c>
      <c r="AH776" s="6" t="str">
        <f t="shared" ca="1" si="228"/>
        <v>20202</v>
      </c>
      <c r="AI776" s="6">
        <f t="shared" ca="1" si="229"/>
        <v>2020</v>
      </c>
      <c r="AJ776" s="6">
        <f t="shared" ca="1" si="230"/>
        <v>2</v>
      </c>
      <c r="AK776" s="68">
        <f ca="1">IFERROR(__xludf.DUMMYFUNCTION("""COMPUTED_VALUE"""),43868.9986111111)</f>
        <v>43868.998611111099</v>
      </c>
      <c r="AL776" s="6">
        <f ca="1">IFERROR(__xludf.DUMMYFUNCTION("""COMPUTED_VALUE"""),9801.729)</f>
        <v>9801.7289999999994</v>
      </c>
      <c r="AP776" s="6" t="str">
        <f t="shared" ca="1" si="231"/>
        <v>20212</v>
      </c>
      <c r="AQ776" s="6">
        <f t="shared" ca="1" si="232"/>
        <v>2021</v>
      </c>
      <c r="AR776" s="6">
        <f t="shared" ca="1" si="233"/>
        <v>2</v>
      </c>
      <c r="AS776" s="68">
        <f ca="1">IFERROR(__xludf.DUMMYFUNCTION("""COMPUTED_VALUE"""),44232.9986111111)</f>
        <v>44232.998611111099</v>
      </c>
      <c r="AT776" s="6">
        <f ca="1">IFERROR(__xludf.DUMMYFUNCTION("""COMPUTED_VALUE"""),1813)</f>
        <v>1813</v>
      </c>
    </row>
    <row r="777" spans="2:46" x14ac:dyDescent="0.35">
      <c r="B777" s="6" t="str">
        <f t="shared" ca="1" si="216"/>
        <v>20211</v>
      </c>
      <c r="C777" s="6">
        <f t="shared" ca="1" si="217"/>
        <v>2021</v>
      </c>
      <c r="D777" s="6">
        <f t="shared" ca="1" si="218"/>
        <v>1</v>
      </c>
      <c r="E777" s="68">
        <f ca="1">IFERROR(__xludf.DUMMYFUNCTION("""COMPUTED_VALUE"""),44225.6666666666)</f>
        <v>44225.666666666599</v>
      </c>
      <c r="F777" s="6">
        <f ca="1">IFERROR(__xludf.DUMMYFUNCTION("""COMPUTED_VALUE"""),3714.24)</f>
        <v>3714.24</v>
      </c>
      <c r="J777" s="6" t="str">
        <f t="shared" ca="1" si="219"/>
        <v>20211</v>
      </c>
      <c r="K777" s="6">
        <f t="shared" ca="1" si="220"/>
        <v>2021</v>
      </c>
      <c r="L777" s="6">
        <f t="shared" ca="1" si="221"/>
        <v>1</v>
      </c>
      <c r="M777" s="68">
        <f ca="1">IFERROR(__xludf.DUMMYFUNCTION("""COMPUTED_VALUE"""),44218.6666666666)</f>
        <v>44218.666666666599</v>
      </c>
      <c r="N777" s="6">
        <f ca="1">IFERROR(__xludf.DUMMYFUNCTION("""COMPUTED_VALUE"""),13543.06)</f>
        <v>13543.06</v>
      </c>
      <c r="R777" s="6" t="str">
        <f t="shared" ca="1" si="222"/>
        <v>20213</v>
      </c>
      <c r="S777" s="6">
        <f t="shared" ca="1" si="223"/>
        <v>2021</v>
      </c>
      <c r="T777" s="6">
        <f t="shared" ca="1" si="224"/>
        <v>3</v>
      </c>
      <c r="U777" s="68">
        <f ca="1">IFERROR(__xludf.DUMMYFUNCTION("""COMPUTED_VALUE"""),44259.6458333333)</f>
        <v>44259.645833333299</v>
      </c>
      <c r="V777" s="6">
        <f ca="1">IFERROR(__xludf.DUMMYFUNCTION("""COMPUTED_VALUE"""),3043.49)</f>
        <v>3043.49</v>
      </c>
      <c r="Z777" s="6" t="str">
        <f t="shared" ca="1" si="225"/>
        <v>20203</v>
      </c>
      <c r="AA777" s="6">
        <f t="shared" ca="1" si="226"/>
        <v>2020</v>
      </c>
      <c r="AB777" s="6">
        <f t="shared" ca="1" si="227"/>
        <v>3</v>
      </c>
      <c r="AC777" s="68">
        <f ca="1">IFERROR(__xludf.DUMMYFUNCTION("""COMPUTED_VALUE"""),43915.9986111111)</f>
        <v>43915.998611111099</v>
      </c>
      <c r="AD777" s="6">
        <f ca="1">IFERROR(__xludf.DUMMYFUNCTION("""COMPUTED_VALUE"""),1231.08)</f>
        <v>1231.08</v>
      </c>
      <c r="AH777" s="6" t="str">
        <f t="shared" ca="1" si="228"/>
        <v>20202</v>
      </c>
      <c r="AI777" s="6">
        <f t="shared" ca="1" si="229"/>
        <v>2020</v>
      </c>
      <c r="AJ777" s="6">
        <f t="shared" ca="1" si="230"/>
        <v>2</v>
      </c>
      <c r="AK777" s="68">
        <f ca="1">IFERROR(__xludf.DUMMYFUNCTION("""COMPUTED_VALUE"""),43869.9986111111)</f>
        <v>43869.998611111099</v>
      </c>
      <c r="AL777" s="6">
        <f ca="1">IFERROR(__xludf.DUMMYFUNCTION("""COMPUTED_VALUE"""),9895.129)</f>
        <v>9895.1290000000008</v>
      </c>
      <c r="AP777" s="6" t="str">
        <f t="shared" ca="1" si="231"/>
        <v>20212</v>
      </c>
      <c r="AQ777" s="6">
        <f t="shared" ca="1" si="232"/>
        <v>2021</v>
      </c>
      <c r="AR777" s="6">
        <f t="shared" ca="1" si="233"/>
        <v>2</v>
      </c>
      <c r="AS777" s="68">
        <f ca="1">IFERROR(__xludf.DUMMYFUNCTION("""COMPUTED_VALUE"""),44235.9986111111)</f>
        <v>44235.998611111099</v>
      </c>
      <c r="AT777" s="6">
        <f ca="1">IFERROR(__xludf.DUMMYFUNCTION("""COMPUTED_VALUE"""),1834.2)</f>
        <v>1834.2</v>
      </c>
    </row>
    <row r="778" spans="2:46" x14ac:dyDescent="0.35">
      <c r="B778" s="6" t="str">
        <f t="shared" ca="1" si="216"/>
        <v>20212</v>
      </c>
      <c r="C778" s="6">
        <f t="shared" ca="1" si="217"/>
        <v>2021</v>
      </c>
      <c r="D778" s="6">
        <f t="shared" ca="1" si="218"/>
        <v>2</v>
      </c>
      <c r="E778" s="68">
        <f ca="1">IFERROR(__xludf.DUMMYFUNCTION("""COMPUTED_VALUE"""),44228.6666666666)</f>
        <v>44228.666666666599</v>
      </c>
      <c r="F778" s="6">
        <f ca="1">IFERROR(__xludf.DUMMYFUNCTION("""COMPUTED_VALUE"""),3773.86)</f>
        <v>3773.86</v>
      </c>
      <c r="J778" s="6" t="str">
        <f t="shared" ca="1" si="219"/>
        <v>20211</v>
      </c>
      <c r="K778" s="6">
        <f t="shared" ca="1" si="220"/>
        <v>2021</v>
      </c>
      <c r="L778" s="6">
        <f t="shared" ca="1" si="221"/>
        <v>1</v>
      </c>
      <c r="M778" s="68">
        <f ca="1">IFERROR(__xludf.DUMMYFUNCTION("""COMPUTED_VALUE"""),44221.6666666666)</f>
        <v>44221.666666666599</v>
      </c>
      <c r="N778" s="6">
        <f ca="1">IFERROR(__xludf.DUMMYFUNCTION("""COMPUTED_VALUE"""),13635.99)</f>
        <v>13635.99</v>
      </c>
      <c r="R778" s="6" t="str">
        <f t="shared" ca="1" si="222"/>
        <v>20213</v>
      </c>
      <c r="S778" s="6">
        <f t="shared" ca="1" si="223"/>
        <v>2021</v>
      </c>
      <c r="T778" s="6">
        <f t="shared" ca="1" si="224"/>
        <v>3</v>
      </c>
      <c r="U778" s="68">
        <f ca="1">IFERROR(__xludf.DUMMYFUNCTION("""COMPUTED_VALUE"""),44260.6458333333)</f>
        <v>44260.645833333299</v>
      </c>
      <c r="V778" s="6">
        <f ca="1">IFERROR(__xludf.DUMMYFUNCTION("""COMPUTED_VALUE"""),3026.26)</f>
        <v>3026.26</v>
      </c>
      <c r="Z778" s="6" t="str">
        <f t="shared" ca="1" si="225"/>
        <v>20203</v>
      </c>
      <c r="AA778" s="6">
        <f t="shared" ca="1" si="226"/>
        <v>2020</v>
      </c>
      <c r="AB778" s="6">
        <f t="shared" ca="1" si="227"/>
        <v>3</v>
      </c>
      <c r="AC778" s="68">
        <f ca="1">IFERROR(__xludf.DUMMYFUNCTION("""COMPUTED_VALUE"""),43916.9986111111)</f>
        <v>43916.998611111099</v>
      </c>
      <c r="AD778" s="6">
        <f ca="1">IFERROR(__xludf.DUMMYFUNCTION("""COMPUTED_VALUE"""),1212.19)</f>
        <v>1212.19</v>
      </c>
      <c r="AH778" s="6" t="str">
        <f t="shared" ca="1" si="228"/>
        <v>20202</v>
      </c>
      <c r="AI778" s="6">
        <f t="shared" ca="1" si="229"/>
        <v>2020</v>
      </c>
      <c r="AJ778" s="6">
        <f t="shared" ca="1" si="230"/>
        <v>2</v>
      </c>
      <c r="AK778" s="68">
        <f ca="1">IFERROR(__xludf.DUMMYFUNCTION("""COMPUTED_VALUE"""),43870.9986111111)</f>
        <v>43870.998611111099</v>
      </c>
      <c r="AL778" s="6">
        <f ca="1">IFERROR(__xludf.DUMMYFUNCTION("""COMPUTED_VALUE"""),10156.21)</f>
        <v>10156.209999999999</v>
      </c>
      <c r="AP778" s="6" t="str">
        <f t="shared" ca="1" si="231"/>
        <v>20212</v>
      </c>
      <c r="AQ778" s="6">
        <f t="shared" ca="1" si="232"/>
        <v>2021</v>
      </c>
      <c r="AR778" s="6">
        <f t="shared" ca="1" si="233"/>
        <v>2</v>
      </c>
      <c r="AS778" s="68">
        <f ca="1">IFERROR(__xludf.DUMMYFUNCTION("""COMPUTED_VALUE"""),44236.9986111111)</f>
        <v>44236.998611111099</v>
      </c>
      <c r="AT778" s="6">
        <f ca="1">IFERROR(__xludf.DUMMYFUNCTION("""COMPUTED_VALUE"""),1837.5)</f>
        <v>1837.5</v>
      </c>
    </row>
    <row r="779" spans="2:46" x14ac:dyDescent="0.35">
      <c r="B779" s="6" t="str">
        <f t="shared" ca="1" si="216"/>
        <v>20212</v>
      </c>
      <c r="C779" s="6">
        <f t="shared" ca="1" si="217"/>
        <v>2021</v>
      </c>
      <c r="D779" s="6">
        <f t="shared" ca="1" si="218"/>
        <v>2</v>
      </c>
      <c r="E779" s="68">
        <f ca="1">IFERROR(__xludf.DUMMYFUNCTION("""COMPUTED_VALUE"""),44229.6666666666)</f>
        <v>44229.666666666599</v>
      </c>
      <c r="F779" s="6">
        <f ca="1">IFERROR(__xludf.DUMMYFUNCTION("""COMPUTED_VALUE"""),3826.31)</f>
        <v>3826.31</v>
      </c>
      <c r="J779" s="6" t="str">
        <f t="shared" ca="1" si="219"/>
        <v>20211</v>
      </c>
      <c r="K779" s="6">
        <f t="shared" ca="1" si="220"/>
        <v>2021</v>
      </c>
      <c r="L779" s="6">
        <f t="shared" ca="1" si="221"/>
        <v>1</v>
      </c>
      <c r="M779" s="68">
        <f ca="1">IFERROR(__xludf.DUMMYFUNCTION("""COMPUTED_VALUE"""),44222.6666666666)</f>
        <v>44222.666666666599</v>
      </c>
      <c r="N779" s="6">
        <f ca="1">IFERROR(__xludf.DUMMYFUNCTION("""COMPUTED_VALUE"""),13626.07)</f>
        <v>13626.07</v>
      </c>
      <c r="R779" s="6" t="str">
        <f t="shared" ca="1" si="222"/>
        <v>20213</v>
      </c>
      <c r="S779" s="6">
        <f t="shared" ca="1" si="223"/>
        <v>2021</v>
      </c>
      <c r="T779" s="6">
        <f t="shared" ca="1" si="224"/>
        <v>3</v>
      </c>
      <c r="U779" s="68">
        <f ca="1">IFERROR(__xludf.DUMMYFUNCTION("""COMPUTED_VALUE"""),44263.6458333333)</f>
        <v>44263.645833333299</v>
      </c>
      <c r="V779" s="6">
        <f ca="1">IFERROR(__xludf.DUMMYFUNCTION("""COMPUTED_VALUE"""),2996.11)</f>
        <v>2996.11</v>
      </c>
      <c r="Z779" s="6" t="str">
        <f t="shared" ca="1" si="225"/>
        <v>20203</v>
      </c>
      <c r="AA779" s="6">
        <f t="shared" ca="1" si="226"/>
        <v>2020</v>
      </c>
      <c r="AB779" s="6">
        <f t="shared" ca="1" si="227"/>
        <v>3</v>
      </c>
      <c r="AC779" s="68">
        <f ca="1">IFERROR(__xludf.DUMMYFUNCTION("""COMPUTED_VALUE"""),43917.9986111111)</f>
        <v>43917.998611111099</v>
      </c>
      <c r="AD779" s="6">
        <f ca="1">IFERROR(__xludf.DUMMYFUNCTION("""COMPUTED_VALUE"""),1211.74)</f>
        <v>1211.74</v>
      </c>
      <c r="AH779" s="6" t="str">
        <f t="shared" ca="1" si="228"/>
        <v>20202</v>
      </c>
      <c r="AI779" s="6">
        <f t="shared" ca="1" si="229"/>
        <v>2020</v>
      </c>
      <c r="AJ779" s="6">
        <f t="shared" ca="1" si="230"/>
        <v>2</v>
      </c>
      <c r="AK779" s="68">
        <f ca="1">IFERROR(__xludf.DUMMYFUNCTION("""COMPUTED_VALUE"""),43871.9986111111)</f>
        <v>43871.998611111099</v>
      </c>
      <c r="AL779" s="6">
        <f ca="1">IFERROR(__xludf.DUMMYFUNCTION("""COMPUTED_VALUE"""),9852.876)</f>
        <v>9852.8760000000002</v>
      </c>
      <c r="AP779" s="6" t="str">
        <f t="shared" ca="1" si="231"/>
        <v>20212</v>
      </c>
      <c r="AQ779" s="6">
        <f t="shared" ca="1" si="232"/>
        <v>2021</v>
      </c>
      <c r="AR779" s="6">
        <f t="shared" ca="1" si="233"/>
        <v>2</v>
      </c>
      <c r="AS779" s="68">
        <f ca="1">IFERROR(__xludf.DUMMYFUNCTION("""COMPUTED_VALUE"""),44237.9986111111)</f>
        <v>44237.998611111099</v>
      </c>
      <c r="AT779" s="6">
        <f ca="1">IFERROR(__xludf.DUMMYFUNCTION("""COMPUTED_VALUE"""),1842.7)</f>
        <v>1842.7</v>
      </c>
    </row>
    <row r="780" spans="2:46" x14ac:dyDescent="0.35">
      <c r="B780" s="6" t="str">
        <f t="shared" ca="1" si="216"/>
        <v>20212</v>
      </c>
      <c r="C780" s="6">
        <f t="shared" ca="1" si="217"/>
        <v>2021</v>
      </c>
      <c r="D780" s="6">
        <f t="shared" ca="1" si="218"/>
        <v>2</v>
      </c>
      <c r="E780" s="68">
        <f ca="1">IFERROR(__xludf.DUMMYFUNCTION("""COMPUTED_VALUE"""),44230.6666666666)</f>
        <v>44230.666666666599</v>
      </c>
      <c r="F780" s="6">
        <f ca="1">IFERROR(__xludf.DUMMYFUNCTION("""COMPUTED_VALUE"""),3830.17)</f>
        <v>3830.17</v>
      </c>
      <c r="J780" s="6" t="str">
        <f t="shared" ca="1" si="219"/>
        <v>20211</v>
      </c>
      <c r="K780" s="6">
        <f t="shared" ca="1" si="220"/>
        <v>2021</v>
      </c>
      <c r="L780" s="6">
        <f t="shared" ca="1" si="221"/>
        <v>1</v>
      </c>
      <c r="M780" s="68">
        <f ca="1">IFERROR(__xludf.DUMMYFUNCTION("""COMPUTED_VALUE"""),44223.6666666666)</f>
        <v>44223.666666666599</v>
      </c>
      <c r="N780" s="6">
        <f ca="1">IFERROR(__xludf.DUMMYFUNCTION("""COMPUTED_VALUE"""),13270.6)</f>
        <v>13270.6</v>
      </c>
      <c r="R780" s="6" t="str">
        <f t="shared" ca="1" si="222"/>
        <v>20213</v>
      </c>
      <c r="S780" s="6">
        <f t="shared" ca="1" si="223"/>
        <v>2021</v>
      </c>
      <c r="T780" s="6">
        <f t="shared" ca="1" si="224"/>
        <v>3</v>
      </c>
      <c r="U780" s="68">
        <f ca="1">IFERROR(__xludf.DUMMYFUNCTION("""COMPUTED_VALUE"""),44264.6458333333)</f>
        <v>44264.645833333299</v>
      </c>
      <c r="V780" s="6">
        <f ca="1">IFERROR(__xludf.DUMMYFUNCTION("""COMPUTED_VALUE"""),2976.12)</f>
        <v>2976.12</v>
      </c>
      <c r="Z780" s="6" t="str">
        <f t="shared" ca="1" si="225"/>
        <v>20203</v>
      </c>
      <c r="AA780" s="6">
        <f t="shared" ca="1" si="226"/>
        <v>2020</v>
      </c>
      <c r="AB780" s="6">
        <f t="shared" ca="1" si="227"/>
        <v>3</v>
      </c>
      <c r="AC780" s="68">
        <f ca="1">IFERROR(__xludf.DUMMYFUNCTION("""COMPUTED_VALUE"""),43918.9986111111)</f>
        <v>43918.998611111099</v>
      </c>
      <c r="AD780" s="6">
        <f ca="1">IFERROR(__xludf.DUMMYFUNCTION("""COMPUTED_VALUE"""),1211.74)</f>
        <v>1211.74</v>
      </c>
      <c r="AH780" s="6" t="str">
        <f t="shared" ca="1" si="228"/>
        <v>20202</v>
      </c>
      <c r="AI780" s="6">
        <f t="shared" ca="1" si="229"/>
        <v>2020</v>
      </c>
      <c r="AJ780" s="6">
        <f t="shared" ca="1" si="230"/>
        <v>2</v>
      </c>
      <c r="AK780" s="68">
        <f ca="1">IFERROR(__xludf.DUMMYFUNCTION("""COMPUTED_VALUE"""),43872.9986111111)</f>
        <v>43872.998611111099</v>
      </c>
      <c r="AL780" s="6">
        <f ca="1">IFERROR(__xludf.DUMMYFUNCTION("""COMPUTED_VALUE"""),10263.26)</f>
        <v>10263.26</v>
      </c>
      <c r="AP780" s="6" t="str">
        <f t="shared" ca="1" si="231"/>
        <v>20212</v>
      </c>
      <c r="AQ780" s="6">
        <f t="shared" ca="1" si="232"/>
        <v>2021</v>
      </c>
      <c r="AR780" s="6">
        <f t="shared" ca="1" si="233"/>
        <v>2</v>
      </c>
      <c r="AS780" s="68">
        <f ca="1">IFERROR(__xludf.DUMMYFUNCTION("""COMPUTED_VALUE"""),44238.9986111111)</f>
        <v>44238.998611111099</v>
      </c>
      <c r="AT780" s="6">
        <f ca="1">IFERROR(__xludf.DUMMYFUNCTION("""COMPUTED_VALUE"""),1826.8)</f>
        <v>1826.8</v>
      </c>
    </row>
    <row r="781" spans="2:46" x14ac:dyDescent="0.35">
      <c r="B781" s="6" t="str">
        <f t="shared" ca="1" si="216"/>
        <v>20212</v>
      </c>
      <c r="C781" s="6">
        <f t="shared" ca="1" si="217"/>
        <v>2021</v>
      </c>
      <c r="D781" s="6">
        <f t="shared" ca="1" si="218"/>
        <v>2</v>
      </c>
      <c r="E781" s="68">
        <f ca="1">IFERROR(__xludf.DUMMYFUNCTION("""COMPUTED_VALUE"""),44231.6666666666)</f>
        <v>44231.666666666599</v>
      </c>
      <c r="F781" s="6">
        <f ca="1">IFERROR(__xludf.DUMMYFUNCTION("""COMPUTED_VALUE"""),3871.74)</f>
        <v>3871.74</v>
      </c>
      <c r="J781" s="6" t="str">
        <f t="shared" ca="1" si="219"/>
        <v>20211</v>
      </c>
      <c r="K781" s="6">
        <f t="shared" ca="1" si="220"/>
        <v>2021</v>
      </c>
      <c r="L781" s="6">
        <f t="shared" ca="1" si="221"/>
        <v>1</v>
      </c>
      <c r="M781" s="68">
        <f ca="1">IFERROR(__xludf.DUMMYFUNCTION("""COMPUTED_VALUE"""),44224.6666666666)</f>
        <v>44224.666666666599</v>
      </c>
      <c r="N781" s="6">
        <f ca="1">IFERROR(__xludf.DUMMYFUNCTION("""COMPUTED_VALUE"""),13337.16)</f>
        <v>13337.16</v>
      </c>
      <c r="R781" s="6" t="str">
        <f t="shared" ca="1" si="222"/>
        <v>20213</v>
      </c>
      <c r="S781" s="6">
        <f t="shared" ca="1" si="223"/>
        <v>2021</v>
      </c>
      <c r="T781" s="6">
        <f t="shared" ca="1" si="224"/>
        <v>3</v>
      </c>
      <c r="U781" s="68">
        <f ca="1">IFERROR(__xludf.DUMMYFUNCTION("""COMPUTED_VALUE"""),44265.6458333333)</f>
        <v>44265.645833333299</v>
      </c>
      <c r="V781" s="6">
        <f ca="1">IFERROR(__xludf.DUMMYFUNCTION("""COMPUTED_VALUE"""),2958.12)</f>
        <v>2958.12</v>
      </c>
      <c r="Z781" s="6" t="str">
        <f t="shared" ca="1" si="225"/>
        <v>20203</v>
      </c>
      <c r="AA781" s="6">
        <f t="shared" ca="1" si="226"/>
        <v>2020</v>
      </c>
      <c r="AB781" s="6">
        <f t="shared" ca="1" si="227"/>
        <v>3</v>
      </c>
      <c r="AC781" s="68">
        <f ca="1">IFERROR(__xludf.DUMMYFUNCTION("""COMPUTED_VALUE"""),43919.9986111111)</f>
        <v>43919.998611111099</v>
      </c>
      <c r="AD781" s="6">
        <f ca="1">IFERROR(__xludf.DUMMYFUNCTION("""COMPUTED_VALUE"""),1211.63)</f>
        <v>1211.6300000000001</v>
      </c>
      <c r="AH781" s="6" t="str">
        <f t="shared" ca="1" si="228"/>
        <v>20202</v>
      </c>
      <c r="AI781" s="6">
        <f t="shared" ca="1" si="229"/>
        <v>2020</v>
      </c>
      <c r="AJ781" s="6">
        <f t="shared" ca="1" si="230"/>
        <v>2</v>
      </c>
      <c r="AK781" s="68">
        <f ca="1">IFERROR(__xludf.DUMMYFUNCTION("""COMPUTED_VALUE"""),43873.9986111111)</f>
        <v>43873.998611111099</v>
      </c>
      <c r="AL781" s="6">
        <f ca="1">IFERROR(__xludf.DUMMYFUNCTION("""COMPUTED_VALUE"""),10345.06)</f>
        <v>10345.06</v>
      </c>
      <c r="AP781" s="6" t="str">
        <f t="shared" ca="1" si="231"/>
        <v>20212</v>
      </c>
      <c r="AQ781" s="6">
        <f t="shared" ca="1" si="232"/>
        <v>2021</v>
      </c>
      <c r="AR781" s="6">
        <f t="shared" ca="1" si="233"/>
        <v>2</v>
      </c>
      <c r="AS781" s="68">
        <f ca="1">IFERROR(__xludf.DUMMYFUNCTION("""COMPUTED_VALUE"""),44239.9986111111)</f>
        <v>44239.998611111099</v>
      </c>
      <c r="AT781" s="6">
        <f ca="1">IFERROR(__xludf.DUMMYFUNCTION("""COMPUTED_VALUE"""),1823.2)</f>
        <v>1823.2</v>
      </c>
    </row>
    <row r="782" spans="2:46" x14ac:dyDescent="0.35">
      <c r="B782" s="6" t="str">
        <f t="shared" ca="1" si="216"/>
        <v>20212</v>
      </c>
      <c r="C782" s="6">
        <f t="shared" ca="1" si="217"/>
        <v>2021</v>
      </c>
      <c r="D782" s="6">
        <f t="shared" ca="1" si="218"/>
        <v>2</v>
      </c>
      <c r="E782" s="68">
        <f ca="1">IFERROR(__xludf.DUMMYFUNCTION("""COMPUTED_VALUE"""),44232.6666666666)</f>
        <v>44232.666666666599</v>
      </c>
      <c r="F782" s="6">
        <f ca="1">IFERROR(__xludf.DUMMYFUNCTION("""COMPUTED_VALUE"""),3886.83)</f>
        <v>3886.83</v>
      </c>
      <c r="J782" s="6" t="str">
        <f t="shared" ca="1" si="219"/>
        <v>20211</v>
      </c>
      <c r="K782" s="6">
        <f t="shared" ca="1" si="220"/>
        <v>2021</v>
      </c>
      <c r="L782" s="6">
        <f t="shared" ca="1" si="221"/>
        <v>1</v>
      </c>
      <c r="M782" s="68">
        <f ca="1">IFERROR(__xludf.DUMMYFUNCTION("""COMPUTED_VALUE"""),44225.6666666666)</f>
        <v>44225.666666666599</v>
      </c>
      <c r="N782" s="6">
        <f ca="1">IFERROR(__xludf.DUMMYFUNCTION("""COMPUTED_VALUE"""),13070.7)</f>
        <v>13070.7</v>
      </c>
      <c r="R782" s="6" t="str">
        <f t="shared" ca="1" si="222"/>
        <v>20213</v>
      </c>
      <c r="S782" s="6">
        <f t="shared" ca="1" si="223"/>
        <v>2021</v>
      </c>
      <c r="T782" s="6">
        <f t="shared" ca="1" si="224"/>
        <v>3</v>
      </c>
      <c r="U782" s="68">
        <f ca="1">IFERROR(__xludf.DUMMYFUNCTION("""COMPUTED_VALUE"""),44266.6458333333)</f>
        <v>44266.645833333299</v>
      </c>
      <c r="V782" s="6">
        <f ca="1">IFERROR(__xludf.DUMMYFUNCTION("""COMPUTED_VALUE"""),3013.7)</f>
        <v>3013.7</v>
      </c>
      <c r="Z782" s="6" t="str">
        <f t="shared" ca="1" si="225"/>
        <v>20203</v>
      </c>
      <c r="AA782" s="6">
        <f t="shared" ca="1" si="226"/>
        <v>2020</v>
      </c>
      <c r="AB782" s="6">
        <f t="shared" ca="1" si="227"/>
        <v>3</v>
      </c>
      <c r="AC782" s="68">
        <f ca="1">IFERROR(__xludf.DUMMYFUNCTION("""COMPUTED_VALUE"""),43920.9986111111)</f>
        <v>43920.998611111099</v>
      </c>
      <c r="AD782" s="6">
        <f ca="1">IFERROR(__xludf.DUMMYFUNCTION("""COMPUTED_VALUE"""),1222.7)</f>
        <v>1222.7</v>
      </c>
      <c r="AH782" s="6" t="str">
        <f t="shared" ca="1" si="228"/>
        <v>20202</v>
      </c>
      <c r="AI782" s="6">
        <f t="shared" ca="1" si="229"/>
        <v>2020</v>
      </c>
      <c r="AJ782" s="6">
        <f t="shared" ca="1" si="230"/>
        <v>2</v>
      </c>
      <c r="AK782" s="68">
        <f ca="1">IFERROR(__xludf.DUMMYFUNCTION("""COMPUTED_VALUE"""),43874.9986111111)</f>
        <v>43874.998611111099</v>
      </c>
      <c r="AL782" s="6">
        <f ca="1">IFERROR(__xludf.DUMMYFUNCTION("""COMPUTED_VALUE"""),10234.47)</f>
        <v>10234.469999999999</v>
      </c>
      <c r="AP782" s="6" t="str">
        <f t="shared" ca="1" si="231"/>
        <v>20212</v>
      </c>
      <c r="AQ782" s="6">
        <f t="shared" ca="1" si="232"/>
        <v>2021</v>
      </c>
      <c r="AR782" s="6">
        <f t="shared" ca="1" si="233"/>
        <v>2</v>
      </c>
      <c r="AS782" s="68">
        <f ca="1">IFERROR(__xludf.DUMMYFUNCTION("""COMPUTED_VALUE"""),44243.9986111111)</f>
        <v>44243.998611111099</v>
      </c>
      <c r="AT782" s="6">
        <f ca="1">IFERROR(__xludf.DUMMYFUNCTION("""COMPUTED_VALUE"""),1799)</f>
        <v>1799</v>
      </c>
    </row>
    <row r="783" spans="2:46" x14ac:dyDescent="0.35">
      <c r="B783" s="6" t="str">
        <f t="shared" ca="1" si="216"/>
        <v>20212</v>
      </c>
      <c r="C783" s="6">
        <f t="shared" ca="1" si="217"/>
        <v>2021</v>
      </c>
      <c r="D783" s="6">
        <f t="shared" ca="1" si="218"/>
        <v>2</v>
      </c>
      <c r="E783" s="68">
        <f ca="1">IFERROR(__xludf.DUMMYFUNCTION("""COMPUTED_VALUE"""),44235.6666666666)</f>
        <v>44235.666666666599</v>
      </c>
      <c r="F783" s="6">
        <f ca="1">IFERROR(__xludf.DUMMYFUNCTION("""COMPUTED_VALUE"""),3915.59)</f>
        <v>3915.59</v>
      </c>
      <c r="J783" s="6" t="str">
        <f t="shared" ca="1" si="219"/>
        <v>20212</v>
      </c>
      <c r="K783" s="6">
        <f t="shared" ca="1" si="220"/>
        <v>2021</v>
      </c>
      <c r="L783" s="6">
        <f t="shared" ca="1" si="221"/>
        <v>2</v>
      </c>
      <c r="M783" s="68">
        <f ca="1">IFERROR(__xludf.DUMMYFUNCTION("""COMPUTED_VALUE"""),44228.6666666666)</f>
        <v>44228.666666666599</v>
      </c>
      <c r="N783" s="6">
        <f ca="1">IFERROR(__xludf.DUMMYFUNCTION("""COMPUTED_VALUE"""),13403.39)</f>
        <v>13403.39</v>
      </c>
      <c r="R783" s="6" t="str">
        <f t="shared" ca="1" si="222"/>
        <v>20213</v>
      </c>
      <c r="S783" s="6">
        <f t="shared" ca="1" si="223"/>
        <v>2021</v>
      </c>
      <c r="T783" s="6">
        <f t="shared" ca="1" si="224"/>
        <v>3</v>
      </c>
      <c r="U783" s="68">
        <f ca="1">IFERROR(__xludf.DUMMYFUNCTION("""COMPUTED_VALUE"""),44267.6458333333)</f>
        <v>44267.645833333299</v>
      </c>
      <c r="V783" s="6">
        <f ca="1">IFERROR(__xludf.DUMMYFUNCTION("""COMPUTED_VALUE"""),3054.39)</f>
        <v>3054.39</v>
      </c>
      <c r="Z783" s="6" t="str">
        <f t="shared" ca="1" si="225"/>
        <v>20203</v>
      </c>
      <c r="AA783" s="6">
        <f t="shared" ca="1" si="226"/>
        <v>2020</v>
      </c>
      <c r="AB783" s="6">
        <f t="shared" ca="1" si="227"/>
        <v>3</v>
      </c>
      <c r="AC783" s="68">
        <f ca="1">IFERROR(__xludf.DUMMYFUNCTION("""COMPUTED_VALUE"""),43921.9986111111)</f>
        <v>43921.998611111099</v>
      </c>
      <c r="AD783" s="6">
        <f ca="1">IFERROR(__xludf.DUMMYFUNCTION("""COMPUTED_VALUE"""),1216.66)</f>
        <v>1216.6600000000001</v>
      </c>
      <c r="AH783" s="6" t="str">
        <f t="shared" ca="1" si="228"/>
        <v>20202</v>
      </c>
      <c r="AI783" s="6">
        <f t="shared" ca="1" si="229"/>
        <v>2020</v>
      </c>
      <c r="AJ783" s="6">
        <f t="shared" ca="1" si="230"/>
        <v>2</v>
      </c>
      <c r="AK783" s="68">
        <f ca="1">IFERROR(__xludf.DUMMYFUNCTION("""COMPUTED_VALUE"""),43875.9986111111)</f>
        <v>43875.998611111099</v>
      </c>
      <c r="AL783" s="6">
        <f ca="1">IFERROR(__xludf.DUMMYFUNCTION("""COMPUTED_VALUE"""),10356.59)</f>
        <v>10356.59</v>
      </c>
      <c r="AP783" s="6" t="str">
        <f t="shared" ca="1" si="231"/>
        <v>20212</v>
      </c>
      <c r="AQ783" s="6">
        <f t="shared" ca="1" si="232"/>
        <v>2021</v>
      </c>
      <c r="AR783" s="6">
        <f t="shared" ca="1" si="233"/>
        <v>2</v>
      </c>
      <c r="AS783" s="68">
        <f ca="1">IFERROR(__xludf.DUMMYFUNCTION("""COMPUTED_VALUE"""),44244.9986111111)</f>
        <v>44244.998611111099</v>
      </c>
      <c r="AT783" s="6">
        <f ca="1">IFERROR(__xludf.DUMMYFUNCTION("""COMPUTED_VALUE"""),1772.8)</f>
        <v>1772.8</v>
      </c>
    </row>
    <row r="784" spans="2:46" x14ac:dyDescent="0.35">
      <c r="B784" s="6" t="str">
        <f t="shared" ca="1" si="216"/>
        <v>20212</v>
      </c>
      <c r="C784" s="6">
        <f t="shared" ca="1" si="217"/>
        <v>2021</v>
      </c>
      <c r="D784" s="6">
        <f t="shared" ca="1" si="218"/>
        <v>2</v>
      </c>
      <c r="E784" s="68">
        <f ca="1">IFERROR(__xludf.DUMMYFUNCTION("""COMPUTED_VALUE"""),44236.6666666666)</f>
        <v>44236.666666666599</v>
      </c>
      <c r="F784" s="6">
        <f ca="1">IFERROR(__xludf.DUMMYFUNCTION("""COMPUTED_VALUE"""),3911.23)</f>
        <v>3911.23</v>
      </c>
      <c r="J784" s="6" t="str">
        <f t="shared" ca="1" si="219"/>
        <v>20212</v>
      </c>
      <c r="K784" s="6">
        <f t="shared" ca="1" si="220"/>
        <v>2021</v>
      </c>
      <c r="L784" s="6">
        <f t="shared" ca="1" si="221"/>
        <v>2</v>
      </c>
      <c r="M784" s="68">
        <f ca="1">IFERROR(__xludf.DUMMYFUNCTION("""COMPUTED_VALUE"""),44229.6666666666)</f>
        <v>44229.666666666599</v>
      </c>
      <c r="N784" s="6">
        <f ca="1">IFERROR(__xludf.DUMMYFUNCTION("""COMPUTED_VALUE"""),13612.78)</f>
        <v>13612.78</v>
      </c>
      <c r="R784" s="6" t="str">
        <f t="shared" ca="1" si="222"/>
        <v>20213</v>
      </c>
      <c r="S784" s="6">
        <f t="shared" ca="1" si="223"/>
        <v>2021</v>
      </c>
      <c r="T784" s="6">
        <f t="shared" ca="1" si="224"/>
        <v>3</v>
      </c>
      <c r="U784" s="68">
        <f ca="1">IFERROR(__xludf.DUMMYFUNCTION("""COMPUTED_VALUE"""),44270.6458333333)</f>
        <v>44270.645833333299</v>
      </c>
      <c r="V784" s="6">
        <f ca="1">IFERROR(__xludf.DUMMYFUNCTION("""COMPUTED_VALUE"""),3045.71)</f>
        <v>3045.71</v>
      </c>
      <c r="Z784" s="6" t="str">
        <f t="shared" ca="1" si="225"/>
        <v>20204</v>
      </c>
      <c r="AA784" s="6">
        <f t="shared" ca="1" si="226"/>
        <v>2020</v>
      </c>
      <c r="AB784" s="6">
        <f t="shared" ca="1" si="227"/>
        <v>4</v>
      </c>
      <c r="AC784" s="68">
        <f ca="1">IFERROR(__xludf.DUMMYFUNCTION("""COMPUTED_VALUE"""),43922.9986111111)</f>
        <v>43922.998611111099</v>
      </c>
      <c r="AD784" s="6">
        <f ca="1">IFERROR(__xludf.DUMMYFUNCTION("""COMPUTED_VALUE"""),1234.73)</f>
        <v>1234.73</v>
      </c>
      <c r="AH784" s="6" t="str">
        <f t="shared" ca="1" si="228"/>
        <v>20202</v>
      </c>
      <c r="AI784" s="6">
        <f t="shared" ca="1" si="229"/>
        <v>2020</v>
      </c>
      <c r="AJ784" s="6">
        <f t="shared" ca="1" si="230"/>
        <v>2</v>
      </c>
      <c r="AK784" s="68">
        <f ca="1">IFERROR(__xludf.DUMMYFUNCTION("""COMPUTED_VALUE"""),43876.9986111111)</f>
        <v>43876.998611111099</v>
      </c>
      <c r="AL784" s="6">
        <f ca="1">IFERROR(__xludf.DUMMYFUNCTION("""COMPUTED_VALUE"""),9903.895)</f>
        <v>9903.8950000000004</v>
      </c>
      <c r="AP784" s="6" t="str">
        <f t="shared" ca="1" si="231"/>
        <v>20212</v>
      </c>
      <c r="AQ784" s="6">
        <f t="shared" ca="1" si="232"/>
        <v>2021</v>
      </c>
      <c r="AR784" s="6">
        <f t="shared" ca="1" si="233"/>
        <v>2</v>
      </c>
      <c r="AS784" s="68">
        <f ca="1">IFERROR(__xludf.DUMMYFUNCTION("""COMPUTED_VALUE"""),44245.9986111111)</f>
        <v>44245.998611111099</v>
      </c>
      <c r="AT784" s="6">
        <f ca="1">IFERROR(__xludf.DUMMYFUNCTION("""COMPUTED_VALUE"""),1775)</f>
        <v>1775</v>
      </c>
    </row>
    <row r="785" spans="2:46" x14ac:dyDescent="0.35">
      <c r="B785" s="6" t="str">
        <f t="shared" ca="1" si="216"/>
        <v>20212</v>
      </c>
      <c r="C785" s="6">
        <f t="shared" ca="1" si="217"/>
        <v>2021</v>
      </c>
      <c r="D785" s="6">
        <f t="shared" ca="1" si="218"/>
        <v>2</v>
      </c>
      <c r="E785" s="68">
        <f ca="1">IFERROR(__xludf.DUMMYFUNCTION("""COMPUTED_VALUE"""),44237.6666666666)</f>
        <v>44237.666666666599</v>
      </c>
      <c r="F785" s="6">
        <f ca="1">IFERROR(__xludf.DUMMYFUNCTION("""COMPUTED_VALUE"""),3909.88)</f>
        <v>3909.88</v>
      </c>
      <c r="J785" s="6" t="str">
        <f t="shared" ca="1" si="219"/>
        <v>20212</v>
      </c>
      <c r="K785" s="6">
        <f t="shared" ca="1" si="220"/>
        <v>2021</v>
      </c>
      <c r="L785" s="6">
        <f t="shared" ca="1" si="221"/>
        <v>2</v>
      </c>
      <c r="M785" s="68">
        <f ca="1">IFERROR(__xludf.DUMMYFUNCTION("""COMPUTED_VALUE"""),44230.6666666666)</f>
        <v>44230.666666666599</v>
      </c>
      <c r="N785" s="6">
        <f ca="1">IFERROR(__xludf.DUMMYFUNCTION("""COMPUTED_VALUE"""),13610.54)</f>
        <v>13610.54</v>
      </c>
      <c r="R785" s="6" t="str">
        <f t="shared" ca="1" si="222"/>
        <v>20213</v>
      </c>
      <c r="S785" s="6">
        <f t="shared" ca="1" si="223"/>
        <v>2021</v>
      </c>
      <c r="T785" s="6">
        <f t="shared" ca="1" si="224"/>
        <v>3</v>
      </c>
      <c r="U785" s="68">
        <f ca="1">IFERROR(__xludf.DUMMYFUNCTION("""COMPUTED_VALUE"""),44271.6458333333)</f>
        <v>44271.645833333299</v>
      </c>
      <c r="V785" s="6">
        <f ca="1">IFERROR(__xludf.DUMMYFUNCTION("""COMPUTED_VALUE"""),3067.17)</f>
        <v>3067.17</v>
      </c>
      <c r="Z785" s="6" t="str">
        <f t="shared" ca="1" si="225"/>
        <v>20204</v>
      </c>
      <c r="AA785" s="6">
        <f t="shared" ca="1" si="226"/>
        <v>2020</v>
      </c>
      <c r="AB785" s="6">
        <f t="shared" ca="1" si="227"/>
        <v>4</v>
      </c>
      <c r="AC785" s="68">
        <f ca="1">IFERROR(__xludf.DUMMYFUNCTION("""COMPUTED_VALUE"""),43923.9986111111)</f>
        <v>43923.998611111099</v>
      </c>
      <c r="AD785" s="6">
        <f ca="1">IFERROR(__xludf.DUMMYFUNCTION("""COMPUTED_VALUE"""),1226.85)</f>
        <v>1226.8499999999999</v>
      </c>
      <c r="AH785" s="6" t="str">
        <f t="shared" ca="1" si="228"/>
        <v>20202</v>
      </c>
      <c r="AI785" s="6">
        <f t="shared" ca="1" si="229"/>
        <v>2020</v>
      </c>
      <c r="AJ785" s="6">
        <f t="shared" ca="1" si="230"/>
        <v>2</v>
      </c>
      <c r="AK785" s="68">
        <f ca="1">IFERROR(__xludf.DUMMYFUNCTION("""COMPUTED_VALUE"""),43877.9986111111)</f>
        <v>43877.998611111099</v>
      </c>
      <c r="AL785" s="6">
        <f ca="1">IFERROR(__xludf.DUMMYFUNCTION("""COMPUTED_VALUE"""),9927.334)</f>
        <v>9927.3340000000007</v>
      </c>
      <c r="AP785" s="6" t="str">
        <f t="shared" ca="1" si="231"/>
        <v>20212</v>
      </c>
      <c r="AQ785" s="6">
        <f t="shared" ca="1" si="232"/>
        <v>2021</v>
      </c>
      <c r="AR785" s="6">
        <f t="shared" ca="1" si="233"/>
        <v>2</v>
      </c>
      <c r="AS785" s="68">
        <f ca="1">IFERROR(__xludf.DUMMYFUNCTION("""COMPUTED_VALUE"""),44246.9986111111)</f>
        <v>44246.998611111099</v>
      </c>
      <c r="AT785" s="6">
        <f ca="1">IFERROR(__xludf.DUMMYFUNCTION("""COMPUTED_VALUE"""),1777.4)</f>
        <v>1777.4</v>
      </c>
    </row>
    <row r="786" spans="2:46" x14ac:dyDescent="0.35">
      <c r="B786" s="6" t="str">
        <f t="shared" ca="1" si="216"/>
        <v>20212</v>
      </c>
      <c r="C786" s="6">
        <f t="shared" ca="1" si="217"/>
        <v>2021</v>
      </c>
      <c r="D786" s="6">
        <f t="shared" ca="1" si="218"/>
        <v>2</v>
      </c>
      <c r="E786" s="68">
        <f ca="1">IFERROR(__xludf.DUMMYFUNCTION("""COMPUTED_VALUE"""),44238.6666666666)</f>
        <v>44238.666666666599</v>
      </c>
      <c r="F786" s="6">
        <f ca="1">IFERROR(__xludf.DUMMYFUNCTION("""COMPUTED_VALUE"""),3916.38)</f>
        <v>3916.38</v>
      </c>
      <c r="J786" s="6" t="str">
        <f t="shared" ca="1" si="219"/>
        <v>20212</v>
      </c>
      <c r="K786" s="6">
        <f t="shared" ca="1" si="220"/>
        <v>2021</v>
      </c>
      <c r="L786" s="6">
        <f t="shared" ca="1" si="221"/>
        <v>2</v>
      </c>
      <c r="M786" s="68">
        <f ca="1">IFERROR(__xludf.DUMMYFUNCTION("""COMPUTED_VALUE"""),44231.6666666666)</f>
        <v>44231.666666666599</v>
      </c>
      <c r="N786" s="6">
        <f ca="1">IFERROR(__xludf.DUMMYFUNCTION("""COMPUTED_VALUE"""),13777.74)</f>
        <v>13777.74</v>
      </c>
      <c r="R786" s="6" t="str">
        <f t="shared" ca="1" si="222"/>
        <v>20213</v>
      </c>
      <c r="S786" s="6">
        <f t="shared" ca="1" si="223"/>
        <v>2021</v>
      </c>
      <c r="T786" s="6">
        <f t="shared" ca="1" si="224"/>
        <v>3</v>
      </c>
      <c r="U786" s="68">
        <f ca="1">IFERROR(__xludf.DUMMYFUNCTION("""COMPUTED_VALUE"""),44272.6458333333)</f>
        <v>44272.645833333299</v>
      </c>
      <c r="V786" s="6">
        <f ca="1">IFERROR(__xludf.DUMMYFUNCTION("""COMPUTED_VALUE"""),3047.5)</f>
        <v>3047.5</v>
      </c>
      <c r="Z786" s="6" t="str">
        <f t="shared" ca="1" si="225"/>
        <v>20204</v>
      </c>
      <c r="AA786" s="6">
        <f t="shared" ca="1" si="226"/>
        <v>2020</v>
      </c>
      <c r="AB786" s="6">
        <f t="shared" ca="1" si="227"/>
        <v>4</v>
      </c>
      <c r="AC786" s="68">
        <f ca="1">IFERROR(__xludf.DUMMYFUNCTION("""COMPUTED_VALUE"""),43924.9986111111)</f>
        <v>43924.998611111099</v>
      </c>
      <c r="AD786" s="6">
        <f ca="1">IFERROR(__xludf.DUMMYFUNCTION("""COMPUTED_VALUE"""),1236.1)</f>
        <v>1236.0999999999999</v>
      </c>
      <c r="AH786" s="6" t="str">
        <f t="shared" ca="1" si="228"/>
        <v>20202</v>
      </c>
      <c r="AI786" s="6">
        <f t="shared" ca="1" si="229"/>
        <v>2020</v>
      </c>
      <c r="AJ786" s="6">
        <f t="shared" ca="1" si="230"/>
        <v>2</v>
      </c>
      <c r="AK786" s="68">
        <f ca="1">IFERROR(__xludf.DUMMYFUNCTION("""COMPUTED_VALUE"""),43878.9986111111)</f>
        <v>43878.998611111099</v>
      </c>
      <c r="AL786" s="6">
        <f ca="1">IFERROR(__xludf.DUMMYFUNCTION("""COMPUTED_VALUE"""),9701.267)</f>
        <v>9701.2669999999998</v>
      </c>
      <c r="AP786" s="6" t="str">
        <f t="shared" ca="1" si="231"/>
        <v>20212</v>
      </c>
      <c r="AQ786" s="6">
        <f t="shared" ca="1" si="232"/>
        <v>2021</v>
      </c>
      <c r="AR786" s="6">
        <f t="shared" ca="1" si="233"/>
        <v>2</v>
      </c>
      <c r="AS786" s="68">
        <f ca="1">IFERROR(__xludf.DUMMYFUNCTION("""COMPUTED_VALUE"""),44249.9986111111)</f>
        <v>44249.998611111099</v>
      </c>
      <c r="AT786" s="6">
        <f ca="1">IFERROR(__xludf.DUMMYFUNCTION("""COMPUTED_VALUE"""),1808.4)</f>
        <v>1808.4</v>
      </c>
    </row>
    <row r="787" spans="2:46" x14ac:dyDescent="0.35">
      <c r="B787" s="6" t="str">
        <f t="shared" ca="1" si="216"/>
        <v>20212</v>
      </c>
      <c r="C787" s="6">
        <f t="shared" ca="1" si="217"/>
        <v>2021</v>
      </c>
      <c r="D787" s="6">
        <f t="shared" ca="1" si="218"/>
        <v>2</v>
      </c>
      <c r="E787" s="68">
        <f ca="1">IFERROR(__xludf.DUMMYFUNCTION("""COMPUTED_VALUE"""),44239.6666666666)</f>
        <v>44239.666666666599</v>
      </c>
      <c r="F787" s="6">
        <f ca="1">IFERROR(__xludf.DUMMYFUNCTION("""COMPUTED_VALUE"""),3934.83)</f>
        <v>3934.83</v>
      </c>
      <c r="J787" s="6" t="str">
        <f t="shared" ca="1" si="219"/>
        <v>20212</v>
      </c>
      <c r="K787" s="6">
        <f t="shared" ca="1" si="220"/>
        <v>2021</v>
      </c>
      <c r="L787" s="6">
        <f t="shared" ca="1" si="221"/>
        <v>2</v>
      </c>
      <c r="M787" s="68">
        <f ca="1">IFERROR(__xludf.DUMMYFUNCTION("""COMPUTED_VALUE"""),44232.6666666666)</f>
        <v>44232.666666666599</v>
      </c>
      <c r="N787" s="6">
        <f ca="1">IFERROR(__xludf.DUMMYFUNCTION("""COMPUTED_VALUE"""),13856.3)</f>
        <v>13856.3</v>
      </c>
      <c r="R787" s="6" t="str">
        <f t="shared" ca="1" si="222"/>
        <v>20213</v>
      </c>
      <c r="S787" s="6">
        <f t="shared" ca="1" si="223"/>
        <v>2021</v>
      </c>
      <c r="T787" s="6">
        <f t="shared" ca="1" si="224"/>
        <v>3</v>
      </c>
      <c r="U787" s="68">
        <f ca="1">IFERROR(__xludf.DUMMYFUNCTION("""COMPUTED_VALUE"""),44273.6458333333)</f>
        <v>44273.645833333299</v>
      </c>
      <c r="V787" s="6">
        <f ca="1">IFERROR(__xludf.DUMMYFUNCTION("""COMPUTED_VALUE"""),3066.01)</f>
        <v>3066.01</v>
      </c>
      <c r="Z787" s="6" t="str">
        <f t="shared" ca="1" si="225"/>
        <v>20204</v>
      </c>
      <c r="AA787" s="6">
        <f t="shared" ca="1" si="226"/>
        <v>2020</v>
      </c>
      <c r="AB787" s="6">
        <f t="shared" ca="1" si="227"/>
        <v>4</v>
      </c>
      <c r="AC787" s="68">
        <f ca="1">IFERROR(__xludf.DUMMYFUNCTION("""COMPUTED_VALUE"""),43926.9986111111)</f>
        <v>43926.998611111099</v>
      </c>
      <c r="AD787" s="6">
        <f ca="1">IFERROR(__xludf.DUMMYFUNCTION("""COMPUTED_VALUE"""),1235.8)</f>
        <v>1235.8</v>
      </c>
      <c r="AH787" s="6" t="str">
        <f t="shared" ca="1" si="228"/>
        <v>20202</v>
      </c>
      <c r="AI787" s="6">
        <f t="shared" ca="1" si="229"/>
        <v>2020</v>
      </c>
      <c r="AJ787" s="6">
        <f t="shared" ca="1" si="230"/>
        <v>2</v>
      </c>
      <c r="AK787" s="68">
        <f ca="1">IFERROR(__xludf.DUMMYFUNCTION("""COMPUTED_VALUE"""),43879.9986111111)</f>
        <v>43879.998611111099</v>
      </c>
      <c r="AL787" s="6">
        <f ca="1">IFERROR(__xludf.DUMMYFUNCTION("""COMPUTED_VALUE"""),10169.47)</f>
        <v>10169.469999999999</v>
      </c>
      <c r="AP787" s="6" t="str">
        <f t="shared" ca="1" si="231"/>
        <v>20212</v>
      </c>
      <c r="AQ787" s="6">
        <f t="shared" ca="1" si="232"/>
        <v>2021</v>
      </c>
      <c r="AR787" s="6">
        <f t="shared" ca="1" si="233"/>
        <v>2</v>
      </c>
      <c r="AS787" s="68">
        <f ca="1">IFERROR(__xludf.DUMMYFUNCTION("""COMPUTED_VALUE"""),44250.9986111111)</f>
        <v>44250.998611111099</v>
      </c>
      <c r="AT787" s="6">
        <f ca="1">IFERROR(__xludf.DUMMYFUNCTION("""COMPUTED_VALUE"""),1805.9)</f>
        <v>1805.9</v>
      </c>
    </row>
    <row r="788" spans="2:46" x14ac:dyDescent="0.35">
      <c r="B788" s="6" t="str">
        <f t="shared" ca="1" si="216"/>
        <v>20212</v>
      </c>
      <c r="C788" s="6">
        <f t="shared" ca="1" si="217"/>
        <v>2021</v>
      </c>
      <c r="D788" s="6">
        <f t="shared" ca="1" si="218"/>
        <v>2</v>
      </c>
      <c r="E788" s="68">
        <f ca="1">IFERROR(__xludf.DUMMYFUNCTION("""COMPUTED_VALUE"""),44243.6666666666)</f>
        <v>44243.666666666599</v>
      </c>
      <c r="F788" s="6">
        <f ca="1">IFERROR(__xludf.DUMMYFUNCTION("""COMPUTED_VALUE"""),3932.59)</f>
        <v>3932.59</v>
      </c>
      <c r="J788" s="6" t="str">
        <f t="shared" ca="1" si="219"/>
        <v>20212</v>
      </c>
      <c r="K788" s="6">
        <f t="shared" ca="1" si="220"/>
        <v>2021</v>
      </c>
      <c r="L788" s="6">
        <f t="shared" ca="1" si="221"/>
        <v>2</v>
      </c>
      <c r="M788" s="68">
        <f ca="1">IFERROR(__xludf.DUMMYFUNCTION("""COMPUTED_VALUE"""),44235.6666666666)</f>
        <v>44235.666666666599</v>
      </c>
      <c r="N788" s="6">
        <f ca="1">IFERROR(__xludf.DUMMYFUNCTION("""COMPUTED_VALUE"""),13987.64)</f>
        <v>13987.64</v>
      </c>
      <c r="R788" s="6" t="str">
        <f t="shared" ca="1" si="222"/>
        <v>20213</v>
      </c>
      <c r="S788" s="6">
        <f t="shared" ca="1" si="223"/>
        <v>2021</v>
      </c>
      <c r="T788" s="6">
        <f t="shared" ca="1" si="224"/>
        <v>3</v>
      </c>
      <c r="U788" s="68">
        <f ca="1">IFERROR(__xludf.DUMMYFUNCTION("""COMPUTED_VALUE"""),44274.6458333333)</f>
        <v>44274.645833333299</v>
      </c>
      <c r="V788" s="6">
        <f ca="1">IFERROR(__xludf.DUMMYFUNCTION("""COMPUTED_VALUE"""),3039.53)</f>
        <v>3039.53</v>
      </c>
      <c r="Z788" s="6" t="str">
        <f t="shared" ca="1" si="225"/>
        <v>20204</v>
      </c>
      <c r="AA788" s="6">
        <f t="shared" ca="1" si="226"/>
        <v>2020</v>
      </c>
      <c r="AB788" s="6">
        <f t="shared" ca="1" si="227"/>
        <v>4</v>
      </c>
      <c r="AC788" s="68">
        <f ca="1">IFERROR(__xludf.DUMMYFUNCTION("""COMPUTED_VALUE"""),43927.9986111111)</f>
        <v>43927.998611111099</v>
      </c>
      <c r="AD788" s="6">
        <f ca="1">IFERROR(__xludf.DUMMYFUNCTION("""COMPUTED_VALUE"""),1223.1)</f>
        <v>1223.0999999999999</v>
      </c>
      <c r="AH788" s="6" t="str">
        <f t="shared" ca="1" si="228"/>
        <v>20202</v>
      </c>
      <c r="AI788" s="6">
        <f t="shared" ca="1" si="229"/>
        <v>2020</v>
      </c>
      <c r="AJ788" s="6">
        <f t="shared" ca="1" si="230"/>
        <v>2</v>
      </c>
      <c r="AK788" s="68">
        <f ca="1">IFERROR(__xludf.DUMMYFUNCTION("""COMPUTED_VALUE"""),43880.9986111111)</f>
        <v>43880.998611111099</v>
      </c>
      <c r="AL788" s="6">
        <f ca="1">IFERROR(__xludf.DUMMYFUNCTION("""COMPUTED_VALUE"""),9602.206)</f>
        <v>9602.2060000000001</v>
      </c>
      <c r="AP788" s="6" t="str">
        <f t="shared" ca="1" si="231"/>
        <v>20212</v>
      </c>
      <c r="AQ788" s="6">
        <f t="shared" ca="1" si="232"/>
        <v>2021</v>
      </c>
      <c r="AR788" s="6">
        <f t="shared" ca="1" si="233"/>
        <v>2</v>
      </c>
      <c r="AS788" s="68">
        <f ca="1">IFERROR(__xludf.DUMMYFUNCTION("""COMPUTED_VALUE"""),44251.9986111111)</f>
        <v>44251.998611111099</v>
      </c>
      <c r="AT788" s="6">
        <f ca="1">IFERROR(__xludf.DUMMYFUNCTION("""COMPUTED_VALUE"""),1797.9)</f>
        <v>1797.9</v>
      </c>
    </row>
    <row r="789" spans="2:46" x14ac:dyDescent="0.35">
      <c r="B789" s="6" t="str">
        <f t="shared" ca="1" si="216"/>
        <v>20212</v>
      </c>
      <c r="C789" s="6">
        <f t="shared" ca="1" si="217"/>
        <v>2021</v>
      </c>
      <c r="D789" s="6">
        <f t="shared" ca="1" si="218"/>
        <v>2</v>
      </c>
      <c r="E789" s="68">
        <f ca="1">IFERROR(__xludf.DUMMYFUNCTION("""COMPUTED_VALUE"""),44244.6666666666)</f>
        <v>44244.666666666599</v>
      </c>
      <c r="F789" s="6">
        <f ca="1">IFERROR(__xludf.DUMMYFUNCTION("""COMPUTED_VALUE"""),3931.33)</f>
        <v>3931.33</v>
      </c>
      <c r="J789" s="6" t="str">
        <f t="shared" ca="1" si="219"/>
        <v>20212</v>
      </c>
      <c r="K789" s="6">
        <f t="shared" ca="1" si="220"/>
        <v>2021</v>
      </c>
      <c r="L789" s="6">
        <f t="shared" ca="1" si="221"/>
        <v>2</v>
      </c>
      <c r="M789" s="68">
        <f ca="1">IFERROR(__xludf.DUMMYFUNCTION("""COMPUTED_VALUE"""),44236.6666666666)</f>
        <v>44236.666666666599</v>
      </c>
      <c r="N789" s="6">
        <f ca="1">IFERROR(__xludf.DUMMYFUNCTION("""COMPUTED_VALUE"""),14007.7)</f>
        <v>14007.7</v>
      </c>
      <c r="R789" s="6" t="str">
        <f t="shared" ca="1" si="222"/>
        <v>20213</v>
      </c>
      <c r="S789" s="6">
        <f t="shared" ca="1" si="223"/>
        <v>2021</v>
      </c>
      <c r="T789" s="6">
        <f t="shared" ca="1" si="224"/>
        <v>3</v>
      </c>
      <c r="U789" s="68">
        <f ca="1">IFERROR(__xludf.DUMMYFUNCTION("""COMPUTED_VALUE"""),44277.6458333333)</f>
        <v>44277.645833333299</v>
      </c>
      <c r="V789" s="6">
        <f ca="1">IFERROR(__xludf.DUMMYFUNCTION("""COMPUTED_VALUE"""),3035.46)</f>
        <v>3035.46</v>
      </c>
      <c r="Z789" s="6" t="str">
        <f t="shared" ca="1" si="225"/>
        <v>20204</v>
      </c>
      <c r="AA789" s="6">
        <f t="shared" ca="1" si="226"/>
        <v>2020</v>
      </c>
      <c r="AB789" s="6">
        <f t="shared" ca="1" si="227"/>
        <v>4</v>
      </c>
      <c r="AC789" s="68">
        <f ca="1">IFERROR(__xludf.DUMMYFUNCTION("""COMPUTED_VALUE"""),43928.9986111111)</f>
        <v>43928.998611111099</v>
      </c>
      <c r="AD789" s="6">
        <f ca="1">IFERROR(__xludf.DUMMYFUNCTION("""COMPUTED_VALUE"""),1215.31)</f>
        <v>1215.31</v>
      </c>
      <c r="AH789" s="6" t="str">
        <f t="shared" ca="1" si="228"/>
        <v>20202</v>
      </c>
      <c r="AI789" s="6">
        <f t="shared" ca="1" si="229"/>
        <v>2020</v>
      </c>
      <c r="AJ789" s="6">
        <f t="shared" ca="1" si="230"/>
        <v>2</v>
      </c>
      <c r="AK789" s="68">
        <f ca="1">IFERROR(__xludf.DUMMYFUNCTION("""COMPUTED_VALUE"""),43881.9986111111)</f>
        <v>43881.998611111099</v>
      </c>
      <c r="AL789" s="6">
        <f ca="1">IFERROR(__xludf.DUMMYFUNCTION("""COMPUTED_VALUE"""),9609.387)</f>
        <v>9609.3870000000006</v>
      </c>
      <c r="AP789" s="6" t="str">
        <f t="shared" ca="1" si="231"/>
        <v>20212</v>
      </c>
      <c r="AQ789" s="6">
        <f t="shared" ca="1" si="232"/>
        <v>2021</v>
      </c>
      <c r="AR789" s="6">
        <f t="shared" ca="1" si="233"/>
        <v>2</v>
      </c>
      <c r="AS789" s="68">
        <f ca="1">IFERROR(__xludf.DUMMYFUNCTION("""COMPUTED_VALUE"""),44252.9986111111)</f>
        <v>44252.998611111099</v>
      </c>
      <c r="AT789" s="6">
        <f ca="1">IFERROR(__xludf.DUMMYFUNCTION("""COMPUTED_VALUE"""),1775.4)</f>
        <v>1775.4</v>
      </c>
    </row>
    <row r="790" spans="2:46" x14ac:dyDescent="0.35">
      <c r="B790" s="6" t="str">
        <f t="shared" ca="1" si="216"/>
        <v>20212</v>
      </c>
      <c r="C790" s="6">
        <f t="shared" ca="1" si="217"/>
        <v>2021</v>
      </c>
      <c r="D790" s="6">
        <f t="shared" ca="1" si="218"/>
        <v>2</v>
      </c>
      <c r="E790" s="68">
        <f ca="1">IFERROR(__xludf.DUMMYFUNCTION("""COMPUTED_VALUE"""),44245.6666666666)</f>
        <v>44245.666666666599</v>
      </c>
      <c r="F790" s="6">
        <f ca="1">IFERROR(__xludf.DUMMYFUNCTION("""COMPUTED_VALUE"""),3913.97)</f>
        <v>3913.97</v>
      </c>
      <c r="J790" s="6" t="str">
        <f t="shared" ca="1" si="219"/>
        <v>20212</v>
      </c>
      <c r="K790" s="6">
        <f t="shared" ca="1" si="220"/>
        <v>2021</v>
      </c>
      <c r="L790" s="6">
        <f t="shared" ca="1" si="221"/>
        <v>2</v>
      </c>
      <c r="M790" s="68">
        <f ca="1">IFERROR(__xludf.DUMMYFUNCTION("""COMPUTED_VALUE"""),44237.6666666666)</f>
        <v>44237.666666666599</v>
      </c>
      <c r="N790" s="6">
        <f ca="1">IFERROR(__xludf.DUMMYFUNCTION("""COMPUTED_VALUE"""),13972.53)</f>
        <v>13972.53</v>
      </c>
      <c r="R790" s="6" t="str">
        <f t="shared" ca="1" si="222"/>
        <v>20213</v>
      </c>
      <c r="S790" s="6">
        <f t="shared" ca="1" si="223"/>
        <v>2021</v>
      </c>
      <c r="T790" s="6">
        <f t="shared" ca="1" si="224"/>
        <v>3</v>
      </c>
      <c r="U790" s="68">
        <f ca="1">IFERROR(__xludf.DUMMYFUNCTION("""COMPUTED_VALUE"""),44278.6458333333)</f>
        <v>44278.645833333299</v>
      </c>
      <c r="V790" s="6">
        <f ca="1">IFERROR(__xludf.DUMMYFUNCTION("""COMPUTED_VALUE"""),3004.74)</f>
        <v>3004.74</v>
      </c>
      <c r="Z790" s="6" t="str">
        <f t="shared" ca="1" si="225"/>
        <v>20204</v>
      </c>
      <c r="AA790" s="6">
        <f t="shared" ca="1" si="226"/>
        <v>2020</v>
      </c>
      <c r="AB790" s="6">
        <f t="shared" ca="1" si="227"/>
        <v>4</v>
      </c>
      <c r="AC790" s="68">
        <f ca="1">IFERROR(__xludf.DUMMYFUNCTION("""COMPUTED_VALUE"""),43929.9986111111)</f>
        <v>43929.998611111099</v>
      </c>
      <c r="AD790" s="6">
        <f ca="1">IFERROR(__xludf.DUMMYFUNCTION("""COMPUTED_VALUE"""),1214.75)</f>
        <v>1214.75</v>
      </c>
      <c r="AH790" s="6" t="str">
        <f t="shared" ca="1" si="228"/>
        <v>20202</v>
      </c>
      <c r="AI790" s="6">
        <f t="shared" ca="1" si="229"/>
        <v>2020</v>
      </c>
      <c r="AJ790" s="6">
        <f t="shared" ca="1" si="230"/>
        <v>2</v>
      </c>
      <c r="AK790" s="68">
        <f ca="1">IFERROR(__xludf.DUMMYFUNCTION("""COMPUTED_VALUE"""),43882.9986111111)</f>
        <v>43882.998611111099</v>
      </c>
      <c r="AL790" s="6">
        <f ca="1">IFERROR(__xludf.DUMMYFUNCTION("""COMPUTED_VALUE"""),9691.18)</f>
        <v>9691.18</v>
      </c>
      <c r="AP790" s="6" t="str">
        <f t="shared" ca="1" si="231"/>
        <v>20212</v>
      </c>
      <c r="AQ790" s="6">
        <f t="shared" ca="1" si="232"/>
        <v>2021</v>
      </c>
      <c r="AR790" s="6">
        <f t="shared" ca="1" si="233"/>
        <v>2</v>
      </c>
      <c r="AS790" s="68">
        <f ca="1">IFERROR(__xludf.DUMMYFUNCTION("""COMPUTED_VALUE"""),44253.9986111111)</f>
        <v>44253.998611111099</v>
      </c>
      <c r="AT790" s="6">
        <f ca="1">IFERROR(__xludf.DUMMYFUNCTION("""COMPUTED_VALUE"""),1728.8)</f>
        <v>1728.8</v>
      </c>
    </row>
    <row r="791" spans="2:46" x14ac:dyDescent="0.35">
      <c r="B791" s="6" t="str">
        <f t="shared" ca="1" si="216"/>
        <v>20212</v>
      </c>
      <c r="C791" s="6">
        <f t="shared" ca="1" si="217"/>
        <v>2021</v>
      </c>
      <c r="D791" s="6">
        <f t="shared" ca="1" si="218"/>
        <v>2</v>
      </c>
      <c r="E791" s="68">
        <f ca="1">IFERROR(__xludf.DUMMYFUNCTION("""COMPUTED_VALUE"""),44246.6666666666)</f>
        <v>44246.666666666599</v>
      </c>
      <c r="F791" s="6">
        <f ca="1">IFERROR(__xludf.DUMMYFUNCTION("""COMPUTED_VALUE"""),3906.71)</f>
        <v>3906.71</v>
      </c>
      <c r="J791" s="6" t="str">
        <f t="shared" ca="1" si="219"/>
        <v>20212</v>
      </c>
      <c r="K791" s="6">
        <f t="shared" ca="1" si="220"/>
        <v>2021</v>
      </c>
      <c r="L791" s="6">
        <f t="shared" ca="1" si="221"/>
        <v>2</v>
      </c>
      <c r="M791" s="68">
        <f ca="1">IFERROR(__xludf.DUMMYFUNCTION("""COMPUTED_VALUE"""),44238.6666666666)</f>
        <v>44238.666666666599</v>
      </c>
      <c r="N791" s="6">
        <f ca="1">IFERROR(__xludf.DUMMYFUNCTION("""COMPUTED_VALUE"""),14025.77)</f>
        <v>14025.77</v>
      </c>
      <c r="R791" s="6" t="str">
        <f t="shared" ca="1" si="222"/>
        <v>20213</v>
      </c>
      <c r="S791" s="6">
        <f t="shared" ca="1" si="223"/>
        <v>2021</v>
      </c>
      <c r="T791" s="6">
        <f t="shared" ca="1" si="224"/>
        <v>3</v>
      </c>
      <c r="U791" s="68">
        <f ca="1">IFERROR(__xludf.DUMMYFUNCTION("""COMPUTED_VALUE"""),44279.6458333333)</f>
        <v>44279.645833333299</v>
      </c>
      <c r="V791" s="6">
        <f ca="1">IFERROR(__xludf.DUMMYFUNCTION("""COMPUTED_VALUE"""),2996.35)</f>
        <v>2996.35</v>
      </c>
      <c r="Z791" s="6" t="str">
        <f t="shared" ca="1" si="225"/>
        <v>20204</v>
      </c>
      <c r="AA791" s="6">
        <f t="shared" ca="1" si="226"/>
        <v>2020</v>
      </c>
      <c r="AB791" s="6">
        <f t="shared" ca="1" si="227"/>
        <v>4</v>
      </c>
      <c r="AC791" s="68">
        <f ca="1">IFERROR(__xludf.DUMMYFUNCTION("""COMPUTED_VALUE"""),43930.9986111111)</f>
        <v>43930.998611111099</v>
      </c>
      <c r="AD791" s="6">
        <f ca="1">IFERROR(__xludf.DUMMYFUNCTION("""COMPUTED_VALUE"""),1209.51)</f>
        <v>1209.51</v>
      </c>
      <c r="AH791" s="6" t="str">
        <f t="shared" ca="1" si="228"/>
        <v>20202</v>
      </c>
      <c r="AI791" s="6">
        <f t="shared" ca="1" si="229"/>
        <v>2020</v>
      </c>
      <c r="AJ791" s="6">
        <f t="shared" ca="1" si="230"/>
        <v>2</v>
      </c>
      <c r="AK791" s="68">
        <f ca="1">IFERROR(__xludf.DUMMYFUNCTION("""COMPUTED_VALUE"""),43883.9986111111)</f>
        <v>43883.998611111099</v>
      </c>
      <c r="AL791" s="6">
        <f ca="1">IFERROR(__xludf.DUMMYFUNCTION("""COMPUTED_VALUE"""),9667.061)</f>
        <v>9667.0609999999997</v>
      </c>
      <c r="AP791" s="6" t="str">
        <f t="shared" ca="1" si="231"/>
        <v>20213</v>
      </c>
      <c r="AQ791" s="6">
        <f t="shared" ca="1" si="232"/>
        <v>2021</v>
      </c>
      <c r="AR791" s="6">
        <f t="shared" ca="1" si="233"/>
        <v>3</v>
      </c>
      <c r="AS791" s="68">
        <f ca="1">IFERROR(__xludf.DUMMYFUNCTION("""COMPUTED_VALUE"""),44256.9986111111)</f>
        <v>44256.998611111099</v>
      </c>
      <c r="AT791" s="6">
        <f ca="1">IFERROR(__xludf.DUMMYFUNCTION("""COMPUTED_VALUE"""),1723)</f>
        <v>1723</v>
      </c>
    </row>
    <row r="792" spans="2:46" x14ac:dyDescent="0.35">
      <c r="B792" s="6" t="str">
        <f t="shared" ca="1" si="216"/>
        <v>20212</v>
      </c>
      <c r="C792" s="6">
        <f t="shared" ca="1" si="217"/>
        <v>2021</v>
      </c>
      <c r="D792" s="6">
        <f t="shared" ca="1" si="218"/>
        <v>2</v>
      </c>
      <c r="E792" s="68">
        <f ca="1">IFERROR(__xludf.DUMMYFUNCTION("""COMPUTED_VALUE"""),44249.6666666666)</f>
        <v>44249.666666666599</v>
      </c>
      <c r="F792" s="6">
        <f ca="1">IFERROR(__xludf.DUMMYFUNCTION("""COMPUTED_VALUE"""),3876.5)</f>
        <v>3876.5</v>
      </c>
      <c r="J792" s="6" t="str">
        <f t="shared" ca="1" si="219"/>
        <v>20212</v>
      </c>
      <c r="K792" s="6">
        <f t="shared" ca="1" si="220"/>
        <v>2021</v>
      </c>
      <c r="L792" s="6">
        <f t="shared" ca="1" si="221"/>
        <v>2</v>
      </c>
      <c r="M792" s="68">
        <f ca="1">IFERROR(__xludf.DUMMYFUNCTION("""COMPUTED_VALUE"""),44239.6666666666)</f>
        <v>44239.666666666599</v>
      </c>
      <c r="N792" s="6">
        <f ca="1">IFERROR(__xludf.DUMMYFUNCTION("""COMPUTED_VALUE"""),14095.47)</f>
        <v>14095.47</v>
      </c>
      <c r="R792" s="6" t="str">
        <f t="shared" ca="1" si="222"/>
        <v>20213</v>
      </c>
      <c r="S792" s="6">
        <f t="shared" ca="1" si="223"/>
        <v>2021</v>
      </c>
      <c r="T792" s="6">
        <f t="shared" ca="1" si="224"/>
        <v>3</v>
      </c>
      <c r="U792" s="68">
        <f ca="1">IFERROR(__xludf.DUMMYFUNCTION("""COMPUTED_VALUE"""),44280.6458333333)</f>
        <v>44280.645833333299</v>
      </c>
      <c r="V792" s="6">
        <f ca="1">IFERROR(__xludf.DUMMYFUNCTION("""COMPUTED_VALUE"""),3008.33)</f>
        <v>3008.33</v>
      </c>
      <c r="Z792" s="6" t="str">
        <f t="shared" ca="1" si="225"/>
        <v>20204</v>
      </c>
      <c r="AA792" s="6">
        <f t="shared" ca="1" si="226"/>
        <v>2020</v>
      </c>
      <c r="AB792" s="6">
        <f t="shared" ca="1" si="227"/>
        <v>4</v>
      </c>
      <c r="AC792" s="68">
        <f ca="1">IFERROR(__xludf.DUMMYFUNCTION("""COMPUTED_VALUE"""),43931.9986111111)</f>
        <v>43931.998611111099</v>
      </c>
      <c r="AD792" s="6">
        <f ca="1">IFERROR(__xludf.DUMMYFUNCTION("""COMPUTED_VALUE"""),1211.14)</f>
        <v>1211.1400000000001</v>
      </c>
      <c r="AH792" s="6" t="str">
        <f t="shared" ca="1" si="228"/>
        <v>20202</v>
      </c>
      <c r="AI792" s="6">
        <f t="shared" ca="1" si="229"/>
        <v>2020</v>
      </c>
      <c r="AJ792" s="6">
        <f t="shared" ca="1" si="230"/>
        <v>2</v>
      </c>
      <c r="AK792" s="68">
        <f ca="1">IFERROR(__xludf.DUMMYFUNCTION("""COMPUTED_VALUE"""),43884.9986111111)</f>
        <v>43884.998611111099</v>
      </c>
      <c r="AL792" s="6">
        <f ca="1">IFERROR(__xludf.DUMMYFUNCTION("""COMPUTED_VALUE"""),9976.343)</f>
        <v>9976.3430000000008</v>
      </c>
      <c r="AP792" s="6" t="str">
        <f t="shared" ca="1" si="231"/>
        <v>20213</v>
      </c>
      <c r="AQ792" s="6">
        <f t="shared" ca="1" si="232"/>
        <v>2021</v>
      </c>
      <c r="AR792" s="6">
        <f t="shared" ca="1" si="233"/>
        <v>3</v>
      </c>
      <c r="AS792" s="68">
        <f ca="1">IFERROR(__xludf.DUMMYFUNCTION("""COMPUTED_VALUE"""),44257.9986111111)</f>
        <v>44257.998611111099</v>
      </c>
      <c r="AT792" s="6">
        <f ca="1">IFERROR(__xludf.DUMMYFUNCTION("""COMPUTED_VALUE"""),1733.6)</f>
        <v>1733.6</v>
      </c>
    </row>
    <row r="793" spans="2:46" x14ac:dyDescent="0.35">
      <c r="B793" s="6" t="str">
        <f t="shared" ca="1" si="216"/>
        <v>20212</v>
      </c>
      <c r="C793" s="6">
        <f t="shared" ca="1" si="217"/>
        <v>2021</v>
      </c>
      <c r="D793" s="6">
        <f t="shared" ca="1" si="218"/>
        <v>2</v>
      </c>
      <c r="E793" s="68">
        <f ca="1">IFERROR(__xludf.DUMMYFUNCTION("""COMPUTED_VALUE"""),44250.6666666666)</f>
        <v>44250.666666666599</v>
      </c>
      <c r="F793" s="6">
        <f ca="1">IFERROR(__xludf.DUMMYFUNCTION("""COMPUTED_VALUE"""),3881.37)</f>
        <v>3881.37</v>
      </c>
      <c r="J793" s="6" t="str">
        <f t="shared" ca="1" si="219"/>
        <v>20212</v>
      </c>
      <c r="K793" s="6">
        <f t="shared" ca="1" si="220"/>
        <v>2021</v>
      </c>
      <c r="L793" s="6">
        <f t="shared" ca="1" si="221"/>
        <v>2</v>
      </c>
      <c r="M793" s="68">
        <f ca="1">IFERROR(__xludf.DUMMYFUNCTION("""COMPUTED_VALUE"""),44243.6666666666)</f>
        <v>44243.666666666599</v>
      </c>
      <c r="N793" s="6">
        <f ca="1">IFERROR(__xludf.DUMMYFUNCTION("""COMPUTED_VALUE"""),14047.5)</f>
        <v>14047.5</v>
      </c>
      <c r="R793" s="6" t="str">
        <f t="shared" ca="1" si="222"/>
        <v>20213</v>
      </c>
      <c r="S793" s="6">
        <f t="shared" ca="1" si="223"/>
        <v>2021</v>
      </c>
      <c r="T793" s="6">
        <f t="shared" ca="1" si="224"/>
        <v>3</v>
      </c>
      <c r="U793" s="68">
        <f ca="1">IFERROR(__xludf.DUMMYFUNCTION("""COMPUTED_VALUE"""),44281.6458333333)</f>
        <v>44281.645833333299</v>
      </c>
      <c r="V793" s="6">
        <f ca="1">IFERROR(__xludf.DUMMYFUNCTION("""COMPUTED_VALUE"""),3041.01)</f>
        <v>3041.01</v>
      </c>
      <c r="Z793" s="6" t="str">
        <f t="shared" ca="1" si="225"/>
        <v>20204</v>
      </c>
      <c r="AA793" s="6">
        <f t="shared" ca="1" si="226"/>
        <v>2020</v>
      </c>
      <c r="AB793" s="6">
        <f t="shared" ca="1" si="227"/>
        <v>4</v>
      </c>
      <c r="AC793" s="68">
        <f ca="1">IFERROR(__xludf.DUMMYFUNCTION("""COMPUTED_VALUE"""),43932.9986111111)</f>
        <v>43932.998611111099</v>
      </c>
      <c r="AD793" s="6">
        <f ca="1">IFERROR(__xludf.DUMMYFUNCTION("""COMPUTED_VALUE"""),1211.14)</f>
        <v>1211.1400000000001</v>
      </c>
      <c r="AH793" s="6" t="str">
        <f t="shared" ca="1" si="228"/>
        <v>20202</v>
      </c>
      <c r="AI793" s="6">
        <f t="shared" ca="1" si="229"/>
        <v>2020</v>
      </c>
      <c r="AJ793" s="6">
        <f t="shared" ca="1" si="230"/>
        <v>2</v>
      </c>
      <c r="AK793" s="68">
        <f ca="1">IFERROR(__xludf.DUMMYFUNCTION("""COMPUTED_VALUE"""),43885.9986111111)</f>
        <v>43885.998611111099</v>
      </c>
      <c r="AL793" s="6">
        <f ca="1">IFERROR(__xludf.DUMMYFUNCTION("""COMPUTED_VALUE"""),9664.999)</f>
        <v>9664.9989999999998</v>
      </c>
      <c r="AP793" s="6" t="str">
        <f t="shared" ca="1" si="231"/>
        <v>20213</v>
      </c>
      <c r="AQ793" s="6">
        <f t="shared" ca="1" si="232"/>
        <v>2021</v>
      </c>
      <c r="AR793" s="6">
        <f t="shared" ca="1" si="233"/>
        <v>3</v>
      </c>
      <c r="AS793" s="68">
        <f ca="1">IFERROR(__xludf.DUMMYFUNCTION("""COMPUTED_VALUE"""),44258.9986111111)</f>
        <v>44258.998611111099</v>
      </c>
      <c r="AT793" s="6">
        <f ca="1">IFERROR(__xludf.DUMMYFUNCTION("""COMPUTED_VALUE"""),1715.8)</f>
        <v>1715.8</v>
      </c>
    </row>
    <row r="794" spans="2:46" x14ac:dyDescent="0.35">
      <c r="B794" s="6" t="str">
        <f t="shared" ca="1" si="216"/>
        <v>20212</v>
      </c>
      <c r="C794" s="6">
        <f t="shared" ca="1" si="217"/>
        <v>2021</v>
      </c>
      <c r="D794" s="6">
        <f t="shared" ca="1" si="218"/>
        <v>2</v>
      </c>
      <c r="E794" s="68">
        <f ca="1">IFERROR(__xludf.DUMMYFUNCTION("""COMPUTED_VALUE"""),44251.6666666666)</f>
        <v>44251.666666666599</v>
      </c>
      <c r="F794" s="6">
        <f ca="1">IFERROR(__xludf.DUMMYFUNCTION("""COMPUTED_VALUE"""),3925.43)</f>
        <v>3925.43</v>
      </c>
      <c r="J794" s="6" t="str">
        <f t="shared" ca="1" si="219"/>
        <v>20212</v>
      </c>
      <c r="K794" s="6">
        <f t="shared" ca="1" si="220"/>
        <v>2021</v>
      </c>
      <c r="L794" s="6">
        <f t="shared" ca="1" si="221"/>
        <v>2</v>
      </c>
      <c r="M794" s="68">
        <f ca="1">IFERROR(__xludf.DUMMYFUNCTION("""COMPUTED_VALUE"""),44244.6666666666)</f>
        <v>44244.666666666599</v>
      </c>
      <c r="N794" s="6">
        <f ca="1">IFERROR(__xludf.DUMMYFUNCTION("""COMPUTED_VALUE"""),13965.5)</f>
        <v>13965.5</v>
      </c>
      <c r="R794" s="6" t="str">
        <f t="shared" ca="1" si="222"/>
        <v>20213</v>
      </c>
      <c r="S794" s="6">
        <f t="shared" ca="1" si="223"/>
        <v>2021</v>
      </c>
      <c r="T794" s="6">
        <f t="shared" ca="1" si="224"/>
        <v>3</v>
      </c>
      <c r="U794" s="68">
        <f ca="1">IFERROR(__xludf.DUMMYFUNCTION("""COMPUTED_VALUE"""),44284.6458333333)</f>
        <v>44284.645833333299</v>
      </c>
      <c r="V794" s="6">
        <f ca="1">IFERROR(__xludf.DUMMYFUNCTION("""COMPUTED_VALUE"""),3036.04)</f>
        <v>3036.04</v>
      </c>
      <c r="Z794" s="6" t="str">
        <f t="shared" ca="1" si="225"/>
        <v>20204</v>
      </c>
      <c r="AA794" s="6">
        <f t="shared" ca="1" si="226"/>
        <v>2020</v>
      </c>
      <c r="AB794" s="6">
        <f t="shared" ca="1" si="227"/>
        <v>4</v>
      </c>
      <c r="AC794" s="68">
        <f ca="1">IFERROR(__xludf.DUMMYFUNCTION("""COMPUTED_VALUE"""),43933.9986111111)</f>
        <v>43933.998611111099</v>
      </c>
      <c r="AD794" s="6">
        <f ca="1">IFERROR(__xludf.DUMMYFUNCTION("""COMPUTED_VALUE"""),1211.04)</f>
        <v>1211.04</v>
      </c>
      <c r="AH794" s="6" t="str">
        <f t="shared" ca="1" si="228"/>
        <v>20202</v>
      </c>
      <c r="AI794" s="6">
        <f t="shared" ca="1" si="229"/>
        <v>2020</v>
      </c>
      <c r="AJ794" s="6">
        <f t="shared" ca="1" si="230"/>
        <v>2</v>
      </c>
      <c r="AK794" s="68">
        <f ca="1">IFERROR(__xludf.DUMMYFUNCTION("""COMPUTED_VALUE"""),43886.9986111111)</f>
        <v>43886.998611111099</v>
      </c>
      <c r="AL794" s="6">
        <f ca="1">IFERROR(__xludf.DUMMYFUNCTION("""COMPUTED_VALUE"""),9314.375)</f>
        <v>9314.375</v>
      </c>
      <c r="AP794" s="6" t="str">
        <f t="shared" ca="1" si="231"/>
        <v>20213</v>
      </c>
      <c r="AQ794" s="6">
        <f t="shared" ca="1" si="232"/>
        <v>2021</v>
      </c>
      <c r="AR794" s="6">
        <f t="shared" ca="1" si="233"/>
        <v>3</v>
      </c>
      <c r="AS794" s="68">
        <f ca="1">IFERROR(__xludf.DUMMYFUNCTION("""COMPUTED_VALUE"""),44259.9986111111)</f>
        <v>44259.998611111099</v>
      </c>
      <c r="AT794" s="6">
        <f ca="1">IFERROR(__xludf.DUMMYFUNCTION("""COMPUTED_VALUE"""),1700.7)</f>
        <v>1700.7</v>
      </c>
    </row>
    <row r="795" spans="2:46" x14ac:dyDescent="0.35">
      <c r="B795" s="6" t="str">
        <f t="shared" ca="1" si="216"/>
        <v>20212</v>
      </c>
      <c r="C795" s="6">
        <f t="shared" ca="1" si="217"/>
        <v>2021</v>
      </c>
      <c r="D795" s="6">
        <f t="shared" ca="1" si="218"/>
        <v>2</v>
      </c>
      <c r="E795" s="68">
        <f ca="1">IFERROR(__xludf.DUMMYFUNCTION("""COMPUTED_VALUE"""),44252.6666666666)</f>
        <v>44252.666666666599</v>
      </c>
      <c r="F795" s="6">
        <f ca="1">IFERROR(__xludf.DUMMYFUNCTION("""COMPUTED_VALUE"""),3829.34)</f>
        <v>3829.34</v>
      </c>
      <c r="J795" s="6" t="str">
        <f t="shared" ca="1" si="219"/>
        <v>20212</v>
      </c>
      <c r="K795" s="6">
        <f t="shared" ca="1" si="220"/>
        <v>2021</v>
      </c>
      <c r="L795" s="6">
        <f t="shared" ca="1" si="221"/>
        <v>2</v>
      </c>
      <c r="M795" s="68">
        <f ca="1">IFERROR(__xludf.DUMMYFUNCTION("""COMPUTED_VALUE"""),44245.6666666666)</f>
        <v>44245.666666666599</v>
      </c>
      <c r="N795" s="6">
        <f ca="1">IFERROR(__xludf.DUMMYFUNCTION("""COMPUTED_VALUE"""),13865.36)</f>
        <v>13865.36</v>
      </c>
      <c r="R795" s="6" t="str">
        <f t="shared" ca="1" si="222"/>
        <v>20213</v>
      </c>
      <c r="S795" s="6">
        <f t="shared" ca="1" si="223"/>
        <v>2021</v>
      </c>
      <c r="T795" s="6">
        <f t="shared" ca="1" si="224"/>
        <v>3</v>
      </c>
      <c r="U795" s="68">
        <f ca="1">IFERROR(__xludf.DUMMYFUNCTION("""COMPUTED_VALUE"""),44285.6458333333)</f>
        <v>44285.645833333299</v>
      </c>
      <c r="V795" s="6">
        <f ca="1">IFERROR(__xludf.DUMMYFUNCTION("""COMPUTED_VALUE"""),3070)</f>
        <v>3070</v>
      </c>
      <c r="Z795" s="6" t="str">
        <f t="shared" ca="1" si="225"/>
        <v>20204</v>
      </c>
      <c r="AA795" s="6">
        <f t="shared" ca="1" si="226"/>
        <v>2020</v>
      </c>
      <c r="AB795" s="6">
        <f t="shared" ca="1" si="227"/>
        <v>4</v>
      </c>
      <c r="AC795" s="68">
        <f ca="1">IFERROR(__xludf.DUMMYFUNCTION("""COMPUTED_VALUE"""),43934.9986111111)</f>
        <v>43934.998611111099</v>
      </c>
      <c r="AD795" s="6">
        <f ca="1">IFERROR(__xludf.DUMMYFUNCTION("""COMPUTED_VALUE"""),1213.9)</f>
        <v>1213.9000000000001</v>
      </c>
      <c r="AH795" s="6" t="str">
        <f t="shared" ca="1" si="228"/>
        <v>20202</v>
      </c>
      <c r="AI795" s="6">
        <f t="shared" ca="1" si="229"/>
        <v>2020</v>
      </c>
      <c r="AJ795" s="6">
        <f t="shared" ca="1" si="230"/>
        <v>2</v>
      </c>
      <c r="AK795" s="68">
        <f ca="1">IFERROR(__xludf.DUMMYFUNCTION("""COMPUTED_VALUE"""),43887.9986111111)</f>
        <v>43887.998611111099</v>
      </c>
      <c r="AL795" s="6">
        <f ca="1">IFERROR(__xludf.DUMMYFUNCTION("""COMPUTED_VALUE"""),8788.837)</f>
        <v>8788.8369999999995</v>
      </c>
      <c r="AP795" s="6" t="str">
        <f t="shared" ca="1" si="231"/>
        <v>20213</v>
      </c>
      <c r="AQ795" s="6">
        <f t="shared" ca="1" si="232"/>
        <v>2021</v>
      </c>
      <c r="AR795" s="6">
        <f t="shared" ca="1" si="233"/>
        <v>3</v>
      </c>
      <c r="AS795" s="68">
        <f ca="1">IFERROR(__xludf.DUMMYFUNCTION("""COMPUTED_VALUE"""),44260.9986111111)</f>
        <v>44260.998611111099</v>
      </c>
      <c r="AT795" s="6">
        <f ca="1">IFERROR(__xludf.DUMMYFUNCTION("""COMPUTED_VALUE"""),1698.5)</f>
        <v>1698.5</v>
      </c>
    </row>
    <row r="796" spans="2:46" x14ac:dyDescent="0.35">
      <c r="B796" s="6" t="str">
        <f t="shared" ca="1" si="216"/>
        <v>20212</v>
      </c>
      <c r="C796" s="6">
        <f t="shared" ca="1" si="217"/>
        <v>2021</v>
      </c>
      <c r="D796" s="6">
        <f t="shared" ca="1" si="218"/>
        <v>2</v>
      </c>
      <c r="E796" s="68">
        <f ca="1">IFERROR(__xludf.DUMMYFUNCTION("""COMPUTED_VALUE"""),44253.6666666666)</f>
        <v>44253.666666666599</v>
      </c>
      <c r="F796" s="6">
        <f ca="1">IFERROR(__xludf.DUMMYFUNCTION("""COMPUTED_VALUE"""),3811.15)</f>
        <v>3811.15</v>
      </c>
      <c r="J796" s="6" t="str">
        <f t="shared" ca="1" si="219"/>
        <v>20212</v>
      </c>
      <c r="K796" s="6">
        <f t="shared" ca="1" si="220"/>
        <v>2021</v>
      </c>
      <c r="L796" s="6">
        <f t="shared" ca="1" si="221"/>
        <v>2</v>
      </c>
      <c r="M796" s="68">
        <f ca="1">IFERROR(__xludf.DUMMYFUNCTION("""COMPUTED_VALUE"""),44246.6666666666)</f>
        <v>44246.666666666599</v>
      </c>
      <c r="N796" s="6">
        <f ca="1">IFERROR(__xludf.DUMMYFUNCTION("""COMPUTED_VALUE"""),13874.46)</f>
        <v>13874.46</v>
      </c>
      <c r="R796" s="6" t="str">
        <f t="shared" ca="1" si="222"/>
        <v>20213</v>
      </c>
      <c r="S796" s="6">
        <f t="shared" ca="1" si="223"/>
        <v>2021</v>
      </c>
      <c r="T796" s="6">
        <f t="shared" ca="1" si="224"/>
        <v>3</v>
      </c>
      <c r="U796" s="68">
        <f ca="1">IFERROR(__xludf.DUMMYFUNCTION("""COMPUTED_VALUE"""),44286.6458333333)</f>
        <v>44286.645833333299</v>
      </c>
      <c r="V796" s="6">
        <f ca="1">IFERROR(__xludf.DUMMYFUNCTION("""COMPUTED_VALUE"""),3061.42)</f>
        <v>3061.42</v>
      </c>
      <c r="Z796" s="6" t="str">
        <f t="shared" ca="1" si="225"/>
        <v>20204</v>
      </c>
      <c r="AA796" s="6">
        <f t="shared" ca="1" si="226"/>
        <v>2020</v>
      </c>
      <c r="AB796" s="6">
        <f t="shared" ca="1" si="227"/>
        <v>4</v>
      </c>
      <c r="AC796" s="68">
        <f ca="1">IFERROR(__xludf.DUMMYFUNCTION("""COMPUTED_VALUE"""),43935.9986111111)</f>
        <v>43935.998611111099</v>
      </c>
      <c r="AD796" s="6">
        <f ca="1">IFERROR(__xludf.DUMMYFUNCTION("""COMPUTED_VALUE"""),1212.38)</f>
        <v>1212.3800000000001</v>
      </c>
      <c r="AH796" s="6" t="str">
        <f t="shared" ca="1" si="228"/>
        <v>20202</v>
      </c>
      <c r="AI796" s="6">
        <f t="shared" ca="1" si="229"/>
        <v>2020</v>
      </c>
      <c r="AJ796" s="6">
        <f t="shared" ca="1" si="230"/>
        <v>2</v>
      </c>
      <c r="AK796" s="68">
        <f ca="1">IFERROR(__xludf.DUMMYFUNCTION("""COMPUTED_VALUE"""),43888.9986111111)</f>
        <v>43888.998611111099</v>
      </c>
      <c r="AL796" s="6">
        <f ca="1">IFERROR(__xludf.DUMMYFUNCTION("""COMPUTED_VALUE"""),8803.93)</f>
        <v>8803.93</v>
      </c>
      <c r="AP796" s="6" t="str">
        <f t="shared" ca="1" si="231"/>
        <v>20213</v>
      </c>
      <c r="AQ796" s="6">
        <f t="shared" ca="1" si="232"/>
        <v>2021</v>
      </c>
      <c r="AR796" s="6">
        <f t="shared" ca="1" si="233"/>
        <v>3</v>
      </c>
      <c r="AS796" s="68">
        <f ca="1">IFERROR(__xludf.DUMMYFUNCTION("""COMPUTED_VALUE"""),44263.9986111111)</f>
        <v>44263.998611111099</v>
      </c>
      <c r="AT796" s="6">
        <f ca="1">IFERROR(__xludf.DUMMYFUNCTION("""COMPUTED_VALUE"""),1678)</f>
        <v>1678</v>
      </c>
    </row>
    <row r="797" spans="2:46" x14ac:dyDescent="0.35">
      <c r="B797" s="6" t="str">
        <f t="shared" ca="1" si="216"/>
        <v>20213</v>
      </c>
      <c r="C797" s="6">
        <f t="shared" ca="1" si="217"/>
        <v>2021</v>
      </c>
      <c r="D797" s="6">
        <f t="shared" ca="1" si="218"/>
        <v>3</v>
      </c>
      <c r="E797" s="68">
        <f ca="1">IFERROR(__xludf.DUMMYFUNCTION("""COMPUTED_VALUE"""),44256.6666666666)</f>
        <v>44256.666666666599</v>
      </c>
      <c r="F797" s="6">
        <f ca="1">IFERROR(__xludf.DUMMYFUNCTION("""COMPUTED_VALUE"""),3901.82)</f>
        <v>3901.82</v>
      </c>
      <c r="J797" s="6" t="str">
        <f t="shared" ca="1" si="219"/>
        <v>20212</v>
      </c>
      <c r="K797" s="6">
        <f t="shared" ca="1" si="220"/>
        <v>2021</v>
      </c>
      <c r="L797" s="6">
        <f t="shared" ca="1" si="221"/>
        <v>2</v>
      </c>
      <c r="M797" s="68">
        <f ca="1">IFERROR(__xludf.DUMMYFUNCTION("""COMPUTED_VALUE"""),44249.6666666666)</f>
        <v>44249.666666666599</v>
      </c>
      <c r="N797" s="6">
        <f ca="1">IFERROR(__xludf.DUMMYFUNCTION("""COMPUTED_VALUE"""),13533.05)</f>
        <v>13533.05</v>
      </c>
      <c r="R797" s="6" t="str">
        <f t="shared" ca="1" si="222"/>
        <v>20214</v>
      </c>
      <c r="S797" s="6">
        <f t="shared" ca="1" si="223"/>
        <v>2021</v>
      </c>
      <c r="T797" s="6">
        <f t="shared" ca="1" si="224"/>
        <v>4</v>
      </c>
      <c r="U797" s="68">
        <f ca="1">IFERROR(__xludf.DUMMYFUNCTION("""COMPUTED_VALUE"""),44287.6458333333)</f>
        <v>44287.645833333299</v>
      </c>
      <c r="V797" s="6">
        <f ca="1">IFERROR(__xludf.DUMMYFUNCTION("""COMPUTED_VALUE"""),3087.4)</f>
        <v>3087.4</v>
      </c>
      <c r="Z797" s="6" t="str">
        <f t="shared" ca="1" si="225"/>
        <v>20204</v>
      </c>
      <c r="AA797" s="6">
        <f t="shared" ca="1" si="226"/>
        <v>2020</v>
      </c>
      <c r="AB797" s="6">
        <f t="shared" ca="1" si="227"/>
        <v>4</v>
      </c>
      <c r="AC797" s="68">
        <f ca="1">IFERROR(__xludf.DUMMYFUNCTION("""COMPUTED_VALUE"""),43936.9986111111)</f>
        <v>43936.998611111099</v>
      </c>
      <c r="AD797" s="6">
        <f ca="1">IFERROR(__xludf.DUMMYFUNCTION("""COMPUTED_VALUE"""),1222.55)</f>
        <v>1222.55</v>
      </c>
      <c r="AH797" s="6" t="str">
        <f t="shared" ca="1" si="228"/>
        <v>20202</v>
      </c>
      <c r="AI797" s="6">
        <f t="shared" ca="1" si="229"/>
        <v>2020</v>
      </c>
      <c r="AJ797" s="6">
        <f t="shared" ca="1" si="230"/>
        <v>2</v>
      </c>
      <c r="AK797" s="68">
        <f ca="1">IFERROR(__xludf.DUMMYFUNCTION("""COMPUTED_VALUE"""),43889.9986111111)</f>
        <v>43889.998611111099</v>
      </c>
      <c r="AL797" s="6">
        <f ca="1">IFERROR(__xludf.DUMMYFUNCTION("""COMPUTED_VALUE"""),8712.536)</f>
        <v>8712.5360000000001</v>
      </c>
      <c r="AP797" s="6" t="str">
        <f t="shared" ca="1" si="231"/>
        <v>20213</v>
      </c>
      <c r="AQ797" s="6">
        <f t="shared" ca="1" si="232"/>
        <v>2021</v>
      </c>
      <c r="AR797" s="6">
        <f t="shared" ca="1" si="233"/>
        <v>3</v>
      </c>
      <c r="AS797" s="68">
        <f ca="1">IFERROR(__xludf.DUMMYFUNCTION("""COMPUTED_VALUE"""),44264.9986111111)</f>
        <v>44264.998611111099</v>
      </c>
      <c r="AT797" s="6">
        <f ca="1">IFERROR(__xludf.DUMMYFUNCTION("""COMPUTED_VALUE"""),1716.9)</f>
        <v>1716.9</v>
      </c>
    </row>
    <row r="798" spans="2:46" x14ac:dyDescent="0.35">
      <c r="B798" s="6" t="str">
        <f t="shared" ca="1" si="216"/>
        <v>20213</v>
      </c>
      <c r="C798" s="6">
        <f t="shared" ca="1" si="217"/>
        <v>2021</v>
      </c>
      <c r="D798" s="6">
        <f t="shared" ca="1" si="218"/>
        <v>3</v>
      </c>
      <c r="E798" s="68">
        <f ca="1">IFERROR(__xludf.DUMMYFUNCTION("""COMPUTED_VALUE"""),44257.6666666666)</f>
        <v>44257.666666666599</v>
      </c>
      <c r="F798" s="6">
        <f ca="1">IFERROR(__xludf.DUMMYFUNCTION("""COMPUTED_VALUE"""),3870.29)</f>
        <v>3870.29</v>
      </c>
      <c r="J798" s="6" t="str">
        <f t="shared" ca="1" si="219"/>
        <v>20212</v>
      </c>
      <c r="K798" s="6">
        <f t="shared" ca="1" si="220"/>
        <v>2021</v>
      </c>
      <c r="L798" s="6">
        <f t="shared" ca="1" si="221"/>
        <v>2</v>
      </c>
      <c r="M798" s="68">
        <f ca="1">IFERROR(__xludf.DUMMYFUNCTION("""COMPUTED_VALUE"""),44250.6666666666)</f>
        <v>44250.666666666599</v>
      </c>
      <c r="N798" s="6">
        <f ca="1">IFERROR(__xludf.DUMMYFUNCTION("""COMPUTED_VALUE"""),13465.2)</f>
        <v>13465.2</v>
      </c>
      <c r="R798" s="6" t="str">
        <f t="shared" ca="1" si="222"/>
        <v>20214</v>
      </c>
      <c r="S798" s="6">
        <f t="shared" ca="1" si="223"/>
        <v>2021</v>
      </c>
      <c r="T798" s="6">
        <f t="shared" ca="1" si="224"/>
        <v>4</v>
      </c>
      <c r="U798" s="68">
        <f ca="1">IFERROR(__xludf.DUMMYFUNCTION("""COMPUTED_VALUE"""),44288.6458333333)</f>
        <v>44288.645833333299</v>
      </c>
      <c r="V798" s="6">
        <f ca="1">IFERROR(__xludf.DUMMYFUNCTION("""COMPUTED_VALUE"""),3112.8)</f>
        <v>3112.8</v>
      </c>
      <c r="Z798" s="6" t="str">
        <f t="shared" ca="1" si="225"/>
        <v>20204</v>
      </c>
      <c r="AA798" s="6">
        <f t="shared" ca="1" si="226"/>
        <v>2020</v>
      </c>
      <c r="AB798" s="6">
        <f t="shared" ca="1" si="227"/>
        <v>4</v>
      </c>
      <c r="AC798" s="68">
        <f ca="1">IFERROR(__xludf.DUMMYFUNCTION("""COMPUTED_VALUE"""),43937.9986111111)</f>
        <v>43937.998611111099</v>
      </c>
      <c r="AD798" s="6">
        <f ca="1">IFERROR(__xludf.DUMMYFUNCTION("""COMPUTED_VALUE"""),1226.64)</f>
        <v>1226.6400000000001</v>
      </c>
      <c r="AH798" s="6" t="str">
        <f t="shared" ca="1" si="228"/>
        <v>20202</v>
      </c>
      <c r="AI798" s="6">
        <f t="shared" ca="1" si="229"/>
        <v>2020</v>
      </c>
      <c r="AJ798" s="6">
        <f t="shared" ca="1" si="230"/>
        <v>2</v>
      </c>
      <c r="AK798" s="68">
        <f ca="1">IFERROR(__xludf.DUMMYFUNCTION("""COMPUTED_VALUE"""),43890.9986111111)</f>
        <v>43890.998611111099</v>
      </c>
      <c r="AL798" s="6">
        <f ca="1">IFERROR(__xludf.DUMMYFUNCTION("""COMPUTED_VALUE"""),8531.393)</f>
        <v>8531.393</v>
      </c>
      <c r="AP798" s="6" t="str">
        <f t="shared" ca="1" si="231"/>
        <v>20213</v>
      </c>
      <c r="AQ798" s="6">
        <f t="shared" ca="1" si="232"/>
        <v>2021</v>
      </c>
      <c r="AR798" s="6">
        <f t="shared" ca="1" si="233"/>
        <v>3</v>
      </c>
      <c r="AS798" s="68">
        <f ca="1">IFERROR(__xludf.DUMMYFUNCTION("""COMPUTED_VALUE"""),44265.9986111111)</f>
        <v>44265.998611111099</v>
      </c>
      <c r="AT798" s="6">
        <f ca="1">IFERROR(__xludf.DUMMYFUNCTION("""COMPUTED_VALUE"""),1721.8)</f>
        <v>1721.8</v>
      </c>
    </row>
    <row r="799" spans="2:46" x14ac:dyDescent="0.35">
      <c r="B799" s="6" t="str">
        <f t="shared" ca="1" si="216"/>
        <v>20213</v>
      </c>
      <c r="C799" s="6">
        <f t="shared" ca="1" si="217"/>
        <v>2021</v>
      </c>
      <c r="D799" s="6">
        <f t="shared" ca="1" si="218"/>
        <v>3</v>
      </c>
      <c r="E799" s="68">
        <f ca="1">IFERROR(__xludf.DUMMYFUNCTION("""COMPUTED_VALUE"""),44258.6666666666)</f>
        <v>44258.666666666599</v>
      </c>
      <c r="F799" s="6">
        <f ca="1">IFERROR(__xludf.DUMMYFUNCTION("""COMPUTED_VALUE"""),3819.72)</f>
        <v>3819.72</v>
      </c>
      <c r="J799" s="6" t="str">
        <f t="shared" ca="1" si="219"/>
        <v>20212</v>
      </c>
      <c r="K799" s="6">
        <f t="shared" ca="1" si="220"/>
        <v>2021</v>
      </c>
      <c r="L799" s="6">
        <f t="shared" ca="1" si="221"/>
        <v>2</v>
      </c>
      <c r="M799" s="68">
        <f ca="1">IFERROR(__xludf.DUMMYFUNCTION("""COMPUTED_VALUE"""),44251.6666666666)</f>
        <v>44251.666666666599</v>
      </c>
      <c r="N799" s="6">
        <f ca="1">IFERROR(__xludf.DUMMYFUNCTION("""COMPUTED_VALUE"""),13597.97)</f>
        <v>13597.97</v>
      </c>
      <c r="R799" s="6" t="str">
        <f t="shared" ca="1" si="222"/>
        <v>20214</v>
      </c>
      <c r="S799" s="6">
        <f t="shared" ca="1" si="223"/>
        <v>2021</v>
      </c>
      <c r="T799" s="6">
        <f t="shared" ca="1" si="224"/>
        <v>4</v>
      </c>
      <c r="U799" s="68">
        <f ca="1">IFERROR(__xludf.DUMMYFUNCTION("""COMPUTED_VALUE"""),44291.6458333333)</f>
        <v>44291.645833333299</v>
      </c>
      <c r="V799" s="6">
        <f ca="1">IFERROR(__xludf.DUMMYFUNCTION("""COMPUTED_VALUE"""),3120.83)</f>
        <v>3120.83</v>
      </c>
      <c r="Z799" s="6" t="str">
        <f t="shared" ca="1" si="225"/>
        <v>20204</v>
      </c>
      <c r="AA799" s="6">
        <f t="shared" ca="1" si="226"/>
        <v>2020</v>
      </c>
      <c r="AB799" s="6">
        <f t="shared" ca="1" si="227"/>
        <v>4</v>
      </c>
      <c r="AC799" s="68">
        <f ca="1">IFERROR(__xludf.DUMMYFUNCTION("""COMPUTED_VALUE"""),43938.9986111111)</f>
        <v>43938.998611111099</v>
      </c>
      <c r="AD799" s="6">
        <f ca="1">IFERROR(__xludf.DUMMYFUNCTION("""COMPUTED_VALUE"""),1215.16)</f>
        <v>1215.1600000000001</v>
      </c>
      <c r="AH799" s="6" t="str">
        <f t="shared" ca="1" si="228"/>
        <v>20203</v>
      </c>
      <c r="AI799" s="6">
        <f t="shared" ca="1" si="229"/>
        <v>2020</v>
      </c>
      <c r="AJ799" s="6">
        <f t="shared" ca="1" si="230"/>
        <v>3</v>
      </c>
      <c r="AK799" s="68">
        <f ca="1">IFERROR(__xludf.DUMMYFUNCTION("""COMPUTED_VALUE"""),43891.9986111111)</f>
        <v>43891.998611111099</v>
      </c>
      <c r="AL799" s="6">
        <f ca="1">IFERROR(__xludf.DUMMYFUNCTION("""COMPUTED_VALUE"""),8537.956)</f>
        <v>8537.9560000000001</v>
      </c>
      <c r="AP799" s="6" t="str">
        <f t="shared" ca="1" si="231"/>
        <v>20213</v>
      </c>
      <c r="AQ799" s="6">
        <f t="shared" ca="1" si="232"/>
        <v>2021</v>
      </c>
      <c r="AR799" s="6">
        <f t="shared" ca="1" si="233"/>
        <v>3</v>
      </c>
      <c r="AS799" s="68">
        <f ca="1">IFERROR(__xludf.DUMMYFUNCTION("""COMPUTED_VALUE"""),44266.9986111111)</f>
        <v>44266.998611111099</v>
      </c>
      <c r="AT799" s="6">
        <f ca="1">IFERROR(__xludf.DUMMYFUNCTION("""COMPUTED_VALUE"""),1722.6)</f>
        <v>1722.6</v>
      </c>
    </row>
    <row r="800" spans="2:46" x14ac:dyDescent="0.35">
      <c r="B800" s="6" t="str">
        <f t="shared" ca="1" si="216"/>
        <v>20213</v>
      </c>
      <c r="C800" s="6">
        <f t="shared" ca="1" si="217"/>
        <v>2021</v>
      </c>
      <c r="D800" s="6">
        <f t="shared" ca="1" si="218"/>
        <v>3</v>
      </c>
      <c r="E800" s="68">
        <f ca="1">IFERROR(__xludf.DUMMYFUNCTION("""COMPUTED_VALUE"""),44259.6666666666)</f>
        <v>44259.666666666599</v>
      </c>
      <c r="F800" s="6">
        <f ca="1">IFERROR(__xludf.DUMMYFUNCTION("""COMPUTED_VALUE"""),3768.47)</f>
        <v>3768.47</v>
      </c>
      <c r="J800" s="6" t="str">
        <f t="shared" ca="1" si="219"/>
        <v>20212</v>
      </c>
      <c r="K800" s="6">
        <f t="shared" ca="1" si="220"/>
        <v>2021</v>
      </c>
      <c r="L800" s="6">
        <f t="shared" ca="1" si="221"/>
        <v>2</v>
      </c>
      <c r="M800" s="68">
        <f ca="1">IFERROR(__xludf.DUMMYFUNCTION("""COMPUTED_VALUE"""),44252.6666666666)</f>
        <v>44252.666666666599</v>
      </c>
      <c r="N800" s="6">
        <f ca="1">IFERROR(__xludf.DUMMYFUNCTION("""COMPUTED_VALUE"""),13119.43)</f>
        <v>13119.43</v>
      </c>
      <c r="R800" s="6" t="str">
        <f t="shared" ca="1" si="222"/>
        <v>20214</v>
      </c>
      <c r="S800" s="6">
        <f t="shared" ca="1" si="223"/>
        <v>2021</v>
      </c>
      <c r="T800" s="6">
        <f t="shared" ca="1" si="224"/>
        <v>4</v>
      </c>
      <c r="U800" s="68">
        <f ca="1">IFERROR(__xludf.DUMMYFUNCTION("""COMPUTED_VALUE"""),44292.6458333333)</f>
        <v>44292.645833333299</v>
      </c>
      <c r="V800" s="6">
        <f ca="1">IFERROR(__xludf.DUMMYFUNCTION("""COMPUTED_VALUE"""),3127.08)</f>
        <v>3127.08</v>
      </c>
      <c r="Z800" s="6" t="str">
        <f t="shared" ca="1" si="225"/>
        <v>20204</v>
      </c>
      <c r="AA800" s="6">
        <f t="shared" ca="1" si="226"/>
        <v>2020</v>
      </c>
      <c r="AB800" s="6">
        <f t="shared" ca="1" si="227"/>
        <v>4</v>
      </c>
      <c r="AC800" s="68">
        <f ca="1">IFERROR(__xludf.DUMMYFUNCTION("""COMPUTED_VALUE"""),43939.9986111111)</f>
        <v>43939.998611111099</v>
      </c>
      <c r="AD800" s="6">
        <f ca="1">IFERROR(__xludf.DUMMYFUNCTION("""COMPUTED_VALUE"""),1214.76)</f>
        <v>1214.76</v>
      </c>
      <c r="AH800" s="6" t="str">
        <f t="shared" ca="1" si="228"/>
        <v>20203</v>
      </c>
      <c r="AI800" s="6">
        <f t="shared" ca="1" si="229"/>
        <v>2020</v>
      </c>
      <c r="AJ800" s="6">
        <f t="shared" ca="1" si="230"/>
        <v>3</v>
      </c>
      <c r="AK800" s="68">
        <f ca="1">IFERROR(__xludf.DUMMYFUNCTION("""COMPUTED_VALUE"""),43892.9986111111)</f>
        <v>43892.998611111099</v>
      </c>
      <c r="AL800" s="6">
        <f ca="1">IFERROR(__xludf.DUMMYFUNCTION("""COMPUTED_VALUE"""),8920.73)</f>
        <v>8920.73</v>
      </c>
      <c r="AP800" s="6" t="str">
        <f t="shared" ca="1" si="231"/>
        <v>20213</v>
      </c>
      <c r="AQ800" s="6">
        <f t="shared" ca="1" si="232"/>
        <v>2021</v>
      </c>
      <c r="AR800" s="6">
        <f t="shared" ca="1" si="233"/>
        <v>3</v>
      </c>
      <c r="AS800" s="68">
        <f ca="1">IFERROR(__xludf.DUMMYFUNCTION("""COMPUTED_VALUE"""),44267.9986111111)</f>
        <v>44267.998611111099</v>
      </c>
      <c r="AT800" s="6">
        <f ca="1">IFERROR(__xludf.DUMMYFUNCTION("""COMPUTED_VALUE"""),1719.8)</f>
        <v>1719.8</v>
      </c>
    </row>
    <row r="801" spans="2:46" x14ac:dyDescent="0.35">
      <c r="B801" s="6" t="str">
        <f t="shared" ca="1" si="216"/>
        <v>20213</v>
      </c>
      <c r="C801" s="6">
        <f t="shared" ca="1" si="217"/>
        <v>2021</v>
      </c>
      <c r="D801" s="6">
        <f t="shared" ca="1" si="218"/>
        <v>3</v>
      </c>
      <c r="E801" s="68">
        <f ca="1">IFERROR(__xludf.DUMMYFUNCTION("""COMPUTED_VALUE"""),44260.6666666666)</f>
        <v>44260.666666666599</v>
      </c>
      <c r="F801" s="6">
        <f ca="1">IFERROR(__xludf.DUMMYFUNCTION("""COMPUTED_VALUE"""),3841.94)</f>
        <v>3841.94</v>
      </c>
      <c r="J801" s="6" t="str">
        <f t="shared" ca="1" si="219"/>
        <v>20212</v>
      </c>
      <c r="K801" s="6">
        <f t="shared" ca="1" si="220"/>
        <v>2021</v>
      </c>
      <c r="L801" s="6">
        <f t="shared" ca="1" si="221"/>
        <v>2</v>
      </c>
      <c r="M801" s="68">
        <f ca="1">IFERROR(__xludf.DUMMYFUNCTION("""COMPUTED_VALUE"""),44253.6666666666)</f>
        <v>44253.666666666599</v>
      </c>
      <c r="N801" s="6">
        <f ca="1">IFERROR(__xludf.DUMMYFUNCTION("""COMPUTED_VALUE"""),13192.35)</f>
        <v>13192.35</v>
      </c>
      <c r="R801" s="6" t="str">
        <f t="shared" ca="1" si="222"/>
        <v>20214</v>
      </c>
      <c r="S801" s="6">
        <f t="shared" ca="1" si="223"/>
        <v>2021</v>
      </c>
      <c r="T801" s="6">
        <f t="shared" ca="1" si="224"/>
        <v>4</v>
      </c>
      <c r="U801" s="68">
        <f ca="1">IFERROR(__xludf.DUMMYFUNCTION("""COMPUTED_VALUE"""),44293.6458333333)</f>
        <v>44293.645833333299</v>
      </c>
      <c r="V801" s="6">
        <f ca="1">IFERROR(__xludf.DUMMYFUNCTION("""COMPUTED_VALUE"""),3137.41)</f>
        <v>3137.41</v>
      </c>
      <c r="Z801" s="6" t="str">
        <f t="shared" ca="1" si="225"/>
        <v>20204</v>
      </c>
      <c r="AA801" s="6">
        <f t="shared" ca="1" si="226"/>
        <v>2020</v>
      </c>
      <c r="AB801" s="6">
        <f t="shared" ca="1" si="227"/>
        <v>4</v>
      </c>
      <c r="AC801" s="68">
        <f ca="1">IFERROR(__xludf.DUMMYFUNCTION("""COMPUTED_VALUE"""),43940.9986111111)</f>
        <v>43940.998611111099</v>
      </c>
      <c r="AD801" s="6">
        <f ca="1">IFERROR(__xludf.DUMMYFUNCTION("""COMPUTED_VALUE"""),1215.26)</f>
        <v>1215.26</v>
      </c>
      <c r="AH801" s="6" t="str">
        <f t="shared" ca="1" si="228"/>
        <v>20203</v>
      </c>
      <c r="AI801" s="6">
        <f t="shared" ca="1" si="229"/>
        <v>2020</v>
      </c>
      <c r="AJ801" s="6">
        <f t="shared" ca="1" si="230"/>
        <v>3</v>
      </c>
      <c r="AK801" s="68">
        <f ca="1">IFERROR(__xludf.DUMMYFUNCTION("""COMPUTED_VALUE"""),43893.9986111111)</f>
        <v>43893.998611111099</v>
      </c>
      <c r="AL801" s="6">
        <f ca="1">IFERROR(__xludf.DUMMYFUNCTION("""COMPUTED_VALUE"""),8765.653)</f>
        <v>8765.6530000000002</v>
      </c>
      <c r="AP801" s="6" t="str">
        <f t="shared" ca="1" si="231"/>
        <v>20213</v>
      </c>
      <c r="AQ801" s="6">
        <f t="shared" ca="1" si="232"/>
        <v>2021</v>
      </c>
      <c r="AR801" s="6">
        <f t="shared" ca="1" si="233"/>
        <v>3</v>
      </c>
      <c r="AS801" s="68">
        <f ca="1">IFERROR(__xludf.DUMMYFUNCTION("""COMPUTED_VALUE"""),44270.9986111111)</f>
        <v>44270.998611111099</v>
      </c>
      <c r="AT801" s="6">
        <f ca="1">IFERROR(__xludf.DUMMYFUNCTION("""COMPUTED_VALUE"""),1729.2)</f>
        <v>1729.2</v>
      </c>
    </row>
    <row r="802" spans="2:46" x14ac:dyDescent="0.35">
      <c r="B802" s="6" t="str">
        <f t="shared" ca="1" si="216"/>
        <v>20213</v>
      </c>
      <c r="C802" s="6">
        <f t="shared" ca="1" si="217"/>
        <v>2021</v>
      </c>
      <c r="D802" s="6">
        <f t="shared" ca="1" si="218"/>
        <v>3</v>
      </c>
      <c r="E802" s="68">
        <f ca="1">IFERROR(__xludf.DUMMYFUNCTION("""COMPUTED_VALUE"""),44263.6666666666)</f>
        <v>44263.666666666599</v>
      </c>
      <c r="F802" s="6">
        <f ca="1">IFERROR(__xludf.DUMMYFUNCTION("""COMPUTED_VALUE"""),3821.35)</f>
        <v>3821.35</v>
      </c>
      <c r="J802" s="6" t="str">
        <f t="shared" ca="1" si="219"/>
        <v>20213</v>
      </c>
      <c r="K802" s="6">
        <f t="shared" ca="1" si="220"/>
        <v>2021</v>
      </c>
      <c r="L802" s="6">
        <f t="shared" ca="1" si="221"/>
        <v>3</v>
      </c>
      <c r="M802" s="68">
        <f ca="1">IFERROR(__xludf.DUMMYFUNCTION("""COMPUTED_VALUE"""),44256.6666666666)</f>
        <v>44256.666666666599</v>
      </c>
      <c r="N802" s="6">
        <f ca="1">IFERROR(__xludf.DUMMYFUNCTION("""COMPUTED_VALUE"""),13588.83)</f>
        <v>13588.83</v>
      </c>
      <c r="R802" s="6" t="str">
        <f t="shared" ca="1" si="222"/>
        <v>20214</v>
      </c>
      <c r="S802" s="6">
        <f t="shared" ca="1" si="223"/>
        <v>2021</v>
      </c>
      <c r="T802" s="6">
        <f t="shared" ca="1" si="224"/>
        <v>4</v>
      </c>
      <c r="U802" s="68">
        <f ca="1">IFERROR(__xludf.DUMMYFUNCTION("""COMPUTED_VALUE"""),44294.6458333333)</f>
        <v>44294.645833333299</v>
      </c>
      <c r="V802" s="6">
        <f ca="1">IFERROR(__xludf.DUMMYFUNCTION("""COMPUTED_VALUE"""),3143.26)</f>
        <v>3143.26</v>
      </c>
      <c r="Z802" s="6" t="str">
        <f t="shared" ca="1" si="225"/>
        <v>20204</v>
      </c>
      <c r="AA802" s="6">
        <f t="shared" ca="1" si="226"/>
        <v>2020</v>
      </c>
      <c r="AB802" s="6">
        <f t="shared" ca="1" si="227"/>
        <v>4</v>
      </c>
      <c r="AC802" s="68">
        <f ca="1">IFERROR(__xludf.DUMMYFUNCTION("""COMPUTED_VALUE"""),43941.9986111111)</f>
        <v>43941.998611111099</v>
      </c>
      <c r="AD802" s="6">
        <f ca="1">IFERROR(__xludf.DUMMYFUNCTION("""COMPUTED_VALUE"""),1218.1)</f>
        <v>1218.0999999999999</v>
      </c>
      <c r="AH802" s="6" t="str">
        <f t="shared" ca="1" si="228"/>
        <v>20203</v>
      </c>
      <c r="AI802" s="6">
        <f t="shared" ca="1" si="229"/>
        <v>2020</v>
      </c>
      <c r="AJ802" s="6">
        <f t="shared" ca="1" si="230"/>
        <v>3</v>
      </c>
      <c r="AK802" s="68">
        <f ca="1">IFERROR(__xludf.DUMMYFUNCTION("""COMPUTED_VALUE"""),43894.9986111111)</f>
        <v>43894.998611111099</v>
      </c>
      <c r="AL802" s="6">
        <f ca="1">IFERROR(__xludf.DUMMYFUNCTION("""COMPUTED_VALUE"""),8768.155)</f>
        <v>8768.1550000000007</v>
      </c>
      <c r="AP802" s="6" t="str">
        <f t="shared" ca="1" si="231"/>
        <v>20213</v>
      </c>
      <c r="AQ802" s="6">
        <f t="shared" ca="1" si="232"/>
        <v>2021</v>
      </c>
      <c r="AR802" s="6">
        <f t="shared" ca="1" si="233"/>
        <v>3</v>
      </c>
      <c r="AS802" s="68">
        <f ca="1">IFERROR(__xludf.DUMMYFUNCTION("""COMPUTED_VALUE"""),44271.9986111111)</f>
        <v>44271.998611111099</v>
      </c>
      <c r="AT802" s="6">
        <f ca="1">IFERROR(__xludf.DUMMYFUNCTION("""COMPUTED_VALUE"""),1730.9)</f>
        <v>1730.9</v>
      </c>
    </row>
    <row r="803" spans="2:46" x14ac:dyDescent="0.35">
      <c r="B803" s="6" t="str">
        <f t="shared" ca="1" si="216"/>
        <v>20213</v>
      </c>
      <c r="C803" s="6">
        <f t="shared" ca="1" si="217"/>
        <v>2021</v>
      </c>
      <c r="D803" s="6">
        <f t="shared" ca="1" si="218"/>
        <v>3</v>
      </c>
      <c r="E803" s="68">
        <f ca="1">IFERROR(__xludf.DUMMYFUNCTION("""COMPUTED_VALUE"""),44264.6666666666)</f>
        <v>44264.666666666599</v>
      </c>
      <c r="F803" s="6">
        <f ca="1">IFERROR(__xludf.DUMMYFUNCTION("""COMPUTED_VALUE"""),3875.44)</f>
        <v>3875.44</v>
      </c>
      <c r="J803" s="6" t="str">
        <f t="shared" ca="1" si="219"/>
        <v>20213</v>
      </c>
      <c r="K803" s="6">
        <f t="shared" ca="1" si="220"/>
        <v>2021</v>
      </c>
      <c r="L803" s="6">
        <f t="shared" ca="1" si="221"/>
        <v>3</v>
      </c>
      <c r="M803" s="68">
        <f ca="1">IFERROR(__xludf.DUMMYFUNCTION("""COMPUTED_VALUE"""),44257.6666666666)</f>
        <v>44257.666666666599</v>
      </c>
      <c r="N803" s="6">
        <f ca="1">IFERROR(__xludf.DUMMYFUNCTION("""COMPUTED_VALUE"""),13358.79)</f>
        <v>13358.79</v>
      </c>
      <c r="R803" s="6" t="str">
        <f t="shared" ca="1" si="222"/>
        <v>20214</v>
      </c>
      <c r="S803" s="6">
        <f t="shared" ca="1" si="223"/>
        <v>2021</v>
      </c>
      <c r="T803" s="6">
        <f t="shared" ca="1" si="224"/>
        <v>4</v>
      </c>
      <c r="U803" s="68">
        <f ca="1">IFERROR(__xludf.DUMMYFUNCTION("""COMPUTED_VALUE"""),44295.6458333333)</f>
        <v>44295.645833333299</v>
      </c>
      <c r="V803" s="6">
        <f ca="1">IFERROR(__xludf.DUMMYFUNCTION("""COMPUTED_VALUE"""),3131.88)</f>
        <v>3131.88</v>
      </c>
      <c r="Z803" s="6" t="str">
        <f t="shared" ca="1" si="225"/>
        <v>20204</v>
      </c>
      <c r="AA803" s="6">
        <f t="shared" ca="1" si="226"/>
        <v>2020</v>
      </c>
      <c r="AB803" s="6">
        <f t="shared" ca="1" si="227"/>
        <v>4</v>
      </c>
      <c r="AC803" s="68">
        <f ca="1">IFERROR(__xludf.DUMMYFUNCTION("""COMPUTED_VALUE"""),43942.9986111111)</f>
        <v>43942.998611111099</v>
      </c>
      <c r="AD803" s="6">
        <f ca="1">IFERROR(__xludf.DUMMYFUNCTION("""COMPUTED_VALUE"""),1230.85)</f>
        <v>1230.8499999999999</v>
      </c>
      <c r="AH803" s="6" t="str">
        <f t="shared" ca="1" si="228"/>
        <v>20203</v>
      </c>
      <c r="AI803" s="6">
        <f t="shared" ca="1" si="229"/>
        <v>2020</v>
      </c>
      <c r="AJ803" s="6">
        <f t="shared" ca="1" si="230"/>
        <v>3</v>
      </c>
      <c r="AK803" s="68">
        <f ca="1">IFERROR(__xludf.DUMMYFUNCTION("""COMPUTED_VALUE"""),43895.9986111111)</f>
        <v>43895.998611111099</v>
      </c>
      <c r="AL803" s="6">
        <f ca="1">IFERROR(__xludf.DUMMYFUNCTION("""COMPUTED_VALUE"""),9071.605)</f>
        <v>9071.6049999999996</v>
      </c>
      <c r="AP803" s="6" t="str">
        <f t="shared" ca="1" si="231"/>
        <v>20213</v>
      </c>
      <c r="AQ803" s="6">
        <f t="shared" ca="1" si="232"/>
        <v>2021</v>
      </c>
      <c r="AR803" s="6">
        <f t="shared" ca="1" si="233"/>
        <v>3</v>
      </c>
      <c r="AS803" s="68">
        <f ca="1">IFERROR(__xludf.DUMMYFUNCTION("""COMPUTED_VALUE"""),44272.9986111111)</f>
        <v>44272.998611111099</v>
      </c>
      <c r="AT803" s="6">
        <f ca="1">IFERROR(__xludf.DUMMYFUNCTION("""COMPUTED_VALUE"""),1727.1)</f>
        <v>1727.1</v>
      </c>
    </row>
    <row r="804" spans="2:46" x14ac:dyDescent="0.35">
      <c r="B804" s="6" t="str">
        <f t="shared" ca="1" si="216"/>
        <v>20213</v>
      </c>
      <c r="C804" s="6">
        <f t="shared" ca="1" si="217"/>
        <v>2021</v>
      </c>
      <c r="D804" s="6">
        <f t="shared" ca="1" si="218"/>
        <v>3</v>
      </c>
      <c r="E804" s="68">
        <f ca="1">IFERROR(__xludf.DUMMYFUNCTION("""COMPUTED_VALUE"""),44265.6666666666)</f>
        <v>44265.666666666599</v>
      </c>
      <c r="F804" s="6">
        <f ca="1">IFERROR(__xludf.DUMMYFUNCTION("""COMPUTED_VALUE"""),3898.81)</f>
        <v>3898.81</v>
      </c>
      <c r="J804" s="6" t="str">
        <f t="shared" ca="1" si="219"/>
        <v>20213</v>
      </c>
      <c r="K804" s="6">
        <f t="shared" ca="1" si="220"/>
        <v>2021</v>
      </c>
      <c r="L804" s="6">
        <f t="shared" ca="1" si="221"/>
        <v>3</v>
      </c>
      <c r="M804" s="68">
        <f ca="1">IFERROR(__xludf.DUMMYFUNCTION("""COMPUTED_VALUE"""),44258.6666666666)</f>
        <v>44258.666666666599</v>
      </c>
      <c r="N804" s="6">
        <f ca="1">IFERROR(__xludf.DUMMYFUNCTION("""COMPUTED_VALUE"""),12997.75)</f>
        <v>12997.75</v>
      </c>
      <c r="R804" s="6" t="str">
        <f t="shared" ca="1" si="222"/>
        <v>20214</v>
      </c>
      <c r="S804" s="6">
        <f t="shared" ca="1" si="223"/>
        <v>2021</v>
      </c>
      <c r="T804" s="6">
        <f t="shared" ca="1" si="224"/>
        <v>4</v>
      </c>
      <c r="U804" s="68">
        <f ca="1">IFERROR(__xludf.DUMMYFUNCTION("""COMPUTED_VALUE"""),44298.6458333333)</f>
        <v>44298.645833333299</v>
      </c>
      <c r="V804" s="6">
        <f ca="1">IFERROR(__xludf.DUMMYFUNCTION("""COMPUTED_VALUE"""),3135.59)</f>
        <v>3135.59</v>
      </c>
      <c r="Z804" s="6" t="str">
        <f t="shared" ca="1" si="225"/>
        <v>20204</v>
      </c>
      <c r="AA804" s="6">
        <f t="shared" ca="1" si="226"/>
        <v>2020</v>
      </c>
      <c r="AB804" s="6">
        <f t="shared" ca="1" si="227"/>
        <v>4</v>
      </c>
      <c r="AC804" s="68">
        <f ca="1">IFERROR(__xludf.DUMMYFUNCTION("""COMPUTED_VALUE"""),43943.9986111111)</f>
        <v>43943.998611111099</v>
      </c>
      <c r="AD804" s="6">
        <f ca="1">IFERROR(__xludf.DUMMYFUNCTION("""COMPUTED_VALUE"""),1231.38)</f>
        <v>1231.3800000000001</v>
      </c>
      <c r="AH804" s="6" t="str">
        <f t="shared" ca="1" si="228"/>
        <v>20203</v>
      </c>
      <c r="AI804" s="6">
        <f t="shared" ca="1" si="229"/>
        <v>2020</v>
      </c>
      <c r="AJ804" s="6">
        <f t="shared" ca="1" si="230"/>
        <v>3</v>
      </c>
      <c r="AK804" s="68">
        <f ca="1">IFERROR(__xludf.DUMMYFUNCTION("""COMPUTED_VALUE"""),43896.9986111111)</f>
        <v>43896.998611111099</v>
      </c>
      <c r="AL804" s="6">
        <f ca="1">IFERROR(__xludf.DUMMYFUNCTION("""COMPUTED_VALUE"""),9163.027)</f>
        <v>9163.027</v>
      </c>
      <c r="AP804" s="6" t="str">
        <f t="shared" ca="1" si="231"/>
        <v>20213</v>
      </c>
      <c r="AQ804" s="6">
        <f t="shared" ca="1" si="232"/>
        <v>2021</v>
      </c>
      <c r="AR804" s="6">
        <f t="shared" ca="1" si="233"/>
        <v>3</v>
      </c>
      <c r="AS804" s="68">
        <f ca="1">IFERROR(__xludf.DUMMYFUNCTION("""COMPUTED_VALUE"""),44273.9986111111)</f>
        <v>44273.998611111099</v>
      </c>
      <c r="AT804" s="6">
        <f ca="1">IFERROR(__xludf.DUMMYFUNCTION("""COMPUTED_VALUE"""),1732.5)</f>
        <v>1732.5</v>
      </c>
    </row>
    <row r="805" spans="2:46" x14ac:dyDescent="0.35">
      <c r="B805" s="6" t="str">
        <f t="shared" ca="1" si="216"/>
        <v>20213</v>
      </c>
      <c r="C805" s="6">
        <f t="shared" ca="1" si="217"/>
        <v>2021</v>
      </c>
      <c r="D805" s="6">
        <f t="shared" ca="1" si="218"/>
        <v>3</v>
      </c>
      <c r="E805" s="68">
        <f ca="1">IFERROR(__xludf.DUMMYFUNCTION("""COMPUTED_VALUE"""),44266.6666666666)</f>
        <v>44266.666666666599</v>
      </c>
      <c r="F805" s="6">
        <f ca="1">IFERROR(__xludf.DUMMYFUNCTION("""COMPUTED_VALUE"""),3939.34)</f>
        <v>3939.34</v>
      </c>
      <c r="J805" s="6" t="str">
        <f t="shared" ca="1" si="219"/>
        <v>20213</v>
      </c>
      <c r="K805" s="6">
        <f t="shared" ca="1" si="220"/>
        <v>2021</v>
      </c>
      <c r="L805" s="6">
        <f t="shared" ca="1" si="221"/>
        <v>3</v>
      </c>
      <c r="M805" s="68">
        <f ca="1">IFERROR(__xludf.DUMMYFUNCTION("""COMPUTED_VALUE"""),44259.6666666666)</f>
        <v>44259.666666666599</v>
      </c>
      <c r="N805" s="6">
        <f ca="1">IFERROR(__xludf.DUMMYFUNCTION("""COMPUTED_VALUE"""),12723.47)</f>
        <v>12723.47</v>
      </c>
      <c r="R805" s="6" t="str">
        <f t="shared" ca="1" si="222"/>
        <v>20214</v>
      </c>
      <c r="S805" s="6">
        <f t="shared" ca="1" si="223"/>
        <v>2021</v>
      </c>
      <c r="T805" s="6">
        <f t="shared" ca="1" si="224"/>
        <v>4</v>
      </c>
      <c r="U805" s="68">
        <f ca="1">IFERROR(__xludf.DUMMYFUNCTION("""COMPUTED_VALUE"""),44299.6458333333)</f>
        <v>44299.645833333299</v>
      </c>
      <c r="V805" s="6">
        <f ca="1">IFERROR(__xludf.DUMMYFUNCTION("""COMPUTED_VALUE"""),3169.08)</f>
        <v>3169.08</v>
      </c>
      <c r="Z805" s="6" t="str">
        <f t="shared" ca="1" si="225"/>
        <v>20204</v>
      </c>
      <c r="AA805" s="6">
        <f t="shared" ca="1" si="226"/>
        <v>2020</v>
      </c>
      <c r="AB805" s="6">
        <f t="shared" ca="1" si="227"/>
        <v>4</v>
      </c>
      <c r="AC805" s="68">
        <f ca="1">IFERROR(__xludf.DUMMYFUNCTION("""COMPUTED_VALUE"""),43944.9986111111)</f>
        <v>43944.998611111099</v>
      </c>
      <c r="AD805" s="6">
        <f ca="1">IFERROR(__xludf.DUMMYFUNCTION("""COMPUTED_VALUE"""),1232.45)</f>
        <v>1232.45</v>
      </c>
      <c r="AH805" s="6" t="str">
        <f t="shared" ca="1" si="228"/>
        <v>20203</v>
      </c>
      <c r="AI805" s="6">
        <f t="shared" ca="1" si="229"/>
        <v>2020</v>
      </c>
      <c r="AJ805" s="6">
        <f t="shared" ca="1" si="230"/>
        <v>3</v>
      </c>
      <c r="AK805" s="68">
        <f ca="1">IFERROR(__xludf.DUMMYFUNCTION("""COMPUTED_VALUE"""),43897.9986111111)</f>
        <v>43897.998611111099</v>
      </c>
      <c r="AL805" s="6">
        <f ca="1">IFERROR(__xludf.DUMMYFUNCTION("""COMPUTED_VALUE"""),8902.841)</f>
        <v>8902.8410000000003</v>
      </c>
      <c r="AP805" s="6" t="str">
        <f t="shared" ca="1" si="231"/>
        <v>20213</v>
      </c>
      <c r="AQ805" s="6">
        <f t="shared" ca="1" si="232"/>
        <v>2021</v>
      </c>
      <c r="AR805" s="6">
        <f t="shared" ca="1" si="233"/>
        <v>3</v>
      </c>
      <c r="AS805" s="68">
        <f ca="1">IFERROR(__xludf.DUMMYFUNCTION("""COMPUTED_VALUE"""),44274.9986111111)</f>
        <v>44274.998611111099</v>
      </c>
      <c r="AT805" s="6">
        <f ca="1">IFERROR(__xludf.DUMMYFUNCTION("""COMPUTED_VALUE"""),1743.9)</f>
        <v>1743.9</v>
      </c>
    </row>
    <row r="806" spans="2:46" x14ac:dyDescent="0.35">
      <c r="B806" s="6" t="str">
        <f t="shared" ca="1" si="216"/>
        <v>20213</v>
      </c>
      <c r="C806" s="6">
        <f t="shared" ca="1" si="217"/>
        <v>2021</v>
      </c>
      <c r="D806" s="6">
        <f t="shared" ca="1" si="218"/>
        <v>3</v>
      </c>
      <c r="E806" s="68">
        <f ca="1">IFERROR(__xludf.DUMMYFUNCTION("""COMPUTED_VALUE"""),44267.6666666666)</f>
        <v>44267.666666666599</v>
      </c>
      <c r="F806" s="6">
        <f ca="1">IFERROR(__xludf.DUMMYFUNCTION("""COMPUTED_VALUE"""),3943.34)</f>
        <v>3943.34</v>
      </c>
      <c r="J806" s="6" t="str">
        <f t="shared" ca="1" si="219"/>
        <v>20213</v>
      </c>
      <c r="K806" s="6">
        <f t="shared" ca="1" si="220"/>
        <v>2021</v>
      </c>
      <c r="L806" s="6">
        <f t="shared" ca="1" si="221"/>
        <v>3</v>
      </c>
      <c r="M806" s="68">
        <f ca="1">IFERROR(__xludf.DUMMYFUNCTION("""COMPUTED_VALUE"""),44260.6666666666)</f>
        <v>44260.666666666599</v>
      </c>
      <c r="N806" s="6">
        <f ca="1">IFERROR(__xludf.DUMMYFUNCTION("""COMPUTED_VALUE"""),12920.15)</f>
        <v>12920.15</v>
      </c>
      <c r="R806" s="6" t="str">
        <f t="shared" ca="1" si="222"/>
        <v>20214</v>
      </c>
      <c r="S806" s="6">
        <f t="shared" ca="1" si="223"/>
        <v>2021</v>
      </c>
      <c r="T806" s="6">
        <f t="shared" ca="1" si="224"/>
        <v>4</v>
      </c>
      <c r="U806" s="68">
        <f ca="1">IFERROR(__xludf.DUMMYFUNCTION("""COMPUTED_VALUE"""),44300.6458333333)</f>
        <v>44300.645833333299</v>
      </c>
      <c r="V806" s="6">
        <f ca="1">IFERROR(__xludf.DUMMYFUNCTION("""COMPUTED_VALUE"""),3182.38)</f>
        <v>3182.38</v>
      </c>
      <c r="Z806" s="6" t="str">
        <f t="shared" ca="1" si="225"/>
        <v>20204</v>
      </c>
      <c r="AA806" s="6">
        <f t="shared" ca="1" si="226"/>
        <v>2020</v>
      </c>
      <c r="AB806" s="6">
        <f t="shared" ca="1" si="227"/>
        <v>4</v>
      </c>
      <c r="AC806" s="68">
        <f ca="1">IFERROR(__xludf.DUMMYFUNCTION("""COMPUTED_VALUE"""),43945.9986111111)</f>
        <v>43945.998611111099</v>
      </c>
      <c r="AD806" s="6">
        <f ca="1">IFERROR(__xludf.DUMMYFUNCTION("""COMPUTED_VALUE"""),1229.3)</f>
        <v>1229.3</v>
      </c>
      <c r="AH806" s="6" t="str">
        <f t="shared" ca="1" si="228"/>
        <v>20203</v>
      </c>
      <c r="AI806" s="6">
        <f t="shared" ca="1" si="229"/>
        <v>2020</v>
      </c>
      <c r="AJ806" s="6">
        <f t="shared" ca="1" si="230"/>
        <v>3</v>
      </c>
      <c r="AK806" s="68">
        <f ca="1">IFERROR(__xludf.DUMMYFUNCTION("""COMPUTED_VALUE"""),43898.9986111111)</f>
        <v>43898.998611111099</v>
      </c>
      <c r="AL806" s="6">
        <f ca="1">IFERROR(__xludf.DUMMYFUNCTION("""COMPUTED_VALUE"""),8051.938)</f>
        <v>8051.9380000000001</v>
      </c>
      <c r="AP806" s="6" t="str">
        <f t="shared" ca="1" si="231"/>
        <v>20213</v>
      </c>
      <c r="AQ806" s="6">
        <f t="shared" ca="1" si="232"/>
        <v>2021</v>
      </c>
      <c r="AR806" s="6">
        <f t="shared" ca="1" si="233"/>
        <v>3</v>
      </c>
      <c r="AS806" s="68">
        <f ca="1">IFERROR(__xludf.DUMMYFUNCTION("""COMPUTED_VALUE"""),44277.9986111111)</f>
        <v>44277.998611111099</v>
      </c>
      <c r="AT806" s="6">
        <f ca="1">IFERROR(__xludf.DUMMYFUNCTION("""COMPUTED_VALUE"""),1740.4)</f>
        <v>1740.4</v>
      </c>
    </row>
    <row r="807" spans="2:46" x14ac:dyDescent="0.35">
      <c r="B807" s="6" t="str">
        <f t="shared" ca="1" si="216"/>
        <v>20213</v>
      </c>
      <c r="C807" s="6">
        <f t="shared" ca="1" si="217"/>
        <v>2021</v>
      </c>
      <c r="D807" s="6">
        <f t="shared" ca="1" si="218"/>
        <v>3</v>
      </c>
      <c r="E807" s="68">
        <f ca="1">IFERROR(__xludf.DUMMYFUNCTION("""COMPUTED_VALUE"""),44270.6666666666)</f>
        <v>44270.666666666599</v>
      </c>
      <c r="F807" s="6">
        <f ca="1">IFERROR(__xludf.DUMMYFUNCTION("""COMPUTED_VALUE"""),3968.94)</f>
        <v>3968.94</v>
      </c>
      <c r="J807" s="6" t="str">
        <f t="shared" ca="1" si="219"/>
        <v>20213</v>
      </c>
      <c r="K807" s="6">
        <f t="shared" ca="1" si="220"/>
        <v>2021</v>
      </c>
      <c r="L807" s="6">
        <f t="shared" ca="1" si="221"/>
        <v>3</v>
      </c>
      <c r="M807" s="68">
        <f ca="1">IFERROR(__xludf.DUMMYFUNCTION("""COMPUTED_VALUE"""),44263.6666666666)</f>
        <v>44263.666666666599</v>
      </c>
      <c r="N807" s="6">
        <f ca="1">IFERROR(__xludf.DUMMYFUNCTION("""COMPUTED_VALUE"""),12609.16)</f>
        <v>12609.16</v>
      </c>
      <c r="R807" s="6" t="str">
        <f t="shared" ca="1" si="222"/>
        <v>20214</v>
      </c>
      <c r="S807" s="6">
        <f t="shared" ca="1" si="223"/>
        <v>2021</v>
      </c>
      <c r="T807" s="6">
        <f t="shared" ca="1" si="224"/>
        <v>4</v>
      </c>
      <c r="U807" s="68">
        <f ca="1">IFERROR(__xludf.DUMMYFUNCTION("""COMPUTED_VALUE"""),44301.6458333333)</f>
        <v>44301.645833333299</v>
      </c>
      <c r="V807" s="6">
        <f ca="1">IFERROR(__xludf.DUMMYFUNCTION("""COMPUTED_VALUE"""),3194.33)</f>
        <v>3194.33</v>
      </c>
      <c r="Z807" s="6" t="str">
        <f t="shared" ca="1" si="225"/>
        <v>20204</v>
      </c>
      <c r="AA807" s="6">
        <f t="shared" ca="1" si="226"/>
        <v>2020</v>
      </c>
      <c r="AB807" s="6">
        <f t="shared" ca="1" si="227"/>
        <v>4</v>
      </c>
      <c r="AC807" s="68">
        <f ca="1">IFERROR(__xludf.DUMMYFUNCTION("""COMPUTED_VALUE"""),43946.9986111111)</f>
        <v>43946.998611111099</v>
      </c>
      <c r="AD807" s="6">
        <f ca="1">IFERROR(__xludf.DUMMYFUNCTION("""COMPUTED_VALUE"""),1229.62)</f>
        <v>1229.6199999999999</v>
      </c>
      <c r="AH807" s="6" t="str">
        <f t="shared" ca="1" si="228"/>
        <v>20203</v>
      </c>
      <c r="AI807" s="6">
        <f t="shared" ca="1" si="229"/>
        <v>2020</v>
      </c>
      <c r="AJ807" s="6">
        <f t="shared" ca="1" si="230"/>
        <v>3</v>
      </c>
      <c r="AK807" s="68">
        <f ca="1">IFERROR(__xludf.DUMMYFUNCTION("""COMPUTED_VALUE"""),43899.9986111111)</f>
        <v>43899.998611111099</v>
      </c>
      <c r="AL807" s="6">
        <f ca="1">IFERROR(__xludf.DUMMYFUNCTION("""COMPUTED_VALUE"""),7936.865)</f>
        <v>7936.8649999999998</v>
      </c>
      <c r="AP807" s="6" t="str">
        <f t="shared" ca="1" si="231"/>
        <v>20213</v>
      </c>
      <c r="AQ807" s="6">
        <f t="shared" ca="1" si="232"/>
        <v>2021</v>
      </c>
      <c r="AR807" s="6">
        <f t="shared" ca="1" si="233"/>
        <v>3</v>
      </c>
      <c r="AS807" s="68">
        <f ca="1">IFERROR(__xludf.DUMMYFUNCTION("""COMPUTED_VALUE"""),44278.9986111111)</f>
        <v>44278.998611111099</v>
      </c>
      <c r="AT807" s="6">
        <f ca="1">IFERROR(__xludf.DUMMYFUNCTION("""COMPUTED_VALUE"""),1727.5)</f>
        <v>1727.5</v>
      </c>
    </row>
    <row r="808" spans="2:46" x14ac:dyDescent="0.35">
      <c r="B808" s="6" t="str">
        <f t="shared" ca="1" si="216"/>
        <v>20213</v>
      </c>
      <c r="C808" s="6">
        <f t="shared" ca="1" si="217"/>
        <v>2021</v>
      </c>
      <c r="D808" s="6">
        <f t="shared" ca="1" si="218"/>
        <v>3</v>
      </c>
      <c r="E808" s="68">
        <f ca="1">IFERROR(__xludf.DUMMYFUNCTION("""COMPUTED_VALUE"""),44271.6666666666)</f>
        <v>44271.666666666599</v>
      </c>
      <c r="F808" s="6">
        <f ca="1">IFERROR(__xludf.DUMMYFUNCTION("""COMPUTED_VALUE"""),3962.71)</f>
        <v>3962.71</v>
      </c>
      <c r="J808" s="6" t="str">
        <f t="shared" ca="1" si="219"/>
        <v>20213</v>
      </c>
      <c r="K808" s="6">
        <f t="shared" ca="1" si="220"/>
        <v>2021</v>
      </c>
      <c r="L808" s="6">
        <f t="shared" ca="1" si="221"/>
        <v>3</v>
      </c>
      <c r="M808" s="68">
        <f ca="1">IFERROR(__xludf.DUMMYFUNCTION("""COMPUTED_VALUE"""),44264.6666666666)</f>
        <v>44264.666666666599</v>
      </c>
      <c r="N808" s="6">
        <f ca="1">IFERROR(__xludf.DUMMYFUNCTION("""COMPUTED_VALUE"""),13073.83)</f>
        <v>13073.83</v>
      </c>
      <c r="R808" s="6" t="str">
        <f t="shared" ca="1" si="222"/>
        <v>20214</v>
      </c>
      <c r="S808" s="6">
        <f t="shared" ca="1" si="223"/>
        <v>2021</v>
      </c>
      <c r="T808" s="6">
        <f t="shared" ca="1" si="224"/>
        <v>4</v>
      </c>
      <c r="U808" s="68">
        <f ca="1">IFERROR(__xludf.DUMMYFUNCTION("""COMPUTED_VALUE"""),44302.6458333333)</f>
        <v>44302.645833333299</v>
      </c>
      <c r="V808" s="6">
        <f ca="1">IFERROR(__xludf.DUMMYFUNCTION("""COMPUTED_VALUE"""),3198.62)</f>
        <v>3198.62</v>
      </c>
      <c r="Z808" s="6" t="str">
        <f t="shared" ca="1" si="225"/>
        <v>20204</v>
      </c>
      <c r="AA808" s="6">
        <f t="shared" ca="1" si="226"/>
        <v>2020</v>
      </c>
      <c r="AB808" s="6">
        <f t="shared" ca="1" si="227"/>
        <v>4</v>
      </c>
      <c r="AC808" s="68">
        <f ca="1">IFERROR(__xludf.DUMMYFUNCTION("""COMPUTED_VALUE"""),43947.9986111111)</f>
        <v>43947.998611111099</v>
      </c>
      <c r="AD808" s="6">
        <f ca="1">IFERROR(__xludf.DUMMYFUNCTION("""COMPUTED_VALUE"""),1229.5)</f>
        <v>1229.5</v>
      </c>
      <c r="AH808" s="6" t="str">
        <f t="shared" ca="1" si="228"/>
        <v>20203</v>
      </c>
      <c r="AI808" s="6">
        <f t="shared" ca="1" si="229"/>
        <v>2020</v>
      </c>
      <c r="AJ808" s="6">
        <f t="shared" ca="1" si="230"/>
        <v>3</v>
      </c>
      <c r="AK808" s="68">
        <f ca="1">IFERROR(__xludf.DUMMYFUNCTION("""COMPUTED_VALUE"""),43900.9986111111)</f>
        <v>43900.998611111099</v>
      </c>
      <c r="AL808" s="6">
        <f ca="1">IFERROR(__xludf.DUMMYFUNCTION("""COMPUTED_VALUE"""),7895.216)</f>
        <v>7895.2160000000003</v>
      </c>
      <c r="AP808" s="6" t="str">
        <f t="shared" ca="1" si="231"/>
        <v>20213</v>
      </c>
      <c r="AQ808" s="6">
        <f t="shared" ca="1" si="232"/>
        <v>2021</v>
      </c>
      <c r="AR808" s="6">
        <f t="shared" ca="1" si="233"/>
        <v>3</v>
      </c>
      <c r="AS808" s="68">
        <f ca="1">IFERROR(__xludf.DUMMYFUNCTION("""COMPUTED_VALUE"""),44279.9986111111)</f>
        <v>44279.998611111099</v>
      </c>
      <c r="AT808" s="6">
        <f ca="1">IFERROR(__xludf.DUMMYFUNCTION("""COMPUTED_VALUE"""),1735.5)</f>
        <v>1735.5</v>
      </c>
    </row>
    <row r="809" spans="2:46" x14ac:dyDescent="0.35">
      <c r="B809" s="6" t="str">
        <f t="shared" ca="1" si="216"/>
        <v>20213</v>
      </c>
      <c r="C809" s="6">
        <f t="shared" ca="1" si="217"/>
        <v>2021</v>
      </c>
      <c r="D809" s="6">
        <f t="shared" ca="1" si="218"/>
        <v>3</v>
      </c>
      <c r="E809" s="68">
        <f ca="1">IFERROR(__xludf.DUMMYFUNCTION("""COMPUTED_VALUE"""),44272.6666666666)</f>
        <v>44272.666666666599</v>
      </c>
      <c r="F809" s="6">
        <f ca="1">IFERROR(__xludf.DUMMYFUNCTION("""COMPUTED_VALUE"""),3974.12)</f>
        <v>3974.12</v>
      </c>
      <c r="J809" s="6" t="str">
        <f t="shared" ca="1" si="219"/>
        <v>20213</v>
      </c>
      <c r="K809" s="6">
        <f t="shared" ca="1" si="220"/>
        <v>2021</v>
      </c>
      <c r="L809" s="6">
        <f t="shared" ca="1" si="221"/>
        <v>3</v>
      </c>
      <c r="M809" s="68">
        <f ca="1">IFERROR(__xludf.DUMMYFUNCTION("""COMPUTED_VALUE"""),44265.6666666666)</f>
        <v>44265.666666666599</v>
      </c>
      <c r="N809" s="6">
        <f ca="1">IFERROR(__xludf.DUMMYFUNCTION("""COMPUTED_VALUE"""),13068.83)</f>
        <v>13068.83</v>
      </c>
      <c r="R809" s="6" t="str">
        <f t="shared" ca="1" si="222"/>
        <v>20214</v>
      </c>
      <c r="S809" s="6">
        <f t="shared" ca="1" si="223"/>
        <v>2021</v>
      </c>
      <c r="T809" s="6">
        <f t="shared" ca="1" si="224"/>
        <v>4</v>
      </c>
      <c r="U809" s="68">
        <f ca="1">IFERROR(__xludf.DUMMYFUNCTION("""COMPUTED_VALUE"""),44305.6458333333)</f>
        <v>44305.645833333299</v>
      </c>
      <c r="V809" s="6">
        <f ca="1">IFERROR(__xludf.DUMMYFUNCTION("""COMPUTED_VALUE"""),3198.84)</f>
        <v>3198.84</v>
      </c>
      <c r="Z809" s="6" t="str">
        <f t="shared" ca="1" si="225"/>
        <v>20204</v>
      </c>
      <c r="AA809" s="6">
        <f t="shared" ca="1" si="226"/>
        <v>2020</v>
      </c>
      <c r="AB809" s="6">
        <f t="shared" ca="1" si="227"/>
        <v>4</v>
      </c>
      <c r="AC809" s="68">
        <f ca="1">IFERROR(__xludf.DUMMYFUNCTION("""COMPUTED_VALUE"""),43948.9986111111)</f>
        <v>43948.998611111099</v>
      </c>
      <c r="AD809" s="6">
        <f ca="1">IFERROR(__xludf.DUMMYFUNCTION("""COMPUTED_VALUE"""),1220.87)</f>
        <v>1220.8699999999999</v>
      </c>
      <c r="AH809" s="6" t="str">
        <f t="shared" ca="1" si="228"/>
        <v>20203</v>
      </c>
      <c r="AI809" s="6">
        <f t="shared" ca="1" si="229"/>
        <v>2020</v>
      </c>
      <c r="AJ809" s="6">
        <f t="shared" ca="1" si="230"/>
        <v>3</v>
      </c>
      <c r="AK809" s="68">
        <f ca="1">IFERROR(__xludf.DUMMYFUNCTION("""COMPUTED_VALUE"""),43901.9986111111)</f>
        <v>43901.998611111099</v>
      </c>
      <c r="AL809" s="6">
        <f ca="1">IFERROR(__xludf.DUMMYFUNCTION("""COMPUTED_VALUE"""),7942.892)</f>
        <v>7942.8919999999998</v>
      </c>
      <c r="AP809" s="6" t="str">
        <f t="shared" ca="1" si="231"/>
        <v>20213</v>
      </c>
      <c r="AQ809" s="6">
        <f t="shared" ca="1" si="232"/>
        <v>2021</v>
      </c>
      <c r="AR809" s="6">
        <f t="shared" ca="1" si="233"/>
        <v>3</v>
      </c>
      <c r="AS809" s="68">
        <f ca="1">IFERROR(__xludf.DUMMYFUNCTION("""COMPUTED_VALUE"""),44280.9986111111)</f>
        <v>44280.998611111099</v>
      </c>
      <c r="AT809" s="6">
        <f ca="1">IFERROR(__xludf.DUMMYFUNCTION("""COMPUTED_VALUE"""),1727.3)</f>
        <v>1727.3</v>
      </c>
    </row>
    <row r="810" spans="2:46" x14ac:dyDescent="0.35">
      <c r="B810" s="6" t="str">
        <f t="shared" ca="1" si="216"/>
        <v>20213</v>
      </c>
      <c r="C810" s="6">
        <f t="shared" ca="1" si="217"/>
        <v>2021</v>
      </c>
      <c r="D810" s="6">
        <f t="shared" ca="1" si="218"/>
        <v>3</v>
      </c>
      <c r="E810" s="68">
        <f ca="1">IFERROR(__xludf.DUMMYFUNCTION("""COMPUTED_VALUE"""),44273.6666666666)</f>
        <v>44273.666666666599</v>
      </c>
      <c r="F810" s="6">
        <f ca="1">IFERROR(__xludf.DUMMYFUNCTION("""COMPUTED_VALUE"""),3915.46)</f>
        <v>3915.46</v>
      </c>
      <c r="J810" s="6" t="str">
        <f t="shared" ca="1" si="219"/>
        <v>20213</v>
      </c>
      <c r="K810" s="6">
        <f t="shared" ca="1" si="220"/>
        <v>2021</v>
      </c>
      <c r="L810" s="6">
        <f t="shared" ca="1" si="221"/>
        <v>3</v>
      </c>
      <c r="M810" s="68">
        <f ca="1">IFERROR(__xludf.DUMMYFUNCTION("""COMPUTED_VALUE"""),44266.6666666666)</f>
        <v>44266.666666666599</v>
      </c>
      <c r="N810" s="6">
        <f ca="1">IFERROR(__xludf.DUMMYFUNCTION("""COMPUTED_VALUE"""),13398.67)</f>
        <v>13398.67</v>
      </c>
      <c r="R810" s="6" t="str">
        <f t="shared" ca="1" si="222"/>
        <v>20214</v>
      </c>
      <c r="S810" s="6">
        <f t="shared" ca="1" si="223"/>
        <v>2021</v>
      </c>
      <c r="T810" s="6">
        <f t="shared" ca="1" si="224"/>
        <v>4</v>
      </c>
      <c r="U810" s="68">
        <f ca="1">IFERROR(__xludf.DUMMYFUNCTION("""COMPUTED_VALUE"""),44306.6458333333)</f>
        <v>44306.645833333299</v>
      </c>
      <c r="V810" s="6">
        <f ca="1">IFERROR(__xludf.DUMMYFUNCTION("""COMPUTED_VALUE"""),3220.7)</f>
        <v>3220.7</v>
      </c>
      <c r="Z810" s="6" t="str">
        <f t="shared" ca="1" si="225"/>
        <v>20204</v>
      </c>
      <c r="AA810" s="6">
        <f t="shared" ca="1" si="226"/>
        <v>2020</v>
      </c>
      <c r="AB810" s="6">
        <f t="shared" ca="1" si="227"/>
        <v>4</v>
      </c>
      <c r="AC810" s="68">
        <f ca="1">IFERROR(__xludf.DUMMYFUNCTION("""COMPUTED_VALUE"""),43949.9986111111)</f>
        <v>43949.998611111099</v>
      </c>
      <c r="AD810" s="6">
        <f ca="1">IFERROR(__xludf.DUMMYFUNCTION("""COMPUTED_VALUE"""),1220.4)</f>
        <v>1220.4000000000001</v>
      </c>
      <c r="AH810" s="6" t="str">
        <f t="shared" ca="1" si="228"/>
        <v>20203</v>
      </c>
      <c r="AI810" s="6">
        <f t="shared" ca="1" si="229"/>
        <v>2020</v>
      </c>
      <c r="AJ810" s="6">
        <f t="shared" ca="1" si="230"/>
        <v>3</v>
      </c>
      <c r="AK810" s="68">
        <f ca="1">IFERROR(__xludf.DUMMYFUNCTION("""COMPUTED_VALUE"""),43902.9986111111)</f>
        <v>43902.998611111099</v>
      </c>
      <c r="AL810" s="6">
        <f ca="1">IFERROR(__xludf.DUMMYFUNCTION("""COMPUTED_VALUE"""),4854.343)</f>
        <v>4854.3429999999998</v>
      </c>
      <c r="AP810" s="6" t="str">
        <f t="shared" ca="1" si="231"/>
        <v>20213</v>
      </c>
      <c r="AQ810" s="6">
        <f t="shared" ca="1" si="232"/>
        <v>2021</v>
      </c>
      <c r="AR810" s="6">
        <f t="shared" ca="1" si="233"/>
        <v>3</v>
      </c>
      <c r="AS810" s="68">
        <f ca="1">IFERROR(__xludf.DUMMYFUNCTION("""COMPUTED_VALUE"""),44281.9986111111)</f>
        <v>44281.998611111099</v>
      </c>
      <c r="AT810" s="6">
        <f ca="1">IFERROR(__xludf.DUMMYFUNCTION("""COMPUTED_VALUE"""),1734.7)</f>
        <v>1734.7</v>
      </c>
    </row>
    <row r="811" spans="2:46" x14ac:dyDescent="0.35">
      <c r="B811" s="6" t="str">
        <f t="shared" ca="1" si="216"/>
        <v>20213</v>
      </c>
      <c r="C811" s="6">
        <f t="shared" ca="1" si="217"/>
        <v>2021</v>
      </c>
      <c r="D811" s="6">
        <f t="shared" ca="1" si="218"/>
        <v>3</v>
      </c>
      <c r="E811" s="68">
        <f ca="1">IFERROR(__xludf.DUMMYFUNCTION("""COMPUTED_VALUE"""),44274.6666666666)</f>
        <v>44274.666666666599</v>
      </c>
      <c r="F811" s="6">
        <f ca="1">IFERROR(__xludf.DUMMYFUNCTION("""COMPUTED_VALUE"""),3913.1)</f>
        <v>3913.1</v>
      </c>
      <c r="J811" s="6" t="str">
        <f t="shared" ca="1" si="219"/>
        <v>20213</v>
      </c>
      <c r="K811" s="6">
        <f t="shared" ca="1" si="220"/>
        <v>2021</v>
      </c>
      <c r="L811" s="6">
        <f t="shared" ca="1" si="221"/>
        <v>3</v>
      </c>
      <c r="M811" s="68">
        <f ca="1">IFERROR(__xludf.DUMMYFUNCTION("""COMPUTED_VALUE"""),44267.6666666666)</f>
        <v>44267.666666666599</v>
      </c>
      <c r="N811" s="6">
        <f ca="1">IFERROR(__xludf.DUMMYFUNCTION("""COMPUTED_VALUE"""),13319.87)</f>
        <v>13319.87</v>
      </c>
      <c r="R811" s="6" t="str">
        <f t="shared" ca="1" si="222"/>
        <v>20214</v>
      </c>
      <c r="S811" s="6">
        <f t="shared" ca="1" si="223"/>
        <v>2021</v>
      </c>
      <c r="T811" s="6">
        <f t="shared" ca="1" si="224"/>
        <v>4</v>
      </c>
      <c r="U811" s="68">
        <f ca="1">IFERROR(__xludf.DUMMYFUNCTION("""COMPUTED_VALUE"""),44307.6458333333)</f>
        <v>44307.645833333299</v>
      </c>
      <c r="V811" s="6">
        <f ca="1">IFERROR(__xludf.DUMMYFUNCTION("""COMPUTED_VALUE"""),3171.66)</f>
        <v>3171.66</v>
      </c>
      <c r="Z811" s="6" t="str">
        <f t="shared" ca="1" si="225"/>
        <v>20204</v>
      </c>
      <c r="AA811" s="6">
        <f t="shared" ca="1" si="226"/>
        <v>2020</v>
      </c>
      <c r="AB811" s="6">
        <f t="shared" ca="1" si="227"/>
        <v>4</v>
      </c>
      <c r="AC811" s="68">
        <f ca="1">IFERROR(__xludf.DUMMYFUNCTION("""COMPUTED_VALUE"""),43950.9986111111)</f>
        <v>43950.998611111099</v>
      </c>
      <c r="AD811" s="6">
        <f ca="1">IFERROR(__xludf.DUMMYFUNCTION("""COMPUTED_VALUE"""),1210.79)</f>
        <v>1210.79</v>
      </c>
      <c r="AH811" s="6" t="str">
        <f t="shared" ca="1" si="228"/>
        <v>20203</v>
      </c>
      <c r="AI811" s="6">
        <f t="shared" ca="1" si="229"/>
        <v>2020</v>
      </c>
      <c r="AJ811" s="6">
        <f t="shared" ca="1" si="230"/>
        <v>3</v>
      </c>
      <c r="AK811" s="68">
        <f ca="1">IFERROR(__xludf.DUMMYFUNCTION("""COMPUTED_VALUE"""),43903.9986111111)</f>
        <v>43903.998611111099</v>
      </c>
      <c r="AL811" s="6">
        <f ca="1">IFERROR(__xludf.DUMMYFUNCTION("""COMPUTED_VALUE"""),5603.106)</f>
        <v>5603.1059999999998</v>
      </c>
      <c r="AP811" s="6" t="str">
        <f t="shared" ca="1" si="231"/>
        <v>20213</v>
      </c>
      <c r="AQ811" s="6">
        <f t="shared" ca="1" si="232"/>
        <v>2021</v>
      </c>
      <c r="AR811" s="6">
        <f t="shared" ca="1" si="233"/>
        <v>3</v>
      </c>
      <c r="AS811" s="68">
        <f ca="1">IFERROR(__xludf.DUMMYFUNCTION("""COMPUTED_VALUE"""),44284.9986111111)</f>
        <v>44284.998611111099</v>
      </c>
      <c r="AT811" s="6">
        <f ca="1">IFERROR(__xludf.DUMMYFUNCTION("""COMPUTED_VALUE"""),1714.6)</f>
        <v>1714.6</v>
      </c>
    </row>
    <row r="812" spans="2:46" x14ac:dyDescent="0.35">
      <c r="B812" s="6" t="str">
        <f t="shared" ca="1" si="216"/>
        <v>20213</v>
      </c>
      <c r="C812" s="6">
        <f t="shared" ca="1" si="217"/>
        <v>2021</v>
      </c>
      <c r="D812" s="6">
        <f t="shared" ca="1" si="218"/>
        <v>3</v>
      </c>
      <c r="E812" s="68">
        <f ca="1">IFERROR(__xludf.DUMMYFUNCTION("""COMPUTED_VALUE"""),44277.6666666666)</f>
        <v>44277.666666666599</v>
      </c>
      <c r="F812" s="6">
        <f ca="1">IFERROR(__xludf.DUMMYFUNCTION("""COMPUTED_VALUE"""),3940.59)</f>
        <v>3940.59</v>
      </c>
      <c r="J812" s="6" t="str">
        <f t="shared" ca="1" si="219"/>
        <v>20213</v>
      </c>
      <c r="K812" s="6">
        <f t="shared" ca="1" si="220"/>
        <v>2021</v>
      </c>
      <c r="L812" s="6">
        <f t="shared" ca="1" si="221"/>
        <v>3</v>
      </c>
      <c r="M812" s="68">
        <f ca="1">IFERROR(__xludf.DUMMYFUNCTION("""COMPUTED_VALUE"""),44270.6666666666)</f>
        <v>44270.666666666599</v>
      </c>
      <c r="N812" s="6">
        <f ca="1">IFERROR(__xludf.DUMMYFUNCTION("""COMPUTED_VALUE"""),13459.71)</f>
        <v>13459.71</v>
      </c>
      <c r="R812" s="6" t="str">
        <f t="shared" ca="1" si="222"/>
        <v>20214</v>
      </c>
      <c r="S812" s="6">
        <f t="shared" ca="1" si="223"/>
        <v>2021</v>
      </c>
      <c r="T812" s="6">
        <f t="shared" ca="1" si="224"/>
        <v>4</v>
      </c>
      <c r="U812" s="68">
        <f ca="1">IFERROR(__xludf.DUMMYFUNCTION("""COMPUTED_VALUE"""),44308.6458333333)</f>
        <v>44308.645833333299</v>
      </c>
      <c r="V812" s="6">
        <f ca="1">IFERROR(__xludf.DUMMYFUNCTION("""COMPUTED_VALUE"""),3177.52)</f>
        <v>3177.52</v>
      </c>
      <c r="Z812" s="6" t="str">
        <f t="shared" ca="1" si="225"/>
        <v>20204</v>
      </c>
      <c r="AA812" s="6">
        <f t="shared" ca="1" si="226"/>
        <v>2020</v>
      </c>
      <c r="AB812" s="6">
        <f t="shared" ca="1" si="227"/>
        <v>4</v>
      </c>
      <c r="AC812" s="68">
        <f ca="1">IFERROR(__xludf.DUMMYFUNCTION("""COMPUTED_VALUE"""),43951.9986111111)</f>
        <v>43951.998611111099</v>
      </c>
      <c r="AD812" s="6">
        <f ca="1">IFERROR(__xludf.DUMMYFUNCTION("""COMPUTED_VALUE"""),1212.96)</f>
        <v>1212.96</v>
      </c>
      <c r="AH812" s="6" t="str">
        <f t="shared" ca="1" si="228"/>
        <v>20203</v>
      </c>
      <c r="AI812" s="6">
        <f t="shared" ca="1" si="229"/>
        <v>2020</v>
      </c>
      <c r="AJ812" s="6">
        <f t="shared" ca="1" si="230"/>
        <v>3</v>
      </c>
      <c r="AK812" s="68">
        <f ca="1">IFERROR(__xludf.DUMMYFUNCTION("""COMPUTED_VALUE"""),43904.9986111111)</f>
        <v>43904.998611111099</v>
      </c>
      <c r="AL812" s="6">
        <f ca="1">IFERROR(__xludf.DUMMYFUNCTION("""COMPUTED_VALUE"""),5178.858)</f>
        <v>5178.8580000000002</v>
      </c>
      <c r="AP812" s="6" t="str">
        <f t="shared" ca="1" si="231"/>
        <v>20213</v>
      </c>
      <c r="AQ812" s="6">
        <f t="shared" ca="1" si="232"/>
        <v>2021</v>
      </c>
      <c r="AR812" s="6">
        <f t="shared" ca="1" si="233"/>
        <v>3</v>
      </c>
      <c r="AS812" s="68">
        <f ca="1">IFERROR(__xludf.DUMMYFUNCTION("""COMPUTED_VALUE"""),44285.9986111111)</f>
        <v>44285.998611111099</v>
      </c>
      <c r="AT812" s="6">
        <f ca="1">IFERROR(__xludf.DUMMYFUNCTION("""COMPUTED_VALUE"""),1686)</f>
        <v>1686</v>
      </c>
    </row>
    <row r="813" spans="2:46" x14ac:dyDescent="0.35">
      <c r="B813" s="6" t="str">
        <f t="shared" ca="1" si="216"/>
        <v>20213</v>
      </c>
      <c r="C813" s="6">
        <f t="shared" ca="1" si="217"/>
        <v>2021</v>
      </c>
      <c r="D813" s="6">
        <f t="shared" ca="1" si="218"/>
        <v>3</v>
      </c>
      <c r="E813" s="68">
        <f ca="1">IFERROR(__xludf.DUMMYFUNCTION("""COMPUTED_VALUE"""),44278.6666666666)</f>
        <v>44278.666666666599</v>
      </c>
      <c r="F813" s="6">
        <f ca="1">IFERROR(__xludf.DUMMYFUNCTION("""COMPUTED_VALUE"""),3910.52)</f>
        <v>3910.52</v>
      </c>
      <c r="J813" s="6" t="str">
        <f t="shared" ca="1" si="219"/>
        <v>20213</v>
      </c>
      <c r="K813" s="6">
        <f t="shared" ca="1" si="220"/>
        <v>2021</v>
      </c>
      <c r="L813" s="6">
        <f t="shared" ca="1" si="221"/>
        <v>3</v>
      </c>
      <c r="M813" s="68">
        <f ca="1">IFERROR(__xludf.DUMMYFUNCTION("""COMPUTED_VALUE"""),44271.6666666666)</f>
        <v>44271.666666666599</v>
      </c>
      <c r="N813" s="6">
        <f ca="1">IFERROR(__xludf.DUMMYFUNCTION("""COMPUTED_VALUE"""),13471.57)</f>
        <v>13471.57</v>
      </c>
      <c r="R813" s="6" t="str">
        <f t="shared" ca="1" si="222"/>
        <v>20214</v>
      </c>
      <c r="S813" s="6">
        <f t="shared" ca="1" si="223"/>
        <v>2021</v>
      </c>
      <c r="T813" s="6">
        <f t="shared" ca="1" si="224"/>
        <v>4</v>
      </c>
      <c r="U813" s="68">
        <f ca="1">IFERROR(__xludf.DUMMYFUNCTION("""COMPUTED_VALUE"""),44309.6458333333)</f>
        <v>44309.645833333299</v>
      </c>
      <c r="V813" s="6">
        <f ca="1">IFERROR(__xludf.DUMMYFUNCTION("""COMPUTED_VALUE"""),3186.1)</f>
        <v>3186.1</v>
      </c>
      <c r="Z813" s="6" t="str">
        <f t="shared" ca="1" si="225"/>
        <v>20205</v>
      </c>
      <c r="AA813" s="6">
        <f t="shared" ca="1" si="226"/>
        <v>2020</v>
      </c>
      <c r="AB813" s="6">
        <f t="shared" ca="1" si="227"/>
        <v>5</v>
      </c>
      <c r="AC813" s="68">
        <f ca="1">IFERROR(__xludf.DUMMYFUNCTION("""COMPUTED_VALUE"""),43952.9986111111)</f>
        <v>43952.998611111099</v>
      </c>
      <c r="AD813" s="6">
        <f ca="1">IFERROR(__xludf.DUMMYFUNCTION("""COMPUTED_VALUE"""),1223.93)</f>
        <v>1223.93</v>
      </c>
      <c r="AH813" s="6" t="str">
        <f t="shared" ca="1" si="228"/>
        <v>20203</v>
      </c>
      <c r="AI813" s="6">
        <f t="shared" ca="1" si="229"/>
        <v>2020</v>
      </c>
      <c r="AJ813" s="6">
        <f t="shared" ca="1" si="230"/>
        <v>3</v>
      </c>
      <c r="AK813" s="68">
        <f ca="1">IFERROR(__xludf.DUMMYFUNCTION("""COMPUTED_VALUE"""),43905.9986111111)</f>
        <v>43905.998611111099</v>
      </c>
      <c r="AL813" s="6">
        <f ca="1">IFERROR(__xludf.DUMMYFUNCTION("""COMPUTED_VALUE"""),5356.116)</f>
        <v>5356.116</v>
      </c>
      <c r="AP813" s="6" t="str">
        <f t="shared" ca="1" si="231"/>
        <v>20213</v>
      </c>
      <c r="AQ813" s="6">
        <f t="shared" ca="1" si="232"/>
        <v>2021</v>
      </c>
      <c r="AR813" s="6">
        <f t="shared" ca="1" si="233"/>
        <v>3</v>
      </c>
      <c r="AS813" s="68">
        <f ca="1">IFERROR(__xludf.DUMMYFUNCTION("""COMPUTED_VALUE"""),44286.9986111111)</f>
        <v>44286.998611111099</v>
      </c>
      <c r="AT813" s="6">
        <f ca="1">IFERROR(__xludf.DUMMYFUNCTION("""COMPUTED_VALUE"""),1715.6)</f>
        <v>1715.6</v>
      </c>
    </row>
    <row r="814" spans="2:46" x14ac:dyDescent="0.35">
      <c r="B814" s="6" t="str">
        <f t="shared" ca="1" si="216"/>
        <v>20213</v>
      </c>
      <c r="C814" s="6">
        <f t="shared" ca="1" si="217"/>
        <v>2021</v>
      </c>
      <c r="D814" s="6">
        <f t="shared" ca="1" si="218"/>
        <v>3</v>
      </c>
      <c r="E814" s="68">
        <f ca="1">IFERROR(__xludf.DUMMYFUNCTION("""COMPUTED_VALUE"""),44279.6666666666)</f>
        <v>44279.666666666599</v>
      </c>
      <c r="F814" s="6">
        <f ca="1">IFERROR(__xludf.DUMMYFUNCTION("""COMPUTED_VALUE"""),3889.14)</f>
        <v>3889.14</v>
      </c>
      <c r="J814" s="6" t="str">
        <f t="shared" ca="1" si="219"/>
        <v>20213</v>
      </c>
      <c r="K814" s="6">
        <f t="shared" ca="1" si="220"/>
        <v>2021</v>
      </c>
      <c r="L814" s="6">
        <f t="shared" ca="1" si="221"/>
        <v>3</v>
      </c>
      <c r="M814" s="68">
        <f ca="1">IFERROR(__xludf.DUMMYFUNCTION("""COMPUTED_VALUE"""),44272.6666666666)</f>
        <v>44272.666666666599</v>
      </c>
      <c r="N814" s="6">
        <f ca="1">IFERROR(__xludf.DUMMYFUNCTION("""COMPUTED_VALUE"""),13525.2)</f>
        <v>13525.2</v>
      </c>
      <c r="R814" s="6" t="str">
        <f t="shared" ca="1" si="222"/>
        <v>20214</v>
      </c>
      <c r="S814" s="6">
        <f t="shared" ca="1" si="223"/>
        <v>2021</v>
      </c>
      <c r="T814" s="6">
        <f t="shared" ca="1" si="224"/>
        <v>4</v>
      </c>
      <c r="U814" s="68">
        <f ca="1">IFERROR(__xludf.DUMMYFUNCTION("""COMPUTED_VALUE"""),44312.6458333333)</f>
        <v>44312.645833333299</v>
      </c>
      <c r="V814" s="6">
        <f ca="1">IFERROR(__xludf.DUMMYFUNCTION("""COMPUTED_VALUE"""),3217.53)</f>
        <v>3217.53</v>
      </c>
      <c r="Z814" s="6" t="str">
        <f t="shared" ca="1" si="225"/>
        <v>20205</v>
      </c>
      <c r="AA814" s="6">
        <f t="shared" ca="1" si="226"/>
        <v>2020</v>
      </c>
      <c r="AB814" s="6">
        <f t="shared" ca="1" si="227"/>
        <v>5</v>
      </c>
      <c r="AC814" s="68">
        <f ca="1">IFERROR(__xludf.DUMMYFUNCTION("""COMPUTED_VALUE"""),43953.9986111111)</f>
        <v>43953.998611111099</v>
      </c>
      <c r="AD814" s="6">
        <f ca="1">IFERROR(__xludf.DUMMYFUNCTION("""COMPUTED_VALUE"""),1223.93)</f>
        <v>1223.93</v>
      </c>
      <c r="AH814" s="6" t="str">
        <f t="shared" ca="1" si="228"/>
        <v>20203</v>
      </c>
      <c r="AI814" s="6">
        <f t="shared" ca="1" si="229"/>
        <v>2020</v>
      </c>
      <c r="AJ814" s="6">
        <f t="shared" ca="1" si="230"/>
        <v>3</v>
      </c>
      <c r="AK814" s="68">
        <f ca="1">IFERROR(__xludf.DUMMYFUNCTION("""COMPUTED_VALUE"""),43906.9986111111)</f>
        <v>43906.998611111099</v>
      </c>
      <c r="AL814" s="6">
        <f ca="1">IFERROR(__xludf.DUMMYFUNCTION("""COMPUTED_VALUE"""),5032.406)</f>
        <v>5032.4059999999999</v>
      </c>
      <c r="AP814" s="6" t="str">
        <f t="shared" ca="1" si="231"/>
        <v>20214</v>
      </c>
      <c r="AQ814" s="6">
        <f t="shared" ca="1" si="232"/>
        <v>2021</v>
      </c>
      <c r="AR814" s="6">
        <f t="shared" ca="1" si="233"/>
        <v>4</v>
      </c>
      <c r="AS814" s="68">
        <f ca="1">IFERROR(__xludf.DUMMYFUNCTION("""COMPUTED_VALUE"""),44287.9986111111)</f>
        <v>44287.998611111099</v>
      </c>
      <c r="AT814" s="6">
        <f ca="1">IFERROR(__xludf.DUMMYFUNCTION("""COMPUTED_VALUE"""),1728.4)</f>
        <v>1728.4</v>
      </c>
    </row>
    <row r="815" spans="2:46" x14ac:dyDescent="0.35">
      <c r="B815" s="6" t="str">
        <f t="shared" ca="1" si="216"/>
        <v>20213</v>
      </c>
      <c r="C815" s="6">
        <f t="shared" ca="1" si="217"/>
        <v>2021</v>
      </c>
      <c r="D815" s="6">
        <f t="shared" ca="1" si="218"/>
        <v>3</v>
      </c>
      <c r="E815" s="68">
        <f ca="1">IFERROR(__xludf.DUMMYFUNCTION("""COMPUTED_VALUE"""),44280.6666666666)</f>
        <v>44280.666666666599</v>
      </c>
      <c r="F815" s="6">
        <f ca="1">IFERROR(__xludf.DUMMYFUNCTION("""COMPUTED_VALUE"""),3909.52)</f>
        <v>3909.52</v>
      </c>
      <c r="J815" s="6" t="str">
        <f t="shared" ca="1" si="219"/>
        <v>20213</v>
      </c>
      <c r="K815" s="6">
        <f t="shared" ca="1" si="220"/>
        <v>2021</v>
      </c>
      <c r="L815" s="6">
        <f t="shared" ca="1" si="221"/>
        <v>3</v>
      </c>
      <c r="M815" s="68">
        <f ca="1">IFERROR(__xludf.DUMMYFUNCTION("""COMPUTED_VALUE"""),44273.6666666666)</f>
        <v>44273.666666666599</v>
      </c>
      <c r="N815" s="6">
        <f ca="1">IFERROR(__xludf.DUMMYFUNCTION("""COMPUTED_VALUE"""),13116.17)</f>
        <v>13116.17</v>
      </c>
      <c r="R815" s="6" t="str">
        <f t="shared" ca="1" si="222"/>
        <v>20214</v>
      </c>
      <c r="S815" s="6">
        <f t="shared" ca="1" si="223"/>
        <v>2021</v>
      </c>
      <c r="T815" s="6">
        <f t="shared" ca="1" si="224"/>
        <v>4</v>
      </c>
      <c r="U815" s="68">
        <f ca="1">IFERROR(__xludf.DUMMYFUNCTION("""COMPUTED_VALUE"""),44313.6458333333)</f>
        <v>44313.645833333299</v>
      </c>
      <c r="V815" s="6">
        <f ca="1">IFERROR(__xludf.DUMMYFUNCTION("""COMPUTED_VALUE"""),3215.42)</f>
        <v>3215.42</v>
      </c>
      <c r="Z815" s="6" t="str">
        <f t="shared" ca="1" si="225"/>
        <v>20205</v>
      </c>
      <c r="AA815" s="6">
        <f t="shared" ca="1" si="226"/>
        <v>2020</v>
      </c>
      <c r="AB815" s="6">
        <f t="shared" ca="1" si="227"/>
        <v>5</v>
      </c>
      <c r="AC815" s="68">
        <f ca="1">IFERROR(__xludf.DUMMYFUNCTION("""COMPUTED_VALUE"""),43954.9986111111)</f>
        <v>43954.998611111099</v>
      </c>
      <c r="AD815" s="6">
        <f ca="1">IFERROR(__xludf.DUMMYFUNCTION("""COMPUTED_VALUE"""),1223.78)</f>
        <v>1223.78</v>
      </c>
      <c r="AH815" s="6" t="str">
        <f t="shared" ca="1" si="228"/>
        <v>20203</v>
      </c>
      <c r="AI815" s="6">
        <f t="shared" ca="1" si="229"/>
        <v>2020</v>
      </c>
      <c r="AJ815" s="6">
        <f t="shared" ca="1" si="230"/>
        <v>3</v>
      </c>
      <c r="AK815" s="68">
        <f ca="1">IFERROR(__xludf.DUMMYFUNCTION("""COMPUTED_VALUE"""),43907.9986111111)</f>
        <v>43907.998611111099</v>
      </c>
      <c r="AL815" s="6">
        <f ca="1">IFERROR(__xludf.DUMMYFUNCTION("""COMPUTED_VALUE"""),5340.572)</f>
        <v>5340.5720000000001</v>
      </c>
      <c r="AP815" s="6" t="str">
        <f t="shared" ca="1" si="231"/>
        <v>20214</v>
      </c>
      <c r="AQ815" s="6">
        <f t="shared" ca="1" si="232"/>
        <v>2021</v>
      </c>
      <c r="AR815" s="6">
        <f t="shared" ca="1" si="233"/>
        <v>4</v>
      </c>
      <c r="AS815" s="68">
        <f ca="1">IFERROR(__xludf.DUMMYFUNCTION("""COMPUTED_VALUE"""),44291.9986111111)</f>
        <v>44291.998611111099</v>
      </c>
      <c r="AT815" s="6">
        <f ca="1">IFERROR(__xludf.DUMMYFUNCTION("""COMPUTED_VALUE"""),1728.8)</f>
        <v>1728.8</v>
      </c>
    </row>
    <row r="816" spans="2:46" x14ac:dyDescent="0.35">
      <c r="B816" s="6" t="str">
        <f t="shared" ca="1" si="216"/>
        <v>20213</v>
      </c>
      <c r="C816" s="6">
        <f t="shared" ca="1" si="217"/>
        <v>2021</v>
      </c>
      <c r="D816" s="6">
        <f t="shared" ca="1" si="218"/>
        <v>3</v>
      </c>
      <c r="E816" s="68">
        <f ca="1">IFERROR(__xludf.DUMMYFUNCTION("""COMPUTED_VALUE"""),44281.6666666666)</f>
        <v>44281.666666666599</v>
      </c>
      <c r="F816" s="6">
        <f ca="1">IFERROR(__xludf.DUMMYFUNCTION("""COMPUTED_VALUE"""),3974.54)</f>
        <v>3974.54</v>
      </c>
      <c r="J816" s="6" t="str">
        <f t="shared" ca="1" si="219"/>
        <v>20213</v>
      </c>
      <c r="K816" s="6">
        <f t="shared" ca="1" si="220"/>
        <v>2021</v>
      </c>
      <c r="L816" s="6">
        <f t="shared" ca="1" si="221"/>
        <v>3</v>
      </c>
      <c r="M816" s="68">
        <f ca="1">IFERROR(__xludf.DUMMYFUNCTION("""COMPUTED_VALUE"""),44274.6666666666)</f>
        <v>44274.666666666599</v>
      </c>
      <c r="N816" s="6">
        <f ca="1">IFERROR(__xludf.DUMMYFUNCTION("""COMPUTED_VALUE"""),13215.24)</f>
        <v>13215.24</v>
      </c>
      <c r="R816" s="6" t="str">
        <f t="shared" ca="1" si="222"/>
        <v>20214</v>
      </c>
      <c r="S816" s="6">
        <f t="shared" ca="1" si="223"/>
        <v>2021</v>
      </c>
      <c r="T816" s="6">
        <f t="shared" ca="1" si="224"/>
        <v>4</v>
      </c>
      <c r="U816" s="68">
        <f ca="1">IFERROR(__xludf.DUMMYFUNCTION("""COMPUTED_VALUE"""),44314.6458333333)</f>
        <v>44314.645833333299</v>
      </c>
      <c r="V816" s="6">
        <f ca="1">IFERROR(__xludf.DUMMYFUNCTION("""COMPUTED_VALUE"""),3181.47)</f>
        <v>3181.47</v>
      </c>
      <c r="Z816" s="6" t="str">
        <f t="shared" ca="1" si="225"/>
        <v>20205</v>
      </c>
      <c r="AA816" s="6">
        <f t="shared" ca="1" si="226"/>
        <v>2020</v>
      </c>
      <c r="AB816" s="6">
        <f t="shared" ca="1" si="227"/>
        <v>5</v>
      </c>
      <c r="AC816" s="68">
        <f ca="1">IFERROR(__xludf.DUMMYFUNCTION("""COMPUTED_VALUE"""),43955.9986111111)</f>
        <v>43955.998611111099</v>
      </c>
      <c r="AD816" s="6">
        <f ca="1">IFERROR(__xludf.DUMMYFUNCTION("""COMPUTED_VALUE"""),1222.45)</f>
        <v>1222.45</v>
      </c>
      <c r="AH816" s="6" t="str">
        <f t="shared" ca="1" si="228"/>
        <v>20203</v>
      </c>
      <c r="AI816" s="6">
        <f t="shared" ca="1" si="229"/>
        <v>2020</v>
      </c>
      <c r="AJ816" s="6">
        <f t="shared" ca="1" si="230"/>
        <v>3</v>
      </c>
      <c r="AK816" s="68">
        <f ca="1">IFERROR(__xludf.DUMMYFUNCTION("""COMPUTED_VALUE"""),43908.9986111111)</f>
        <v>43908.998611111099</v>
      </c>
      <c r="AL816" s="6">
        <f ca="1">IFERROR(__xludf.DUMMYFUNCTION("""COMPUTED_VALUE"""),5405.399)</f>
        <v>5405.3990000000003</v>
      </c>
      <c r="AP816" s="6" t="str">
        <f t="shared" ca="1" si="231"/>
        <v>20214</v>
      </c>
      <c r="AQ816" s="6">
        <f t="shared" ca="1" si="232"/>
        <v>2021</v>
      </c>
      <c r="AR816" s="6">
        <f t="shared" ca="1" si="233"/>
        <v>4</v>
      </c>
      <c r="AS816" s="68">
        <f ca="1">IFERROR(__xludf.DUMMYFUNCTION("""COMPUTED_VALUE"""),44292.9986111111)</f>
        <v>44292.998611111099</v>
      </c>
      <c r="AT816" s="6">
        <f ca="1">IFERROR(__xludf.DUMMYFUNCTION("""COMPUTED_VALUE"""),1743)</f>
        <v>1743</v>
      </c>
    </row>
    <row r="817" spans="2:46" x14ac:dyDescent="0.35">
      <c r="B817" s="6" t="str">
        <f t="shared" ca="1" si="216"/>
        <v>20213</v>
      </c>
      <c r="C817" s="6">
        <f t="shared" ca="1" si="217"/>
        <v>2021</v>
      </c>
      <c r="D817" s="6">
        <f t="shared" ca="1" si="218"/>
        <v>3</v>
      </c>
      <c r="E817" s="68">
        <f ca="1">IFERROR(__xludf.DUMMYFUNCTION("""COMPUTED_VALUE"""),44284.6666666666)</f>
        <v>44284.666666666599</v>
      </c>
      <c r="F817" s="6">
        <f ca="1">IFERROR(__xludf.DUMMYFUNCTION("""COMPUTED_VALUE"""),3971.09)</f>
        <v>3971.09</v>
      </c>
      <c r="J817" s="6" t="str">
        <f t="shared" ca="1" si="219"/>
        <v>20213</v>
      </c>
      <c r="K817" s="6">
        <f t="shared" ca="1" si="220"/>
        <v>2021</v>
      </c>
      <c r="L817" s="6">
        <f t="shared" ca="1" si="221"/>
        <v>3</v>
      </c>
      <c r="M817" s="68">
        <f ca="1">IFERROR(__xludf.DUMMYFUNCTION("""COMPUTED_VALUE"""),44277.6666666666)</f>
        <v>44277.666666666599</v>
      </c>
      <c r="N817" s="6">
        <f ca="1">IFERROR(__xludf.DUMMYFUNCTION("""COMPUTED_VALUE"""),13377.54)</f>
        <v>13377.54</v>
      </c>
      <c r="R817" s="6" t="str">
        <f t="shared" ca="1" si="222"/>
        <v>20214</v>
      </c>
      <c r="S817" s="6">
        <f t="shared" ca="1" si="223"/>
        <v>2021</v>
      </c>
      <c r="T817" s="6">
        <f t="shared" ca="1" si="224"/>
        <v>4</v>
      </c>
      <c r="U817" s="68">
        <f ca="1">IFERROR(__xludf.DUMMYFUNCTION("""COMPUTED_VALUE"""),44315.6458333333)</f>
        <v>44315.645833333299</v>
      </c>
      <c r="V817" s="6">
        <f ca="1">IFERROR(__xludf.DUMMYFUNCTION("""COMPUTED_VALUE"""),3174.07)</f>
        <v>3174.07</v>
      </c>
      <c r="Z817" s="6" t="str">
        <f t="shared" ca="1" si="225"/>
        <v>20205</v>
      </c>
      <c r="AA817" s="6">
        <f t="shared" ca="1" si="226"/>
        <v>2020</v>
      </c>
      <c r="AB817" s="6">
        <f t="shared" ca="1" si="227"/>
        <v>5</v>
      </c>
      <c r="AC817" s="68">
        <f ca="1">IFERROR(__xludf.DUMMYFUNCTION("""COMPUTED_VALUE"""),43956.9986111111)</f>
        <v>43956.998611111099</v>
      </c>
      <c r="AD817" s="6">
        <f ca="1">IFERROR(__xludf.DUMMYFUNCTION("""COMPUTED_VALUE"""),1221.25)</f>
        <v>1221.25</v>
      </c>
      <c r="AH817" s="6" t="str">
        <f t="shared" ca="1" si="228"/>
        <v>20203</v>
      </c>
      <c r="AI817" s="6">
        <f t="shared" ca="1" si="229"/>
        <v>2020</v>
      </c>
      <c r="AJ817" s="6">
        <f t="shared" ca="1" si="230"/>
        <v>3</v>
      </c>
      <c r="AK817" s="68">
        <f ca="1">IFERROR(__xludf.DUMMYFUNCTION("""COMPUTED_VALUE"""),43909.9986111111)</f>
        <v>43909.998611111099</v>
      </c>
      <c r="AL817" s="6">
        <f ca="1">IFERROR(__xludf.DUMMYFUNCTION("""COMPUTED_VALUE"""),6182.357)</f>
        <v>6182.357</v>
      </c>
      <c r="AP817" s="6" t="str">
        <f t="shared" ca="1" si="231"/>
        <v>20214</v>
      </c>
      <c r="AQ817" s="6">
        <f t="shared" ca="1" si="232"/>
        <v>2021</v>
      </c>
      <c r="AR817" s="6">
        <f t="shared" ca="1" si="233"/>
        <v>4</v>
      </c>
      <c r="AS817" s="68">
        <f ca="1">IFERROR(__xludf.DUMMYFUNCTION("""COMPUTED_VALUE"""),44293.9986111111)</f>
        <v>44293.998611111099</v>
      </c>
      <c r="AT817" s="6">
        <f ca="1">IFERROR(__xludf.DUMMYFUNCTION("""COMPUTED_VALUE"""),1741.6)</f>
        <v>1741.6</v>
      </c>
    </row>
    <row r="818" spans="2:46" x14ac:dyDescent="0.35">
      <c r="B818" s="6" t="str">
        <f t="shared" ca="1" si="216"/>
        <v>20213</v>
      </c>
      <c r="C818" s="6">
        <f t="shared" ca="1" si="217"/>
        <v>2021</v>
      </c>
      <c r="D818" s="6">
        <f t="shared" ca="1" si="218"/>
        <v>3</v>
      </c>
      <c r="E818" s="68">
        <f ca="1">IFERROR(__xludf.DUMMYFUNCTION("""COMPUTED_VALUE"""),44285.6666666666)</f>
        <v>44285.666666666599</v>
      </c>
      <c r="F818" s="6">
        <f ca="1">IFERROR(__xludf.DUMMYFUNCTION("""COMPUTED_VALUE"""),3958.55)</f>
        <v>3958.55</v>
      </c>
      <c r="J818" s="6" t="str">
        <f t="shared" ca="1" si="219"/>
        <v>20213</v>
      </c>
      <c r="K818" s="6">
        <f t="shared" ca="1" si="220"/>
        <v>2021</v>
      </c>
      <c r="L818" s="6">
        <f t="shared" ca="1" si="221"/>
        <v>3</v>
      </c>
      <c r="M818" s="68">
        <f ca="1">IFERROR(__xludf.DUMMYFUNCTION("""COMPUTED_VALUE"""),44278.6666666666)</f>
        <v>44278.666666666599</v>
      </c>
      <c r="N818" s="6">
        <f ca="1">IFERROR(__xludf.DUMMYFUNCTION("""COMPUTED_VALUE"""),13227.7)</f>
        <v>13227.7</v>
      </c>
      <c r="R818" s="6" t="str">
        <f t="shared" ca="1" si="222"/>
        <v>20214</v>
      </c>
      <c r="S818" s="6">
        <f t="shared" ca="1" si="223"/>
        <v>2021</v>
      </c>
      <c r="T818" s="6">
        <f t="shared" ca="1" si="224"/>
        <v>4</v>
      </c>
      <c r="U818" s="68">
        <f ca="1">IFERROR(__xludf.DUMMYFUNCTION("""COMPUTED_VALUE"""),44316.6458333333)</f>
        <v>44316.645833333299</v>
      </c>
      <c r="V818" s="6">
        <f ca="1">IFERROR(__xludf.DUMMYFUNCTION("""COMPUTED_VALUE"""),3147.86)</f>
        <v>3147.86</v>
      </c>
      <c r="Z818" s="6" t="str">
        <f t="shared" ca="1" si="225"/>
        <v>20205</v>
      </c>
      <c r="AA818" s="6">
        <f t="shared" ca="1" si="226"/>
        <v>2020</v>
      </c>
      <c r="AB818" s="6">
        <f t="shared" ca="1" si="227"/>
        <v>5</v>
      </c>
      <c r="AC818" s="68">
        <f ca="1">IFERROR(__xludf.DUMMYFUNCTION("""COMPUTED_VALUE"""),43957.9986111111)</f>
        <v>43957.998611111099</v>
      </c>
      <c r="AD818" s="6">
        <f ca="1">IFERROR(__xludf.DUMMYFUNCTION("""COMPUTED_VALUE"""),1228.53)</f>
        <v>1228.53</v>
      </c>
      <c r="AH818" s="6" t="str">
        <f t="shared" ca="1" si="228"/>
        <v>20203</v>
      </c>
      <c r="AI818" s="6">
        <f t="shared" ca="1" si="229"/>
        <v>2020</v>
      </c>
      <c r="AJ818" s="6">
        <f t="shared" ca="1" si="230"/>
        <v>3</v>
      </c>
      <c r="AK818" s="68">
        <f ca="1">IFERROR(__xludf.DUMMYFUNCTION("""COMPUTED_VALUE"""),43910.9986111111)</f>
        <v>43910.998611111099</v>
      </c>
      <c r="AL818" s="6">
        <f ca="1">IFERROR(__xludf.DUMMYFUNCTION("""COMPUTED_VALUE"""),6200.971)</f>
        <v>6200.9709999999995</v>
      </c>
      <c r="AP818" s="6" t="str">
        <f t="shared" ca="1" si="231"/>
        <v>20214</v>
      </c>
      <c r="AQ818" s="6">
        <f t="shared" ca="1" si="232"/>
        <v>2021</v>
      </c>
      <c r="AR818" s="6">
        <f t="shared" ca="1" si="233"/>
        <v>4</v>
      </c>
      <c r="AS818" s="68">
        <f ca="1">IFERROR(__xludf.DUMMYFUNCTION("""COMPUTED_VALUE"""),44294.9986111111)</f>
        <v>44294.998611111099</v>
      </c>
      <c r="AT818" s="6">
        <f ca="1">IFERROR(__xludf.DUMMYFUNCTION("""COMPUTED_VALUE"""),1758.2)</f>
        <v>1758.2</v>
      </c>
    </row>
    <row r="819" spans="2:46" x14ac:dyDescent="0.35">
      <c r="B819" s="6" t="str">
        <f t="shared" ca="1" si="216"/>
        <v>20213</v>
      </c>
      <c r="C819" s="6">
        <f t="shared" ca="1" si="217"/>
        <v>2021</v>
      </c>
      <c r="D819" s="6">
        <f t="shared" ca="1" si="218"/>
        <v>3</v>
      </c>
      <c r="E819" s="68">
        <f ca="1">IFERROR(__xludf.DUMMYFUNCTION("""COMPUTED_VALUE"""),44286.6666666666)</f>
        <v>44286.666666666599</v>
      </c>
      <c r="F819" s="6">
        <f ca="1">IFERROR(__xludf.DUMMYFUNCTION("""COMPUTED_VALUE"""),3972.89)</f>
        <v>3972.89</v>
      </c>
      <c r="J819" s="6" t="str">
        <f t="shared" ca="1" si="219"/>
        <v>20213</v>
      </c>
      <c r="K819" s="6">
        <f t="shared" ca="1" si="220"/>
        <v>2021</v>
      </c>
      <c r="L819" s="6">
        <f t="shared" ca="1" si="221"/>
        <v>3</v>
      </c>
      <c r="M819" s="68">
        <f ca="1">IFERROR(__xludf.DUMMYFUNCTION("""COMPUTED_VALUE"""),44279.6666666666)</f>
        <v>44279.666666666599</v>
      </c>
      <c r="N819" s="6">
        <f ca="1">IFERROR(__xludf.DUMMYFUNCTION("""COMPUTED_VALUE"""),12961.89)</f>
        <v>12961.89</v>
      </c>
      <c r="R819" s="6" t="str">
        <f t="shared" ca="1" si="222"/>
        <v>20215</v>
      </c>
      <c r="S819" s="6">
        <f t="shared" ca="1" si="223"/>
        <v>2021</v>
      </c>
      <c r="T819" s="6">
        <f t="shared" ca="1" si="224"/>
        <v>5</v>
      </c>
      <c r="U819" s="68">
        <f ca="1">IFERROR(__xludf.DUMMYFUNCTION("""COMPUTED_VALUE"""),44319.6458333333)</f>
        <v>44319.645833333299</v>
      </c>
      <c r="V819" s="6">
        <f ca="1">IFERROR(__xludf.DUMMYFUNCTION("""COMPUTED_VALUE"""),3127.2)</f>
        <v>3127.2</v>
      </c>
      <c r="Z819" s="6" t="str">
        <f t="shared" ca="1" si="225"/>
        <v>20205</v>
      </c>
      <c r="AA819" s="6">
        <f t="shared" ca="1" si="226"/>
        <v>2020</v>
      </c>
      <c r="AB819" s="6">
        <f t="shared" ca="1" si="227"/>
        <v>5</v>
      </c>
      <c r="AC819" s="68">
        <f ca="1">IFERROR(__xludf.DUMMYFUNCTION("""COMPUTED_VALUE"""),43958.9986111111)</f>
        <v>43958.998611111099</v>
      </c>
      <c r="AD819" s="6">
        <f ca="1">IFERROR(__xludf.DUMMYFUNCTION("""COMPUTED_VALUE"""),1218.63)</f>
        <v>1218.6300000000001</v>
      </c>
      <c r="AH819" s="6" t="str">
        <f t="shared" ca="1" si="228"/>
        <v>20203</v>
      </c>
      <c r="AI819" s="6">
        <f t="shared" ca="1" si="229"/>
        <v>2020</v>
      </c>
      <c r="AJ819" s="6">
        <f t="shared" ca="1" si="230"/>
        <v>3</v>
      </c>
      <c r="AK819" s="68">
        <f ca="1">IFERROR(__xludf.DUMMYFUNCTION("""COMPUTED_VALUE"""),43911.9986111111)</f>
        <v>43911.998611111099</v>
      </c>
      <c r="AL819" s="6">
        <f ca="1">IFERROR(__xludf.DUMMYFUNCTION("""COMPUTED_VALUE"""),6195.611)</f>
        <v>6195.6109999999999</v>
      </c>
      <c r="AP819" s="6" t="str">
        <f t="shared" ca="1" si="231"/>
        <v>20214</v>
      </c>
      <c r="AQ819" s="6">
        <f t="shared" ca="1" si="232"/>
        <v>2021</v>
      </c>
      <c r="AR819" s="6">
        <f t="shared" ca="1" si="233"/>
        <v>4</v>
      </c>
      <c r="AS819" s="68">
        <f ca="1">IFERROR(__xludf.DUMMYFUNCTION("""COMPUTED_VALUE"""),44295.9986111111)</f>
        <v>44295.998611111099</v>
      </c>
      <c r="AT819" s="6">
        <f ca="1">IFERROR(__xludf.DUMMYFUNCTION("""COMPUTED_VALUE"""),1744.8)</f>
        <v>1744.8</v>
      </c>
    </row>
    <row r="820" spans="2:46" x14ac:dyDescent="0.35">
      <c r="B820" s="6" t="str">
        <f t="shared" ca="1" si="216"/>
        <v>20214</v>
      </c>
      <c r="C820" s="6">
        <f t="shared" ca="1" si="217"/>
        <v>2021</v>
      </c>
      <c r="D820" s="6">
        <f t="shared" ca="1" si="218"/>
        <v>4</v>
      </c>
      <c r="E820" s="68">
        <f ca="1">IFERROR(__xludf.DUMMYFUNCTION("""COMPUTED_VALUE"""),44287.6666666666)</f>
        <v>44287.666666666599</v>
      </c>
      <c r="F820" s="6">
        <f ca="1">IFERROR(__xludf.DUMMYFUNCTION("""COMPUTED_VALUE"""),4019.87)</f>
        <v>4019.87</v>
      </c>
      <c r="J820" s="6" t="str">
        <f t="shared" ca="1" si="219"/>
        <v>20213</v>
      </c>
      <c r="K820" s="6">
        <f t="shared" ca="1" si="220"/>
        <v>2021</v>
      </c>
      <c r="L820" s="6">
        <f t="shared" ca="1" si="221"/>
        <v>3</v>
      </c>
      <c r="M820" s="68">
        <f ca="1">IFERROR(__xludf.DUMMYFUNCTION("""COMPUTED_VALUE"""),44280.6666666666)</f>
        <v>44280.666666666599</v>
      </c>
      <c r="N820" s="6">
        <f ca="1">IFERROR(__xludf.DUMMYFUNCTION("""COMPUTED_VALUE"""),12977.68)</f>
        <v>12977.68</v>
      </c>
      <c r="R820" s="6" t="str">
        <f t="shared" ca="1" si="222"/>
        <v>20215</v>
      </c>
      <c r="S820" s="6">
        <f t="shared" ca="1" si="223"/>
        <v>2021</v>
      </c>
      <c r="T820" s="6">
        <f t="shared" ca="1" si="224"/>
        <v>5</v>
      </c>
      <c r="U820" s="68">
        <f ca="1">IFERROR(__xludf.DUMMYFUNCTION("""COMPUTED_VALUE"""),44320.6458333333)</f>
        <v>44320.645833333299</v>
      </c>
      <c r="V820" s="6">
        <f ca="1">IFERROR(__xludf.DUMMYFUNCTION("""COMPUTED_VALUE"""),3147.37)</f>
        <v>3147.37</v>
      </c>
      <c r="Z820" s="6" t="str">
        <f t="shared" ca="1" si="225"/>
        <v>20205</v>
      </c>
      <c r="AA820" s="6">
        <f t="shared" ca="1" si="226"/>
        <v>2020</v>
      </c>
      <c r="AB820" s="6">
        <f t="shared" ca="1" si="227"/>
        <v>5</v>
      </c>
      <c r="AC820" s="68">
        <f ca="1">IFERROR(__xludf.DUMMYFUNCTION("""COMPUTED_VALUE"""),43959.9986111111)</f>
        <v>43959.998611111099</v>
      </c>
      <c r="AD820" s="6">
        <f ca="1">IFERROR(__xludf.DUMMYFUNCTION("""COMPUTED_VALUE"""),1218.8)</f>
        <v>1218.8</v>
      </c>
      <c r="AH820" s="6" t="str">
        <f t="shared" ca="1" si="228"/>
        <v>20203</v>
      </c>
      <c r="AI820" s="6">
        <f t="shared" ca="1" si="229"/>
        <v>2020</v>
      </c>
      <c r="AJ820" s="6">
        <f t="shared" ca="1" si="230"/>
        <v>3</v>
      </c>
      <c r="AK820" s="68">
        <f ca="1">IFERROR(__xludf.DUMMYFUNCTION("""COMPUTED_VALUE"""),43912.9986111111)</f>
        <v>43912.998611111099</v>
      </c>
      <c r="AL820" s="6">
        <f ca="1">IFERROR(__xludf.DUMMYFUNCTION("""COMPUTED_VALUE"""),5818.745)</f>
        <v>5818.7449999999999</v>
      </c>
      <c r="AP820" s="6" t="str">
        <f t="shared" ca="1" si="231"/>
        <v>20214</v>
      </c>
      <c r="AQ820" s="6">
        <f t="shared" ca="1" si="232"/>
        <v>2021</v>
      </c>
      <c r="AR820" s="6">
        <f t="shared" ca="1" si="233"/>
        <v>4</v>
      </c>
      <c r="AS820" s="68">
        <f ca="1">IFERROR(__xludf.DUMMYFUNCTION("""COMPUTED_VALUE"""),44298.9986111111)</f>
        <v>44298.998611111099</v>
      </c>
      <c r="AT820" s="6">
        <f ca="1">IFERROR(__xludf.DUMMYFUNCTION("""COMPUTED_VALUE"""),1732.7)</f>
        <v>1732.7</v>
      </c>
    </row>
    <row r="821" spans="2:46" x14ac:dyDescent="0.35">
      <c r="B821" s="6" t="str">
        <f t="shared" ca="1" si="216"/>
        <v>20214</v>
      </c>
      <c r="C821" s="6">
        <f t="shared" ca="1" si="217"/>
        <v>2021</v>
      </c>
      <c r="D821" s="6">
        <f t="shared" ca="1" si="218"/>
        <v>4</v>
      </c>
      <c r="E821" s="68">
        <f ca="1">IFERROR(__xludf.DUMMYFUNCTION("""COMPUTED_VALUE"""),44291.6666666666)</f>
        <v>44291.666666666599</v>
      </c>
      <c r="F821" s="6">
        <f ca="1">IFERROR(__xludf.DUMMYFUNCTION("""COMPUTED_VALUE"""),4077.91)</f>
        <v>4077.91</v>
      </c>
      <c r="J821" s="6" t="str">
        <f t="shared" ca="1" si="219"/>
        <v>20213</v>
      </c>
      <c r="K821" s="6">
        <f t="shared" ca="1" si="220"/>
        <v>2021</v>
      </c>
      <c r="L821" s="6">
        <f t="shared" ca="1" si="221"/>
        <v>3</v>
      </c>
      <c r="M821" s="68">
        <f ca="1">IFERROR(__xludf.DUMMYFUNCTION("""COMPUTED_VALUE"""),44281.6666666666)</f>
        <v>44281.666666666599</v>
      </c>
      <c r="N821" s="6">
        <f ca="1">IFERROR(__xludf.DUMMYFUNCTION("""COMPUTED_VALUE"""),13138.73)</f>
        <v>13138.73</v>
      </c>
      <c r="R821" s="6" t="str">
        <f t="shared" ca="1" si="222"/>
        <v>20215</v>
      </c>
      <c r="S821" s="6">
        <f t="shared" ca="1" si="223"/>
        <v>2021</v>
      </c>
      <c r="T821" s="6">
        <f t="shared" ca="1" si="224"/>
        <v>5</v>
      </c>
      <c r="U821" s="68">
        <f ca="1">IFERROR(__xludf.DUMMYFUNCTION("""COMPUTED_VALUE"""),44322.6458333333)</f>
        <v>44322.645833333299</v>
      </c>
      <c r="V821" s="6">
        <f ca="1">IFERROR(__xludf.DUMMYFUNCTION("""COMPUTED_VALUE"""),3178.74)</f>
        <v>3178.74</v>
      </c>
      <c r="Z821" s="6" t="str">
        <f t="shared" ca="1" si="225"/>
        <v>20205</v>
      </c>
      <c r="AA821" s="6">
        <f t="shared" ca="1" si="226"/>
        <v>2020</v>
      </c>
      <c r="AB821" s="6">
        <f t="shared" ca="1" si="227"/>
        <v>5</v>
      </c>
      <c r="AC821" s="68">
        <f ca="1">IFERROR(__xludf.DUMMYFUNCTION("""COMPUTED_VALUE"""),43960.9986111111)</f>
        <v>43960.998611111099</v>
      </c>
      <c r="AD821" s="6">
        <f ca="1">IFERROR(__xludf.DUMMYFUNCTION("""COMPUTED_VALUE"""),1218.8)</f>
        <v>1218.8</v>
      </c>
      <c r="AH821" s="6" t="str">
        <f t="shared" ca="1" si="228"/>
        <v>20203</v>
      </c>
      <c r="AI821" s="6">
        <f t="shared" ca="1" si="229"/>
        <v>2020</v>
      </c>
      <c r="AJ821" s="6">
        <f t="shared" ca="1" si="230"/>
        <v>3</v>
      </c>
      <c r="AK821" s="68">
        <f ca="1">IFERROR(__xludf.DUMMYFUNCTION("""COMPUTED_VALUE"""),43913.9986111111)</f>
        <v>43913.998611111099</v>
      </c>
      <c r="AL821" s="6">
        <f ca="1">IFERROR(__xludf.DUMMYFUNCTION("""COMPUTED_VALUE"""),6496.644)</f>
        <v>6496.6440000000002</v>
      </c>
      <c r="AP821" s="6" t="str">
        <f t="shared" ca="1" si="231"/>
        <v>20214</v>
      </c>
      <c r="AQ821" s="6">
        <f t="shared" ca="1" si="232"/>
        <v>2021</v>
      </c>
      <c r="AR821" s="6">
        <f t="shared" ca="1" si="233"/>
        <v>4</v>
      </c>
      <c r="AS821" s="68">
        <f ca="1">IFERROR(__xludf.DUMMYFUNCTION("""COMPUTED_VALUE"""),44299.9986111111)</f>
        <v>44299.998611111099</v>
      </c>
      <c r="AT821" s="6">
        <f ca="1">IFERROR(__xludf.DUMMYFUNCTION("""COMPUTED_VALUE"""),1747.6)</f>
        <v>1747.6</v>
      </c>
    </row>
    <row r="822" spans="2:46" x14ac:dyDescent="0.35">
      <c r="B822" s="6" t="str">
        <f t="shared" ca="1" si="216"/>
        <v>20214</v>
      </c>
      <c r="C822" s="6">
        <f t="shared" ca="1" si="217"/>
        <v>2021</v>
      </c>
      <c r="D822" s="6">
        <f t="shared" ca="1" si="218"/>
        <v>4</v>
      </c>
      <c r="E822" s="68">
        <f ca="1">IFERROR(__xludf.DUMMYFUNCTION("""COMPUTED_VALUE"""),44292.6666666666)</f>
        <v>44292.666666666599</v>
      </c>
      <c r="F822" s="6">
        <f ca="1">IFERROR(__xludf.DUMMYFUNCTION("""COMPUTED_VALUE"""),4073.94)</f>
        <v>4073.94</v>
      </c>
      <c r="J822" s="6" t="str">
        <f t="shared" ca="1" si="219"/>
        <v>20213</v>
      </c>
      <c r="K822" s="6">
        <f t="shared" ca="1" si="220"/>
        <v>2021</v>
      </c>
      <c r="L822" s="6">
        <f t="shared" ca="1" si="221"/>
        <v>3</v>
      </c>
      <c r="M822" s="68">
        <f ca="1">IFERROR(__xludf.DUMMYFUNCTION("""COMPUTED_VALUE"""),44284.6666666666)</f>
        <v>44284.666666666599</v>
      </c>
      <c r="N822" s="6">
        <f ca="1">IFERROR(__xludf.DUMMYFUNCTION("""COMPUTED_VALUE"""),13059.65)</f>
        <v>13059.65</v>
      </c>
      <c r="R822" s="6" t="str">
        <f t="shared" ca="1" si="222"/>
        <v>20215</v>
      </c>
      <c r="S822" s="6">
        <f t="shared" ca="1" si="223"/>
        <v>2021</v>
      </c>
      <c r="T822" s="6">
        <f t="shared" ca="1" si="224"/>
        <v>5</v>
      </c>
      <c r="U822" s="68">
        <f ca="1">IFERROR(__xludf.DUMMYFUNCTION("""COMPUTED_VALUE"""),44323.6458333333)</f>
        <v>44323.645833333299</v>
      </c>
      <c r="V822" s="6">
        <f ca="1">IFERROR(__xludf.DUMMYFUNCTION("""COMPUTED_VALUE"""),3197.2)</f>
        <v>3197.2</v>
      </c>
      <c r="Z822" s="6" t="str">
        <f t="shared" ca="1" si="225"/>
        <v>20205</v>
      </c>
      <c r="AA822" s="6">
        <f t="shared" ca="1" si="226"/>
        <v>2020</v>
      </c>
      <c r="AB822" s="6">
        <f t="shared" ca="1" si="227"/>
        <v>5</v>
      </c>
      <c r="AC822" s="68">
        <f ca="1">IFERROR(__xludf.DUMMYFUNCTION("""COMPUTED_VALUE"""),43961.9986111111)</f>
        <v>43961.998611111099</v>
      </c>
      <c r="AD822" s="6">
        <f ca="1">IFERROR(__xludf.DUMMYFUNCTION("""COMPUTED_VALUE"""),1218.7)</f>
        <v>1218.7</v>
      </c>
      <c r="AH822" s="6" t="str">
        <f t="shared" ca="1" si="228"/>
        <v>20203</v>
      </c>
      <c r="AI822" s="6">
        <f t="shared" ca="1" si="229"/>
        <v>2020</v>
      </c>
      <c r="AJ822" s="6">
        <f t="shared" ca="1" si="230"/>
        <v>3</v>
      </c>
      <c r="AK822" s="68">
        <f ca="1">IFERROR(__xludf.DUMMYFUNCTION("""COMPUTED_VALUE"""),43914.9986111111)</f>
        <v>43914.998611111099</v>
      </c>
      <c r="AL822" s="6">
        <f ca="1">IFERROR(__xludf.DUMMYFUNCTION("""COMPUTED_VALUE"""),6765.711)</f>
        <v>6765.7110000000002</v>
      </c>
      <c r="AP822" s="6" t="str">
        <f t="shared" ca="1" si="231"/>
        <v>20214</v>
      </c>
      <c r="AQ822" s="6">
        <f t="shared" ca="1" si="232"/>
        <v>2021</v>
      </c>
      <c r="AR822" s="6">
        <f t="shared" ca="1" si="233"/>
        <v>4</v>
      </c>
      <c r="AS822" s="68">
        <f ca="1">IFERROR(__xludf.DUMMYFUNCTION("""COMPUTED_VALUE"""),44300.9986111111)</f>
        <v>44300.998611111099</v>
      </c>
      <c r="AT822" s="6">
        <f ca="1">IFERROR(__xludf.DUMMYFUNCTION("""COMPUTED_VALUE"""),1736.3)</f>
        <v>1736.3</v>
      </c>
    </row>
    <row r="823" spans="2:46" x14ac:dyDescent="0.35">
      <c r="B823" s="6" t="str">
        <f t="shared" ca="1" si="216"/>
        <v>20214</v>
      </c>
      <c r="C823" s="6">
        <f t="shared" ca="1" si="217"/>
        <v>2021</v>
      </c>
      <c r="D823" s="6">
        <f t="shared" ca="1" si="218"/>
        <v>4</v>
      </c>
      <c r="E823" s="68">
        <f ca="1">IFERROR(__xludf.DUMMYFUNCTION("""COMPUTED_VALUE"""),44293.6666666666)</f>
        <v>44293.666666666599</v>
      </c>
      <c r="F823" s="6">
        <f ca="1">IFERROR(__xludf.DUMMYFUNCTION("""COMPUTED_VALUE"""),4079.95)</f>
        <v>4079.95</v>
      </c>
      <c r="J823" s="6" t="str">
        <f t="shared" ca="1" si="219"/>
        <v>20213</v>
      </c>
      <c r="K823" s="6">
        <f t="shared" ca="1" si="220"/>
        <v>2021</v>
      </c>
      <c r="L823" s="6">
        <f t="shared" ca="1" si="221"/>
        <v>3</v>
      </c>
      <c r="M823" s="68">
        <f ca="1">IFERROR(__xludf.DUMMYFUNCTION("""COMPUTED_VALUE"""),44285.6666666666)</f>
        <v>44285.666666666599</v>
      </c>
      <c r="N823" s="6">
        <f ca="1">IFERROR(__xludf.DUMMYFUNCTION("""COMPUTED_VALUE"""),13045.39)</f>
        <v>13045.39</v>
      </c>
      <c r="R823" s="6" t="str">
        <f t="shared" ca="1" si="222"/>
        <v>20215</v>
      </c>
      <c r="S823" s="6">
        <f t="shared" ca="1" si="223"/>
        <v>2021</v>
      </c>
      <c r="T823" s="6">
        <f t="shared" ca="1" si="224"/>
        <v>5</v>
      </c>
      <c r="U823" s="68">
        <f ca="1">IFERROR(__xludf.DUMMYFUNCTION("""COMPUTED_VALUE"""),44326.6458333333)</f>
        <v>44326.645833333299</v>
      </c>
      <c r="V823" s="6">
        <f ca="1">IFERROR(__xludf.DUMMYFUNCTION("""COMPUTED_VALUE"""),3249.3)</f>
        <v>3249.3</v>
      </c>
      <c r="Z823" s="6" t="str">
        <f t="shared" ca="1" si="225"/>
        <v>20205</v>
      </c>
      <c r="AA823" s="6">
        <f t="shared" ca="1" si="226"/>
        <v>2020</v>
      </c>
      <c r="AB823" s="6">
        <f t="shared" ca="1" si="227"/>
        <v>5</v>
      </c>
      <c r="AC823" s="68">
        <f ca="1">IFERROR(__xludf.DUMMYFUNCTION("""COMPUTED_VALUE"""),43962.9986111111)</f>
        <v>43962.998611111099</v>
      </c>
      <c r="AD823" s="6">
        <f ca="1">IFERROR(__xludf.DUMMYFUNCTION("""COMPUTED_VALUE"""),1222.4)</f>
        <v>1222.4000000000001</v>
      </c>
      <c r="AH823" s="6" t="str">
        <f t="shared" ca="1" si="228"/>
        <v>20203</v>
      </c>
      <c r="AI823" s="6">
        <f t="shared" ca="1" si="229"/>
        <v>2020</v>
      </c>
      <c r="AJ823" s="6">
        <f t="shared" ca="1" si="230"/>
        <v>3</v>
      </c>
      <c r="AK823" s="68">
        <f ca="1">IFERROR(__xludf.DUMMYFUNCTION("""COMPUTED_VALUE"""),43915.9986111111)</f>
        <v>43915.998611111099</v>
      </c>
      <c r="AL823" s="6">
        <f ca="1">IFERROR(__xludf.DUMMYFUNCTION("""COMPUTED_VALUE"""),6689.439)</f>
        <v>6689.4390000000003</v>
      </c>
      <c r="AP823" s="6" t="str">
        <f t="shared" ca="1" si="231"/>
        <v>20214</v>
      </c>
      <c r="AQ823" s="6">
        <f t="shared" ca="1" si="232"/>
        <v>2021</v>
      </c>
      <c r="AR823" s="6">
        <f t="shared" ca="1" si="233"/>
        <v>4</v>
      </c>
      <c r="AS823" s="68">
        <f ca="1">IFERROR(__xludf.DUMMYFUNCTION("""COMPUTED_VALUE"""),44301.9986111111)</f>
        <v>44301.998611111099</v>
      </c>
      <c r="AT823" s="6">
        <f ca="1">IFERROR(__xludf.DUMMYFUNCTION("""COMPUTED_VALUE"""),1766.8)</f>
        <v>1766.8</v>
      </c>
    </row>
    <row r="824" spans="2:46" x14ac:dyDescent="0.35">
      <c r="B824" s="6" t="str">
        <f t="shared" ca="1" si="216"/>
        <v>20214</v>
      </c>
      <c r="C824" s="6">
        <f t="shared" ca="1" si="217"/>
        <v>2021</v>
      </c>
      <c r="D824" s="6">
        <f t="shared" ca="1" si="218"/>
        <v>4</v>
      </c>
      <c r="E824" s="68">
        <f ca="1">IFERROR(__xludf.DUMMYFUNCTION("""COMPUTED_VALUE"""),44294.6666666666)</f>
        <v>44294.666666666599</v>
      </c>
      <c r="F824" s="6">
        <f ca="1">IFERROR(__xludf.DUMMYFUNCTION("""COMPUTED_VALUE"""),4097.17)</f>
        <v>4097.17</v>
      </c>
      <c r="J824" s="6" t="str">
        <f t="shared" ca="1" si="219"/>
        <v>20213</v>
      </c>
      <c r="K824" s="6">
        <f t="shared" ca="1" si="220"/>
        <v>2021</v>
      </c>
      <c r="L824" s="6">
        <f t="shared" ca="1" si="221"/>
        <v>3</v>
      </c>
      <c r="M824" s="68">
        <f ca="1">IFERROR(__xludf.DUMMYFUNCTION("""COMPUTED_VALUE"""),44286.6666666666)</f>
        <v>44286.666666666599</v>
      </c>
      <c r="N824" s="6">
        <f ca="1">IFERROR(__xludf.DUMMYFUNCTION("""COMPUTED_VALUE"""),13246.87)</f>
        <v>13246.87</v>
      </c>
      <c r="R824" s="6" t="str">
        <f t="shared" ca="1" si="222"/>
        <v>20215</v>
      </c>
      <c r="S824" s="6">
        <f t="shared" ca="1" si="223"/>
        <v>2021</v>
      </c>
      <c r="T824" s="6">
        <f t="shared" ca="1" si="224"/>
        <v>5</v>
      </c>
      <c r="U824" s="68">
        <f ca="1">IFERROR(__xludf.DUMMYFUNCTION("""COMPUTED_VALUE"""),44327.6458333333)</f>
        <v>44327.645833333299</v>
      </c>
      <c r="V824" s="6">
        <f ca="1">IFERROR(__xludf.DUMMYFUNCTION("""COMPUTED_VALUE"""),3209.43)</f>
        <v>3209.43</v>
      </c>
      <c r="Z824" s="6" t="str">
        <f t="shared" ca="1" si="225"/>
        <v>20205</v>
      </c>
      <c r="AA824" s="6">
        <f t="shared" ca="1" si="226"/>
        <v>2020</v>
      </c>
      <c r="AB824" s="6">
        <f t="shared" ca="1" si="227"/>
        <v>5</v>
      </c>
      <c r="AC824" s="68">
        <f ca="1">IFERROR(__xludf.DUMMYFUNCTION("""COMPUTED_VALUE"""),43963.9986111111)</f>
        <v>43963.998611111099</v>
      </c>
      <c r="AD824" s="6">
        <f ca="1">IFERROR(__xludf.DUMMYFUNCTION("""COMPUTED_VALUE"""),1225.65)</f>
        <v>1225.6500000000001</v>
      </c>
      <c r="AH824" s="6" t="str">
        <f t="shared" ca="1" si="228"/>
        <v>20203</v>
      </c>
      <c r="AI824" s="6">
        <f t="shared" ca="1" si="229"/>
        <v>2020</v>
      </c>
      <c r="AJ824" s="6">
        <f t="shared" ca="1" si="230"/>
        <v>3</v>
      </c>
      <c r="AK824" s="68">
        <f ca="1">IFERROR(__xludf.DUMMYFUNCTION("""COMPUTED_VALUE"""),43916.9986111111)</f>
        <v>43916.998611111099</v>
      </c>
      <c r="AL824" s="6">
        <f ca="1">IFERROR(__xludf.DUMMYFUNCTION("""COMPUTED_VALUE"""),6756.918)</f>
        <v>6756.9179999999997</v>
      </c>
      <c r="AP824" s="6" t="str">
        <f t="shared" ca="1" si="231"/>
        <v>20214</v>
      </c>
      <c r="AQ824" s="6">
        <f t="shared" ca="1" si="232"/>
        <v>2021</v>
      </c>
      <c r="AR824" s="6">
        <f t="shared" ca="1" si="233"/>
        <v>4</v>
      </c>
      <c r="AS824" s="68">
        <f ca="1">IFERROR(__xludf.DUMMYFUNCTION("""COMPUTED_VALUE"""),44302.9986111111)</f>
        <v>44302.998611111099</v>
      </c>
      <c r="AT824" s="6">
        <f ca="1">IFERROR(__xludf.DUMMYFUNCTION("""COMPUTED_VALUE"""),1780.2)</f>
        <v>1780.2</v>
      </c>
    </row>
    <row r="825" spans="2:46" x14ac:dyDescent="0.35">
      <c r="B825" s="6" t="str">
        <f t="shared" ca="1" si="216"/>
        <v>20214</v>
      </c>
      <c r="C825" s="6">
        <f t="shared" ca="1" si="217"/>
        <v>2021</v>
      </c>
      <c r="D825" s="6">
        <f t="shared" ca="1" si="218"/>
        <v>4</v>
      </c>
      <c r="E825" s="68">
        <f ca="1">IFERROR(__xludf.DUMMYFUNCTION("""COMPUTED_VALUE"""),44295.6666666666)</f>
        <v>44295.666666666599</v>
      </c>
      <c r="F825" s="6">
        <f ca="1">IFERROR(__xludf.DUMMYFUNCTION("""COMPUTED_VALUE"""),4128.8)</f>
        <v>4128.8</v>
      </c>
      <c r="J825" s="6" t="str">
        <f t="shared" ca="1" si="219"/>
        <v>20214</v>
      </c>
      <c r="K825" s="6">
        <f t="shared" ca="1" si="220"/>
        <v>2021</v>
      </c>
      <c r="L825" s="6">
        <f t="shared" ca="1" si="221"/>
        <v>4</v>
      </c>
      <c r="M825" s="68">
        <f ca="1">IFERROR(__xludf.DUMMYFUNCTION("""COMPUTED_VALUE"""),44287.6666666666)</f>
        <v>44287.666666666599</v>
      </c>
      <c r="N825" s="6">
        <f ca="1">IFERROR(__xludf.DUMMYFUNCTION("""COMPUTED_VALUE"""),13480.11)</f>
        <v>13480.11</v>
      </c>
      <c r="R825" s="6" t="str">
        <f t="shared" ca="1" si="222"/>
        <v>20215</v>
      </c>
      <c r="S825" s="6">
        <f t="shared" ca="1" si="223"/>
        <v>2021</v>
      </c>
      <c r="T825" s="6">
        <f t="shared" ca="1" si="224"/>
        <v>5</v>
      </c>
      <c r="U825" s="68">
        <f ca="1">IFERROR(__xludf.DUMMYFUNCTION("""COMPUTED_VALUE"""),44328.6458333333)</f>
        <v>44328.645833333299</v>
      </c>
      <c r="V825" s="6">
        <f ca="1">IFERROR(__xludf.DUMMYFUNCTION("""COMPUTED_VALUE"""),3161.66)</f>
        <v>3161.66</v>
      </c>
      <c r="Z825" s="6" t="str">
        <f t="shared" ca="1" si="225"/>
        <v>20205</v>
      </c>
      <c r="AA825" s="6">
        <f t="shared" ca="1" si="226"/>
        <v>2020</v>
      </c>
      <c r="AB825" s="6">
        <f t="shared" ca="1" si="227"/>
        <v>5</v>
      </c>
      <c r="AC825" s="68">
        <f ca="1">IFERROR(__xludf.DUMMYFUNCTION("""COMPUTED_VALUE"""),43964.9986111111)</f>
        <v>43964.998611111099</v>
      </c>
      <c r="AD825" s="6">
        <f ca="1">IFERROR(__xludf.DUMMYFUNCTION("""COMPUTED_VALUE"""),1226.55)</f>
        <v>1226.55</v>
      </c>
      <c r="AH825" s="6" t="str">
        <f t="shared" ca="1" si="228"/>
        <v>20203</v>
      </c>
      <c r="AI825" s="6">
        <f t="shared" ca="1" si="229"/>
        <v>2020</v>
      </c>
      <c r="AJ825" s="6">
        <f t="shared" ca="1" si="230"/>
        <v>3</v>
      </c>
      <c r="AK825" s="68">
        <f ca="1">IFERROR(__xludf.DUMMYFUNCTION("""COMPUTED_VALUE"""),43917.9986111111)</f>
        <v>43917.998611111099</v>
      </c>
      <c r="AL825" s="6">
        <f ca="1">IFERROR(__xludf.DUMMYFUNCTION("""COMPUTED_VALUE"""),6367.725)</f>
        <v>6367.7250000000004</v>
      </c>
      <c r="AP825" s="6" t="str">
        <f t="shared" ca="1" si="231"/>
        <v>20214</v>
      </c>
      <c r="AQ825" s="6">
        <f t="shared" ca="1" si="232"/>
        <v>2021</v>
      </c>
      <c r="AR825" s="6">
        <f t="shared" ca="1" si="233"/>
        <v>4</v>
      </c>
      <c r="AS825" s="68">
        <f ca="1">IFERROR(__xludf.DUMMYFUNCTION("""COMPUTED_VALUE"""),44305.9986111111)</f>
        <v>44305.998611111099</v>
      </c>
      <c r="AT825" s="6">
        <f ca="1">IFERROR(__xludf.DUMMYFUNCTION("""COMPUTED_VALUE"""),1770.6)</f>
        <v>1770.6</v>
      </c>
    </row>
    <row r="826" spans="2:46" x14ac:dyDescent="0.35">
      <c r="B826" s="6" t="str">
        <f t="shared" ca="1" si="216"/>
        <v>20214</v>
      </c>
      <c r="C826" s="6">
        <f t="shared" ca="1" si="217"/>
        <v>2021</v>
      </c>
      <c r="D826" s="6">
        <f t="shared" ca="1" si="218"/>
        <v>4</v>
      </c>
      <c r="E826" s="68">
        <f ca="1">IFERROR(__xludf.DUMMYFUNCTION("""COMPUTED_VALUE"""),44298.6666666666)</f>
        <v>44298.666666666599</v>
      </c>
      <c r="F826" s="6">
        <f ca="1">IFERROR(__xludf.DUMMYFUNCTION("""COMPUTED_VALUE"""),4127.99)</f>
        <v>4127.99</v>
      </c>
      <c r="J826" s="6" t="str">
        <f t="shared" ca="1" si="219"/>
        <v>20214</v>
      </c>
      <c r="K826" s="6">
        <f t="shared" ca="1" si="220"/>
        <v>2021</v>
      </c>
      <c r="L826" s="6">
        <f t="shared" ca="1" si="221"/>
        <v>4</v>
      </c>
      <c r="M826" s="68">
        <f ca="1">IFERROR(__xludf.DUMMYFUNCTION("""COMPUTED_VALUE"""),44291.6666666666)</f>
        <v>44291.666666666599</v>
      </c>
      <c r="N826" s="6">
        <f ca="1">IFERROR(__xludf.DUMMYFUNCTION("""COMPUTED_VALUE"""),13705.59)</f>
        <v>13705.59</v>
      </c>
      <c r="R826" s="6" t="str">
        <f t="shared" ca="1" si="222"/>
        <v>20215</v>
      </c>
      <c r="S826" s="6">
        <f t="shared" ca="1" si="223"/>
        <v>2021</v>
      </c>
      <c r="T826" s="6">
        <f t="shared" ca="1" si="224"/>
        <v>5</v>
      </c>
      <c r="U826" s="68">
        <f ca="1">IFERROR(__xludf.DUMMYFUNCTION("""COMPUTED_VALUE"""),44329.6458333333)</f>
        <v>44329.645833333299</v>
      </c>
      <c r="V826" s="6">
        <f ca="1">IFERROR(__xludf.DUMMYFUNCTION("""COMPUTED_VALUE"""),3122.11)</f>
        <v>3122.11</v>
      </c>
      <c r="Z826" s="6" t="str">
        <f t="shared" ca="1" si="225"/>
        <v>20205</v>
      </c>
      <c r="AA826" s="6">
        <f t="shared" ca="1" si="226"/>
        <v>2020</v>
      </c>
      <c r="AB826" s="6">
        <f t="shared" ca="1" si="227"/>
        <v>5</v>
      </c>
      <c r="AC826" s="68">
        <f ca="1">IFERROR(__xludf.DUMMYFUNCTION("""COMPUTED_VALUE"""),43965.9986111111)</f>
        <v>43965.998611111099</v>
      </c>
      <c r="AD826" s="6">
        <f ca="1">IFERROR(__xludf.DUMMYFUNCTION("""COMPUTED_VALUE"""),1225.46)</f>
        <v>1225.46</v>
      </c>
      <c r="AH826" s="6" t="str">
        <f t="shared" ca="1" si="228"/>
        <v>20203</v>
      </c>
      <c r="AI826" s="6">
        <f t="shared" ca="1" si="229"/>
        <v>2020</v>
      </c>
      <c r="AJ826" s="6">
        <f t="shared" ca="1" si="230"/>
        <v>3</v>
      </c>
      <c r="AK826" s="68">
        <f ca="1">IFERROR(__xludf.DUMMYFUNCTION("""COMPUTED_VALUE"""),43918.9986111111)</f>
        <v>43918.998611111099</v>
      </c>
      <c r="AL826" s="6">
        <f ca="1">IFERROR(__xludf.DUMMYFUNCTION("""COMPUTED_VALUE"""),6252.42)</f>
        <v>6252.42</v>
      </c>
      <c r="AP826" s="6" t="str">
        <f t="shared" ca="1" si="231"/>
        <v>20214</v>
      </c>
      <c r="AQ826" s="6">
        <f t="shared" ca="1" si="232"/>
        <v>2021</v>
      </c>
      <c r="AR826" s="6">
        <f t="shared" ca="1" si="233"/>
        <v>4</v>
      </c>
      <c r="AS826" s="68">
        <f ca="1">IFERROR(__xludf.DUMMYFUNCTION("""COMPUTED_VALUE"""),44306.9986111111)</f>
        <v>44306.998611111099</v>
      </c>
      <c r="AT826" s="6">
        <f ca="1">IFERROR(__xludf.DUMMYFUNCTION("""COMPUTED_VALUE"""),1778.4)</f>
        <v>1778.4</v>
      </c>
    </row>
    <row r="827" spans="2:46" x14ac:dyDescent="0.35">
      <c r="B827" s="6" t="str">
        <f t="shared" ca="1" si="216"/>
        <v>20214</v>
      </c>
      <c r="C827" s="6">
        <f t="shared" ca="1" si="217"/>
        <v>2021</v>
      </c>
      <c r="D827" s="6">
        <f t="shared" ca="1" si="218"/>
        <v>4</v>
      </c>
      <c r="E827" s="68">
        <f ca="1">IFERROR(__xludf.DUMMYFUNCTION("""COMPUTED_VALUE"""),44299.6666666666)</f>
        <v>44299.666666666599</v>
      </c>
      <c r="F827" s="6">
        <f ca="1">IFERROR(__xludf.DUMMYFUNCTION("""COMPUTED_VALUE"""),4141.59)</f>
        <v>4141.59</v>
      </c>
      <c r="J827" s="6" t="str">
        <f t="shared" ca="1" si="219"/>
        <v>20214</v>
      </c>
      <c r="K827" s="6">
        <f t="shared" ca="1" si="220"/>
        <v>2021</v>
      </c>
      <c r="L827" s="6">
        <f t="shared" ca="1" si="221"/>
        <v>4</v>
      </c>
      <c r="M827" s="68">
        <f ca="1">IFERROR(__xludf.DUMMYFUNCTION("""COMPUTED_VALUE"""),44292.6666666666)</f>
        <v>44292.666666666599</v>
      </c>
      <c r="N827" s="6">
        <f ca="1">IFERROR(__xludf.DUMMYFUNCTION("""COMPUTED_VALUE"""),13698.38)</f>
        <v>13698.38</v>
      </c>
      <c r="R827" s="6" t="str">
        <f t="shared" ca="1" si="222"/>
        <v>20215</v>
      </c>
      <c r="S827" s="6">
        <f t="shared" ca="1" si="223"/>
        <v>2021</v>
      </c>
      <c r="T827" s="6">
        <f t="shared" ca="1" si="224"/>
        <v>5</v>
      </c>
      <c r="U827" s="68">
        <f ca="1">IFERROR(__xludf.DUMMYFUNCTION("""COMPUTED_VALUE"""),44330.6458333333)</f>
        <v>44330.645833333299</v>
      </c>
      <c r="V827" s="6">
        <f ca="1">IFERROR(__xludf.DUMMYFUNCTION("""COMPUTED_VALUE"""),3153.32)</f>
        <v>3153.32</v>
      </c>
      <c r="Z827" s="6" t="str">
        <f t="shared" ca="1" si="225"/>
        <v>20205</v>
      </c>
      <c r="AA827" s="6">
        <f t="shared" ca="1" si="226"/>
        <v>2020</v>
      </c>
      <c r="AB827" s="6">
        <f t="shared" ca="1" si="227"/>
        <v>5</v>
      </c>
      <c r="AC827" s="68">
        <f ca="1">IFERROR(__xludf.DUMMYFUNCTION("""COMPUTED_VALUE"""),43966.9986111111)</f>
        <v>43966.998611111099</v>
      </c>
      <c r="AD827" s="6">
        <f ca="1">IFERROR(__xludf.DUMMYFUNCTION("""COMPUTED_VALUE"""),1232.19)</f>
        <v>1232.19</v>
      </c>
      <c r="AH827" s="6" t="str">
        <f t="shared" ca="1" si="228"/>
        <v>20203</v>
      </c>
      <c r="AI827" s="6">
        <f t="shared" ca="1" si="229"/>
        <v>2020</v>
      </c>
      <c r="AJ827" s="6">
        <f t="shared" ca="1" si="230"/>
        <v>3</v>
      </c>
      <c r="AK827" s="68">
        <f ca="1">IFERROR(__xludf.DUMMYFUNCTION("""COMPUTED_VALUE"""),43919.9986111111)</f>
        <v>43919.998611111099</v>
      </c>
      <c r="AL827" s="6">
        <f ca="1">IFERROR(__xludf.DUMMYFUNCTION("""COMPUTED_VALUE"""),5884.482)</f>
        <v>5884.482</v>
      </c>
      <c r="AP827" s="6" t="str">
        <f t="shared" ca="1" si="231"/>
        <v>20214</v>
      </c>
      <c r="AQ827" s="6">
        <f t="shared" ca="1" si="232"/>
        <v>2021</v>
      </c>
      <c r="AR827" s="6">
        <f t="shared" ca="1" si="233"/>
        <v>4</v>
      </c>
      <c r="AS827" s="68">
        <f ca="1">IFERROR(__xludf.DUMMYFUNCTION("""COMPUTED_VALUE"""),44307.9986111111)</f>
        <v>44307.998611111099</v>
      </c>
      <c r="AT827" s="6">
        <f ca="1">IFERROR(__xludf.DUMMYFUNCTION("""COMPUTED_VALUE"""),1793.1)</f>
        <v>1793.1</v>
      </c>
    </row>
    <row r="828" spans="2:46" x14ac:dyDescent="0.35">
      <c r="B828" s="6" t="str">
        <f t="shared" ca="1" si="216"/>
        <v>20214</v>
      </c>
      <c r="C828" s="6">
        <f t="shared" ca="1" si="217"/>
        <v>2021</v>
      </c>
      <c r="D828" s="6">
        <f t="shared" ca="1" si="218"/>
        <v>4</v>
      </c>
      <c r="E828" s="68">
        <f ca="1">IFERROR(__xludf.DUMMYFUNCTION("""COMPUTED_VALUE"""),44300.6666666666)</f>
        <v>44300.666666666599</v>
      </c>
      <c r="F828" s="6">
        <f ca="1">IFERROR(__xludf.DUMMYFUNCTION("""COMPUTED_VALUE"""),4124.66)</f>
        <v>4124.66</v>
      </c>
      <c r="J828" s="6" t="str">
        <f t="shared" ca="1" si="219"/>
        <v>20214</v>
      </c>
      <c r="K828" s="6">
        <f t="shared" ca="1" si="220"/>
        <v>2021</v>
      </c>
      <c r="L828" s="6">
        <f t="shared" ca="1" si="221"/>
        <v>4</v>
      </c>
      <c r="M828" s="68">
        <f ca="1">IFERROR(__xludf.DUMMYFUNCTION("""COMPUTED_VALUE"""),44293.6666666666)</f>
        <v>44293.666666666599</v>
      </c>
      <c r="N828" s="6">
        <f ca="1">IFERROR(__xludf.DUMMYFUNCTION("""COMPUTED_VALUE"""),13688.84)</f>
        <v>13688.84</v>
      </c>
      <c r="R828" s="6" t="str">
        <f t="shared" ca="1" si="222"/>
        <v>20215</v>
      </c>
      <c r="S828" s="6">
        <f t="shared" ca="1" si="223"/>
        <v>2021</v>
      </c>
      <c r="T828" s="6">
        <f t="shared" ca="1" si="224"/>
        <v>5</v>
      </c>
      <c r="U828" s="68">
        <f ca="1">IFERROR(__xludf.DUMMYFUNCTION("""COMPUTED_VALUE"""),44333.6458333333)</f>
        <v>44333.645833333299</v>
      </c>
      <c r="V828" s="6">
        <f ca="1">IFERROR(__xludf.DUMMYFUNCTION("""COMPUTED_VALUE"""),3134.52)</f>
        <v>3134.52</v>
      </c>
      <c r="Z828" s="6" t="str">
        <f t="shared" ca="1" si="225"/>
        <v>20205</v>
      </c>
      <c r="AA828" s="6">
        <f t="shared" ca="1" si="226"/>
        <v>2020</v>
      </c>
      <c r="AB828" s="6">
        <f t="shared" ca="1" si="227"/>
        <v>5</v>
      </c>
      <c r="AC828" s="68">
        <f ca="1">IFERROR(__xludf.DUMMYFUNCTION("""COMPUTED_VALUE"""),43967.9986111111)</f>
        <v>43967.998611111099</v>
      </c>
      <c r="AD828" s="6">
        <f ca="1">IFERROR(__xludf.DUMMYFUNCTION("""COMPUTED_VALUE"""),1232.19)</f>
        <v>1232.19</v>
      </c>
      <c r="AH828" s="6" t="str">
        <f t="shared" ca="1" si="228"/>
        <v>20203</v>
      </c>
      <c r="AI828" s="6">
        <f t="shared" ca="1" si="229"/>
        <v>2020</v>
      </c>
      <c r="AJ828" s="6">
        <f t="shared" ca="1" si="230"/>
        <v>3</v>
      </c>
      <c r="AK828" s="68">
        <f ca="1">IFERROR(__xludf.DUMMYFUNCTION("""COMPUTED_VALUE"""),43920.9986111111)</f>
        <v>43920.998611111099</v>
      </c>
      <c r="AL828" s="6">
        <f ca="1">IFERROR(__xludf.DUMMYFUNCTION("""COMPUTED_VALUE"""),6404.268)</f>
        <v>6404.268</v>
      </c>
      <c r="AP828" s="6" t="str">
        <f t="shared" ca="1" si="231"/>
        <v>20214</v>
      </c>
      <c r="AQ828" s="6">
        <f t="shared" ca="1" si="232"/>
        <v>2021</v>
      </c>
      <c r="AR828" s="6">
        <f t="shared" ca="1" si="233"/>
        <v>4</v>
      </c>
      <c r="AS828" s="68">
        <f ca="1">IFERROR(__xludf.DUMMYFUNCTION("""COMPUTED_VALUE"""),44308.9986111111)</f>
        <v>44308.998611111099</v>
      </c>
      <c r="AT828" s="6">
        <f ca="1">IFERROR(__xludf.DUMMYFUNCTION("""COMPUTED_VALUE"""),1782)</f>
        <v>1782</v>
      </c>
    </row>
    <row r="829" spans="2:46" x14ac:dyDescent="0.35">
      <c r="B829" s="6" t="str">
        <f t="shared" ca="1" si="216"/>
        <v>20214</v>
      </c>
      <c r="C829" s="6">
        <f t="shared" ca="1" si="217"/>
        <v>2021</v>
      </c>
      <c r="D829" s="6">
        <f t="shared" ca="1" si="218"/>
        <v>4</v>
      </c>
      <c r="E829" s="68">
        <f ca="1">IFERROR(__xludf.DUMMYFUNCTION("""COMPUTED_VALUE"""),44301.6666666666)</f>
        <v>44301.666666666599</v>
      </c>
      <c r="F829" s="6">
        <f ca="1">IFERROR(__xludf.DUMMYFUNCTION("""COMPUTED_VALUE"""),4170.42)</f>
        <v>4170.42</v>
      </c>
      <c r="J829" s="6" t="str">
        <f t="shared" ca="1" si="219"/>
        <v>20214</v>
      </c>
      <c r="K829" s="6">
        <f t="shared" ca="1" si="220"/>
        <v>2021</v>
      </c>
      <c r="L829" s="6">
        <f t="shared" ca="1" si="221"/>
        <v>4</v>
      </c>
      <c r="M829" s="68">
        <f ca="1">IFERROR(__xludf.DUMMYFUNCTION("""COMPUTED_VALUE"""),44294.6666666666)</f>
        <v>44294.666666666599</v>
      </c>
      <c r="N829" s="6">
        <f ca="1">IFERROR(__xludf.DUMMYFUNCTION("""COMPUTED_VALUE"""),13829.31)</f>
        <v>13829.31</v>
      </c>
      <c r="R829" s="6" t="str">
        <f t="shared" ca="1" si="222"/>
        <v>20215</v>
      </c>
      <c r="S829" s="6">
        <f t="shared" ca="1" si="223"/>
        <v>2021</v>
      </c>
      <c r="T829" s="6">
        <f t="shared" ca="1" si="224"/>
        <v>5</v>
      </c>
      <c r="U829" s="68">
        <f ca="1">IFERROR(__xludf.DUMMYFUNCTION("""COMPUTED_VALUE"""),44334.6458333333)</f>
        <v>44334.645833333299</v>
      </c>
      <c r="V829" s="6">
        <f ca="1">IFERROR(__xludf.DUMMYFUNCTION("""COMPUTED_VALUE"""),3173.05)</f>
        <v>3173.05</v>
      </c>
      <c r="Z829" s="6" t="str">
        <f t="shared" ca="1" si="225"/>
        <v>20205</v>
      </c>
      <c r="AA829" s="6">
        <f t="shared" ca="1" si="226"/>
        <v>2020</v>
      </c>
      <c r="AB829" s="6">
        <f t="shared" ca="1" si="227"/>
        <v>5</v>
      </c>
      <c r="AC829" s="68">
        <f ca="1">IFERROR(__xludf.DUMMYFUNCTION("""COMPUTED_VALUE"""),43968.9986111111)</f>
        <v>43968.998611111099</v>
      </c>
      <c r="AD829" s="6">
        <f ca="1">IFERROR(__xludf.DUMMYFUNCTION("""COMPUTED_VALUE"""),1232.09)</f>
        <v>1232.0899999999999</v>
      </c>
      <c r="AH829" s="6" t="str">
        <f t="shared" ca="1" si="228"/>
        <v>20203</v>
      </c>
      <c r="AI829" s="6">
        <f t="shared" ca="1" si="229"/>
        <v>2020</v>
      </c>
      <c r="AJ829" s="6">
        <f t="shared" ca="1" si="230"/>
        <v>3</v>
      </c>
      <c r="AK829" s="68">
        <f ca="1">IFERROR(__xludf.DUMMYFUNCTION("""COMPUTED_VALUE"""),43921.9986111111)</f>
        <v>43921.998611111099</v>
      </c>
      <c r="AL829" s="6">
        <f ca="1">IFERROR(__xludf.DUMMYFUNCTION("""COMPUTED_VALUE"""),6422.229)</f>
        <v>6422.2290000000003</v>
      </c>
      <c r="AP829" s="6" t="str">
        <f t="shared" ca="1" si="231"/>
        <v>20214</v>
      </c>
      <c r="AQ829" s="6">
        <f t="shared" ca="1" si="232"/>
        <v>2021</v>
      </c>
      <c r="AR829" s="6">
        <f t="shared" ca="1" si="233"/>
        <v>4</v>
      </c>
      <c r="AS829" s="68">
        <f ca="1">IFERROR(__xludf.DUMMYFUNCTION("""COMPUTED_VALUE"""),44309.9986111111)</f>
        <v>44309.998611111099</v>
      </c>
      <c r="AT829" s="6">
        <f ca="1">IFERROR(__xludf.DUMMYFUNCTION("""COMPUTED_VALUE"""),1777.8)</f>
        <v>1777.8</v>
      </c>
    </row>
    <row r="830" spans="2:46" x14ac:dyDescent="0.35">
      <c r="B830" s="6" t="str">
        <f t="shared" ca="1" si="216"/>
        <v>20214</v>
      </c>
      <c r="C830" s="6">
        <f t="shared" ca="1" si="217"/>
        <v>2021</v>
      </c>
      <c r="D830" s="6">
        <f t="shared" ca="1" si="218"/>
        <v>4</v>
      </c>
      <c r="E830" s="68">
        <f ca="1">IFERROR(__xludf.DUMMYFUNCTION("""COMPUTED_VALUE"""),44302.6666666666)</f>
        <v>44302.666666666599</v>
      </c>
      <c r="F830" s="6">
        <f ca="1">IFERROR(__xludf.DUMMYFUNCTION("""COMPUTED_VALUE"""),4185.47)</f>
        <v>4185.47</v>
      </c>
      <c r="J830" s="6" t="str">
        <f t="shared" ca="1" si="219"/>
        <v>20214</v>
      </c>
      <c r="K830" s="6">
        <f t="shared" ca="1" si="220"/>
        <v>2021</v>
      </c>
      <c r="L830" s="6">
        <f t="shared" ca="1" si="221"/>
        <v>4</v>
      </c>
      <c r="M830" s="68">
        <f ca="1">IFERROR(__xludf.DUMMYFUNCTION("""COMPUTED_VALUE"""),44295.6666666666)</f>
        <v>44295.666666666599</v>
      </c>
      <c r="N830" s="6">
        <f ca="1">IFERROR(__xludf.DUMMYFUNCTION("""COMPUTED_VALUE"""),13900.19)</f>
        <v>13900.19</v>
      </c>
      <c r="R830" s="6" t="str">
        <f t="shared" ca="1" si="222"/>
        <v>20215</v>
      </c>
      <c r="S830" s="6">
        <f t="shared" ca="1" si="223"/>
        <v>2021</v>
      </c>
      <c r="T830" s="6">
        <f t="shared" ca="1" si="224"/>
        <v>5</v>
      </c>
      <c r="U830" s="68">
        <f ca="1">IFERROR(__xludf.DUMMYFUNCTION("""COMPUTED_VALUE"""),44336.6458333333)</f>
        <v>44336.645833333299</v>
      </c>
      <c r="V830" s="6">
        <f ca="1">IFERROR(__xludf.DUMMYFUNCTION("""COMPUTED_VALUE"""),3162.28)</f>
        <v>3162.28</v>
      </c>
      <c r="Z830" s="6" t="str">
        <f t="shared" ca="1" si="225"/>
        <v>20205</v>
      </c>
      <c r="AA830" s="6">
        <f t="shared" ca="1" si="226"/>
        <v>2020</v>
      </c>
      <c r="AB830" s="6">
        <f t="shared" ca="1" si="227"/>
        <v>5</v>
      </c>
      <c r="AC830" s="68">
        <f ca="1">IFERROR(__xludf.DUMMYFUNCTION("""COMPUTED_VALUE"""),43969.9986111111)</f>
        <v>43969.998611111099</v>
      </c>
      <c r="AD830" s="6">
        <f ca="1">IFERROR(__xludf.DUMMYFUNCTION("""COMPUTED_VALUE"""),1224.2)</f>
        <v>1224.2</v>
      </c>
      <c r="AH830" s="6" t="str">
        <f t="shared" ca="1" si="228"/>
        <v>20204</v>
      </c>
      <c r="AI830" s="6">
        <f t="shared" ca="1" si="229"/>
        <v>2020</v>
      </c>
      <c r="AJ830" s="6">
        <f t="shared" ca="1" si="230"/>
        <v>4</v>
      </c>
      <c r="AK830" s="68">
        <f ca="1">IFERROR(__xludf.DUMMYFUNCTION("""COMPUTED_VALUE"""),43922.9986111111)</f>
        <v>43922.998611111099</v>
      </c>
      <c r="AL830" s="6">
        <f ca="1">IFERROR(__xludf.DUMMYFUNCTION("""COMPUTED_VALUE"""),6662.319)</f>
        <v>6662.3190000000004</v>
      </c>
      <c r="AP830" s="6" t="str">
        <f t="shared" ca="1" si="231"/>
        <v>20214</v>
      </c>
      <c r="AQ830" s="6">
        <f t="shared" ca="1" si="232"/>
        <v>2021</v>
      </c>
      <c r="AR830" s="6">
        <f t="shared" ca="1" si="233"/>
        <v>4</v>
      </c>
      <c r="AS830" s="68">
        <f ca="1">IFERROR(__xludf.DUMMYFUNCTION("""COMPUTED_VALUE"""),44312.9986111111)</f>
        <v>44312.998611111099</v>
      </c>
      <c r="AT830" s="6">
        <f ca="1">IFERROR(__xludf.DUMMYFUNCTION("""COMPUTED_VALUE"""),1780.1)</f>
        <v>1780.1</v>
      </c>
    </row>
    <row r="831" spans="2:46" x14ac:dyDescent="0.35">
      <c r="B831" s="6" t="str">
        <f t="shared" ca="1" si="216"/>
        <v>20214</v>
      </c>
      <c r="C831" s="6">
        <f t="shared" ca="1" si="217"/>
        <v>2021</v>
      </c>
      <c r="D831" s="6">
        <f t="shared" ca="1" si="218"/>
        <v>4</v>
      </c>
      <c r="E831" s="68">
        <f ca="1">IFERROR(__xludf.DUMMYFUNCTION("""COMPUTED_VALUE"""),44305.6666666666)</f>
        <v>44305.666666666599</v>
      </c>
      <c r="F831" s="6">
        <f ca="1">IFERROR(__xludf.DUMMYFUNCTION("""COMPUTED_VALUE"""),4163.26)</f>
        <v>4163.26</v>
      </c>
      <c r="J831" s="6" t="str">
        <f t="shared" ca="1" si="219"/>
        <v>20214</v>
      </c>
      <c r="K831" s="6">
        <f t="shared" ca="1" si="220"/>
        <v>2021</v>
      </c>
      <c r="L831" s="6">
        <f t="shared" ca="1" si="221"/>
        <v>4</v>
      </c>
      <c r="M831" s="68">
        <f ca="1">IFERROR(__xludf.DUMMYFUNCTION("""COMPUTED_VALUE"""),44298.6666666666)</f>
        <v>44298.666666666599</v>
      </c>
      <c r="N831" s="6">
        <f ca="1">IFERROR(__xludf.DUMMYFUNCTION("""COMPUTED_VALUE"""),13850)</f>
        <v>13850</v>
      </c>
      <c r="R831" s="6" t="str">
        <f t="shared" ca="1" si="222"/>
        <v>20215</v>
      </c>
      <c r="S831" s="6">
        <f t="shared" ca="1" si="223"/>
        <v>2021</v>
      </c>
      <c r="T831" s="6">
        <f t="shared" ca="1" si="224"/>
        <v>5</v>
      </c>
      <c r="U831" s="68">
        <f ca="1">IFERROR(__xludf.DUMMYFUNCTION("""COMPUTED_VALUE"""),44337.6458333333)</f>
        <v>44337.645833333299</v>
      </c>
      <c r="V831" s="6">
        <f ca="1">IFERROR(__xludf.DUMMYFUNCTION("""COMPUTED_VALUE"""),3156.42)</f>
        <v>3156.42</v>
      </c>
      <c r="Z831" s="6" t="str">
        <f t="shared" ca="1" si="225"/>
        <v>20205</v>
      </c>
      <c r="AA831" s="6">
        <f t="shared" ca="1" si="226"/>
        <v>2020</v>
      </c>
      <c r="AB831" s="6">
        <f t="shared" ca="1" si="227"/>
        <v>5</v>
      </c>
      <c r="AC831" s="68">
        <f ca="1">IFERROR(__xludf.DUMMYFUNCTION("""COMPUTED_VALUE"""),43970.9986111111)</f>
        <v>43970.998611111099</v>
      </c>
      <c r="AD831" s="6">
        <f ca="1">IFERROR(__xludf.DUMMYFUNCTION("""COMPUTED_VALUE"""),1224.32)</f>
        <v>1224.32</v>
      </c>
      <c r="AH831" s="6" t="str">
        <f t="shared" ca="1" si="228"/>
        <v>20204</v>
      </c>
      <c r="AI831" s="6">
        <f t="shared" ca="1" si="229"/>
        <v>2020</v>
      </c>
      <c r="AJ831" s="6">
        <f t="shared" ca="1" si="230"/>
        <v>4</v>
      </c>
      <c r="AK831" s="68">
        <f ca="1">IFERROR(__xludf.DUMMYFUNCTION("""COMPUTED_VALUE"""),43923.9986111111)</f>
        <v>43923.998611111099</v>
      </c>
      <c r="AL831" s="6">
        <f ca="1">IFERROR(__xludf.DUMMYFUNCTION("""COMPUTED_VALUE"""),6806.137)</f>
        <v>6806.1369999999997</v>
      </c>
      <c r="AP831" s="6" t="str">
        <f t="shared" ca="1" si="231"/>
        <v>20214</v>
      </c>
      <c r="AQ831" s="6">
        <f t="shared" ca="1" si="232"/>
        <v>2021</v>
      </c>
      <c r="AR831" s="6">
        <f t="shared" ca="1" si="233"/>
        <v>4</v>
      </c>
      <c r="AS831" s="68">
        <f ca="1">IFERROR(__xludf.DUMMYFUNCTION("""COMPUTED_VALUE"""),44313.9986111111)</f>
        <v>44313.998611111099</v>
      </c>
      <c r="AT831" s="6">
        <f ca="1">IFERROR(__xludf.DUMMYFUNCTION("""COMPUTED_VALUE"""),1778.8)</f>
        <v>1778.8</v>
      </c>
    </row>
    <row r="832" spans="2:46" x14ac:dyDescent="0.35">
      <c r="B832" s="6" t="str">
        <f t="shared" ca="1" si="216"/>
        <v>20214</v>
      </c>
      <c r="C832" s="6">
        <f t="shared" ca="1" si="217"/>
        <v>2021</v>
      </c>
      <c r="D832" s="6">
        <f t="shared" ca="1" si="218"/>
        <v>4</v>
      </c>
      <c r="E832" s="68">
        <f ca="1">IFERROR(__xludf.DUMMYFUNCTION("""COMPUTED_VALUE"""),44306.6666666666)</f>
        <v>44306.666666666599</v>
      </c>
      <c r="F832" s="6">
        <f ca="1">IFERROR(__xludf.DUMMYFUNCTION("""COMPUTED_VALUE"""),4134.94)</f>
        <v>4134.9399999999996</v>
      </c>
      <c r="J832" s="6" t="str">
        <f t="shared" ca="1" si="219"/>
        <v>20214</v>
      </c>
      <c r="K832" s="6">
        <f t="shared" ca="1" si="220"/>
        <v>2021</v>
      </c>
      <c r="L832" s="6">
        <f t="shared" ca="1" si="221"/>
        <v>4</v>
      </c>
      <c r="M832" s="68">
        <f ca="1">IFERROR(__xludf.DUMMYFUNCTION("""COMPUTED_VALUE"""),44299.6666666666)</f>
        <v>44299.666666666599</v>
      </c>
      <c r="N832" s="6">
        <f ca="1">IFERROR(__xludf.DUMMYFUNCTION("""COMPUTED_VALUE"""),13996.1)</f>
        <v>13996.1</v>
      </c>
      <c r="R832" s="6" t="str">
        <f t="shared" ca="1" si="222"/>
        <v>20215</v>
      </c>
      <c r="S832" s="6">
        <f t="shared" ca="1" si="223"/>
        <v>2021</v>
      </c>
      <c r="T832" s="6">
        <f t="shared" ca="1" si="224"/>
        <v>5</v>
      </c>
      <c r="U832" s="68">
        <f ca="1">IFERROR(__xludf.DUMMYFUNCTION("""COMPUTED_VALUE"""),44340.6458333333)</f>
        <v>44340.645833333299</v>
      </c>
      <c r="V832" s="6">
        <f ca="1">IFERROR(__xludf.DUMMYFUNCTION("""COMPUTED_VALUE"""),3144.3)</f>
        <v>3144.3</v>
      </c>
      <c r="Z832" s="6" t="str">
        <f t="shared" ca="1" si="225"/>
        <v>20205</v>
      </c>
      <c r="AA832" s="6">
        <f t="shared" ca="1" si="226"/>
        <v>2020</v>
      </c>
      <c r="AB832" s="6">
        <f t="shared" ca="1" si="227"/>
        <v>5</v>
      </c>
      <c r="AC832" s="68">
        <f ca="1">IFERROR(__xludf.DUMMYFUNCTION("""COMPUTED_VALUE"""),43971.9986111111)</f>
        <v>43971.998611111099</v>
      </c>
      <c r="AD832" s="6">
        <f ca="1">IFERROR(__xludf.DUMMYFUNCTION("""COMPUTED_VALUE"""),1226.55)</f>
        <v>1226.55</v>
      </c>
      <c r="AH832" s="6" t="str">
        <f t="shared" ca="1" si="228"/>
        <v>20204</v>
      </c>
      <c r="AI832" s="6">
        <f t="shared" ca="1" si="229"/>
        <v>2020</v>
      </c>
      <c r="AJ832" s="6">
        <f t="shared" ca="1" si="230"/>
        <v>4</v>
      </c>
      <c r="AK832" s="68">
        <f ca="1">IFERROR(__xludf.DUMMYFUNCTION("""COMPUTED_VALUE"""),43924.9986111111)</f>
        <v>43924.998611111099</v>
      </c>
      <c r="AL832" s="6">
        <f ca="1">IFERROR(__xludf.DUMMYFUNCTION("""COMPUTED_VALUE"""),6739.432)</f>
        <v>6739.4319999999998</v>
      </c>
      <c r="AP832" s="6" t="str">
        <f t="shared" ca="1" si="231"/>
        <v>20214</v>
      </c>
      <c r="AQ832" s="6">
        <f t="shared" ca="1" si="232"/>
        <v>2021</v>
      </c>
      <c r="AR832" s="6">
        <f t="shared" ca="1" si="233"/>
        <v>4</v>
      </c>
      <c r="AS832" s="68">
        <f ca="1">IFERROR(__xludf.DUMMYFUNCTION("""COMPUTED_VALUE"""),44314.9986111111)</f>
        <v>44314.998611111099</v>
      </c>
      <c r="AT832" s="6">
        <f ca="1">IFERROR(__xludf.DUMMYFUNCTION("""COMPUTED_VALUE"""),1773.9)</f>
        <v>1773.9</v>
      </c>
    </row>
    <row r="833" spans="2:46" x14ac:dyDescent="0.35">
      <c r="B833" s="6" t="str">
        <f t="shared" ca="1" si="216"/>
        <v>20214</v>
      </c>
      <c r="C833" s="6">
        <f t="shared" ca="1" si="217"/>
        <v>2021</v>
      </c>
      <c r="D833" s="6">
        <f t="shared" ca="1" si="218"/>
        <v>4</v>
      </c>
      <c r="E833" s="68">
        <f ca="1">IFERROR(__xludf.DUMMYFUNCTION("""COMPUTED_VALUE"""),44307.6666666666)</f>
        <v>44307.666666666599</v>
      </c>
      <c r="F833" s="6">
        <f ca="1">IFERROR(__xludf.DUMMYFUNCTION("""COMPUTED_VALUE"""),4173.42)</f>
        <v>4173.42</v>
      </c>
      <c r="J833" s="6" t="str">
        <f t="shared" ca="1" si="219"/>
        <v>20214</v>
      </c>
      <c r="K833" s="6">
        <f t="shared" ca="1" si="220"/>
        <v>2021</v>
      </c>
      <c r="L833" s="6">
        <f t="shared" ca="1" si="221"/>
        <v>4</v>
      </c>
      <c r="M833" s="68">
        <f ca="1">IFERROR(__xludf.DUMMYFUNCTION("""COMPUTED_VALUE"""),44300.6666666666)</f>
        <v>44300.666666666599</v>
      </c>
      <c r="N833" s="6">
        <f ca="1">IFERROR(__xludf.DUMMYFUNCTION("""COMPUTED_VALUE"""),13857.84)</f>
        <v>13857.84</v>
      </c>
      <c r="R833" s="6" t="str">
        <f t="shared" ca="1" si="222"/>
        <v>20215</v>
      </c>
      <c r="S833" s="6">
        <f t="shared" ca="1" si="223"/>
        <v>2021</v>
      </c>
      <c r="T833" s="6">
        <f t="shared" ca="1" si="224"/>
        <v>5</v>
      </c>
      <c r="U833" s="68">
        <f ca="1">IFERROR(__xludf.DUMMYFUNCTION("""COMPUTED_VALUE"""),44341.6458333333)</f>
        <v>44341.645833333299</v>
      </c>
      <c r="V833" s="6">
        <f ca="1">IFERROR(__xludf.DUMMYFUNCTION("""COMPUTED_VALUE"""),3171.32)</f>
        <v>3171.32</v>
      </c>
      <c r="Z833" s="6" t="str">
        <f t="shared" ca="1" si="225"/>
        <v>20205</v>
      </c>
      <c r="AA833" s="6">
        <f t="shared" ca="1" si="226"/>
        <v>2020</v>
      </c>
      <c r="AB833" s="6">
        <f t="shared" ca="1" si="227"/>
        <v>5</v>
      </c>
      <c r="AC833" s="68">
        <f ca="1">IFERROR(__xludf.DUMMYFUNCTION("""COMPUTED_VALUE"""),43972.9986111111)</f>
        <v>43972.998611111099</v>
      </c>
      <c r="AD833" s="6">
        <f ca="1">IFERROR(__xludf.DUMMYFUNCTION("""COMPUTED_VALUE"""),1233.39)</f>
        <v>1233.3900000000001</v>
      </c>
      <c r="AH833" s="6" t="str">
        <f t="shared" ca="1" si="228"/>
        <v>20204</v>
      </c>
      <c r="AI833" s="6">
        <f t="shared" ca="1" si="229"/>
        <v>2020</v>
      </c>
      <c r="AJ833" s="6">
        <f t="shared" ca="1" si="230"/>
        <v>4</v>
      </c>
      <c r="AK833" s="68">
        <f ca="1">IFERROR(__xludf.DUMMYFUNCTION("""COMPUTED_VALUE"""),43925.9986111111)</f>
        <v>43925.998611111099</v>
      </c>
      <c r="AL833" s="6">
        <f ca="1">IFERROR(__xludf.DUMMYFUNCTION("""COMPUTED_VALUE"""),6872.069)</f>
        <v>6872.0690000000004</v>
      </c>
      <c r="AP833" s="6" t="str">
        <f t="shared" ca="1" si="231"/>
        <v>20214</v>
      </c>
      <c r="AQ833" s="6">
        <f t="shared" ca="1" si="232"/>
        <v>2021</v>
      </c>
      <c r="AR833" s="6">
        <f t="shared" ca="1" si="233"/>
        <v>4</v>
      </c>
      <c r="AS833" s="68">
        <f ca="1">IFERROR(__xludf.DUMMYFUNCTION("""COMPUTED_VALUE"""),44315.9986111111)</f>
        <v>44315.998611111099</v>
      </c>
      <c r="AT833" s="6">
        <f ca="1">IFERROR(__xludf.DUMMYFUNCTION("""COMPUTED_VALUE"""),1768.3)</f>
        <v>1768.3</v>
      </c>
    </row>
    <row r="834" spans="2:46" x14ac:dyDescent="0.35">
      <c r="B834" s="6" t="str">
        <f t="shared" ca="1" si="216"/>
        <v>20214</v>
      </c>
      <c r="C834" s="6">
        <f t="shared" ca="1" si="217"/>
        <v>2021</v>
      </c>
      <c r="D834" s="6">
        <f t="shared" ca="1" si="218"/>
        <v>4</v>
      </c>
      <c r="E834" s="68">
        <f ca="1">IFERROR(__xludf.DUMMYFUNCTION("""COMPUTED_VALUE"""),44308.6666666666)</f>
        <v>44308.666666666599</v>
      </c>
      <c r="F834" s="6">
        <f ca="1">IFERROR(__xludf.DUMMYFUNCTION("""COMPUTED_VALUE"""),4134.98)</f>
        <v>4134.9799999999996</v>
      </c>
      <c r="J834" s="6" t="str">
        <f t="shared" ca="1" si="219"/>
        <v>20214</v>
      </c>
      <c r="K834" s="6">
        <f t="shared" ca="1" si="220"/>
        <v>2021</v>
      </c>
      <c r="L834" s="6">
        <f t="shared" ca="1" si="221"/>
        <v>4</v>
      </c>
      <c r="M834" s="68">
        <f ca="1">IFERROR(__xludf.DUMMYFUNCTION("""COMPUTED_VALUE"""),44301.6666666666)</f>
        <v>44301.666666666599</v>
      </c>
      <c r="N834" s="6">
        <f ca="1">IFERROR(__xludf.DUMMYFUNCTION("""COMPUTED_VALUE"""),14038.76)</f>
        <v>14038.76</v>
      </c>
      <c r="R834" s="6" t="str">
        <f t="shared" ca="1" si="222"/>
        <v>20215</v>
      </c>
      <c r="S834" s="6">
        <f t="shared" ca="1" si="223"/>
        <v>2021</v>
      </c>
      <c r="T834" s="6">
        <f t="shared" ca="1" si="224"/>
        <v>5</v>
      </c>
      <c r="U834" s="68">
        <f ca="1">IFERROR(__xludf.DUMMYFUNCTION("""COMPUTED_VALUE"""),44342.6458333333)</f>
        <v>44342.645833333299</v>
      </c>
      <c r="V834" s="6">
        <f ca="1">IFERROR(__xludf.DUMMYFUNCTION("""COMPUTED_VALUE"""),3168.43)</f>
        <v>3168.43</v>
      </c>
      <c r="Z834" s="6" t="str">
        <f t="shared" ca="1" si="225"/>
        <v>20205</v>
      </c>
      <c r="AA834" s="6">
        <f t="shared" ca="1" si="226"/>
        <v>2020</v>
      </c>
      <c r="AB834" s="6">
        <f t="shared" ca="1" si="227"/>
        <v>5</v>
      </c>
      <c r="AC834" s="68">
        <f ca="1">IFERROR(__xludf.DUMMYFUNCTION("""COMPUTED_VALUE"""),43973.9986111111)</f>
        <v>43973.998611111099</v>
      </c>
      <c r="AD834" s="6">
        <f ca="1">IFERROR(__xludf.DUMMYFUNCTION("""COMPUTED_VALUE"""),1239.56)</f>
        <v>1239.56</v>
      </c>
      <c r="AH834" s="6" t="str">
        <f t="shared" ca="1" si="228"/>
        <v>20204</v>
      </c>
      <c r="AI834" s="6">
        <f t="shared" ca="1" si="229"/>
        <v>2020</v>
      </c>
      <c r="AJ834" s="6">
        <f t="shared" ca="1" si="230"/>
        <v>4</v>
      </c>
      <c r="AK834" s="68">
        <f ca="1">IFERROR(__xludf.DUMMYFUNCTION("""COMPUTED_VALUE"""),43926.9986111111)</f>
        <v>43926.998611111099</v>
      </c>
      <c r="AL834" s="6">
        <f ca="1">IFERROR(__xludf.DUMMYFUNCTION("""COMPUTED_VALUE"""),6777.694)</f>
        <v>6777.6940000000004</v>
      </c>
      <c r="AP834" s="6" t="str">
        <f t="shared" ca="1" si="231"/>
        <v>20214</v>
      </c>
      <c r="AQ834" s="6">
        <f t="shared" ca="1" si="232"/>
        <v>2021</v>
      </c>
      <c r="AR834" s="6">
        <f t="shared" ca="1" si="233"/>
        <v>4</v>
      </c>
      <c r="AS834" s="68">
        <f ca="1">IFERROR(__xludf.DUMMYFUNCTION("""COMPUTED_VALUE"""),44316.9986111111)</f>
        <v>44316.998611111099</v>
      </c>
      <c r="AT834" s="6">
        <f ca="1">IFERROR(__xludf.DUMMYFUNCTION("""COMPUTED_VALUE"""),1767.7)</f>
        <v>1767.7</v>
      </c>
    </row>
    <row r="835" spans="2:46" x14ac:dyDescent="0.35">
      <c r="B835" s="6" t="str">
        <f t="shared" ca="1" si="216"/>
        <v>20214</v>
      </c>
      <c r="C835" s="6">
        <f t="shared" ca="1" si="217"/>
        <v>2021</v>
      </c>
      <c r="D835" s="6">
        <f t="shared" ca="1" si="218"/>
        <v>4</v>
      </c>
      <c r="E835" s="68">
        <f ca="1">IFERROR(__xludf.DUMMYFUNCTION("""COMPUTED_VALUE"""),44309.6666666666)</f>
        <v>44309.666666666599</v>
      </c>
      <c r="F835" s="6">
        <f ca="1">IFERROR(__xludf.DUMMYFUNCTION("""COMPUTED_VALUE"""),4180.17)</f>
        <v>4180.17</v>
      </c>
      <c r="J835" s="6" t="str">
        <f t="shared" ca="1" si="219"/>
        <v>20214</v>
      </c>
      <c r="K835" s="6">
        <f t="shared" ca="1" si="220"/>
        <v>2021</v>
      </c>
      <c r="L835" s="6">
        <f t="shared" ca="1" si="221"/>
        <v>4</v>
      </c>
      <c r="M835" s="68">
        <f ca="1">IFERROR(__xludf.DUMMYFUNCTION("""COMPUTED_VALUE"""),44302.6666666666)</f>
        <v>44302.666666666599</v>
      </c>
      <c r="N835" s="6">
        <f ca="1">IFERROR(__xludf.DUMMYFUNCTION("""COMPUTED_VALUE"""),14052.34)</f>
        <v>14052.34</v>
      </c>
      <c r="R835" s="6" t="str">
        <f t="shared" ca="1" si="222"/>
        <v>20215</v>
      </c>
      <c r="S835" s="6">
        <f t="shared" ca="1" si="223"/>
        <v>2021</v>
      </c>
      <c r="T835" s="6">
        <f t="shared" ca="1" si="224"/>
        <v>5</v>
      </c>
      <c r="U835" s="68">
        <f ca="1">IFERROR(__xludf.DUMMYFUNCTION("""COMPUTED_VALUE"""),44343.6458333333)</f>
        <v>44343.645833333299</v>
      </c>
      <c r="V835" s="6">
        <f ca="1">IFERROR(__xludf.DUMMYFUNCTION("""COMPUTED_VALUE"""),3165.51)</f>
        <v>3165.51</v>
      </c>
      <c r="Z835" s="6" t="str">
        <f t="shared" ca="1" si="225"/>
        <v>20205</v>
      </c>
      <c r="AA835" s="6">
        <f t="shared" ca="1" si="226"/>
        <v>2020</v>
      </c>
      <c r="AB835" s="6">
        <f t="shared" ca="1" si="227"/>
        <v>5</v>
      </c>
      <c r="AC835" s="68">
        <f ca="1">IFERROR(__xludf.DUMMYFUNCTION("""COMPUTED_VALUE"""),43974.9986111111)</f>
        <v>43974.998611111099</v>
      </c>
      <c r="AD835" s="6">
        <f ca="1">IFERROR(__xludf.DUMMYFUNCTION("""COMPUTED_VALUE"""),1239.56)</f>
        <v>1239.56</v>
      </c>
      <c r="AH835" s="6" t="str">
        <f t="shared" ca="1" si="228"/>
        <v>20204</v>
      </c>
      <c r="AI835" s="6">
        <f t="shared" ca="1" si="229"/>
        <v>2020</v>
      </c>
      <c r="AJ835" s="6">
        <f t="shared" ca="1" si="230"/>
        <v>4</v>
      </c>
      <c r="AK835" s="68">
        <f ca="1">IFERROR(__xludf.DUMMYFUNCTION("""COMPUTED_VALUE"""),43927.9986111111)</f>
        <v>43927.998611111099</v>
      </c>
      <c r="AL835" s="6">
        <f ca="1">IFERROR(__xludf.DUMMYFUNCTION("""COMPUTED_VALUE"""),7341.988)</f>
        <v>7341.9880000000003</v>
      </c>
      <c r="AP835" s="6" t="str">
        <f t="shared" ca="1" si="231"/>
        <v>20215</v>
      </c>
      <c r="AQ835" s="6">
        <f t="shared" ca="1" si="232"/>
        <v>2021</v>
      </c>
      <c r="AR835" s="6">
        <f t="shared" ca="1" si="233"/>
        <v>5</v>
      </c>
      <c r="AS835" s="68">
        <f ca="1">IFERROR(__xludf.DUMMYFUNCTION("""COMPUTED_VALUE"""),44319.9986111111)</f>
        <v>44319.998611111099</v>
      </c>
      <c r="AT835" s="6">
        <f ca="1">IFERROR(__xludf.DUMMYFUNCTION("""COMPUTED_VALUE"""),1791.8)</f>
        <v>1791.8</v>
      </c>
    </row>
    <row r="836" spans="2:46" x14ac:dyDescent="0.35">
      <c r="B836" s="6" t="str">
        <f t="shared" ca="1" si="216"/>
        <v>20214</v>
      </c>
      <c r="C836" s="6">
        <f t="shared" ca="1" si="217"/>
        <v>2021</v>
      </c>
      <c r="D836" s="6">
        <f t="shared" ca="1" si="218"/>
        <v>4</v>
      </c>
      <c r="E836" s="68">
        <f ca="1">IFERROR(__xludf.DUMMYFUNCTION("""COMPUTED_VALUE"""),44312.6666666666)</f>
        <v>44312.666666666599</v>
      </c>
      <c r="F836" s="6">
        <f ca="1">IFERROR(__xludf.DUMMYFUNCTION("""COMPUTED_VALUE"""),4187.62)</f>
        <v>4187.62</v>
      </c>
      <c r="J836" s="6" t="str">
        <f t="shared" ca="1" si="219"/>
        <v>20214</v>
      </c>
      <c r="K836" s="6">
        <f t="shared" ca="1" si="220"/>
        <v>2021</v>
      </c>
      <c r="L836" s="6">
        <f t="shared" ca="1" si="221"/>
        <v>4</v>
      </c>
      <c r="M836" s="68">
        <f ca="1">IFERROR(__xludf.DUMMYFUNCTION("""COMPUTED_VALUE"""),44305.6666666666)</f>
        <v>44305.666666666599</v>
      </c>
      <c r="N836" s="6">
        <f ca="1">IFERROR(__xludf.DUMMYFUNCTION("""COMPUTED_VALUE"""),13914.77)</f>
        <v>13914.77</v>
      </c>
      <c r="R836" s="6" t="str">
        <f t="shared" ca="1" si="222"/>
        <v>20215</v>
      </c>
      <c r="S836" s="6">
        <f t="shared" ca="1" si="223"/>
        <v>2021</v>
      </c>
      <c r="T836" s="6">
        <f t="shared" ca="1" si="224"/>
        <v>5</v>
      </c>
      <c r="U836" s="68">
        <f ca="1">IFERROR(__xludf.DUMMYFUNCTION("""COMPUTED_VALUE"""),44344.6458333333)</f>
        <v>44344.645833333299</v>
      </c>
      <c r="V836" s="6">
        <f ca="1">IFERROR(__xludf.DUMMYFUNCTION("""COMPUTED_VALUE"""),3188.73)</f>
        <v>3188.73</v>
      </c>
      <c r="Z836" s="6" t="str">
        <f t="shared" ca="1" si="225"/>
        <v>20205</v>
      </c>
      <c r="AA836" s="6">
        <f t="shared" ca="1" si="226"/>
        <v>2020</v>
      </c>
      <c r="AB836" s="6">
        <f t="shared" ca="1" si="227"/>
        <v>5</v>
      </c>
      <c r="AC836" s="68">
        <f ca="1">IFERROR(__xludf.DUMMYFUNCTION("""COMPUTED_VALUE"""),43975.9986111111)</f>
        <v>43975.998611111099</v>
      </c>
      <c r="AD836" s="6">
        <f ca="1">IFERROR(__xludf.DUMMYFUNCTION("""COMPUTED_VALUE"""),1239.55)</f>
        <v>1239.55</v>
      </c>
      <c r="AH836" s="6" t="str">
        <f t="shared" ca="1" si="228"/>
        <v>20204</v>
      </c>
      <c r="AI836" s="6">
        <f t="shared" ca="1" si="229"/>
        <v>2020</v>
      </c>
      <c r="AJ836" s="6">
        <f t="shared" ca="1" si="230"/>
        <v>4</v>
      </c>
      <c r="AK836" s="68">
        <f ca="1">IFERROR(__xludf.DUMMYFUNCTION("""COMPUTED_VALUE"""),43928.9986111111)</f>
        <v>43928.998611111099</v>
      </c>
      <c r="AL836" s="6">
        <f ca="1">IFERROR(__xludf.DUMMYFUNCTION("""COMPUTED_VALUE"""),7200.045)</f>
        <v>7200.0450000000001</v>
      </c>
      <c r="AP836" s="6" t="str">
        <f t="shared" ca="1" si="231"/>
        <v>20215</v>
      </c>
      <c r="AQ836" s="6">
        <f t="shared" ca="1" si="232"/>
        <v>2021</v>
      </c>
      <c r="AR836" s="6">
        <f t="shared" ca="1" si="233"/>
        <v>5</v>
      </c>
      <c r="AS836" s="68">
        <f ca="1">IFERROR(__xludf.DUMMYFUNCTION("""COMPUTED_VALUE"""),44320.9986111111)</f>
        <v>44320.998611111099</v>
      </c>
      <c r="AT836" s="6">
        <f ca="1">IFERROR(__xludf.DUMMYFUNCTION("""COMPUTED_VALUE"""),1776)</f>
        <v>1776</v>
      </c>
    </row>
    <row r="837" spans="2:46" x14ac:dyDescent="0.35">
      <c r="B837" s="6" t="str">
        <f t="shared" ca="1" si="216"/>
        <v>20214</v>
      </c>
      <c r="C837" s="6">
        <f t="shared" ca="1" si="217"/>
        <v>2021</v>
      </c>
      <c r="D837" s="6">
        <f t="shared" ca="1" si="218"/>
        <v>4</v>
      </c>
      <c r="E837" s="68">
        <f ca="1">IFERROR(__xludf.DUMMYFUNCTION("""COMPUTED_VALUE"""),44313.6666666666)</f>
        <v>44313.666666666599</v>
      </c>
      <c r="F837" s="6">
        <f ca="1">IFERROR(__xludf.DUMMYFUNCTION("""COMPUTED_VALUE"""),4186.72)</f>
        <v>4186.72</v>
      </c>
      <c r="J837" s="6" t="str">
        <f t="shared" ca="1" si="219"/>
        <v>20214</v>
      </c>
      <c r="K837" s="6">
        <f t="shared" ca="1" si="220"/>
        <v>2021</v>
      </c>
      <c r="L837" s="6">
        <f t="shared" ca="1" si="221"/>
        <v>4</v>
      </c>
      <c r="M837" s="68">
        <f ca="1">IFERROR(__xludf.DUMMYFUNCTION("""COMPUTED_VALUE"""),44306.6666666666)</f>
        <v>44306.666666666599</v>
      </c>
      <c r="N837" s="6">
        <f ca="1">IFERROR(__xludf.DUMMYFUNCTION("""COMPUTED_VALUE"""),13786.27)</f>
        <v>13786.27</v>
      </c>
      <c r="R837" s="6" t="str">
        <f t="shared" ca="1" si="222"/>
        <v>20215</v>
      </c>
      <c r="S837" s="6">
        <f t="shared" ca="1" si="223"/>
        <v>2021</v>
      </c>
      <c r="T837" s="6">
        <f t="shared" ca="1" si="224"/>
        <v>5</v>
      </c>
      <c r="U837" s="68">
        <f ca="1">IFERROR(__xludf.DUMMYFUNCTION("""COMPUTED_VALUE"""),44347.6458333333)</f>
        <v>44347.645833333299</v>
      </c>
      <c r="V837" s="6">
        <f ca="1">IFERROR(__xludf.DUMMYFUNCTION("""COMPUTED_VALUE"""),3203.92)</f>
        <v>3203.92</v>
      </c>
      <c r="Z837" s="6" t="str">
        <f t="shared" ca="1" si="225"/>
        <v>20205</v>
      </c>
      <c r="AA837" s="6">
        <f t="shared" ca="1" si="226"/>
        <v>2020</v>
      </c>
      <c r="AB837" s="6">
        <f t="shared" ca="1" si="227"/>
        <v>5</v>
      </c>
      <c r="AC837" s="68">
        <f ca="1">IFERROR(__xludf.DUMMYFUNCTION("""COMPUTED_VALUE"""),43976.9986111111)</f>
        <v>43976.998611111099</v>
      </c>
      <c r="AD837" s="6">
        <f ca="1">IFERROR(__xludf.DUMMYFUNCTION("""COMPUTED_VALUE"""),1240.02)</f>
        <v>1240.02</v>
      </c>
      <c r="AH837" s="6" t="str">
        <f t="shared" ca="1" si="228"/>
        <v>20204</v>
      </c>
      <c r="AI837" s="6">
        <f t="shared" ca="1" si="229"/>
        <v>2020</v>
      </c>
      <c r="AJ837" s="6">
        <f t="shared" ca="1" si="230"/>
        <v>4</v>
      </c>
      <c r="AK837" s="68">
        <f ca="1">IFERROR(__xludf.DUMMYFUNCTION("""COMPUTED_VALUE"""),43929.9986111111)</f>
        <v>43929.998611111099</v>
      </c>
      <c r="AL837" s="6">
        <f ca="1">IFERROR(__xludf.DUMMYFUNCTION("""COMPUTED_VALUE"""),7366.839)</f>
        <v>7366.8389999999999</v>
      </c>
      <c r="AP837" s="6" t="str">
        <f t="shared" ca="1" si="231"/>
        <v>20215</v>
      </c>
      <c r="AQ837" s="6">
        <f t="shared" ca="1" si="232"/>
        <v>2021</v>
      </c>
      <c r="AR837" s="6">
        <f t="shared" ca="1" si="233"/>
        <v>5</v>
      </c>
      <c r="AS837" s="68">
        <f ca="1">IFERROR(__xludf.DUMMYFUNCTION("""COMPUTED_VALUE"""),44321.9986111111)</f>
        <v>44321.998611111099</v>
      </c>
      <c r="AT837" s="6">
        <f ca="1">IFERROR(__xludf.DUMMYFUNCTION("""COMPUTED_VALUE"""),1784.3)</f>
        <v>1784.3</v>
      </c>
    </row>
    <row r="838" spans="2:46" x14ac:dyDescent="0.35">
      <c r="B838" s="6" t="str">
        <f t="shared" ca="1" si="216"/>
        <v>20214</v>
      </c>
      <c r="C838" s="6">
        <f t="shared" ca="1" si="217"/>
        <v>2021</v>
      </c>
      <c r="D838" s="6">
        <f t="shared" ca="1" si="218"/>
        <v>4</v>
      </c>
      <c r="E838" s="68">
        <f ca="1">IFERROR(__xludf.DUMMYFUNCTION("""COMPUTED_VALUE"""),44314.6666666666)</f>
        <v>44314.666666666599</v>
      </c>
      <c r="F838" s="6">
        <f ca="1">IFERROR(__xludf.DUMMYFUNCTION("""COMPUTED_VALUE"""),4183.18)</f>
        <v>4183.18</v>
      </c>
      <c r="J838" s="6" t="str">
        <f t="shared" ca="1" si="219"/>
        <v>20214</v>
      </c>
      <c r="K838" s="6">
        <f t="shared" ca="1" si="220"/>
        <v>2021</v>
      </c>
      <c r="L838" s="6">
        <f t="shared" ca="1" si="221"/>
        <v>4</v>
      </c>
      <c r="M838" s="68">
        <f ca="1">IFERROR(__xludf.DUMMYFUNCTION("""COMPUTED_VALUE"""),44307.6666666666)</f>
        <v>44307.666666666599</v>
      </c>
      <c r="N838" s="6">
        <f ca="1">IFERROR(__xludf.DUMMYFUNCTION("""COMPUTED_VALUE"""),13950.22)</f>
        <v>13950.22</v>
      </c>
      <c r="R838" s="6" t="str">
        <f t="shared" ca="1" si="222"/>
        <v>20216</v>
      </c>
      <c r="S838" s="6">
        <f t="shared" ca="1" si="223"/>
        <v>2021</v>
      </c>
      <c r="T838" s="6">
        <f t="shared" ca="1" si="224"/>
        <v>6</v>
      </c>
      <c r="U838" s="68">
        <f ca="1">IFERROR(__xludf.DUMMYFUNCTION("""COMPUTED_VALUE"""),44348.6458333333)</f>
        <v>44348.645833333299</v>
      </c>
      <c r="V838" s="6">
        <f ca="1">IFERROR(__xludf.DUMMYFUNCTION("""COMPUTED_VALUE"""),3221.87)</f>
        <v>3221.87</v>
      </c>
      <c r="Z838" s="6" t="str">
        <f t="shared" ca="1" si="225"/>
        <v>20205</v>
      </c>
      <c r="AA838" s="6">
        <f t="shared" ca="1" si="226"/>
        <v>2020</v>
      </c>
      <c r="AB838" s="6">
        <f t="shared" ca="1" si="227"/>
        <v>5</v>
      </c>
      <c r="AC838" s="68">
        <f ca="1">IFERROR(__xludf.DUMMYFUNCTION("""COMPUTED_VALUE"""),43977.9986111111)</f>
        <v>43977.998611111099</v>
      </c>
      <c r="AD838" s="6">
        <f ca="1">IFERROR(__xludf.DUMMYFUNCTION("""COMPUTED_VALUE"""),1230.87)</f>
        <v>1230.8699999999999</v>
      </c>
      <c r="AH838" s="6" t="str">
        <f t="shared" ca="1" si="228"/>
        <v>20204</v>
      </c>
      <c r="AI838" s="6">
        <f t="shared" ca="1" si="229"/>
        <v>2020</v>
      </c>
      <c r="AJ838" s="6">
        <f t="shared" ca="1" si="230"/>
        <v>4</v>
      </c>
      <c r="AK838" s="68">
        <f ca="1">IFERROR(__xludf.DUMMYFUNCTION("""COMPUTED_VALUE"""),43930.9986111111)</f>
        <v>43930.998611111099</v>
      </c>
      <c r="AL838" s="6">
        <f ca="1">IFERROR(__xludf.DUMMYFUNCTION("""COMPUTED_VALUE"""),7293.389)</f>
        <v>7293.3890000000001</v>
      </c>
      <c r="AP838" s="6" t="str">
        <f t="shared" ca="1" si="231"/>
        <v>20215</v>
      </c>
      <c r="AQ838" s="6">
        <f t="shared" ca="1" si="232"/>
        <v>2021</v>
      </c>
      <c r="AR838" s="6">
        <f t="shared" ca="1" si="233"/>
        <v>5</v>
      </c>
      <c r="AS838" s="68">
        <f ca="1">IFERROR(__xludf.DUMMYFUNCTION("""COMPUTED_VALUE"""),44322.9986111111)</f>
        <v>44322.998611111099</v>
      </c>
      <c r="AT838" s="6">
        <f ca="1">IFERROR(__xludf.DUMMYFUNCTION("""COMPUTED_VALUE"""),1815.7)</f>
        <v>1815.7</v>
      </c>
    </row>
    <row r="839" spans="2:46" x14ac:dyDescent="0.35">
      <c r="B839" s="6" t="str">
        <f t="shared" ref="B839:B902" ca="1" si="234">C839&amp;D839</f>
        <v>20214</v>
      </c>
      <c r="C839" s="6">
        <f t="shared" ref="C839:C902" ca="1" si="235">YEAR(E839)</f>
        <v>2021</v>
      </c>
      <c r="D839" s="6">
        <f t="shared" ref="D839:D902" ca="1" si="236">MONTH(E839)</f>
        <v>4</v>
      </c>
      <c r="E839" s="68">
        <f ca="1">IFERROR(__xludf.DUMMYFUNCTION("""COMPUTED_VALUE"""),44315.6666666666)</f>
        <v>44315.666666666599</v>
      </c>
      <c r="F839" s="6">
        <f ca="1">IFERROR(__xludf.DUMMYFUNCTION("""COMPUTED_VALUE"""),4211.47)</f>
        <v>4211.47</v>
      </c>
      <c r="J839" s="6" t="str">
        <f t="shared" ref="J839:J902" ca="1" si="237">K839&amp;L839</f>
        <v>20214</v>
      </c>
      <c r="K839" s="6">
        <f t="shared" ref="K839:K902" ca="1" si="238">YEAR(M839)</f>
        <v>2021</v>
      </c>
      <c r="L839" s="6">
        <f t="shared" ref="L839:L902" ca="1" si="239">MONTH(M839)</f>
        <v>4</v>
      </c>
      <c r="M839" s="68">
        <f ca="1">IFERROR(__xludf.DUMMYFUNCTION("""COMPUTED_VALUE"""),44308.6666666666)</f>
        <v>44308.666666666599</v>
      </c>
      <c r="N839" s="6">
        <f ca="1">IFERROR(__xludf.DUMMYFUNCTION("""COMPUTED_VALUE"""),13818.41)</f>
        <v>13818.41</v>
      </c>
      <c r="R839" s="6" t="str">
        <f t="shared" ref="R839:R902" ca="1" si="240">S839&amp;T839</f>
        <v>20216</v>
      </c>
      <c r="S839" s="6">
        <f t="shared" ref="S839:S902" ca="1" si="241">YEAR(U839)</f>
        <v>2021</v>
      </c>
      <c r="T839" s="6">
        <f t="shared" ref="T839:T902" ca="1" si="242">MONTH(U839)</f>
        <v>6</v>
      </c>
      <c r="U839" s="68">
        <f ca="1">IFERROR(__xludf.DUMMYFUNCTION("""COMPUTED_VALUE"""),44349.6458333333)</f>
        <v>44349.645833333299</v>
      </c>
      <c r="V839" s="6">
        <f ca="1">IFERROR(__xludf.DUMMYFUNCTION("""COMPUTED_VALUE"""),3224.23)</f>
        <v>3224.23</v>
      </c>
      <c r="Z839" s="6" t="str">
        <f t="shared" ref="Z839:Z902" ca="1" si="243">AA839&amp;AB839</f>
        <v>20205</v>
      </c>
      <c r="AA839" s="6">
        <f t="shared" ref="AA839:AA902" ca="1" si="244">YEAR(AC839)</f>
        <v>2020</v>
      </c>
      <c r="AB839" s="6">
        <f t="shared" ref="AB839:AB902" ca="1" si="245">MONTH(AC839)</f>
        <v>5</v>
      </c>
      <c r="AC839" s="68">
        <f ca="1">IFERROR(__xludf.DUMMYFUNCTION("""COMPUTED_VALUE"""),43978.9986111111)</f>
        <v>43978.998611111099</v>
      </c>
      <c r="AD839" s="6">
        <f ca="1">IFERROR(__xludf.DUMMYFUNCTION("""COMPUTED_VALUE"""),1238.3)</f>
        <v>1238.3</v>
      </c>
      <c r="AH839" s="6" t="str">
        <f t="shared" ref="AH839:AH902" ca="1" si="246">AI839&amp;AJ839</f>
        <v>20204</v>
      </c>
      <c r="AI839" s="6">
        <f t="shared" ref="AI839:AI902" ca="1" si="247">YEAR(AK839)</f>
        <v>2020</v>
      </c>
      <c r="AJ839" s="6">
        <f t="shared" ref="AJ839:AJ902" ca="1" si="248">MONTH(AK839)</f>
        <v>4</v>
      </c>
      <c r="AK839" s="68">
        <f ca="1">IFERROR(__xludf.DUMMYFUNCTION("""COMPUTED_VALUE"""),43931.9986111111)</f>
        <v>43931.998611111099</v>
      </c>
      <c r="AL839" s="6">
        <f ca="1">IFERROR(__xludf.DUMMYFUNCTION("""COMPUTED_VALUE"""),6872.39)</f>
        <v>6872.39</v>
      </c>
      <c r="AP839" s="6" t="str">
        <f t="shared" ref="AP839:AP902" ca="1" si="249">AQ839&amp;AR839</f>
        <v>20215</v>
      </c>
      <c r="AQ839" s="6">
        <f t="shared" ref="AQ839:AQ902" ca="1" si="250">YEAR(AS839)</f>
        <v>2021</v>
      </c>
      <c r="AR839" s="6">
        <f t="shared" ref="AR839:AR902" ca="1" si="251">MONTH(AS839)</f>
        <v>5</v>
      </c>
      <c r="AS839" s="68">
        <f ca="1">IFERROR(__xludf.DUMMYFUNCTION("""COMPUTED_VALUE"""),44323.9986111111)</f>
        <v>44323.998611111099</v>
      </c>
      <c r="AT839" s="6">
        <f ca="1">IFERROR(__xludf.DUMMYFUNCTION("""COMPUTED_VALUE"""),1831.3)</f>
        <v>1831.3</v>
      </c>
    </row>
    <row r="840" spans="2:46" x14ac:dyDescent="0.35">
      <c r="B840" s="6" t="str">
        <f t="shared" ca="1" si="234"/>
        <v>20214</v>
      </c>
      <c r="C840" s="6">
        <f t="shared" ca="1" si="235"/>
        <v>2021</v>
      </c>
      <c r="D840" s="6">
        <f t="shared" ca="1" si="236"/>
        <v>4</v>
      </c>
      <c r="E840" s="68">
        <f ca="1">IFERROR(__xludf.DUMMYFUNCTION("""COMPUTED_VALUE"""),44316.6666666666)</f>
        <v>44316.666666666599</v>
      </c>
      <c r="F840" s="6">
        <f ca="1">IFERROR(__xludf.DUMMYFUNCTION("""COMPUTED_VALUE"""),4181.17)</f>
        <v>4181.17</v>
      </c>
      <c r="J840" s="6" t="str">
        <f t="shared" ca="1" si="237"/>
        <v>20214</v>
      </c>
      <c r="K840" s="6">
        <f t="shared" ca="1" si="238"/>
        <v>2021</v>
      </c>
      <c r="L840" s="6">
        <f t="shared" ca="1" si="239"/>
        <v>4</v>
      </c>
      <c r="M840" s="68">
        <f ca="1">IFERROR(__xludf.DUMMYFUNCTION("""COMPUTED_VALUE"""),44309.6666666666)</f>
        <v>44309.666666666599</v>
      </c>
      <c r="N840" s="6">
        <f ca="1">IFERROR(__xludf.DUMMYFUNCTION("""COMPUTED_VALUE"""),14016.81)</f>
        <v>14016.81</v>
      </c>
      <c r="R840" s="6" t="str">
        <f t="shared" ca="1" si="240"/>
        <v>20216</v>
      </c>
      <c r="S840" s="6">
        <f t="shared" ca="1" si="241"/>
        <v>2021</v>
      </c>
      <c r="T840" s="6">
        <f t="shared" ca="1" si="242"/>
        <v>6</v>
      </c>
      <c r="U840" s="68">
        <f ca="1">IFERROR(__xludf.DUMMYFUNCTION("""COMPUTED_VALUE"""),44350.6458333333)</f>
        <v>44350.645833333299</v>
      </c>
      <c r="V840" s="6">
        <f ca="1">IFERROR(__xludf.DUMMYFUNCTION("""COMPUTED_VALUE"""),3247.43)</f>
        <v>3247.43</v>
      </c>
      <c r="Z840" s="6" t="str">
        <f t="shared" ca="1" si="243"/>
        <v>20205</v>
      </c>
      <c r="AA840" s="6">
        <f t="shared" ca="1" si="244"/>
        <v>2020</v>
      </c>
      <c r="AB840" s="6">
        <f t="shared" ca="1" si="245"/>
        <v>5</v>
      </c>
      <c r="AC840" s="68">
        <f ca="1">IFERROR(__xludf.DUMMYFUNCTION("""COMPUTED_VALUE"""),43979.9986111111)</f>
        <v>43979.998611111099</v>
      </c>
      <c r="AD840" s="6">
        <f ca="1">IFERROR(__xludf.DUMMYFUNCTION("""COMPUTED_VALUE"""),1237.98)</f>
        <v>1237.98</v>
      </c>
      <c r="AH840" s="6" t="str">
        <f t="shared" ca="1" si="246"/>
        <v>20204</v>
      </c>
      <c r="AI840" s="6">
        <f t="shared" ca="1" si="247"/>
        <v>2020</v>
      </c>
      <c r="AJ840" s="6">
        <f t="shared" ca="1" si="248"/>
        <v>4</v>
      </c>
      <c r="AK840" s="68">
        <f ca="1">IFERROR(__xludf.DUMMYFUNCTION("""COMPUTED_VALUE"""),43932.9986111111)</f>
        <v>43932.998611111099</v>
      </c>
      <c r="AL840" s="6">
        <f ca="1">IFERROR(__xludf.DUMMYFUNCTION("""COMPUTED_VALUE"""),6886.603)</f>
        <v>6886.6030000000001</v>
      </c>
      <c r="AP840" s="6" t="str">
        <f t="shared" ca="1" si="249"/>
        <v>20215</v>
      </c>
      <c r="AQ840" s="6">
        <f t="shared" ca="1" si="250"/>
        <v>2021</v>
      </c>
      <c r="AR840" s="6">
        <f t="shared" ca="1" si="251"/>
        <v>5</v>
      </c>
      <c r="AS840" s="68">
        <f ca="1">IFERROR(__xludf.DUMMYFUNCTION("""COMPUTED_VALUE"""),44326.9986111111)</f>
        <v>44326.998611111099</v>
      </c>
      <c r="AT840" s="6">
        <f ca="1">IFERROR(__xludf.DUMMYFUNCTION("""COMPUTED_VALUE"""),1837.6)</f>
        <v>1837.6</v>
      </c>
    </row>
    <row r="841" spans="2:46" x14ac:dyDescent="0.35">
      <c r="B841" s="6" t="str">
        <f t="shared" ca="1" si="234"/>
        <v>20215</v>
      </c>
      <c r="C841" s="6">
        <f t="shared" ca="1" si="235"/>
        <v>2021</v>
      </c>
      <c r="D841" s="6">
        <f t="shared" ca="1" si="236"/>
        <v>5</v>
      </c>
      <c r="E841" s="68">
        <f ca="1">IFERROR(__xludf.DUMMYFUNCTION("""COMPUTED_VALUE"""),44319.6666666666)</f>
        <v>44319.666666666599</v>
      </c>
      <c r="F841" s="6">
        <f ca="1">IFERROR(__xludf.DUMMYFUNCTION("""COMPUTED_VALUE"""),4192.66)</f>
        <v>4192.66</v>
      </c>
      <c r="J841" s="6" t="str">
        <f t="shared" ca="1" si="237"/>
        <v>20214</v>
      </c>
      <c r="K841" s="6">
        <f t="shared" ca="1" si="238"/>
        <v>2021</v>
      </c>
      <c r="L841" s="6">
        <f t="shared" ca="1" si="239"/>
        <v>4</v>
      </c>
      <c r="M841" s="68">
        <f ca="1">IFERROR(__xludf.DUMMYFUNCTION("""COMPUTED_VALUE"""),44312.6666666666)</f>
        <v>44312.666666666599</v>
      </c>
      <c r="N841" s="6">
        <f ca="1">IFERROR(__xludf.DUMMYFUNCTION("""COMPUTED_VALUE"""),14138.78)</f>
        <v>14138.78</v>
      </c>
      <c r="R841" s="6" t="str">
        <f t="shared" ca="1" si="240"/>
        <v>20216</v>
      </c>
      <c r="S841" s="6">
        <f t="shared" ca="1" si="241"/>
        <v>2021</v>
      </c>
      <c r="T841" s="6">
        <f t="shared" ca="1" si="242"/>
        <v>6</v>
      </c>
      <c r="U841" s="68">
        <f ca="1">IFERROR(__xludf.DUMMYFUNCTION("""COMPUTED_VALUE"""),44351.6458333333)</f>
        <v>44351.645833333299</v>
      </c>
      <c r="V841" s="6">
        <f ca="1">IFERROR(__xludf.DUMMYFUNCTION("""COMPUTED_VALUE"""),3240.08)</f>
        <v>3240.08</v>
      </c>
      <c r="Z841" s="6" t="str">
        <f t="shared" ca="1" si="243"/>
        <v>20205</v>
      </c>
      <c r="AA841" s="6">
        <f t="shared" ca="1" si="244"/>
        <v>2020</v>
      </c>
      <c r="AB841" s="6">
        <f t="shared" ca="1" si="245"/>
        <v>5</v>
      </c>
      <c r="AC841" s="68">
        <f ca="1">IFERROR(__xludf.DUMMYFUNCTION("""COMPUTED_VALUE"""),43980.9986111111)</f>
        <v>43980.998611111099</v>
      </c>
      <c r="AD841" s="6">
        <f ca="1">IFERROR(__xludf.DUMMYFUNCTION("""COMPUTED_VALUE"""),1230.27)</f>
        <v>1230.27</v>
      </c>
      <c r="AH841" s="6" t="str">
        <f t="shared" ca="1" si="246"/>
        <v>20204</v>
      </c>
      <c r="AI841" s="6">
        <f t="shared" ca="1" si="247"/>
        <v>2020</v>
      </c>
      <c r="AJ841" s="6">
        <f t="shared" ca="1" si="248"/>
        <v>4</v>
      </c>
      <c r="AK841" s="68">
        <f ca="1">IFERROR(__xludf.DUMMYFUNCTION("""COMPUTED_VALUE"""),43933.9986111111)</f>
        <v>43933.998611111099</v>
      </c>
      <c r="AL841" s="6">
        <f ca="1">IFERROR(__xludf.DUMMYFUNCTION("""COMPUTED_VALUE"""),6905.015)</f>
        <v>6905.0150000000003</v>
      </c>
      <c r="AP841" s="6" t="str">
        <f t="shared" ca="1" si="249"/>
        <v>20215</v>
      </c>
      <c r="AQ841" s="6">
        <f t="shared" ca="1" si="250"/>
        <v>2021</v>
      </c>
      <c r="AR841" s="6">
        <f t="shared" ca="1" si="251"/>
        <v>5</v>
      </c>
      <c r="AS841" s="68">
        <f ca="1">IFERROR(__xludf.DUMMYFUNCTION("""COMPUTED_VALUE"""),44327.9986111111)</f>
        <v>44327.998611111099</v>
      </c>
      <c r="AT841" s="6">
        <f ca="1">IFERROR(__xludf.DUMMYFUNCTION("""COMPUTED_VALUE"""),1836.1)</f>
        <v>1836.1</v>
      </c>
    </row>
    <row r="842" spans="2:46" x14ac:dyDescent="0.35">
      <c r="B842" s="6" t="str">
        <f t="shared" ca="1" si="234"/>
        <v>20215</v>
      </c>
      <c r="C842" s="6">
        <f t="shared" ca="1" si="235"/>
        <v>2021</v>
      </c>
      <c r="D842" s="6">
        <f t="shared" ca="1" si="236"/>
        <v>5</v>
      </c>
      <c r="E842" s="68">
        <f ca="1">IFERROR(__xludf.DUMMYFUNCTION("""COMPUTED_VALUE"""),44320.6666666666)</f>
        <v>44320.666666666599</v>
      </c>
      <c r="F842" s="6">
        <f ca="1">IFERROR(__xludf.DUMMYFUNCTION("""COMPUTED_VALUE"""),4164.66)</f>
        <v>4164.66</v>
      </c>
      <c r="J842" s="6" t="str">
        <f t="shared" ca="1" si="237"/>
        <v>20214</v>
      </c>
      <c r="K842" s="6">
        <f t="shared" ca="1" si="238"/>
        <v>2021</v>
      </c>
      <c r="L842" s="6">
        <f t="shared" ca="1" si="239"/>
        <v>4</v>
      </c>
      <c r="M842" s="68">
        <f ca="1">IFERROR(__xludf.DUMMYFUNCTION("""COMPUTED_VALUE"""),44313.6666666666)</f>
        <v>44313.666666666599</v>
      </c>
      <c r="N842" s="6">
        <f ca="1">IFERROR(__xludf.DUMMYFUNCTION("""COMPUTED_VALUE"""),14090.22)</f>
        <v>14090.22</v>
      </c>
      <c r="R842" s="6" t="str">
        <f t="shared" ca="1" si="240"/>
        <v>20216</v>
      </c>
      <c r="S842" s="6">
        <f t="shared" ca="1" si="241"/>
        <v>2021</v>
      </c>
      <c r="T842" s="6">
        <f t="shared" ca="1" si="242"/>
        <v>6</v>
      </c>
      <c r="U842" s="68">
        <f ca="1">IFERROR(__xludf.DUMMYFUNCTION("""COMPUTED_VALUE"""),44354.6458333333)</f>
        <v>44354.645833333299</v>
      </c>
      <c r="V842" s="6">
        <f ca="1">IFERROR(__xludf.DUMMYFUNCTION("""COMPUTED_VALUE"""),3252.12)</f>
        <v>3252.12</v>
      </c>
      <c r="Z842" s="6" t="str">
        <f t="shared" ca="1" si="243"/>
        <v>20205</v>
      </c>
      <c r="AA842" s="6">
        <f t="shared" ca="1" si="244"/>
        <v>2020</v>
      </c>
      <c r="AB842" s="6">
        <f t="shared" ca="1" si="245"/>
        <v>5</v>
      </c>
      <c r="AC842" s="68">
        <f ca="1">IFERROR(__xludf.DUMMYFUNCTION("""COMPUTED_VALUE"""),43981.9986111111)</f>
        <v>43981.998611111099</v>
      </c>
      <c r="AD842" s="6">
        <f ca="1">IFERROR(__xludf.DUMMYFUNCTION("""COMPUTED_VALUE"""),1230.27)</f>
        <v>1230.27</v>
      </c>
      <c r="AH842" s="6" t="str">
        <f t="shared" ca="1" si="246"/>
        <v>20204</v>
      </c>
      <c r="AI842" s="6">
        <f t="shared" ca="1" si="247"/>
        <v>2020</v>
      </c>
      <c r="AJ842" s="6">
        <f t="shared" ca="1" si="248"/>
        <v>4</v>
      </c>
      <c r="AK842" s="68">
        <f ca="1">IFERROR(__xludf.DUMMYFUNCTION("""COMPUTED_VALUE"""),43934.9986111111)</f>
        <v>43934.998611111099</v>
      </c>
      <c r="AL842" s="6">
        <f ca="1">IFERROR(__xludf.DUMMYFUNCTION("""COMPUTED_VALUE"""),6857.129)</f>
        <v>6857.1289999999999</v>
      </c>
      <c r="AP842" s="6" t="str">
        <f t="shared" ca="1" si="249"/>
        <v>20215</v>
      </c>
      <c r="AQ842" s="6">
        <f t="shared" ca="1" si="250"/>
        <v>2021</v>
      </c>
      <c r="AR842" s="6">
        <f t="shared" ca="1" si="251"/>
        <v>5</v>
      </c>
      <c r="AS842" s="68">
        <f ca="1">IFERROR(__xludf.DUMMYFUNCTION("""COMPUTED_VALUE"""),44328.9986111111)</f>
        <v>44328.998611111099</v>
      </c>
      <c r="AT842" s="6">
        <f ca="1">IFERROR(__xludf.DUMMYFUNCTION("""COMPUTED_VALUE"""),1822.8)</f>
        <v>1822.8</v>
      </c>
    </row>
    <row r="843" spans="2:46" x14ac:dyDescent="0.35">
      <c r="B843" s="6" t="str">
        <f t="shared" ca="1" si="234"/>
        <v>20215</v>
      </c>
      <c r="C843" s="6">
        <f t="shared" ca="1" si="235"/>
        <v>2021</v>
      </c>
      <c r="D843" s="6">
        <f t="shared" ca="1" si="236"/>
        <v>5</v>
      </c>
      <c r="E843" s="68">
        <f ca="1">IFERROR(__xludf.DUMMYFUNCTION("""COMPUTED_VALUE"""),44321.6666666666)</f>
        <v>44321.666666666599</v>
      </c>
      <c r="F843" s="6">
        <f ca="1">IFERROR(__xludf.DUMMYFUNCTION("""COMPUTED_VALUE"""),4167.59)</f>
        <v>4167.59</v>
      </c>
      <c r="J843" s="6" t="str">
        <f t="shared" ca="1" si="237"/>
        <v>20214</v>
      </c>
      <c r="K843" s="6">
        <f t="shared" ca="1" si="238"/>
        <v>2021</v>
      </c>
      <c r="L843" s="6">
        <f t="shared" ca="1" si="239"/>
        <v>4</v>
      </c>
      <c r="M843" s="68">
        <f ca="1">IFERROR(__xludf.DUMMYFUNCTION("""COMPUTED_VALUE"""),44314.6666666666)</f>
        <v>44314.666666666599</v>
      </c>
      <c r="N843" s="6">
        <f ca="1">IFERROR(__xludf.DUMMYFUNCTION("""COMPUTED_VALUE"""),14051.03)</f>
        <v>14051.03</v>
      </c>
      <c r="R843" s="6" t="str">
        <f t="shared" ca="1" si="240"/>
        <v>20216</v>
      </c>
      <c r="S843" s="6">
        <f t="shared" ca="1" si="241"/>
        <v>2021</v>
      </c>
      <c r="T843" s="6">
        <f t="shared" ca="1" si="242"/>
        <v>6</v>
      </c>
      <c r="U843" s="68">
        <f ca="1">IFERROR(__xludf.DUMMYFUNCTION("""COMPUTED_VALUE"""),44355.6458333333)</f>
        <v>44355.645833333299</v>
      </c>
      <c r="V843" s="6">
        <f ca="1">IFERROR(__xludf.DUMMYFUNCTION("""COMPUTED_VALUE"""),3247.83)</f>
        <v>3247.83</v>
      </c>
      <c r="Z843" s="6" t="str">
        <f t="shared" ca="1" si="243"/>
        <v>20205</v>
      </c>
      <c r="AA843" s="6">
        <f t="shared" ca="1" si="244"/>
        <v>2020</v>
      </c>
      <c r="AB843" s="6">
        <f t="shared" ca="1" si="245"/>
        <v>5</v>
      </c>
      <c r="AC843" s="68">
        <f ca="1">IFERROR(__xludf.DUMMYFUNCTION("""COMPUTED_VALUE"""),43982.9986111111)</f>
        <v>43982.998611111099</v>
      </c>
      <c r="AD843" s="6">
        <f ca="1">IFERROR(__xludf.DUMMYFUNCTION("""COMPUTED_VALUE"""),1230.47)</f>
        <v>1230.47</v>
      </c>
      <c r="AH843" s="6" t="str">
        <f t="shared" ca="1" si="246"/>
        <v>20204</v>
      </c>
      <c r="AI843" s="6">
        <f t="shared" ca="1" si="247"/>
        <v>2020</v>
      </c>
      <c r="AJ843" s="6">
        <f t="shared" ca="1" si="248"/>
        <v>4</v>
      </c>
      <c r="AK843" s="68">
        <f ca="1">IFERROR(__xludf.DUMMYFUNCTION("""COMPUTED_VALUE"""),43935.9986111111)</f>
        <v>43935.998611111099</v>
      </c>
      <c r="AL843" s="6">
        <f ca="1">IFERROR(__xludf.DUMMYFUNCTION("""COMPUTED_VALUE"""),6873.632)</f>
        <v>6873.6319999999996</v>
      </c>
      <c r="AP843" s="6" t="str">
        <f t="shared" ca="1" si="249"/>
        <v>20215</v>
      </c>
      <c r="AQ843" s="6">
        <f t="shared" ca="1" si="250"/>
        <v>2021</v>
      </c>
      <c r="AR843" s="6">
        <f t="shared" ca="1" si="251"/>
        <v>5</v>
      </c>
      <c r="AS843" s="68">
        <f ca="1">IFERROR(__xludf.DUMMYFUNCTION("""COMPUTED_VALUE"""),44329.9986111111)</f>
        <v>44329.998611111099</v>
      </c>
      <c r="AT843" s="6">
        <f ca="1">IFERROR(__xludf.DUMMYFUNCTION("""COMPUTED_VALUE"""),1824)</f>
        <v>1824</v>
      </c>
    </row>
    <row r="844" spans="2:46" x14ac:dyDescent="0.35">
      <c r="B844" s="6" t="str">
        <f t="shared" ca="1" si="234"/>
        <v>20215</v>
      </c>
      <c r="C844" s="6">
        <f t="shared" ca="1" si="235"/>
        <v>2021</v>
      </c>
      <c r="D844" s="6">
        <f t="shared" ca="1" si="236"/>
        <v>5</v>
      </c>
      <c r="E844" s="68">
        <f ca="1">IFERROR(__xludf.DUMMYFUNCTION("""COMPUTED_VALUE"""),44322.6666666666)</f>
        <v>44322.666666666599</v>
      </c>
      <c r="F844" s="6">
        <f ca="1">IFERROR(__xludf.DUMMYFUNCTION("""COMPUTED_VALUE"""),4201.62)</f>
        <v>4201.62</v>
      </c>
      <c r="J844" s="6" t="str">
        <f t="shared" ca="1" si="237"/>
        <v>20214</v>
      </c>
      <c r="K844" s="6">
        <f t="shared" ca="1" si="238"/>
        <v>2021</v>
      </c>
      <c r="L844" s="6">
        <f t="shared" ca="1" si="239"/>
        <v>4</v>
      </c>
      <c r="M844" s="68">
        <f ca="1">IFERROR(__xludf.DUMMYFUNCTION("""COMPUTED_VALUE"""),44315.6666666666)</f>
        <v>44315.666666666599</v>
      </c>
      <c r="N844" s="6">
        <f ca="1">IFERROR(__xludf.DUMMYFUNCTION("""COMPUTED_VALUE"""),14082.55)</f>
        <v>14082.55</v>
      </c>
      <c r="R844" s="6" t="str">
        <f t="shared" ca="1" si="240"/>
        <v>20216</v>
      </c>
      <c r="S844" s="6">
        <f t="shared" ca="1" si="241"/>
        <v>2021</v>
      </c>
      <c r="T844" s="6">
        <f t="shared" ca="1" si="242"/>
        <v>6</v>
      </c>
      <c r="U844" s="68">
        <f ca="1">IFERROR(__xludf.DUMMYFUNCTION("""COMPUTED_VALUE"""),44356.6458333333)</f>
        <v>44356.645833333299</v>
      </c>
      <c r="V844" s="6">
        <f ca="1">IFERROR(__xludf.DUMMYFUNCTION("""COMPUTED_VALUE"""),3216.18)</f>
        <v>3216.18</v>
      </c>
      <c r="Z844" s="6" t="str">
        <f t="shared" ca="1" si="243"/>
        <v>20206</v>
      </c>
      <c r="AA844" s="6">
        <f t="shared" ca="1" si="244"/>
        <v>2020</v>
      </c>
      <c r="AB844" s="6">
        <f t="shared" ca="1" si="245"/>
        <v>6</v>
      </c>
      <c r="AC844" s="68">
        <f ca="1">IFERROR(__xludf.DUMMYFUNCTION("""COMPUTED_VALUE"""),43983.9986111111)</f>
        <v>43983.998611111099</v>
      </c>
      <c r="AD844" s="6">
        <f ca="1">IFERROR(__xludf.DUMMYFUNCTION("""COMPUTED_VALUE"""),1222.99)</f>
        <v>1222.99</v>
      </c>
      <c r="AH844" s="6" t="str">
        <f t="shared" ca="1" si="246"/>
        <v>20204</v>
      </c>
      <c r="AI844" s="6">
        <f t="shared" ca="1" si="247"/>
        <v>2020</v>
      </c>
      <c r="AJ844" s="6">
        <f t="shared" ca="1" si="248"/>
        <v>4</v>
      </c>
      <c r="AK844" s="68">
        <f ca="1">IFERROR(__xludf.DUMMYFUNCTION("""COMPUTED_VALUE"""),43936.9986111111)</f>
        <v>43936.998611111099</v>
      </c>
      <c r="AL844" s="6">
        <f ca="1">IFERROR(__xludf.DUMMYFUNCTION("""COMPUTED_VALUE"""),6623.9)</f>
        <v>6623.9</v>
      </c>
      <c r="AP844" s="6" t="str">
        <f t="shared" ca="1" si="249"/>
        <v>20215</v>
      </c>
      <c r="AQ844" s="6">
        <f t="shared" ca="1" si="250"/>
        <v>2021</v>
      </c>
      <c r="AR844" s="6">
        <f t="shared" ca="1" si="251"/>
        <v>5</v>
      </c>
      <c r="AS844" s="68">
        <f ca="1">IFERROR(__xludf.DUMMYFUNCTION("""COMPUTED_VALUE"""),44330.9986111111)</f>
        <v>44330.998611111099</v>
      </c>
      <c r="AT844" s="6">
        <f ca="1">IFERROR(__xludf.DUMMYFUNCTION("""COMPUTED_VALUE"""),1838.1)</f>
        <v>1838.1</v>
      </c>
    </row>
    <row r="845" spans="2:46" x14ac:dyDescent="0.35">
      <c r="B845" s="6" t="str">
        <f t="shared" ca="1" si="234"/>
        <v>20215</v>
      </c>
      <c r="C845" s="6">
        <f t="shared" ca="1" si="235"/>
        <v>2021</v>
      </c>
      <c r="D845" s="6">
        <f t="shared" ca="1" si="236"/>
        <v>5</v>
      </c>
      <c r="E845" s="68">
        <f ca="1">IFERROR(__xludf.DUMMYFUNCTION("""COMPUTED_VALUE"""),44323.6666666666)</f>
        <v>44323.666666666599</v>
      </c>
      <c r="F845" s="6">
        <f ca="1">IFERROR(__xludf.DUMMYFUNCTION("""COMPUTED_VALUE"""),4232.6)</f>
        <v>4232.6000000000004</v>
      </c>
      <c r="J845" s="6" t="str">
        <f t="shared" ca="1" si="237"/>
        <v>20214</v>
      </c>
      <c r="K845" s="6">
        <f t="shared" ca="1" si="238"/>
        <v>2021</v>
      </c>
      <c r="L845" s="6">
        <f t="shared" ca="1" si="239"/>
        <v>4</v>
      </c>
      <c r="M845" s="68">
        <f ca="1">IFERROR(__xludf.DUMMYFUNCTION("""COMPUTED_VALUE"""),44316.6666666666)</f>
        <v>44316.666666666599</v>
      </c>
      <c r="N845" s="6">
        <f ca="1">IFERROR(__xludf.DUMMYFUNCTION("""COMPUTED_VALUE"""),13962.68)</f>
        <v>13962.68</v>
      </c>
      <c r="R845" s="6" t="str">
        <f t="shared" ca="1" si="240"/>
        <v>20216</v>
      </c>
      <c r="S845" s="6">
        <f t="shared" ca="1" si="241"/>
        <v>2021</v>
      </c>
      <c r="T845" s="6">
        <f t="shared" ca="1" si="242"/>
        <v>6</v>
      </c>
      <c r="U845" s="68">
        <f ca="1">IFERROR(__xludf.DUMMYFUNCTION("""COMPUTED_VALUE"""),44357.6458333333)</f>
        <v>44357.645833333299</v>
      </c>
      <c r="V845" s="6">
        <f ca="1">IFERROR(__xludf.DUMMYFUNCTION("""COMPUTED_VALUE"""),3224.64)</f>
        <v>3224.64</v>
      </c>
      <c r="Z845" s="6" t="str">
        <f t="shared" ca="1" si="243"/>
        <v>20206</v>
      </c>
      <c r="AA845" s="6">
        <f t="shared" ca="1" si="244"/>
        <v>2020</v>
      </c>
      <c r="AB845" s="6">
        <f t="shared" ca="1" si="245"/>
        <v>6</v>
      </c>
      <c r="AC845" s="68">
        <f ca="1">IFERROR(__xludf.DUMMYFUNCTION("""COMPUTED_VALUE"""),43984.9986111111)</f>
        <v>43984.998611111099</v>
      </c>
      <c r="AD845" s="6">
        <f ca="1">IFERROR(__xludf.DUMMYFUNCTION("""COMPUTED_VALUE"""),1219.14)</f>
        <v>1219.1400000000001</v>
      </c>
      <c r="AH845" s="6" t="str">
        <f t="shared" ca="1" si="246"/>
        <v>20204</v>
      </c>
      <c r="AI845" s="6">
        <f t="shared" ca="1" si="247"/>
        <v>2020</v>
      </c>
      <c r="AJ845" s="6">
        <f t="shared" ca="1" si="248"/>
        <v>4</v>
      </c>
      <c r="AK845" s="68">
        <f ca="1">IFERROR(__xludf.DUMMYFUNCTION("""COMPUTED_VALUE"""),43937.9986111111)</f>
        <v>43937.998611111099</v>
      </c>
      <c r="AL845" s="6">
        <f ca="1">IFERROR(__xludf.DUMMYFUNCTION("""COMPUTED_VALUE"""),7112.757)</f>
        <v>7112.7569999999996</v>
      </c>
      <c r="AP845" s="6" t="str">
        <f t="shared" ca="1" si="249"/>
        <v>20215</v>
      </c>
      <c r="AQ845" s="6">
        <f t="shared" ca="1" si="250"/>
        <v>2021</v>
      </c>
      <c r="AR845" s="6">
        <f t="shared" ca="1" si="251"/>
        <v>5</v>
      </c>
      <c r="AS845" s="68">
        <f ca="1">IFERROR(__xludf.DUMMYFUNCTION("""COMPUTED_VALUE"""),44333.9986111111)</f>
        <v>44333.998611111099</v>
      </c>
      <c r="AT845" s="6">
        <f ca="1">IFERROR(__xludf.DUMMYFUNCTION("""COMPUTED_VALUE"""),1867.6)</f>
        <v>1867.6</v>
      </c>
    </row>
    <row r="846" spans="2:46" x14ac:dyDescent="0.35">
      <c r="B846" s="6" t="str">
        <f t="shared" ca="1" si="234"/>
        <v>20215</v>
      </c>
      <c r="C846" s="6">
        <f t="shared" ca="1" si="235"/>
        <v>2021</v>
      </c>
      <c r="D846" s="6">
        <f t="shared" ca="1" si="236"/>
        <v>5</v>
      </c>
      <c r="E846" s="68">
        <f ca="1">IFERROR(__xludf.DUMMYFUNCTION("""COMPUTED_VALUE"""),44326.6666666666)</f>
        <v>44326.666666666599</v>
      </c>
      <c r="F846" s="6">
        <f ca="1">IFERROR(__xludf.DUMMYFUNCTION("""COMPUTED_VALUE"""),4188.43)</f>
        <v>4188.43</v>
      </c>
      <c r="J846" s="6" t="str">
        <f t="shared" ca="1" si="237"/>
        <v>20215</v>
      </c>
      <c r="K846" s="6">
        <f t="shared" ca="1" si="238"/>
        <v>2021</v>
      </c>
      <c r="L846" s="6">
        <f t="shared" ca="1" si="239"/>
        <v>5</v>
      </c>
      <c r="M846" s="68">
        <f ca="1">IFERROR(__xludf.DUMMYFUNCTION("""COMPUTED_VALUE"""),44319.6666666666)</f>
        <v>44319.666666666599</v>
      </c>
      <c r="N846" s="6">
        <f ca="1">IFERROR(__xludf.DUMMYFUNCTION("""COMPUTED_VALUE"""),13895.12)</f>
        <v>13895.12</v>
      </c>
      <c r="R846" s="6" t="str">
        <f t="shared" ca="1" si="240"/>
        <v>20216</v>
      </c>
      <c r="S846" s="6">
        <f t="shared" ca="1" si="241"/>
        <v>2021</v>
      </c>
      <c r="T846" s="6">
        <f t="shared" ca="1" si="242"/>
        <v>6</v>
      </c>
      <c r="U846" s="68">
        <f ca="1">IFERROR(__xludf.DUMMYFUNCTION("""COMPUTED_VALUE"""),44358.6458333333)</f>
        <v>44358.645833333299</v>
      </c>
      <c r="V846" s="6">
        <f ca="1">IFERROR(__xludf.DUMMYFUNCTION("""COMPUTED_VALUE"""),3249.32)</f>
        <v>3249.32</v>
      </c>
      <c r="Z846" s="6" t="str">
        <f t="shared" ca="1" si="243"/>
        <v>20206</v>
      </c>
      <c r="AA846" s="6">
        <f t="shared" ca="1" si="244"/>
        <v>2020</v>
      </c>
      <c r="AB846" s="6">
        <f t="shared" ca="1" si="245"/>
        <v>6</v>
      </c>
      <c r="AC846" s="68">
        <f ca="1">IFERROR(__xludf.DUMMYFUNCTION("""COMPUTED_VALUE"""),43985.9986111111)</f>
        <v>43985.998611111099</v>
      </c>
      <c r="AD846" s="6">
        <f ca="1">IFERROR(__xludf.DUMMYFUNCTION("""COMPUTED_VALUE"""),1215.82)</f>
        <v>1215.82</v>
      </c>
      <c r="AH846" s="6" t="str">
        <f t="shared" ca="1" si="246"/>
        <v>20204</v>
      </c>
      <c r="AI846" s="6">
        <f t="shared" ca="1" si="247"/>
        <v>2020</v>
      </c>
      <c r="AJ846" s="6">
        <f t="shared" ca="1" si="248"/>
        <v>4</v>
      </c>
      <c r="AK846" s="68">
        <f ca="1">IFERROR(__xludf.DUMMYFUNCTION("""COMPUTED_VALUE"""),43938.9986111111)</f>
        <v>43938.998611111099</v>
      </c>
      <c r="AL846" s="6">
        <f ca="1">IFERROR(__xludf.DUMMYFUNCTION("""COMPUTED_VALUE"""),7033.685)</f>
        <v>7033.6850000000004</v>
      </c>
      <c r="AP846" s="6" t="str">
        <f t="shared" ca="1" si="249"/>
        <v>20215</v>
      </c>
      <c r="AQ846" s="6">
        <f t="shared" ca="1" si="250"/>
        <v>2021</v>
      </c>
      <c r="AR846" s="6">
        <f t="shared" ca="1" si="251"/>
        <v>5</v>
      </c>
      <c r="AS846" s="68">
        <f ca="1">IFERROR(__xludf.DUMMYFUNCTION("""COMPUTED_VALUE"""),44334.9986111111)</f>
        <v>44334.998611111099</v>
      </c>
      <c r="AT846" s="6">
        <f ca="1">IFERROR(__xludf.DUMMYFUNCTION("""COMPUTED_VALUE"""),1868)</f>
        <v>1868</v>
      </c>
    </row>
    <row r="847" spans="2:46" x14ac:dyDescent="0.35">
      <c r="B847" s="6" t="str">
        <f t="shared" ca="1" si="234"/>
        <v>20215</v>
      </c>
      <c r="C847" s="6">
        <f t="shared" ca="1" si="235"/>
        <v>2021</v>
      </c>
      <c r="D847" s="6">
        <f t="shared" ca="1" si="236"/>
        <v>5</v>
      </c>
      <c r="E847" s="68">
        <f ca="1">IFERROR(__xludf.DUMMYFUNCTION("""COMPUTED_VALUE"""),44327.6666666666)</f>
        <v>44327.666666666599</v>
      </c>
      <c r="F847" s="6">
        <f ca="1">IFERROR(__xludf.DUMMYFUNCTION("""COMPUTED_VALUE"""),4152.1)</f>
        <v>4152.1000000000004</v>
      </c>
      <c r="J847" s="6" t="str">
        <f t="shared" ca="1" si="237"/>
        <v>20215</v>
      </c>
      <c r="K847" s="6">
        <f t="shared" ca="1" si="238"/>
        <v>2021</v>
      </c>
      <c r="L847" s="6">
        <f t="shared" ca="1" si="239"/>
        <v>5</v>
      </c>
      <c r="M847" s="68">
        <f ca="1">IFERROR(__xludf.DUMMYFUNCTION("""COMPUTED_VALUE"""),44320.6666666666)</f>
        <v>44320.666666666599</v>
      </c>
      <c r="N847" s="6">
        <f ca="1">IFERROR(__xludf.DUMMYFUNCTION("""COMPUTED_VALUE"""),13633.5)</f>
        <v>13633.5</v>
      </c>
      <c r="R847" s="6" t="str">
        <f t="shared" ca="1" si="240"/>
        <v>20216</v>
      </c>
      <c r="S847" s="6">
        <f t="shared" ca="1" si="241"/>
        <v>2021</v>
      </c>
      <c r="T847" s="6">
        <f t="shared" ca="1" si="242"/>
        <v>6</v>
      </c>
      <c r="U847" s="68">
        <f ca="1">IFERROR(__xludf.DUMMYFUNCTION("""COMPUTED_VALUE"""),44361.6458333333)</f>
        <v>44361.645833333299</v>
      </c>
      <c r="V847" s="6">
        <f ca="1">IFERROR(__xludf.DUMMYFUNCTION("""COMPUTED_VALUE"""),3252.13)</f>
        <v>3252.13</v>
      </c>
      <c r="Z847" s="6" t="str">
        <f t="shared" ca="1" si="243"/>
        <v>20206</v>
      </c>
      <c r="AA847" s="6">
        <f t="shared" ca="1" si="244"/>
        <v>2020</v>
      </c>
      <c r="AB847" s="6">
        <f t="shared" ca="1" si="245"/>
        <v>6</v>
      </c>
      <c r="AC847" s="68">
        <f ca="1">IFERROR(__xludf.DUMMYFUNCTION("""COMPUTED_VALUE"""),43986.9986111111)</f>
        <v>43986.998611111099</v>
      </c>
      <c r="AD847" s="6">
        <f ca="1">IFERROR(__xludf.DUMMYFUNCTION("""COMPUTED_VALUE"""),1215.38)</f>
        <v>1215.3800000000001</v>
      </c>
      <c r="AH847" s="6" t="str">
        <f t="shared" ca="1" si="246"/>
        <v>20204</v>
      </c>
      <c r="AI847" s="6">
        <f t="shared" ca="1" si="247"/>
        <v>2020</v>
      </c>
      <c r="AJ847" s="6">
        <f t="shared" ca="1" si="248"/>
        <v>4</v>
      </c>
      <c r="AK847" s="68">
        <f ca="1">IFERROR(__xludf.DUMMYFUNCTION("""COMPUTED_VALUE"""),43939.9986111111)</f>
        <v>43939.998611111099</v>
      </c>
      <c r="AL847" s="6">
        <f ca="1">IFERROR(__xludf.DUMMYFUNCTION("""COMPUTED_VALUE"""),7259.644)</f>
        <v>7259.6440000000002</v>
      </c>
      <c r="AP847" s="6" t="str">
        <f t="shared" ca="1" si="249"/>
        <v>20215</v>
      </c>
      <c r="AQ847" s="6">
        <f t="shared" ca="1" si="250"/>
        <v>2021</v>
      </c>
      <c r="AR847" s="6">
        <f t="shared" ca="1" si="251"/>
        <v>5</v>
      </c>
      <c r="AS847" s="68">
        <f ca="1">IFERROR(__xludf.DUMMYFUNCTION("""COMPUTED_VALUE"""),44335.9986111111)</f>
        <v>44335.998611111099</v>
      </c>
      <c r="AT847" s="6">
        <f ca="1">IFERROR(__xludf.DUMMYFUNCTION("""COMPUTED_VALUE"""),1881.5)</f>
        <v>1881.5</v>
      </c>
    </row>
    <row r="848" spans="2:46" x14ac:dyDescent="0.35">
      <c r="B848" s="6" t="str">
        <f t="shared" ca="1" si="234"/>
        <v>20215</v>
      </c>
      <c r="C848" s="6">
        <f t="shared" ca="1" si="235"/>
        <v>2021</v>
      </c>
      <c r="D848" s="6">
        <f t="shared" ca="1" si="236"/>
        <v>5</v>
      </c>
      <c r="E848" s="68">
        <f ca="1">IFERROR(__xludf.DUMMYFUNCTION("""COMPUTED_VALUE"""),44328.6666666666)</f>
        <v>44328.666666666599</v>
      </c>
      <c r="F848" s="6">
        <f ca="1">IFERROR(__xludf.DUMMYFUNCTION("""COMPUTED_VALUE"""),4063.04)</f>
        <v>4063.04</v>
      </c>
      <c r="J848" s="6" t="str">
        <f t="shared" ca="1" si="237"/>
        <v>20215</v>
      </c>
      <c r="K848" s="6">
        <f t="shared" ca="1" si="238"/>
        <v>2021</v>
      </c>
      <c r="L848" s="6">
        <f t="shared" ca="1" si="239"/>
        <v>5</v>
      </c>
      <c r="M848" s="68">
        <f ca="1">IFERROR(__xludf.DUMMYFUNCTION("""COMPUTED_VALUE"""),44321.6666666666)</f>
        <v>44321.666666666599</v>
      </c>
      <c r="N848" s="6">
        <f ca="1">IFERROR(__xludf.DUMMYFUNCTION("""COMPUTED_VALUE"""),13582.43)</f>
        <v>13582.43</v>
      </c>
      <c r="R848" s="6" t="str">
        <f t="shared" ca="1" si="240"/>
        <v>20216</v>
      </c>
      <c r="S848" s="6">
        <f t="shared" ca="1" si="241"/>
        <v>2021</v>
      </c>
      <c r="T848" s="6">
        <f t="shared" ca="1" si="242"/>
        <v>6</v>
      </c>
      <c r="U848" s="68">
        <f ca="1">IFERROR(__xludf.DUMMYFUNCTION("""COMPUTED_VALUE"""),44362.6458333333)</f>
        <v>44362.645833333299</v>
      </c>
      <c r="V848" s="6">
        <f ca="1">IFERROR(__xludf.DUMMYFUNCTION("""COMPUTED_VALUE"""),3258.63)</f>
        <v>3258.63</v>
      </c>
      <c r="Z848" s="6" t="str">
        <f t="shared" ca="1" si="243"/>
        <v>20206</v>
      </c>
      <c r="AA848" s="6">
        <f t="shared" ca="1" si="244"/>
        <v>2020</v>
      </c>
      <c r="AB848" s="6">
        <f t="shared" ca="1" si="245"/>
        <v>6</v>
      </c>
      <c r="AC848" s="68">
        <f ca="1">IFERROR(__xludf.DUMMYFUNCTION("""COMPUTED_VALUE"""),43987.9986111111)</f>
        <v>43987.998611111099</v>
      </c>
      <c r="AD848" s="6">
        <f ca="1">IFERROR(__xludf.DUMMYFUNCTION("""COMPUTED_VALUE"""),1202)</f>
        <v>1202</v>
      </c>
      <c r="AH848" s="6" t="str">
        <f t="shared" ca="1" si="246"/>
        <v>20204</v>
      </c>
      <c r="AI848" s="6">
        <f t="shared" ca="1" si="247"/>
        <v>2020</v>
      </c>
      <c r="AJ848" s="6">
        <f t="shared" ca="1" si="248"/>
        <v>4</v>
      </c>
      <c r="AK848" s="68">
        <f ca="1">IFERROR(__xludf.DUMMYFUNCTION("""COMPUTED_VALUE"""),43940.9986111111)</f>
        <v>43940.998611111099</v>
      </c>
      <c r="AL848" s="6">
        <f ca="1">IFERROR(__xludf.DUMMYFUNCTION("""COMPUTED_VALUE"""),7128.538)</f>
        <v>7128.5379999999996</v>
      </c>
      <c r="AP848" s="6" t="str">
        <f t="shared" ca="1" si="249"/>
        <v>20215</v>
      </c>
      <c r="AQ848" s="6">
        <f t="shared" ca="1" si="250"/>
        <v>2021</v>
      </c>
      <c r="AR848" s="6">
        <f t="shared" ca="1" si="251"/>
        <v>5</v>
      </c>
      <c r="AS848" s="68">
        <f ca="1">IFERROR(__xludf.DUMMYFUNCTION("""COMPUTED_VALUE"""),44336.9986111111)</f>
        <v>44336.998611111099</v>
      </c>
      <c r="AT848" s="6">
        <f ca="1">IFERROR(__xludf.DUMMYFUNCTION("""COMPUTED_VALUE"""),1883.9)</f>
        <v>1883.9</v>
      </c>
    </row>
    <row r="849" spans="2:46" x14ac:dyDescent="0.35">
      <c r="B849" s="6" t="str">
        <f t="shared" ca="1" si="234"/>
        <v>20215</v>
      </c>
      <c r="C849" s="6">
        <f t="shared" ca="1" si="235"/>
        <v>2021</v>
      </c>
      <c r="D849" s="6">
        <f t="shared" ca="1" si="236"/>
        <v>5</v>
      </c>
      <c r="E849" s="68">
        <f ca="1">IFERROR(__xludf.DUMMYFUNCTION("""COMPUTED_VALUE"""),44329.6666666666)</f>
        <v>44329.666666666599</v>
      </c>
      <c r="F849" s="6">
        <f ca="1">IFERROR(__xludf.DUMMYFUNCTION("""COMPUTED_VALUE"""),4112.5)</f>
        <v>4112.5</v>
      </c>
      <c r="J849" s="6" t="str">
        <f t="shared" ca="1" si="237"/>
        <v>20215</v>
      </c>
      <c r="K849" s="6">
        <f t="shared" ca="1" si="238"/>
        <v>2021</v>
      </c>
      <c r="L849" s="6">
        <f t="shared" ca="1" si="239"/>
        <v>5</v>
      </c>
      <c r="M849" s="68">
        <f ca="1">IFERROR(__xludf.DUMMYFUNCTION("""COMPUTED_VALUE"""),44322.6666666666)</f>
        <v>44322.666666666599</v>
      </c>
      <c r="N849" s="6">
        <f ca="1">IFERROR(__xludf.DUMMYFUNCTION("""COMPUTED_VALUE"""),13632.84)</f>
        <v>13632.84</v>
      </c>
      <c r="R849" s="6" t="str">
        <f t="shared" ca="1" si="240"/>
        <v>20216</v>
      </c>
      <c r="S849" s="6">
        <f t="shared" ca="1" si="241"/>
        <v>2021</v>
      </c>
      <c r="T849" s="6">
        <f t="shared" ca="1" si="242"/>
        <v>6</v>
      </c>
      <c r="U849" s="68">
        <f ca="1">IFERROR(__xludf.DUMMYFUNCTION("""COMPUTED_VALUE"""),44363.6458333333)</f>
        <v>44363.645833333299</v>
      </c>
      <c r="V849" s="6">
        <f ca="1">IFERROR(__xludf.DUMMYFUNCTION("""COMPUTED_VALUE"""),3278.68)</f>
        <v>3278.68</v>
      </c>
      <c r="Z849" s="6" t="str">
        <f t="shared" ca="1" si="243"/>
        <v>20206</v>
      </c>
      <c r="AA849" s="6">
        <f t="shared" ca="1" si="244"/>
        <v>2020</v>
      </c>
      <c r="AB849" s="6">
        <f t="shared" ca="1" si="245"/>
        <v>6</v>
      </c>
      <c r="AC849" s="68">
        <f ca="1">IFERROR(__xludf.DUMMYFUNCTION("""COMPUTED_VALUE"""),43988.9986111111)</f>
        <v>43988.998611111099</v>
      </c>
      <c r="AD849" s="6">
        <f ca="1">IFERROR(__xludf.DUMMYFUNCTION("""COMPUTED_VALUE"""),1202.43)</f>
        <v>1202.43</v>
      </c>
      <c r="AH849" s="6" t="str">
        <f t="shared" ca="1" si="246"/>
        <v>20204</v>
      </c>
      <c r="AI849" s="6">
        <f t="shared" ca="1" si="247"/>
        <v>2020</v>
      </c>
      <c r="AJ849" s="6">
        <f t="shared" ca="1" si="248"/>
        <v>4</v>
      </c>
      <c r="AK849" s="68">
        <f ca="1">IFERROR(__xludf.DUMMYFUNCTION("""COMPUTED_VALUE"""),43941.9986111111)</f>
        <v>43941.998611111099</v>
      </c>
      <c r="AL849" s="6">
        <f ca="1">IFERROR(__xludf.DUMMYFUNCTION("""COMPUTED_VALUE"""),6841.038)</f>
        <v>6841.0379999999996</v>
      </c>
      <c r="AP849" s="6" t="str">
        <f t="shared" ca="1" si="249"/>
        <v>20215</v>
      </c>
      <c r="AQ849" s="6">
        <f t="shared" ca="1" si="250"/>
        <v>2021</v>
      </c>
      <c r="AR849" s="6">
        <f t="shared" ca="1" si="251"/>
        <v>5</v>
      </c>
      <c r="AS849" s="68">
        <f ca="1">IFERROR(__xludf.DUMMYFUNCTION("""COMPUTED_VALUE"""),44337.9986111111)</f>
        <v>44337.998611111099</v>
      </c>
      <c r="AT849" s="6">
        <f ca="1">IFERROR(__xludf.DUMMYFUNCTION("""COMPUTED_VALUE"""),1878.9)</f>
        <v>1878.9</v>
      </c>
    </row>
    <row r="850" spans="2:46" x14ac:dyDescent="0.35">
      <c r="B850" s="6" t="str">
        <f t="shared" ca="1" si="234"/>
        <v>20215</v>
      </c>
      <c r="C850" s="6">
        <f t="shared" ca="1" si="235"/>
        <v>2021</v>
      </c>
      <c r="D850" s="6">
        <f t="shared" ca="1" si="236"/>
        <v>5</v>
      </c>
      <c r="E850" s="68">
        <f ca="1">IFERROR(__xludf.DUMMYFUNCTION("""COMPUTED_VALUE"""),44330.6666666666)</f>
        <v>44330.666666666599</v>
      </c>
      <c r="F850" s="6">
        <f ca="1">IFERROR(__xludf.DUMMYFUNCTION("""COMPUTED_VALUE"""),4173.85)</f>
        <v>4173.8500000000004</v>
      </c>
      <c r="J850" s="6" t="str">
        <f t="shared" ca="1" si="237"/>
        <v>20215</v>
      </c>
      <c r="K850" s="6">
        <f t="shared" ca="1" si="238"/>
        <v>2021</v>
      </c>
      <c r="L850" s="6">
        <f t="shared" ca="1" si="239"/>
        <v>5</v>
      </c>
      <c r="M850" s="68">
        <f ca="1">IFERROR(__xludf.DUMMYFUNCTION("""COMPUTED_VALUE"""),44323.6666666666)</f>
        <v>44323.666666666599</v>
      </c>
      <c r="N850" s="6">
        <f ca="1">IFERROR(__xludf.DUMMYFUNCTION("""COMPUTED_VALUE"""),13752.24)</f>
        <v>13752.24</v>
      </c>
      <c r="R850" s="6" t="str">
        <f t="shared" ca="1" si="240"/>
        <v>20216</v>
      </c>
      <c r="S850" s="6">
        <f t="shared" ca="1" si="241"/>
        <v>2021</v>
      </c>
      <c r="T850" s="6">
        <f t="shared" ca="1" si="242"/>
        <v>6</v>
      </c>
      <c r="U850" s="68">
        <f ca="1">IFERROR(__xludf.DUMMYFUNCTION("""COMPUTED_VALUE"""),44364.6458333333)</f>
        <v>44364.645833333299</v>
      </c>
      <c r="V850" s="6">
        <f ca="1">IFERROR(__xludf.DUMMYFUNCTION("""COMPUTED_VALUE"""),3264.96)</f>
        <v>3264.96</v>
      </c>
      <c r="Z850" s="6" t="str">
        <f t="shared" ca="1" si="243"/>
        <v>20206</v>
      </c>
      <c r="AA850" s="6">
        <f t="shared" ca="1" si="244"/>
        <v>2020</v>
      </c>
      <c r="AB850" s="6">
        <f t="shared" ca="1" si="245"/>
        <v>6</v>
      </c>
      <c r="AC850" s="68">
        <f ca="1">IFERROR(__xludf.DUMMYFUNCTION("""COMPUTED_VALUE"""),43989.9986111111)</f>
        <v>43989.998611111099</v>
      </c>
      <c r="AD850" s="6">
        <f ca="1">IFERROR(__xludf.DUMMYFUNCTION("""COMPUTED_VALUE"""),1201.11)</f>
        <v>1201.1099999999999</v>
      </c>
      <c r="AH850" s="6" t="str">
        <f t="shared" ca="1" si="246"/>
        <v>20204</v>
      </c>
      <c r="AI850" s="6">
        <f t="shared" ca="1" si="247"/>
        <v>2020</v>
      </c>
      <c r="AJ850" s="6">
        <f t="shared" ca="1" si="248"/>
        <v>4</v>
      </c>
      <c r="AK850" s="68">
        <f ca="1">IFERROR(__xludf.DUMMYFUNCTION("""COMPUTED_VALUE"""),43942.9986111111)</f>
        <v>43942.998611111099</v>
      </c>
      <c r="AL850" s="6">
        <f ca="1">IFERROR(__xludf.DUMMYFUNCTION("""COMPUTED_VALUE"""),6851.744)</f>
        <v>6851.7439999999997</v>
      </c>
      <c r="AP850" s="6" t="str">
        <f t="shared" ca="1" si="249"/>
        <v>20215</v>
      </c>
      <c r="AQ850" s="6">
        <f t="shared" ca="1" si="250"/>
        <v>2021</v>
      </c>
      <c r="AR850" s="6">
        <f t="shared" ca="1" si="251"/>
        <v>5</v>
      </c>
      <c r="AS850" s="68">
        <f ca="1">IFERROR(__xludf.DUMMYFUNCTION("""COMPUTED_VALUE"""),44340.9986111111)</f>
        <v>44340.998611111099</v>
      </c>
      <c r="AT850" s="6">
        <f ca="1">IFERROR(__xludf.DUMMYFUNCTION("""COMPUTED_VALUE"""),1886.7)</f>
        <v>1886.7</v>
      </c>
    </row>
    <row r="851" spans="2:46" x14ac:dyDescent="0.35">
      <c r="B851" s="6" t="str">
        <f t="shared" ca="1" si="234"/>
        <v>20215</v>
      </c>
      <c r="C851" s="6">
        <f t="shared" ca="1" si="235"/>
        <v>2021</v>
      </c>
      <c r="D851" s="6">
        <f t="shared" ca="1" si="236"/>
        <v>5</v>
      </c>
      <c r="E851" s="68">
        <f ca="1">IFERROR(__xludf.DUMMYFUNCTION("""COMPUTED_VALUE"""),44333.6666666666)</f>
        <v>44333.666666666599</v>
      </c>
      <c r="F851" s="6">
        <f ca="1">IFERROR(__xludf.DUMMYFUNCTION("""COMPUTED_VALUE"""),4163.29)</f>
        <v>4163.29</v>
      </c>
      <c r="J851" s="6" t="str">
        <f t="shared" ca="1" si="237"/>
        <v>20215</v>
      </c>
      <c r="K851" s="6">
        <f t="shared" ca="1" si="238"/>
        <v>2021</v>
      </c>
      <c r="L851" s="6">
        <f t="shared" ca="1" si="239"/>
        <v>5</v>
      </c>
      <c r="M851" s="68">
        <f ca="1">IFERROR(__xludf.DUMMYFUNCTION("""COMPUTED_VALUE"""),44326.6666666666)</f>
        <v>44326.666666666599</v>
      </c>
      <c r="N851" s="6">
        <f ca="1">IFERROR(__xludf.DUMMYFUNCTION("""COMPUTED_VALUE"""),13401.86)</f>
        <v>13401.86</v>
      </c>
      <c r="R851" s="6" t="str">
        <f t="shared" ca="1" si="240"/>
        <v>20216</v>
      </c>
      <c r="S851" s="6">
        <f t="shared" ca="1" si="241"/>
        <v>2021</v>
      </c>
      <c r="T851" s="6">
        <f t="shared" ca="1" si="242"/>
        <v>6</v>
      </c>
      <c r="U851" s="68">
        <f ca="1">IFERROR(__xludf.DUMMYFUNCTION("""COMPUTED_VALUE"""),44365.6458333333)</f>
        <v>44365.645833333299</v>
      </c>
      <c r="V851" s="6">
        <f ca="1">IFERROR(__xludf.DUMMYFUNCTION("""COMPUTED_VALUE"""),3267.93)</f>
        <v>3267.93</v>
      </c>
      <c r="Z851" s="6" t="str">
        <f t="shared" ca="1" si="243"/>
        <v>20206</v>
      </c>
      <c r="AA851" s="6">
        <f t="shared" ca="1" si="244"/>
        <v>2020</v>
      </c>
      <c r="AB851" s="6">
        <f t="shared" ca="1" si="245"/>
        <v>6</v>
      </c>
      <c r="AC851" s="68">
        <f ca="1">IFERROR(__xludf.DUMMYFUNCTION("""COMPUTED_VALUE"""),43990.9986111111)</f>
        <v>43990.998611111099</v>
      </c>
      <c r="AD851" s="6">
        <f ca="1">IFERROR(__xludf.DUMMYFUNCTION("""COMPUTED_VALUE"""),1195.73)</f>
        <v>1195.73</v>
      </c>
      <c r="AH851" s="6" t="str">
        <f t="shared" ca="1" si="246"/>
        <v>20204</v>
      </c>
      <c r="AI851" s="6">
        <f t="shared" ca="1" si="247"/>
        <v>2020</v>
      </c>
      <c r="AJ851" s="6">
        <f t="shared" ca="1" si="248"/>
        <v>4</v>
      </c>
      <c r="AK851" s="68">
        <f ca="1">IFERROR(__xludf.DUMMYFUNCTION("""COMPUTED_VALUE"""),43943.9986111111)</f>
        <v>43943.998611111099</v>
      </c>
      <c r="AL851" s="6">
        <f ca="1">IFERROR(__xludf.DUMMYFUNCTION("""COMPUTED_VALUE"""),7132.332)</f>
        <v>7132.3320000000003</v>
      </c>
      <c r="AP851" s="6" t="str">
        <f t="shared" ca="1" si="249"/>
        <v>20215</v>
      </c>
      <c r="AQ851" s="6">
        <f t="shared" ca="1" si="250"/>
        <v>2021</v>
      </c>
      <c r="AR851" s="6">
        <f t="shared" ca="1" si="251"/>
        <v>5</v>
      </c>
      <c r="AS851" s="68">
        <f ca="1">IFERROR(__xludf.DUMMYFUNCTION("""COMPUTED_VALUE"""),44341.9986111111)</f>
        <v>44341.998611111099</v>
      </c>
      <c r="AT851" s="6">
        <f ca="1">IFERROR(__xludf.DUMMYFUNCTION("""COMPUTED_VALUE"""),1900.5)</f>
        <v>1900.5</v>
      </c>
    </row>
    <row r="852" spans="2:46" x14ac:dyDescent="0.35">
      <c r="B852" s="6" t="str">
        <f t="shared" ca="1" si="234"/>
        <v>20215</v>
      </c>
      <c r="C852" s="6">
        <f t="shared" ca="1" si="235"/>
        <v>2021</v>
      </c>
      <c r="D852" s="6">
        <f t="shared" ca="1" si="236"/>
        <v>5</v>
      </c>
      <c r="E852" s="68">
        <f ca="1">IFERROR(__xludf.DUMMYFUNCTION("""COMPUTED_VALUE"""),44334.6666666666)</f>
        <v>44334.666666666599</v>
      </c>
      <c r="F852" s="6">
        <f ca="1">IFERROR(__xludf.DUMMYFUNCTION("""COMPUTED_VALUE"""),4127.83)</f>
        <v>4127.83</v>
      </c>
      <c r="J852" s="6" t="str">
        <f t="shared" ca="1" si="237"/>
        <v>20215</v>
      </c>
      <c r="K852" s="6">
        <f t="shared" ca="1" si="238"/>
        <v>2021</v>
      </c>
      <c r="L852" s="6">
        <f t="shared" ca="1" si="239"/>
        <v>5</v>
      </c>
      <c r="M852" s="68">
        <f ca="1">IFERROR(__xludf.DUMMYFUNCTION("""COMPUTED_VALUE"""),44327.6666666666)</f>
        <v>44327.666666666599</v>
      </c>
      <c r="N852" s="6">
        <f ca="1">IFERROR(__xludf.DUMMYFUNCTION("""COMPUTED_VALUE"""),13389.43)</f>
        <v>13389.43</v>
      </c>
      <c r="R852" s="6" t="str">
        <f t="shared" ca="1" si="240"/>
        <v>20216</v>
      </c>
      <c r="S852" s="6">
        <f t="shared" ca="1" si="241"/>
        <v>2021</v>
      </c>
      <c r="T852" s="6">
        <f t="shared" ca="1" si="242"/>
        <v>6</v>
      </c>
      <c r="U852" s="68">
        <f ca="1">IFERROR(__xludf.DUMMYFUNCTION("""COMPUTED_VALUE"""),44368.6458333333)</f>
        <v>44368.645833333299</v>
      </c>
      <c r="V852" s="6">
        <f ca="1">IFERROR(__xludf.DUMMYFUNCTION("""COMPUTED_VALUE"""),3240.79)</f>
        <v>3240.79</v>
      </c>
      <c r="Z852" s="6" t="str">
        <f t="shared" ca="1" si="243"/>
        <v>20206</v>
      </c>
      <c r="AA852" s="6">
        <f t="shared" ca="1" si="244"/>
        <v>2020</v>
      </c>
      <c r="AB852" s="6">
        <f t="shared" ca="1" si="245"/>
        <v>6</v>
      </c>
      <c r="AC852" s="68">
        <f ca="1">IFERROR(__xludf.DUMMYFUNCTION("""COMPUTED_VALUE"""),43991.9986111111)</f>
        <v>43991.998611111099</v>
      </c>
      <c r="AD852" s="6">
        <f ca="1">IFERROR(__xludf.DUMMYFUNCTION("""COMPUTED_VALUE"""),1197.3)</f>
        <v>1197.3</v>
      </c>
      <c r="AH852" s="6" t="str">
        <f t="shared" ca="1" si="246"/>
        <v>20204</v>
      </c>
      <c r="AI852" s="6">
        <f t="shared" ca="1" si="247"/>
        <v>2020</v>
      </c>
      <c r="AJ852" s="6">
        <f t="shared" ca="1" si="248"/>
        <v>4</v>
      </c>
      <c r="AK852" s="68">
        <f ca="1">IFERROR(__xludf.DUMMYFUNCTION("""COMPUTED_VALUE"""),43944.9986111111)</f>
        <v>43944.998611111099</v>
      </c>
      <c r="AL852" s="6">
        <f ca="1">IFERROR(__xludf.DUMMYFUNCTION("""COMPUTED_VALUE"""),7488.927)</f>
        <v>7488.9269999999997</v>
      </c>
      <c r="AP852" s="6" t="str">
        <f t="shared" ca="1" si="249"/>
        <v>20215</v>
      </c>
      <c r="AQ852" s="6">
        <f t="shared" ca="1" si="250"/>
        <v>2021</v>
      </c>
      <c r="AR852" s="6">
        <f t="shared" ca="1" si="251"/>
        <v>5</v>
      </c>
      <c r="AS852" s="68">
        <f ca="1">IFERROR(__xludf.DUMMYFUNCTION("""COMPUTED_VALUE"""),44342.9986111111)</f>
        <v>44342.998611111099</v>
      </c>
      <c r="AT852" s="6">
        <f ca="1">IFERROR(__xludf.DUMMYFUNCTION("""COMPUTED_VALUE"""),1903.8)</f>
        <v>1903.8</v>
      </c>
    </row>
    <row r="853" spans="2:46" x14ac:dyDescent="0.35">
      <c r="B853" s="6" t="str">
        <f t="shared" ca="1" si="234"/>
        <v>20215</v>
      </c>
      <c r="C853" s="6">
        <f t="shared" ca="1" si="235"/>
        <v>2021</v>
      </c>
      <c r="D853" s="6">
        <f t="shared" ca="1" si="236"/>
        <v>5</v>
      </c>
      <c r="E853" s="68">
        <f ca="1">IFERROR(__xludf.DUMMYFUNCTION("""COMPUTED_VALUE"""),44335.6666666666)</f>
        <v>44335.666666666599</v>
      </c>
      <c r="F853" s="6">
        <f ca="1">IFERROR(__xludf.DUMMYFUNCTION("""COMPUTED_VALUE"""),4115.68)</f>
        <v>4115.68</v>
      </c>
      <c r="J853" s="6" t="str">
        <f t="shared" ca="1" si="237"/>
        <v>20215</v>
      </c>
      <c r="K853" s="6">
        <f t="shared" ca="1" si="238"/>
        <v>2021</v>
      </c>
      <c r="L853" s="6">
        <f t="shared" ca="1" si="239"/>
        <v>5</v>
      </c>
      <c r="M853" s="68">
        <f ca="1">IFERROR(__xludf.DUMMYFUNCTION("""COMPUTED_VALUE"""),44328.6666666666)</f>
        <v>44328.666666666599</v>
      </c>
      <c r="N853" s="6">
        <f ca="1">IFERROR(__xludf.DUMMYFUNCTION("""COMPUTED_VALUE"""),13031.68)</f>
        <v>13031.68</v>
      </c>
      <c r="R853" s="6" t="str">
        <f t="shared" ca="1" si="240"/>
        <v>20216</v>
      </c>
      <c r="S853" s="6">
        <f t="shared" ca="1" si="241"/>
        <v>2021</v>
      </c>
      <c r="T853" s="6">
        <f t="shared" ca="1" si="242"/>
        <v>6</v>
      </c>
      <c r="U853" s="68">
        <f ca="1">IFERROR(__xludf.DUMMYFUNCTION("""COMPUTED_VALUE"""),44369.6458333333)</f>
        <v>44369.645833333299</v>
      </c>
      <c r="V853" s="6">
        <f ca="1">IFERROR(__xludf.DUMMYFUNCTION("""COMPUTED_VALUE"""),3263.88)</f>
        <v>3263.88</v>
      </c>
      <c r="Z853" s="6" t="str">
        <f t="shared" ca="1" si="243"/>
        <v>20206</v>
      </c>
      <c r="AA853" s="6">
        <f t="shared" ca="1" si="244"/>
        <v>2020</v>
      </c>
      <c r="AB853" s="6">
        <f t="shared" ca="1" si="245"/>
        <v>6</v>
      </c>
      <c r="AC853" s="68">
        <f ca="1">IFERROR(__xludf.DUMMYFUNCTION("""COMPUTED_VALUE"""),43992.9986111111)</f>
        <v>43992.998611111099</v>
      </c>
      <c r="AD853" s="6">
        <f ca="1">IFERROR(__xludf.DUMMYFUNCTION("""COMPUTED_VALUE"""),1189.74)</f>
        <v>1189.74</v>
      </c>
      <c r="AH853" s="6" t="str">
        <f t="shared" ca="1" si="246"/>
        <v>20204</v>
      </c>
      <c r="AI853" s="6">
        <f t="shared" ca="1" si="247"/>
        <v>2020</v>
      </c>
      <c r="AJ853" s="6">
        <f t="shared" ca="1" si="248"/>
        <v>4</v>
      </c>
      <c r="AK853" s="68">
        <f ca="1">IFERROR(__xludf.DUMMYFUNCTION("""COMPUTED_VALUE"""),43945.9986111111)</f>
        <v>43945.998611111099</v>
      </c>
      <c r="AL853" s="6">
        <f ca="1">IFERROR(__xludf.DUMMYFUNCTION("""COMPUTED_VALUE"""),7509.033)</f>
        <v>7509.0330000000004</v>
      </c>
      <c r="AP853" s="6" t="str">
        <f t="shared" ca="1" si="249"/>
        <v>20215</v>
      </c>
      <c r="AQ853" s="6">
        <f t="shared" ca="1" si="250"/>
        <v>2021</v>
      </c>
      <c r="AR853" s="6">
        <f t="shared" ca="1" si="251"/>
        <v>5</v>
      </c>
      <c r="AS853" s="68">
        <f ca="1">IFERROR(__xludf.DUMMYFUNCTION("""COMPUTED_VALUE"""),44343.9986111111)</f>
        <v>44343.998611111099</v>
      </c>
      <c r="AT853" s="6">
        <f ca="1">IFERROR(__xludf.DUMMYFUNCTION("""COMPUTED_VALUE"""),1898.5)</f>
        <v>1898.5</v>
      </c>
    </row>
    <row r="854" spans="2:46" x14ac:dyDescent="0.35">
      <c r="B854" s="6" t="str">
        <f t="shared" ca="1" si="234"/>
        <v>20215</v>
      </c>
      <c r="C854" s="6">
        <f t="shared" ca="1" si="235"/>
        <v>2021</v>
      </c>
      <c r="D854" s="6">
        <f t="shared" ca="1" si="236"/>
        <v>5</v>
      </c>
      <c r="E854" s="68">
        <f ca="1">IFERROR(__xludf.DUMMYFUNCTION("""COMPUTED_VALUE"""),44336.6666666666)</f>
        <v>44336.666666666599</v>
      </c>
      <c r="F854" s="6">
        <f ca="1">IFERROR(__xludf.DUMMYFUNCTION("""COMPUTED_VALUE"""),4159.12)</f>
        <v>4159.12</v>
      </c>
      <c r="J854" s="6" t="str">
        <f t="shared" ca="1" si="237"/>
        <v>20215</v>
      </c>
      <c r="K854" s="6">
        <f t="shared" ca="1" si="238"/>
        <v>2021</v>
      </c>
      <c r="L854" s="6">
        <f t="shared" ca="1" si="239"/>
        <v>5</v>
      </c>
      <c r="M854" s="68">
        <f ca="1">IFERROR(__xludf.DUMMYFUNCTION("""COMPUTED_VALUE"""),44329.6666666666)</f>
        <v>44329.666666666599</v>
      </c>
      <c r="N854" s="6">
        <f ca="1">IFERROR(__xludf.DUMMYFUNCTION("""COMPUTED_VALUE"""),13124.99)</f>
        <v>13124.99</v>
      </c>
      <c r="R854" s="6" t="str">
        <f t="shared" ca="1" si="240"/>
        <v>20216</v>
      </c>
      <c r="S854" s="6">
        <f t="shared" ca="1" si="241"/>
        <v>2021</v>
      </c>
      <c r="T854" s="6">
        <f t="shared" ca="1" si="242"/>
        <v>6</v>
      </c>
      <c r="U854" s="68">
        <f ca="1">IFERROR(__xludf.DUMMYFUNCTION("""COMPUTED_VALUE"""),44370.6458333333)</f>
        <v>44370.645833333299</v>
      </c>
      <c r="V854" s="6">
        <f ca="1">IFERROR(__xludf.DUMMYFUNCTION("""COMPUTED_VALUE"""),3276.19)</f>
        <v>3276.19</v>
      </c>
      <c r="Z854" s="6" t="str">
        <f t="shared" ca="1" si="243"/>
        <v>20206</v>
      </c>
      <c r="AA854" s="6">
        <f t="shared" ca="1" si="244"/>
        <v>2020</v>
      </c>
      <c r="AB854" s="6">
        <f t="shared" ca="1" si="245"/>
        <v>6</v>
      </c>
      <c r="AC854" s="68">
        <f ca="1">IFERROR(__xludf.DUMMYFUNCTION("""COMPUTED_VALUE"""),43993.9986111111)</f>
        <v>43993.998611111099</v>
      </c>
      <c r="AD854" s="6">
        <f ca="1">IFERROR(__xludf.DUMMYFUNCTION("""COMPUTED_VALUE"""),1204.76)</f>
        <v>1204.76</v>
      </c>
      <c r="AH854" s="6" t="str">
        <f t="shared" ca="1" si="246"/>
        <v>20204</v>
      </c>
      <c r="AI854" s="6">
        <f t="shared" ca="1" si="247"/>
        <v>2020</v>
      </c>
      <c r="AJ854" s="6">
        <f t="shared" ca="1" si="248"/>
        <v>4</v>
      </c>
      <c r="AK854" s="68">
        <f ca="1">IFERROR(__xludf.DUMMYFUNCTION("""COMPUTED_VALUE"""),43946.9986111111)</f>
        <v>43946.998611111099</v>
      </c>
      <c r="AL854" s="6">
        <f ca="1">IFERROR(__xludf.DUMMYFUNCTION("""COMPUTED_VALUE"""),7545.21)</f>
        <v>7545.21</v>
      </c>
      <c r="AP854" s="6" t="str">
        <f t="shared" ca="1" si="249"/>
        <v>20215</v>
      </c>
      <c r="AQ854" s="6">
        <f t="shared" ca="1" si="250"/>
        <v>2021</v>
      </c>
      <c r="AR854" s="6">
        <f t="shared" ca="1" si="251"/>
        <v>5</v>
      </c>
      <c r="AS854" s="68">
        <f ca="1">IFERROR(__xludf.DUMMYFUNCTION("""COMPUTED_VALUE"""),44344.9986111111)</f>
        <v>44344.998611111099</v>
      </c>
      <c r="AT854" s="6">
        <f ca="1">IFERROR(__xludf.DUMMYFUNCTION("""COMPUTED_VALUE"""),1905.3)</f>
        <v>1905.3</v>
      </c>
    </row>
    <row r="855" spans="2:46" x14ac:dyDescent="0.35">
      <c r="B855" s="6" t="str">
        <f t="shared" ca="1" si="234"/>
        <v>20215</v>
      </c>
      <c r="C855" s="6">
        <f t="shared" ca="1" si="235"/>
        <v>2021</v>
      </c>
      <c r="D855" s="6">
        <f t="shared" ca="1" si="236"/>
        <v>5</v>
      </c>
      <c r="E855" s="68">
        <f ca="1">IFERROR(__xludf.DUMMYFUNCTION("""COMPUTED_VALUE"""),44337.6666666666)</f>
        <v>44337.666666666599</v>
      </c>
      <c r="F855" s="6">
        <f ca="1">IFERROR(__xludf.DUMMYFUNCTION("""COMPUTED_VALUE"""),4155.86)</f>
        <v>4155.8599999999997</v>
      </c>
      <c r="J855" s="6" t="str">
        <f t="shared" ca="1" si="237"/>
        <v>20215</v>
      </c>
      <c r="K855" s="6">
        <f t="shared" ca="1" si="238"/>
        <v>2021</v>
      </c>
      <c r="L855" s="6">
        <f t="shared" ca="1" si="239"/>
        <v>5</v>
      </c>
      <c r="M855" s="68">
        <f ca="1">IFERROR(__xludf.DUMMYFUNCTION("""COMPUTED_VALUE"""),44330.6666666666)</f>
        <v>44330.666666666599</v>
      </c>
      <c r="N855" s="6">
        <f ca="1">IFERROR(__xludf.DUMMYFUNCTION("""COMPUTED_VALUE"""),13429.98)</f>
        <v>13429.98</v>
      </c>
      <c r="R855" s="6" t="str">
        <f t="shared" ca="1" si="240"/>
        <v>20216</v>
      </c>
      <c r="S855" s="6">
        <f t="shared" ca="1" si="241"/>
        <v>2021</v>
      </c>
      <c r="T855" s="6">
        <f t="shared" ca="1" si="242"/>
        <v>6</v>
      </c>
      <c r="U855" s="68">
        <f ca="1">IFERROR(__xludf.DUMMYFUNCTION("""COMPUTED_VALUE"""),44371.6458333333)</f>
        <v>44371.645833333299</v>
      </c>
      <c r="V855" s="6">
        <f ca="1">IFERROR(__xludf.DUMMYFUNCTION("""COMPUTED_VALUE"""),3286.1)</f>
        <v>3286.1</v>
      </c>
      <c r="Z855" s="6" t="str">
        <f t="shared" ca="1" si="243"/>
        <v>20206</v>
      </c>
      <c r="AA855" s="6">
        <f t="shared" ca="1" si="244"/>
        <v>2020</v>
      </c>
      <c r="AB855" s="6">
        <f t="shared" ca="1" si="245"/>
        <v>6</v>
      </c>
      <c r="AC855" s="68">
        <f ca="1">IFERROR(__xludf.DUMMYFUNCTION("""COMPUTED_VALUE"""),43994.9986111111)</f>
        <v>43994.998611111099</v>
      </c>
      <c r="AD855" s="6">
        <f ca="1">IFERROR(__xludf.DUMMYFUNCTION("""COMPUTED_VALUE"""),1202.61)</f>
        <v>1202.6099999999999</v>
      </c>
      <c r="AH855" s="6" t="str">
        <f t="shared" ca="1" si="246"/>
        <v>20204</v>
      </c>
      <c r="AI855" s="6">
        <f t="shared" ca="1" si="247"/>
        <v>2020</v>
      </c>
      <c r="AJ855" s="6">
        <f t="shared" ca="1" si="248"/>
        <v>4</v>
      </c>
      <c r="AK855" s="68">
        <f ca="1">IFERROR(__xludf.DUMMYFUNCTION("""COMPUTED_VALUE"""),43947.9986111111)</f>
        <v>43947.998611111099</v>
      </c>
      <c r="AL855" s="6">
        <f ca="1">IFERROR(__xludf.DUMMYFUNCTION("""COMPUTED_VALUE"""),7701.9)</f>
        <v>7701.9</v>
      </c>
      <c r="AP855" s="6" t="str">
        <f t="shared" ca="1" si="249"/>
        <v>20216</v>
      </c>
      <c r="AQ855" s="6">
        <f t="shared" ca="1" si="250"/>
        <v>2021</v>
      </c>
      <c r="AR855" s="6">
        <f t="shared" ca="1" si="251"/>
        <v>6</v>
      </c>
      <c r="AS855" s="68">
        <f ca="1">IFERROR(__xludf.DUMMYFUNCTION("""COMPUTED_VALUE"""),44348.9986111111)</f>
        <v>44348.998611111099</v>
      </c>
      <c r="AT855" s="6">
        <f ca="1">IFERROR(__xludf.DUMMYFUNCTION("""COMPUTED_VALUE"""),1905)</f>
        <v>1905</v>
      </c>
    </row>
    <row r="856" spans="2:46" x14ac:dyDescent="0.35">
      <c r="B856" s="6" t="str">
        <f t="shared" ca="1" si="234"/>
        <v>20215</v>
      </c>
      <c r="C856" s="6">
        <f t="shared" ca="1" si="235"/>
        <v>2021</v>
      </c>
      <c r="D856" s="6">
        <f t="shared" ca="1" si="236"/>
        <v>5</v>
      </c>
      <c r="E856" s="68">
        <f ca="1">IFERROR(__xludf.DUMMYFUNCTION("""COMPUTED_VALUE"""),44340.6666666666)</f>
        <v>44340.666666666599</v>
      </c>
      <c r="F856" s="6">
        <f ca="1">IFERROR(__xludf.DUMMYFUNCTION("""COMPUTED_VALUE"""),4197.05)</f>
        <v>4197.05</v>
      </c>
      <c r="J856" s="6" t="str">
        <f t="shared" ca="1" si="237"/>
        <v>20215</v>
      </c>
      <c r="K856" s="6">
        <f t="shared" ca="1" si="238"/>
        <v>2021</v>
      </c>
      <c r="L856" s="6">
        <f t="shared" ca="1" si="239"/>
        <v>5</v>
      </c>
      <c r="M856" s="68">
        <f ca="1">IFERROR(__xludf.DUMMYFUNCTION("""COMPUTED_VALUE"""),44333.6666666666)</f>
        <v>44333.666666666599</v>
      </c>
      <c r="N856" s="6">
        <f ca="1">IFERROR(__xludf.DUMMYFUNCTION("""COMPUTED_VALUE"""),13379.05)</f>
        <v>13379.05</v>
      </c>
      <c r="R856" s="6" t="str">
        <f t="shared" ca="1" si="240"/>
        <v>20216</v>
      </c>
      <c r="S856" s="6">
        <f t="shared" ca="1" si="241"/>
        <v>2021</v>
      </c>
      <c r="T856" s="6">
        <f t="shared" ca="1" si="242"/>
        <v>6</v>
      </c>
      <c r="U856" s="68">
        <f ca="1">IFERROR(__xludf.DUMMYFUNCTION("""COMPUTED_VALUE"""),44372.6458333333)</f>
        <v>44372.645833333299</v>
      </c>
      <c r="V856" s="6">
        <f ca="1">IFERROR(__xludf.DUMMYFUNCTION("""COMPUTED_VALUE"""),3302.84)</f>
        <v>3302.84</v>
      </c>
      <c r="Z856" s="6" t="str">
        <f t="shared" ca="1" si="243"/>
        <v>20206</v>
      </c>
      <c r="AA856" s="6">
        <f t="shared" ca="1" si="244"/>
        <v>2020</v>
      </c>
      <c r="AB856" s="6">
        <f t="shared" ca="1" si="245"/>
        <v>6</v>
      </c>
      <c r="AC856" s="68">
        <f ca="1">IFERROR(__xludf.DUMMYFUNCTION("""COMPUTED_VALUE"""),43995.9986111111)</f>
        <v>43995.998611111099</v>
      </c>
      <c r="AD856" s="6">
        <f ca="1">IFERROR(__xludf.DUMMYFUNCTION("""COMPUTED_VALUE"""),1202.61)</f>
        <v>1202.6099999999999</v>
      </c>
      <c r="AH856" s="6" t="str">
        <f t="shared" ca="1" si="246"/>
        <v>20204</v>
      </c>
      <c r="AI856" s="6">
        <f t="shared" ca="1" si="247"/>
        <v>2020</v>
      </c>
      <c r="AJ856" s="6">
        <f t="shared" ca="1" si="248"/>
        <v>4</v>
      </c>
      <c r="AK856" s="68">
        <f ca="1">IFERROR(__xludf.DUMMYFUNCTION("""COMPUTED_VALUE"""),43948.9986111111)</f>
        <v>43948.998611111099</v>
      </c>
      <c r="AL856" s="6">
        <f ca="1">IFERROR(__xludf.DUMMYFUNCTION("""COMPUTED_VALUE"""),7786.932)</f>
        <v>7786.9319999999998</v>
      </c>
      <c r="AP856" s="6" t="str">
        <f t="shared" ca="1" si="249"/>
        <v>20216</v>
      </c>
      <c r="AQ856" s="6">
        <f t="shared" ca="1" si="250"/>
        <v>2021</v>
      </c>
      <c r="AR856" s="6">
        <f t="shared" ca="1" si="251"/>
        <v>6</v>
      </c>
      <c r="AS856" s="68">
        <f ca="1">IFERROR(__xludf.DUMMYFUNCTION("""COMPUTED_VALUE"""),44349.9986111111)</f>
        <v>44349.998611111099</v>
      </c>
      <c r="AT856" s="6">
        <f ca="1">IFERROR(__xludf.DUMMYFUNCTION("""COMPUTED_VALUE"""),1909.9)</f>
        <v>1909.9</v>
      </c>
    </row>
    <row r="857" spans="2:46" x14ac:dyDescent="0.35">
      <c r="B857" s="6" t="str">
        <f t="shared" ca="1" si="234"/>
        <v>20215</v>
      </c>
      <c r="C857" s="6">
        <f t="shared" ca="1" si="235"/>
        <v>2021</v>
      </c>
      <c r="D857" s="6">
        <f t="shared" ca="1" si="236"/>
        <v>5</v>
      </c>
      <c r="E857" s="68">
        <f ca="1">IFERROR(__xludf.DUMMYFUNCTION("""COMPUTED_VALUE"""),44341.6666666666)</f>
        <v>44341.666666666599</v>
      </c>
      <c r="F857" s="6">
        <f ca="1">IFERROR(__xludf.DUMMYFUNCTION("""COMPUTED_VALUE"""),4188.13)</f>
        <v>4188.13</v>
      </c>
      <c r="J857" s="6" t="str">
        <f t="shared" ca="1" si="237"/>
        <v>20215</v>
      </c>
      <c r="K857" s="6">
        <f t="shared" ca="1" si="238"/>
        <v>2021</v>
      </c>
      <c r="L857" s="6">
        <f t="shared" ca="1" si="239"/>
        <v>5</v>
      </c>
      <c r="M857" s="68">
        <f ca="1">IFERROR(__xludf.DUMMYFUNCTION("""COMPUTED_VALUE"""),44334.6666666666)</f>
        <v>44334.666666666599</v>
      </c>
      <c r="N857" s="6">
        <f ca="1">IFERROR(__xludf.DUMMYFUNCTION("""COMPUTED_VALUE"""),13303.64)</f>
        <v>13303.64</v>
      </c>
      <c r="R857" s="6" t="str">
        <f t="shared" ca="1" si="240"/>
        <v>20216</v>
      </c>
      <c r="S857" s="6">
        <f t="shared" ca="1" si="241"/>
        <v>2021</v>
      </c>
      <c r="T857" s="6">
        <f t="shared" ca="1" si="242"/>
        <v>6</v>
      </c>
      <c r="U857" s="68">
        <f ca="1">IFERROR(__xludf.DUMMYFUNCTION("""COMPUTED_VALUE"""),44375.6458333333)</f>
        <v>44375.645833333299</v>
      </c>
      <c r="V857" s="6">
        <f ca="1">IFERROR(__xludf.DUMMYFUNCTION("""COMPUTED_VALUE"""),3301.89)</f>
        <v>3301.89</v>
      </c>
      <c r="Z857" s="6" t="str">
        <f t="shared" ca="1" si="243"/>
        <v>20206</v>
      </c>
      <c r="AA857" s="6">
        <f t="shared" ca="1" si="244"/>
        <v>2020</v>
      </c>
      <c r="AB857" s="6">
        <f t="shared" ca="1" si="245"/>
        <v>6</v>
      </c>
      <c r="AC857" s="68">
        <f ca="1">IFERROR(__xludf.DUMMYFUNCTION("""COMPUTED_VALUE"""),43996.9986111111)</f>
        <v>43996.998611111099</v>
      </c>
      <c r="AD857" s="6">
        <f ca="1">IFERROR(__xludf.DUMMYFUNCTION("""COMPUTED_VALUE"""),1202.61)</f>
        <v>1202.6099999999999</v>
      </c>
      <c r="AH857" s="6" t="str">
        <f t="shared" ca="1" si="246"/>
        <v>20204</v>
      </c>
      <c r="AI857" s="6">
        <f t="shared" ca="1" si="247"/>
        <v>2020</v>
      </c>
      <c r="AJ857" s="6">
        <f t="shared" ca="1" si="248"/>
        <v>4</v>
      </c>
      <c r="AK857" s="68">
        <f ca="1">IFERROR(__xludf.DUMMYFUNCTION("""COMPUTED_VALUE"""),43949.9986111111)</f>
        <v>43949.998611111099</v>
      </c>
      <c r="AL857" s="6">
        <f ca="1">IFERROR(__xludf.DUMMYFUNCTION("""COMPUTED_VALUE"""),7759.237)</f>
        <v>7759.2370000000001</v>
      </c>
      <c r="AP857" s="6" t="str">
        <f t="shared" ca="1" si="249"/>
        <v>20216</v>
      </c>
      <c r="AQ857" s="6">
        <f t="shared" ca="1" si="250"/>
        <v>2021</v>
      </c>
      <c r="AR857" s="6">
        <f t="shared" ca="1" si="251"/>
        <v>6</v>
      </c>
      <c r="AS857" s="68">
        <f ca="1">IFERROR(__xludf.DUMMYFUNCTION("""COMPUTED_VALUE"""),44350.9986111111)</f>
        <v>44350.998611111099</v>
      </c>
      <c r="AT857" s="6">
        <f ca="1">IFERROR(__xludf.DUMMYFUNCTION("""COMPUTED_VALUE"""),1873.3)</f>
        <v>1873.3</v>
      </c>
    </row>
    <row r="858" spans="2:46" x14ac:dyDescent="0.35">
      <c r="B858" s="6" t="str">
        <f t="shared" ca="1" si="234"/>
        <v>20215</v>
      </c>
      <c r="C858" s="6">
        <f t="shared" ca="1" si="235"/>
        <v>2021</v>
      </c>
      <c r="D858" s="6">
        <f t="shared" ca="1" si="236"/>
        <v>5</v>
      </c>
      <c r="E858" s="68">
        <f ca="1">IFERROR(__xludf.DUMMYFUNCTION("""COMPUTED_VALUE"""),44342.6666666666)</f>
        <v>44342.666666666599</v>
      </c>
      <c r="F858" s="6">
        <f ca="1">IFERROR(__xludf.DUMMYFUNCTION("""COMPUTED_VALUE"""),4195.99)</f>
        <v>4195.99</v>
      </c>
      <c r="J858" s="6" t="str">
        <f t="shared" ca="1" si="237"/>
        <v>20215</v>
      </c>
      <c r="K858" s="6">
        <f t="shared" ca="1" si="238"/>
        <v>2021</v>
      </c>
      <c r="L858" s="6">
        <f t="shared" ca="1" si="239"/>
        <v>5</v>
      </c>
      <c r="M858" s="68">
        <f ca="1">IFERROR(__xludf.DUMMYFUNCTION("""COMPUTED_VALUE"""),44335.6666666666)</f>
        <v>44335.666666666599</v>
      </c>
      <c r="N858" s="6">
        <f ca="1">IFERROR(__xludf.DUMMYFUNCTION("""COMPUTED_VALUE"""),13299.74)</f>
        <v>13299.74</v>
      </c>
      <c r="R858" s="6" t="str">
        <f t="shared" ca="1" si="240"/>
        <v>20216</v>
      </c>
      <c r="S858" s="6">
        <f t="shared" ca="1" si="241"/>
        <v>2021</v>
      </c>
      <c r="T858" s="6">
        <f t="shared" ca="1" si="242"/>
        <v>6</v>
      </c>
      <c r="U858" s="68">
        <f ca="1">IFERROR(__xludf.DUMMYFUNCTION("""COMPUTED_VALUE"""),44376.6458333333)</f>
        <v>44376.645833333299</v>
      </c>
      <c r="V858" s="6">
        <f ca="1">IFERROR(__xludf.DUMMYFUNCTION("""COMPUTED_VALUE"""),3286.68)</f>
        <v>3286.68</v>
      </c>
      <c r="Z858" s="6" t="str">
        <f t="shared" ca="1" si="243"/>
        <v>20206</v>
      </c>
      <c r="AA858" s="6">
        <f t="shared" ca="1" si="244"/>
        <v>2020</v>
      </c>
      <c r="AB858" s="6">
        <f t="shared" ca="1" si="245"/>
        <v>6</v>
      </c>
      <c r="AC858" s="68">
        <f ca="1">IFERROR(__xludf.DUMMYFUNCTION("""COMPUTED_VALUE"""),43997.9986111111)</f>
        <v>43997.998611111099</v>
      </c>
      <c r="AD858" s="6">
        <f ca="1">IFERROR(__xludf.DUMMYFUNCTION("""COMPUTED_VALUE"""),1206.9)</f>
        <v>1206.9000000000001</v>
      </c>
      <c r="AH858" s="6" t="str">
        <f t="shared" ca="1" si="246"/>
        <v>20204</v>
      </c>
      <c r="AI858" s="6">
        <f t="shared" ca="1" si="247"/>
        <v>2020</v>
      </c>
      <c r="AJ858" s="6">
        <f t="shared" ca="1" si="248"/>
        <v>4</v>
      </c>
      <c r="AK858" s="68">
        <f ca="1">IFERROR(__xludf.DUMMYFUNCTION("""COMPUTED_VALUE"""),43950.9986111111)</f>
        <v>43950.998611111099</v>
      </c>
      <c r="AL858" s="6">
        <f ca="1">IFERROR(__xludf.DUMMYFUNCTION("""COMPUTED_VALUE"""),8778.735)</f>
        <v>8778.7350000000006</v>
      </c>
      <c r="AP858" s="6" t="str">
        <f t="shared" ca="1" si="249"/>
        <v>20216</v>
      </c>
      <c r="AQ858" s="6">
        <f t="shared" ca="1" si="250"/>
        <v>2021</v>
      </c>
      <c r="AR858" s="6">
        <f t="shared" ca="1" si="251"/>
        <v>6</v>
      </c>
      <c r="AS858" s="68">
        <f ca="1">IFERROR(__xludf.DUMMYFUNCTION("""COMPUTED_VALUE"""),44351.9986111111)</f>
        <v>44351.998611111099</v>
      </c>
      <c r="AT858" s="6">
        <f ca="1">IFERROR(__xludf.DUMMYFUNCTION("""COMPUTED_VALUE"""),1892)</f>
        <v>1892</v>
      </c>
    </row>
    <row r="859" spans="2:46" x14ac:dyDescent="0.35">
      <c r="B859" s="6" t="str">
        <f t="shared" ca="1" si="234"/>
        <v>20215</v>
      </c>
      <c r="C859" s="6">
        <f t="shared" ca="1" si="235"/>
        <v>2021</v>
      </c>
      <c r="D859" s="6">
        <f t="shared" ca="1" si="236"/>
        <v>5</v>
      </c>
      <c r="E859" s="68">
        <f ca="1">IFERROR(__xludf.DUMMYFUNCTION("""COMPUTED_VALUE"""),44343.6666666666)</f>
        <v>44343.666666666599</v>
      </c>
      <c r="F859" s="6">
        <f ca="1">IFERROR(__xludf.DUMMYFUNCTION("""COMPUTED_VALUE"""),4200.88)</f>
        <v>4200.88</v>
      </c>
      <c r="J859" s="6" t="str">
        <f t="shared" ca="1" si="237"/>
        <v>20215</v>
      </c>
      <c r="K859" s="6">
        <f t="shared" ca="1" si="238"/>
        <v>2021</v>
      </c>
      <c r="L859" s="6">
        <f t="shared" ca="1" si="239"/>
        <v>5</v>
      </c>
      <c r="M859" s="68">
        <f ca="1">IFERROR(__xludf.DUMMYFUNCTION("""COMPUTED_VALUE"""),44336.6666666666)</f>
        <v>44336.666666666599</v>
      </c>
      <c r="N859" s="6">
        <f ca="1">IFERROR(__xludf.DUMMYFUNCTION("""COMPUTED_VALUE"""),13535.74)</f>
        <v>13535.74</v>
      </c>
      <c r="R859" s="6" t="str">
        <f t="shared" ca="1" si="240"/>
        <v>20216</v>
      </c>
      <c r="S859" s="6">
        <f t="shared" ca="1" si="241"/>
        <v>2021</v>
      </c>
      <c r="T859" s="6">
        <f t="shared" ca="1" si="242"/>
        <v>6</v>
      </c>
      <c r="U859" s="68">
        <f ca="1">IFERROR(__xludf.DUMMYFUNCTION("""COMPUTED_VALUE"""),44377.6458333333)</f>
        <v>44377.645833333299</v>
      </c>
      <c r="V859" s="6">
        <f ca="1">IFERROR(__xludf.DUMMYFUNCTION("""COMPUTED_VALUE"""),3296.68)</f>
        <v>3296.68</v>
      </c>
      <c r="Z859" s="6" t="str">
        <f t="shared" ca="1" si="243"/>
        <v>20206</v>
      </c>
      <c r="AA859" s="6">
        <f t="shared" ca="1" si="244"/>
        <v>2020</v>
      </c>
      <c r="AB859" s="6">
        <f t="shared" ca="1" si="245"/>
        <v>6</v>
      </c>
      <c r="AC859" s="68">
        <f ca="1">IFERROR(__xludf.DUMMYFUNCTION("""COMPUTED_VALUE"""),43998.9986111111)</f>
        <v>43998.998611111099</v>
      </c>
      <c r="AD859" s="6">
        <f ca="1">IFERROR(__xludf.DUMMYFUNCTION("""COMPUTED_VALUE"""),1211.15)</f>
        <v>1211.1500000000001</v>
      </c>
      <c r="AH859" s="6" t="str">
        <f t="shared" ca="1" si="246"/>
        <v>20204</v>
      </c>
      <c r="AI859" s="6">
        <f t="shared" ca="1" si="247"/>
        <v>2020</v>
      </c>
      <c r="AJ859" s="6">
        <f t="shared" ca="1" si="248"/>
        <v>4</v>
      </c>
      <c r="AK859" s="68">
        <f ca="1">IFERROR(__xludf.DUMMYFUNCTION("""COMPUTED_VALUE"""),43951.9986111111)</f>
        <v>43951.998611111099</v>
      </c>
      <c r="AL859" s="6">
        <f ca="1">IFERROR(__xludf.DUMMYFUNCTION("""COMPUTED_VALUE"""),8631.604)</f>
        <v>8631.6039999999994</v>
      </c>
      <c r="AP859" s="6" t="str">
        <f t="shared" ca="1" si="249"/>
        <v>20216</v>
      </c>
      <c r="AQ859" s="6">
        <f t="shared" ca="1" si="250"/>
        <v>2021</v>
      </c>
      <c r="AR859" s="6">
        <f t="shared" ca="1" si="251"/>
        <v>6</v>
      </c>
      <c r="AS859" s="68">
        <f ca="1">IFERROR(__xludf.DUMMYFUNCTION("""COMPUTED_VALUE"""),44354.9986111111)</f>
        <v>44354.998611111099</v>
      </c>
      <c r="AT859" s="6">
        <f ca="1">IFERROR(__xludf.DUMMYFUNCTION("""COMPUTED_VALUE"""),1898.8)</f>
        <v>1898.8</v>
      </c>
    </row>
    <row r="860" spans="2:46" x14ac:dyDescent="0.35">
      <c r="B860" s="6" t="str">
        <f t="shared" ca="1" si="234"/>
        <v>20215</v>
      </c>
      <c r="C860" s="6">
        <f t="shared" ca="1" si="235"/>
        <v>2021</v>
      </c>
      <c r="D860" s="6">
        <f t="shared" ca="1" si="236"/>
        <v>5</v>
      </c>
      <c r="E860" s="68">
        <f ca="1">IFERROR(__xludf.DUMMYFUNCTION("""COMPUTED_VALUE"""),44344.6666666666)</f>
        <v>44344.666666666599</v>
      </c>
      <c r="F860" s="6">
        <f ca="1">IFERROR(__xludf.DUMMYFUNCTION("""COMPUTED_VALUE"""),4204.11)</f>
        <v>4204.1099999999997</v>
      </c>
      <c r="J860" s="6" t="str">
        <f t="shared" ca="1" si="237"/>
        <v>20215</v>
      </c>
      <c r="K860" s="6">
        <f t="shared" ca="1" si="238"/>
        <v>2021</v>
      </c>
      <c r="L860" s="6">
        <f t="shared" ca="1" si="239"/>
        <v>5</v>
      </c>
      <c r="M860" s="68">
        <f ca="1">IFERROR(__xludf.DUMMYFUNCTION("""COMPUTED_VALUE"""),44337.6666666666)</f>
        <v>44337.666666666599</v>
      </c>
      <c r="N860" s="6">
        <f ca="1">IFERROR(__xludf.DUMMYFUNCTION("""COMPUTED_VALUE"""),13470.99)</f>
        <v>13470.99</v>
      </c>
      <c r="R860" s="6" t="str">
        <f t="shared" ca="1" si="240"/>
        <v>20217</v>
      </c>
      <c r="S860" s="6">
        <f t="shared" ca="1" si="241"/>
        <v>2021</v>
      </c>
      <c r="T860" s="6">
        <f t="shared" ca="1" si="242"/>
        <v>7</v>
      </c>
      <c r="U860" s="68">
        <f ca="1">IFERROR(__xludf.DUMMYFUNCTION("""COMPUTED_VALUE"""),44378.6458333333)</f>
        <v>44378.645833333299</v>
      </c>
      <c r="V860" s="6">
        <f ca="1">IFERROR(__xludf.DUMMYFUNCTION("""COMPUTED_VALUE"""),3282.06)</f>
        <v>3282.06</v>
      </c>
      <c r="Z860" s="6" t="str">
        <f t="shared" ca="1" si="243"/>
        <v>20206</v>
      </c>
      <c r="AA860" s="6">
        <f t="shared" ca="1" si="244"/>
        <v>2020</v>
      </c>
      <c r="AB860" s="6">
        <f t="shared" ca="1" si="245"/>
        <v>6</v>
      </c>
      <c r="AC860" s="68">
        <f ca="1">IFERROR(__xludf.DUMMYFUNCTION("""COMPUTED_VALUE"""),43999.9986111111)</f>
        <v>43999.998611111099</v>
      </c>
      <c r="AD860" s="6">
        <f ca="1">IFERROR(__xludf.DUMMYFUNCTION("""COMPUTED_VALUE"""),1214.35)</f>
        <v>1214.3499999999999</v>
      </c>
      <c r="AH860" s="6" t="str">
        <f t="shared" ca="1" si="246"/>
        <v>20205</v>
      </c>
      <c r="AI860" s="6">
        <f t="shared" ca="1" si="247"/>
        <v>2020</v>
      </c>
      <c r="AJ860" s="6">
        <f t="shared" ca="1" si="248"/>
        <v>5</v>
      </c>
      <c r="AK860" s="68">
        <f ca="1">IFERROR(__xludf.DUMMYFUNCTION("""COMPUTED_VALUE"""),43952.9986111111)</f>
        <v>43952.998611111099</v>
      </c>
      <c r="AL860" s="6">
        <f ca="1">IFERROR(__xludf.DUMMYFUNCTION("""COMPUTED_VALUE"""),8826.523)</f>
        <v>8826.5229999999992</v>
      </c>
      <c r="AP860" s="6" t="str">
        <f t="shared" ca="1" si="249"/>
        <v>20216</v>
      </c>
      <c r="AQ860" s="6">
        <f t="shared" ca="1" si="250"/>
        <v>2021</v>
      </c>
      <c r="AR860" s="6">
        <f t="shared" ca="1" si="251"/>
        <v>6</v>
      </c>
      <c r="AS860" s="68">
        <f ca="1">IFERROR(__xludf.DUMMYFUNCTION("""COMPUTED_VALUE"""),44355.9986111111)</f>
        <v>44355.998611111099</v>
      </c>
      <c r="AT860" s="6">
        <f ca="1">IFERROR(__xludf.DUMMYFUNCTION("""COMPUTED_VALUE"""),1894.4)</f>
        <v>1894.4</v>
      </c>
    </row>
    <row r="861" spans="2:46" x14ac:dyDescent="0.35">
      <c r="B861" s="6" t="str">
        <f t="shared" ca="1" si="234"/>
        <v>20216</v>
      </c>
      <c r="C861" s="6">
        <f t="shared" ca="1" si="235"/>
        <v>2021</v>
      </c>
      <c r="D861" s="6">
        <f t="shared" ca="1" si="236"/>
        <v>6</v>
      </c>
      <c r="E861" s="68">
        <f ca="1">IFERROR(__xludf.DUMMYFUNCTION("""COMPUTED_VALUE"""),44348.6666666666)</f>
        <v>44348.666666666599</v>
      </c>
      <c r="F861" s="6">
        <f ca="1">IFERROR(__xludf.DUMMYFUNCTION("""COMPUTED_VALUE"""),4202.04)</f>
        <v>4202.04</v>
      </c>
      <c r="J861" s="6" t="str">
        <f t="shared" ca="1" si="237"/>
        <v>20215</v>
      </c>
      <c r="K861" s="6">
        <f t="shared" ca="1" si="238"/>
        <v>2021</v>
      </c>
      <c r="L861" s="6">
        <f t="shared" ca="1" si="239"/>
        <v>5</v>
      </c>
      <c r="M861" s="68">
        <f ca="1">IFERROR(__xludf.DUMMYFUNCTION("""COMPUTED_VALUE"""),44340.6666666666)</f>
        <v>44340.666666666599</v>
      </c>
      <c r="N861" s="6">
        <f ca="1">IFERROR(__xludf.DUMMYFUNCTION("""COMPUTED_VALUE"""),13661.17)</f>
        <v>13661.17</v>
      </c>
      <c r="R861" s="6" t="str">
        <f t="shared" ca="1" si="240"/>
        <v>20217</v>
      </c>
      <c r="S861" s="6">
        <f t="shared" ca="1" si="241"/>
        <v>2021</v>
      </c>
      <c r="T861" s="6">
        <f t="shared" ca="1" si="242"/>
        <v>7</v>
      </c>
      <c r="U861" s="68">
        <f ca="1">IFERROR(__xludf.DUMMYFUNCTION("""COMPUTED_VALUE"""),44379.6458333333)</f>
        <v>44379.645833333299</v>
      </c>
      <c r="V861" s="6">
        <f ca="1">IFERROR(__xludf.DUMMYFUNCTION("""COMPUTED_VALUE"""),3281.78)</f>
        <v>3281.78</v>
      </c>
      <c r="Z861" s="6" t="str">
        <f t="shared" ca="1" si="243"/>
        <v>20206</v>
      </c>
      <c r="AA861" s="6">
        <f t="shared" ca="1" si="244"/>
        <v>2020</v>
      </c>
      <c r="AB861" s="6">
        <f t="shared" ca="1" si="245"/>
        <v>6</v>
      </c>
      <c r="AC861" s="68">
        <f ca="1">IFERROR(__xludf.DUMMYFUNCTION("""COMPUTED_VALUE"""),44000.9986111111)</f>
        <v>44000.998611111099</v>
      </c>
      <c r="AD861" s="6">
        <f ca="1">IFERROR(__xludf.DUMMYFUNCTION("""COMPUTED_VALUE"""),1211.36)</f>
        <v>1211.3599999999999</v>
      </c>
      <c r="AH861" s="6" t="str">
        <f t="shared" ca="1" si="246"/>
        <v>20205</v>
      </c>
      <c r="AI861" s="6">
        <f t="shared" ca="1" si="247"/>
        <v>2020</v>
      </c>
      <c r="AJ861" s="6">
        <f t="shared" ca="1" si="248"/>
        <v>5</v>
      </c>
      <c r="AK861" s="68">
        <f ca="1">IFERROR(__xludf.DUMMYFUNCTION("""COMPUTED_VALUE"""),43953.9986111111)</f>
        <v>43953.998611111099</v>
      </c>
      <c r="AL861" s="6">
        <f ca="1">IFERROR(__xludf.DUMMYFUNCTION("""COMPUTED_VALUE"""),8978.361)</f>
        <v>8978.3610000000008</v>
      </c>
      <c r="AP861" s="6" t="str">
        <f t="shared" ca="1" si="249"/>
        <v>20216</v>
      </c>
      <c r="AQ861" s="6">
        <f t="shared" ca="1" si="250"/>
        <v>2021</v>
      </c>
      <c r="AR861" s="6">
        <f t="shared" ca="1" si="251"/>
        <v>6</v>
      </c>
      <c r="AS861" s="68">
        <f ca="1">IFERROR(__xludf.DUMMYFUNCTION("""COMPUTED_VALUE"""),44356.9986111111)</f>
        <v>44356.998611111099</v>
      </c>
      <c r="AT861" s="6">
        <f ca="1">IFERROR(__xludf.DUMMYFUNCTION("""COMPUTED_VALUE"""),1895.5)</f>
        <v>1895.5</v>
      </c>
    </row>
    <row r="862" spans="2:46" x14ac:dyDescent="0.35">
      <c r="B862" s="6" t="str">
        <f t="shared" ca="1" si="234"/>
        <v>20216</v>
      </c>
      <c r="C862" s="6">
        <f t="shared" ca="1" si="235"/>
        <v>2021</v>
      </c>
      <c r="D862" s="6">
        <f t="shared" ca="1" si="236"/>
        <v>6</v>
      </c>
      <c r="E862" s="68">
        <f ca="1">IFERROR(__xludf.DUMMYFUNCTION("""COMPUTED_VALUE"""),44349.6666666666)</f>
        <v>44349.666666666599</v>
      </c>
      <c r="F862" s="6">
        <f ca="1">IFERROR(__xludf.DUMMYFUNCTION("""COMPUTED_VALUE"""),4208.12)</f>
        <v>4208.12</v>
      </c>
      <c r="J862" s="6" t="str">
        <f t="shared" ca="1" si="237"/>
        <v>20215</v>
      </c>
      <c r="K862" s="6">
        <f t="shared" ca="1" si="238"/>
        <v>2021</v>
      </c>
      <c r="L862" s="6">
        <f t="shared" ca="1" si="239"/>
        <v>5</v>
      </c>
      <c r="M862" s="68">
        <f ca="1">IFERROR(__xludf.DUMMYFUNCTION("""COMPUTED_VALUE"""),44341.6666666666)</f>
        <v>44341.666666666599</v>
      </c>
      <c r="N862" s="6">
        <f ca="1">IFERROR(__xludf.DUMMYFUNCTION("""COMPUTED_VALUE"""),13657.17)</f>
        <v>13657.17</v>
      </c>
      <c r="R862" s="6" t="str">
        <f t="shared" ca="1" si="240"/>
        <v>20217</v>
      </c>
      <c r="S862" s="6">
        <f t="shared" ca="1" si="241"/>
        <v>2021</v>
      </c>
      <c r="T862" s="6">
        <f t="shared" ca="1" si="242"/>
        <v>7</v>
      </c>
      <c r="U862" s="68">
        <f ca="1">IFERROR(__xludf.DUMMYFUNCTION("""COMPUTED_VALUE"""),44382.6458333333)</f>
        <v>44382.645833333299</v>
      </c>
      <c r="V862" s="6">
        <f ca="1">IFERROR(__xludf.DUMMYFUNCTION("""COMPUTED_VALUE"""),3293.21)</f>
        <v>3293.21</v>
      </c>
      <c r="Z862" s="6" t="str">
        <f t="shared" ca="1" si="243"/>
        <v>20206</v>
      </c>
      <c r="AA862" s="6">
        <f t="shared" ca="1" si="244"/>
        <v>2020</v>
      </c>
      <c r="AB862" s="6">
        <f t="shared" ca="1" si="245"/>
        <v>6</v>
      </c>
      <c r="AC862" s="68">
        <f ca="1">IFERROR(__xludf.DUMMYFUNCTION("""COMPUTED_VALUE"""),44001.9986111111)</f>
        <v>44001.998611111099</v>
      </c>
      <c r="AD862" s="6">
        <f ca="1">IFERROR(__xludf.DUMMYFUNCTION("""COMPUTED_VALUE"""),1211.83)</f>
        <v>1211.83</v>
      </c>
      <c r="AH862" s="6" t="str">
        <f t="shared" ca="1" si="246"/>
        <v>20205</v>
      </c>
      <c r="AI862" s="6">
        <f t="shared" ca="1" si="247"/>
        <v>2020</v>
      </c>
      <c r="AJ862" s="6">
        <f t="shared" ca="1" si="248"/>
        <v>5</v>
      </c>
      <c r="AK862" s="68">
        <f ca="1">IFERROR(__xludf.DUMMYFUNCTION("""COMPUTED_VALUE"""),43954.9986111111)</f>
        <v>43954.998611111099</v>
      </c>
      <c r="AL862" s="6">
        <f ca="1">IFERROR(__xludf.DUMMYFUNCTION("""COMPUTED_VALUE"""),8905.148)</f>
        <v>8905.1479999999992</v>
      </c>
      <c r="AP862" s="6" t="str">
        <f t="shared" ca="1" si="249"/>
        <v>20216</v>
      </c>
      <c r="AQ862" s="6">
        <f t="shared" ca="1" si="250"/>
        <v>2021</v>
      </c>
      <c r="AR862" s="6">
        <f t="shared" ca="1" si="251"/>
        <v>6</v>
      </c>
      <c r="AS862" s="68">
        <f ca="1">IFERROR(__xludf.DUMMYFUNCTION("""COMPUTED_VALUE"""),44357.9986111111)</f>
        <v>44357.998611111099</v>
      </c>
      <c r="AT862" s="6">
        <f ca="1">IFERROR(__xludf.DUMMYFUNCTION("""COMPUTED_VALUE"""),1896.4)</f>
        <v>1896.4</v>
      </c>
    </row>
    <row r="863" spans="2:46" x14ac:dyDescent="0.35">
      <c r="B863" s="6" t="str">
        <f t="shared" ca="1" si="234"/>
        <v>20216</v>
      </c>
      <c r="C863" s="6">
        <f t="shared" ca="1" si="235"/>
        <v>2021</v>
      </c>
      <c r="D863" s="6">
        <f t="shared" ca="1" si="236"/>
        <v>6</v>
      </c>
      <c r="E863" s="68">
        <f ca="1">IFERROR(__xludf.DUMMYFUNCTION("""COMPUTED_VALUE"""),44350.6666666666)</f>
        <v>44350.666666666599</v>
      </c>
      <c r="F863" s="6">
        <f ca="1">IFERROR(__xludf.DUMMYFUNCTION("""COMPUTED_VALUE"""),4192.85)</f>
        <v>4192.8500000000004</v>
      </c>
      <c r="J863" s="6" t="str">
        <f t="shared" ca="1" si="237"/>
        <v>20215</v>
      </c>
      <c r="K863" s="6">
        <f t="shared" ca="1" si="238"/>
        <v>2021</v>
      </c>
      <c r="L863" s="6">
        <f t="shared" ca="1" si="239"/>
        <v>5</v>
      </c>
      <c r="M863" s="68">
        <f ca="1">IFERROR(__xludf.DUMMYFUNCTION("""COMPUTED_VALUE"""),44342.6666666666)</f>
        <v>44342.666666666599</v>
      </c>
      <c r="N863" s="6">
        <f ca="1">IFERROR(__xludf.DUMMYFUNCTION("""COMPUTED_VALUE"""),13738)</f>
        <v>13738</v>
      </c>
      <c r="R863" s="6" t="str">
        <f t="shared" ca="1" si="240"/>
        <v>20217</v>
      </c>
      <c r="S863" s="6">
        <f t="shared" ca="1" si="241"/>
        <v>2021</v>
      </c>
      <c r="T863" s="6">
        <f t="shared" ca="1" si="242"/>
        <v>7</v>
      </c>
      <c r="U863" s="68">
        <f ca="1">IFERROR(__xludf.DUMMYFUNCTION("""COMPUTED_VALUE"""),44383.6458333333)</f>
        <v>44383.645833333299</v>
      </c>
      <c r="V863" s="6">
        <f ca="1">IFERROR(__xludf.DUMMYFUNCTION("""COMPUTED_VALUE"""),3305.21)</f>
        <v>3305.21</v>
      </c>
      <c r="Z863" s="6" t="str">
        <f t="shared" ca="1" si="243"/>
        <v>20206</v>
      </c>
      <c r="AA863" s="6">
        <f t="shared" ca="1" si="244"/>
        <v>2020</v>
      </c>
      <c r="AB863" s="6">
        <f t="shared" ca="1" si="245"/>
        <v>6</v>
      </c>
      <c r="AC863" s="68">
        <f ca="1">IFERROR(__xludf.DUMMYFUNCTION("""COMPUTED_VALUE"""),44002.9986111111)</f>
        <v>44002.998611111099</v>
      </c>
      <c r="AD863" s="6">
        <f ca="1">IFERROR(__xludf.DUMMYFUNCTION("""COMPUTED_VALUE"""),1211.83)</f>
        <v>1211.83</v>
      </c>
      <c r="AH863" s="6" t="str">
        <f t="shared" ca="1" si="246"/>
        <v>20205</v>
      </c>
      <c r="AI863" s="6">
        <f t="shared" ca="1" si="247"/>
        <v>2020</v>
      </c>
      <c r="AJ863" s="6">
        <f t="shared" ca="1" si="248"/>
        <v>5</v>
      </c>
      <c r="AK863" s="68">
        <f ca="1">IFERROR(__xludf.DUMMYFUNCTION("""COMPUTED_VALUE"""),43955.9986111111)</f>
        <v>43955.998611111099</v>
      </c>
      <c r="AL863" s="6">
        <f ca="1">IFERROR(__xludf.DUMMYFUNCTION("""COMPUTED_VALUE"""),8882.118)</f>
        <v>8882.1180000000004</v>
      </c>
      <c r="AP863" s="6" t="str">
        <f t="shared" ca="1" si="249"/>
        <v>20216</v>
      </c>
      <c r="AQ863" s="6">
        <f t="shared" ca="1" si="250"/>
        <v>2021</v>
      </c>
      <c r="AR863" s="6">
        <f t="shared" ca="1" si="251"/>
        <v>6</v>
      </c>
      <c r="AS863" s="68">
        <f ca="1">IFERROR(__xludf.DUMMYFUNCTION("""COMPUTED_VALUE"""),44358.9986111111)</f>
        <v>44358.998611111099</v>
      </c>
      <c r="AT863" s="6">
        <f ca="1">IFERROR(__xludf.DUMMYFUNCTION("""COMPUTED_VALUE"""),1879.6)</f>
        <v>1879.6</v>
      </c>
    </row>
    <row r="864" spans="2:46" x14ac:dyDescent="0.35">
      <c r="B864" s="6" t="str">
        <f t="shared" ca="1" si="234"/>
        <v>20216</v>
      </c>
      <c r="C864" s="6">
        <f t="shared" ca="1" si="235"/>
        <v>2021</v>
      </c>
      <c r="D864" s="6">
        <f t="shared" ca="1" si="236"/>
        <v>6</v>
      </c>
      <c r="E864" s="68">
        <f ca="1">IFERROR(__xludf.DUMMYFUNCTION("""COMPUTED_VALUE"""),44351.6666666666)</f>
        <v>44351.666666666599</v>
      </c>
      <c r="F864" s="6">
        <f ca="1">IFERROR(__xludf.DUMMYFUNCTION("""COMPUTED_VALUE"""),4229.89)</f>
        <v>4229.8900000000003</v>
      </c>
      <c r="J864" s="6" t="str">
        <f t="shared" ca="1" si="237"/>
        <v>20215</v>
      </c>
      <c r="K864" s="6">
        <f t="shared" ca="1" si="238"/>
        <v>2021</v>
      </c>
      <c r="L864" s="6">
        <f t="shared" ca="1" si="239"/>
        <v>5</v>
      </c>
      <c r="M864" s="68">
        <f ca="1">IFERROR(__xludf.DUMMYFUNCTION("""COMPUTED_VALUE"""),44343.6666666666)</f>
        <v>44343.666666666599</v>
      </c>
      <c r="N864" s="6">
        <f ca="1">IFERROR(__xludf.DUMMYFUNCTION("""COMPUTED_VALUE"""),13736.28)</f>
        <v>13736.28</v>
      </c>
      <c r="R864" s="6" t="str">
        <f t="shared" ca="1" si="240"/>
        <v>20217</v>
      </c>
      <c r="S864" s="6">
        <f t="shared" ca="1" si="241"/>
        <v>2021</v>
      </c>
      <c r="T864" s="6">
        <f t="shared" ca="1" si="242"/>
        <v>7</v>
      </c>
      <c r="U864" s="68">
        <f ca="1">IFERROR(__xludf.DUMMYFUNCTION("""COMPUTED_VALUE"""),44384.6458333333)</f>
        <v>44384.645833333299</v>
      </c>
      <c r="V864" s="6">
        <f ca="1">IFERROR(__xludf.DUMMYFUNCTION("""COMPUTED_VALUE"""),3285.34)</f>
        <v>3285.34</v>
      </c>
      <c r="Z864" s="6" t="str">
        <f t="shared" ca="1" si="243"/>
        <v>20206</v>
      </c>
      <c r="AA864" s="6">
        <f t="shared" ca="1" si="244"/>
        <v>2020</v>
      </c>
      <c r="AB864" s="6">
        <f t="shared" ca="1" si="245"/>
        <v>6</v>
      </c>
      <c r="AC864" s="68">
        <f ca="1">IFERROR(__xludf.DUMMYFUNCTION("""COMPUTED_VALUE"""),44003.9986111111)</f>
        <v>44003.998611111099</v>
      </c>
      <c r="AD864" s="6">
        <f ca="1">IFERROR(__xludf.DUMMYFUNCTION("""COMPUTED_VALUE"""),1210.89)</f>
        <v>1210.8900000000001</v>
      </c>
      <c r="AH864" s="6" t="str">
        <f t="shared" ca="1" si="246"/>
        <v>20205</v>
      </c>
      <c r="AI864" s="6">
        <f t="shared" ca="1" si="247"/>
        <v>2020</v>
      </c>
      <c r="AJ864" s="6">
        <f t="shared" ca="1" si="248"/>
        <v>5</v>
      </c>
      <c r="AK864" s="68">
        <f ca="1">IFERROR(__xludf.DUMMYFUNCTION("""COMPUTED_VALUE"""),43956.9986111111)</f>
        <v>43956.998611111099</v>
      </c>
      <c r="AL864" s="6">
        <f ca="1">IFERROR(__xludf.DUMMYFUNCTION("""COMPUTED_VALUE"""),9024.511)</f>
        <v>9024.5110000000004</v>
      </c>
      <c r="AP864" s="6" t="str">
        <f t="shared" ca="1" si="249"/>
        <v>20216</v>
      </c>
      <c r="AQ864" s="6">
        <f t="shared" ca="1" si="250"/>
        <v>2021</v>
      </c>
      <c r="AR864" s="6">
        <f t="shared" ca="1" si="251"/>
        <v>6</v>
      </c>
      <c r="AS864" s="68">
        <f ca="1">IFERROR(__xludf.DUMMYFUNCTION("""COMPUTED_VALUE"""),44361.9986111111)</f>
        <v>44361.998611111099</v>
      </c>
      <c r="AT864" s="6">
        <f ca="1">IFERROR(__xludf.DUMMYFUNCTION("""COMPUTED_VALUE"""),1865.9)</f>
        <v>1865.9</v>
      </c>
    </row>
    <row r="865" spans="2:46" x14ac:dyDescent="0.35">
      <c r="B865" s="6" t="str">
        <f t="shared" ca="1" si="234"/>
        <v>20216</v>
      </c>
      <c r="C865" s="6">
        <f t="shared" ca="1" si="235"/>
        <v>2021</v>
      </c>
      <c r="D865" s="6">
        <f t="shared" ca="1" si="236"/>
        <v>6</v>
      </c>
      <c r="E865" s="68">
        <f ca="1">IFERROR(__xludf.DUMMYFUNCTION("""COMPUTED_VALUE"""),44354.6666666666)</f>
        <v>44354.666666666599</v>
      </c>
      <c r="F865" s="6">
        <f ca="1">IFERROR(__xludf.DUMMYFUNCTION("""COMPUTED_VALUE"""),4226.52)</f>
        <v>4226.5200000000004</v>
      </c>
      <c r="J865" s="6" t="str">
        <f t="shared" ca="1" si="237"/>
        <v>20215</v>
      </c>
      <c r="K865" s="6">
        <f t="shared" ca="1" si="238"/>
        <v>2021</v>
      </c>
      <c r="L865" s="6">
        <f t="shared" ca="1" si="239"/>
        <v>5</v>
      </c>
      <c r="M865" s="68">
        <f ca="1">IFERROR(__xludf.DUMMYFUNCTION("""COMPUTED_VALUE"""),44344.6666666666)</f>
        <v>44344.666666666599</v>
      </c>
      <c r="N865" s="6">
        <f ca="1">IFERROR(__xludf.DUMMYFUNCTION("""COMPUTED_VALUE"""),13748.74)</f>
        <v>13748.74</v>
      </c>
      <c r="R865" s="6" t="str">
        <f t="shared" ca="1" si="240"/>
        <v>20217</v>
      </c>
      <c r="S865" s="6">
        <f t="shared" ca="1" si="241"/>
        <v>2021</v>
      </c>
      <c r="T865" s="6">
        <f t="shared" ca="1" si="242"/>
        <v>7</v>
      </c>
      <c r="U865" s="68">
        <f ca="1">IFERROR(__xludf.DUMMYFUNCTION("""COMPUTED_VALUE"""),44385.6458333333)</f>
        <v>44385.645833333299</v>
      </c>
      <c r="V865" s="6">
        <f ca="1">IFERROR(__xludf.DUMMYFUNCTION("""COMPUTED_VALUE"""),3252.68)</f>
        <v>3252.68</v>
      </c>
      <c r="Z865" s="6" t="str">
        <f t="shared" ca="1" si="243"/>
        <v>20206</v>
      </c>
      <c r="AA865" s="6">
        <f t="shared" ca="1" si="244"/>
        <v>2020</v>
      </c>
      <c r="AB865" s="6">
        <f t="shared" ca="1" si="245"/>
        <v>6</v>
      </c>
      <c r="AC865" s="68">
        <f ca="1">IFERROR(__xludf.DUMMYFUNCTION("""COMPUTED_VALUE"""),44004.9986111111)</f>
        <v>44004.998611111099</v>
      </c>
      <c r="AD865" s="6">
        <f ca="1">IFERROR(__xludf.DUMMYFUNCTION("""COMPUTED_VALUE"""),1208)</f>
        <v>1208</v>
      </c>
      <c r="AH865" s="6" t="str">
        <f t="shared" ca="1" si="246"/>
        <v>20205</v>
      </c>
      <c r="AI865" s="6">
        <f t="shared" ca="1" si="247"/>
        <v>2020</v>
      </c>
      <c r="AJ865" s="6">
        <f t="shared" ca="1" si="248"/>
        <v>5</v>
      </c>
      <c r="AK865" s="68">
        <f ca="1">IFERROR(__xludf.DUMMYFUNCTION("""COMPUTED_VALUE"""),43957.9986111111)</f>
        <v>43957.998611111099</v>
      </c>
      <c r="AL865" s="6">
        <f ca="1">IFERROR(__xludf.DUMMYFUNCTION("""COMPUTED_VALUE"""),9153.317)</f>
        <v>9153.3169999999991</v>
      </c>
      <c r="AP865" s="6" t="str">
        <f t="shared" ca="1" si="249"/>
        <v>20216</v>
      </c>
      <c r="AQ865" s="6">
        <f t="shared" ca="1" si="250"/>
        <v>2021</v>
      </c>
      <c r="AR865" s="6">
        <f t="shared" ca="1" si="251"/>
        <v>6</v>
      </c>
      <c r="AS865" s="68">
        <f ca="1">IFERROR(__xludf.DUMMYFUNCTION("""COMPUTED_VALUE"""),44362.9986111111)</f>
        <v>44362.998611111099</v>
      </c>
      <c r="AT865" s="6">
        <f ca="1">IFERROR(__xludf.DUMMYFUNCTION("""COMPUTED_VALUE"""),1856.4)</f>
        <v>1856.4</v>
      </c>
    </row>
    <row r="866" spans="2:46" x14ac:dyDescent="0.35">
      <c r="B866" s="6" t="str">
        <f t="shared" ca="1" si="234"/>
        <v>20216</v>
      </c>
      <c r="C866" s="6">
        <f t="shared" ca="1" si="235"/>
        <v>2021</v>
      </c>
      <c r="D866" s="6">
        <f t="shared" ca="1" si="236"/>
        <v>6</v>
      </c>
      <c r="E866" s="68">
        <f ca="1">IFERROR(__xludf.DUMMYFUNCTION("""COMPUTED_VALUE"""),44355.6666666666)</f>
        <v>44355.666666666599</v>
      </c>
      <c r="F866" s="6">
        <f ca="1">IFERROR(__xludf.DUMMYFUNCTION("""COMPUTED_VALUE"""),4227.26)</f>
        <v>4227.26</v>
      </c>
      <c r="J866" s="6" t="str">
        <f t="shared" ca="1" si="237"/>
        <v>20216</v>
      </c>
      <c r="K866" s="6">
        <f t="shared" ca="1" si="238"/>
        <v>2021</v>
      </c>
      <c r="L866" s="6">
        <f t="shared" ca="1" si="239"/>
        <v>6</v>
      </c>
      <c r="M866" s="68">
        <f ca="1">IFERROR(__xludf.DUMMYFUNCTION("""COMPUTED_VALUE"""),44348.6666666666)</f>
        <v>44348.666666666599</v>
      </c>
      <c r="N866" s="6">
        <f ca="1">IFERROR(__xludf.DUMMYFUNCTION("""COMPUTED_VALUE"""),13736.48)</f>
        <v>13736.48</v>
      </c>
      <c r="R866" s="6" t="str">
        <f t="shared" ca="1" si="240"/>
        <v>20217</v>
      </c>
      <c r="S866" s="6">
        <f t="shared" ca="1" si="241"/>
        <v>2021</v>
      </c>
      <c r="T866" s="6">
        <f t="shared" ca="1" si="242"/>
        <v>7</v>
      </c>
      <c r="U866" s="68">
        <f ca="1">IFERROR(__xludf.DUMMYFUNCTION("""COMPUTED_VALUE"""),44386.6458333333)</f>
        <v>44386.645833333299</v>
      </c>
      <c r="V866" s="6">
        <f ca="1">IFERROR(__xludf.DUMMYFUNCTION("""COMPUTED_VALUE"""),3217.95)</f>
        <v>3217.95</v>
      </c>
      <c r="Z866" s="6" t="str">
        <f t="shared" ca="1" si="243"/>
        <v>20206</v>
      </c>
      <c r="AA866" s="6">
        <f t="shared" ca="1" si="244"/>
        <v>2020</v>
      </c>
      <c r="AB866" s="6">
        <f t="shared" ca="1" si="245"/>
        <v>6</v>
      </c>
      <c r="AC866" s="68">
        <f ca="1">IFERROR(__xludf.DUMMYFUNCTION("""COMPUTED_VALUE"""),44005.9986111111)</f>
        <v>44005.998611111099</v>
      </c>
      <c r="AD866" s="6">
        <f ca="1">IFERROR(__xludf.DUMMYFUNCTION("""COMPUTED_VALUE"""),1207.95)</f>
        <v>1207.95</v>
      </c>
      <c r="AH866" s="6" t="str">
        <f t="shared" ca="1" si="246"/>
        <v>20205</v>
      </c>
      <c r="AI866" s="6">
        <f t="shared" ca="1" si="247"/>
        <v>2020</v>
      </c>
      <c r="AJ866" s="6">
        <f t="shared" ca="1" si="248"/>
        <v>5</v>
      </c>
      <c r="AK866" s="68">
        <f ca="1">IFERROR(__xludf.DUMMYFUNCTION("""COMPUTED_VALUE"""),43958.9986111111)</f>
        <v>43958.998611111099</v>
      </c>
      <c r="AL866" s="6">
        <f ca="1">IFERROR(__xludf.DUMMYFUNCTION("""COMPUTED_VALUE"""),9986.479)</f>
        <v>9986.4789999999994</v>
      </c>
      <c r="AP866" s="6" t="str">
        <f t="shared" ca="1" si="249"/>
        <v>20216</v>
      </c>
      <c r="AQ866" s="6">
        <f t="shared" ca="1" si="250"/>
        <v>2021</v>
      </c>
      <c r="AR866" s="6">
        <f t="shared" ca="1" si="251"/>
        <v>6</v>
      </c>
      <c r="AS866" s="68">
        <f ca="1">IFERROR(__xludf.DUMMYFUNCTION("""COMPUTED_VALUE"""),44363.9986111111)</f>
        <v>44363.998611111099</v>
      </c>
      <c r="AT866" s="6">
        <f ca="1">IFERROR(__xludf.DUMMYFUNCTION("""COMPUTED_VALUE"""),1861.4)</f>
        <v>1861.4</v>
      </c>
    </row>
    <row r="867" spans="2:46" x14ac:dyDescent="0.35">
      <c r="B867" s="6" t="str">
        <f t="shared" ca="1" si="234"/>
        <v>20216</v>
      </c>
      <c r="C867" s="6">
        <f t="shared" ca="1" si="235"/>
        <v>2021</v>
      </c>
      <c r="D867" s="6">
        <f t="shared" ca="1" si="236"/>
        <v>6</v>
      </c>
      <c r="E867" s="68">
        <f ca="1">IFERROR(__xludf.DUMMYFUNCTION("""COMPUTED_VALUE"""),44356.6666666666)</f>
        <v>44356.666666666599</v>
      </c>
      <c r="F867" s="6">
        <f ca="1">IFERROR(__xludf.DUMMYFUNCTION("""COMPUTED_VALUE"""),4219.55)</f>
        <v>4219.55</v>
      </c>
      <c r="J867" s="6" t="str">
        <f t="shared" ca="1" si="237"/>
        <v>20216</v>
      </c>
      <c r="K867" s="6">
        <f t="shared" ca="1" si="238"/>
        <v>2021</v>
      </c>
      <c r="L867" s="6">
        <f t="shared" ca="1" si="239"/>
        <v>6</v>
      </c>
      <c r="M867" s="68">
        <f ca="1">IFERROR(__xludf.DUMMYFUNCTION("""COMPUTED_VALUE"""),44349.6666666666)</f>
        <v>44349.666666666599</v>
      </c>
      <c r="N867" s="6">
        <f ca="1">IFERROR(__xludf.DUMMYFUNCTION("""COMPUTED_VALUE"""),13756.33)</f>
        <v>13756.33</v>
      </c>
      <c r="R867" s="6" t="str">
        <f t="shared" ca="1" si="240"/>
        <v>20217</v>
      </c>
      <c r="S867" s="6">
        <f t="shared" ca="1" si="241"/>
        <v>2021</v>
      </c>
      <c r="T867" s="6">
        <f t="shared" ca="1" si="242"/>
        <v>7</v>
      </c>
      <c r="U867" s="68">
        <f ca="1">IFERROR(__xludf.DUMMYFUNCTION("""COMPUTED_VALUE"""),44389.6458333333)</f>
        <v>44389.645833333299</v>
      </c>
      <c r="V867" s="6">
        <f ca="1">IFERROR(__xludf.DUMMYFUNCTION("""COMPUTED_VALUE"""),3246.47)</f>
        <v>3246.47</v>
      </c>
      <c r="Z867" s="6" t="str">
        <f t="shared" ca="1" si="243"/>
        <v>20206</v>
      </c>
      <c r="AA867" s="6">
        <f t="shared" ca="1" si="244"/>
        <v>2020</v>
      </c>
      <c r="AB867" s="6">
        <f t="shared" ca="1" si="245"/>
        <v>6</v>
      </c>
      <c r="AC867" s="68">
        <f ca="1">IFERROR(__xludf.DUMMYFUNCTION("""COMPUTED_VALUE"""),44006.9986111111)</f>
        <v>44006.998611111099</v>
      </c>
      <c r="AD867" s="6">
        <f ca="1">IFERROR(__xludf.DUMMYFUNCTION("""COMPUTED_VALUE"""),1205.25)</f>
        <v>1205.25</v>
      </c>
      <c r="AH867" s="6" t="str">
        <f t="shared" ca="1" si="246"/>
        <v>20205</v>
      </c>
      <c r="AI867" s="6">
        <f t="shared" ca="1" si="247"/>
        <v>2020</v>
      </c>
      <c r="AJ867" s="6">
        <f t="shared" ca="1" si="248"/>
        <v>5</v>
      </c>
      <c r="AK867" s="68">
        <f ca="1">IFERROR(__xludf.DUMMYFUNCTION("""COMPUTED_VALUE"""),43959.9986111111)</f>
        <v>43959.998611111099</v>
      </c>
      <c r="AL867" s="6">
        <f ca="1">IFERROR(__xludf.DUMMYFUNCTION("""COMPUTED_VALUE"""),9807.23)</f>
        <v>9807.23</v>
      </c>
      <c r="AP867" s="6" t="str">
        <f t="shared" ca="1" si="249"/>
        <v>20216</v>
      </c>
      <c r="AQ867" s="6">
        <f t="shared" ca="1" si="250"/>
        <v>2021</v>
      </c>
      <c r="AR867" s="6">
        <f t="shared" ca="1" si="251"/>
        <v>6</v>
      </c>
      <c r="AS867" s="68">
        <f ca="1">IFERROR(__xludf.DUMMYFUNCTION("""COMPUTED_VALUE"""),44364.9986111111)</f>
        <v>44364.998611111099</v>
      </c>
      <c r="AT867" s="6">
        <f ca="1">IFERROR(__xludf.DUMMYFUNCTION("""COMPUTED_VALUE"""),1774.8)</f>
        <v>1774.8</v>
      </c>
    </row>
    <row r="868" spans="2:46" x14ac:dyDescent="0.35">
      <c r="B868" s="6" t="str">
        <f t="shared" ca="1" si="234"/>
        <v>20216</v>
      </c>
      <c r="C868" s="6">
        <f t="shared" ca="1" si="235"/>
        <v>2021</v>
      </c>
      <c r="D868" s="6">
        <f t="shared" ca="1" si="236"/>
        <v>6</v>
      </c>
      <c r="E868" s="68">
        <f ca="1">IFERROR(__xludf.DUMMYFUNCTION("""COMPUTED_VALUE"""),44357.6666666666)</f>
        <v>44357.666666666599</v>
      </c>
      <c r="F868" s="6">
        <f ca="1">IFERROR(__xludf.DUMMYFUNCTION("""COMPUTED_VALUE"""),4239.18)</f>
        <v>4239.18</v>
      </c>
      <c r="J868" s="6" t="str">
        <f t="shared" ca="1" si="237"/>
        <v>20216</v>
      </c>
      <c r="K868" s="6">
        <f t="shared" ca="1" si="238"/>
        <v>2021</v>
      </c>
      <c r="L868" s="6">
        <f t="shared" ca="1" si="239"/>
        <v>6</v>
      </c>
      <c r="M868" s="68">
        <f ca="1">IFERROR(__xludf.DUMMYFUNCTION("""COMPUTED_VALUE"""),44350.6666666666)</f>
        <v>44350.666666666599</v>
      </c>
      <c r="N868" s="6">
        <f ca="1">IFERROR(__xludf.DUMMYFUNCTION("""COMPUTED_VALUE"""),13614.51)</f>
        <v>13614.51</v>
      </c>
      <c r="R868" s="6" t="str">
        <f t="shared" ca="1" si="240"/>
        <v>20217</v>
      </c>
      <c r="S868" s="6">
        <f t="shared" ca="1" si="241"/>
        <v>2021</v>
      </c>
      <c r="T868" s="6">
        <f t="shared" ca="1" si="242"/>
        <v>7</v>
      </c>
      <c r="U868" s="68">
        <f ca="1">IFERROR(__xludf.DUMMYFUNCTION("""COMPUTED_VALUE"""),44390.6458333333)</f>
        <v>44390.645833333299</v>
      </c>
      <c r="V868" s="6">
        <f ca="1">IFERROR(__xludf.DUMMYFUNCTION("""COMPUTED_VALUE"""),3271.38)</f>
        <v>3271.38</v>
      </c>
      <c r="Z868" s="6" t="str">
        <f t="shared" ca="1" si="243"/>
        <v>20206</v>
      </c>
      <c r="AA868" s="6">
        <f t="shared" ca="1" si="244"/>
        <v>2020</v>
      </c>
      <c r="AB868" s="6">
        <f t="shared" ca="1" si="245"/>
        <v>6</v>
      </c>
      <c r="AC868" s="68">
        <f ca="1">IFERROR(__xludf.DUMMYFUNCTION("""COMPUTED_VALUE"""),44007.9986111111)</f>
        <v>44007.998611111099</v>
      </c>
      <c r="AD868" s="6">
        <f ca="1">IFERROR(__xludf.DUMMYFUNCTION("""COMPUTED_VALUE"""),1201.52)</f>
        <v>1201.52</v>
      </c>
      <c r="AH868" s="6" t="str">
        <f t="shared" ca="1" si="246"/>
        <v>20205</v>
      </c>
      <c r="AI868" s="6">
        <f t="shared" ca="1" si="247"/>
        <v>2020</v>
      </c>
      <c r="AJ868" s="6">
        <f t="shared" ca="1" si="248"/>
        <v>5</v>
      </c>
      <c r="AK868" s="68">
        <f ca="1">IFERROR(__xludf.DUMMYFUNCTION("""COMPUTED_VALUE"""),43960.9986111111)</f>
        <v>43960.998611111099</v>
      </c>
      <c r="AL868" s="6">
        <f ca="1">IFERROR(__xludf.DUMMYFUNCTION("""COMPUTED_VALUE"""),9537.408)</f>
        <v>9537.4079999999994</v>
      </c>
      <c r="AP868" s="6" t="str">
        <f t="shared" ca="1" si="249"/>
        <v>20216</v>
      </c>
      <c r="AQ868" s="6">
        <f t="shared" ca="1" si="250"/>
        <v>2021</v>
      </c>
      <c r="AR868" s="6">
        <f t="shared" ca="1" si="251"/>
        <v>6</v>
      </c>
      <c r="AS868" s="68">
        <f ca="1">IFERROR(__xludf.DUMMYFUNCTION("""COMPUTED_VALUE"""),44365.9986111111)</f>
        <v>44365.998611111099</v>
      </c>
      <c r="AT868" s="6">
        <f ca="1">IFERROR(__xludf.DUMMYFUNCTION("""COMPUTED_VALUE"""),1769)</f>
        <v>1769</v>
      </c>
    </row>
    <row r="869" spans="2:46" x14ac:dyDescent="0.35">
      <c r="B869" s="6" t="str">
        <f t="shared" ca="1" si="234"/>
        <v>20216</v>
      </c>
      <c r="C869" s="6">
        <f t="shared" ca="1" si="235"/>
        <v>2021</v>
      </c>
      <c r="D869" s="6">
        <f t="shared" ca="1" si="236"/>
        <v>6</v>
      </c>
      <c r="E869" s="68">
        <f ca="1">IFERROR(__xludf.DUMMYFUNCTION("""COMPUTED_VALUE"""),44358.6666666666)</f>
        <v>44358.666666666599</v>
      </c>
      <c r="F869" s="6">
        <f ca="1">IFERROR(__xludf.DUMMYFUNCTION("""COMPUTED_VALUE"""),4247.44)</f>
        <v>4247.4399999999996</v>
      </c>
      <c r="J869" s="6" t="str">
        <f t="shared" ca="1" si="237"/>
        <v>20216</v>
      </c>
      <c r="K869" s="6">
        <f t="shared" ca="1" si="238"/>
        <v>2021</v>
      </c>
      <c r="L869" s="6">
        <f t="shared" ca="1" si="239"/>
        <v>6</v>
      </c>
      <c r="M869" s="68">
        <f ca="1">IFERROR(__xludf.DUMMYFUNCTION("""COMPUTED_VALUE"""),44351.6666666666)</f>
        <v>44351.666666666599</v>
      </c>
      <c r="N869" s="6">
        <f ca="1">IFERROR(__xludf.DUMMYFUNCTION("""COMPUTED_VALUE"""),13814.49)</f>
        <v>13814.49</v>
      </c>
      <c r="R869" s="6" t="str">
        <f t="shared" ca="1" si="240"/>
        <v>20217</v>
      </c>
      <c r="S869" s="6">
        <f t="shared" ca="1" si="241"/>
        <v>2021</v>
      </c>
      <c r="T869" s="6">
        <f t="shared" ca="1" si="242"/>
        <v>7</v>
      </c>
      <c r="U869" s="68">
        <f ca="1">IFERROR(__xludf.DUMMYFUNCTION("""COMPUTED_VALUE"""),44391.6458333333)</f>
        <v>44391.645833333299</v>
      </c>
      <c r="V869" s="6">
        <f ca="1">IFERROR(__xludf.DUMMYFUNCTION("""COMPUTED_VALUE"""),3264.81)</f>
        <v>3264.81</v>
      </c>
      <c r="Z869" s="6" t="str">
        <f t="shared" ca="1" si="243"/>
        <v>20206</v>
      </c>
      <c r="AA869" s="6">
        <f t="shared" ca="1" si="244"/>
        <v>2020</v>
      </c>
      <c r="AB869" s="6">
        <f t="shared" ca="1" si="245"/>
        <v>6</v>
      </c>
      <c r="AC869" s="68">
        <f ca="1">IFERROR(__xludf.DUMMYFUNCTION("""COMPUTED_VALUE"""),44008.9986111111)</f>
        <v>44008.998611111099</v>
      </c>
      <c r="AD869" s="6">
        <f ca="1">IFERROR(__xludf.DUMMYFUNCTION("""COMPUTED_VALUE"""),1202.56)</f>
        <v>1202.56</v>
      </c>
      <c r="AH869" s="6" t="str">
        <f t="shared" ca="1" si="246"/>
        <v>20205</v>
      </c>
      <c r="AI869" s="6">
        <f t="shared" ca="1" si="247"/>
        <v>2020</v>
      </c>
      <c r="AJ869" s="6">
        <f t="shared" ca="1" si="248"/>
        <v>5</v>
      </c>
      <c r="AK869" s="68">
        <f ca="1">IFERROR(__xludf.DUMMYFUNCTION("""COMPUTED_VALUE"""),43961.9986111111)</f>
        <v>43961.998611111099</v>
      </c>
      <c r="AL869" s="6">
        <f ca="1">IFERROR(__xludf.DUMMYFUNCTION("""COMPUTED_VALUE"""),8737.619)</f>
        <v>8737.6190000000006</v>
      </c>
      <c r="AP869" s="6" t="str">
        <f t="shared" ca="1" si="249"/>
        <v>20216</v>
      </c>
      <c r="AQ869" s="6">
        <f t="shared" ca="1" si="250"/>
        <v>2021</v>
      </c>
      <c r="AR869" s="6">
        <f t="shared" ca="1" si="251"/>
        <v>6</v>
      </c>
      <c r="AS869" s="68">
        <f ca="1">IFERROR(__xludf.DUMMYFUNCTION("""COMPUTED_VALUE"""),44368.9986111111)</f>
        <v>44368.998611111099</v>
      </c>
      <c r="AT869" s="6">
        <f ca="1">IFERROR(__xludf.DUMMYFUNCTION("""COMPUTED_VALUE"""),1782.9)</f>
        <v>1782.9</v>
      </c>
    </row>
    <row r="870" spans="2:46" x14ac:dyDescent="0.35">
      <c r="B870" s="6" t="str">
        <f t="shared" ca="1" si="234"/>
        <v>20216</v>
      </c>
      <c r="C870" s="6">
        <f t="shared" ca="1" si="235"/>
        <v>2021</v>
      </c>
      <c r="D870" s="6">
        <f t="shared" ca="1" si="236"/>
        <v>6</v>
      </c>
      <c r="E870" s="68">
        <f ca="1">IFERROR(__xludf.DUMMYFUNCTION("""COMPUTED_VALUE"""),44361.6666666666)</f>
        <v>44361.666666666599</v>
      </c>
      <c r="F870" s="6">
        <f ca="1">IFERROR(__xludf.DUMMYFUNCTION("""COMPUTED_VALUE"""),4255.15)</f>
        <v>4255.1499999999996</v>
      </c>
      <c r="J870" s="6" t="str">
        <f t="shared" ca="1" si="237"/>
        <v>20216</v>
      </c>
      <c r="K870" s="6">
        <f t="shared" ca="1" si="238"/>
        <v>2021</v>
      </c>
      <c r="L870" s="6">
        <f t="shared" ca="1" si="239"/>
        <v>6</v>
      </c>
      <c r="M870" s="68">
        <f ca="1">IFERROR(__xludf.DUMMYFUNCTION("""COMPUTED_VALUE"""),44354.6666666666)</f>
        <v>44354.666666666599</v>
      </c>
      <c r="N870" s="6">
        <f ca="1">IFERROR(__xludf.DUMMYFUNCTION("""COMPUTED_VALUE"""),13881.72)</f>
        <v>13881.72</v>
      </c>
      <c r="R870" s="6" t="str">
        <f t="shared" ca="1" si="240"/>
        <v>20217</v>
      </c>
      <c r="S870" s="6">
        <f t="shared" ca="1" si="241"/>
        <v>2021</v>
      </c>
      <c r="T870" s="6">
        <f t="shared" ca="1" si="242"/>
        <v>7</v>
      </c>
      <c r="U870" s="68">
        <f ca="1">IFERROR(__xludf.DUMMYFUNCTION("""COMPUTED_VALUE"""),44392.6458333333)</f>
        <v>44392.645833333299</v>
      </c>
      <c r="V870" s="6">
        <f ca="1">IFERROR(__xludf.DUMMYFUNCTION("""COMPUTED_VALUE"""),3286.22)</f>
        <v>3286.22</v>
      </c>
      <c r="Z870" s="6" t="str">
        <f t="shared" ca="1" si="243"/>
        <v>20206</v>
      </c>
      <c r="AA870" s="6">
        <f t="shared" ca="1" si="244"/>
        <v>2020</v>
      </c>
      <c r="AB870" s="6">
        <f t="shared" ca="1" si="245"/>
        <v>6</v>
      </c>
      <c r="AC870" s="68">
        <f ca="1">IFERROR(__xludf.DUMMYFUNCTION("""COMPUTED_VALUE"""),44009.9986111111)</f>
        <v>44009.998611111099</v>
      </c>
      <c r="AD870" s="6">
        <f ca="1">IFERROR(__xludf.DUMMYFUNCTION("""COMPUTED_VALUE"""),1202.56)</f>
        <v>1202.56</v>
      </c>
      <c r="AH870" s="6" t="str">
        <f t="shared" ca="1" si="246"/>
        <v>20205</v>
      </c>
      <c r="AI870" s="6">
        <f t="shared" ca="1" si="247"/>
        <v>2020</v>
      </c>
      <c r="AJ870" s="6">
        <f t="shared" ca="1" si="248"/>
        <v>5</v>
      </c>
      <c r="AK870" s="68">
        <f ca="1">IFERROR(__xludf.DUMMYFUNCTION("""COMPUTED_VALUE"""),43962.9986111111)</f>
        <v>43962.998611111099</v>
      </c>
      <c r="AL870" s="6">
        <f ca="1">IFERROR(__xludf.DUMMYFUNCTION("""COMPUTED_VALUE"""),8572.2)</f>
        <v>8572.2000000000007</v>
      </c>
      <c r="AP870" s="6" t="str">
        <f t="shared" ca="1" si="249"/>
        <v>20216</v>
      </c>
      <c r="AQ870" s="6">
        <f t="shared" ca="1" si="250"/>
        <v>2021</v>
      </c>
      <c r="AR870" s="6">
        <f t="shared" ca="1" si="251"/>
        <v>6</v>
      </c>
      <c r="AS870" s="68">
        <f ca="1">IFERROR(__xludf.DUMMYFUNCTION("""COMPUTED_VALUE"""),44369.9986111111)</f>
        <v>44369.998611111099</v>
      </c>
      <c r="AT870" s="6">
        <f ca="1">IFERROR(__xludf.DUMMYFUNCTION("""COMPUTED_VALUE"""),1777.4)</f>
        <v>1777.4</v>
      </c>
    </row>
    <row r="871" spans="2:46" x14ac:dyDescent="0.35">
      <c r="B871" s="6" t="str">
        <f t="shared" ca="1" si="234"/>
        <v>20216</v>
      </c>
      <c r="C871" s="6">
        <f t="shared" ca="1" si="235"/>
        <v>2021</v>
      </c>
      <c r="D871" s="6">
        <f t="shared" ca="1" si="236"/>
        <v>6</v>
      </c>
      <c r="E871" s="68">
        <f ca="1">IFERROR(__xludf.DUMMYFUNCTION("""COMPUTED_VALUE"""),44362.6666666666)</f>
        <v>44362.666666666599</v>
      </c>
      <c r="F871" s="6">
        <f ca="1">IFERROR(__xludf.DUMMYFUNCTION("""COMPUTED_VALUE"""),4246.59)</f>
        <v>4246.59</v>
      </c>
      <c r="J871" s="6" t="str">
        <f t="shared" ca="1" si="237"/>
        <v>20216</v>
      </c>
      <c r="K871" s="6">
        <f t="shared" ca="1" si="238"/>
        <v>2021</v>
      </c>
      <c r="L871" s="6">
        <f t="shared" ca="1" si="239"/>
        <v>6</v>
      </c>
      <c r="M871" s="68">
        <f ca="1">IFERROR(__xludf.DUMMYFUNCTION("""COMPUTED_VALUE"""),44355.6666666666)</f>
        <v>44355.666666666599</v>
      </c>
      <c r="N871" s="6">
        <f ca="1">IFERROR(__xludf.DUMMYFUNCTION("""COMPUTED_VALUE"""),13924.91)</f>
        <v>13924.91</v>
      </c>
      <c r="R871" s="6" t="str">
        <f t="shared" ca="1" si="240"/>
        <v>20217</v>
      </c>
      <c r="S871" s="6">
        <f t="shared" ca="1" si="241"/>
        <v>2021</v>
      </c>
      <c r="T871" s="6">
        <f t="shared" ca="1" si="242"/>
        <v>7</v>
      </c>
      <c r="U871" s="68">
        <f ca="1">IFERROR(__xludf.DUMMYFUNCTION("""COMPUTED_VALUE"""),44393.6458333333)</f>
        <v>44393.645833333299</v>
      </c>
      <c r="V871" s="6">
        <f ca="1">IFERROR(__xludf.DUMMYFUNCTION("""COMPUTED_VALUE"""),3276.91)</f>
        <v>3276.91</v>
      </c>
      <c r="Z871" s="6" t="str">
        <f t="shared" ca="1" si="243"/>
        <v>20206</v>
      </c>
      <c r="AA871" s="6">
        <f t="shared" ca="1" si="244"/>
        <v>2020</v>
      </c>
      <c r="AB871" s="6">
        <f t="shared" ca="1" si="245"/>
        <v>6</v>
      </c>
      <c r="AC871" s="68">
        <f ca="1">IFERROR(__xludf.DUMMYFUNCTION("""COMPUTED_VALUE"""),44010.9986111111)</f>
        <v>44010.998611111099</v>
      </c>
      <c r="AD871" s="6">
        <f ca="1">IFERROR(__xludf.DUMMYFUNCTION("""COMPUTED_VALUE"""),1202.63)</f>
        <v>1202.6300000000001</v>
      </c>
      <c r="AH871" s="6" t="str">
        <f t="shared" ca="1" si="246"/>
        <v>20205</v>
      </c>
      <c r="AI871" s="6">
        <f t="shared" ca="1" si="247"/>
        <v>2020</v>
      </c>
      <c r="AJ871" s="6">
        <f t="shared" ca="1" si="248"/>
        <v>5</v>
      </c>
      <c r="AK871" s="68">
        <f ca="1">IFERROR(__xludf.DUMMYFUNCTION("""COMPUTED_VALUE"""),43963.9986111111)</f>
        <v>43963.998611111099</v>
      </c>
      <c r="AL871" s="6">
        <f ca="1">IFERROR(__xludf.DUMMYFUNCTION("""COMPUTED_VALUE"""),8819.002)</f>
        <v>8819.0020000000004</v>
      </c>
      <c r="AP871" s="6" t="str">
        <f t="shared" ca="1" si="249"/>
        <v>20216</v>
      </c>
      <c r="AQ871" s="6">
        <f t="shared" ca="1" si="250"/>
        <v>2021</v>
      </c>
      <c r="AR871" s="6">
        <f t="shared" ca="1" si="251"/>
        <v>6</v>
      </c>
      <c r="AS871" s="68">
        <f ca="1">IFERROR(__xludf.DUMMYFUNCTION("""COMPUTED_VALUE"""),44370.9986111111)</f>
        <v>44370.998611111099</v>
      </c>
      <c r="AT871" s="6">
        <f ca="1">IFERROR(__xludf.DUMMYFUNCTION("""COMPUTED_VALUE"""),1783.4)</f>
        <v>1783.4</v>
      </c>
    </row>
    <row r="872" spans="2:46" x14ac:dyDescent="0.35">
      <c r="B872" s="6" t="str">
        <f t="shared" ca="1" si="234"/>
        <v>20216</v>
      </c>
      <c r="C872" s="6">
        <f t="shared" ca="1" si="235"/>
        <v>2021</v>
      </c>
      <c r="D872" s="6">
        <f t="shared" ca="1" si="236"/>
        <v>6</v>
      </c>
      <c r="E872" s="68">
        <f ca="1">IFERROR(__xludf.DUMMYFUNCTION("""COMPUTED_VALUE"""),44363.6666666666)</f>
        <v>44363.666666666599</v>
      </c>
      <c r="F872" s="6">
        <f ca="1">IFERROR(__xludf.DUMMYFUNCTION("""COMPUTED_VALUE"""),4223.7)</f>
        <v>4223.7</v>
      </c>
      <c r="J872" s="6" t="str">
        <f t="shared" ca="1" si="237"/>
        <v>20216</v>
      </c>
      <c r="K872" s="6">
        <f t="shared" ca="1" si="238"/>
        <v>2021</v>
      </c>
      <c r="L872" s="6">
        <f t="shared" ca="1" si="239"/>
        <v>6</v>
      </c>
      <c r="M872" s="68">
        <f ca="1">IFERROR(__xludf.DUMMYFUNCTION("""COMPUTED_VALUE"""),44356.6666666666)</f>
        <v>44356.666666666599</v>
      </c>
      <c r="N872" s="6">
        <f ca="1">IFERROR(__xludf.DUMMYFUNCTION("""COMPUTED_VALUE"""),13911.75)</f>
        <v>13911.75</v>
      </c>
      <c r="R872" s="6" t="str">
        <f t="shared" ca="1" si="240"/>
        <v>20217</v>
      </c>
      <c r="S872" s="6">
        <f t="shared" ca="1" si="241"/>
        <v>2021</v>
      </c>
      <c r="T872" s="6">
        <f t="shared" ca="1" si="242"/>
        <v>7</v>
      </c>
      <c r="U872" s="68">
        <f ca="1">IFERROR(__xludf.DUMMYFUNCTION("""COMPUTED_VALUE"""),44396.6458333333)</f>
        <v>44396.645833333299</v>
      </c>
      <c r="V872" s="6">
        <f ca="1">IFERROR(__xludf.DUMMYFUNCTION("""COMPUTED_VALUE"""),3244.04)</f>
        <v>3244.04</v>
      </c>
      <c r="Z872" s="6" t="str">
        <f t="shared" ca="1" si="243"/>
        <v>20206</v>
      </c>
      <c r="AA872" s="6">
        <f t="shared" ca="1" si="244"/>
        <v>2020</v>
      </c>
      <c r="AB872" s="6">
        <f t="shared" ca="1" si="245"/>
        <v>6</v>
      </c>
      <c r="AC872" s="68">
        <f ca="1">IFERROR(__xludf.DUMMYFUNCTION("""COMPUTED_VALUE"""),44011.9986111111)</f>
        <v>44011.998611111099</v>
      </c>
      <c r="AD872" s="6">
        <f ca="1">IFERROR(__xludf.DUMMYFUNCTION("""COMPUTED_VALUE"""),1198.49)</f>
        <v>1198.49</v>
      </c>
      <c r="AH872" s="6" t="str">
        <f t="shared" ca="1" si="246"/>
        <v>20205</v>
      </c>
      <c r="AI872" s="6">
        <f t="shared" ca="1" si="247"/>
        <v>2020</v>
      </c>
      <c r="AJ872" s="6">
        <f t="shared" ca="1" si="248"/>
        <v>5</v>
      </c>
      <c r="AK872" s="68">
        <f ca="1">IFERROR(__xludf.DUMMYFUNCTION("""COMPUTED_VALUE"""),43964.9986111111)</f>
        <v>43964.998611111099</v>
      </c>
      <c r="AL872" s="6">
        <f ca="1">IFERROR(__xludf.DUMMYFUNCTION("""COMPUTED_VALUE"""),9316.817)</f>
        <v>9316.8169999999991</v>
      </c>
      <c r="AP872" s="6" t="str">
        <f t="shared" ca="1" si="249"/>
        <v>20216</v>
      </c>
      <c r="AQ872" s="6">
        <f t="shared" ca="1" si="250"/>
        <v>2021</v>
      </c>
      <c r="AR872" s="6">
        <f t="shared" ca="1" si="251"/>
        <v>6</v>
      </c>
      <c r="AS872" s="68">
        <f ca="1">IFERROR(__xludf.DUMMYFUNCTION("""COMPUTED_VALUE"""),44371.9986111111)</f>
        <v>44371.998611111099</v>
      </c>
      <c r="AT872" s="6">
        <f ca="1">IFERROR(__xludf.DUMMYFUNCTION("""COMPUTED_VALUE"""),1776.7)</f>
        <v>1776.7</v>
      </c>
    </row>
    <row r="873" spans="2:46" x14ac:dyDescent="0.35">
      <c r="B873" s="6" t="str">
        <f t="shared" ca="1" si="234"/>
        <v>20216</v>
      </c>
      <c r="C873" s="6">
        <f t="shared" ca="1" si="235"/>
        <v>2021</v>
      </c>
      <c r="D873" s="6">
        <f t="shared" ca="1" si="236"/>
        <v>6</v>
      </c>
      <c r="E873" s="68">
        <f ca="1">IFERROR(__xludf.DUMMYFUNCTION("""COMPUTED_VALUE"""),44364.6666666666)</f>
        <v>44364.666666666599</v>
      </c>
      <c r="F873" s="6">
        <f ca="1">IFERROR(__xludf.DUMMYFUNCTION("""COMPUTED_VALUE"""),4221.86)</f>
        <v>4221.8599999999997</v>
      </c>
      <c r="J873" s="6" t="str">
        <f t="shared" ca="1" si="237"/>
        <v>20216</v>
      </c>
      <c r="K873" s="6">
        <f t="shared" ca="1" si="238"/>
        <v>2021</v>
      </c>
      <c r="L873" s="6">
        <f t="shared" ca="1" si="239"/>
        <v>6</v>
      </c>
      <c r="M873" s="68">
        <f ca="1">IFERROR(__xludf.DUMMYFUNCTION("""COMPUTED_VALUE"""),44357.6666666666)</f>
        <v>44357.666666666599</v>
      </c>
      <c r="N873" s="6">
        <f ca="1">IFERROR(__xludf.DUMMYFUNCTION("""COMPUTED_VALUE"""),14020.33)</f>
        <v>14020.33</v>
      </c>
      <c r="R873" s="6" t="str">
        <f t="shared" ca="1" si="240"/>
        <v>20217</v>
      </c>
      <c r="S873" s="6">
        <f t="shared" ca="1" si="241"/>
        <v>2021</v>
      </c>
      <c r="T873" s="6">
        <f t="shared" ca="1" si="242"/>
        <v>7</v>
      </c>
      <c r="U873" s="68">
        <f ca="1">IFERROR(__xludf.DUMMYFUNCTION("""COMPUTED_VALUE"""),44397.6458333333)</f>
        <v>44397.645833333299</v>
      </c>
      <c r="V873" s="6">
        <f ca="1">IFERROR(__xludf.DUMMYFUNCTION("""COMPUTED_VALUE"""),3232.7)</f>
        <v>3232.7</v>
      </c>
      <c r="Z873" s="6" t="str">
        <f t="shared" ca="1" si="243"/>
        <v>20206</v>
      </c>
      <c r="AA873" s="6">
        <f t="shared" ca="1" si="244"/>
        <v>2020</v>
      </c>
      <c r="AB873" s="6">
        <f t="shared" ca="1" si="245"/>
        <v>6</v>
      </c>
      <c r="AC873" s="68">
        <f ca="1">IFERROR(__xludf.DUMMYFUNCTION("""COMPUTED_VALUE"""),44012.9986111111)</f>
        <v>44012.998611111099</v>
      </c>
      <c r="AD873" s="6">
        <f ca="1">IFERROR(__xludf.DUMMYFUNCTION("""COMPUTED_VALUE"""),1198.39)</f>
        <v>1198.3900000000001</v>
      </c>
      <c r="AH873" s="6" t="str">
        <f t="shared" ca="1" si="246"/>
        <v>20205</v>
      </c>
      <c r="AI873" s="6">
        <f t="shared" ca="1" si="247"/>
        <v>2020</v>
      </c>
      <c r="AJ873" s="6">
        <f t="shared" ca="1" si="248"/>
        <v>5</v>
      </c>
      <c r="AK873" s="68">
        <f ca="1">IFERROR(__xludf.DUMMYFUNCTION("""COMPUTED_VALUE"""),43965.9986111111)</f>
        <v>43965.998611111099</v>
      </c>
      <c r="AL873" s="6">
        <f ca="1">IFERROR(__xludf.DUMMYFUNCTION("""COMPUTED_VALUE"""),9790.999)</f>
        <v>9790.9989999999998</v>
      </c>
      <c r="AP873" s="6" t="str">
        <f t="shared" ca="1" si="249"/>
        <v>20216</v>
      </c>
      <c r="AQ873" s="6">
        <f t="shared" ca="1" si="250"/>
        <v>2021</v>
      </c>
      <c r="AR873" s="6">
        <f t="shared" ca="1" si="251"/>
        <v>6</v>
      </c>
      <c r="AS873" s="68">
        <f ca="1">IFERROR(__xludf.DUMMYFUNCTION("""COMPUTED_VALUE"""),44372.9986111111)</f>
        <v>44372.998611111099</v>
      </c>
      <c r="AT873" s="6">
        <f ca="1">IFERROR(__xludf.DUMMYFUNCTION("""COMPUTED_VALUE"""),1777.8)</f>
        <v>1777.8</v>
      </c>
    </row>
    <row r="874" spans="2:46" x14ac:dyDescent="0.35">
      <c r="B874" s="6" t="str">
        <f t="shared" ca="1" si="234"/>
        <v>20216</v>
      </c>
      <c r="C874" s="6">
        <f t="shared" ca="1" si="235"/>
        <v>2021</v>
      </c>
      <c r="D874" s="6">
        <f t="shared" ca="1" si="236"/>
        <v>6</v>
      </c>
      <c r="E874" s="68">
        <f ca="1">IFERROR(__xludf.DUMMYFUNCTION("""COMPUTED_VALUE"""),44365.6666666666)</f>
        <v>44365.666666666599</v>
      </c>
      <c r="F874" s="6">
        <f ca="1">IFERROR(__xludf.DUMMYFUNCTION("""COMPUTED_VALUE"""),4166.45)</f>
        <v>4166.45</v>
      </c>
      <c r="J874" s="6" t="str">
        <f t="shared" ca="1" si="237"/>
        <v>20216</v>
      </c>
      <c r="K874" s="6">
        <f t="shared" ca="1" si="238"/>
        <v>2021</v>
      </c>
      <c r="L874" s="6">
        <f t="shared" ca="1" si="239"/>
        <v>6</v>
      </c>
      <c r="M874" s="68">
        <f ca="1">IFERROR(__xludf.DUMMYFUNCTION("""COMPUTED_VALUE"""),44358.6666666666)</f>
        <v>44358.666666666599</v>
      </c>
      <c r="N874" s="6">
        <f ca="1">IFERROR(__xludf.DUMMYFUNCTION("""COMPUTED_VALUE"""),14069.42)</f>
        <v>14069.42</v>
      </c>
      <c r="R874" s="6" t="str">
        <f t="shared" ca="1" si="240"/>
        <v>20217</v>
      </c>
      <c r="S874" s="6">
        <f t="shared" ca="1" si="241"/>
        <v>2021</v>
      </c>
      <c r="T874" s="6">
        <f t="shared" ca="1" si="242"/>
        <v>7</v>
      </c>
      <c r="U874" s="68">
        <f ca="1">IFERROR(__xludf.DUMMYFUNCTION("""COMPUTED_VALUE"""),44398.6458333333)</f>
        <v>44398.645833333299</v>
      </c>
      <c r="V874" s="6">
        <f ca="1">IFERROR(__xludf.DUMMYFUNCTION("""COMPUTED_VALUE"""),3215.91)</f>
        <v>3215.91</v>
      </c>
      <c r="Z874" s="6" t="str">
        <f t="shared" ca="1" si="243"/>
        <v>20207</v>
      </c>
      <c r="AA874" s="6">
        <f t="shared" ca="1" si="244"/>
        <v>2020</v>
      </c>
      <c r="AB874" s="6">
        <f t="shared" ca="1" si="245"/>
        <v>7</v>
      </c>
      <c r="AC874" s="68">
        <f ca="1">IFERROR(__xludf.DUMMYFUNCTION("""COMPUTED_VALUE"""),44013.9986111111)</f>
        <v>44013.998611111099</v>
      </c>
      <c r="AD874" s="6">
        <f ca="1">IFERROR(__xludf.DUMMYFUNCTION("""COMPUTED_VALUE"""),1200.7)</f>
        <v>1200.7</v>
      </c>
      <c r="AH874" s="6" t="str">
        <f t="shared" ca="1" si="246"/>
        <v>20205</v>
      </c>
      <c r="AI874" s="6">
        <f t="shared" ca="1" si="247"/>
        <v>2020</v>
      </c>
      <c r="AJ874" s="6">
        <f t="shared" ca="1" si="248"/>
        <v>5</v>
      </c>
      <c r="AK874" s="68">
        <f ca="1">IFERROR(__xludf.DUMMYFUNCTION("""COMPUTED_VALUE"""),43966.9986111111)</f>
        <v>43966.998611111099</v>
      </c>
      <c r="AL874" s="6">
        <f ca="1">IFERROR(__xludf.DUMMYFUNCTION("""COMPUTED_VALUE"""),9309.325)</f>
        <v>9309.3250000000007</v>
      </c>
      <c r="AP874" s="6" t="str">
        <f t="shared" ca="1" si="249"/>
        <v>20216</v>
      </c>
      <c r="AQ874" s="6">
        <f t="shared" ca="1" si="250"/>
        <v>2021</v>
      </c>
      <c r="AR874" s="6">
        <f t="shared" ca="1" si="251"/>
        <v>6</v>
      </c>
      <c r="AS874" s="68">
        <f ca="1">IFERROR(__xludf.DUMMYFUNCTION("""COMPUTED_VALUE"""),44375.9986111111)</f>
        <v>44375.998611111099</v>
      </c>
      <c r="AT874" s="6">
        <f ca="1">IFERROR(__xludf.DUMMYFUNCTION("""COMPUTED_VALUE"""),1780.7)</f>
        <v>1780.7</v>
      </c>
    </row>
    <row r="875" spans="2:46" x14ac:dyDescent="0.35">
      <c r="B875" s="6" t="str">
        <f t="shared" ca="1" si="234"/>
        <v>20216</v>
      </c>
      <c r="C875" s="6">
        <f t="shared" ca="1" si="235"/>
        <v>2021</v>
      </c>
      <c r="D875" s="6">
        <f t="shared" ca="1" si="236"/>
        <v>6</v>
      </c>
      <c r="E875" s="68">
        <f ca="1">IFERROR(__xludf.DUMMYFUNCTION("""COMPUTED_VALUE"""),44368.6666666666)</f>
        <v>44368.666666666599</v>
      </c>
      <c r="F875" s="6">
        <f ca="1">IFERROR(__xludf.DUMMYFUNCTION("""COMPUTED_VALUE"""),4224.79)</f>
        <v>4224.79</v>
      </c>
      <c r="J875" s="6" t="str">
        <f t="shared" ca="1" si="237"/>
        <v>20216</v>
      </c>
      <c r="K875" s="6">
        <f t="shared" ca="1" si="238"/>
        <v>2021</v>
      </c>
      <c r="L875" s="6">
        <f t="shared" ca="1" si="239"/>
        <v>6</v>
      </c>
      <c r="M875" s="68">
        <f ca="1">IFERROR(__xludf.DUMMYFUNCTION("""COMPUTED_VALUE"""),44361.6666666666)</f>
        <v>44361.666666666599</v>
      </c>
      <c r="N875" s="6">
        <f ca="1">IFERROR(__xludf.DUMMYFUNCTION("""COMPUTED_VALUE"""),14174.14)</f>
        <v>14174.14</v>
      </c>
      <c r="R875" s="6" t="str">
        <f t="shared" ca="1" si="240"/>
        <v>20217</v>
      </c>
      <c r="S875" s="6">
        <f t="shared" ca="1" si="241"/>
        <v>2021</v>
      </c>
      <c r="T875" s="6">
        <f t="shared" ca="1" si="242"/>
        <v>7</v>
      </c>
      <c r="U875" s="68">
        <f ca="1">IFERROR(__xludf.DUMMYFUNCTION("""COMPUTED_VALUE"""),44399.6458333333)</f>
        <v>44399.645833333299</v>
      </c>
      <c r="V875" s="6">
        <f ca="1">IFERROR(__xludf.DUMMYFUNCTION("""COMPUTED_VALUE"""),3250.21)</f>
        <v>3250.21</v>
      </c>
      <c r="Z875" s="6" t="str">
        <f t="shared" ca="1" si="243"/>
        <v>20207</v>
      </c>
      <c r="AA875" s="6">
        <f t="shared" ca="1" si="244"/>
        <v>2020</v>
      </c>
      <c r="AB875" s="6">
        <f t="shared" ca="1" si="245"/>
        <v>7</v>
      </c>
      <c r="AC875" s="68">
        <f ca="1">IFERROR(__xludf.DUMMYFUNCTION("""COMPUTED_VALUE"""),44014.9986111111)</f>
        <v>44014.998611111099</v>
      </c>
      <c r="AD875" s="6">
        <f ca="1">IFERROR(__xludf.DUMMYFUNCTION("""COMPUTED_VALUE"""),1198.17)</f>
        <v>1198.17</v>
      </c>
      <c r="AH875" s="6" t="str">
        <f t="shared" ca="1" si="246"/>
        <v>20205</v>
      </c>
      <c r="AI875" s="6">
        <f t="shared" ca="1" si="247"/>
        <v>2020</v>
      </c>
      <c r="AJ875" s="6">
        <f t="shared" ca="1" si="248"/>
        <v>5</v>
      </c>
      <c r="AK875" s="68">
        <f ca="1">IFERROR(__xludf.DUMMYFUNCTION("""COMPUTED_VALUE"""),43967.9986111111)</f>
        <v>43967.998611111099</v>
      </c>
      <c r="AL875" s="6">
        <f ca="1">IFERROR(__xludf.DUMMYFUNCTION("""COMPUTED_VALUE"""),9383.021)</f>
        <v>9383.0210000000006</v>
      </c>
      <c r="AP875" s="6" t="str">
        <f t="shared" ca="1" si="249"/>
        <v>20216</v>
      </c>
      <c r="AQ875" s="6">
        <f t="shared" ca="1" si="250"/>
        <v>2021</v>
      </c>
      <c r="AR875" s="6">
        <f t="shared" ca="1" si="251"/>
        <v>6</v>
      </c>
      <c r="AS875" s="68">
        <f ca="1">IFERROR(__xludf.DUMMYFUNCTION("""COMPUTED_VALUE"""),44376.9986111111)</f>
        <v>44376.998611111099</v>
      </c>
      <c r="AT875" s="6">
        <f ca="1">IFERROR(__xludf.DUMMYFUNCTION("""COMPUTED_VALUE"""),1763.6)</f>
        <v>1763.6</v>
      </c>
    </row>
    <row r="876" spans="2:46" x14ac:dyDescent="0.35">
      <c r="B876" s="6" t="str">
        <f t="shared" ca="1" si="234"/>
        <v>20216</v>
      </c>
      <c r="C876" s="6">
        <f t="shared" ca="1" si="235"/>
        <v>2021</v>
      </c>
      <c r="D876" s="6">
        <f t="shared" ca="1" si="236"/>
        <v>6</v>
      </c>
      <c r="E876" s="68">
        <f ca="1">IFERROR(__xludf.DUMMYFUNCTION("""COMPUTED_VALUE"""),44369.6666666666)</f>
        <v>44369.666666666599</v>
      </c>
      <c r="F876" s="6">
        <f ca="1">IFERROR(__xludf.DUMMYFUNCTION("""COMPUTED_VALUE"""),4246.44)</f>
        <v>4246.4399999999996</v>
      </c>
      <c r="J876" s="6" t="str">
        <f t="shared" ca="1" si="237"/>
        <v>20216</v>
      </c>
      <c r="K876" s="6">
        <f t="shared" ca="1" si="238"/>
        <v>2021</v>
      </c>
      <c r="L876" s="6">
        <f t="shared" ca="1" si="239"/>
        <v>6</v>
      </c>
      <c r="M876" s="68">
        <f ca="1">IFERROR(__xludf.DUMMYFUNCTION("""COMPUTED_VALUE"""),44362.6666666666)</f>
        <v>44362.666666666599</v>
      </c>
      <c r="N876" s="6">
        <f ca="1">IFERROR(__xludf.DUMMYFUNCTION("""COMPUTED_VALUE"""),14072.86)</f>
        <v>14072.86</v>
      </c>
      <c r="R876" s="6" t="str">
        <f t="shared" ca="1" si="240"/>
        <v>20217</v>
      </c>
      <c r="S876" s="6">
        <f t="shared" ca="1" si="241"/>
        <v>2021</v>
      </c>
      <c r="T876" s="6">
        <f t="shared" ca="1" si="242"/>
        <v>7</v>
      </c>
      <c r="U876" s="68">
        <f ca="1">IFERROR(__xludf.DUMMYFUNCTION("""COMPUTED_VALUE"""),44400.6458333333)</f>
        <v>44400.645833333299</v>
      </c>
      <c r="V876" s="6">
        <f ca="1">IFERROR(__xludf.DUMMYFUNCTION("""COMPUTED_VALUE"""),3254.42)</f>
        <v>3254.42</v>
      </c>
      <c r="Z876" s="6" t="str">
        <f t="shared" ca="1" si="243"/>
        <v>20207</v>
      </c>
      <c r="AA876" s="6">
        <f t="shared" ca="1" si="244"/>
        <v>2020</v>
      </c>
      <c r="AB876" s="6">
        <f t="shared" ca="1" si="245"/>
        <v>7</v>
      </c>
      <c r="AC876" s="68">
        <f ca="1">IFERROR(__xludf.DUMMYFUNCTION("""COMPUTED_VALUE"""),44015.9986111111)</f>
        <v>44015.998611111099</v>
      </c>
      <c r="AD876" s="6">
        <f ca="1">IFERROR(__xludf.DUMMYFUNCTION("""COMPUTED_VALUE"""),1198.34)</f>
        <v>1198.3399999999999</v>
      </c>
      <c r="AH876" s="6" t="str">
        <f t="shared" ca="1" si="246"/>
        <v>20205</v>
      </c>
      <c r="AI876" s="6">
        <f t="shared" ca="1" si="247"/>
        <v>2020</v>
      </c>
      <c r="AJ876" s="6">
        <f t="shared" ca="1" si="248"/>
        <v>5</v>
      </c>
      <c r="AK876" s="68">
        <f ca="1">IFERROR(__xludf.DUMMYFUNCTION("""COMPUTED_VALUE"""),43968.9986111111)</f>
        <v>43968.998611111099</v>
      </c>
      <c r="AL876" s="6">
        <f ca="1">IFERROR(__xludf.DUMMYFUNCTION("""COMPUTED_VALUE"""),9670.41)</f>
        <v>9670.41</v>
      </c>
      <c r="AP876" s="6" t="str">
        <f t="shared" ca="1" si="249"/>
        <v>20216</v>
      </c>
      <c r="AQ876" s="6">
        <f t="shared" ca="1" si="250"/>
        <v>2021</v>
      </c>
      <c r="AR876" s="6">
        <f t="shared" ca="1" si="251"/>
        <v>6</v>
      </c>
      <c r="AS876" s="68">
        <f ca="1">IFERROR(__xludf.DUMMYFUNCTION("""COMPUTED_VALUE"""),44377.9986111111)</f>
        <v>44377.998611111099</v>
      </c>
      <c r="AT876" s="6">
        <f ca="1">IFERROR(__xludf.DUMMYFUNCTION("""COMPUTED_VALUE"""),1771.6)</f>
        <v>1771.6</v>
      </c>
    </row>
    <row r="877" spans="2:46" x14ac:dyDescent="0.35">
      <c r="B877" s="6" t="str">
        <f t="shared" ca="1" si="234"/>
        <v>20216</v>
      </c>
      <c r="C877" s="6">
        <f t="shared" ca="1" si="235"/>
        <v>2021</v>
      </c>
      <c r="D877" s="6">
        <f t="shared" ca="1" si="236"/>
        <v>6</v>
      </c>
      <c r="E877" s="68">
        <f ca="1">IFERROR(__xludf.DUMMYFUNCTION("""COMPUTED_VALUE"""),44370.6666666666)</f>
        <v>44370.666666666599</v>
      </c>
      <c r="F877" s="6">
        <f ca="1">IFERROR(__xludf.DUMMYFUNCTION("""COMPUTED_VALUE"""),4241.84)</f>
        <v>4241.84</v>
      </c>
      <c r="J877" s="6" t="str">
        <f t="shared" ca="1" si="237"/>
        <v>20216</v>
      </c>
      <c r="K877" s="6">
        <f t="shared" ca="1" si="238"/>
        <v>2021</v>
      </c>
      <c r="L877" s="6">
        <f t="shared" ca="1" si="239"/>
        <v>6</v>
      </c>
      <c r="M877" s="68">
        <f ca="1">IFERROR(__xludf.DUMMYFUNCTION("""COMPUTED_VALUE"""),44363.6666666666)</f>
        <v>44363.666666666599</v>
      </c>
      <c r="N877" s="6">
        <f ca="1">IFERROR(__xludf.DUMMYFUNCTION("""COMPUTED_VALUE"""),14039.68)</f>
        <v>14039.68</v>
      </c>
      <c r="R877" s="6" t="str">
        <f t="shared" ca="1" si="240"/>
        <v>20217</v>
      </c>
      <c r="S877" s="6">
        <f t="shared" ca="1" si="241"/>
        <v>2021</v>
      </c>
      <c r="T877" s="6">
        <f t="shared" ca="1" si="242"/>
        <v>7</v>
      </c>
      <c r="U877" s="68">
        <f ca="1">IFERROR(__xludf.DUMMYFUNCTION("""COMPUTED_VALUE"""),44403.6458333333)</f>
        <v>44403.645833333299</v>
      </c>
      <c r="V877" s="6">
        <f ca="1">IFERROR(__xludf.DUMMYFUNCTION("""COMPUTED_VALUE"""),3224.95)</f>
        <v>3224.95</v>
      </c>
      <c r="Z877" s="6" t="str">
        <f t="shared" ca="1" si="243"/>
        <v>20207</v>
      </c>
      <c r="AA877" s="6">
        <f t="shared" ca="1" si="244"/>
        <v>2020</v>
      </c>
      <c r="AB877" s="6">
        <f t="shared" ca="1" si="245"/>
        <v>7</v>
      </c>
      <c r="AC877" s="68">
        <f ca="1">IFERROR(__xludf.DUMMYFUNCTION("""COMPUTED_VALUE"""),44016.9986111111)</f>
        <v>44016.998611111099</v>
      </c>
      <c r="AD877" s="6">
        <f ca="1">IFERROR(__xludf.DUMMYFUNCTION("""COMPUTED_VALUE"""),1198.34)</f>
        <v>1198.3399999999999</v>
      </c>
      <c r="AH877" s="6" t="str">
        <f t="shared" ca="1" si="246"/>
        <v>20205</v>
      </c>
      <c r="AI877" s="6">
        <f t="shared" ca="1" si="247"/>
        <v>2020</v>
      </c>
      <c r="AJ877" s="6">
        <f t="shared" ca="1" si="248"/>
        <v>5</v>
      </c>
      <c r="AK877" s="68">
        <f ca="1">IFERROR(__xludf.DUMMYFUNCTION("""COMPUTED_VALUE"""),43969.9986111111)</f>
        <v>43969.998611111099</v>
      </c>
      <c r="AL877" s="6">
        <f ca="1">IFERROR(__xludf.DUMMYFUNCTION("""COMPUTED_VALUE"""),9723.12)</f>
        <v>9723.1200000000008</v>
      </c>
      <c r="AP877" s="6" t="str">
        <f t="shared" ca="1" si="249"/>
        <v>20217</v>
      </c>
      <c r="AQ877" s="6">
        <f t="shared" ca="1" si="250"/>
        <v>2021</v>
      </c>
      <c r="AR877" s="6">
        <f t="shared" ca="1" si="251"/>
        <v>7</v>
      </c>
      <c r="AS877" s="68">
        <f ca="1">IFERROR(__xludf.DUMMYFUNCTION("""COMPUTED_VALUE"""),44378.9986111111)</f>
        <v>44378.998611111099</v>
      </c>
      <c r="AT877" s="6">
        <f ca="1">IFERROR(__xludf.DUMMYFUNCTION("""COMPUTED_VALUE"""),1776.8)</f>
        <v>1776.8</v>
      </c>
    </row>
    <row r="878" spans="2:46" x14ac:dyDescent="0.35">
      <c r="B878" s="6" t="str">
        <f t="shared" ca="1" si="234"/>
        <v>20216</v>
      </c>
      <c r="C878" s="6">
        <f t="shared" ca="1" si="235"/>
        <v>2021</v>
      </c>
      <c r="D878" s="6">
        <f t="shared" ca="1" si="236"/>
        <v>6</v>
      </c>
      <c r="E878" s="68">
        <f ca="1">IFERROR(__xludf.DUMMYFUNCTION("""COMPUTED_VALUE"""),44371.6666666666)</f>
        <v>44371.666666666599</v>
      </c>
      <c r="F878" s="6">
        <f ca="1">IFERROR(__xludf.DUMMYFUNCTION("""COMPUTED_VALUE"""),4266.49)</f>
        <v>4266.49</v>
      </c>
      <c r="J878" s="6" t="str">
        <f t="shared" ca="1" si="237"/>
        <v>20216</v>
      </c>
      <c r="K878" s="6">
        <f t="shared" ca="1" si="238"/>
        <v>2021</v>
      </c>
      <c r="L878" s="6">
        <f t="shared" ca="1" si="239"/>
        <v>6</v>
      </c>
      <c r="M878" s="68">
        <f ca="1">IFERROR(__xludf.DUMMYFUNCTION("""COMPUTED_VALUE"""),44364.6666666666)</f>
        <v>44364.666666666599</v>
      </c>
      <c r="N878" s="6">
        <f ca="1">IFERROR(__xludf.DUMMYFUNCTION("""COMPUTED_VALUE"""),14161.35)</f>
        <v>14161.35</v>
      </c>
      <c r="R878" s="6" t="str">
        <f t="shared" ca="1" si="240"/>
        <v>20217</v>
      </c>
      <c r="S878" s="6">
        <f t="shared" ca="1" si="241"/>
        <v>2021</v>
      </c>
      <c r="T878" s="6">
        <f t="shared" ca="1" si="242"/>
        <v>7</v>
      </c>
      <c r="U878" s="68">
        <f ca="1">IFERROR(__xludf.DUMMYFUNCTION("""COMPUTED_VALUE"""),44404.6458333333)</f>
        <v>44404.645833333299</v>
      </c>
      <c r="V878" s="6">
        <f ca="1">IFERROR(__xludf.DUMMYFUNCTION("""COMPUTED_VALUE"""),3232.53)</f>
        <v>3232.53</v>
      </c>
      <c r="Z878" s="6" t="str">
        <f t="shared" ca="1" si="243"/>
        <v>20207</v>
      </c>
      <c r="AA878" s="6">
        <f t="shared" ca="1" si="244"/>
        <v>2020</v>
      </c>
      <c r="AB878" s="6">
        <f t="shared" ca="1" si="245"/>
        <v>7</v>
      </c>
      <c r="AC878" s="68">
        <f ca="1">IFERROR(__xludf.DUMMYFUNCTION("""COMPUTED_VALUE"""),44017.9986111111)</f>
        <v>44017.998611111099</v>
      </c>
      <c r="AD878" s="6">
        <f ca="1">IFERROR(__xludf.DUMMYFUNCTION("""COMPUTED_VALUE"""),1198.5)</f>
        <v>1198.5</v>
      </c>
      <c r="AH878" s="6" t="str">
        <f t="shared" ca="1" si="246"/>
        <v>20205</v>
      </c>
      <c r="AI878" s="6">
        <f t="shared" ca="1" si="247"/>
        <v>2020</v>
      </c>
      <c r="AJ878" s="6">
        <f t="shared" ca="1" si="248"/>
        <v>5</v>
      </c>
      <c r="AK878" s="68">
        <f ca="1">IFERROR(__xludf.DUMMYFUNCTION("""COMPUTED_VALUE"""),43970.9986111111)</f>
        <v>43970.998611111099</v>
      </c>
      <c r="AL878" s="6">
        <f ca="1">IFERROR(__xludf.DUMMYFUNCTION("""COMPUTED_VALUE"""),9776.365)</f>
        <v>9776.3649999999998</v>
      </c>
      <c r="AP878" s="6" t="str">
        <f t="shared" ca="1" si="249"/>
        <v>20217</v>
      </c>
      <c r="AQ878" s="6">
        <f t="shared" ca="1" si="250"/>
        <v>2021</v>
      </c>
      <c r="AR878" s="6">
        <f t="shared" ca="1" si="251"/>
        <v>7</v>
      </c>
      <c r="AS878" s="68">
        <f ca="1">IFERROR(__xludf.DUMMYFUNCTION("""COMPUTED_VALUE"""),44379.9986111111)</f>
        <v>44379.998611111099</v>
      </c>
      <c r="AT878" s="6">
        <f ca="1">IFERROR(__xludf.DUMMYFUNCTION("""COMPUTED_VALUE"""),1783.3)</f>
        <v>1783.3</v>
      </c>
    </row>
    <row r="879" spans="2:46" x14ac:dyDescent="0.35">
      <c r="B879" s="6" t="str">
        <f t="shared" ca="1" si="234"/>
        <v>20216</v>
      </c>
      <c r="C879" s="6">
        <f t="shared" ca="1" si="235"/>
        <v>2021</v>
      </c>
      <c r="D879" s="6">
        <f t="shared" ca="1" si="236"/>
        <v>6</v>
      </c>
      <c r="E879" s="68">
        <f ca="1">IFERROR(__xludf.DUMMYFUNCTION("""COMPUTED_VALUE"""),44372.6666666666)</f>
        <v>44372.666666666599</v>
      </c>
      <c r="F879" s="6">
        <f ca="1">IFERROR(__xludf.DUMMYFUNCTION("""COMPUTED_VALUE"""),4280.7)</f>
        <v>4280.7</v>
      </c>
      <c r="J879" s="6" t="str">
        <f t="shared" ca="1" si="237"/>
        <v>20216</v>
      </c>
      <c r="K879" s="6">
        <f t="shared" ca="1" si="238"/>
        <v>2021</v>
      </c>
      <c r="L879" s="6">
        <f t="shared" ca="1" si="239"/>
        <v>6</v>
      </c>
      <c r="M879" s="68">
        <f ca="1">IFERROR(__xludf.DUMMYFUNCTION("""COMPUTED_VALUE"""),44365.6666666666)</f>
        <v>44365.666666666599</v>
      </c>
      <c r="N879" s="6">
        <f ca="1">IFERROR(__xludf.DUMMYFUNCTION("""COMPUTED_VALUE"""),14030.38)</f>
        <v>14030.38</v>
      </c>
      <c r="R879" s="6" t="str">
        <f t="shared" ca="1" si="240"/>
        <v>20217</v>
      </c>
      <c r="S879" s="6">
        <f t="shared" ca="1" si="241"/>
        <v>2021</v>
      </c>
      <c r="T879" s="6">
        <f t="shared" ca="1" si="242"/>
        <v>7</v>
      </c>
      <c r="U879" s="68">
        <f ca="1">IFERROR(__xludf.DUMMYFUNCTION("""COMPUTED_VALUE"""),44405.6458333333)</f>
        <v>44405.645833333299</v>
      </c>
      <c r="V879" s="6">
        <f ca="1">IFERROR(__xludf.DUMMYFUNCTION("""COMPUTED_VALUE"""),3236.86)</f>
        <v>3236.86</v>
      </c>
      <c r="Z879" s="6" t="str">
        <f t="shared" ca="1" si="243"/>
        <v>20207</v>
      </c>
      <c r="AA879" s="6">
        <f t="shared" ca="1" si="244"/>
        <v>2020</v>
      </c>
      <c r="AB879" s="6">
        <f t="shared" ca="1" si="245"/>
        <v>7</v>
      </c>
      <c r="AC879" s="68">
        <f ca="1">IFERROR(__xludf.DUMMYFUNCTION("""COMPUTED_VALUE"""),44018.9986111111)</f>
        <v>44018.998611111099</v>
      </c>
      <c r="AD879" s="6">
        <f ca="1">IFERROR(__xludf.DUMMYFUNCTION("""COMPUTED_VALUE"""),1190.93)</f>
        <v>1190.93</v>
      </c>
      <c r="AH879" s="6" t="str">
        <f t="shared" ca="1" si="246"/>
        <v>20205</v>
      </c>
      <c r="AI879" s="6">
        <f t="shared" ca="1" si="247"/>
        <v>2020</v>
      </c>
      <c r="AJ879" s="6">
        <f t="shared" ca="1" si="248"/>
        <v>5</v>
      </c>
      <c r="AK879" s="68">
        <f ca="1">IFERROR(__xludf.DUMMYFUNCTION("""COMPUTED_VALUE"""),43971.9986111111)</f>
        <v>43971.998611111099</v>
      </c>
      <c r="AL879" s="6">
        <f ca="1">IFERROR(__xludf.DUMMYFUNCTION("""COMPUTED_VALUE"""),9507.138)</f>
        <v>9507.1380000000008</v>
      </c>
      <c r="AP879" s="6" t="str">
        <f t="shared" ca="1" si="249"/>
        <v>20217</v>
      </c>
      <c r="AQ879" s="6">
        <f t="shared" ca="1" si="250"/>
        <v>2021</v>
      </c>
      <c r="AR879" s="6">
        <f t="shared" ca="1" si="251"/>
        <v>7</v>
      </c>
      <c r="AS879" s="68">
        <f ca="1">IFERROR(__xludf.DUMMYFUNCTION("""COMPUTED_VALUE"""),44383.9986111111)</f>
        <v>44383.998611111099</v>
      </c>
      <c r="AT879" s="6">
        <f ca="1">IFERROR(__xludf.DUMMYFUNCTION("""COMPUTED_VALUE"""),1794.2)</f>
        <v>1794.2</v>
      </c>
    </row>
    <row r="880" spans="2:46" x14ac:dyDescent="0.35">
      <c r="B880" s="6" t="str">
        <f t="shared" ca="1" si="234"/>
        <v>20216</v>
      </c>
      <c r="C880" s="6">
        <f t="shared" ca="1" si="235"/>
        <v>2021</v>
      </c>
      <c r="D880" s="6">
        <f t="shared" ca="1" si="236"/>
        <v>6</v>
      </c>
      <c r="E880" s="68">
        <f ca="1">IFERROR(__xludf.DUMMYFUNCTION("""COMPUTED_VALUE"""),44375.6666666666)</f>
        <v>44375.666666666599</v>
      </c>
      <c r="F880" s="6">
        <f ca="1">IFERROR(__xludf.DUMMYFUNCTION("""COMPUTED_VALUE"""),4290.61)</f>
        <v>4290.6099999999997</v>
      </c>
      <c r="J880" s="6" t="str">
        <f t="shared" ca="1" si="237"/>
        <v>20216</v>
      </c>
      <c r="K880" s="6">
        <f t="shared" ca="1" si="238"/>
        <v>2021</v>
      </c>
      <c r="L880" s="6">
        <f t="shared" ca="1" si="239"/>
        <v>6</v>
      </c>
      <c r="M880" s="68">
        <f ca="1">IFERROR(__xludf.DUMMYFUNCTION("""COMPUTED_VALUE"""),44368.6666666666)</f>
        <v>44368.666666666599</v>
      </c>
      <c r="N880" s="6">
        <f ca="1">IFERROR(__xludf.DUMMYFUNCTION("""COMPUTED_VALUE"""),14141.48)</f>
        <v>14141.48</v>
      </c>
      <c r="R880" s="6" t="str">
        <f t="shared" ca="1" si="240"/>
        <v>20217</v>
      </c>
      <c r="S880" s="6">
        <f t="shared" ca="1" si="241"/>
        <v>2021</v>
      </c>
      <c r="T880" s="6">
        <f t="shared" ca="1" si="242"/>
        <v>7</v>
      </c>
      <c r="U880" s="68">
        <f ca="1">IFERROR(__xludf.DUMMYFUNCTION("""COMPUTED_VALUE"""),44406.6458333333)</f>
        <v>44406.645833333299</v>
      </c>
      <c r="V880" s="6">
        <f ca="1">IFERROR(__xludf.DUMMYFUNCTION("""COMPUTED_VALUE"""),3242.65)</f>
        <v>3242.65</v>
      </c>
      <c r="Z880" s="6" t="str">
        <f t="shared" ca="1" si="243"/>
        <v>20207</v>
      </c>
      <c r="AA880" s="6">
        <f t="shared" ca="1" si="244"/>
        <v>2020</v>
      </c>
      <c r="AB880" s="6">
        <f t="shared" ca="1" si="245"/>
        <v>7</v>
      </c>
      <c r="AC880" s="68">
        <f ca="1">IFERROR(__xludf.DUMMYFUNCTION("""COMPUTED_VALUE"""),44019.9986111111)</f>
        <v>44019.998611111099</v>
      </c>
      <c r="AD880" s="6">
        <f ca="1">IFERROR(__xludf.DUMMYFUNCTION("""COMPUTED_VALUE"""),1195.7)</f>
        <v>1195.7</v>
      </c>
      <c r="AH880" s="6" t="str">
        <f t="shared" ca="1" si="246"/>
        <v>20205</v>
      </c>
      <c r="AI880" s="6">
        <f t="shared" ca="1" si="247"/>
        <v>2020</v>
      </c>
      <c r="AJ880" s="6">
        <f t="shared" ca="1" si="248"/>
        <v>5</v>
      </c>
      <c r="AK880" s="68">
        <f ca="1">IFERROR(__xludf.DUMMYFUNCTION("""COMPUTED_VALUE"""),43972.9986111111)</f>
        <v>43972.998611111099</v>
      </c>
      <c r="AL880" s="6">
        <f ca="1">IFERROR(__xludf.DUMMYFUNCTION("""COMPUTED_VALUE"""),9057.211)</f>
        <v>9057.2109999999993</v>
      </c>
      <c r="AP880" s="6" t="str">
        <f t="shared" ca="1" si="249"/>
        <v>20217</v>
      </c>
      <c r="AQ880" s="6">
        <f t="shared" ca="1" si="250"/>
        <v>2021</v>
      </c>
      <c r="AR880" s="6">
        <f t="shared" ca="1" si="251"/>
        <v>7</v>
      </c>
      <c r="AS880" s="68">
        <f ca="1">IFERROR(__xludf.DUMMYFUNCTION("""COMPUTED_VALUE"""),44384.9986111111)</f>
        <v>44384.998611111099</v>
      </c>
      <c r="AT880" s="6">
        <f ca="1">IFERROR(__xludf.DUMMYFUNCTION("""COMPUTED_VALUE"""),1802.1)</f>
        <v>1802.1</v>
      </c>
    </row>
    <row r="881" spans="2:46" x14ac:dyDescent="0.35">
      <c r="B881" s="6" t="str">
        <f t="shared" ca="1" si="234"/>
        <v>20216</v>
      </c>
      <c r="C881" s="6">
        <f t="shared" ca="1" si="235"/>
        <v>2021</v>
      </c>
      <c r="D881" s="6">
        <f t="shared" ca="1" si="236"/>
        <v>6</v>
      </c>
      <c r="E881" s="68">
        <f ca="1">IFERROR(__xludf.DUMMYFUNCTION("""COMPUTED_VALUE"""),44376.6666666666)</f>
        <v>44376.666666666599</v>
      </c>
      <c r="F881" s="6">
        <f ca="1">IFERROR(__xludf.DUMMYFUNCTION("""COMPUTED_VALUE"""),4291.8)</f>
        <v>4291.8</v>
      </c>
      <c r="J881" s="6" t="str">
        <f t="shared" ca="1" si="237"/>
        <v>20216</v>
      </c>
      <c r="K881" s="6">
        <f t="shared" ca="1" si="238"/>
        <v>2021</v>
      </c>
      <c r="L881" s="6">
        <f t="shared" ca="1" si="239"/>
        <v>6</v>
      </c>
      <c r="M881" s="68">
        <f ca="1">IFERROR(__xludf.DUMMYFUNCTION("""COMPUTED_VALUE"""),44369.6666666666)</f>
        <v>44369.666666666599</v>
      </c>
      <c r="N881" s="6">
        <f ca="1">IFERROR(__xludf.DUMMYFUNCTION("""COMPUTED_VALUE"""),14253.27)</f>
        <v>14253.27</v>
      </c>
      <c r="R881" s="6" t="str">
        <f t="shared" ca="1" si="240"/>
        <v>20217</v>
      </c>
      <c r="S881" s="6">
        <f t="shared" ca="1" si="241"/>
        <v>2021</v>
      </c>
      <c r="T881" s="6">
        <f t="shared" ca="1" si="242"/>
        <v>7</v>
      </c>
      <c r="U881" s="68">
        <f ca="1">IFERROR(__xludf.DUMMYFUNCTION("""COMPUTED_VALUE"""),44407.6458333333)</f>
        <v>44407.645833333299</v>
      </c>
      <c r="V881" s="6">
        <f ca="1">IFERROR(__xludf.DUMMYFUNCTION("""COMPUTED_VALUE"""),3202.32)</f>
        <v>3202.32</v>
      </c>
      <c r="Z881" s="6" t="str">
        <f t="shared" ca="1" si="243"/>
        <v>20207</v>
      </c>
      <c r="AA881" s="6">
        <f t="shared" ca="1" si="244"/>
        <v>2020</v>
      </c>
      <c r="AB881" s="6">
        <f t="shared" ca="1" si="245"/>
        <v>7</v>
      </c>
      <c r="AC881" s="68">
        <f ca="1">IFERROR(__xludf.DUMMYFUNCTION("""COMPUTED_VALUE"""),44020.9986111111)</f>
        <v>44020.998611111099</v>
      </c>
      <c r="AD881" s="6">
        <f ca="1">IFERROR(__xludf.DUMMYFUNCTION("""COMPUTED_VALUE"""),1192.02)</f>
        <v>1192.02</v>
      </c>
      <c r="AH881" s="6" t="str">
        <f t="shared" ca="1" si="246"/>
        <v>20205</v>
      </c>
      <c r="AI881" s="6">
        <f t="shared" ca="1" si="247"/>
        <v>2020</v>
      </c>
      <c r="AJ881" s="6">
        <f t="shared" ca="1" si="248"/>
        <v>5</v>
      </c>
      <c r="AK881" s="68">
        <f ca="1">IFERROR(__xludf.DUMMYFUNCTION("""COMPUTED_VALUE"""),43973.9986111111)</f>
        <v>43973.998611111099</v>
      </c>
      <c r="AL881" s="6">
        <f ca="1">IFERROR(__xludf.DUMMYFUNCTION("""COMPUTED_VALUE"""),9167.151)</f>
        <v>9167.1509999999998</v>
      </c>
      <c r="AP881" s="6" t="str">
        <f t="shared" ca="1" si="249"/>
        <v>20217</v>
      </c>
      <c r="AQ881" s="6">
        <f t="shared" ca="1" si="250"/>
        <v>2021</v>
      </c>
      <c r="AR881" s="6">
        <f t="shared" ca="1" si="251"/>
        <v>7</v>
      </c>
      <c r="AS881" s="68">
        <f ca="1">IFERROR(__xludf.DUMMYFUNCTION("""COMPUTED_VALUE"""),44385.9986111111)</f>
        <v>44385.998611111099</v>
      </c>
      <c r="AT881" s="6">
        <f ca="1">IFERROR(__xludf.DUMMYFUNCTION("""COMPUTED_VALUE"""),1800.2)</f>
        <v>1800.2</v>
      </c>
    </row>
    <row r="882" spans="2:46" x14ac:dyDescent="0.35">
      <c r="B882" s="6" t="str">
        <f t="shared" ca="1" si="234"/>
        <v>20216</v>
      </c>
      <c r="C882" s="6">
        <f t="shared" ca="1" si="235"/>
        <v>2021</v>
      </c>
      <c r="D882" s="6">
        <f t="shared" ca="1" si="236"/>
        <v>6</v>
      </c>
      <c r="E882" s="68">
        <f ca="1">IFERROR(__xludf.DUMMYFUNCTION("""COMPUTED_VALUE"""),44377.6666666666)</f>
        <v>44377.666666666599</v>
      </c>
      <c r="F882" s="6">
        <f ca="1">IFERROR(__xludf.DUMMYFUNCTION("""COMPUTED_VALUE"""),4297.5)</f>
        <v>4297.5</v>
      </c>
      <c r="J882" s="6" t="str">
        <f t="shared" ca="1" si="237"/>
        <v>20216</v>
      </c>
      <c r="K882" s="6">
        <f t="shared" ca="1" si="238"/>
        <v>2021</v>
      </c>
      <c r="L882" s="6">
        <f t="shared" ca="1" si="239"/>
        <v>6</v>
      </c>
      <c r="M882" s="68">
        <f ca="1">IFERROR(__xludf.DUMMYFUNCTION("""COMPUTED_VALUE"""),44370.6666666666)</f>
        <v>44370.666666666599</v>
      </c>
      <c r="N882" s="6">
        <f ca="1">IFERROR(__xludf.DUMMYFUNCTION("""COMPUTED_VALUE"""),14271.73)</f>
        <v>14271.73</v>
      </c>
      <c r="R882" s="6" t="str">
        <f t="shared" ca="1" si="240"/>
        <v>20218</v>
      </c>
      <c r="S882" s="6">
        <f t="shared" ca="1" si="241"/>
        <v>2021</v>
      </c>
      <c r="T882" s="6">
        <f t="shared" ca="1" si="242"/>
        <v>8</v>
      </c>
      <c r="U882" s="68">
        <f ca="1">IFERROR(__xludf.DUMMYFUNCTION("""COMPUTED_VALUE"""),44410.6458333333)</f>
        <v>44410.645833333299</v>
      </c>
      <c r="V882" s="6">
        <f ca="1">IFERROR(__xludf.DUMMYFUNCTION("""COMPUTED_VALUE"""),3223.04)</f>
        <v>3223.04</v>
      </c>
      <c r="Z882" s="6" t="str">
        <f t="shared" ca="1" si="243"/>
        <v>20207</v>
      </c>
      <c r="AA882" s="6">
        <f t="shared" ca="1" si="244"/>
        <v>2020</v>
      </c>
      <c r="AB882" s="6">
        <f t="shared" ca="1" si="245"/>
        <v>7</v>
      </c>
      <c r="AC882" s="68">
        <f ca="1">IFERROR(__xludf.DUMMYFUNCTION("""COMPUTED_VALUE"""),44021.9986111111)</f>
        <v>44021.998611111099</v>
      </c>
      <c r="AD882" s="6">
        <f ca="1">IFERROR(__xludf.DUMMYFUNCTION("""COMPUTED_VALUE"""),1195.77)</f>
        <v>1195.77</v>
      </c>
      <c r="AH882" s="6" t="str">
        <f t="shared" ca="1" si="246"/>
        <v>20205</v>
      </c>
      <c r="AI882" s="6">
        <f t="shared" ca="1" si="247"/>
        <v>2020</v>
      </c>
      <c r="AJ882" s="6">
        <f t="shared" ca="1" si="248"/>
        <v>5</v>
      </c>
      <c r="AK882" s="68">
        <f ca="1">IFERROR(__xludf.DUMMYFUNCTION("""COMPUTED_VALUE"""),43974.9986111111)</f>
        <v>43974.998611111099</v>
      </c>
      <c r="AL882" s="6">
        <f ca="1">IFERROR(__xludf.DUMMYFUNCTION("""COMPUTED_VALUE"""),9177.639)</f>
        <v>9177.6389999999992</v>
      </c>
      <c r="AP882" s="6" t="str">
        <f t="shared" ca="1" si="249"/>
        <v>20217</v>
      </c>
      <c r="AQ882" s="6">
        <f t="shared" ca="1" si="250"/>
        <v>2021</v>
      </c>
      <c r="AR882" s="6">
        <f t="shared" ca="1" si="251"/>
        <v>7</v>
      </c>
      <c r="AS882" s="68">
        <f ca="1">IFERROR(__xludf.DUMMYFUNCTION("""COMPUTED_VALUE"""),44386.9986111111)</f>
        <v>44386.998611111099</v>
      </c>
      <c r="AT882" s="6">
        <f ca="1">IFERROR(__xludf.DUMMYFUNCTION("""COMPUTED_VALUE"""),1810.6)</f>
        <v>1810.6</v>
      </c>
    </row>
    <row r="883" spans="2:46" x14ac:dyDescent="0.35">
      <c r="B883" s="6" t="str">
        <f t="shared" ca="1" si="234"/>
        <v>20217</v>
      </c>
      <c r="C883" s="6">
        <f t="shared" ca="1" si="235"/>
        <v>2021</v>
      </c>
      <c r="D883" s="6">
        <f t="shared" ca="1" si="236"/>
        <v>7</v>
      </c>
      <c r="E883" s="68">
        <f ca="1">IFERROR(__xludf.DUMMYFUNCTION("""COMPUTED_VALUE"""),44378.6666666666)</f>
        <v>44378.666666666599</v>
      </c>
      <c r="F883" s="6">
        <f ca="1">IFERROR(__xludf.DUMMYFUNCTION("""COMPUTED_VALUE"""),4319.94)</f>
        <v>4319.9399999999996</v>
      </c>
      <c r="J883" s="6" t="str">
        <f t="shared" ca="1" si="237"/>
        <v>20216</v>
      </c>
      <c r="K883" s="6">
        <f t="shared" ca="1" si="238"/>
        <v>2021</v>
      </c>
      <c r="L883" s="6">
        <f t="shared" ca="1" si="239"/>
        <v>6</v>
      </c>
      <c r="M883" s="68">
        <f ca="1">IFERROR(__xludf.DUMMYFUNCTION("""COMPUTED_VALUE"""),44371.6666666666)</f>
        <v>44371.666666666599</v>
      </c>
      <c r="N883" s="6">
        <f ca="1">IFERROR(__xludf.DUMMYFUNCTION("""COMPUTED_VALUE"""),14369.71)</f>
        <v>14369.71</v>
      </c>
      <c r="R883" s="6" t="str">
        <f t="shared" ca="1" si="240"/>
        <v>20218</v>
      </c>
      <c r="S883" s="6">
        <f t="shared" ca="1" si="241"/>
        <v>2021</v>
      </c>
      <c r="T883" s="6">
        <f t="shared" ca="1" si="242"/>
        <v>8</v>
      </c>
      <c r="U883" s="68">
        <f ca="1">IFERROR(__xludf.DUMMYFUNCTION("""COMPUTED_VALUE"""),44411.6458333333)</f>
        <v>44411.645833333299</v>
      </c>
      <c r="V883" s="6">
        <f ca="1">IFERROR(__xludf.DUMMYFUNCTION("""COMPUTED_VALUE"""),3237.14)</f>
        <v>3237.14</v>
      </c>
      <c r="Z883" s="6" t="str">
        <f t="shared" ca="1" si="243"/>
        <v>20207</v>
      </c>
      <c r="AA883" s="6">
        <f t="shared" ca="1" si="244"/>
        <v>2020</v>
      </c>
      <c r="AB883" s="6">
        <f t="shared" ca="1" si="245"/>
        <v>7</v>
      </c>
      <c r="AC883" s="68">
        <f ca="1">IFERROR(__xludf.DUMMYFUNCTION("""COMPUTED_VALUE"""),44022.9986111111)</f>
        <v>44022.998611111099</v>
      </c>
      <c r="AD883" s="6">
        <f ca="1">IFERROR(__xludf.DUMMYFUNCTION("""COMPUTED_VALUE"""),1200.39)</f>
        <v>1200.3900000000001</v>
      </c>
      <c r="AH883" s="6" t="str">
        <f t="shared" ca="1" si="246"/>
        <v>20205</v>
      </c>
      <c r="AI883" s="6">
        <f t="shared" ca="1" si="247"/>
        <v>2020</v>
      </c>
      <c r="AJ883" s="6">
        <f t="shared" ca="1" si="248"/>
        <v>5</v>
      </c>
      <c r="AK883" s="68">
        <f ca="1">IFERROR(__xludf.DUMMYFUNCTION("""COMPUTED_VALUE"""),43975.9986111111)</f>
        <v>43975.998611111099</v>
      </c>
      <c r="AL883" s="6">
        <f ca="1">IFERROR(__xludf.DUMMYFUNCTION("""COMPUTED_VALUE"""),8718.602)</f>
        <v>8718.6020000000008</v>
      </c>
      <c r="AP883" s="6" t="str">
        <f t="shared" ca="1" si="249"/>
        <v>20217</v>
      </c>
      <c r="AQ883" s="6">
        <f t="shared" ca="1" si="250"/>
        <v>2021</v>
      </c>
      <c r="AR883" s="6">
        <f t="shared" ca="1" si="251"/>
        <v>7</v>
      </c>
      <c r="AS883" s="68">
        <f ca="1">IFERROR(__xludf.DUMMYFUNCTION("""COMPUTED_VALUE"""),44389.9986111111)</f>
        <v>44389.998611111099</v>
      </c>
      <c r="AT883" s="6">
        <f ca="1">IFERROR(__xludf.DUMMYFUNCTION("""COMPUTED_VALUE"""),1805.9)</f>
        <v>1805.9</v>
      </c>
    </row>
    <row r="884" spans="2:46" x14ac:dyDescent="0.35">
      <c r="B884" s="6" t="str">
        <f t="shared" ca="1" si="234"/>
        <v>20217</v>
      </c>
      <c r="C884" s="6">
        <f t="shared" ca="1" si="235"/>
        <v>2021</v>
      </c>
      <c r="D884" s="6">
        <f t="shared" ca="1" si="236"/>
        <v>7</v>
      </c>
      <c r="E884" s="68">
        <f ca="1">IFERROR(__xludf.DUMMYFUNCTION("""COMPUTED_VALUE"""),44379.6666666666)</f>
        <v>44379.666666666599</v>
      </c>
      <c r="F884" s="6">
        <f ca="1">IFERROR(__xludf.DUMMYFUNCTION("""COMPUTED_VALUE"""),4352.34)</f>
        <v>4352.34</v>
      </c>
      <c r="J884" s="6" t="str">
        <f t="shared" ca="1" si="237"/>
        <v>20216</v>
      </c>
      <c r="K884" s="6">
        <f t="shared" ca="1" si="238"/>
        <v>2021</v>
      </c>
      <c r="L884" s="6">
        <f t="shared" ca="1" si="239"/>
        <v>6</v>
      </c>
      <c r="M884" s="68">
        <f ca="1">IFERROR(__xludf.DUMMYFUNCTION("""COMPUTED_VALUE"""),44372.6666666666)</f>
        <v>44372.666666666599</v>
      </c>
      <c r="N884" s="6">
        <f ca="1">IFERROR(__xludf.DUMMYFUNCTION("""COMPUTED_VALUE"""),14360.39)</f>
        <v>14360.39</v>
      </c>
      <c r="R884" s="6" t="str">
        <f t="shared" ca="1" si="240"/>
        <v>20218</v>
      </c>
      <c r="S884" s="6">
        <f t="shared" ca="1" si="241"/>
        <v>2021</v>
      </c>
      <c r="T884" s="6">
        <f t="shared" ca="1" si="242"/>
        <v>8</v>
      </c>
      <c r="U884" s="68">
        <f ca="1">IFERROR(__xludf.DUMMYFUNCTION("""COMPUTED_VALUE"""),44412.6458333333)</f>
        <v>44412.645833333299</v>
      </c>
      <c r="V884" s="6">
        <f ca="1">IFERROR(__xludf.DUMMYFUNCTION("""COMPUTED_VALUE"""),3280.38)</f>
        <v>3280.38</v>
      </c>
      <c r="Z884" s="6" t="str">
        <f t="shared" ca="1" si="243"/>
        <v>20207</v>
      </c>
      <c r="AA884" s="6">
        <f t="shared" ca="1" si="244"/>
        <v>2020</v>
      </c>
      <c r="AB884" s="6">
        <f t="shared" ca="1" si="245"/>
        <v>7</v>
      </c>
      <c r="AC884" s="68">
        <f ca="1">IFERROR(__xludf.DUMMYFUNCTION("""COMPUTED_VALUE"""),44023.9986111111)</f>
        <v>44023.998611111099</v>
      </c>
      <c r="AD884" s="6">
        <f ca="1">IFERROR(__xludf.DUMMYFUNCTION("""COMPUTED_VALUE"""),1198.62)</f>
        <v>1198.6199999999999</v>
      </c>
      <c r="AH884" s="6" t="str">
        <f t="shared" ca="1" si="246"/>
        <v>20205</v>
      </c>
      <c r="AI884" s="6">
        <f t="shared" ca="1" si="247"/>
        <v>2020</v>
      </c>
      <c r="AJ884" s="6">
        <f t="shared" ca="1" si="248"/>
        <v>5</v>
      </c>
      <c r="AK884" s="68">
        <f ca="1">IFERROR(__xludf.DUMMYFUNCTION("""COMPUTED_VALUE"""),43976.9986111111)</f>
        <v>43976.998611111099</v>
      </c>
      <c r="AL884" s="6">
        <f ca="1">IFERROR(__xludf.DUMMYFUNCTION("""COMPUTED_VALUE"""),8898.196)</f>
        <v>8898.1959999999999</v>
      </c>
      <c r="AP884" s="6" t="str">
        <f t="shared" ca="1" si="249"/>
        <v>20217</v>
      </c>
      <c r="AQ884" s="6">
        <f t="shared" ca="1" si="250"/>
        <v>2021</v>
      </c>
      <c r="AR884" s="6">
        <f t="shared" ca="1" si="251"/>
        <v>7</v>
      </c>
      <c r="AS884" s="68">
        <f ca="1">IFERROR(__xludf.DUMMYFUNCTION("""COMPUTED_VALUE"""),44390.9986111111)</f>
        <v>44390.998611111099</v>
      </c>
      <c r="AT884" s="6">
        <f ca="1">IFERROR(__xludf.DUMMYFUNCTION("""COMPUTED_VALUE"""),1809.9)</f>
        <v>1809.9</v>
      </c>
    </row>
    <row r="885" spans="2:46" x14ac:dyDescent="0.35">
      <c r="B885" s="6" t="str">
        <f t="shared" ca="1" si="234"/>
        <v>20217</v>
      </c>
      <c r="C885" s="6">
        <f t="shared" ca="1" si="235"/>
        <v>2021</v>
      </c>
      <c r="D885" s="6">
        <f t="shared" ca="1" si="236"/>
        <v>7</v>
      </c>
      <c r="E885" s="68">
        <f ca="1">IFERROR(__xludf.DUMMYFUNCTION("""COMPUTED_VALUE"""),44383.6666666666)</f>
        <v>44383.666666666599</v>
      </c>
      <c r="F885" s="6">
        <f ca="1">IFERROR(__xludf.DUMMYFUNCTION("""COMPUTED_VALUE"""),4343.54)</f>
        <v>4343.54</v>
      </c>
      <c r="J885" s="6" t="str">
        <f t="shared" ca="1" si="237"/>
        <v>20216</v>
      </c>
      <c r="K885" s="6">
        <f t="shared" ca="1" si="238"/>
        <v>2021</v>
      </c>
      <c r="L885" s="6">
        <f t="shared" ca="1" si="239"/>
        <v>6</v>
      </c>
      <c r="M885" s="68">
        <f ca="1">IFERROR(__xludf.DUMMYFUNCTION("""COMPUTED_VALUE"""),44375.6666666666)</f>
        <v>44375.666666666599</v>
      </c>
      <c r="N885" s="6">
        <f ca="1">IFERROR(__xludf.DUMMYFUNCTION("""COMPUTED_VALUE"""),14500.51)</f>
        <v>14500.51</v>
      </c>
      <c r="R885" s="6" t="str">
        <f t="shared" ca="1" si="240"/>
        <v>20218</v>
      </c>
      <c r="S885" s="6">
        <f t="shared" ca="1" si="241"/>
        <v>2021</v>
      </c>
      <c r="T885" s="6">
        <f t="shared" ca="1" si="242"/>
        <v>8</v>
      </c>
      <c r="U885" s="68">
        <f ca="1">IFERROR(__xludf.DUMMYFUNCTION("""COMPUTED_VALUE"""),44413.6458333333)</f>
        <v>44413.645833333299</v>
      </c>
      <c r="V885" s="6">
        <f ca="1">IFERROR(__xludf.DUMMYFUNCTION("""COMPUTED_VALUE"""),3276.13)</f>
        <v>3276.13</v>
      </c>
      <c r="Z885" s="6" t="str">
        <f t="shared" ca="1" si="243"/>
        <v>20207</v>
      </c>
      <c r="AA885" s="6">
        <f t="shared" ca="1" si="244"/>
        <v>2020</v>
      </c>
      <c r="AB885" s="6">
        <f t="shared" ca="1" si="245"/>
        <v>7</v>
      </c>
      <c r="AC885" s="68">
        <f ca="1">IFERROR(__xludf.DUMMYFUNCTION("""COMPUTED_VALUE"""),44024.9986111111)</f>
        <v>44024.998611111099</v>
      </c>
      <c r="AD885" s="6">
        <f ca="1">IFERROR(__xludf.DUMMYFUNCTION("""COMPUTED_VALUE"""),1199.52)</f>
        <v>1199.52</v>
      </c>
      <c r="AH885" s="6" t="str">
        <f t="shared" ca="1" si="246"/>
        <v>20205</v>
      </c>
      <c r="AI885" s="6">
        <f t="shared" ca="1" si="247"/>
        <v>2020</v>
      </c>
      <c r="AJ885" s="6">
        <f t="shared" ca="1" si="248"/>
        <v>5</v>
      </c>
      <c r="AK885" s="68">
        <f ca="1">IFERROR(__xludf.DUMMYFUNCTION("""COMPUTED_VALUE"""),43977.9986111111)</f>
        <v>43977.998611111099</v>
      </c>
      <c r="AL885" s="6">
        <f ca="1">IFERROR(__xludf.DUMMYFUNCTION("""COMPUTED_VALUE"""),8843.262)</f>
        <v>8843.2620000000006</v>
      </c>
      <c r="AP885" s="6" t="str">
        <f t="shared" ca="1" si="249"/>
        <v>20217</v>
      </c>
      <c r="AQ885" s="6">
        <f t="shared" ca="1" si="250"/>
        <v>2021</v>
      </c>
      <c r="AR885" s="6">
        <f t="shared" ca="1" si="251"/>
        <v>7</v>
      </c>
      <c r="AS885" s="68">
        <f ca="1">IFERROR(__xludf.DUMMYFUNCTION("""COMPUTED_VALUE"""),44391.9986111111)</f>
        <v>44391.998611111099</v>
      </c>
      <c r="AT885" s="6">
        <f ca="1">IFERROR(__xludf.DUMMYFUNCTION("""COMPUTED_VALUE"""),1825)</f>
        <v>1825</v>
      </c>
    </row>
    <row r="886" spans="2:46" x14ac:dyDescent="0.35">
      <c r="B886" s="6" t="str">
        <f t="shared" ca="1" si="234"/>
        <v>20217</v>
      </c>
      <c r="C886" s="6">
        <f t="shared" ca="1" si="235"/>
        <v>2021</v>
      </c>
      <c r="D886" s="6">
        <f t="shared" ca="1" si="236"/>
        <v>7</v>
      </c>
      <c r="E886" s="68">
        <f ca="1">IFERROR(__xludf.DUMMYFUNCTION("""COMPUTED_VALUE"""),44384.6666666666)</f>
        <v>44384.666666666599</v>
      </c>
      <c r="F886" s="6">
        <f ca="1">IFERROR(__xludf.DUMMYFUNCTION("""COMPUTED_VALUE"""),4358.13)</f>
        <v>4358.13</v>
      </c>
      <c r="J886" s="6" t="str">
        <f t="shared" ca="1" si="237"/>
        <v>20216</v>
      </c>
      <c r="K886" s="6">
        <f t="shared" ca="1" si="238"/>
        <v>2021</v>
      </c>
      <c r="L886" s="6">
        <f t="shared" ca="1" si="239"/>
        <v>6</v>
      </c>
      <c r="M886" s="68">
        <f ca="1">IFERROR(__xludf.DUMMYFUNCTION("""COMPUTED_VALUE"""),44376.6666666666)</f>
        <v>44376.666666666599</v>
      </c>
      <c r="N886" s="6">
        <f ca="1">IFERROR(__xludf.DUMMYFUNCTION("""COMPUTED_VALUE"""),14528.34)</f>
        <v>14528.34</v>
      </c>
      <c r="R886" s="6" t="str">
        <f t="shared" ca="1" si="240"/>
        <v>20218</v>
      </c>
      <c r="S886" s="6">
        <f t="shared" ca="1" si="241"/>
        <v>2021</v>
      </c>
      <c r="T886" s="6">
        <f t="shared" ca="1" si="242"/>
        <v>8</v>
      </c>
      <c r="U886" s="68">
        <f ca="1">IFERROR(__xludf.DUMMYFUNCTION("""COMPUTED_VALUE"""),44414.6458333333)</f>
        <v>44414.645833333299</v>
      </c>
      <c r="V886" s="6">
        <f ca="1">IFERROR(__xludf.DUMMYFUNCTION("""COMPUTED_VALUE"""),3270.36)</f>
        <v>3270.36</v>
      </c>
      <c r="Z886" s="6" t="str">
        <f t="shared" ca="1" si="243"/>
        <v>20207</v>
      </c>
      <c r="AA886" s="6">
        <f t="shared" ca="1" si="244"/>
        <v>2020</v>
      </c>
      <c r="AB886" s="6">
        <f t="shared" ca="1" si="245"/>
        <v>7</v>
      </c>
      <c r="AC886" s="68">
        <f ca="1">IFERROR(__xludf.DUMMYFUNCTION("""COMPUTED_VALUE"""),44025.9986111111)</f>
        <v>44025.998611111099</v>
      </c>
      <c r="AD886" s="6">
        <f ca="1">IFERROR(__xludf.DUMMYFUNCTION("""COMPUTED_VALUE"""),1203.78)</f>
        <v>1203.78</v>
      </c>
      <c r="AH886" s="6" t="str">
        <f t="shared" ca="1" si="246"/>
        <v>20205</v>
      </c>
      <c r="AI886" s="6">
        <f t="shared" ca="1" si="247"/>
        <v>2020</v>
      </c>
      <c r="AJ886" s="6">
        <f t="shared" ca="1" si="248"/>
        <v>5</v>
      </c>
      <c r="AK886" s="68">
        <f ca="1">IFERROR(__xludf.DUMMYFUNCTION("""COMPUTED_VALUE"""),43978.9986111111)</f>
        <v>43978.998611111099</v>
      </c>
      <c r="AL886" s="6">
        <f ca="1">IFERROR(__xludf.DUMMYFUNCTION("""COMPUTED_VALUE"""),9204.457)</f>
        <v>9204.4570000000003</v>
      </c>
      <c r="AP886" s="6" t="str">
        <f t="shared" ca="1" si="249"/>
        <v>20217</v>
      </c>
      <c r="AQ886" s="6">
        <f t="shared" ca="1" si="250"/>
        <v>2021</v>
      </c>
      <c r="AR886" s="6">
        <f t="shared" ca="1" si="251"/>
        <v>7</v>
      </c>
      <c r="AS886" s="68">
        <f ca="1">IFERROR(__xludf.DUMMYFUNCTION("""COMPUTED_VALUE"""),44392.9986111111)</f>
        <v>44392.998611111099</v>
      </c>
      <c r="AT886" s="6">
        <f ca="1">IFERROR(__xludf.DUMMYFUNCTION("""COMPUTED_VALUE"""),1829)</f>
        <v>1829</v>
      </c>
    </row>
    <row r="887" spans="2:46" x14ac:dyDescent="0.35">
      <c r="B887" s="6" t="str">
        <f t="shared" ca="1" si="234"/>
        <v>20217</v>
      </c>
      <c r="C887" s="6">
        <f t="shared" ca="1" si="235"/>
        <v>2021</v>
      </c>
      <c r="D887" s="6">
        <f t="shared" ca="1" si="236"/>
        <v>7</v>
      </c>
      <c r="E887" s="68">
        <f ca="1">IFERROR(__xludf.DUMMYFUNCTION("""COMPUTED_VALUE"""),44385.6666666666)</f>
        <v>44385.666666666599</v>
      </c>
      <c r="F887" s="6">
        <f ca="1">IFERROR(__xludf.DUMMYFUNCTION("""COMPUTED_VALUE"""),4320.82)</f>
        <v>4320.82</v>
      </c>
      <c r="J887" s="6" t="str">
        <f t="shared" ca="1" si="237"/>
        <v>20216</v>
      </c>
      <c r="K887" s="6">
        <f t="shared" ca="1" si="238"/>
        <v>2021</v>
      </c>
      <c r="L887" s="6">
        <f t="shared" ca="1" si="239"/>
        <v>6</v>
      </c>
      <c r="M887" s="68">
        <f ca="1">IFERROR(__xludf.DUMMYFUNCTION("""COMPUTED_VALUE"""),44377.6666666666)</f>
        <v>44377.666666666599</v>
      </c>
      <c r="N887" s="6">
        <f ca="1">IFERROR(__xludf.DUMMYFUNCTION("""COMPUTED_VALUE"""),14503.95)</f>
        <v>14503.95</v>
      </c>
      <c r="R887" s="6" t="str">
        <f t="shared" ca="1" si="240"/>
        <v>20218</v>
      </c>
      <c r="S887" s="6">
        <f t="shared" ca="1" si="241"/>
        <v>2021</v>
      </c>
      <c r="T887" s="6">
        <f t="shared" ca="1" si="242"/>
        <v>8</v>
      </c>
      <c r="U887" s="68">
        <f ca="1">IFERROR(__xludf.DUMMYFUNCTION("""COMPUTED_VALUE"""),44417.6458333333)</f>
        <v>44417.645833333299</v>
      </c>
      <c r="V887" s="6">
        <f ca="1">IFERROR(__xludf.DUMMYFUNCTION("""COMPUTED_VALUE"""),3260.42)</f>
        <v>3260.42</v>
      </c>
      <c r="Z887" s="6" t="str">
        <f t="shared" ca="1" si="243"/>
        <v>20207</v>
      </c>
      <c r="AA887" s="6">
        <f t="shared" ca="1" si="244"/>
        <v>2020</v>
      </c>
      <c r="AB887" s="6">
        <f t="shared" ca="1" si="245"/>
        <v>7</v>
      </c>
      <c r="AC887" s="68">
        <f ca="1">IFERROR(__xludf.DUMMYFUNCTION("""COMPUTED_VALUE"""),44026.9986111111)</f>
        <v>44026.998611111099</v>
      </c>
      <c r="AD887" s="6">
        <f ca="1">IFERROR(__xludf.DUMMYFUNCTION("""COMPUTED_VALUE"""),1203.98)</f>
        <v>1203.98</v>
      </c>
      <c r="AH887" s="6" t="str">
        <f t="shared" ca="1" si="246"/>
        <v>20205</v>
      </c>
      <c r="AI887" s="6">
        <f t="shared" ca="1" si="247"/>
        <v>2020</v>
      </c>
      <c r="AJ887" s="6">
        <f t="shared" ca="1" si="248"/>
        <v>5</v>
      </c>
      <c r="AK887" s="68">
        <f ca="1">IFERROR(__xludf.DUMMYFUNCTION("""COMPUTED_VALUE"""),43979.9986111111)</f>
        <v>43979.998611111099</v>
      </c>
      <c r="AL887" s="6">
        <f ca="1">IFERROR(__xludf.DUMMYFUNCTION("""COMPUTED_VALUE"""),9569.422)</f>
        <v>9569.4220000000005</v>
      </c>
      <c r="AP887" s="6" t="str">
        <f t="shared" ca="1" si="249"/>
        <v>20217</v>
      </c>
      <c r="AQ887" s="6">
        <f t="shared" ca="1" si="250"/>
        <v>2021</v>
      </c>
      <c r="AR887" s="6">
        <f t="shared" ca="1" si="251"/>
        <v>7</v>
      </c>
      <c r="AS887" s="68">
        <f ca="1">IFERROR(__xludf.DUMMYFUNCTION("""COMPUTED_VALUE"""),44393.9986111111)</f>
        <v>44393.998611111099</v>
      </c>
      <c r="AT887" s="6">
        <f ca="1">IFERROR(__xludf.DUMMYFUNCTION("""COMPUTED_VALUE"""),1815)</f>
        <v>1815</v>
      </c>
    </row>
    <row r="888" spans="2:46" x14ac:dyDescent="0.35">
      <c r="B888" s="6" t="str">
        <f t="shared" ca="1" si="234"/>
        <v>20217</v>
      </c>
      <c r="C888" s="6">
        <f t="shared" ca="1" si="235"/>
        <v>2021</v>
      </c>
      <c r="D888" s="6">
        <f t="shared" ca="1" si="236"/>
        <v>7</v>
      </c>
      <c r="E888" s="68">
        <f ca="1">IFERROR(__xludf.DUMMYFUNCTION("""COMPUTED_VALUE"""),44386.6666666666)</f>
        <v>44386.666666666599</v>
      </c>
      <c r="F888" s="6">
        <f ca="1">IFERROR(__xludf.DUMMYFUNCTION("""COMPUTED_VALUE"""),4369.55)</f>
        <v>4369.55</v>
      </c>
      <c r="J888" s="6" t="str">
        <f t="shared" ca="1" si="237"/>
        <v>20217</v>
      </c>
      <c r="K888" s="6">
        <f t="shared" ca="1" si="238"/>
        <v>2021</v>
      </c>
      <c r="L888" s="6">
        <f t="shared" ca="1" si="239"/>
        <v>7</v>
      </c>
      <c r="M888" s="68">
        <f ca="1">IFERROR(__xludf.DUMMYFUNCTION("""COMPUTED_VALUE"""),44378.6666666666)</f>
        <v>44378.666666666599</v>
      </c>
      <c r="N888" s="6">
        <f ca="1">IFERROR(__xludf.DUMMYFUNCTION("""COMPUTED_VALUE"""),14522.38)</f>
        <v>14522.38</v>
      </c>
      <c r="R888" s="6" t="str">
        <f t="shared" ca="1" si="240"/>
        <v>20218</v>
      </c>
      <c r="S888" s="6">
        <f t="shared" ca="1" si="241"/>
        <v>2021</v>
      </c>
      <c r="T888" s="6">
        <f t="shared" ca="1" si="242"/>
        <v>8</v>
      </c>
      <c r="U888" s="68">
        <f ca="1">IFERROR(__xludf.DUMMYFUNCTION("""COMPUTED_VALUE"""),44418.6458333333)</f>
        <v>44418.645833333299</v>
      </c>
      <c r="V888" s="6">
        <f ca="1">IFERROR(__xludf.DUMMYFUNCTION("""COMPUTED_VALUE"""),3243.19)</f>
        <v>3243.19</v>
      </c>
      <c r="Z888" s="6" t="str">
        <f t="shared" ca="1" si="243"/>
        <v>20207</v>
      </c>
      <c r="AA888" s="6">
        <f t="shared" ca="1" si="244"/>
        <v>2020</v>
      </c>
      <c r="AB888" s="6">
        <f t="shared" ca="1" si="245"/>
        <v>7</v>
      </c>
      <c r="AC888" s="68">
        <f ca="1">IFERROR(__xludf.DUMMYFUNCTION("""COMPUTED_VALUE"""),44027.9986111111)</f>
        <v>44027.998611111099</v>
      </c>
      <c r="AD888" s="6">
        <f ca="1">IFERROR(__xludf.DUMMYFUNCTION("""COMPUTED_VALUE"""),1200.47)</f>
        <v>1200.47</v>
      </c>
      <c r="AH888" s="6" t="str">
        <f t="shared" ca="1" si="246"/>
        <v>20205</v>
      </c>
      <c r="AI888" s="6">
        <f t="shared" ca="1" si="247"/>
        <v>2020</v>
      </c>
      <c r="AJ888" s="6">
        <f t="shared" ca="1" si="248"/>
        <v>5</v>
      </c>
      <c r="AK888" s="68">
        <f ca="1">IFERROR(__xludf.DUMMYFUNCTION("""COMPUTED_VALUE"""),43980.9986111111)</f>
        <v>43980.998611111099</v>
      </c>
      <c r="AL888" s="6">
        <f ca="1">IFERROR(__xludf.DUMMYFUNCTION("""COMPUTED_VALUE"""),9423.919)</f>
        <v>9423.9189999999999</v>
      </c>
      <c r="AP888" s="6" t="str">
        <f t="shared" ca="1" si="249"/>
        <v>20217</v>
      </c>
      <c r="AQ888" s="6">
        <f t="shared" ca="1" si="250"/>
        <v>2021</v>
      </c>
      <c r="AR888" s="6">
        <f t="shared" ca="1" si="251"/>
        <v>7</v>
      </c>
      <c r="AS888" s="68">
        <f ca="1">IFERROR(__xludf.DUMMYFUNCTION("""COMPUTED_VALUE"""),44396.9986111111)</f>
        <v>44396.998611111099</v>
      </c>
      <c r="AT888" s="6">
        <f ca="1">IFERROR(__xludf.DUMMYFUNCTION("""COMPUTED_VALUE"""),1809.2)</f>
        <v>1809.2</v>
      </c>
    </row>
    <row r="889" spans="2:46" x14ac:dyDescent="0.35">
      <c r="B889" s="6" t="str">
        <f t="shared" ca="1" si="234"/>
        <v>20217</v>
      </c>
      <c r="C889" s="6">
        <f t="shared" ca="1" si="235"/>
        <v>2021</v>
      </c>
      <c r="D889" s="6">
        <f t="shared" ca="1" si="236"/>
        <v>7</v>
      </c>
      <c r="E889" s="68">
        <f ca="1">IFERROR(__xludf.DUMMYFUNCTION("""COMPUTED_VALUE"""),44389.6666666666)</f>
        <v>44389.666666666599</v>
      </c>
      <c r="F889" s="6">
        <f ca="1">IFERROR(__xludf.DUMMYFUNCTION("""COMPUTED_VALUE"""),4384.63)</f>
        <v>4384.63</v>
      </c>
      <c r="J889" s="6" t="str">
        <f t="shared" ca="1" si="237"/>
        <v>20217</v>
      </c>
      <c r="K889" s="6">
        <f t="shared" ca="1" si="238"/>
        <v>2021</v>
      </c>
      <c r="L889" s="6">
        <f t="shared" ca="1" si="239"/>
        <v>7</v>
      </c>
      <c r="M889" s="68">
        <f ca="1">IFERROR(__xludf.DUMMYFUNCTION("""COMPUTED_VALUE"""),44379.6666666666)</f>
        <v>44379.666666666599</v>
      </c>
      <c r="N889" s="6">
        <f ca="1">IFERROR(__xludf.DUMMYFUNCTION("""COMPUTED_VALUE"""),14639.33)</f>
        <v>14639.33</v>
      </c>
      <c r="R889" s="6" t="str">
        <f t="shared" ca="1" si="240"/>
        <v>20218</v>
      </c>
      <c r="S889" s="6">
        <f t="shared" ca="1" si="241"/>
        <v>2021</v>
      </c>
      <c r="T889" s="6">
        <f t="shared" ca="1" si="242"/>
        <v>8</v>
      </c>
      <c r="U889" s="68">
        <f ca="1">IFERROR(__xludf.DUMMYFUNCTION("""COMPUTED_VALUE"""),44419.6458333333)</f>
        <v>44419.645833333299</v>
      </c>
      <c r="V889" s="6">
        <f ca="1">IFERROR(__xludf.DUMMYFUNCTION("""COMPUTED_VALUE"""),3220.62)</f>
        <v>3220.62</v>
      </c>
      <c r="Z889" s="6" t="str">
        <f t="shared" ca="1" si="243"/>
        <v>20207</v>
      </c>
      <c r="AA889" s="6">
        <f t="shared" ca="1" si="244"/>
        <v>2020</v>
      </c>
      <c r="AB889" s="6">
        <f t="shared" ca="1" si="245"/>
        <v>7</v>
      </c>
      <c r="AC889" s="68">
        <f ca="1">IFERROR(__xludf.DUMMYFUNCTION("""COMPUTED_VALUE"""),44028.9986111111)</f>
        <v>44028.998611111099</v>
      </c>
      <c r="AD889" s="6">
        <f ca="1">IFERROR(__xludf.DUMMYFUNCTION("""COMPUTED_VALUE"""),1204.23)</f>
        <v>1204.23</v>
      </c>
      <c r="AH889" s="6" t="str">
        <f t="shared" ca="1" si="246"/>
        <v>20205</v>
      </c>
      <c r="AI889" s="6">
        <f t="shared" ca="1" si="247"/>
        <v>2020</v>
      </c>
      <c r="AJ889" s="6">
        <f t="shared" ca="1" si="248"/>
        <v>5</v>
      </c>
      <c r="AK889" s="68">
        <f ca="1">IFERROR(__xludf.DUMMYFUNCTION("""COMPUTED_VALUE"""),43981.9986111111)</f>
        <v>43981.998611111099</v>
      </c>
      <c r="AL889" s="6">
        <f ca="1">IFERROR(__xludf.DUMMYFUNCTION("""COMPUTED_VALUE"""),9699.125)</f>
        <v>9699.125</v>
      </c>
      <c r="AP889" s="6" t="str">
        <f t="shared" ca="1" si="249"/>
        <v>20217</v>
      </c>
      <c r="AQ889" s="6">
        <f t="shared" ca="1" si="250"/>
        <v>2021</v>
      </c>
      <c r="AR889" s="6">
        <f t="shared" ca="1" si="251"/>
        <v>7</v>
      </c>
      <c r="AS889" s="68">
        <f ca="1">IFERROR(__xludf.DUMMYFUNCTION("""COMPUTED_VALUE"""),44397.9986111111)</f>
        <v>44397.998611111099</v>
      </c>
      <c r="AT889" s="6">
        <f ca="1">IFERROR(__xludf.DUMMYFUNCTION("""COMPUTED_VALUE"""),1811.4)</f>
        <v>1811.4</v>
      </c>
    </row>
    <row r="890" spans="2:46" x14ac:dyDescent="0.35">
      <c r="B890" s="6" t="str">
        <f t="shared" ca="1" si="234"/>
        <v>20217</v>
      </c>
      <c r="C890" s="6">
        <f t="shared" ca="1" si="235"/>
        <v>2021</v>
      </c>
      <c r="D890" s="6">
        <f t="shared" ca="1" si="236"/>
        <v>7</v>
      </c>
      <c r="E890" s="68">
        <f ca="1">IFERROR(__xludf.DUMMYFUNCTION("""COMPUTED_VALUE"""),44390.6666666666)</f>
        <v>44390.666666666599</v>
      </c>
      <c r="F890" s="6">
        <f ca="1">IFERROR(__xludf.DUMMYFUNCTION("""COMPUTED_VALUE"""),4369.21)</f>
        <v>4369.21</v>
      </c>
      <c r="J890" s="6" t="str">
        <f t="shared" ca="1" si="237"/>
        <v>20217</v>
      </c>
      <c r="K890" s="6">
        <f t="shared" ca="1" si="238"/>
        <v>2021</v>
      </c>
      <c r="L890" s="6">
        <f t="shared" ca="1" si="239"/>
        <v>7</v>
      </c>
      <c r="M890" s="68">
        <f ca="1">IFERROR(__xludf.DUMMYFUNCTION("""COMPUTED_VALUE"""),44383.6666666666)</f>
        <v>44383.666666666599</v>
      </c>
      <c r="N890" s="6">
        <f ca="1">IFERROR(__xludf.DUMMYFUNCTION("""COMPUTED_VALUE"""),14663.64)</f>
        <v>14663.64</v>
      </c>
      <c r="R890" s="6" t="str">
        <f t="shared" ca="1" si="240"/>
        <v>20218</v>
      </c>
      <c r="S890" s="6">
        <f t="shared" ca="1" si="241"/>
        <v>2021</v>
      </c>
      <c r="T890" s="6">
        <f t="shared" ca="1" si="242"/>
        <v>8</v>
      </c>
      <c r="U890" s="68">
        <f ca="1">IFERROR(__xludf.DUMMYFUNCTION("""COMPUTED_VALUE"""),44420.6458333333)</f>
        <v>44420.645833333299</v>
      </c>
      <c r="V890" s="6">
        <f ca="1">IFERROR(__xludf.DUMMYFUNCTION("""COMPUTED_VALUE"""),3208.38)</f>
        <v>3208.38</v>
      </c>
      <c r="Z890" s="6" t="str">
        <f t="shared" ca="1" si="243"/>
        <v>20207</v>
      </c>
      <c r="AA890" s="6">
        <f t="shared" ca="1" si="244"/>
        <v>2020</v>
      </c>
      <c r="AB890" s="6">
        <f t="shared" ca="1" si="245"/>
        <v>7</v>
      </c>
      <c r="AC890" s="68">
        <f ca="1">IFERROR(__xludf.DUMMYFUNCTION("""COMPUTED_VALUE"""),44029.9986111111)</f>
        <v>44029.998611111099</v>
      </c>
      <c r="AD890" s="6">
        <f ca="1">IFERROR(__xludf.DUMMYFUNCTION("""COMPUTED_VALUE"""),1202.33)</f>
        <v>1202.33</v>
      </c>
      <c r="AH890" s="6" t="str">
        <f t="shared" ca="1" si="246"/>
        <v>20205</v>
      </c>
      <c r="AI890" s="6">
        <f t="shared" ca="1" si="247"/>
        <v>2020</v>
      </c>
      <c r="AJ890" s="6">
        <f t="shared" ca="1" si="248"/>
        <v>5</v>
      </c>
      <c r="AK890" s="68">
        <f ca="1">IFERROR(__xludf.DUMMYFUNCTION("""COMPUTED_VALUE"""),43982.9986111111)</f>
        <v>43982.998611111099</v>
      </c>
      <c r="AL890" s="6">
        <f ca="1">IFERROR(__xludf.DUMMYFUNCTION("""COMPUTED_VALUE"""),9447.014)</f>
        <v>9447.0139999999992</v>
      </c>
      <c r="AP890" s="6" t="str">
        <f t="shared" ca="1" si="249"/>
        <v>20217</v>
      </c>
      <c r="AQ890" s="6">
        <f t="shared" ca="1" si="250"/>
        <v>2021</v>
      </c>
      <c r="AR890" s="6">
        <f t="shared" ca="1" si="251"/>
        <v>7</v>
      </c>
      <c r="AS890" s="68">
        <f ca="1">IFERROR(__xludf.DUMMYFUNCTION("""COMPUTED_VALUE"""),44398.9986111111)</f>
        <v>44398.998611111099</v>
      </c>
      <c r="AT890" s="6">
        <f ca="1">IFERROR(__xludf.DUMMYFUNCTION("""COMPUTED_VALUE"""),1803.4)</f>
        <v>1803.4</v>
      </c>
    </row>
    <row r="891" spans="2:46" x14ac:dyDescent="0.35">
      <c r="B891" s="6" t="str">
        <f t="shared" ca="1" si="234"/>
        <v>20217</v>
      </c>
      <c r="C891" s="6">
        <f t="shared" ca="1" si="235"/>
        <v>2021</v>
      </c>
      <c r="D891" s="6">
        <f t="shared" ca="1" si="236"/>
        <v>7</v>
      </c>
      <c r="E891" s="68">
        <f ca="1">IFERROR(__xludf.DUMMYFUNCTION("""COMPUTED_VALUE"""),44391.6666666666)</f>
        <v>44391.666666666599</v>
      </c>
      <c r="F891" s="6">
        <f ca="1">IFERROR(__xludf.DUMMYFUNCTION("""COMPUTED_VALUE"""),4374.3)</f>
        <v>4374.3</v>
      </c>
      <c r="J891" s="6" t="str">
        <f t="shared" ca="1" si="237"/>
        <v>20217</v>
      </c>
      <c r="K891" s="6">
        <f t="shared" ca="1" si="238"/>
        <v>2021</v>
      </c>
      <c r="L891" s="6">
        <f t="shared" ca="1" si="239"/>
        <v>7</v>
      </c>
      <c r="M891" s="68">
        <f ca="1">IFERROR(__xludf.DUMMYFUNCTION("""COMPUTED_VALUE"""),44384.6666666666)</f>
        <v>44384.666666666599</v>
      </c>
      <c r="N891" s="6">
        <f ca="1">IFERROR(__xludf.DUMMYFUNCTION("""COMPUTED_VALUE"""),14665.06)</f>
        <v>14665.06</v>
      </c>
      <c r="R891" s="6" t="str">
        <f t="shared" ca="1" si="240"/>
        <v>20218</v>
      </c>
      <c r="S891" s="6">
        <f t="shared" ca="1" si="241"/>
        <v>2021</v>
      </c>
      <c r="T891" s="6">
        <f t="shared" ca="1" si="242"/>
        <v>8</v>
      </c>
      <c r="U891" s="68">
        <f ca="1">IFERROR(__xludf.DUMMYFUNCTION("""COMPUTED_VALUE"""),44421.6458333333)</f>
        <v>44421.645833333299</v>
      </c>
      <c r="V891" s="6">
        <f ca="1">IFERROR(__xludf.DUMMYFUNCTION("""COMPUTED_VALUE"""),3171.29)</f>
        <v>3171.29</v>
      </c>
      <c r="Z891" s="6" t="str">
        <f t="shared" ca="1" si="243"/>
        <v>20207</v>
      </c>
      <c r="AA891" s="6">
        <f t="shared" ca="1" si="244"/>
        <v>2020</v>
      </c>
      <c r="AB891" s="6">
        <f t="shared" ca="1" si="245"/>
        <v>7</v>
      </c>
      <c r="AC891" s="68">
        <f ca="1">IFERROR(__xludf.DUMMYFUNCTION("""COMPUTED_VALUE"""),44030.9986111111)</f>
        <v>44030.998611111099</v>
      </c>
      <c r="AD891" s="6">
        <f ca="1">IFERROR(__xludf.DUMMYFUNCTION("""COMPUTED_VALUE"""),1202.33)</f>
        <v>1202.33</v>
      </c>
      <c r="AH891" s="6" t="str">
        <f t="shared" ca="1" si="246"/>
        <v>20206</v>
      </c>
      <c r="AI891" s="6">
        <f t="shared" ca="1" si="247"/>
        <v>2020</v>
      </c>
      <c r="AJ891" s="6">
        <f t="shared" ca="1" si="248"/>
        <v>6</v>
      </c>
      <c r="AK891" s="68">
        <f ca="1">IFERROR(__xludf.DUMMYFUNCTION("""COMPUTED_VALUE"""),43983.9986111111)</f>
        <v>43983.998611111099</v>
      </c>
      <c r="AL891" s="6">
        <f ca="1">IFERROR(__xludf.DUMMYFUNCTION("""COMPUTED_VALUE"""),10208.94)</f>
        <v>10208.94</v>
      </c>
      <c r="AP891" s="6" t="str">
        <f t="shared" ca="1" si="249"/>
        <v>20217</v>
      </c>
      <c r="AQ891" s="6">
        <f t="shared" ca="1" si="250"/>
        <v>2021</v>
      </c>
      <c r="AR891" s="6">
        <f t="shared" ca="1" si="251"/>
        <v>7</v>
      </c>
      <c r="AS891" s="68">
        <f ca="1">IFERROR(__xludf.DUMMYFUNCTION("""COMPUTED_VALUE"""),44399.9986111111)</f>
        <v>44399.998611111099</v>
      </c>
      <c r="AT891" s="6">
        <f ca="1">IFERROR(__xludf.DUMMYFUNCTION("""COMPUTED_VALUE"""),1809.2)</f>
        <v>1809.2</v>
      </c>
    </row>
    <row r="892" spans="2:46" x14ac:dyDescent="0.35">
      <c r="B892" s="6" t="str">
        <f t="shared" ca="1" si="234"/>
        <v>20217</v>
      </c>
      <c r="C892" s="6">
        <f t="shared" ca="1" si="235"/>
        <v>2021</v>
      </c>
      <c r="D892" s="6">
        <f t="shared" ca="1" si="236"/>
        <v>7</v>
      </c>
      <c r="E892" s="68">
        <f ca="1">IFERROR(__xludf.DUMMYFUNCTION("""COMPUTED_VALUE"""),44392.6666666666)</f>
        <v>44392.666666666599</v>
      </c>
      <c r="F892" s="6">
        <f ca="1">IFERROR(__xludf.DUMMYFUNCTION("""COMPUTED_VALUE"""),4360.03)</f>
        <v>4360.03</v>
      </c>
      <c r="J892" s="6" t="str">
        <f t="shared" ca="1" si="237"/>
        <v>20217</v>
      </c>
      <c r="K892" s="6">
        <f t="shared" ca="1" si="238"/>
        <v>2021</v>
      </c>
      <c r="L892" s="6">
        <f t="shared" ca="1" si="239"/>
        <v>7</v>
      </c>
      <c r="M892" s="68">
        <f ca="1">IFERROR(__xludf.DUMMYFUNCTION("""COMPUTED_VALUE"""),44385.6666666666)</f>
        <v>44385.666666666599</v>
      </c>
      <c r="N892" s="6">
        <f ca="1">IFERROR(__xludf.DUMMYFUNCTION("""COMPUTED_VALUE"""),14559.79)</f>
        <v>14559.79</v>
      </c>
      <c r="R892" s="6" t="str">
        <f t="shared" ca="1" si="240"/>
        <v>20218</v>
      </c>
      <c r="S892" s="6">
        <f t="shared" ca="1" si="241"/>
        <v>2021</v>
      </c>
      <c r="T892" s="6">
        <f t="shared" ca="1" si="242"/>
        <v>8</v>
      </c>
      <c r="U892" s="68">
        <f ca="1">IFERROR(__xludf.DUMMYFUNCTION("""COMPUTED_VALUE"""),44425.6458333333)</f>
        <v>44425.645833333299</v>
      </c>
      <c r="V892" s="6">
        <f ca="1">IFERROR(__xludf.DUMMYFUNCTION("""COMPUTED_VALUE"""),3143.09)</f>
        <v>3143.09</v>
      </c>
      <c r="Z892" s="6" t="str">
        <f t="shared" ca="1" si="243"/>
        <v>20207</v>
      </c>
      <c r="AA892" s="6">
        <f t="shared" ca="1" si="244"/>
        <v>2020</v>
      </c>
      <c r="AB892" s="6">
        <f t="shared" ca="1" si="245"/>
        <v>7</v>
      </c>
      <c r="AC892" s="68">
        <f ca="1">IFERROR(__xludf.DUMMYFUNCTION("""COMPUTED_VALUE"""),44031.9986111111)</f>
        <v>44031.998611111099</v>
      </c>
      <c r="AD892" s="6">
        <f ca="1">IFERROR(__xludf.DUMMYFUNCTION("""COMPUTED_VALUE"""),1202.53)</f>
        <v>1202.53</v>
      </c>
      <c r="AH892" s="6" t="str">
        <f t="shared" ca="1" si="246"/>
        <v>20206</v>
      </c>
      <c r="AI892" s="6">
        <f t="shared" ca="1" si="247"/>
        <v>2020</v>
      </c>
      <c r="AJ892" s="6">
        <f t="shared" ca="1" si="248"/>
        <v>6</v>
      </c>
      <c r="AK892" s="68">
        <f ca="1">IFERROR(__xludf.DUMMYFUNCTION("""COMPUTED_VALUE"""),43984.9986111111)</f>
        <v>43984.998611111099</v>
      </c>
      <c r="AL892" s="6">
        <f ca="1">IFERROR(__xludf.DUMMYFUNCTION("""COMPUTED_VALUE"""),9526.071)</f>
        <v>9526.0709999999999</v>
      </c>
      <c r="AP892" s="6" t="str">
        <f t="shared" ca="1" si="249"/>
        <v>20217</v>
      </c>
      <c r="AQ892" s="6">
        <f t="shared" ca="1" si="250"/>
        <v>2021</v>
      </c>
      <c r="AR892" s="6">
        <f t="shared" ca="1" si="251"/>
        <v>7</v>
      </c>
      <c r="AS892" s="68">
        <f ca="1">IFERROR(__xludf.DUMMYFUNCTION("""COMPUTED_VALUE"""),44400.9986111111)</f>
        <v>44400.998611111099</v>
      </c>
      <c r="AT892" s="6">
        <f ca="1">IFERROR(__xludf.DUMMYFUNCTION("""COMPUTED_VALUE"""),1805.9)</f>
        <v>1805.9</v>
      </c>
    </row>
    <row r="893" spans="2:46" x14ac:dyDescent="0.35">
      <c r="B893" s="6" t="str">
        <f t="shared" ca="1" si="234"/>
        <v>20217</v>
      </c>
      <c r="C893" s="6">
        <f t="shared" ca="1" si="235"/>
        <v>2021</v>
      </c>
      <c r="D893" s="6">
        <f t="shared" ca="1" si="236"/>
        <v>7</v>
      </c>
      <c r="E893" s="68">
        <f ca="1">IFERROR(__xludf.DUMMYFUNCTION("""COMPUTED_VALUE"""),44393.6666666666)</f>
        <v>44393.666666666599</v>
      </c>
      <c r="F893" s="6">
        <f ca="1">IFERROR(__xludf.DUMMYFUNCTION("""COMPUTED_VALUE"""),4327.16)</f>
        <v>4327.16</v>
      </c>
      <c r="J893" s="6" t="str">
        <f t="shared" ca="1" si="237"/>
        <v>20217</v>
      </c>
      <c r="K893" s="6">
        <f t="shared" ca="1" si="238"/>
        <v>2021</v>
      </c>
      <c r="L893" s="6">
        <f t="shared" ca="1" si="239"/>
        <v>7</v>
      </c>
      <c r="M893" s="68">
        <f ca="1">IFERROR(__xludf.DUMMYFUNCTION("""COMPUTED_VALUE"""),44386.6666666666)</f>
        <v>44386.666666666599</v>
      </c>
      <c r="N893" s="6">
        <f ca="1">IFERROR(__xludf.DUMMYFUNCTION("""COMPUTED_VALUE"""),14701.92)</f>
        <v>14701.92</v>
      </c>
      <c r="R893" s="6" t="str">
        <f t="shared" ca="1" si="240"/>
        <v>20218</v>
      </c>
      <c r="S893" s="6">
        <f t="shared" ca="1" si="241"/>
        <v>2021</v>
      </c>
      <c r="T893" s="6">
        <f t="shared" ca="1" si="242"/>
        <v>8</v>
      </c>
      <c r="U893" s="68">
        <f ca="1">IFERROR(__xludf.DUMMYFUNCTION("""COMPUTED_VALUE"""),44426.6458333333)</f>
        <v>44426.645833333299</v>
      </c>
      <c r="V893" s="6">
        <f ca="1">IFERROR(__xludf.DUMMYFUNCTION("""COMPUTED_VALUE"""),3158.93)</f>
        <v>3158.93</v>
      </c>
      <c r="Z893" s="6" t="str">
        <f t="shared" ca="1" si="243"/>
        <v>20207</v>
      </c>
      <c r="AA893" s="6">
        <f t="shared" ca="1" si="244"/>
        <v>2020</v>
      </c>
      <c r="AB893" s="6">
        <f t="shared" ca="1" si="245"/>
        <v>7</v>
      </c>
      <c r="AC893" s="68">
        <f ca="1">IFERROR(__xludf.DUMMYFUNCTION("""COMPUTED_VALUE"""),44032.9986111111)</f>
        <v>44032.998611111099</v>
      </c>
      <c r="AD893" s="6">
        <f ca="1">IFERROR(__xludf.DUMMYFUNCTION("""COMPUTED_VALUE"""),1200.03)</f>
        <v>1200.03</v>
      </c>
      <c r="AH893" s="6" t="str">
        <f t="shared" ca="1" si="246"/>
        <v>20206</v>
      </c>
      <c r="AI893" s="6">
        <f t="shared" ca="1" si="247"/>
        <v>2020</v>
      </c>
      <c r="AJ893" s="6">
        <f t="shared" ca="1" si="248"/>
        <v>6</v>
      </c>
      <c r="AK893" s="68">
        <f ca="1">IFERROR(__xludf.DUMMYFUNCTION("""COMPUTED_VALUE"""),43985.9986111111)</f>
        <v>43985.998611111099</v>
      </c>
      <c r="AL893" s="6">
        <f ca="1">IFERROR(__xludf.DUMMYFUNCTION("""COMPUTED_VALUE"""),9663.929)</f>
        <v>9663.9290000000001</v>
      </c>
      <c r="AP893" s="6" t="str">
        <f t="shared" ca="1" si="249"/>
        <v>20217</v>
      </c>
      <c r="AQ893" s="6">
        <f t="shared" ca="1" si="250"/>
        <v>2021</v>
      </c>
      <c r="AR893" s="6">
        <f t="shared" ca="1" si="251"/>
        <v>7</v>
      </c>
      <c r="AS893" s="68">
        <f ca="1">IFERROR(__xludf.DUMMYFUNCTION("""COMPUTED_VALUE"""),44403.9986111111)</f>
        <v>44403.998611111099</v>
      </c>
      <c r="AT893" s="6">
        <f ca="1">IFERROR(__xludf.DUMMYFUNCTION("""COMPUTED_VALUE"""),1803.4)</f>
        <v>1803.4</v>
      </c>
    </row>
    <row r="894" spans="2:46" x14ac:dyDescent="0.35">
      <c r="B894" s="6" t="str">
        <f t="shared" ca="1" si="234"/>
        <v>20217</v>
      </c>
      <c r="C894" s="6">
        <f t="shared" ca="1" si="235"/>
        <v>2021</v>
      </c>
      <c r="D894" s="6">
        <f t="shared" ca="1" si="236"/>
        <v>7</v>
      </c>
      <c r="E894" s="68">
        <f ca="1">IFERROR(__xludf.DUMMYFUNCTION("""COMPUTED_VALUE"""),44396.6666666666)</f>
        <v>44396.666666666599</v>
      </c>
      <c r="F894" s="6">
        <f ca="1">IFERROR(__xludf.DUMMYFUNCTION("""COMPUTED_VALUE"""),4258.49)</f>
        <v>4258.49</v>
      </c>
      <c r="J894" s="6" t="str">
        <f t="shared" ca="1" si="237"/>
        <v>20217</v>
      </c>
      <c r="K894" s="6">
        <f t="shared" ca="1" si="238"/>
        <v>2021</v>
      </c>
      <c r="L894" s="6">
        <f t="shared" ca="1" si="239"/>
        <v>7</v>
      </c>
      <c r="M894" s="68">
        <f ca="1">IFERROR(__xludf.DUMMYFUNCTION("""COMPUTED_VALUE"""),44389.6666666666)</f>
        <v>44389.666666666599</v>
      </c>
      <c r="N894" s="6">
        <f ca="1">IFERROR(__xludf.DUMMYFUNCTION("""COMPUTED_VALUE"""),14733.24)</f>
        <v>14733.24</v>
      </c>
      <c r="R894" s="6" t="str">
        <f t="shared" ca="1" si="240"/>
        <v>20218</v>
      </c>
      <c r="S894" s="6">
        <f t="shared" ca="1" si="241"/>
        <v>2021</v>
      </c>
      <c r="T894" s="6">
        <f t="shared" ca="1" si="242"/>
        <v>8</v>
      </c>
      <c r="U894" s="68">
        <f ca="1">IFERROR(__xludf.DUMMYFUNCTION("""COMPUTED_VALUE"""),44427.6458333333)</f>
        <v>44427.645833333299</v>
      </c>
      <c r="V894" s="6">
        <f ca="1">IFERROR(__xludf.DUMMYFUNCTION("""COMPUTED_VALUE"""),3097.83)</f>
        <v>3097.83</v>
      </c>
      <c r="Z894" s="6" t="str">
        <f t="shared" ca="1" si="243"/>
        <v>20207</v>
      </c>
      <c r="AA894" s="6">
        <f t="shared" ca="1" si="244"/>
        <v>2020</v>
      </c>
      <c r="AB894" s="6">
        <f t="shared" ca="1" si="245"/>
        <v>7</v>
      </c>
      <c r="AC894" s="68">
        <f ca="1">IFERROR(__xludf.DUMMYFUNCTION("""COMPUTED_VALUE"""),44033.9986111111)</f>
        <v>44033.998611111099</v>
      </c>
      <c r="AD894" s="6">
        <f ca="1">IFERROR(__xludf.DUMMYFUNCTION("""COMPUTED_VALUE"""),1192.74)</f>
        <v>1192.74</v>
      </c>
      <c r="AH894" s="6" t="str">
        <f t="shared" ca="1" si="246"/>
        <v>20206</v>
      </c>
      <c r="AI894" s="6">
        <f t="shared" ca="1" si="247"/>
        <v>2020</v>
      </c>
      <c r="AJ894" s="6">
        <f t="shared" ca="1" si="248"/>
        <v>6</v>
      </c>
      <c r="AK894" s="68">
        <f ca="1">IFERROR(__xludf.DUMMYFUNCTION("""COMPUTED_VALUE"""),43986.9986111111)</f>
        <v>43986.998611111099</v>
      </c>
      <c r="AL894" s="6">
        <f ca="1">IFERROR(__xludf.DUMMYFUNCTION("""COMPUTED_VALUE"""),9791.522)</f>
        <v>9791.5220000000008</v>
      </c>
      <c r="AP894" s="6" t="str">
        <f t="shared" ca="1" si="249"/>
        <v>20217</v>
      </c>
      <c r="AQ894" s="6">
        <f t="shared" ca="1" si="250"/>
        <v>2021</v>
      </c>
      <c r="AR894" s="6">
        <f t="shared" ca="1" si="251"/>
        <v>7</v>
      </c>
      <c r="AS894" s="68">
        <f ca="1">IFERROR(__xludf.DUMMYFUNCTION("""COMPUTED_VALUE"""),44404.9986111111)</f>
        <v>44404.998611111099</v>
      </c>
      <c r="AT894" s="6">
        <f ca="1">IFERROR(__xludf.DUMMYFUNCTION("""COMPUTED_VALUE"""),1804)</f>
        <v>1804</v>
      </c>
    </row>
    <row r="895" spans="2:46" x14ac:dyDescent="0.35">
      <c r="B895" s="6" t="str">
        <f t="shared" ca="1" si="234"/>
        <v>20217</v>
      </c>
      <c r="C895" s="6">
        <f t="shared" ca="1" si="235"/>
        <v>2021</v>
      </c>
      <c r="D895" s="6">
        <f t="shared" ca="1" si="236"/>
        <v>7</v>
      </c>
      <c r="E895" s="68">
        <f ca="1">IFERROR(__xludf.DUMMYFUNCTION("""COMPUTED_VALUE"""),44397.6666666666)</f>
        <v>44397.666666666599</v>
      </c>
      <c r="F895" s="6">
        <f ca="1">IFERROR(__xludf.DUMMYFUNCTION("""COMPUTED_VALUE"""),4323.06)</f>
        <v>4323.0600000000004</v>
      </c>
      <c r="J895" s="6" t="str">
        <f t="shared" ca="1" si="237"/>
        <v>20217</v>
      </c>
      <c r="K895" s="6">
        <f t="shared" ca="1" si="238"/>
        <v>2021</v>
      </c>
      <c r="L895" s="6">
        <f t="shared" ca="1" si="239"/>
        <v>7</v>
      </c>
      <c r="M895" s="68">
        <f ca="1">IFERROR(__xludf.DUMMYFUNCTION("""COMPUTED_VALUE"""),44390.6666666666)</f>
        <v>44390.666666666599</v>
      </c>
      <c r="N895" s="6">
        <f ca="1">IFERROR(__xludf.DUMMYFUNCTION("""COMPUTED_VALUE"""),14677.65)</f>
        <v>14677.65</v>
      </c>
      <c r="R895" s="6" t="str">
        <f t="shared" ca="1" si="240"/>
        <v>20218</v>
      </c>
      <c r="S895" s="6">
        <f t="shared" ca="1" si="241"/>
        <v>2021</v>
      </c>
      <c r="T895" s="6">
        <f t="shared" ca="1" si="242"/>
        <v>8</v>
      </c>
      <c r="U895" s="68">
        <f ca="1">IFERROR(__xludf.DUMMYFUNCTION("""COMPUTED_VALUE"""),44428.6458333333)</f>
        <v>44428.645833333299</v>
      </c>
      <c r="V895" s="6">
        <f ca="1">IFERROR(__xludf.DUMMYFUNCTION("""COMPUTED_VALUE"""),3060.51)</f>
        <v>3060.51</v>
      </c>
      <c r="Z895" s="6" t="str">
        <f t="shared" ca="1" si="243"/>
        <v>20207</v>
      </c>
      <c r="AA895" s="6">
        <f t="shared" ca="1" si="244"/>
        <v>2020</v>
      </c>
      <c r="AB895" s="6">
        <f t="shared" ca="1" si="245"/>
        <v>7</v>
      </c>
      <c r="AC895" s="68">
        <f ca="1">IFERROR(__xludf.DUMMYFUNCTION("""COMPUTED_VALUE"""),44034.9986111111)</f>
        <v>44034.998611111099</v>
      </c>
      <c r="AD895" s="6">
        <f ca="1">IFERROR(__xludf.DUMMYFUNCTION("""COMPUTED_VALUE"""),1197.23)</f>
        <v>1197.23</v>
      </c>
      <c r="AH895" s="6" t="str">
        <f t="shared" ca="1" si="246"/>
        <v>20206</v>
      </c>
      <c r="AI895" s="6">
        <f t="shared" ca="1" si="247"/>
        <v>2020</v>
      </c>
      <c r="AJ895" s="6">
        <f t="shared" ca="1" si="248"/>
        <v>6</v>
      </c>
      <c r="AK895" s="68">
        <f ca="1">IFERROR(__xludf.DUMMYFUNCTION("""COMPUTED_VALUE"""),43987.9986111111)</f>
        <v>43987.998611111099</v>
      </c>
      <c r="AL895" s="6">
        <f ca="1">IFERROR(__xludf.DUMMYFUNCTION("""COMPUTED_VALUE"""),9617.062)</f>
        <v>9617.0619999999999</v>
      </c>
      <c r="AP895" s="6" t="str">
        <f t="shared" ca="1" si="249"/>
        <v>20217</v>
      </c>
      <c r="AQ895" s="6">
        <f t="shared" ca="1" si="250"/>
        <v>2021</v>
      </c>
      <c r="AR895" s="6">
        <f t="shared" ca="1" si="251"/>
        <v>7</v>
      </c>
      <c r="AS895" s="68">
        <f ca="1">IFERROR(__xludf.DUMMYFUNCTION("""COMPUTED_VALUE"""),44405.9986111111)</f>
        <v>44405.998611111099</v>
      </c>
      <c r="AT895" s="6">
        <f ca="1">IFERROR(__xludf.DUMMYFUNCTION("""COMPUTED_VALUE"""),1804.6)</f>
        <v>1804.6</v>
      </c>
    </row>
    <row r="896" spans="2:46" x14ac:dyDescent="0.35">
      <c r="B896" s="6" t="str">
        <f t="shared" ca="1" si="234"/>
        <v>20217</v>
      </c>
      <c r="C896" s="6">
        <f t="shared" ca="1" si="235"/>
        <v>2021</v>
      </c>
      <c r="D896" s="6">
        <f t="shared" ca="1" si="236"/>
        <v>7</v>
      </c>
      <c r="E896" s="68">
        <f ca="1">IFERROR(__xludf.DUMMYFUNCTION("""COMPUTED_VALUE"""),44398.6666666666)</f>
        <v>44398.666666666599</v>
      </c>
      <c r="F896" s="6">
        <f ca="1">IFERROR(__xludf.DUMMYFUNCTION("""COMPUTED_VALUE"""),4358.69)</f>
        <v>4358.6899999999996</v>
      </c>
      <c r="J896" s="6" t="str">
        <f t="shared" ca="1" si="237"/>
        <v>20217</v>
      </c>
      <c r="K896" s="6">
        <f t="shared" ca="1" si="238"/>
        <v>2021</v>
      </c>
      <c r="L896" s="6">
        <f t="shared" ca="1" si="239"/>
        <v>7</v>
      </c>
      <c r="M896" s="68">
        <f ca="1">IFERROR(__xludf.DUMMYFUNCTION("""COMPUTED_VALUE"""),44391.6666666666)</f>
        <v>44391.666666666599</v>
      </c>
      <c r="N896" s="6">
        <f ca="1">IFERROR(__xludf.DUMMYFUNCTION("""COMPUTED_VALUE"""),14644.95)</f>
        <v>14644.95</v>
      </c>
      <c r="R896" s="6" t="str">
        <f t="shared" ca="1" si="240"/>
        <v>20218</v>
      </c>
      <c r="S896" s="6">
        <f t="shared" ca="1" si="241"/>
        <v>2021</v>
      </c>
      <c r="T896" s="6">
        <f t="shared" ca="1" si="242"/>
        <v>8</v>
      </c>
      <c r="U896" s="68">
        <f ca="1">IFERROR(__xludf.DUMMYFUNCTION("""COMPUTED_VALUE"""),44431.6458333333)</f>
        <v>44431.645833333299</v>
      </c>
      <c r="V896" s="6">
        <f ca="1">IFERROR(__xludf.DUMMYFUNCTION("""COMPUTED_VALUE"""),3090.21)</f>
        <v>3090.21</v>
      </c>
      <c r="Z896" s="6" t="str">
        <f t="shared" ca="1" si="243"/>
        <v>20207</v>
      </c>
      <c r="AA896" s="6">
        <f t="shared" ca="1" si="244"/>
        <v>2020</v>
      </c>
      <c r="AB896" s="6">
        <f t="shared" ca="1" si="245"/>
        <v>7</v>
      </c>
      <c r="AC896" s="68">
        <f ca="1">IFERROR(__xludf.DUMMYFUNCTION("""COMPUTED_VALUE"""),44035.9986111111)</f>
        <v>44035.998611111099</v>
      </c>
      <c r="AD896" s="6">
        <f ca="1">IFERROR(__xludf.DUMMYFUNCTION("""COMPUTED_VALUE"""),1200.94)</f>
        <v>1200.94</v>
      </c>
      <c r="AH896" s="6" t="str">
        <f t="shared" ca="1" si="246"/>
        <v>20206</v>
      </c>
      <c r="AI896" s="6">
        <f t="shared" ca="1" si="247"/>
        <v>2020</v>
      </c>
      <c r="AJ896" s="6">
        <f t="shared" ca="1" si="248"/>
        <v>6</v>
      </c>
      <c r="AK896" s="68">
        <f ca="1">IFERROR(__xludf.DUMMYFUNCTION("""COMPUTED_VALUE"""),43988.9986111111)</f>
        <v>43988.998611111099</v>
      </c>
      <c r="AL896" s="6">
        <f ca="1">IFERROR(__xludf.DUMMYFUNCTION("""COMPUTED_VALUE"""),9668.083)</f>
        <v>9668.0830000000005</v>
      </c>
      <c r="AP896" s="6" t="str">
        <f t="shared" ca="1" si="249"/>
        <v>20217</v>
      </c>
      <c r="AQ896" s="6">
        <f t="shared" ca="1" si="250"/>
        <v>2021</v>
      </c>
      <c r="AR896" s="6">
        <f t="shared" ca="1" si="251"/>
        <v>7</v>
      </c>
      <c r="AS896" s="68">
        <f ca="1">IFERROR(__xludf.DUMMYFUNCTION("""COMPUTED_VALUE"""),44406.9986111111)</f>
        <v>44406.998611111099</v>
      </c>
      <c r="AT896" s="6">
        <f ca="1">IFERROR(__xludf.DUMMYFUNCTION("""COMPUTED_VALUE"""),1835.8)</f>
        <v>1835.8</v>
      </c>
    </row>
    <row r="897" spans="2:46" x14ac:dyDescent="0.35">
      <c r="B897" s="6" t="str">
        <f t="shared" ca="1" si="234"/>
        <v>20217</v>
      </c>
      <c r="C897" s="6">
        <f t="shared" ca="1" si="235"/>
        <v>2021</v>
      </c>
      <c r="D897" s="6">
        <f t="shared" ca="1" si="236"/>
        <v>7</v>
      </c>
      <c r="E897" s="68">
        <f ca="1">IFERROR(__xludf.DUMMYFUNCTION("""COMPUTED_VALUE"""),44399.6666666666)</f>
        <v>44399.666666666599</v>
      </c>
      <c r="F897" s="6">
        <f ca="1">IFERROR(__xludf.DUMMYFUNCTION("""COMPUTED_VALUE"""),4367.48)</f>
        <v>4367.4799999999996</v>
      </c>
      <c r="J897" s="6" t="str">
        <f t="shared" ca="1" si="237"/>
        <v>20217</v>
      </c>
      <c r="K897" s="6">
        <f t="shared" ca="1" si="238"/>
        <v>2021</v>
      </c>
      <c r="L897" s="6">
        <f t="shared" ca="1" si="239"/>
        <v>7</v>
      </c>
      <c r="M897" s="68">
        <f ca="1">IFERROR(__xludf.DUMMYFUNCTION("""COMPUTED_VALUE"""),44392.6666666666)</f>
        <v>44392.666666666599</v>
      </c>
      <c r="N897" s="6">
        <f ca="1">IFERROR(__xludf.DUMMYFUNCTION("""COMPUTED_VALUE"""),14543.13)</f>
        <v>14543.13</v>
      </c>
      <c r="R897" s="6" t="str">
        <f t="shared" ca="1" si="240"/>
        <v>20218</v>
      </c>
      <c r="S897" s="6">
        <f t="shared" ca="1" si="241"/>
        <v>2021</v>
      </c>
      <c r="T897" s="6">
        <f t="shared" ca="1" si="242"/>
        <v>8</v>
      </c>
      <c r="U897" s="68">
        <f ca="1">IFERROR(__xludf.DUMMYFUNCTION("""COMPUTED_VALUE"""),44432.6458333333)</f>
        <v>44432.645833333299</v>
      </c>
      <c r="V897" s="6">
        <f ca="1">IFERROR(__xludf.DUMMYFUNCTION("""COMPUTED_VALUE"""),3138.3)</f>
        <v>3138.3</v>
      </c>
      <c r="Z897" s="6" t="str">
        <f t="shared" ca="1" si="243"/>
        <v>20207</v>
      </c>
      <c r="AA897" s="6">
        <f t="shared" ca="1" si="244"/>
        <v>2020</v>
      </c>
      <c r="AB897" s="6">
        <f t="shared" ca="1" si="245"/>
        <v>7</v>
      </c>
      <c r="AC897" s="68">
        <f ca="1">IFERROR(__xludf.DUMMYFUNCTION("""COMPUTED_VALUE"""),44036.9986111111)</f>
        <v>44036.998611111099</v>
      </c>
      <c r="AD897" s="6">
        <f ca="1">IFERROR(__xludf.DUMMYFUNCTION("""COMPUTED_VALUE"""),1201.5)</f>
        <v>1201.5</v>
      </c>
      <c r="AH897" s="6" t="str">
        <f t="shared" ca="1" si="246"/>
        <v>20206</v>
      </c>
      <c r="AI897" s="6">
        <f t="shared" ca="1" si="247"/>
        <v>2020</v>
      </c>
      <c r="AJ897" s="6">
        <f t="shared" ca="1" si="248"/>
        <v>6</v>
      </c>
      <c r="AK897" s="68">
        <f ca="1">IFERROR(__xludf.DUMMYFUNCTION("""COMPUTED_VALUE"""),43989.9986111111)</f>
        <v>43989.998611111099</v>
      </c>
      <c r="AL897" s="6">
        <f ca="1">IFERROR(__xludf.DUMMYFUNCTION("""COMPUTED_VALUE"""),9750.416)</f>
        <v>9750.4159999999993</v>
      </c>
      <c r="AP897" s="6" t="str">
        <f t="shared" ca="1" si="249"/>
        <v>20217</v>
      </c>
      <c r="AQ897" s="6">
        <f t="shared" ca="1" si="250"/>
        <v>2021</v>
      </c>
      <c r="AR897" s="6">
        <f t="shared" ca="1" si="251"/>
        <v>7</v>
      </c>
      <c r="AS897" s="68">
        <f ca="1">IFERROR(__xludf.DUMMYFUNCTION("""COMPUTED_VALUE"""),44407.9986111111)</f>
        <v>44407.998611111099</v>
      </c>
      <c r="AT897" s="6">
        <f ca="1">IFERROR(__xludf.DUMMYFUNCTION("""COMPUTED_VALUE"""),1817.2)</f>
        <v>1817.2</v>
      </c>
    </row>
    <row r="898" spans="2:46" x14ac:dyDescent="0.35">
      <c r="B898" s="6" t="str">
        <f t="shared" ca="1" si="234"/>
        <v>20217</v>
      </c>
      <c r="C898" s="6">
        <f t="shared" ca="1" si="235"/>
        <v>2021</v>
      </c>
      <c r="D898" s="6">
        <f t="shared" ca="1" si="236"/>
        <v>7</v>
      </c>
      <c r="E898" s="68">
        <f ca="1">IFERROR(__xludf.DUMMYFUNCTION("""COMPUTED_VALUE"""),44400.6666666666)</f>
        <v>44400.666666666599</v>
      </c>
      <c r="F898" s="6">
        <f ca="1">IFERROR(__xludf.DUMMYFUNCTION("""COMPUTED_VALUE"""),4411.79)</f>
        <v>4411.79</v>
      </c>
      <c r="J898" s="6" t="str">
        <f t="shared" ca="1" si="237"/>
        <v>20217</v>
      </c>
      <c r="K898" s="6">
        <f t="shared" ca="1" si="238"/>
        <v>2021</v>
      </c>
      <c r="L898" s="6">
        <f t="shared" ca="1" si="239"/>
        <v>7</v>
      </c>
      <c r="M898" s="68">
        <f ca="1">IFERROR(__xludf.DUMMYFUNCTION("""COMPUTED_VALUE"""),44393.6666666666)</f>
        <v>44393.666666666599</v>
      </c>
      <c r="N898" s="6">
        <f ca="1">IFERROR(__xludf.DUMMYFUNCTION("""COMPUTED_VALUE"""),14427.24)</f>
        <v>14427.24</v>
      </c>
      <c r="R898" s="6" t="str">
        <f t="shared" ca="1" si="240"/>
        <v>20218</v>
      </c>
      <c r="S898" s="6">
        <f t="shared" ca="1" si="241"/>
        <v>2021</v>
      </c>
      <c r="T898" s="6">
        <f t="shared" ca="1" si="242"/>
        <v>8</v>
      </c>
      <c r="U898" s="68">
        <f ca="1">IFERROR(__xludf.DUMMYFUNCTION("""COMPUTED_VALUE"""),44433.6458333333)</f>
        <v>44433.645833333299</v>
      </c>
      <c r="V898" s="6">
        <f ca="1">IFERROR(__xludf.DUMMYFUNCTION("""COMPUTED_VALUE"""),3146.81)</f>
        <v>3146.81</v>
      </c>
      <c r="Z898" s="6" t="str">
        <f t="shared" ca="1" si="243"/>
        <v>20207</v>
      </c>
      <c r="AA898" s="6">
        <f t="shared" ca="1" si="244"/>
        <v>2020</v>
      </c>
      <c r="AB898" s="6">
        <f t="shared" ca="1" si="245"/>
        <v>7</v>
      </c>
      <c r="AC898" s="68">
        <f ca="1">IFERROR(__xludf.DUMMYFUNCTION("""COMPUTED_VALUE"""),44037.9986111111)</f>
        <v>44037.998611111099</v>
      </c>
      <c r="AD898" s="6">
        <f ca="1">IFERROR(__xludf.DUMMYFUNCTION("""COMPUTED_VALUE"""),1201.5)</f>
        <v>1201.5</v>
      </c>
      <c r="AH898" s="6" t="str">
        <f t="shared" ca="1" si="246"/>
        <v>20206</v>
      </c>
      <c r="AI898" s="6">
        <f t="shared" ca="1" si="247"/>
        <v>2020</v>
      </c>
      <c r="AJ898" s="6">
        <f t="shared" ca="1" si="248"/>
        <v>6</v>
      </c>
      <c r="AK898" s="68">
        <f ca="1">IFERROR(__xludf.DUMMYFUNCTION("""COMPUTED_VALUE"""),43990.9986111111)</f>
        <v>43990.998611111099</v>
      </c>
      <c r="AL898" s="6">
        <f ca="1">IFERROR(__xludf.DUMMYFUNCTION("""COMPUTED_VALUE"""),9781.072)</f>
        <v>9781.0720000000001</v>
      </c>
      <c r="AP898" s="6" t="str">
        <f t="shared" ca="1" si="249"/>
        <v>20218</v>
      </c>
      <c r="AQ898" s="6">
        <f t="shared" ca="1" si="250"/>
        <v>2021</v>
      </c>
      <c r="AR898" s="6">
        <f t="shared" ca="1" si="251"/>
        <v>8</v>
      </c>
      <c r="AS898" s="68">
        <f ca="1">IFERROR(__xludf.DUMMYFUNCTION("""COMPUTED_VALUE"""),44410.9986111111)</f>
        <v>44410.998611111099</v>
      </c>
      <c r="AT898" s="6">
        <f ca="1">IFERROR(__xludf.DUMMYFUNCTION("""COMPUTED_VALUE"""),1822.2)</f>
        <v>1822.2</v>
      </c>
    </row>
    <row r="899" spans="2:46" x14ac:dyDescent="0.35">
      <c r="B899" s="6" t="str">
        <f t="shared" ca="1" si="234"/>
        <v>20217</v>
      </c>
      <c r="C899" s="6">
        <f t="shared" ca="1" si="235"/>
        <v>2021</v>
      </c>
      <c r="D899" s="6">
        <f t="shared" ca="1" si="236"/>
        <v>7</v>
      </c>
      <c r="E899" s="68">
        <f ca="1">IFERROR(__xludf.DUMMYFUNCTION("""COMPUTED_VALUE"""),44403.6666666666)</f>
        <v>44403.666666666599</v>
      </c>
      <c r="F899" s="6">
        <f ca="1">IFERROR(__xludf.DUMMYFUNCTION("""COMPUTED_VALUE"""),4422.3)</f>
        <v>4422.3</v>
      </c>
      <c r="J899" s="6" t="str">
        <f t="shared" ca="1" si="237"/>
        <v>20217</v>
      </c>
      <c r="K899" s="6">
        <f t="shared" ca="1" si="238"/>
        <v>2021</v>
      </c>
      <c r="L899" s="6">
        <f t="shared" ca="1" si="239"/>
        <v>7</v>
      </c>
      <c r="M899" s="68">
        <f ca="1">IFERROR(__xludf.DUMMYFUNCTION("""COMPUTED_VALUE"""),44396.6666666666)</f>
        <v>44396.666666666599</v>
      </c>
      <c r="N899" s="6">
        <f ca="1">IFERROR(__xludf.DUMMYFUNCTION("""COMPUTED_VALUE"""),14274.98)</f>
        <v>14274.98</v>
      </c>
      <c r="R899" s="6" t="str">
        <f t="shared" ca="1" si="240"/>
        <v>20218</v>
      </c>
      <c r="S899" s="6">
        <f t="shared" ca="1" si="241"/>
        <v>2021</v>
      </c>
      <c r="T899" s="6">
        <f t="shared" ca="1" si="242"/>
        <v>8</v>
      </c>
      <c r="U899" s="68">
        <f ca="1">IFERROR(__xludf.DUMMYFUNCTION("""COMPUTED_VALUE"""),44434.6458333333)</f>
        <v>44434.645833333299</v>
      </c>
      <c r="V899" s="6">
        <f ca="1">IFERROR(__xludf.DUMMYFUNCTION("""COMPUTED_VALUE"""),3128.53)</f>
        <v>3128.53</v>
      </c>
      <c r="Z899" s="6" t="str">
        <f t="shared" ca="1" si="243"/>
        <v>20207</v>
      </c>
      <c r="AA899" s="6">
        <f t="shared" ca="1" si="244"/>
        <v>2020</v>
      </c>
      <c r="AB899" s="6">
        <f t="shared" ca="1" si="245"/>
        <v>7</v>
      </c>
      <c r="AC899" s="68">
        <f ca="1">IFERROR(__xludf.DUMMYFUNCTION("""COMPUTED_VALUE"""),44038.9986111111)</f>
        <v>44038.998611111099</v>
      </c>
      <c r="AD899" s="6">
        <f ca="1">IFERROR(__xludf.DUMMYFUNCTION("""COMPUTED_VALUE"""),1200.49)</f>
        <v>1200.49</v>
      </c>
      <c r="AH899" s="6" t="str">
        <f t="shared" ca="1" si="246"/>
        <v>20206</v>
      </c>
      <c r="AI899" s="6">
        <f t="shared" ca="1" si="247"/>
        <v>2020</v>
      </c>
      <c r="AJ899" s="6">
        <f t="shared" ca="1" si="248"/>
        <v>6</v>
      </c>
      <c r="AK899" s="68">
        <f ca="1">IFERROR(__xludf.DUMMYFUNCTION("""COMPUTED_VALUE"""),43991.9986111111)</f>
        <v>43991.998611111099</v>
      </c>
      <c r="AL899" s="6">
        <f ca="1">IFERROR(__xludf.DUMMYFUNCTION("""COMPUTED_VALUE"""),9775.808)</f>
        <v>9775.8080000000009</v>
      </c>
      <c r="AP899" s="6" t="str">
        <f t="shared" ca="1" si="249"/>
        <v>20218</v>
      </c>
      <c r="AQ899" s="6">
        <f t="shared" ca="1" si="250"/>
        <v>2021</v>
      </c>
      <c r="AR899" s="6">
        <f t="shared" ca="1" si="251"/>
        <v>8</v>
      </c>
      <c r="AS899" s="68">
        <f ca="1">IFERROR(__xludf.DUMMYFUNCTION("""COMPUTED_VALUE"""),44411.9986111111)</f>
        <v>44411.998611111099</v>
      </c>
      <c r="AT899" s="6">
        <f ca="1">IFERROR(__xludf.DUMMYFUNCTION("""COMPUTED_VALUE"""),1814.1)</f>
        <v>1814.1</v>
      </c>
    </row>
    <row r="900" spans="2:46" x14ac:dyDescent="0.35">
      <c r="B900" s="6" t="str">
        <f t="shared" ca="1" si="234"/>
        <v>20217</v>
      </c>
      <c r="C900" s="6">
        <f t="shared" ca="1" si="235"/>
        <v>2021</v>
      </c>
      <c r="D900" s="6">
        <f t="shared" ca="1" si="236"/>
        <v>7</v>
      </c>
      <c r="E900" s="68">
        <f ca="1">IFERROR(__xludf.DUMMYFUNCTION("""COMPUTED_VALUE"""),44404.6666666666)</f>
        <v>44404.666666666599</v>
      </c>
      <c r="F900" s="6">
        <f ca="1">IFERROR(__xludf.DUMMYFUNCTION("""COMPUTED_VALUE"""),4401.46)</f>
        <v>4401.46</v>
      </c>
      <c r="J900" s="6" t="str">
        <f t="shared" ca="1" si="237"/>
        <v>20217</v>
      </c>
      <c r="K900" s="6">
        <f t="shared" ca="1" si="238"/>
        <v>2021</v>
      </c>
      <c r="L900" s="6">
        <f t="shared" ca="1" si="239"/>
        <v>7</v>
      </c>
      <c r="M900" s="68">
        <f ca="1">IFERROR(__xludf.DUMMYFUNCTION("""COMPUTED_VALUE"""),44397.6666666666)</f>
        <v>44397.666666666599</v>
      </c>
      <c r="N900" s="6">
        <f ca="1">IFERROR(__xludf.DUMMYFUNCTION("""COMPUTED_VALUE"""),14498.88)</f>
        <v>14498.88</v>
      </c>
      <c r="R900" s="6" t="str">
        <f t="shared" ca="1" si="240"/>
        <v>20218</v>
      </c>
      <c r="S900" s="6">
        <f t="shared" ca="1" si="241"/>
        <v>2021</v>
      </c>
      <c r="T900" s="6">
        <f t="shared" ca="1" si="242"/>
        <v>8</v>
      </c>
      <c r="U900" s="68">
        <f ca="1">IFERROR(__xludf.DUMMYFUNCTION("""COMPUTED_VALUE"""),44435.6458333333)</f>
        <v>44435.645833333299</v>
      </c>
      <c r="V900" s="6">
        <f ca="1">IFERROR(__xludf.DUMMYFUNCTION("""COMPUTED_VALUE"""),3133.9)</f>
        <v>3133.9</v>
      </c>
      <c r="Z900" s="6" t="str">
        <f t="shared" ca="1" si="243"/>
        <v>20207</v>
      </c>
      <c r="AA900" s="6">
        <f t="shared" ca="1" si="244"/>
        <v>2020</v>
      </c>
      <c r="AB900" s="6">
        <f t="shared" ca="1" si="245"/>
        <v>7</v>
      </c>
      <c r="AC900" s="68">
        <f ca="1">IFERROR(__xludf.DUMMYFUNCTION("""COMPUTED_VALUE"""),44039.9986111111)</f>
        <v>44039.998611111099</v>
      </c>
      <c r="AD900" s="6">
        <f ca="1">IFERROR(__xludf.DUMMYFUNCTION("""COMPUTED_VALUE"""),1195.92)</f>
        <v>1195.92</v>
      </c>
      <c r="AH900" s="6" t="str">
        <f t="shared" ca="1" si="246"/>
        <v>20206</v>
      </c>
      <c r="AI900" s="6">
        <f t="shared" ca="1" si="247"/>
        <v>2020</v>
      </c>
      <c r="AJ900" s="6">
        <f t="shared" ca="1" si="248"/>
        <v>6</v>
      </c>
      <c r="AK900" s="68">
        <f ca="1">IFERROR(__xludf.DUMMYFUNCTION("""COMPUTED_VALUE"""),43992.9986111111)</f>
        <v>43992.998611111099</v>
      </c>
      <c r="AL900" s="6">
        <f ca="1">IFERROR(__xludf.DUMMYFUNCTION("""COMPUTED_VALUE"""),9892.517)</f>
        <v>9892.5169999999998</v>
      </c>
      <c r="AP900" s="6" t="str">
        <f t="shared" ca="1" si="249"/>
        <v>20218</v>
      </c>
      <c r="AQ900" s="6">
        <f t="shared" ca="1" si="250"/>
        <v>2021</v>
      </c>
      <c r="AR900" s="6">
        <f t="shared" ca="1" si="251"/>
        <v>8</v>
      </c>
      <c r="AS900" s="68">
        <f ca="1">IFERROR(__xludf.DUMMYFUNCTION("""COMPUTED_VALUE"""),44412.9986111111)</f>
        <v>44412.998611111099</v>
      </c>
      <c r="AT900" s="6">
        <f ca="1">IFERROR(__xludf.DUMMYFUNCTION("""COMPUTED_VALUE"""),1814.5)</f>
        <v>1814.5</v>
      </c>
    </row>
    <row r="901" spans="2:46" x14ac:dyDescent="0.35">
      <c r="B901" s="6" t="str">
        <f t="shared" ca="1" si="234"/>
        <v>20217</v>
      </c>
      <c r="C901" s="6">
        <f t="shared" ca="1" si="235"/>
        <v>2021</v>
      </c>
      <c r="D901" s="6">
        <f t="shared" ca="1" si="236"/>
        <v>7</v>
      </c>
      <c r="E901" s="68">
        <f ca="1">IFERROR(__xludf.DUMMYFUNCTION("""COMPUTED_VALUE"""),44405.6666666666)</f>
        <v>44405.666666666599</v>
      </c>
      <c r="F901" s="6">
        <f ca="1">IFERROR(__xludf.DUMMYFUNCTION("""COMPUTED_VALUE"""),4400.64)</f>
        <v>4400.6400000000003</v>
      </c>
      <c r="J901" s="6" t="str">
        <f t="shared" ca="1" si="237"/>
        <v>20217</v>
      </c>
      <c r="K901" s="6">
        <f t="shared" ca="1" si="238"/>
        <v>2021</v>
      </c>
      <c r="L901" s="6">
        <f t="shared" ca="1" si="239"/>
        <v>7</v>
      </c>
      <c r="M901" s="68">
        <f ca="1">IFERROR(__xludf.DUMMYFUNCTION("""COMPUTED_VALUE"""),44398.6666666666)</f>
        <v>44398.666666666599</v>
      </c>
      <c r="N901" s="6">
        <f ca="1">IFERROR(__xludf.DUMMYFUNCTION("""COMPUTED_VALUE"""),14631.95)</f>
        <v>14631.95</v>
      </c>
      <c r="R901" s="6" t="str">
        <f t="shared" ca="1" si="240"/>
        <v>20218</v>
      </c>
      <c r="S901" s="6">
        <f t="shared" ca="1" si="241"/>
        <v>2021</v>
      </c>
      <c r="T901" s="6">
        <f t="shared" ca="1" si="242"/>
        <v>8</v>
      </c>
      <c r="U901" s="68">
        <f ca="1">IFERROR(__xludf.DUMMYFUNCTION("""COMPUTED_VALUE"""),44438.6458333333)</f>
        <v>44438.645833333299</v>
      </c>
      <c r="V901" s="6">
        <f ca="1">IFERROR(__xludf.DUMMYFUNCTION("""COMPUTED_VALUE"""),3144.19)</f>
        <v>3144.19</v>
      </c>
      <c r="Z901" s="6" t="str">
        <f t="shared" ca="1" si="243"/>
        <v>20207</v>
      </c>
      <c r="AA901" s="6">
        <f t="shared" ca="1" si="244"/>
        <v>2020</v>
      </c>
      <c r="AB901" s="6">
        <f t="shared" ca="1" si="245"/>
        <v>7</v>
      </c>
      <c r="AC901" s="68">
        <f ca="1">IFERROR(__xludf.DUMMYFUNCTION("""COMPUTED_VALUE"""),44040.9986111111)</f>
        <v>44040.998611111099</v>
      </c>
      <c r="AD901" s="6">
        <f ca="1">IFERROR(__xludf.DUMMYFUNCTION("""COMPUTED_VALUE"""),1199.37)</f>
        <v>1199.3699999999999</v>
      </c>
      <c r="AH901" s="6" t="str">
        <f t="shared" ca="1" si="246"/>
        <v>20206</v>
      </c>
      <c r="AI901" s="6">
        <f t="shared" ca="1" si="247"/>
        <v>2020</v>
      </c>
      <c r="AJ901" s="6">
        <f t="shared" ca="1" si="248"/>
        <v>6</v>
      </c>
      <c r="AK901" s="68">
        <f ca="1">IFERROR(__xludf.DUMMYFUNCTION("""COMPUTED_VALUE"""),43993.9986111111)</f>
        <v>43993.998611111099</v>
      </c>
      <c r="AL901" s="6">
        <f ca="1">IFERROR(__xludf.DUMMYFUNCTION("""COMPUTED_VALUE"""),9268.878)</f>
        <v>9268.8780000000006</v>
      </c>
      <c r="AP901" s="6" t="str">
        <f t="shared" ca="1" si="249"/>
        <v>20218</v>
      </c>
      <c r="AQ901" s="6">
        <f t="shared" ca="1" si="250"/>
        <v>2021</v>
      </c>
      <c r="AR901" s="6">
        <f t="shared" ca="1" si="251"/>
        <v>8</v>
      </c>
      <c r="AS901" s="68">
        <f ca="1">IFERROR(__xludf.DUMMYFUNCTION("""COMPUTED_VALUE"""),44413.9986111111)</f>
        <v>44413.998611111099</v>
      </c>
      <c r="AT901" s="6">
        <f ca="1">IFERROR(__xludf.DUMMYFUNCTION("""COMPUTED_VALUE"""),1808.9)</f>
        <v>1808.9</v>
      </c>
    </row>
    <row r="902" spans="2:46" x14ac:dyDescent="0.35">
      <c r="B902" s="6" t="str">
        <f t="shared" ca="1" si="234"/>
        <v>20217</v>
      </c>
      <c r="C902" s="6">
        <f t="shared" ca="1" si="235"/>
        <v>2021</v>
      </c>
      <c r="D902" s="6">
        <f t="shared" ca="1" si="236"/>
        <v>7</v>
      </c>
      <c r="E902" s="68">
        <f ca="1">IFERROR(__xludf.DUMMYFUNCTION("""COMPUTED_VALUE"""),44406.6666666666)</f>
        <v>44406.666666666599</v>
      </c>
      <c r="F902" s="6">
        <f ca="1">IFERROR(__xludf.DUMMYFUNCTION("""COMPUTED_VALUE"""),4419.15)</f>
        <v>4419.1499999999996</v>
      </c>
      <c r="J902" s="6" t="str">
        <f t="shared" ca="1" si="237"/>
        <v>20217</v>
      </c>
      <c r="K902" s="6">
        <f t="shared" ca="1" si="238"/>
        <v>2021</v>
      </c>
      <c r="L902" s="6">
        <f t="shared" ca="1" si="239"/>
        <v>7</v>
      </c>
      <c r="M902" s="68">
        <f ca="1">IFERROR(__xludf.DUMMYFUNCTION("""COMPUTED_VALUE"""),44399.6666666666)</f>
        <v>44399.666666666599</v>
      </c>
      <c r="N902" s="6">
        <f ca="1">IFERROR(__xludf.DUMMYFUNCTION("""COMPUTED_VALUE"""),14684.6)</f>
        <v>14684.6</v>
      </c>
      <c r="R902" s="6" t="str">
        <f t="shared" ca="1" si="240"/>
        <v>20218</v>
      </c>
      <c r="S902" s="6">
        <f t="shared" ca="1" si="241"/>
        <v>2021</v>
      </c>
      <c r="T902" s="6">
        <f t="shared" ca="1" si="242"/>
        <v>8</v>
      </c>
      <c r="U902" s="68">
        <f ca="1">IFERROR(__xludf.DUMMYFUNCTION("""COMPUTED_VALUE"""),44439.6458333333)</f>
        <v>44439.645833333299</v>
      </c>
      <c r="V902" s="6">
        <f ca="1">IFERROR(__xludf.DUMMYFUNCTION("""COMPUTED_VALUE"""),3199.27)</f>
        <v>3199.27</v>
      </c>
      <c r="Z902" s="6" t="str">
        <f t="shared" ca="1" si="243"/>
        <v>20207</v>
      </c>
      <c r="AA902" s="6">
        <f t="shared" ca="1" si="244"/>
        <v>2020</v>
      </c>
      <c r="AB902" s="6">
        <f t="shared" ca="1" si="245"/>
        <v>7</v>
      </c>
      <c r="AC902" s="68">
        <f ca="1">IFERROR(__xludf.DUMMYFUNCTION("""COMPUTED_VALUE"""),44041.9986111111)</f>
        <v>44041.998611111099</v>
      </c>
      <c r="AD902" s="6">
        <f ca="1">IFERROR(__xludf.DUMMYFUNCTION("""COMPUTED_VALUE"""),1190.73)</f>
        <v>1190.73</v>
      </c>
      <c r="AH902" s="6" t="str">
        <f t="shared" ca="1" si="246"/>
        <v>20206</v>
      </c>
      <c r="AI902" s="6">
        <f t="shared" ca="1" si="247"/>
        <v>2020</v>
      </c>
      <c r="AJ902" s="6">
        <f t="shared" ca="1" si="248"/>
        <v>6</v>
      </c>
      <c r="AK902" s="68">
        <f ca="1">IFERROR(__xludf.DUMMYFUNCTION("""COMPUTED_VALUE"""),43994.9986111111)</f>
        <v>43994.998611111099</v>
      </c>
      <c r="AL902" s="6">
        <f ca="1">IFERROR(__xludf.DUMMYFUNCTION("""COMPUTED_VALUE"""),9463.174)</f>
        <v>9463.1740000000009</v>
      </c>
      <c r="AP902" s="6" t="str">
        <f t="shared" ca="1" si="249"/>
        <v>20218</v>
      </c>
      <c r="AQ902" s="6">
        <f t="shared" ca="1" si="250"/>
        <v>2021</v>
      </c>
      <c r="AR902" s="6">
        <f t="shared" ca="1" si="251"/>
        <v>8</v>
      </c>
      <c r="AS902" s="68">
        <f ca="1">IFERROR(__xludf.DUMMYFUNCTION("""COMPUTED_VALUE"""),44414.9986111111)</f>
        <v>44414.998611111099</v>
      </c>
      <c r="AT902" s="6">
        <f ca="1">IFERROR(__xludf.DUMMYFUNCTION("""COMPUTED_VALUE"""),1763.1)</f>
        <v>1763.1</v>
      </c>
    </row>
    <row r="903" spans="2:46" x14ac:dyDescent="0.35">
      <c r="B903" s="6" t="str">
        <f t="shared" ref="B903:B966" ca="1" si="252">C903&amp;D903</f>
        <v>20217</v>
      </c>
      <c r="C903" s="6">
        <f t="shared" ref="C903:C966" ca="1" si="253">YEAR(E903)</f>
        <v>2021</v>
      </c>
      <c r="D903" s="6">
        <f t="shared" ref="D903:D966" ca="1" si="254">MONTH(E903)</f>
        <v>7</v>
      </c>
      <c r="E903" s="68">
        <f ca="1">IFERROR(__xludf.DUMMYFUNCTION("""COMPUTED_VALUE"""),44407.6666666666)</f>
        <v>44407.666666666599</v>
      </c>
      <c r="F903" s="6">
        <f ca="1">IFERROR(__xludf.DUMMYFUNCTION("""COMPUTED_VALUE"""),4395.26)</f>
        <v>4395.26</v>
      </c>
      <c r="J903" s="6" t="str">
        <f t="shared" ref="J903:J966" ca="1" si="255">K903&amp;L903</f>
        <v>20217</v>
      </c>
      <c r="K903" s="6">
        <f t="shared" ref="K903:K966" ca="1" si="256">YEAR(M903)</f>
        <v>2021</v>
      </c>
      <c r="L903" s="6">
        <f t="shared" ref="L903:L966" ca="1" si="257">MONTH(M903)</f>
        <v>7</v>
      </c>
      <c r="M903" s="68">
        <f ca="1">IFERROR(__xludf.DUMMYFUNCTION("""COMPUTED_VALUE"""),44400.6666666666)</f>
        <v>44400.666666666599</v>
      </c>
      <c r="N903" s="6">
        <f ca="1">IFERROR(__xludf.DUMMYFUNCTION("""COMPUTED_VALUE"""),14836.99)</f>
        <v>14836.99</v>
      </c>
      <c r="R903" s="6" t="str">
        <f t="shared" ref="R903:R966" ca="1" si="258">S903&amp;T903</f>
        <v>20219</v>
      </c>
      <c r="S903" s="6">
        <f t="shared" ref="S903:S966" ca="1" si="259">YEAR(U903)</f>
        <v>2021</v>
      </c>
      <c r="T903" s="6">
        <f t="shared" ref="T903:T966" ca="1" si="260">MONTH(U903)</f>
        <v>9</v>
      </c>
      <c r="U903" s="68">
        <f ca="1">IFERROR(__xludf.DUMMYFUNCTION("""COMPUTED_VALUE"""),44440.6458333333)</f>
        <v>44440.645833333299</v>
      </c>
      <c r="V903" s="6">
        <f ca="1">IFERROR(__xludf.DUMMYFUNCTION("""COMPUTED_VALUE"""),3207.02)</f>
        <v>3207.02</v>
      </c>
      <c r="Z903" s="6" t="str">
        <f t="shared" ref="Z903:Z966" ca="1" si="261">AA903&amp;AB903</f>
        <v>20207</v>
      </c>
      <c r="AA903" s="6">
        <f t="shared" ref="AA903:AA966" ca="1" si="262">YEAR(AC903)</f>
        <v>2020</v>
      </c>
      <c r="AB903" s="6">
        <f t="shared" ref="AB903:AB966" ca="1" si="263">MONTH(AC903)</f>
        <v>7</v>
      </c>
      <c r="AC903" s="68">
        <f ca="1">IFERROR(__xludf.DUMMYFUNCTION("""COMPUTED_VALUE"""),44042.9986111111)</f>
        <v>44042.998611111099</v>
      </c>
      <c r="AD903" s="6">
        <f ca="1">IFERROR(__xludf.DUMMYFUNCTION("""COMPUTED_VALUE"""),1189.56)</f>
        <v>1189.56</v>
      </c>
      <c r="AH903" s="6" t="str">
        <f t="shared" ref="AH903:AH966" ca="1" si="264">AI903&amp;AJ903</f>
        <v>20206</v>
      </c>
      <c r="AI903" s="6">
        <f t="shared" ref="AI903:AI966" ca="1" si="265">YEAR(AK903)</f>
        <v>2020</v>
      </c>
      <c r="AJ903" s="6">
        <f t="shared" ref="AJ903:AJ966" ca="1" si="266">MONTH(AK903)</f>
        <v>6</v>
      </c>
      <c r="AK903" s="68">
        <f ca="1">IFERROR(__xludf.DUMMYFUNCTION("""COMPUTED_VALUE"""),43995.9986111111)</f>
        <v>43995.998611111099</v>
      </c>
      <c r="AL903" s="6">
        <f ca="1">IFERROR(__xludf.DUMMYFUNCTION("""COMPUTED_VALUE"""),9475.087)</f>
        <v>9475.0869999999995</v>
      </c>
      <c r="AP903" s="6" t="str">
        <f t="shared" ref="AP903:AP966" ca="1" si="267">AQ903&amp;AR903</f>
        <v>20218</v>
      </c>
      <c r="AQ903" s="6">
        <f t="shared" ref="AQ903:AQ966" ca="1" si="268">YEAR(AS903)</f>
        <v>2021</v>
      </c>
      <c r="AR903" s="6">
        <f t="shared" ref="AR903:AR966" ca="1" si="269">MONTH(AS903)</f>
        <v>8</v>
      </c>
      <c r="AS903" s="68">
        <f ca="1">IFERROR(__xludf.DUMMYFUNCTION("""COMPUTED_VALUE"""),44417.9986111111)</f>
        <v>44417.998611111099</v>
      </c>
      <c r="AT903" s="6">
        <f ca="1">IFERROR(__xludf.DUMMYFUNCTION("""COMPUTED_VALUE"""),1726.5)</f>
        <v>1726.5</v>
      </c>
    </row>
    <row r="904" spans="2:46" x14ac:dyDescent="0.35">
      <c r="B904" s="6" t="str">
        <f t="shared" ca="1" si="252"/>
        <v>20218</v>
      </c>
      <c r="C904" s="6">
        <f t="shared" ca="1" si="253"/>
        <v>2021</v>
      </c>
      <c r="D904" s="6">
        <f t="shared" ca="1" si="254"/>
        <v>8</v>
      </c>
      <c r="E904" s="68">
        <f ca="1">IFERROR(__xludf.DUMMYFUNCTION("""COMPUTED_VALUE"""),44410.6666666666)</f>
        <v>44410.666666666599</v>
      </c>
      <c r="F904" s="6">
        <f ca="1">IFERROR(__xludf.DUMMYFUNCTION("""COMPUTED_VALUE"""),4387.16)</f>
        <v>4387.16</v>
      </c>
      <c r="J904" s="6" t="str">
        <f t="shared" ca="1" si="255"/>
        <v>20217</v>
      </c>
      <c r="K904" s="6">
        <f t="shared" ca="1" si="256"/>
        <v>2021</v>
      </c>
      <c r="L904" s="6">
        <f t="shared" ca="1" si="257"/>
        <v>7</v>
      </c>
      <c r="M904" s="68">
        <f ca="1">IFERROR(__xludf.DUMMYFUNCTION("""COMPUTED_VALUE"""),44403.6666666666)</f>
        <v>44403.666666666599</v>
      </c>
      <c r="N904" s="6">
        <f ca="1">IFERROR(__xludf.DUMMYFUNCTION("""COMPUTED_VALUE"""),14840.71)</f>
        <v>14840.71</v>
      </c>
      <c r="R904" s="6" t="str">
        <f t="shared" ca="1" si="258"/>
        <v>20219</v>
      </c>
      <c r="S904" s="6">
        <f t="shared" ca="1" si="259"/>
        <v>2021</v>
      </c>
      <c r="T904" s="6">
        <f t="shared" ca="1" si="260"/>
        <v>9</v>
      </c>
      <c r="U904" s="68">
        <f ca="1">IFERROR(__xludf.DUMMYFUNCTION("""COMPUTED_VALUE"""),44441.6458333333)</f>
        <v>44441.645833333299</v>
      </c>
      <c r="V904" s="6">
        <f ca="1">IFERROR(__xludf.DUMMYFUNCTION("""COMPUTED_VALUE"""),3175.85)</f>
        <v>3175.85</v>
      </c>
      <c r="Z904" s="6" t="str">
        <f t="shared" ca="1" si="261"/>
        <v>20207</v>
      </c>
      <c r="AA904" s="6">
        <f t="shared" ca="1" si="262"/>
        <v>2020</v>
      </c>
      <c r="AB904" s="6">
        <f t="shared" ca="1" si="263"/>
        <v>7</v>
      </c>
      <c r="AC904" s="68">
        <f ca="1">IFERROR(__xludf.DUMMYFUNCTION("""COMPUTED_VALUE"""),44043.9986111111)</f>
        <v>44043.998611111099</v>
      </c>
      <c r="AD904" s="6">
        <f ca="1">IFERROR(__xludf.DUMMYFUNCTION("""COMPUTED_VALUE"""),1192.47)</f>
        <v>1192.47</v>
      </c>
      <c r="AH904" s="6" t="str">
        <f t="shared" ca="1" si="264"/>
        <v>20206</v>
      </c>
      <c r="AI904" s="6">
        <f t="shared" ca="1" si="265"/>
        <v>2020</v>
      </c>
      <c r="AJ904" s="6">
        <f t="shared" ca="1" si="266"/>
        <v>6</v>
      </c>
      <c r="AK904" s="68">
        <f ca="1">IFERROR(__xludf.DUMMYFUNCTION("""COMPUTED_VALUE"""),43996.9986111111)</f>
        <v>43996.998611111099</v>
      </c>
      <c r="AL904" s="6">
        <f ca="1">IFERROR(__xludf.DUMMYFUNCTION("""COMPUTED_VALUE"""),9332.431)</f>
        <v>9332.4310000000005</v>
      </c>
      <c r="AP904" s="6" t="str">
        <f t="shared" ca="1" si="267"/>
        <v>20218</v>
      </c>
      <c r="AQ904" s="6">
        <f t="shared" ca="1" si="268"/>
        <v>2021</v>
      </c>
      <c r="AR904" s="6">
        <f t="shared" ca="1" si="269"/>
        <v>8</v>
      </c>
      <c r="AS904" s="68">
        <f ca="1">IFERROR(__xludf.DUMMYFUNCTION("""COMPUTED_VALUE"""),44418.9986111111)</f>
        <v>44418.998611111099</v>
      </c>
      <c r="AT904" s="6">
        <f ca="1">IFERROR(__xludf.DUMMYFUNCTION("""COMPUTED_VALUE"""),1731.7)</f>
        <v>1731.7</v>
      </c>
    </row>
    <row r="905" spans="2:46" x14ac:dyDescent="0.35">
      <c r="B905" s="6" t="str">
        <f t="shared" ca="1" si="252"/>
        <v>20218</v>
      </c>
      <c r="C905" s="6">
        <f t="shared" ca="1" si="253"/>
        <v>2021</v>
      </c>
      <c r="D905" s="6">
        <f t="shared" ca="1" si="254"/>
        <v>8</v>
      </c>
      <c r="E905" s="68">
        <f ca="1">IFERROR(__xludf.DUMMYFUNCTION("""COMPUTED_VALUE"""),44411.6666666666)</f>
        <v>44411.666666666599</v>
      </c>
      <c r="F905" s="6">
        <f ca="1">IFERROR(__xludf.DUMMYFUNCTION("""COMPUTED_VALUE"""),4423.15)</f>
        <v>4423.1499999999996</v>
      </c>
      <c r="J905" s="6" t="str">
        <f t="shared" ca="1" si="255"/>
        <v>20217</v>
      </c>
      <c r="K905" s="6">
        <f t="shared" ca="1" si="256"/>
        <v>2021</v>
      </c>
      <c r="L905" s="6">
        <f t="shared" ca="1" si="257"/>
        <v>7</v>
      </c>
      <c r="M905" s="68">
        <f ca="1">IFERROR(__xludf.DUMMYFUNCTION("""COMPUTED_VALUE"""),44404.6666666666)</f>
        <v>44404.666666666599</v>
      </c>
      <c r="N905" s="6">
        <f ca="1">IFERROR(__xludf.DUMMYFUNCTION("""COMPUTED_VALUE"""),14660.58)</f>
        <v>14660.58</v>
      </c>
      <c r="R905" s="6" t="str">
        <f t="shared" ca="1" si="258"/>
        <v>20219</v>
      </c>
      <c r="S905" s="6">
        <f t="shared" ca="1" si="259"/>
        <v>2021</v>
      </c>
      <c r="T905" s="6">
        <f t="shared" ca="1" si="260"/>
        <v>9</v>
      </c>
      <c r="U905" s="68">
        <f ca="1">IFERROR(__xludf.DUMMYFUNCTION("""COMPUTED_VALUE"""),44442.6458333333)</f>
        <v>44442.645833333299</v>
      </c>
      <c r="V905" s="6">
        <f ca="1">IFERROR(__xludf.DUMMYFUNCTION("""COMPUTED_VALUE"""),3201.06)</f>
        <v>3201.06</v>
      </c>
      <c r="Z905" s="6" t="str">
        <f t="shared" ca="1" si="261"/>
        <v>20208</v>
      </c>
      <c r="AA905" s="6">
        <f t="shared" ca="1" si="262"/>
        <v>2020</v>
      </c>
      <c r="AB905" s="6">
        <f t="shared" ca="1" si="263"/>
        <v>8</v>
      </c>
      <c r="AC905" s="68">
        <f ca="1">IFERROR(__xludf.DUMMYFUNCTION("""COMPUTED_VALUE"""),44044.9986111111)</f>
        <v>44044.998611111099</v>
      </c>
      <c r="AD905" s="6">
        <f ca="1">IFERROR(__xludf.DUMMYFUNCTION("""COMPUTED_VALUE"""),1192.47)</f>
        <v>1192.47</v>
      </c>
      <c r="AH905" s="6" t="str">
        <f t="shared" ca="1" si="264"/>
        <v>20206</v>
      </c>
      <c r="AI905" s="6">
        <f t="shared" ca="1" si="265"/>
        <v>2020</v>
      </c>
      <c r="AJ905" s="6">
        <f t="shared" ca="1" si="266"/>
        <v>6</v>
      </c>
      <c r="AK905" s="68">
        <f ca="1">IFERROR(__xludf.DUMMYFUNCTION("""COMPUTED_VALUE"""),43997.9986111111)</f>
        <v>43997.998611111099</v>
      </c>
      <c r="AL905" s="6">
        <f ca="1">IFERROR(__xludf.DUMMYFUNCTION("""COMPUTED_VALUE"""),9426.189)</f>
        <v>9426.1890000000003</v>
      </c>
      <c r="AP905" s="6" t="str">
        <f t="shared" ca="1" si="267"/>
        <v>20218</v>
      </c>
      <c r="AQ905" s="6">
        <f t="shared" ca="1" si="268"/>
        <v>2021</v>
      </c>
      <c r="AR905" s="6">
        <f t="shared" ca="1" si="269"/>
        <v>8</v>
      </c>
      <c r="AS905" s="68">
        <f ca="1">IFERROR(__xludf.DUMMYFUNCTION("""COMPUTED_VALUE"""),44419.9986111111)</f>
        <v>44419.998611111099</v>
      </c>
      <c r="AT905" s="6">
        <f ca="1">IFERROR(__xludf.DUMMYFUNCTION("""COMPUTED_VALUE"""),1753.3)</f>
        <v>1753.3</v>
      </c>
    </row>
    <row r="906" spans="2:46" x14ac:dyDescent="0.35">
      <c r="B906" s="6" t="str">
        <f t="shared" ca="1" si="252"/>
        <v>20218</v>
      </c>
      <c r="C906" s="6">
        <f t="shared" ca="1" si="253"/>
        <v>2021</v>
      </c>
      <c r="D906" s="6">
        <f t="shared" ca="1" si="254"/>
        <v>8</v>
      </c>
      <c r="E906" s="68">
        <f ca="1">IFERROR(__xludf.DUMMYFUNCTION("""COMPUTED_VALUE"""),44412.6666666666)</f>
        <v>44412.666666666599</v>
      </c>
      <c r="F906" s="6">
        <f ca="1">IFERROR(__xludf.DUMMYFUNCTION("""COMPUTED_VALUE"""),4402.66)</f>
        <v>4402.66</v>
      </c>
      <c r="J906" s="6" t="str">
        <f t="shared" ca="1" si="255"/>
        <v>20217</v>
      </c>
      <c r="K906" s="6">
        <f t="shared" ca="1" si="256"/>
        <v>2021</v>
      </c>
      <c r="L906" s="6">
        <f t="shared" ca="1" si="257"/>
        <v>7</v>
      </c>
      <c r="M906" s="68">
        <f ca="1">IFERROR(__xludf.DUMMYFUNCTION("""COMPUTED_VALUE"""),44405.6666666666)</f>
        <v>44405.666666666599</v>
      </c>
      <c r="N906" s="6">
        <f ca="1">IFERROR(__xludf.DUMMYFUNCTION("""COMPUTED_VALUE"""),14762.58)</f>
        <v>14762.58</v>
      </c>
      <c r="R906" s="6" t="str">
        <f t="shared" ca="1" si="258"/>
        <v>20219</v>
      </c>
      <c r="S906" s="6">
        <f t="shared" ca="1" si="259"/>
        <v>2021</v>
      </c>
      <c r="T906" s="6">
        <f t="shared" ca="1" si="260"/>
        <v>9</v>
      </c>
      <c r="U906" s="68">
        <f ca="1">IFERROR(__xludf.DUMMYFUNCTION("""COMPUTED_VALUE"""),44445.6458333333)</f>
        <v>44445.645833333299</v>
      </c>
      <c r="V906" s="6">
        <f ca="1">IFERROR(__xludf.DUMMYFUNCTION("""COMPUTED_VALUE"""),3203.33)</f>
        <v>3203.33</v>
      </c>
      <c r="Z906" s="6" t="str">
        <f t="shared" ca="1" si="261"/>
        <v>20208</v>
      </c>
      <c r="AA906" s="6">
        <f t="shared" ca="1" si="262"/>
        <v>2020</v>
      </c>
      <c r="AB906" s="6">
        <f t="shared" ca="1" si="263"/>
        <v>8</v>
      </c>
      <c r="AC906" s="68">
        <f ca="1">IFERROR(__xludf.DUMMYFUNCTION("""COMPUTED_VALUE"""),44045.9986111111)</f>
        <v>44045.998611111099</v>
      </c>
      <c r="AD906" s="6">
        <f ca="1">IFERROR(__xludf.DUMMYFUNCTION("""COMPUTED_VALUE"""),1193.39)</f>
        <v>1193.3900000000001</v>
      </c>
      <c r="AH906" s="6" t="str">
        <f t="shared" ca="1" si="264"/>
        <v>20206</v>
      </c>
      <c r="AI906" s="6">
        <f t="shared" ca="1" si="265"/>
        <v>2020</v>
      </c>
      <c r="AJ906" s="6">
        <f t="shared" ca="1" si="266"/>
        <v>6</v>
      </c>
      <c r="AK906" s="68">
        <f ca="1">IFERROR(__xludf.DUMMYFUNCTION("""COMPUTED_VALUE"""),43998.9986111111)</f>
        <v>43998.998611111099</v>
      </c>
      <c r="AL906" s="6">
        <f ca="1">IFERROR(__xludf.DUMMYFUNCTION("""COMPUTED_VALUE"""),9526.845)</f>
        <v>9526.8449999999993</v>
      </c>
      <c r="AP906" s="6" t="str">
        <f t="shared" ca="1" si="267"/>
        <v>20218</v>
      </c>
      <c r="AQ906" s="6">
        <f t="shared" ca="1" si="268"/>
        <v>2021</v>
      </c>
      <c r="AR906" s="6">
        <f t="shared" ca="1" si="269"/>
        <v>8</v>
      </c>
      <c r="AS906" s="68">
        <f ca="1">IFERROR(__xludf.DUMMYFUNCTION("""COMPUTED_VALUE"""),44420.9986111111)</f>
        <v>44420.998611111099</v>
      </c>
      <c r="AT906" s="6">
        <f ca="1">IFERROR(__xludf.DUMMYFUNCTION("""COMPUTED_VALUE"""),1751.8)</f>
        <v>1751.8</v>
      </c>
    </row>
    <row r="907" spans="2:46" x14ac:dyDescent="0.35">
      <c r="B907" s="6" t="str">
        <f t="shared" ca="1" si="252"/>
        <v>20218</v>
      </c>
      <c r="C907" s="6">
        <f t="shared" ca="1" si="253"/>
        <v>2021</v>
      </c>
      <c r="D907" s="6">
        <f t="shared" ca="1" si="254"/>
        <v>8</v>
      </c>
      <c r="E907" s="68">
        <f ca="1">IFERROR(__xludf.DUMMYFUNCTION("""COMPUTED_VALUE"""),44413.6666666666)</f>
        <v>44413.666666666599</v>
      </c>
      <c r="F907" s="6">
        <f ca="1">IFERROR(__xludf.DUMMYFUNCTION("""COMPUTED_VALUE"""),4429.1)</f>
        <v>4429.1000000000004</v>
      </c>
      <c r="J907" s="6" t="str">
        <f t="shared" ca="1" si="255"/>
        <v>20217</v>
      </c>
      <c r="K907" s="6">
        <f t="shared" ca="1" si="256"/>
        <v>2021</v>
      </c>
      <c r="L907" s="6">
        <f t="shared" ca="1" si="257"/>
        <v>7</v>
      </c>
      <c r="M907" s="68">
        <f ca="1">IFERROR(__xludf.DUMMYFUNCTION("""COMPUTED_VALUE"""),44406.6666666666)</f>
        <v>44406.666666666599</v>
      </c>
      <c r="N907" s="6">
        <f ca="1">IFERROR(__xludf.DUMMYFUNCTION("""COMPUTED_VALUE"""),14778.26)</f>
        <v>14778.26</v>
      </c>
      <c r="R907" s="6" t="str">
        <f t="shared" ca="1" si="258"/>
        <v>20219</v>
      </c>
      <c r="S907" s="6">
        <f t="shared" ca="1" si="259"/>
        <v>2021</v>
      </c>
      <c r="T907" s="6">
        <f t="shared" ca="1" si="260"/>
        <v>9</v>
      </c>
      <c r="U907" s="68">
        <f ca="1">IFERROR(__xludf.DUMMYFUNCTION("""COMPUTED_VALUE"""),44446.6458333333)</f>
        <v>44446.645833333299</v>
      </c>
      <c r="V907" s="6">
        <f ca="1">IFERROR(__xludf.DUMMYFUNCTION("""COMPUTED_VALUE"""),3187.42)</f>
        <v>3187.42</v>
      </c>
      <c r="Z907" s="6" t="str">
        <f t="shared" ca="1" si="261"/>
        <v>20208</v>
      </c>
      <c r="AA907" s="6">
        <f t="shared" ca="1" si="262"/>
        <v>2020</v>
      </c>
      <c r="AB907" s="6">
        <f t="shared" ca="1" si="263"/>
        <v>8</v>
      </c>
      <c r="AC907" s="68">
        <f ca="1">IFERROR(__xludf.DUMMYFUNCTION("""COMPUTED_VALUE"""),44046.9986111111)</f>
        <v>44046.998611111099</v>
      </c>
      <c r="AD907" s="6">
        <f ca="1">IFERROR(__xludf.DUMMYFUNCTION("""COMPUTED_VALUE"""),1191.76)</f>
        <v>1191.76</v>
      </c>
      <c r="AH907" s="6" t="str">
        <f t="shared" ca="1" si="264"/>
        <v>20206</v>
      </c>
      <c r="AI907" s="6">
        <f t="shared" ca="1" si="265"/>
        <v>2020</v>
      </c>
      <c r="AJ907" s="6">
        <f t="shared" ca="1" si="266"/>
        <v>6</v>
      </c>
      <c r="AK907" s="68">
        <f ca="1">IFERROR(__xludf.DUMMYFUNCTION("""COMPUTED_VALUE"""),43999.9986111111)</f>
        <v>43999.998611111099</v>
      </c>
      <c r="AL907" s="6">
        <f ca="1">IFERROR(__xludf.DUMMYFUNCTION("""COMPUTED_VALUE"""),9457.544)</f>
        <v>9457.5439999999999</v>
      </c>
      <c r="AP907" s="6" t="str">
        <f t="shared" ca="1" si="267"/>
        <v>20218</v>
      </c>
      <c r="AQ907" s="6">
        <f t="shared" ca="1" si="268"/>
        <v>2021</v>
      </c>
      <c r="AR907" s="6">
        <f t="shared" ca="1" si="269"/>
        <v>8</v>
      </c>
      <c r="AS907" s="68">
        <f ca="1">IFERROR(__xludf.DUMMYFUNCTION("""COMPUTED_VALUE"""),44421.9986111111)</f>
        <v>44421.998611111099</v>
      </c>
      <c r="AT907" s="6">
        <f ca="1">IFERROR(__xludf.DUMMYFUNCTION("""COMPUTED_VALUE"""),1778.2)</f>
        <v>1778.2</v>
      </c>
    </row>
    <row r="908" spans="2:46" x14ac:dyDescent="0.35">
      <c r="B908" s="6" t="str">
        <f t="shared" ca="1" si="252"/>
        <v>20218</v>
      </c>
      <c r="C908" s="6">
        <f t="shared" ca="1" si="253"/>
        <v>2021</v>
      </c>
      <c r="D908" s="6">
        <f t="shared" ca="1" si="254"/>
        <v>8</v>
      </c>
      <c r="E908" s="68">
        <f ca="1">IFERROR(__xludf.DUMMYFUNCTION("""COMPUTED_VALUE"""),44414.6666666666)</f>
        <v>44414.666666666599</v>
      </c>
      <c r="F908" s="6">
        <f ca="1">IFERROR(__xludf.DUMMYFUNCTION("""COMPUTED_VALUE"""),4436.52)</f>
        <v>4436.5200000000004</v>
      </c>
      <c r="J908" s="6" t="str">
        <f t="shared" ca="1" si="255"/>
        <v>20217</v>
      </c>
      <c r="K908" s="6">
        <f t="shared" ca="1" si="256"/>
        <v>2021</v>
      </c>
      <c r="L908" s="6">
        <f t="shared" ca="1" si="257"/>
        <v>7</v>
      </c>
      <c r="M908" s="68">
        <f ca="1">IFERROR(__xludf.DUMMYFUNCTION("""COMPUTED_VALUE"""),44407.6666666666)</f>
        <v>44407.666666666599</v>
      </c>
      <c r="N908" s="6">
        <f ca="1">IFERROR(__xludf.DUMMYFUNCTION("""COMPUTED_VALUE"""),14672.68)</f>
        <v>14672.68</v>
      </c>
      <c r="R908" s="6" t="str">
        <f t="shared" ca="1" si="258"/>
        <v>20219</v>
      </c>
      <c r="S908" s="6">
        <f t="shared" ca="1" si="259"/>
        <v>2021</v>
      </c>
      <c r="T908" s="6">
        <f t="shared" ca="1" si="260"/>
        <v>9</v>
      </c>
      <c r="U908" s="68">
        <f ca="1">IFERROR(__xludf.DUMMYFUNCTION("""COMPUTED_VALUE"""),44447.6458333333)</f>
        <v>44447.645833333299</v>
      </c>
      <c r="V908" s="6">
        <f ca="1">IFERROR(__xludf.DUMMYFUNCTION("""COMPUTED_VALUE"""),3162.99)</f>
        <v>3162.99</v>
      </c>
      <c r="Z908" s="6" t="str">
        <f t="shared" ca="1" si="261"/>
        <v>20208</v>
      </c>
      <c r="AA908" s="6">
        <f t="shared" ca="1" si="262"/>
        <v>2020</v>
      </c>
      <c r="AB908" s="6">
        <f t="shared" ca="1" si="263"/>
        <v>8</v>
      </c>
      <c r="AC908" s="68">
        <f ca="1">IFERROR(__xludf.DUMMYFUNCTION("""COMPUTED_VALUE"""),44047.9986111111)</f>
        <v>44047.998611111099</v>
      </c>
      <c r="AD908" s="6">
        <f ca="1">IFERROR(__xludf.DUMMYFUNCTION("""COMPUTED_VALUE"""),1192.25)</f>
        <v>1192.25</v>
      </c>
      <c r="AH908" s="6" t="str">
        <f t="shared" ca="1" si="264"/>
        <v>20206</v>
      </c>
      <c r="AI908" s="6">
        <f t="shared" ca="1" si="265"/>
        <v>2020</v>
      </c>
      <c r="AJ908" s="6">
        <f t="shared" ca="1" si="266"/>
        <v>6</v>
      </c>
      <c r="AK908" s="68">
        <f ca="1">IFERROR(__xludf.DUMMYFUNCTION("""COMPUTED_VALUE"""),44000.9986111111)</f>
        <v>44000.998611111099</v>
      </c>
      <c r="AL908" s="6">
        <f ca="1">IFERROR(__xludf.DUMMYFUNCTION("""COMPUTED_VALUE"""),9380.774)</f>
        <v>9380.7739999999994</v>
      </c>
      <c r="AP908" s="6" t="str">
        <f t="shared" ca="1" si="267"/>
        <v>20218</v>
      </c>
      <c r="AQ908" s="6">
        <f t="shared" ca="1" si="268"/>
        <v>2021</v>
      </c>
      <c r="AR908" s="6">
        <f t="shared" ca="1" si="269"/>
        <v>8</v>
      </c>
      <c r="AS908" s="68">
        <f ca="1">IFERROR(__xludf.DUMMYFUNCTION("""COMPUTED_VALUE"""),44424.9986111111)</f>
        <v>44424.998611111099</v>
      </c>
      <c r="AT908" s="6">
        <f ca="1">IFERROR(__xludf.DUMMYFUNCTION("""COMPUTED_VALUE"""),1789.8)</f>
        <v>1789.8</v>
      </c>
    </row>
    <row r="909" spans="2:46" x14ac:dyDescent="0.35">
      <c r="B909" s="6" t="str">
        <f t="shared" ca="1" si="252"/>
        <v>20218</v>
      </c>
      <c r="C909" s="6">
        <f t="shared" ca="1" si="253"/>
        <v>2021</v>
      </c>
      <c r="D909" s="6">
        <f t="shared" ca="1" si="254"/>
        <v>8</v>
      </c>
      <c r="E909" s="68">
        <f ca="1">IFERROR(__xludf.DUMMYFUNCTION("""COMPUTED_VALUE"""),44417.6666666666)</f>
        <v>44417.666666666599</v>
      </c>
      <c r="F909" s="6">
        <f ca="1">IFERROR(__xludf.DUMMYFUNCTION("""COMPUTED_VALUE"""),4432.35)</f>
        <v>4432.3500000000004</v>
      </c>
      <c r="J909" s="6" t="str">
        <f t="shared" ca="1" si="255"/>
        <v>20218</v>
      </c>
      <c r="K909" s="6">
        <f t="shared" ca="1" si="256"/>
        <v>2021</v>
      </c>
      <c r="L909" s="6">
        <f t="shared" ca="1" si="257"/>
        <v>8</v>
      </c>
      <c r="M909" s="68">
        <f ca="1">IFERROR(__xludf.DUMMYFUNCTION("""COMPUTED_VALUE"""),44410.6666666666)</f>
        <v>44410.666666666599</v>
      </c>
      <c r="N909" s="6">
        <f ca="1">IFERROR(__xludf.DUMMYFUNCTION("""COMPUTED_VALUE"""),14681.07)</f>
        <v>14681.07</v>
      </c>
      <c r="R909" s="6" t="str">
        <f t="shared" ca="1" si="258"/>
        <v>20219</v>
      </c>
      <c r="S909" s="6">
        <f t="shared" ca="1" si="259"/>
        <v>2021</v>
      </c>
      <c r="T909" s="6">
        <f t="shared" ca="1" si="260"/>
        <v>9</v>
      </c>
      <c r="U909" s="68">
        <f ca="1">IFERROR(__xludf.DUMMYFUNCTION("""COMPUTED_VALUE"""),44448.6458333333)</f>
        <v>44448.645833333299</v>
      </c>
      <c r="V909" s="6">
        <f ca="1">IFERROR(__xludf.DUMMYFUNCTION("""COMPUTED_VALUE"""),3114.7)</f>
        <v>3114.7</v>
      </c>
      <c r="Z909" s="6" t="str">
        <f t="shared" ca="1" si="261"/>
        <v>20208</v>
      </c>
      <c r="AA909" s="6">
        <f t="shared" ca="1" si="262"/>
        <v>2020</v>
      </c>
      <c r="AB909" s="6">
        <f t="shared" ca="1" si="263"/>
        <v>8</v>
      </c>
      <c r="AC909" s="68">
        <f ca="1">IFERROR(__xludf.DUMMYFUNCTION("""COMPUTED_VALUE"""),44048.9986111111)</f>
        <v>44048.998611111099</v>
      </c>
      <c r="AD909" s="6">
        <f ca="1">IFERROR(__xludf.DUMMYFUNCTION("""COMPUTED_VALUE"""),1185.18)</f>
        <v>1185.18</v>
      </c>
      <c r="AH909" s="6" t="str">
        <f t="shared" ca="1" si="264"/>
        <v>20206</v>
      </c>
      <c r="AI909" s="6">
        <f t="shared" ca="1" si="265"/>
        <v>2020</v>
      </c>
      <c r="AJ909" s="6">
        <f t="shared" ca="1" si="266"/>
        <v>6</v>
      </c>
      <c r="AK909" s="68">
        <f ca="1">IFERROR(__xludf.DUMMYFUNCTION("""COMPUTED_VALUE"""),44001.9986111111)</f>
        <v>44001.998611111099</v>
      </c>
      <c r="AL909" s="6">
        <f ca="1">IFERROR(__xludf.DUMMYFUNCTION("""COMPUTED_VALUE"""),9301.495)</f>
        <v>9301.4950000000008</v>
      </c>
      <c r="AP909" s="6" t="str">
        <f t="shared" ca="1" si="267"/>
        <v>20218</v>
      </c>
      <c r="AQ909" s="6">
        <f t="shared" ca="1" si="268"/>
        <v>2021</v>
      </c>
      <c r="AR909" s="6">
        <f t="shared" ca="1" si="269"/>
        <v>8</v>
      </c>
      <c r="AS909" s="68">
        <f ca="1">IFERROR(__xludf.DUMMYFUNCTION("""COMPUTED_VALUE"""),44425.9986111111)</f>
        <v>44425.998611111099</v>
      </c>
      <c r="AT909" s="6">
        <f ca="1">IFERROR(__xludf.DUMMYFUNCTION("""COMPUTED_VALUE"""),1787.8)</f>
        <v>1787.8</v>
      </c>
    </row>
    <row r="910" spans="2:46" x14ac:dyDescent="0.35">
      <c r="B910" s="6" t="str">
        <f t="shared" ca="1" si="252"/>
        <v>20218</v>
      </c>
      <c r="C910" s="6">
        <f t="shared" ca="1" si="253"/>
        <v>2021</v>
      </c>
      <c r="D910" s="6">
        <f t="shared" ca="1" si="254"/>
        <v>8</v>
      </c>
      <c r="E910" s="68">
        <f ca="1">IFERROR(__xludf.DUMMYFUNCTION("""COMPUTED_VALUE"""),44418.6666666666)</f>
        <v>44418.666666666599</v>
      </c>
      <c r="F910" s="6">
        <f ca="1">IFERROR(__xludf.DUMMYFUNCTION("""COMPUTED_VALUE"""),4436.75)</f>
        <v>4436.75</v>
      </c>
      <c r="J910" s="6" t="str">
        <f t="shared" ca="1" si="255"/>
        <v>20218</v>
      </c>
      <c r="K910" s="6">
        <f t="shared" ca="1" si="256"/>
        <v>2021</v>
      </c>
      <c r="L910" s="6">
        <f t="shared" ca="1" si="257"/>
        <v>8</v>
      </c>
      <c r="M910" s="68">
        <f ca="1">IFERROR(__xludf.DUMMYFUNCTION("""COMPUTED_VALUE"""),44411.6666666666)</f>
        <v>44411.666666666599</v>
      </c>
      <c r="N910" s="6">
        <f ca="1">IFERROR(__xludf.DUMMYFUNCTION("""COMPUTED_VALUE"""),14761.3)</f>
        <v>14761.3</v>
      </c>
      <c r="R910" s="6" t="str">
        <f t="shared" ca="1" si="258"/>
        <v>20219</v>
      </c>
      <c r="S910" s="6">
        <f t="shared" ca="1" si="259"/>
        <v>2021</v>
      </c>
      <c r="T910" s="6">
        <f t="shared" ca="1" si="260"/>
        <v>9</v>
      </c>
      <c r="U910" s="68">
        <f ca="1">IFERROR(__xludf.DUMMYFUNCTION("""COMPUTED_VALUE"""),44449.6458333333)</f>
        <v>44449.645833333299</v>
      </c>
      <c r="V910" s="6">
        <f ca="1">IFERROR(__xludf.DUMMYFUNCTION("""COMPUTED_VALUE"""),3125.76)</f>
        <v>3125.76</v>
      </c>
      <c r="Z910" s="6" t="str">
        <f t="shared" ca="1" si="261"/>
        <v>20208</v>
      </c>
      <c r="AA910" s="6">
        <f t="shared" ca="1" si="262"/>
        <v>2020</v>
      </c>
      <c r="AB910" s="6">
        <f t="shared" ca="1" si="263"/>
        <v>8</v>
      </c>
      <c r="AC910" s="68">
        <f ca="1">IFERROR(__xludf.DUMMYFUNCTION("""COMPUTED_VALUE"""),44049.9986111111)</f>
        <v>44049.998611111099</v>
      </c>
      <c r="AD910" s="6">
        <f ca="1">IFERROR(__xludf.DUMMYFUNCTION("""COMPUTED_VALUE"""),1183.17)</f>
        <v>1183.17</v>
      </c>
      <c r="AH910" s="6" t="str">
        <f t="shared" ca="1" si="264"/>
        <v>20206</v>
      </c>
      <c r="AI910" s="6">
        <f t="shared" ca="1" si="265"/>
        <v>2020</v>
      </c>
      <c r="AJ910" s="6">
        <f t="shared" ca="1" si="266"/>
        <v>6</v>
      </c>
      <c r="AK910" s="68">
        <f ca="1">IFERROR(__xludf.DUMMYFUNCTION("""COMPUTED_VALUE"""),44002.9986111111)</f>
        <v>44002.998611111099</v>
      </c>
      <c r="AL910" s="6">
        <f ca="1">IFERROR(__xludf.DUMMYFUNCTION("""COMPUTED_VALUE"""),9358.458)</f>
        <v>9358.4580000000005</v>
      </c>
      <c r="AP910" s="6" t="str">
        <f t="shared" ca="1" si="267"/>
        <v>20218</v>
      </c>
      <c r="AQ910" s="6">
        <f t="shared" ca="1" si="268"/>
        <v>2021</v>
      </c>
      <c r="AR910" s="6">
        <f t="shared" ca="1" si="269"/>
        <v>8</v>
      </c>
      <c r="AS910" s="68">
        <f ca="1">IFERROR(__xludf.DUMMYFUNCTION("""COMPUTED_VALUE"""),44426.9986111111)</f>
        <v>44426.998611111099</v>
      </c>
      <c r="AT910" s="6">
        <f ca="1">IFERROR(__xludf.DUMMYFUNCTION("""COMPUTED_VALUE"""),1784.4)</f>
        <v>1784.4</v>
      </c>
    </row>
    <row r="911" spans="2:46" x14ac:dyDescent="0.35">
      <c r="B911" s="6" t="str">
        <f t="shared" ca="1" si="252"/>
        <v>20218</v>
      </c>
      <c r="C911" s="6">
        <f t="shared" ca="1" si="253"/>
        <v>2021</v>
      </c>
      <c r="D911" s="6">
        <f t="shared" ca="1" si="254"/>
        <v>8</v>
      </c>
      <c r="E911" s="68">
        <f ca="1">IFERROR(__xludf.DUMMYFUNCTION("""COMPUTED_VALUE"""),44419.6666666666)</f>
        <v>44419.666666666599</v>
      </c>
      <c r="F911" s="6">
        <f ca="1">IFERROR(__xludf.DUMMYFUNCTION("""COMPUTED_VALUE"""),4447.7)</f>
        <v>4447.7</v>
      </c>
      <c r="J911" s="6" t="str">
        <f t="shared" ca="1" si="255"/>
        <v>20218</v>
      </c>
      <c r="K911" s="6">
        <f t="shared" ca="1" si="256"/>
        <v>2021</v>
      </c>
      <c r="L911" s="6">
        <f t="shared" ca="1" si="257"/>
        <v>8</v>
      </c>
      <c r="M911" s="68">
        <f ca="1">IFERROR(__xludf.DUMMYFUNCTION("""COMPUTED_VALUE"""),44412.6666666666)</f>
        <v>44412.666666666599</v>
      </c>
      <c r="N911" s="6">
        <f ca="1">IFERROR(__xludf.DUMMYFUNCTION("""COMPUTED_VALUE"""),14780.53)</f>
        <v>14780.53</v>
      </c>
      <c r="R911" s="6" t="str">
        <f t="shared" ca="1" si="258"/>
        <v>20219</v>
      </c>
      <c r="S911" s="6">
        <f t="shared" ca="1" si="259"/>
        <v>2021</v>
      </c>
      <c r="T911" s="6">
        <f t="shared" ca="1" si="260"/>
        <v>9</v>
      </c>
      <c r="U911" s="68">
        <f ca="1">IFERROR(__xludf.DUMMYFUNCTION("""COMPUTED_VALUE"""),44452.6458333333)</f>
        <v>44452.645833333299</v>
      </c>
      <c r="V911" s="6">
        <f ca="1">IFERROR(__xludf.DUMMYFUNCTION("""COMPUTED_VALUE"""),3127.86)</f>
        <v>3127.86</v>
      </c>
      <c r="Z911" s="6" t="str">
        <f t="shared" ca="1" si="261"/>
        <v>20208</v>
      </c>
      <c r="AA911" s="6">
        <f t="shared" ca="1" si="262"/>
        <v>2020</v>
      </c>
      <c r="AB911" s="6">
        <f t="shared" ca="1" si="263"/>
        <v>8</v>
      </c>
      <c r="AC911" s="68">
        <f ca="1">IFERROR(__xludf.DUMMYFUNCTION("""COMPUTED_VALUE"""),44050.9986111111)</f>
        <v>44050.998611111099</v>
      </c>
      <c r="AD911" s="6">
        <f ca="1">IFERROR(__xludf.DUMMYFUNCTION("""COMPUTED_VALUE"""),1188.26)</f>
        <v>1188.26</v>
      </c>
      <c r="AH911" s="6" t="str">
        <f t="shared" ca="1" si="264"/>
        <v>20206</v>
      </c>
      <c r="AI911" s="6">
        <f t="shared" ca="1" si="265"/>
        <v>2020</v>
      </c>
      <c r="AJ911" s="6">
        <f t="shared" ca="1" si="266"/>
        <v>6</v>
      </c>
      <c r="AK911" s="68">
        <f ca="1">IFERROR(__xludf.DUMMYFUNCTION("""COMPUTED_VALUE"""),44003.9986111111)</f>
        <v>44003.998611111099</v>
      </c>
      <c r="AL911" s="6">
        <f ca="1">IFERROR(__xludf.DUMMYFUNCTION("""COMPUTED_VALUE"""),9287.954)</f>
        <v>9287.9539999999997</v>
      </c>
      <c r="AP911" s="6" t="str">
        <f t="shared" ca="1" si="267"/>
        <v>20218</v>
      </c>
      <c r="AQ911" s="6">
        <f t="shared" ca="1" si="268"/>
        <v>2021</v>
      </c>
      <c r="AR911" s="6">
        <f t="shared" ca="1" si="269"/>
        <v>8</v>
      </c>
      <c r="AS911" s="68">
        <f ca="1">IFERROR(__xludf.DUMMYFUNCTION("""COMPUTED_VALUE"""),44427.9986111111)</f>
        <v>44427.998611111099</v>
      </c>
      <c r="AT911" s="6">
        <f ca="1">IFERROR(__xludf.DUMMYFUNCTION("""COMPUTED_VALUE"""),1783.1)</f>
        <v>1783.1</v>
      </c>
    </row>
    <row r="912" spans="2:46" x14ac:dyDescent="0.35">
      <c r="B912" s="6" t="str">
        <f t="shared" ca="1" si="252"/>
        <v>20218</v>
      </c>
      <c r="C912" s="6">
        <f t="shared" ca="1" si="253"/>
        <v>2021</v>
      </c>
      <c r="D912" s="6">
        <f t="shared" ca="1" si="254"/>
        <v>8</v>
      </c>
      <c r="E912" s="68">
        <f ca="1">IFERROR(__xludf.DUMMYFUNCTION("""COMPUTED_VALUE"""),44420.6666666666)</f>
        <v>44420.666666666599</v>
      </c>
      <c r="F912" s="6">
        <f ca="1">IFERROR(__xludf.DUMMYFUNCTION("""COMPUTED_VALUE"""),4460.83)</f>
        <v>4460.83</v>
      </c>
      <c r="J912" s="6" t="str">
        <f t="shared" ca="1" si="255"/>
        <v>20218</v>
      </c>
      <c r="K912" s="6">
        <f t="shared" ca="1" si="256"/>
        <v>2021</v>
      </c>
      <c r="L912" s="6">
        <f t="shared" ca="1" si="257"/>
        <v>8</v>
      </c>
      <c r="M912" s="68">
        <f ca="1">IFERROR(__xludf.DUMMYFUNCTION("""COMPUTED_VALUE"""),44413.6666666666)</f>
        <v>44413.666666666599</v>
      </c>
      <c r="N912" s="6">
        <f ca="1">IFERROR(__xludf.DUMMYFUNCTION("""COMPUTED_VALUE"""),14895.12)</f>
        <v>14895.12</v>
      </c>
      <c r="R912" s="6" t="str">
        <f t="shared" ca="1" si="258"/>
        <v>20219</v>
      </c>
      <c r="S912" s="6">
        <f t="shared" ca="1" si="259"/>
        <v>2021</v>
      </c>
      <c r="T912" s="6">
        <f t="shared" ca="1" si="260"/>
        <v>9</v>
      </c>
      <c r="U912" s="68">
        <f ca="1">IFERROR(__xludf.DUMMYFUNCTION("""COMPUTED_VALUE"""),44453.6458333333)</f>
        <v>44453.645833333299</v>
      </c>
      <c r="V912" s="6">
        <f ca="1">IFERROR(__xludf.DUMMYFUNCTION("""COMPUTED_VALUE"""),3148.83)</f>
        <v>3148.83</v>
      </c>
      <c r="Z912" s="6" t="str">
        <f t="shared" ca="1" si="261"/>
        <v>20208</v>
      </c>
      <c r="AA912" s="6">
        <f t="shared" ca="1" si="262"/>
        <v>2020</v>
      </c>
      <c r="AB912" s="6">
        <f t="shared" ca="1" si="263"/>
        <v>8</v>
      </c>
      <c r="AC912" s="68">
        <f ca="1">IFERROR(__xludf.DUMMYFUNCTION("""COMPUTED_VALUE"""),44051.9986111111)</f>
        <v>44051.998611111099</v>
      </c>
      <c r="AD912" s="6">
        <f ca="1">IFERROR(__xludf.DUMMYFUNCTION("""COMPUTED_VALUE"""),1187.18)</f>
        <v>1187.18</v>
      </c>
      <c r="AH912" s="6" t="str">
        <f t="shared" ca="1" si="264"/>
        <v>20206</v>
      </c>
      <c r="AI912" s="6">
        <f t="shared" ca="1" si="265"/>
        <v>2020</v>
      </c>
      <c r="AJ912" s="6">
        <f t="shared" ca="1" si="266"/>
        <v>6</v>
      </c>
      <c r="AK912" s="68">
        <f ca="1">IFERROR(__xludf.DUMMYFUNCTION("""COMPUTED_VALUE"""),44004.9986111111)</f>
        <v>44004.998611111099</v>
      </c>
      <c r="AL912" s="6">
        <f ca="1">IFERROR(__xludf.DUMMYFUNCTION("""COMPUTED_VALUE"""),9690.653)</f>
        <v>9690.6530000000002</v>
      </c>
      <c r="AP912" s="6" t="str">
        <f t="shared" ca="1" si="267"/>
        <v>20218</v>
      </c>
      <c r="AQ912" s="6">
        <f t="shared" ca="1" si="268"/>
        <v>2021</v>
      </c>
      <c r="AR912" s="6">
        <f t="shared" ca="1" si="269"/>
        <v>8</v>
      </c>
      <c r="AS912" s="68">
        <f ca="1">IFERROR(__xludf.DUMMYFUNCTION("""COMPUTED_VALUE"""),44428.9986111111)</f>
        <v>44428.998611111099</v>
      </c>
      <c r="AT912" s="6">
        <f ca="1">IFERROR(__xludf.DUMMYFUNCTION("""COMPUTED_VALUE"""),1784)</f>
        <v>1784</v>
      </c>
    </row>
    <row r="913" spans="2:46" x14ac:dyDescent="0.35">
      <c r="B913" s="6" t="str">
        <f t="shared" ca="1" si="252"/>
        <v>20218</v>
      </c>
      <c r="C913" s="6">
        <f t="shared" ca="1" si="253"/>
        <v>2021</v>
      </c>
      <c r="D913" s="6">
        <f t="shared" ca="1" si="254"/>
        <v>8</v>
      </c>
      <c r="E913" s="68">
        <f ca="1">IFERROR(__xludf.DUMMYFUNCTION("""COMPUTED_VALUE"""),44421.6666666666)</f>
        <v>44421.666666666599</v>
      </c>
      <c r="F913" s="6">
        <f ca="1">IFERROR(__xludf.DUMMYFUNCTION("""COMPUTED_VALUE"""),4468)</f>
        <v>4468</v>
      </c>
      <c r="J913" s="6" t="str">
        <f t="shared" ca="1" si="255"/>
        <v>20218</v>
      </c>
      <c r="K913" s="6">
        <f t="shared" ca="1" si="256"/>
        <v>2021</v>
      </c>
      <c r="L913" s="6">
        <f t="shared" ca="1" si="257"/>
        <v>8</v>
      </c>
      <c r="M913" s="68">
        <f ca="1">IFERROR(__xludf.DUMMYFUNCTION("""COMPUTED_VALUE"""),44414.6666666666)</f>
        <v>44414.666666666599</v>
      </c>
      <c r="N913" s="6">
        <f ca="1">IFERROR(__xludf.DUMMYFUNCTION("""COMPUTED_VALUE"""),14835.76)</f>
        <v>14835.76</v>
      </c>
      <c r="R913" s="6" t="str">
        <f t="shared" ca="1" si="258"/>
        <v>20219</v>
      </c>
      <c r="S913" s="6">
        <f t="shared" ca="1" si="259"/>
        <v>2021</v>
      </c>
      <c r="T913" s="6">
        <f t="shared" ca="1" si="260"/>
        <v>9</v>
      </c>
      <c r="U913" s="68">
        <f ca="1">IFERROR(__xludf.DUMMYFUNCTION("""COMPUTED_VALUE"""),44454.6458333333)</f>
        <v>44454.645833333299</v>
      </c>
      <c r="V913" s="6">
        <f ca="1">IFERROR(__xludf.DUMMYFUNCTION("""COMPUTED_VALUE"""),3153.4)</f>
        <v>3153.4</v>
      </c>
      <c r="Z913" s="6" t="str">
        <f t="shared" ca="1" si="261"/>
        <v>20208</v>
      </c>
      <c r="AA913" s="6">
        <f t="shared" ca="1" si="262"/>
        <v>2020</v>
      </c>
      <c r="AB913" s="6">
        <f t="shared" ca="1" si="263"/>
        <v>8</v>
      </c>
      <c r="AC913" s="68">
        <f ca="1">IFERROR(__xludf.DUMMYFUNCTION("""COMPUTED_VALUE"""),44052.9986111111)</f>
        <v>44052.998611111099</v>
      </c>
      <c r="AD913" s="6">
        <f ca="1">IFERROR(__xludf.DUMMYFUNCTION("""COMPUTED_VALUE"""),1188.15)</f>
        <v>1188.1500000000001</v>
      </c>
      <c r="AH913" s="6" t="str">
        <f t="shared" ca="1" si="264"/>
        <v>20206</v>
      </c>
      <c r="AI913" s="6">
        <f t="shared" ca="1" si="265"/>
        <v>2020</v>
      </c>
      <c r="AJ913" s="6">
        <f t="shared" ca="1" si="266"/>
        <v>6</v>
      </c>
      <c r="AK913" s="68">
        <f ca="1">IFERROR(__xludf.DUMMYFUNCTION("""COMPUTED_VALUE"""),44005.9986111111)</f>
        <v>44005.998611111099</v>
      </c>
      <c r="AL913" s="6">
        <f ca="1">IFERROR(__xludf.DUMMYFUNCTION("""COMPUTED_VALUE"""),9622.859)</f>
        <v>9622.8590000000004</v>
      </c>
      <c r="AP913" s="6" t="str">
        <f t="shared" ca="1" si="267"/>
        <v>20218</v>
      </c>
      <c r="AQ913" s="6">
        <f t="shared" ca="1" si="268"/>
        <v>2021</v>
      </c>
      <c r="AR913" s="6">
        <f t="shared" ca="1" si="269"/>
        <v>8</v>
      </c>
      <c r="AS913" s="68">
        <f ca="1">IFERROR(__xludf.DUMMYFUNCTION("""COMPUTED_VALUE"""),44431.9986111111)</f>
        <v>44431.998611111099</v>
      </c>
      <c r="AT913" s="6">
        <f ca="1">IFERROR(__xludf.DUMMYFUNCTION("""COMPUTED_VALUE"""),1806.3)</f>
        <v>1806.3</v>
      </c>
    </row>
    <row r="914" spans="2:46" x14ac:dyDescent="0.35">
      <c r="B914" s="6" t="str">
        <f t="shared" ca="1" si="252"/>
        <v>20218</v>
      </c>
      <c r="C914" s="6">
        <f t="shared" ca="1" si="253"/>
        <v>2021</v>
      </c>
      <c r="D914" s="6">
        <f t="shared" ca="1" si="254"/>
        <v>8</v>
      </c>
      <c r="E914" s="68">
        <f ca="1">IFERROR(__xludf.DUMMYFUNCTION("""COMPUTED_VALUE"""),44424.6666666666)</f>
        <v>44424.666666666599</v>
      </c>
      <c r="F914" s="6">
        <f ca="1">IFERROR(__xludf.DUMMYFUNCTION("""COMPUTED_VALUE"""),4479.71)</f>
        <v>4479.71</v>
      </c>
      <c r="J914" s="6" t="str">
        <f t="shared" ca="1" si="255"/>
        <v>20218</v>
      </c>
      <c r="K914" s="6">
        <f t="shared" ca="1" si="256"/>
        <v>2021</v>
      </c>
      <c r="L914" s="6">
        <f t="shared" ca="1" si="257"/>
        <v>8</v>
      </c>
      <c r="M914" s="68">
        <f ca="1">IFERROR(__xludf.DUMMYFUNCTION("""COMPUTED_VALUE"""),44417.6666666666)</f>
        <v>44417.666666666599</v>
      </c>
      <c r="N914" s="6">
        <f ca="1">IFERROR(__xludf.DUMMYFUNCTION("""COMPUTED_VALUE"""),14860.18)</f>
        <v>14860.18</v>
      </c>
      <c r="R914" s="6" t="str">
        <f t="shared" ca="1" si="258"/>
        <v>20219</v>
      </c>
      <c r="S914" s="6">
        <f t="shared" ca="1" si="259"/>
        <v>2021</v>
      </c>
      <c r="T914" s="6">
        <f t="shared" ca="1" si="260"/>
        <v>9</v>
      </c>
      <c r="U914" s="68">
        <f ca="1">IFERROR(__xludf.DUMMYFUNCTION("""COMPUTED_VALUE"""),44455.6458333333)</f>
        <v>44455.645833333299</v>
      </c>
      <c r="V914" s="6">
        <f ca="1">IFERROR(__xludf.DUMMYFUNCTION("""COMPUTED_VALUE"""),3130.09)</f>
        <v>3130.09</v>
      </c>
      <c r="Z914" s="6" t="str">
        <f t="shared" ca="1" si="261"/>
        <v>20208</v>
      </c>
      <c r="AA914" s="6">
        <f t="shared" ca="1" si="262"/>
        <v>2020</v>
      </c>
      <c r="AB914" s="6">
        <f t="shared" ca="1" si="263"/>
        <v>8</v>
      </c>
      <c r="AC914" s="68">
        <f ca="1">IFERROR(__xludf.DUMMYFUNCTION("""COMPUTED_VALUE"""),44053.9986111111)</f>
        <v>44053.998611111099</v>
      </c>
      <c r="AD914" s="6">
        <f ca="1">IFERROR(__xludf.DUMMYFUNCTION("""COMPUTED_VALUE"""),1185.19)</f>
        <v>1185.19</v>
      </c>
      <c r="AH914" s="6" t="str">
        <f t="shared" ca="1" si="264"/>
        <v>20206</v>
      </c>
      <c r="AI914" s="6">
        <f t="shared" ca="1" si="265"/>
        <v>2020</v>
      </c>
      <c r="AJ914" s="6">
        <f t="shared" ca="1" si="266"/>
        <v>6</v>
      </c>
      <c r="AK914" s="68">
        <f ca="1">IFERROR(__xludf.DUMMYFUNCTION("""COMPUTED_VALUE"""),44006.9986111111)</f>
        <v>44006.998611111099</v>
      </c>
      <c r="AL914" s="6">
        <f ca="1">IFERROR(__xludf.DUMMYFUNCTION("""COMPUTED_VALUE"""),9294.837)</f>
        <v>9294.8369999999995</v>
      </c>
      <c r="AP914" s="6" t="str">
        <f t="shared" ca="1" si="267"/>
        <v>20218</v>
      </c>
      <c r="AQ914" s="6">
        <f t="shared" ca="1" si="268"/>
        <v>2021</v>
      </c>
      <c r="AR914" s="6">
        <f t="shared" ca="1" si="269"/>
        <v>8</v>
      </c>
      <c r="AS914" s="68">
        <f ca="1">IFERROR(__xludf.DUMMYFUNCTION("""COMPUTED_VALUE"""),44432.9986111111)</f>
        <v>44432.998611111099</v>
      </c>
      <c r="AT914" s="6">
        <f ca="1">IFERROR(__xludf.DUMMYFUNCTION("""COMPUTED_VALUE"""),1808.5)</f>
        <v>1808.5</v>
      </c>
    </row>
    <row r="915" spans="2:46" x14ac:dyDescent="0.35">
      <c r="B915" s="6" t="str">
        <f t="shared" ca="1" si="252"/>
        <v>20218</v>
      </c>
      <c r="C915" s="6">
        <f t="shared" ca="1" si="253"/>
        <v>2021</v>
      </c>
      <c r="D915" s="6">
        <f t="shared" ca="1" si="254"/>
        <v>8</v>
      </c>
      <c r="E915" s="68">
        <f ca="1">IFERROR(__xludf.DUMMYFUNCTION("""COMPUTED_VALUE"""),44425.6666666666)</f>
        <v>44425.666666666599</v>
      </c>
      <c r="F915" s="6">
        <f ca="1">IFERROR(__xludf.DUMMYFUNCTION("""COMPUTED_VALUE"""),4448.08)</f>
        <v>4448.08</v>
      </c>
      <c r="J915" s="6" t="str">
        <f t="shared" ca="1" si="255"/>
        <v>20218</v>
      </c>
      <c r="K915" s="6">
        <f t="shared" ca="1" si="256"/>
        <v>2021</v>
      </c>
      <c r="L915" s="6">
        <f t="shared" ca="1" si="257"/>
        <v>8</v>
      </c>
      <c r="M915" s="68">
        <f ca="1">IFERROR(__xludf.DUMMYFUNCTION("""COMPUTED_VALUE"""),44418.6666666666)</f>
        <v>44418.666666666599</v>
      </c>
      <c r="N915" s="6">
        <f ca="1">IFERROR(__xludf.DUMMYFUNCTION("""COMPUTED_VALUE"""),14788.09)</f>
        <v>14788.09</v>
      </c>
      <c r="R915" s="6" t="str">
        <f t="shared" ca="1" si="258"/>
        <v>20219</v>
      </c>
      <c r="S915" s="6">
        <f t="shared" ca="1" si="259"/>
        <v>2021</v>
      </c>
      <c r="T915" s="6">
        <f t="shared" ca="1" si="260"/>
        <v>9</v>
      </c>
      <c r="U915" s="68">
        <f ca="1">IFERROR(__xludf.DUMMYFUNCTION("""COMPUTED_VALUE"""),44456.6458333333)</f>
        <v>44456.645833333299</v>
      </c>
      <c r="V915" s="6">
        <f ca="1">IFERROR(__xludf.DUMMYFUNCTION("""COMPUTED_VALUE"""),3140.51)</f>
        <v>3140.51</v>
      </c>
      <c r="Z915" s="6" t="str">
        <f t="shared" ca="1" si="261"/>
        <v>20208</v>
      </c>
      <c r="AA915" s="6">
        <f t="shared" ca="1" si="262"/>
        <v>2020</v>
      </c>
      <c r="AB915" s="6">
        <f t="shared" ca="1" si="263"/>
        <v>8</v>
      </c>
      <c r="AC915" s="68">
        <f ca="1">IFERROR(__xludf.DUMMYFUNCTION("""COMPUTED_VALUE"""),44054.9986111111)</f>
        <v>44054.998611111099</v>
      </c>
      <c r="AD915" s="6">
        <f ca="1">IFERROR(__xludf.DUMMYFUNCTION("""COMPUTED_VALUE"""),1184.98)</f>
        <v>1184.98</v>
      </c>
      <c r="AH915" s="6" t="str">
        <f t="shared" ca="1" si="264"/>
        <v>20206</v>
      </c>
      <c r="AI915" s="6">
        <f t="shared" ca="1" si="265"/>
        <v>2020</v>
      </c>
      <c r="AJ915" s="6">
        <f t="shared" ca="1" si="266"/>
        <v>6</v>
      </c>
      <c r="AK915" s="68">
        <f ca="1">IFERROR(__xludf.DUMMYFUNCTION("""COMPUTED_VALUE"""),44007.9986111111)</f>
        <v>44007.998611111099</v>
      </c>
      <c r="AL915" s="6">
        <f ca="1">IFERROR(__xludf.DUMMYFUNCTION("""COMPUTED_VALUE"""),9245.056)</f>
        <v>9245.0560000000005</v>
      </c>
      <c r="AP915" s="6" t="str">
        <f t="shared" ca="1" si="267"/>
        <v>20218</v>
      </c>
      <c r="AQ915" s="6">
        <f t="shared" ca="1" si="268"/>
        <v>2021</v>
      </c>
      <c r="AR915" s="6">
        <f t="shared" ca="1" si="269"/>
        <v>8</v>
      </c>
      <c r="AS915" s="68">
        <f ca="1">IFERROR(__xludf.DUMMYFUNCTION("""COMPUTED_VALUE"""),44433.9986111111)</f>
        <v>44433.998611111099</v>
      </c>
      <c r="AT915" s="6">
        <f ca="1">IFERROR(__xludf.DUMMYFUNCTION("""COMPUTED_VALUE"""),1791)</f>
        <v>1791</v>
      </c>
    </row>
    <row r="916" spans="2:46" x14ac:dyDescent="0.35">
      <c r="B916" s="6" t="str">
        <f t="shared" ca="1" si="252"/>
        <v>20218</v>
      </c>
      <c r="C916" s="6">
        <f t="shared" ca="1" si="253"/>
        <v>2021</v>
      </c>
      <c r="D916" s="6">
        <f t="shared" ca="1" si="254"/>
        <v>8</v>
      </c>
      <c r="E916" s="68">
        <f ca="1">IFERROR(__xludf.DUMMYFUNCTION("""COMPUTED_VALUE"""),44426.6666666666)</f>
        <v>44426.666666666599</v>
      </c>
      <c r="F916" s="6">
        <f ca="1">IFERROR(__xludf.DUMMYFUNCTION("""COMPUTED_VALUE"""),4400.27)</f>
        <v>4400.2700000000004</v>
      </c>
      <c r="J916" s="6" t="str">
        <f t="shared" ca="1" si="255"/>
        <v>20218</v>
      </c>
      <c r="K916" s="6">
        <f t="shared" ca="1" si="256"/>
        <v>2021</v>
      </c>
      <c r="L916" s="6">
        <f t="shared" ca="1" si="257"/>
        <v>8</v>
      </c>
      <c r="M916" s="68">
        <f ca="1">IFERROR(__xludf.DUMMYFUNCTION("""COMPUTED_VALUE"""),44419.6666666666)</f>
        <v>44419.666666666599</v>
      </c>
      <c r="N916" s="6">
        <f ca="1">IFERROR(__xludf.DUMMYFUNCTION("""COMPUTED_VALUE"""),14765.14)</f>
        <v>14765.14</v>
      </c>
      <c r="R916" s="6" t="str">
        <f t="shared" ca="1" si="258"/>
        <v>20219</v>
      </c>
      <c r="S916" s="6">
        <f t="shared" ca="1" si="259"/>
        <v>2021</v>
      </c>
      <c r="T916" s="6">
        <f t="shared" ca="1" si="260"/>
        <v>9</v>
      </c>
      <c r="U916" s="68">
        <f ca="1">IFERROR(__xludf.DUMMYFUNCTION("""COMPUTED_VALUE"""),44462.6458333333)</f>
        <v>44462.645833333299</v>
      </c>
      <c r="V916" s="6">
        <f ca="1">IFERROR(__xludf.DUMMYFUNCTION("""COMPUTED_VALUE"""),3127.58)</f>
        <v>3127.58</v>
      </c>
      <c r="Z916" s="6" t="str">
        <f t="shared" ca="1" si="261"/>
        <v>20208</v>
      </c>
      <c r="AA916" s="6">
        <f t="shared" ca="1" si="262"/>
        <v>2020</v>
      </c>
      <c r="AB916" s="6">
        <f t="shared" ca="1" si="263"/>
        <v>8</v>
      </c>
      <c r="AC916" s="68">
        <f ca="1">IFERROR(__xludf.DUMMYFUNCTION("""COMPUTED_VALUE"""),44055.9986111111)</f>
        <v>44055.998611111099</v>
      </c>
      <c r="AD916" s="6">
        <f ca="1">IFERROR(__xludf.DUMMYFUNCTION("""COMPUTED_VALUE"""),1182.75)</f>
        <v>1182.75</v>
      </c>
      <c r="AH916" s="6" t="str">
        <f t="shared" ca="1" si="264"/>
        <v>20206</v>
      </c>
      <c r="AI916" s="6">
        <f t="shared" ca="1" si="265"/>
        <v>2020</v>
      </c>
      <c r="AJ916" s="6">
        <f t="shared" ca="1" si="266"/>
        <v>6</v>
      </c>
      <c r="AK916" s="68">
        <f ca="1">IFERROR(__xludf.DUMMYFUNCTION("""COMPUTED_VALUE"""),44008.9986111111)</f>
        <v>44008.998611111099</v>
      </c>
      <c r="AL916" s="6">
        <f ca="1">IFERROR(__xludf.DUMMYFUNCTION("""COMPUTED_VALUE"""),9156.309)</f>
        <v>9156.3089999999993</v>
      </c>
      <c r="AP916" s="6" t="str">
        <f t="shared" ca="1" si="267"/>
        <v>20218</v>
      </c>
      <c r="AQ916" s="6">
        <f t="shared" ca="1" si="268"/>
        <v>2021</v>
      </c>
      <c r="AR916" s="6">
        <f t="shared" ca="1" si="269"/>
        <v>8</v>
      </c>
      <c r="AS916" s="68">
        <f ca="1">IFERROR(__xludf.DUMMYFUNCTION("""COMPUTED_VALUE"""),44434.9986111111)</f>
        <v>44434.998611111099</v>
      </c>
      <c r="AT916" s="6">
        <f ca="1">IFERROR(__xludf.DUMMYFUNCTION("""COMPUTED_VALUE"""),1795.2)</f>
        <v>1795.2</v>
      </c>
    </row>
    <row r="917" spans="2:46" x14ac:dyDescent="0.35">
      <c r="B917" s="6" t="str">
        <f t="shared" ca="1" si="252"/>
        <v>20218</v>
      </c>
      <c r="C917" s="6">
        <f t="shared" ca="1" si="253"/>
        <v>2021</v>
      </c>
      <c r="D917" s="6">
        <f t="shared" ca="1" si="254"/>
        <v>8</v>
      </c>
      <c r="E917" s="68">
        <f ca="1">IFERROR(__xludf.DUMMYFUNCTION("""COMPUTED_VALUE"""),44427.6666666666)</f>
        <v>44427.666666666599</v>
      </c>
      <c r="F917" s="6">
        <f ca="1">IFERROR(__xludf.DUMMYFUNCTION("""COMPUTED_VALUE"""),4405.8)</f>
        <v>4405.8</v>
      </c>
      <c r="J917" s="6" t="str">
        <f t="shared" ca="1" si="255"/>
        <v>20218</v>
      </c>
      <c r="K917" s="6">
        <f t="shared" ca="1" si="256"/>
        <v>2021</v>
      </c>
      <c r="L917" s="6">
        <f t="shared" ca="1" si="257"/>
        <v>8</v>
      </c>
      <c r="M917" s="68">
        <f ca="1">IFERROR(__xludf.DUMMYFUNCTION("""COMPUTED_VALUE"""),44420.6666666666)</f>
        <v>44420.666666666599</v>
      </c>
      <c r="N917" s="6">
        <f ca="1">IFERROR(__xludf.DUMMYFUNCTION("""COMPUTED_VALUE"""),14816.26)</f>
        <v>14816.26</v>
      </c>
      <c r="R917" s="6" t="str">
        <f t="shared" ca="1" si="258"/>
        <v>20219</v>
      </c>
      <c r="S917" s="6">
        <f t="shared" ca="1" si="259"/>
        <v>2021</v>
      </c>
      <c r="T917" s="6">
        <f t="shared" ca="1" si="260"/>
        <v>9</v>
      </c>
      <c r="U917" s="68">
        <f ca="1">IFERROR(__xludf.DUMMYFUNCTION("""COMPUTED_VALUE"""),44463.6458333333)</f>
        <v>44463.645833333299</v>
      </c>
      <c r="V917" s="6">
        <f ca="1">IFERROR(__xludf.DUMMYFUNCTION("""COMPUTED_VALUE"""),3125.24)</f>
        <v>3125.24</v>
      </c>
      <c r="Z917" s="6" t="str">
        <f t="shared" ca="1" si="261"/>
        <v>20208</v>
      </c>
      <c r="AA917" s="6">
        <f t="shared" ca="1" si="262"/>
        <v>2020</v>
      </c>
      <c r="AB917" s="6">
        <f t="shared" ca="1" si="263"/>
        <v>8</v>
      </c>
      <c r="AC917" s="68">
        <f ca="1">IFERROR(__xludf.DUMMYFUNCTION("""COMPUTED_VALUE"""),44056.9986111111)</f>
        <v>44056.998611111099</v>
      </c>
      <c r="AD917" s="6">
        <f ca="1">IFERROR(__xludf.DUMMYFUNCTION("""COMPUTED_VALUE"""),1184.12)</f>
        <v>1184.1199999999999</v>
      </c>
      <c r="AH917" s="6" t="str">
        <f t="shared" ca="1" si="264"/>
        <v>20206</v>
      </c>
      <c r="AI917" s="6">
        <f t="shared" ca="1" si="265"/>
        <v>2020</v>
      </c>
      <c r="AJ917" s="6">
        <f t="shared" ca="1" si="266"/>
        <v>6</v>
      </c>
      <c r="AK917" s="68">
        <f ca="1">IFERROR(__xludf.DUMMYFUNCTION("""COMPUTED_VALUE"""),44009.9986111111)</f>
        <v>44009.998611111099</v>
      </c>
      <c r="AL917" s="6">
        <f ca="1">IFERROR(__xludf.DUMMYFUNCTION("""COMPUTED_VALUE"""),9004.804)</f>
        <v>9004.8040000000001</v>
      </c>
      <c r="AP917" s="6" t="str">
        <f t="shared" ca="1" si="267"/>
        <v>20218</v>
      </c>
      <c r="AQ917" s="6">
        <f t="shared" ca="1" si="268"/>
        <v>2021</v>
      </c>
      <c r="AR917" s="6">
        <f t="shared" ca="1" si="269"/>
        <v>8</v>
      </c>
      <c r="AS917" s="68">
        <f ca="1">IFERROR(__xludf.DUMMYFUNCTION("""COMPUTED_VALUE"""),44435.9986111111)</f>
        <v>44435.998611111099</v>
      </c>
      <c r="AT917" s="6">
        <f ca="1">IFERROR(__xludf.DUMMYFUNCTION("""COMPUTED_VALUE"""),1819.5)</f>
        <v>1819.5</v>
      </c>
    </row>
    <row r="918" spans="2:46" x14ac:dyDescent="0.35">
      <c r="B918" s="6" t="str">
        <f t="shared" ca="1" si="252"/>
        <v>20218</v>
      </c>
      <c r="C918" s="6">
        <f t="shared" ca="1" si="253"/>
        <v>2021</v>
      </c>
      <c r="D918" s="6">
        <f t="shared" ca="1" si="254"/>
        <v>8</v>
      </c>
      <c r="E918" s="68">
        <f ca="1">IFERROR(__xludf.DUMMYFUNCTION("""COMPUTED_VALUE"""),44428.6666666666)</f>
        <v>44428.666666666599</v>
      </c>
      <c r="F918" s="6">
        <f ca="1">IFERROR(__xludf.DUMMYFUNCTION("""COMPUTED_VALUE"""),4441.67)</f>
        <v>4441.67</v>
      </c>
      <c r="J918" s="6" t="str">
        <f t="shared" ca="1" si="255"/>
        <v>20218</v>
      </c>
      <c r="K918" s="6">
        <f t="shared" ca="1" si="256"/>
        <v>2021</v>
      </c>
      <c r="L918" s="6">
        <f t="shared" ca="1" si="257"/>
        <v>8</v>
      </c>
      <c r="M918" s="68">
        <f ca="1">IFERROR(__xludf.DUMMYFUNCTION("""COMPUTED_VALUE"""),44421.6666666666)</f>
        <v>44421.666666666599</v>
      </c>
      <c r="N918" s="6">
        <f ca="1">IFERROR(__xludf.DUMMYFUNCTION("""COMPUTED_VALUE"""),14822.9)</f>
        <v>14822.9</v>
      </c>
      <c r="R918" s="6" t="str">
        <f t="shared" ca="1" si="258"/>
        <v>20219</v>
      </c>
      <c r="S918" s="6">
        <f t="shared" ca="1" si="259"/>
        <v>2021</v>
      </c>
      <c r="T918" s="6">
        <f t="shared" ca="1" si="260"/>
        <v>9</v>
      </c>
      <c r="U918" s="68">
        <f ca="1">IFERROR(__xludf.DUMMYFUNCTION("""COMPUTED_VALUE"""),44466.6458333333)</f>
        <v>44466.645833333299</v>
      </c>
      <c r="V918" s="6">
        <f ca="1">IFERROR(__xludf.DUMMYFUNCTION("""COMPUTED_VALUE"""),3133.64)</f>
        <v>3133.64</v>
      </c>
      <c r="Z918" s="6" t="str">
        <f t="shared" ca="1" si="261"/>
        <v>20208</v>
      </c>
      <c r="AA918" s="6">
        <f t="shared" ca="1" si="262"/>
        <v>2020</v>
      </c>
      <c r="AB918" s="6">
        <f t="shared" ca="1" si="263"/>
        <v>8</v>
      </c>
      <c r="AC918" s="68">
        <f ca="1">IFERROR(__xludf.DUMMYFUNCTION("""COMPUTED_VALUE"""),44057.9986111111)</f>
        <v>44057.998611111099</v>
      </c>
      <c r="AD918" s="6">
        <f ca="1">IFERROR(__xludf.DUMMYFUNCTION("""COMPUTED_VALUE"""),1186.95)</f>
        <v>1186.95</v>
      </c>
      <c r="AH918" s="6" t="str">
        <f t="shared" ca="1" si="264"/>
        <v>20206</v>
      </c>
      <c r="AI918" s="6">
        <f t="shared" ca="1" si="265"/>
        <v>2020</v>
      </c>
      <c r="AJ918" s="6">
        <f t="shared" ca="1" si="266"/>
        <v>6</v>
      </c>
      <c r="AK918" s="68">
        <f ca="1">IFERROR(__xludf.DUMMYFUNCTION("""COMPUTED_VALUE"""),44010.9986111111)</f>
        <v>44010.998611111099</v>
      </c>
      <c r="AL918" s="6">
        <f ca="1">IFERROR(__xludf.DUMMYFUNCTION("""COMPUTED_VALUE"""),9120.856)</f>
        <v>9120.8559999999998</v>
      </c>
      <c r="AP918" s="6" t="str">
        <f t="shared" ca="1" si="267"/>
        <v>20218</v>
      </c>
      <c r="AQ918" s="6">
        <f t="shared" ca="1" si="268"/>
        <v>2021</v>
      </c>
      <c r="AR918" s="6">
        <f t="shared" ca="1" si="269"/>
        <v>8</v>
      </c>
      <c r="AS918" s="68">
        <f ca="1">IFERROR(__xludf.DUMMYFUNCTION("""COMPUTED_VALUE"""),44438.9986111111)</f>
        <v>44438.998611111099</v>
      </c>
      <c r="AT918" s="6">
        <f ca="1">IFERROR(__xludf.DUMMYFUNCTION("""COMPUTED_VALUE"""),1812.2)</f>
        <v>1812.2</v>
      </c>
    </row>
    <row r="919" spans="2:46" x14ac:dyDescent="0.35">
      <c r="B919" s="6" t="str">
        <f t="shared" ca="1" si="252"/>
        <v>20218</v>
      </c>
      <c r="C919" s="6">
        <f t="shared" ca="1" si="253"/>
        <v>2021</v>
      </c>
      <c r="D919" s="6">
        <f t="shared" ca="1" si="254"/>
        <v>8</v>
      </c>
      <c r="E919" s="68">
        <f ca="1">IFERROR(__xludf.DUMMYFUNCTION("""COMPUTED_VALUE"""),44431.6666666666)</f>
        <v>44431.666666666599</v>
      </c>
      <c r="F919" s="6">
        <f ca="1">IFERROR(__xludf.DUMMYFUNCTION("""COMPUTED_VALUE"""),4479.53)</f>
        <v>4479.53</v>
      </c>
      <c r="J919" s="6" t="str">
        <f t="shared" ca="1" si="255"/>
        <v>20218</v>
      </c>
      <c r="K919" s="6">
        <f t="shared" ca="1" si="256"/>
        <v>2021</v>
      </c>
      <c r="L919" s="6">
        <f t="shared" ca="1" si="257"/>
        <v>8</v>
      </c>
      <c r="M919" s="68">
        <f ca="1">IFERROR(__xludf.DUMMYFUNCTION("""COMPUTED_VALUE"""),44424.6666666666)</f>
        <v>44424.666666666599</v>
      </c>
      <c r="N919" s="6">
        <f ca="1">IFERROR(__xludf.DUMMYFUNCTION("""COMPUTED_VALUE"""),14793.76)</f>
        <v>14793.76</v>
      </c>
      <c r="R919" s="6" t="str">
        <f t="shared" ca="1" si="258"/>
        <v>20219</v>
      </c>
      <c r="S919" s="6">
        <f t="shared" ca="1" si="259"/>
        <v>2021</v>
      </c>
      <c r="T919" s="6">
        <f t="shared" ca="1" si="260"/>
        <v>9</v>
      </c>
      <c r="U919" s="68">
        <f ca="1">IFERROR(__xludf.DUMMYFUNCTION("""COMPUTED_VALUE"""),44467.6458333333)</f>
        <v>44467.645833333299</v>
      </c>
      <c r="V919" s="6">
        <f ca="1">IFERROR(__xludf.DUMMYFUNCTION("""COMPUTED_VALUE"""),3097.92)</f>
        <v>3097.92</v>
      </c>
      <c r="Z919" s="6" t="str">
        <f t="shared" ca="1" si="261"/>
        <v>20208</v>
      </c>
      <c r="AA919" s="6">
        <f t="shared" ca="1" si="262"/>
        <v>2020</v>
      </c>
      <c r="AB919" s="6">
        <f t="shared" ca="1" si="263"/>
        <v>8</v>
      </c>
      <c r="AC919" s="68">
        <f ca="1">IFERROR(__xludf.DUMMYFUNCTION("""COMPUTED_VALUE"""),44058.9986111111)</f>
        <v>44058.998611111099</v>
      </c>
      <c r="AD919" s="6">
        <f ca="1">IFERROR(__xludf.DUMMYFUNCTION("""COMPUTED_VALUE"""),1186.95)</f>
        <v>1186.95</v>
      </c>
      <c r="AH919" s="6" t="str">
        <f t="shared" ca="1" si="264"/>
        <v>20206</v>
      </c>
      <c r="AI919" s="6">
        <f t="shared" ca="1" si="265"/>
        <v>2020</v>
      </c>
      <c r="AJ919" s="6">
        <f t="shared" ca="1" si="266"/>
        <v>6</v>
      </c>
      <c r="AK919" s="68">
        <f ca="1">IFERROR(__xludf.DUMMYFUNCTION("""COMPUTED_VALUE"""),44011.9986111111)</f>
        <v>44011.998611111099</v>
      </c>
      <c r="AL919" s="6">
        <f ca="1">IFERROR(__xludf.DUMMYFUNCTION("""COMPUTED_VALUE"""),9186.103)</f>
        <v>9186.1029999999992</v>
      </c>
      <c r="AP919" s="6" t="str">
        <f t="shared" ca="1" si="267"/>
        <v>20218</v>
      </c>
      <c r="AQ919" s="6">
        <f t="shared" ca="1" si="268"/>
        <v>2021</v>
      </c>
      <c r="AR919" s="6">
        <f t="shared" ca="1" si="269"/>
        <v>8</v>
      </c>
      <c r="AS919" s="68">
        <f ca="1">IFERROR(__xludf.DUMMYFUNCTION("""COMPUTED_VALUE"""),44439.9986111111)</f>
        <v>44439.998611111099</v>
      </c>
      <c r="AT919" s="6">
        <f ca="1">IFERROR(__xludf.DUMMYFUNCTION("""COMPUTED_VALUE"""),1818.1)</f>
        <v>1818.1</v>
      </c>
    </row>
    <row r="920" spans="2:46" x14ac:dyDescent="0.35">
      <c r="B920" s="6" t="str">
        <f t="shared" ca="1" si="252"/>
        <v>20218</v>
      </c>
      <c r="C920" s="6">
        <f t="shared" ca="1" si="253"/>
        <v>2021</v>
      </c>
      <c r="D920" s="6">
        <f t="shared" ca="1" si="254"/>
        <v>8</v>
      </c>
      <c r="E920" s="68">
        <f ca="1">IFERROR(__xludf.DUMMYFUNCTION("""COMPUTED_VALUE"""),44432.6666666666)</f>
        <v>44432.666666666599</v>
      </c>
      <c r="F920" s="6">
        <f ca="1">IFERROR(__xludf.DUMMYFUNCTION("""COMPUTED_VALUE"""),4486.23)</f>
        <v>4486.2299999999996</v>
      </c>
      <c r="J920" s="6" t="str">
        <f t="shared" ca="1" si="255"/>
        <v>20218</v>
      </c>
      <c r="K920" s="6">
        <f t="shared" ca="1" si="256"/>
        <v>2021</v>
      </c>
      <c r="L920" s="6">
        <f t="shared" ca="1" si="257"/>
        <v>8</v>
      </c>
      <c r="M920" s="68">
        <f ca="1">IFERROR(__xludf.DUMMYFUNCTION("""COMPUTED_VALUE"""),44425.6666666666)</f>
        <v>44425.666666666599</v>
      </c>
      <c r="N920" s="6">
        <f ca="1">IFERROR(__xludf.DUMMYFUNCTION("""COMPUTED_VALUE"""),14656.18)</f>
        <v>14656.18</v>
      </c>
      <c r="R920" s="6" t="str">
        <f t="shared" ca="1" si="258"/>
        <v>20219</v>
      </c>
      <c r="S920" s="6">
        <f t="shared" ca="1" si="259"/>
        <v>2021</v>
      </c>
      <c r="T920" s="6">
        <f t="shared" ca="1" si="260"/>
        <v>9</v>
      </c>
      <c r="U920" s="68">
        <f ca="1">IFERROR(__xludf.DUMMYFUNCTION("""COMPUTED_VALUE"""),44468.6458333333)</f>
        <v>44468.645833333299</v>
      </c>
      <c r="V920" s="6">
        <f ca="1">IFERROR(__xludf.DUMMYFUNCTION("""COMPUTED_VALUE"""),3060.27)</f>
        <v>3060.27</v>
      </c>
      <c r="Z920" s="6" t="str">
        <f t="shared" ca="1" si="261"/>
        <v>20208</v>
      </c>
      <c r="AA920" s="6">
        <f t="shared" ca="1" si="262"/>
        <v>2020</v>
      </c>
      <c r="AB920" s="6">
        <f t="shared" ca="1" si="263"/>
        <v>8</v>
      </c>
      <c r="AC920" s="68">
        <f ca="1">IFERROR(__xludf.DUMMYFUNCTION("""COMPUTED_VALUE"""),44059.9986111111)</f>
        <v>44059.998611111099</v>
      </c>
      <c r="AD920" s="6">
        <f ca="1">IFERROR(__xludf.DUMMYFUNCTION("""COMPUTED_VALUE"""),1186.04)</f>
        <v>1186.04</v>
      </c>
      <c r="AH920" s="6" t="str">
        <f t="shared" ca="1" si="264"/>
        <v>20206</v>
      </c>
      <c r="AI920" s="6">
        <f t="shared" ca="1" si="265"/>
        <v>2020</v>
      </c>
      <c r="AJ920" s="6">
        <f t="shared" ca="1" si="266"/>
        <v>6</v>
      </c>
      <c r="AK920" s="68">
        <f ca="1">IFERROR(__xludf.DUMMYFUNCTION("""COMPUTED_VALUE"""),44012.9986111111)</f>
        <v>44012.998611111099</v>
      </c>
      <c r="AL920" s="6">
        <f ca="1">IFERROR(__xludf.DUMMYFUNCTION("""COMPUTED_VALUE"""),9136.464)</f>
        <v>9136.4639999999999</v>
      </c>
      <c r="AP920" s="6" t="str">
        <f t="shared" ca="1" si="267"/>
        <v>20219</v>
      </c>
      <c r="AQ920" s="6">
        <f t="shared" ca="1" si="268"/>
        <v>2021</v>
      </c>
      <c r="AR920" s="6">
        <f t="shared" ca="1" si="269"/>
        <v>9</v>
      </c>
      <c r="AS920" s="68">
        <f ca="1">IFERROR(__xludf.DUMMYFUNCTION("""COMPUTED_VALUE"""),44440.9986111111)</f>
        <v>44440.998611111099</v>
      </c>
      <c r="AT920" s="6">
        <f ca="1">IFERROR(__xludf.DUMMYFUNCTION("""COMPUTED_VALUE"""),1816)</f>
        <v>1816</v>
      </c>
    </row>
    <row r="921" spans="2:46" x14ac:dyDescent="0.35">
      <c r="B921" s="6" t="str">
        <f t="shared" ca="1" si="252"/>
        <v>20218</v>
      </c>
      <c r="C921" s="6">
        <f t="shared" ca="1" si="253"/>
        <v>2021</v>
      </c>
      <c r="D921" s="6">
        <f t="shared" ca="1" si="254"/>
        <v>8</v>
      </c>
      <c r="E921" s="68">
        <f ca="1">IFERROR(__xludf.DUMMYFUNCTION("""COMPUTED_VALUE"""),44433.6666666666)</f>
        <v>44433.666666666599</v>
      </c>
      <c r="F921" s="6">
        <f ca="1">IFERROR(__xludf.DUMMYFUNCTION("""COMPUTED_VALUE"""),4496.19)</f>
        <v>4496.1899999999996</v>
      </c>
      <c r="J921" s="6" t="str">
        <f t="shared" ca="1" si="255"/>
        <v>20218</v>
      </c>
      <c r="K921" s="6">
        <f t="shared" ca="1" si="256"/>
        <v>2021</v>
      </c>
      <c r="L921" s="6">
        <f t="shared" ca="1" si="257"/>
        <v>8</v>
      </c>
      <c r="M921" s="68">
        <f ca="1">IFERROR(__xludf.DUMMYFUNCTION("""COMPUTED_VALUE"""),44426.6666666666)</f>
        <v>44426.666666666599</v>
      </c>
      <c r="N921" s="6">
        <f ca="1">IFERROR(__xludf.DUMMYFUNCTION("""COMPUTED_VALUE"""),14525.91)</f>
        <v>14525.91</v>
      </c>
      <c r="R921" s="6" t="str">
        <f t="shared" ca="1" si="258"/>
        <v>20219</v>
      </c>
      <c r="S921" s="6">
        <f t="shared" ca="1" si="259"/>
        <v>2021</v>
      </c>
      <c r="T921" s="6">
        <f t="shared" ca="1" si="260"/>
        <v>9</v>
      </c>
      <c r="U921" s="68">
        <f ca="1">IFERROR(__xludf.DUMMYFUNCTION("""COMPUTED_VALUE"""),44469.6458333333)</f>
        <v>44469.645833333299</v>
      </c>
      <c r="V921" s="6">
        <f ca="1">IFERROR(__xludf.DUMMYFUNCTION("""COMPUTED_VALUE"""),3068.82)</f>
        <v>3068.82</v>
      </c>
      <c r="Z921" s="6" t="str">
        <f t="shared" ca="1" si="261"/>
        <v>20208</v>
      </c>
      <c r="AA921" s="6">
        <f t="shared" ca="1" si="262"/>
        <v>2020</v>
      </c>
      <c r="AB921" s="6">
        <f t="shared" ca="1" si="263"/>
        <v>8</v>
      </c>
      <c r="AC921" s="68">
        <f ca="1">IFERROR(__xludf.DUMMYFUNCTION("""COMPUTED_VALUE"""),44060.9986111111)</f>
        <v>44060.998611111099</v>
      </c>
      <c r="AD921" s="6">
        <f ca="1">IFERROR(__xludf.DUMMYFUNCTION("""COMPUTED_VALUE"""),1183.1)</f>
        <v>1183.0999999999999</v>
      </c>
      <c r="AH921" s="6" t="str">
        <f t="shared" ca="1" si="264"/>
        <v>20207</v>
      </c>
      <c r="AI921" s="6">
        <f t="shared" ca="1" si="265"/>
        <v>2020</v>
      </c>
      <c r="AJ921" s="6">
        <f t="shared" ca="1" si="266"/>
        <v>7</v>
      </c>
      <c r="AK921" s="68">
        <f ca="1">IFERROR(__xludf.DUMMYFUNCTION("""COMPUTED_VALUE"""),44013.9986111111)</f>
        <v>44013.998611111099</v>
      </c>
      <c r="AL921" s="6">
        <f ca="1">IFERROR(__xludf.DUMMYFUNCTION("""COMPUTED_VALUE"""),9236.278)</f>
        <v>9236.2780000000002</v>
      </c>
      <c r="AP921" s="6" t="str">
        <f t="shared" ca="1" si="267"/>
        <v>20219</v>
      </c>
      <c r="AQ921" s="6">
        <f t="shared" ca="1" si="268"/>
        <v>2021</v>
      </c>
      <c r="AR921" s="6">
        <f t="shared" ca="1" si="269"/>
        <v>9</v>
      </c>
      <c r="AS921" s="68">
        <f ca="1">IFERROR(__xludf.DUMMYFUNCTION("""COMPUTED_VALUE"""),44441.9986111111)</f>
        <v>44441.998611111099</v>
      </c>
      <c r="AT921" s="6">
        <f ca="1">IFERROR(__xludf.DUMMYFUNCTION("""COMPUTED_VALUE"""),1811.5)</f>
        <v>1811.5</v>
      </c>
    </row>
    <row r="922" spans="2:46" x14ac:dyDescent="0.35">
      <c r="B922" s="6" t="str">
        <f t="shared" ca="1" si="252"/>
        <v>20218</v>
      </c>
      <c r="C922" s="6">
        <f t="shared" ca="1" si="253"/>
        <v>2021</v>
      </c>
      <c r="D922" s="6">
        <f t="shared" ca="1" si="254"/>
        <v>8</v>
      </c>
      <c r="E922" s="68">
        <f ca="1">IFERROR(__xludf.DUMMYFUNCTION("""COMPUTED_VALUE"""),44434.6666666666)</f>
        <v>44434.666666666599</v>
      </c>
      <c r="F922" s="6">
        <f ca="1">IFERROR(__xludf.DUMMYFUNCTION("""COMPUTED_VALUE"""),4470)</f>
        <v>4470</v>
      </c>
      <c r="J922" s="6" t="str">
        <f t="shared" ca="1" si="255"/>
        <v>20218</v>
      </c>
      <c r="K922" s="6">
        <f t="shared" ca="1" si="256"/>
        <v>2021</v>
      </c>
      <c r="L922" s="6">
        <f t="shared" ca="1" si="257"/>
        <v>8</v>
      </c>
      <c r="M922" s="68">
        <f ca="1">IFERROR(__xludf.DUMMYFUNCTION("""COMPUTED_VALUE"""),44427.6666666666)</f>
        <v>44427.666666666599</v>
      </c>
      <c r="N922" s="6">
        <f ca="1">IFERROR(__xludf.DUMMYFUNCTION("""COMPUTED_VALUE"""),14541.79)</f>
        <v>14541.79</v>
      </c>
      <c r="R922" s="6" t="str">
        <f t="shared" ca="1" si="258"/>
        <v>202110</v>
      </c>
      <c r="S922" s="6">
        <f t="shared" ca="1" si="259"/>
        <v>2021</v>
      </c>
      <c r="T922" s="6">
        <f t="shared" ca="1" si="260"/>
        <v>10</v>
      </c>
      <c r="U922" s="68">
        <f ca="1">IFERROR(__xludf.DUMMYFUNCTION("""COMPUTED_VALUE"""),44470.6458333333)</f>
        <v>44470.645833333299</v>
      </c>
      <c r="V922" s="6">
        <f ca="1">IFERROR(__xludf.DUMMYFUNCTION("""COMPUTED_VALUE"""),3019.18)</f>
        <v>3019.18</v>
      </c>
      <c r="Z922" s="6" t="str">
        <f t="shared" ca="1" si="261"/>
        <v>20208</v>
      </c>
      <c r="AA922" s="6">
        <f t="shared" ca="1" si="262"/>
        <v>2020</v>
      </c>
      <c r="AB922" s="6">
        <f t="shared" ca="1" si="263"/>
        <v>8</v>
      </c>
      <c r="AC922" s="68">
        <f ca="1">IFERROR(__xludf.DUMMYFUNCTION("""COMPUTED_VALUE"""),44061.9986111111)</f>
        <v>44061.998611111099</v>
      </c>
      <c r="AD922" s="6">
        <f ca="1">IFERROR(__xludf.DUMMYFUNCTION("""COMPUTED_VALUE"""),1183.64)</f>
        <v>1183.6400000000001</v>
      </c>
      <c r="AH922" s="6" t="str">
        <f t="shared" ca="1" si="264"/>
        <v>20207</v>
      </c>
      <c r="AI922" s="6">
        <f t="shared" ca="1" si="265"/>
        <v>2020</v>
      </c>
      <c r="AJ922" s="6">
        <f t="shared" ca="1" si="266"/>
        <v>7</v>
      </c>
      <c r="AK922" s="68">
        <f ca="1">IFERROR(__xludf.DUMMYFUNCTION("""COMPUTED_VALUE"""),44014.9986111111)</f>
        <v>44014.998611111099</v>
      </c>
      <c r="AL922" s="6">
        <f ca="1">IFERROR(__xludf.DUMMYFUNCTION("""COMPUTED_VALUE"""),9091.494)</f>
        <v>9091.4940000000006</v>
      </c>
      <c r="AP922" s="6" t="str">
        <f t="shared" ca="1" si="267"/>
        <v>20219</v>
      </c>
      <c r="AQ922" s="6">
        <f t="shared" ca="1" si="268"/>
        <v>2021</v>
      </c>
      <c r="AR922" s="6">
        <f t="shared" ca="1" si="269"/>
        <v>9</v>
      </c>
      <c r="AS922" s="68">
        <f ca="1">IFERROR(__xludf.DUMMYFUNCTION("""COMPUTED_VALUE"""),44442.9986111111)</f>
        <v>44442.998611111099</v>
      </c>
      <c r="AT922" s="6">
        <f ca="1">IFERROR(__xludf.DUMMYFUNCTION("""COMPUTED_VALUE"""),1833.7)</f>
        <v>1833.7</v>
      </c>
    </row>
    <row r="923" spans="2:46" x14ac:dyDescent="0.35">
      <c r="B923" s="6" t="str">
        <f t="shared" ca="1" si="252"/>
        <v>20218</v>
      </c>
      <c r="C923" s="6">
        <f t="shared" ca="1" si="253"/>
        <v>2021</v>
      </c>
      <c r="D923" s="6">
        <f t="shared" ca="1" si="254"/>
        <v>8</v>
      </c>
      <c r="E923" s="68">
        <f ca="1">IFERROR(__xludf.DUMMYFUNCTION("""COMPUTED_VALUE"""),44435.6666666666)</f>
        <v>44435.666666666599</v>
      </c>
      <c r="F923" s="6">
        <f ca="1">IFERROR(__xludf.DUMMYFUNCTION("""COMPUTED_VALUE"""),4509.37)</f>
        <v>4509.37</v>
      </c>
      <c r="J923" s="6" t="str">
        <f t="shared" ca="1" si="255"/>
        <v>20218</v>
      </c>
      <c r="K923" s="6">
        <f t="shared" ca="1" si="256"/>
        <v>2021</v>
      </c>
      <c r="L923" s="6">
        <f t="shared" ca="1" si="257"/>
        <v>8</v>
      </c>
      <c r="M923" s="68">
        <f ca="1">IFERROR(__xludf.DUMMYFUNCTION("""COMPUTED_VALUE"""),44428.6666666666)</f>
        <v>44428.666666666599</v>
      </c>
      <c r="N923" s="6">
        <f ca="1">IFERROR(__xludf.DUMMYFUNCTION("""COMPUTED_VALUE"""),14714.66)</f>
        <v>14714.66</v>
      </c>
      <c r="R923" s="6" t="str">
        <f t="shared" ca="1" si="258"/>
        <v>202110</v>
      </c>
      <c r="S923" s="6">
        <f t="shared" ca="1" si="259"/>
        <v>2021</v>
      </c>
      <c r="T923" s="6">
        <f t="shared" ca="1" si="260"/>
        <v>10</v>
      </c>
      <c r="U923" s="68">
        <f ca="1">IFERROR(__xludf.DUMMYFUNCTION("""COMPUTED_VALUE"""),44474.6458333333)</f>
        <v>44474.645833333299</v>
      </c>
      <c r="V923" s="6">
        <f ca="1">IFERROR(__xludf.DUMMYFUNCTION("""COMPUTED_VALUE"""),2962.17)</f>
        <v>2962.17</v>
      </c>
      <c r="Z923" s="6" t="str">
        <f t="shared" ca="1" si="261"/>
        <v>20208</v>
      </c>
      <c r="AA923" s="6">
        <f t="shared" ca="1" si="262"/>
        <v>2020</v>
      </c>
      <c r="AB923" s="6">
        <f t="shared" ca="1" si="263"/>
        <v>8</v>
      </c>
      <c r="AC923" s="68">
        <f ca="1">IFERROR(__xludf.DUMMYFUNCTION("""COMPUTED_VALUE"""),44062.9986111111)</f>
        <v>44062.998611111099</v>
      </c>
      <c r="AD923" s="6">
        <f ca="1">IFERROR(__xludf.DUMMYFUNCTION("""COMPUTED_VALUE"""),1181.21)</f>
        <v>1181.21</v>
      </c>
      <c r="AH923" s="6" t="str">
        <f t="shared" ca="1" si="264"/>
        <v>20207</v>
      </c>
      <c r="AI923" s="6">
        <f t="shared" ca="1" si="265"/>
        <v>2020</v>
      </c>
      <c r="AJ923" s="6">
        <f t="shared" ca="1" si="266"/>
        <v>7</v>
      </c>
      <c r="AK923" s="68">
        <f ca="1">IFERROR(__xludf.DUMMYFUNCTION("""COMPUTED_VALUE"""),44015.9986111111)</f>
        <v>44015.998611111099</v>
      </c>
      <c r="AL923" s="6">
        <f ca="1">IFERROR(__xludf.DUMMYFUNCTION("""COMPUTED_VALUE"""),9063.415)</f>
        <v>9063.4150000000009</v>
      </c>
      <c r="AP923" s="6" t="str">
        <f t="shared" ca="1" si="267"/>
        <v>20219</v>
      </c>
      <c r="AQ923" s="6">
        <f t="shared" ca="1" si="268"/>
        <v>2021</v>
      </c>
      <c r="AR923" s="6">
        <f t="shared" ca="1" si="269"/>
        <v>9</v>
      </c>
      <c r="AS923" s="68">
        <f ca="1">IFERROR(__xludf.DUMMYFUNCTION("""COMPUTED_VALUE"""),44446.9986111111)</f>
        <v>44446.998611111099</v>
      </c>
      <c r="AT923" s="6">
        <f ca="1">IFERROR(__xludf.DUMMYFUNCTION("""COMPUTED_VALUE"""),1798.5)</f>
        <v>1798.5</v>
      </c>
    </row>
    <row r="924" spans="2:46" x14ac:dyDescent="0.35">
      <c r="B924" s="6" t="str">
        <f t="shared" ca="1" si="252"/>
        <v>20218</v>
      </c>
      <c r="C924" s="6">
        <f t="shared" ca="1" si="253"/>
        <v>2021</v>
      </c>
      <c r="D924" s="6">
        <f t="shared" ca="1" si="254"/>
        <v>8</v>
      </c>
      <c r="E924" s="68">
        <f ca="1">IFERROR(__xludf.DUMMYFUNCTION("""COMPUTED_VALUE"""),44438.6666666666)</f>
        <v>44438.666666666599</v>
      </c>
      <c r="F924" s="6">
        <f ca="1">IFERROR(__xludf.DUMMYFUNCTION("""COMPUTED_VALUE"""),4528.79)</f>
        <v>4528.79</v>
      </c>
      <c r="J924" s="6" t="str">
        <f t="shared" ca="1" si="255"/>
        <v>20218</v>
      </c>
      <c r="K924" s="6">
        <f t="shared" ca="1" si="256"/>
        <v>2021</v>
      </c>
      <c r="L924" s="6">
        <f t="shared" ca="1" si="257"/>
        <v>8</v>
      </c>
      <c r="M924" s="68">
        <f ca="1">IFERROR(__xludf.DUMMYFUNCTION("""COMPUTED_VALUE"""),44431.6666666666)</f>
        <v>44431.666666666599</v>
      </c>
      <c r="N924" s="6">
        <f ca="1">IFERROR(__xludf.DUMMYFUNCTION("""COMPUTED_VALUE"""),14942.65)</f>
        <v>14942.65</v>
      </c>
      <c r="R924" s="6" t="str">
        <f t="shared" ca="1" si="258"/>
        <v>202110</v>
      </c>
      <c r="S924" s="6">
        <f t="shared" ca="1" si="259"/>
        <v>2021</v>
      </c>
      <c r="T924" s="6">
        <f t="shared" ca="1" si="260"/>
        <v>10</v>
      </c>
      <c r="U924" s="68">
        <f ca="1">IFERROR(__xludf.DUMMYFUNCTION("""COMPUTED_VALUE"""),44475.6458333333)</f>
        <v>44475.645833333299</v>
      </c>
      <c r="V924" s="6">
        <f ca="1">IFERROR(__xludf.DUMMYFUNCTION("""COMPUTED_VALUE"""),2908.31)</f>
        <v>2908.31</v>
      </c>
      <c r="Z924" s="6" t="str">
        <f t="shared" ca="1" si="261"/>
        <v>20208</v>
      </c>
      <c r="AA924" s="6">
        <f t="shared" ca="1" si="262"/>
        <v>2020</v>
      </c>
      <c r="AB924" s="6">
        <f t="shared" ca="1" si="263"/>
        <v>8</v>
      </c>
      <c r="AC924" s="68">
        <f ca="1">IFERROR(__xludf.DUMMYFUNCTION("""COMPUTED_VALUE"""),44063.9986111111)</f>
        <v>44063.998611111099</v>
      </c>
      <c r="AD924" s="6">
        <f ca="1">IFERROR(__xludf.DUMMYFUNCTION("""COMPUTED_VALUE"""),1184.29)</f>
        <v>1184.29</v>
      </c>
      <c r="AH924" s="6" t="str">
        <f t="shared" ca="1" si="264"/>
        <v>20207</v>
      </c>
      <c r="AI924" s="6">
        <f t="shared" ca="1" si="265"/>
        <v>2020</v>
      </c>
      <c r="AJ924" s="6">
        <f t="shared" ca="1" si="266"/>
        <v>7</v>
      </c>
      <c r="AK924" s="68">
        <f ca="1">IFERROR(__xludf.DUMMYFUNCTION("""COMPUTED_VALUE"""),44016.9986111111)</f>
        <v>44016.998611111099</v>
      </c>
      <c r="AL924" s="6">
        <f ca="1">IFERROR(__xludf.DUMMYFUNCTION("""COMPUTED_VALUE"""),9134.027)</f>
        <v>9134.027</v>
      </c>
      <c r="AP924" s="6" t="str">
        <f t="shared" ca="1" si="267"/>
        <v>20219</v>
      </c>
      <c r="AQ924" s="6">
        <f t="shared" ca="1" si="268"/>
        <v>2021</v>
      </c>
      <c r="AR924" s="6">
        <f t="shared" ca="1" si="269"/>
        <v>9</v>
      </c>
      <c r="AS924" s="68">
        <f ca="1">IFERROR(__xludf.DUMMYFUNCTION("""COMPUTED_VALUE"""),44447.9986111111)</f>
        <v>44447.998611111099</v>
      </c>
      <c r="AT924" s="6">
        <f ca="1">IFERROR(__xludf.DUMMYFUNCTION("""COMPUTED_VALUE"""),1793.5)</f>
        <v>1793.5</v>
      </c>
    </row>
    <row r="925" spans="2:46" x14ac:dyDescent="0.35">
      <c r="B925" s="6" t="str">
        <f t="shared" ca="1" si="252"/>
        <v>20218</v>
      </c>
      <c r="C925" s="6">
        <f t="shared" ca="1" si="253"/>
        <v>2021</v>
      </c>
      <c r="D925" s="6">
        <f t="shared" ca="1" si="254"/>
        <v>8</v>
      </c>
      <c r="E925" s="68">
        <f ca="1">IFERROR(__xludf.DUMMYFUNCTION("""COMPUTED_VALUE"""),44439.6666666666)</f>
        <v>44439.666666666599</v>
      </c>
      <c r="F925" s="6">
        <f ca="1">IFERROR(__xludf.DUMMYFUNCTION("""COMPUTED_VALUE"""),4522.68)</f>
        <v>4522.68</v>
      </c>
      <c r="J925" s="6" t="str">
        <f t="shared" ca="1" si="255"/>
        <v>20218</v>
      </c>
      <c r="K925" s="6">
        <f t="shared" ca="1" si="256"/>
        <v>2021</v>
      </c>
      <c r="L925" s="6">
        <f t="shared" ca="1" si="257"/>
        <v>8</v>
      </c>
      <c r="M925" s="68">
        <f ca="1">IFERROR(__xludf.DUMMYFUNCTION("""COMPUTED_VALUE"""),44432.6666666666)</f>
        <v>44432.666666666599</v>
      </c>
      <c r="N925" s="6">
        <f ca="1">IFERROR(__xludf.DUMMYFUNCTION("""COMPUTED_VALUE"""),15019.8)</f>
        <v>15019.8</v>
      </c>
      <c r="R925" s="6" t="str">
        <f t="shared" ca="1" si="258"/>
        <v>202110</v>
      </c>
      <c r="S925" s="6">
        <f t="shared" ca="1" si="259"/>
        <v>2021</v>
      </c>
      <c r="T925" s="6">
        <f t="shared" ca="1" si="260"/>
        <v>10</v>
      </c>
      <c r="U925" s="68">
        <f ca="1">IFERROR(__xludf.DUMMYFUNCTION("""COMPUTED_VALUE"""),44476.6458333333)</f>
        <v>44476.645833333299</v>
      </c>
      <c r="V925" s="6">
        <f ca="1">IFERROR(__xludf.DUMMYFUNCTION("""COMPUTED_VALUE"""),2959.46)</f>
        <v>2959.46</v>
      </c>
      <c r="Z925" s="6" t="str">
        <f t="shared" ca="1" si="261"/>
        <v>20208</v>
      </c>
      <c r="AA925" s="6">
        <f t="shared" ca="1" si="262"/>
        <v>2020</v>
      </c>
      <c r="AB925" s="6">
        <f t="shared" ca="1" si="263"/>
        <v>8</v>
      </c>
      <c r="AC925" s="68">
        <f ca="1">IFERROR(__xludf.DUMMYFUNCTION("""COMPUTED_VALUE"""),44064.9986111111)</f>
        <v>44064.998611111099</v>
      </c>
      <c r="AD925" s="6">
        <f ca="1">IFERROR(__xludf.DUMMYFUNCTION("""COMPUTED_VALUE"""),1191.32)</f>
        <v>1191.32</v>
      </c>
      <c r="AH925" s="6" t="str">
        <f t="shared" ca="1" si="264"/>
        <v>20207</v>
      </c>
      <c r="AI925" s="6">
        <f t="shared" ca="1" si="265"/>
        <v>2020</v>
      </c>
      <c r="AJ925" s="6">
        <f t="shared" ca="1" si="266"/>
        <v>7</v>
      </c>
      <c r="AK925" s="68">
        <f ca="1">IFERROR(__xludf.DUMMYFUNCTION("""COMPUTED_VALUE"""),44017.9986111111)</f>
        <v>44017.998611111099</v>
      </c>
      <c r="AL925" s="6">
        <f ca="1">IFERROR(__xludf.DUMMYFUNCTION("""COMPUTED_VALUE"""),9084.367)</f>
        <v>9084.3670000000002</v>
      </c>
      <c r="AP925" s="6" t="str">
        <f t="shared" ca="1" si="267"/>
        <v>20219</v>
      </c>
      <c r="AQ925" s="6">
        <f t="shared" ca="1" si="268"/>
        <v>2021</v>
      </c>
      <c r="AR925" s="6">
        <f t="shared" ca="1" si="269"/>
        <v>9</v>
      </c>
      <c r="AS925" s="68">
        <f ca="1">IFERROR(__xludf.DUMMYFUNCTION("""COMPUTED_VALUE"""),44448.9986111111)</f>
        <v>44448.998611111099</v>
      </c>
      <c r="AT925" s="6">
        <f ca="1">IFERROR(__xludf.DUMMYFUNCTION("""COMPUTED_VALUE"""),1800)</f>
        <v>1800</v>
      </c>
    </row>
    <row r="926" spans="2:46" x14ac:dyDescent="0.35">
      <c r="B926" s="6" t="str">
        <f t="shared" ca="1" si="252"/>
        <v>20219</v>
      </c>
      <c r="C926" s="6">
        <f t="shared" ca="1" si="253"/>
        <v>2021</v>
      </c>
      <c r="D926" s="6">
        <f t="shared" ca="1" si="254"/>
        <v>9</v>
      </c>
      <c r="E926" s="68">
        <f ca="1">IFERROR(__xludf.DUMMYFUNCTION("""COMPUTED_VALUE"""),44440.6666666666)</f>
        <v>44440.666666666599</v>
      </c>
      <c r="F926" s="6">
        <f ca="1">IFERROR(__xludf.DUMMYFUNCTION("""COMPUTED_VALUE"""),4524.09)</f>
        <v>4524.09</v>
      </c>
      <c r="J926" s="6" t="str">
        <f t="shared" ca="1" si="255"/>
        <v>20218</v>
      </c>
      <c r="K926" s="6">
        <f t="shared" ca="1" si="256"/>
        <v>2021</v>
      </c>
      <c r="L926" s="6">
        <f t="shared" ca="1" si="257"/>
        <v>8</v>
      </c>
      <c r="M926" s="68">
        <f ca="1">IFERROR(__xludf.DUMMYFUNCTION("""COMPUTED_VALUE"""),44433.6666666666)</f>
        <v>44433.666666666599</v>
      </c>
      <c r="N926" s="6">
        <f ca="1">IFERROR(__xludf.DUMMYFUNCTION("""COMPUTED_VALUE"""),15041.86)</f>
        <v>15041.86</v>
      </c>
      <c r="R926" s="6" t="str">
        <f t="shared" ca="1" si="258"/>
        <v>202110</v>
      </c>
      <c r="S926" s="6">
        <f t="shared" ca="1" si="259"/>
        <v>2021</v>
      </c>
      <c r="T926" s="6">
        <f t="shared" ca="1" si="260"/>
        <v>10</v>
      </c>
      <c r="U926" s="68">
        <f ca="1">IFERROR(__xludf.DUMMYFUNCTION("""COMPUTED_VALUE"""),44477.6458333333)</f>
        <v>44477.645833333299</v>
      </c>
      <c r="V926" s="6">
        <f ca="1">IFERROR(__xludf.DUMMYFUNCTION("""COMPUTED_VALUE"""),2956.3)</f>
        <v>2956.3</v>
      </c>
      <c r="Z926" s="6" t="str">
        <f t="shared" ca="1" si="261"/>
        <v>20208</v>
      </c>
      <c r="AA926" s="6">
        <f t="shared" ca="1" si="262"/>
        <v>2020</v>
      </c>
      <c r="AB926" s="6">
        <f t="shared" ca="1" si="263"/>
        <v>8</v>
      </c>
      <c r="AC926" s="68">
        <f ca="1">IFERROR(__xludf.DUMMYFUNCTION("""COMPUTED_VALUE"""),44065.9986111111)</f>
        <v>44065.998611111099</v>
      </c>
      <c r="AD926" s="6">
        <f ca="1">IFERROR(__xludf.DUMMYFUNCTION("""COMPUTED_VALUE"""),1191.32)</f>
        <v>1191.32</v>
      </c>
      <c r="AH926" s="6" t="str">
        <f t="shared" ca="1" si="264"/>
        <v>20207</v>
      </c>
      <c r="AI926" s="6">
        <f t="shared" ca="1" si="265"/>
        <v>2020</v>
      </c>
      <c r="AJ926" s="6">
        <f t="shared" ca="1" si="266"/>
        <v>7</v>
      </c>
      <c r="AK926" s="68">
        <f ca="1">IFERROR(__xludf.DUMMYFUNCTION("""COMPUTED_VALUE"""),44018.9986111111)</f>
        <v>44018.998611111099</v>
      </c>
      <c r="AL926" s="6">
        <f ca="1">IFERROR(__xludf.DUMMYFUNCTION("""COMPUTED_VALUE"""),9347.735)</f>
        <v>9347.7350000000006</v>
      </c>
      <c r="AP926" s="6" t="str">
        <f t="shared" ca="1" si="267"/>
        <v>20219</v>
      </c>
      <c r="AQ926" s="6">
        <f t="shared" ca="1" si="268"/>
        <v>2021</v>
      </c>
      <c r="AR926" s="6">
        <f t="shared" ca="1" si="269"/>
        <v>9</v>
      </c>
      <c r="AS926" s="68">
        <f ca="1">IFERROR(__xludf.DUMMYFUNCTION("""COMPUTED_VALUE"""),44449.9986111111)</f>
        <v>44449.998611111099</v>
      </c>
      <c r="AT926" s="6">
        <f ca="1">IFERROR(__xludf.DUMMYFUNCTION("""COMPUTED_VALUE"""),1792.1)</f>
        <v>1792.1</v>
      </c>
    </row>
    <row r="927" spans="2:46" x14ac:dyDescent="0.35">
      <c r="B927" s="6" t="str">
        <f t="shared" ca="1" si="252"/>
        <v>20219</v>
      </c>
      <c r="C927" s="6">
        <f t="shared" ca="1" si="253"/>
        <v>2021</v>
      </c>
      <c r="D927" s="6">
        <f t="shared" ca="1" si="254"/>
        <v>9</v>
      </c>
      <c r="E927" s="68">
        <f ca="1">IFERROR(__xludf.DUMMYFUNCTION("""COMPUTED_VALUE"""),44441.6666666666)</f>
        <v>44441.666666666599</v>
      </c>
      <c r="F927" s="6">
        <f ca="1">IFERROR(__xludf.DUMMYFUNCTION("""COMPUTED_VALUE"""),4536.95)</f>
        <v>4536.95</v>
      </c>
      <c r="J927" s="6" t="str">
        <f t="shared" ca="1" si="255"/>
        <v>20218</v>
      </c>
      <c r="K927" s="6">
        <f t="shared" ca="1" si="256"/>
        <v>2021</v>
      </c>
      <c r="L927" s="6">
        <f t="shared" ca="1" si="257"/>
        <v>8</v>
      </c>
      <c r="M927" s="68">
        <f ca="1">IFERROR(__xludf.DUMMYFUNCTION("""COMPUTED_VALUE"""),44434.6666666666)</f>
        <v>44434.666666666599</v>
      </c>
      <c r="N927" s="6">
        <f ca="1">IFERROR(__xludf.DUMMYFUNCTION("""COMPUTED_VALUE"""),14945.81)</f>
        <v>14945.81</v>
      </c>
      <c r="R927" s="6" t="str">
        <f t="shared" ca="1" si="258"/>
        <v>202110</v>
      </c>
      <c r="S927" s="6">
        <f t="shared" ca="1" si="259"/>
        <v>2021</v>
      </c>
      <c r="T927" s="6">
        <f t="shared" ca="1" si="260"/>
        <v>10</v>
      </c>
      <c r="U927" s="68">
        <f ca="1">IFERROR(__xludf.DUMMYFUNCTION("""COMPUTED_VALUE"""),44481.6458333333)</f>
        <v>44481.645833333299</v>
      </c>
      <c r="V927" s="6">
        <f ca="1">IFERROR(__xludf.DUMMYFUNCTION("""COMPUTED_VALUE"""),2916.38)</f>
        <v>2916.38</v>
      </c>
      <c r="Z927" s="6" t="str">
        <f t="shared" ca="1" si="261"/>
        <v>20208</v>
      </c>
      <c r="AA927" s="6">
        <f t="shared" ca="1" si="262"/>
        <v>2020</v>
      </c>
      <c r="AB927" s="6">
        <f t="shared" ca="1" si="263"/>
        <v>8</v>
      </c>
      <c r="AC927" s="68">
        <f ca="1">IFERROR(__xludf.DUMMYFUNCTION("""COMPUTED_VALUE"""),44066.9986111111)</f>
        <v>44066.998611111099</v>
      </c>
      <c r="AD927" s="6">
        <f ca="1">IFERROR(__xludf.DUMMYFUNCTION("""COMPUTED_VALUE"""),1191.2)</f>
        <v>1191.2</v>
      </c>
      <c r="AH927" s="6" t="str">
        <f t="shared" ca="1" si="264"/>
        <v>20207</v>
      </c>
      <c r="AI927" s="6">
        <f t="shared" ca="1" si="265"/>
        <v>2020</v>
      </c>
      <c r="AJ927" s="6">
        <f t="shared" ca="1" si="266"/>
        <v>7</v>
      </c>
      <c r="AK927" s="68">
        <f ca="1">IFERROR(__xludf.DUMMYFUNCTION("""COMPUTED_VALUE"""),44019.9986111111)</f>
        <v>44019.998611111099</v>
      </c>
      <c r="AL927" s="6">
        <f ca="1">IFERROR(__xludf.DUMMYFUNCTION("""COMPUTED_VALUE"""),9256.041)</f>
        <v>9256.0409999999993</v>
      </c>
      <c r="AP927" s="6" t="str">
        <f t="shared" ca="1" si="267"/>
        <v>20219</v>
      </c>
      <c r="AQ927" s="6">
        <f t="shared" ca="1" si="268"/>
        <v>2021</v>
      </c>
      <c r="AR927" s="6">
        <f t="shared" ca="1" si="269"/>
        <v>9</v>
      </c>
      <c r="AS927" s="68">
        <f ca="1">IFERROR(__xludf.DUMMYFUNCTION("""COMPUTED_VALUE"""),44452.9986111111)</f>
        <v>44452.998611111099</v>
      </c>
      <c r="AT927" s="6">
        <f ca="1">IFERROR(__xludf.DUMMYFUNCTION("""COMPUTED_VALUE"""),1794.4)</f>
        <v>1794.4</v>
      </c>
    </row>
    <row r="928" spans="2:46" x14ac:dyDescent="0.35">
      <c r="B928" s="6" t="str">
        <f t="shared" ca="1" si="252"/>
        <v>20219</v>
      </c>
      <c r="C928" s="6">
        <f t="shared" ca="1" si="253"/>
        <v>2021</v>
      </c>
      <c r="D928" s="6">
        <f t="shared" ca="1" si="254"/>
        <v>9</v>
      </c>
      <c r="E928" s="68">
        <f ca="1">IFERROR(__xludf.DUMMYFUNCTION("""COMPUTED_VALUE"""),44442.6666666666)</f>
        <v>44442.666666666599</v>
      </c>
      <c r="F928" s="6">
        <f ca="1">IFERROR(__xludf.DUMMYFUNCTION("""COMPUTED_VALUE"""),4535.43)</f>
        <v>4535.43</v>
      </c>
      <c r="J928" s="6" t="str">
        <f t="shared" ca="1" si="255"/>
        <v>20218</v>
      </c>
      <c r="K928" s="6">
        <f t="shared" ca="1" si="256"/>
        <v>2021</v>
      </c>
      <c r="L928" s="6">
        <f t="shared" ca="1" si="257"/>
        <v>8</v>
      </c>
      <c r="M928" s="68">
        <f ca="1">IFERROR(__xludf.DUMMYFUNCTION("""COMPUTED_VALUE"""),44435.6666666666)</f>
        <v>44435.666666666599</v>
      </c>
      <c r="N928" s="6">
        <f ca="1">IFERROR(__xludf.DUMMYFUNCTION("""COMPUTED_VALUE"""),15129.5)</f>
        <v>15129.5</v>
      </c>
      <c r="R928" s="6" t="str">
        <f t="shared" ca="1" si="258"/>
        <v>202110</v>
      </c>
      <c r="S928" s="6">
        <f t="shared" ca="1" si="259"/>
        <v>2021</v>
      </c>
      <c r="T928" s="6">
        <f t="shared" ca="1" si="260"/>
        <v>10</v>
      </c>
      <c r="U928" s="68">
        <f ca="1">IFERROR(__xludf.DUMMYFUNCTION("""COMPUTED_VALUE"""),44482.6458333333)</f>
        <v>44482.645833333299</v>
      </c>
      <c r="V928" s="6">
        <f ca="1">IFERROR(__xludf.DUMMYFUNCTION("""COMPUTED_VALUE"""),2944.41)</f>
        <v>2944.41</v>
      </c>
      <c r="Z928" s="6" t="str">
        <f t="shared" ca="1" si="261"/>
        <v>20208</v>
      </c>
      <c r="AA928" s="6">
        <f t="shared" ca="1" si="262"/>
        <v>2020</v>
      </c>
      <c r="AB928" s="6">
        <f t="shared" ca="1" si="263"/>
        <v>8</v>
      </c>
      <c r="AC928" s="68">
        <f ca="1">IFERROR(__xludf.DUMMYFUNCTION("""COMPUTED_VALUE"""),44067.9986111111)</f>
        <v>44067.998611111099</v>
      </c>
      <c r="AD928" s="6">
        <f ca="1">IFERROR(__xludf.DUMMYFUNCTION("""COMPUTED_VALUE"""),1188.25)</f>
        <v>1188.25</v>
      </c>
      <c r="AH928" s="6" t="str">
        <f t="shared" ca="1" si="264"/>
        <v>20207</v>
      </c>
      <c r="AI928" s="6">
        <f t="shared" ca="1" si="265"/>
        <v>2020</v>
      </c>
      <c r="AJ928" s="6">
        <f t="shared" ca="1" si="266"/>
        <v>7</v>
      </c>
      <c r="AK928" s="68">
        <f ca="1">IFERROR(__xludf.DUMMYFUNCTION("""COMPUTED_VALUE"""),44020.9986111111)</f>
        <v>44020.998611111099</v>
      </c>
      <c r="AL928" s="6">
        <f ca="1">IFERROR(__xludf.DUMMYFUNCTION("""COMPUTED_VALUE"""),9438.188)</f>
        <v>9438.1880000000001</v>
      </c>
      <c r="AP928" s="6" t="str">
        <f t="shared" ca="1" si="267"/>
        <v>20219</v>
      </c>
      <c r="AQ928" s="6">
        <f t="shared" ca="1" si="268"/>
        <v>2021</v>
      </c>
      <c r="AR928" s="6">
        <f t="shared" ca="1" si="269"/>
        <v>9</v>
      </c>
      <c r="AS928" s="68">
        <f ca="1">IFERROR(__xludf.DUMMYFUNCTION("""COMPUTED_VALUE"""),44453.9986111111)</f>
        <v>44453.998611111099</v>
      </c>
      <c r="AT928" s="6">
        <f ca="1">IFERROR(__xludf.DUMMYFUNCTION("""COMPUTED_VALUE"""),1807.1)</f>
        <v>1807.1</v>
      </c>
    </row>
    <row r="929" spans="2:46" x14ac:dyDescent="0.35">
      <c r="B929" s="6" t="str">
        <f t="shared" ca="1" si="252"/>
        <v>20219</v>
      </c>
      <c r="C929" s="6">
        <f t="shared" ca="1" si="253"/>
        <v>2021</v>
      </c>
      <c r="D929" s="6">
        <f t="shared" ca="1" si="254"/>
        <v>9</v>
      </c>
      <c r="E929" s="68">
        <f ca="1">IFERROR(__xludf.DUMMYFUNCTION("""COMPUTED_VALUE"""),44446.6666666666)</f>
        <v>44446.666666666599</v>
      </c>
      <c r="F929" s="6">
        <f ca="1">IFERROR(__xludf.DUMMYFUNCTION("""COMPUTED_VALUE"""),4520.03)</f>
        <v>4520.03</v>
      </c>
      <c r="J929" s="6" t="str">
        <f t="shared" ca="1" si="255"/>
        <v>20218</v>
      </c>
      <c r="K929" s="6">
        <f t="shared" ca="1" si="256"/>
        <v>2021</v>
      </c>
      <c r="L929" s="6">
        <f t="shared" ca="1" si="257"/>
        <v>8</v>
      </c>
      <c r="M929" s="68">
        <f ca="1">IFERROR(__xludf.DUMMYFUNCTION("""COMPUTED_VALUE"""),44438.6666666666)</f>
        <v>44438.666666666599</v>
      </c>
      <c r="N929" s="6">
        <f ca="1">IFERROR(__xludf.DUMMYFUNCTION("""COMPUTED_VALUE"""),15265.89)</f>
        <v>15265.89</v>
      </c>
      <c r="R929" s="6" t="str">
        <f t="shared" ca="1" si="258"/>
        <v>202110</v>
      </c>
      <c r="S929" s="6">
        <f t="shared" ca="1" si="259"/>
        <v>2021</v>
      </c>
      <c r="T929" s="6">
        <f t="shared" ca="1" si="260"/>
        <v>10</v>
      </c>
      <c r="U929" s="68">
        <f ca="1">IFERROR(__xludf.DUMMYFUNCTION("""COMPUTED_VALUE"""),44483.6458333333)</f>
        <v>44483.645833333299</v>
      </c>
      <c r="V929" s="6">
        <f ca="1">IFERROR(__xludf.DUMMYFUNCTION("""COMPUTED_VALUE"""),2988.64)</f>
        <v>2988.64</v>
      </c>
      <c r="Z929" s="6" t="str">
        <f t="shared" ca="1" si="261"/>
        <v>20208</v>
      </c>
      <c r="AA929" s="6">
        <f t="shared" ca="1" si="262"/>
        <v>2020</v>
      </c>
      <c r="AB929" s="6">
        <f t="shared" ca="1" si="263"/>
        <v>8</v>
      </c>
      <c r="AC929" s="68">
        <f ca="1">IFERROR(__xludf.DUMMYFUNCTION("""COMPUTED_VALUE"""),44068.9986111111)</f>
        <v>44068.998611111099</v>
      </c>
      <c r="AD929" s="6">
        <f ca="1">IFERROR(__xludf.DUMMYFUNCTION("""COMPUTED_VALUE"""),1186.46)</f>
        <v>1186.46</v>
      </c>
      <c r="AH929" s="6" t="str">
        <f t="shared" ca="1" si="264"/>
        <v>20207</v>
      </c>
      <c r="AI929" s="6">
        <f t="shared" ca="1" si="265"/>
        <v>2020</v>
      </c>
      <c r="AJ929" s="6">
        <f t="shared" ca="1" si="266"/>
        <v>7</v>
      </c>
      <c r="AK929" s="68">
        <f ca="1">IFERROR(__xludf.DUMMYFUNCTION("""COMPUTED_VALUE"""),44021.9986111111)</f>
        <v>44021.998611111099</v>
      </c>
      <c r="AL929" s="6">
        <f ca="1">IFERROR(__xludf.DUMMYFUNCTION("""COMPUTED_VALUE"""),9238.551)</f>
        <v>9238.5509999999995</v>
      </c>
      <c r="AP929" s="6" t="str">
        <f t="shared" ca="1" si="267"/>
        <v>20219</v>
      </c>
      <c r="AQ929" s="6">
        <f t="shared" ca="1" si="268"/>
        <v>2021</v>
      </c>
      <c r="AR929" s="6">
        <f t="shared" ca="1" si="269"/>
        <v>9</v>
      </c>
      <c r="AS929" s="68">
        <f ca="1">IFERROR(__xludf.DUMMYFUNCTION("""COMPUTED_VALUE"""),44454.9986111111)</f>
        <v>44454.998611111099</v>
      </c>
      <c r="AT929" s="6">
        <f ca="1">IFERROR(__xludf.DUMMYFUNCTION("""COMPUTED_VALUE"""),1794.8)</f>
        <v>1794.8</v>
      </c>
    </row>
    <row r="930" spans="2:46" x14ac:dyDescent="0.35">
      <c r="B930" s="6" t="str">
        <f t="shared" ca="1" si="252"/>
        <v>20219</v>
      </c>
      <c r="C930" s="6">
        <f t="shared" ca="1" si="253"/>
        <v>2021</v>
      </c>
      <c r="D930" s="6">
        <f t="shared" ca="1" si="254"/>
        <v>9</v>
      </c>
      <c r="E930" s="68">
        <f ca="1">IFERROR(__xludf.DUMMYFUNCTION("""COMPUTED_VALUE"""),44447.6666666666)</f>
        <v>44447.666666666599</v>
      </c>
      <c r="F930" s="6">
        <f ca="1">IFERROR(__xludf.DUMMYFUNCTION("""COMPUTED_VALUE"""),4514.07)</f>
        <v>4514.07</v>
      </c>
      <c r="J930" s="6" t="str">
        <f t="shared" ca="1" si="255"/>
        <v>20218</v>
      </c>
      <c r="K930" s="6">
        <f t="shared" ca="1" si="256"/>
        <v>2021</v>
      </c>
      <c r="L930" s="6">
        <f t="shared" ca="1" si="257"/>
        <v>8</v>
      </c>
      <c r="M930" s="68">
        <f ca="1">IFERROR(__xludf.DUMMYFUNCTION("""COMPUTED_VALUE"""),44439.6666666666)</f>
        <v>44439.666666666599</v>
      </c>
      <c r="N930" s="6">
        <f ca="1">IFERROR(__xludf.DUMMYFUNCTION("""COMPUTED_VALUE"""),15259.24)</f>
        <v>15259.24</v>
      </c>
      <c r="R930" s="6" t="str">
        <f t="shared" ca="1" si="258"/>
        <v>202110</v>
      </c>
      <c r="S930" s="6">
        <f t="shared" ca="1" si="259"/>
        <v>2021</v>
      </c>
      <c r="T930" s="6">
        <f t="shared" ca="1" si="260"/>
        <v>10</v>
      </c>
      <c r="U930" s="68">
        <f ca="1">IFERROR(__xludf.DUMMYFUNCTION("""COMPUTED_VALUE"""),44484.6458333333)</f>
        <v>44484.645833333299</v>
      </c>
      <c r="V930" s="6">
        <f ca="1">IFERROR(__xludf.DUMMYFUNCTION("""COMPUTED_VALUE"""),3015.06)</f>
        <v>3015.06</v>
      </c>
      <c r="Z930" s="6" t="str">
        <f t="shared" ca="1" si="261"/>
        <v>20208</v>
      </c>
      <c r="AA930" s="6">
        <f t="shared" ca="1" si="262"/>
        <v>2020</v>
      </c>
      <c r="AB930" s="6">
        <f t="shared" ca="1" si="263"/>
        <v>8</v>
      </c>
      <c r="AC930" s="68">
        <f ca="1">IFERROR(__xludf.DUMMYFUNCTION("""COMPUTED_VALUE"""),44069.9986111111)</f>
        <v>44069.998611111099</v>
      </c>
      <c r="AD930" s="6">
        <f ca="1">IFERROR(__xludf.DUMMYFUNCTION("""COMPUTED_VALUE"""),1183.85)</f>
        <v>1183.8499999999999</v>
      </c>
      <c r="AH930" s="6" t="str">
        <f t="shared" ca="1" si="264"/>
        <v>20207</v>
      </c>
      <c r="AI930" s="6">
        <f t="shared" ca="1" si="265"/>
        <v>2020</v>
      </c>
      <c r="AJ930" s="6">
        <f t="shared" ca="1" si="266"/>
        <v>7</v>
      </c>
      <c r="AK930" s="68">
        <f ca="1">IFERROR(__xludf.DUMMYFUNCTION("""COMPUTED_VALUE"""),44022.9986111111)</f>
        <v>44022.998611111099</v>
      </c>
      <c r="AL930" s="6">
        <f ca="1">IFERROR(__xludf.DUMMYFUNCTION("""COMPUTED_VALUE"""),9287.806)</f>
        <v>9287.8060000000005</v>
      </c>
      <c r="AP930" s="6" t="str">
        <f t="shared" ca="1" si="267"/>
        <v>20219</v>
      </c>
      <c r="AQ930" s="6">
        <f t="shared" ca="1" si="268"/>
        <v>2021</v>
      </c>
      <c r="AR930" s="6">
        <f t="shared" ca="1" si="269"/>
        <v>9</v>
      </c>
      <c r="AS930" s="68">
        <f ca="1">IFERROR(__xludf.DUMMYFUNCTION("""COMPUTED_VALUE"""),44455.9986111111)</f>
        <v>44455.998611111099</v>
      </c>
      <c r="AT930" s="6">
        <f ca="1">IFERROR(__xludf.DUMMYFUNCTION("""COMPUTED_VALUE"""),1756.7)</f>
        <v>1756.7</v>
      </c>
    </row>
    <row r="931" spans="2:46" x14ac:dyDescent="0.35">
      <c r="B931" s="6" t="str">
        <f t="shared" ca="1" si="252"/>
        <v>20219</v>
      </c>
      <c r="C931" s="6">
        <f t="shared" ca="1" si="253"/>
        <v>2021</v>
      </c>
      <c r="D931" s="6">
        <f t="shared" ca="1" si="254"/>
        <v>9</v>
      </c>
      <c r="E931" s="68">
        <f ca="1">IFERROR(__xludf.DUMMYFUNCTION("""COMPUTED_VALUE"""),44448.6666666666)</f>
        <v>44448.666666666599</v>
      </c>
      <c r="F931" s="6">
        <f ca="1">IFERROR(__xludf.DUMMYFUNCTION("""COMPUTED_VALUE"""),4493.28)</f>
        <v>4493.28</v>
      </c>
      <c r="J931" s="6" t="str">
        <f t="shared" ca="1" si="255"/>
        <v>20219</v>
      </c>
      <c r="K931" s="6">
        <f t="shared" ca="1" si="256"/>
        <v>2021</v>
      </c>
      <c r="L931" s="6">
        <f t="shared" ca="1" si="257"/>
        <v>9</v>
      </c>
      <c r="M931" s="68">
        <f ca="1">IFERROR(__xludf.DUMMYFUNCTION("""COMPUTED_VALUE"""),44440.6666666666)</f>
        <v>44440.666666666599</v>
      </c>
      <c r="N931" s="6">
        <f ca="1">IFERROR(__xludf.DUMMYFUNCTION("""COMPUTED_VALUE"""),15309.38)</f>
        <v>15309.38</v>
      </c>
      <c r="R931" s="6" t="str">
        <f t="shared" ca="1" si="258"/>
        <v>202110</v>
      </c>
      <c r="S931" s="6">
        <f t="shared" ca="1" si="259"/>
        <v>2021</v>
      </c>
      <c r="T931" s="6">
        <f t="shared" ca="1" si="260"/>
        <v>10</v>
      </c>
      <c r="U931" s="68">
        <f ca="1">IFERROR(__xludf.DUMMYFUNCTION("""COMPUTED_VALUE"""),44487.6458333333)</f>
        <v>44487.645833333299</v>
      </c>
      <c r="V931" s="6">
        <f ca="1">IFERROR(__xludf.DUMMYFUNCTION("""COMPUTED_VALUE"""),3006.68)</f>
        <v>3006.68</v>
      </c>
      <c r="Z931" s="6" t="str">
        <f t="shared" ca="1" si="261"/>
        <v>20208</v>
      </c>
      <c r="AA931" s="6">
        <f t="shared" ca="1" si="262"/>
        <v>2020</v>
      </c>
      <c r="AB931" s="6">
        <f t="shared" ca="1" si="263"/>
        <v>8</v>
      </c>
      <c r="AC931" s="68">
        <f ca="1">IFERROR(__xludf.DUMMYFUNCTION("""COMPUTED_VALUE"""),44070.9986111111)</f>
        <v>44070.998611111099</v>
      </c>
      <c r="AD931" s="6">
        <f ca="1">IFERROR(__xludf.DUMMYFUNCTION("""COMPUTED_VALUE"""),1186.58)</f>
        <v>1186.58</v>
      </c>
      <c r="AH931" s="6" t="str">
        <f t="shared" ca="1" si="264"/>
        <v>20207</v>
      </c>
      <c r="AI931" s="6">
        <f t="shared" ca="1" si="265"/>
        <v>2020</v>
      </c>
      <c r="AJ931" s="6">
        <f t="shared" ca="1" si="266"/>
        <v>7</v>
      </c>
      <c r="AK931" s="68">
        <f ca="1">IFERROR(__xludf.DUMMYFUNCTION("""COMPUTED_VALUE"""),44023.9986111111)</f>
        <v>44023.998611111099</v>
      </c>
      <c r="AL931" s="6">
        <f ca="1">IFERROR(__xludf.DUMMYFUNCTION("""COMPUTED_VALUE"""),9235.725)</f>
        <v>9235.7250000000004</v>
      </c>
      <c r="AP931" s="6" t="str">
        <f t="shared" ca="1" si="267"/>
        <v>20219</v>
      </c>
      <c r="AQ931" s="6">
        <f t="shared" ca="1" si="268"/>
        <v>2021</v>
      </c>
      <c r="AR931" s="6">
        <f t="shared" ca="1" si="269"/>
        <v>9</v>
      </c>
      <c r="AS931" s="68">
        <f ca="1">IFERROR(__xludf.DUMMYFUNCTION("""COMPUTED_VALUE"""),44456.9986111111)</f>
        <v>44456.998611111099</v>
      </c>
      <c r="AT931" s="6">
        <f ca="1">IFERROR(__xludf.DUMMYFUNCTION("""COMPUTED_VALUE"""),1751.4)</f>
        <v>1751.4</v>
      </c>
    </row>
    <row r="932" spans="2:46" x14ac:dyDescent="0.35">
      <c r="B932" s="6" t="str">
        <f t="shared" ca="1" si="252"/>
        <v>20219</v>
      </c>
      <c r="C932" s="6">
        <f t="shared" ca="1" si="253"/>
        <v>2021</v>
      </c>
      <c r="D932" s="6">
        <f t="shared" ca="1" si="254"/>
        <v>9</v>
      </c>
      <c r="E932" s="68">
        <f ca="1">IFERROR(__xludf.DUMMYFUNCTION("""COMPUTED_VALUE"""),44449.6666666666)</f>
        <v>44449.666666666599</v>
      </c>
      <c r="F932" s="6">
        <f ca="1">IFERROR(__xludf.DUMMYFUNCTION("""COMPUTED_VALUE"""),4458.58)</f>
        <v>4458.58</v>
      </c>
      <c r="J932" s="6" t="str">
        <f t="shared" ca="1" si="255"/>
        <v>20219</v>
      </c>
      <c r="K932" s="6">
        <f t="shared" ca="1" si="256"/>
        <v>2021</v>
      </c>
      <c r="L932" s="6">
        <f t="shared" ca="1" si="257"/>
        <v>9</v>
      </c>
      <c r="M932" s="68">
        <f ca="1">IFERROR(__xludf.DUMMYFUNCTION("""COMPUTED_VALUE"""),44441.6666666666)</f>
        <v>44441.666666666599</v>
      </c>
      <c r="N932" s="6">
        <f ca="1">IFERROR(__xludf.DUMMYFUNCTION("""COMPUTED_VALUE"""),15331.18)</f>
        <v>15331.18</v>
      </c>
      <c r="R932" s="6" t="str">
        <f t="shared" ca="1" si="258"/>
        <v>202110</v>
      </c>
      <c r="S932" s="6">
        <f t="shared" ca="1" si="259"/>
        <v>2021</v>
      </c>
      <c r="T932" s="6">
        <f t="shared" ca="1" si="260"/>
        <v>10</v>
      </c>
      <c r="U932" s="68">
        <f ca="1">IFERROR(__xludf.DUMMYFUNCTION("""COMPUTED_VALUE"""),44488.6458333333)</f>
        <v>44488.645833333299</v>
      </c>
      <c r="V932" s="6">
        <f ca="1">IFERROR(__xludf.DUMMYFUNCTION("""COMPUTED_VALUE"""),3029.04)</f>
        <v>3029.04</v>
      </c>
      <c r="Z932" s="6" t="str">
        <f t="shared" ca="1" si="261"/>
        <v>20208</v>
      </c>
      <c r="AA932" s="6">
        <f t="shared" ca="1" si="262"/>
        <v>2020</v>
      </c>
      <c r="AB932" s="6">
        <f t="shared" ca="1" si="263"/>
        <v>8</v>
      </c>
      <c r="AC932" s="68">
        <f ca="1">IFERROR(__xludf.DUMMYFUNCTION("""COMPUTED_VALUE"""),44071.9986111111)</f>
        <v>44071.998611111099</v>
      </c>
      <c r="AD932" s="6">
        <f ca="1">IFERROR(__xludf.DUMMYFUNCTION("""COMPUTED_VALUE"""),1180.11)</f>
        <v>1180.1099999999999</v>
      </c>
      <c r="AH932" s="6" t="str">
        <f t="shared" ca="1" si="264"/>
        <v>20207</v>
      </c>
      <c r="AI932" s="6">
        <f t="shared" ca="1" si="265"/>
        <v>2020</v>
      </c>
      <c r="AJ932" s="6">
        <f t="shared" ca="1" si="266"/>
        <v>7</v>
      </c>
      <c r="AK932" s="68">
        <f ca="1">IFERROR(__xludf.DUMMYFUNCTION("""COMPUTED_VALUE"""),44024.9986111111)</f>
        <v>44024.998611111099</v>
      </c>
      <c r="AL932" s="6">
        <f ca="1">IFERROR(__xludf.DUMMYFUNCTION("""COMPUTED_VALUE"""),9302.255)</f>
        <v>9302.2549999999992</v>
      </c>
      <c r="AP932" s="6" t="str">
        <f t="shared" ca="1" si="267"/>
        <v>20219</v>
      </c>
      <c r="AQ932" s="6">
        <f t="shared" ca="1" si="268"/>
        <v>2021</v>
      </c>
      <c r="AR932" s="6">
        <f t="shared" ca="1" si="269"/>
        <v>9</v>
      </c>
      <c r="AS932" s="68">
        <f ca="1">IFERROR(__xludf.DUMMYFUNCTION("""COMPUTED_VALUE"""),44459.9986111111)</f>
        <v>44459.998611111099</v>
      </c>
      <c r="AT932" s="6">
        <f ca="1">IFERROR(__xludf.DUMMYFUNCTION("""COMPUTED_VALUE"""),1763.8)</f>
        <v>1763.8</v>
      </c>
    </row>
    <row r="933" spans="2:46" x14ac:dyDescent="0.35">
      <c r="B933" s="6" t="str">
        <f t="shared" ca="1" si="252"/>
        <v>20219</v>
      </c>
      <c r="C933" s="6">
        <f t="shared" ca="1" si="253"/>
        <v>2021</v>
      </c>
      <c r="D933" s="6">
        <f t="shared" ca="1" si="254"/>
        <v>9</v>
      </c>
      <c r="E933" s="68">
        <f ca="1">IFERROR(__xludf.DUMMYFUNCTION("""COMPUTED_VALUE"""),44452.6666666666)</f>
        <v>44452.666666666599</v>
      </c>
      <c r="F933" s="6">
        <f ca="1">IFERROR(__xludf.DUMMYFUNCTION("""COMPUTED_VALUE"""),4468.73)</f>
        <v>4468.7299999999996</v>
      </c>
      <c r="J933" s="6" t="str">
        <f t="shared" ca="1" si="255"/>
        <v>20219</v>
      </c>
      <c r="K933" s="6">
        <f t="shared" ca="1" si="256"/>
        <v>2021</v>
      </c>
      <c r="L933" s="6">
        <f t="shared" ca="1" si="257"/>
        <v>9</v>
      </c>
      <c r="M933" s="68">
        <f ca="1">IFERROR(__xludf.DUMMYFUNCTION("""COMPUTED_VALUE"""),44442.6666666666)</f>
        <v>44442.666666666599</v>
      </c>
      <c r="N933" s="6">
        <f ca="1">IFERROR(__xludf.DUMMYFUNCTION("""COMPUTED_VALUE"""),15363.52)</f>
        <v>15363.52</v>
      </c>
      <c r="R933" s="6" t="str">
        <f t="shared" ca="1" si="258"/>
        <v>202110</v>
      </c>
      <c r="S933" s="6">
        <f t="shared" ca="1" si="259"/>
        <v>2021</v>
      </c>
      <c r="T933" s="6">
        <f t="shared" ca="1" si="260"/>
        <v>10</v>
      </c>
      <c r="U933" s="68">
        <f ca="1">IFERROR(__xludf.DUMMYFUNCTION("""COMPUTED_VALUE"""),44489.6458333333)</f>
        <v>44489.645833333299</v>
      </c>
      <c r="V933" s="6">
        <f ca="1">IFERROR(__xludf.DUMMYFUNCTION("""COMPUTED_VALUE"""),3013.13)</f>
        <v>3013.13</v>
      </c>
      <c r="Z933" s="6" t="str">
        <f t="shared" ca="1" si="261"/>
        <v>20208</v>
      </c>
      <c r="AA933" s="6">
        <f t="shared" ca="1" si="262"/>
        <v>2020</v>
      </c>
      <c r="AB933" s="6">
        <f t="shared" ca="1" si="263"/>
        <v>8</v>
      </c>
      <c r="AC933" s="68">
        <f ca="1">IFERROR(__xludf.DUMMYFUNCTION("""COMPUTED_VALUE"""),44072.9986111111)</f>
        <v>44072.998611111099</v>
      </c>
      <c r="AD933" s="6">
        <f ca="1">IFERROR(__xludf.DUMMYFUNCTION("""COMPUTED_VALUE"""),1180.11)</f>
        <v>1180.1099999999999</v>
      </c>
      <c r="AH933" s="6" t="str">
        <f t="shared" ca="1" si="264"/>
        <v>20207</v>
      </c>
      <c r="AI933" s="6">
        <f t="shared" ca="1" si="265"/>
        <v>2020</v>
      </c>
      <c r="AJ933" s="6">
        <f t="shared" ca="1" si="266"/>
        <v>7</v>
      </c>
      <c r="AK933" s="68">
        <f ca="1">IFERROR(__xludf.DUMMYFUNCTION("""COMPUTED_VALUE"""),44025.9986111111)</f>
        <v>44025.998611111099</v>
      </c>
      <c r="AL933" s="6">
        <f ca="1">IFERROR(__xludf.DUMMYFUNCTION("""COMPUTED_VALUE"""),9236.326)</f>
        <v>9236.3259999999991</v>
      </c>
      <c r="AP933" s="6" t="str">
        <f t="shared" ca="1" si="267"/>
        <v>20219</v>
      </c>
      <c r="AQ933" s="6">
        <f t="shared" ca="1" si="268"/>
        <v>2021</v>
      </c>
      <c r="AR933" s="6">
        <f t="shared" ca="1" si="269"/>
        <v>9</v>
      </c>
      <c r="AS933" s="68">
        <f ca="1">IFERROR(__xludf.DUMMYFUNCTION("""COMPUTED_VALUE"""),44460.9986111111)</f>
        <v>44460.998611111099</v>
      </c>
      <c r="AT933" s="6">
        <f ca="1">IFERROR(__xludf.DUMMYFUNCTION("""COMPUTED_VALUE"""),1778.2)</f>
        <v>1778.2</v>
      </c>
    </row>
    <row r="934" spans="2:46" x14ac:dyDescent="0.35">
      <c r="B934" s="6" t="str">
        <f t="shared" ca="1" si="252"/>
        <v>20219</v>
      </c>
      <c r="C934" s="6">
        <f t="shared" ca="1" si="253"/>
        <v>2021</v>
      </c>
      <c r="D934" s="6">
        <f t="shared" ca="1" si="254"/>
        <v>9</v>
      </c>
      <c r="E934" s="68">
        <f ca="1">IFERROR(__xludf.DUMMYFUNCTION("""COMPUTED_VALUE"""),44453.6666666666)</f>
        <v>44453.666666666599</v>
      </c>
      <c r="F934" s="6">
        <f ca="1">IFERROR(__xludf.DUMMYFUNCTION("""COMPUTED_VALUE"""),4443.05)</f>
        <v>4443.05</v>
      </c>
      <c r="J934" s="6" t="str">
        <f t="shared" ca="1" si="255"/>
        <v>20219</v>
      </c>
      <c r="K934" s="6">
        <f t="shared" ca="1" si="256"/>
        <v>2021</v>
      </c>
      <c r="L934" s="6">
        <f t="shared" ca="1" si="257"/>
        <v>9</v>
      </c>
      <c r="M934" s="68">
        <f ca="1">IFERROR(__xludf.DUMMYFUNCTION("""COMPUTED_VALUE"""),44446.6666666666)</f>
        <v>44446.666666666599</v>
      </c>
      <c r="N934" s="6">
        <f ca="1">IFERROR(__xludf.DUMMYFUNCTION("""COMPUTED_VALUE"""),15374.33)</f>
        <v>15374.33</v>
      </c>
      <c r="R934" s="6" t="str">
        <f t="shared" ca="1" si="258"/>
        <v>202110</v>
      </c>
      <c r="S934" s="6">
        <f t="shared" ca="1" si="259"/>
        <v>2021</v>
      </c>
      <c r="T934" s="6">
        <f t="shared" ca="1" si="260"/>
        <v>10</v>
      </c>
      <c r="U934" s="68">
        <f ca="1">IFERROR(__xludf.DUMMYFUNCTION("""COMPUTED_VALUE"""),44490.6458333333)</f>
        <v>44490.645833333299</v>
      </c>
      <c r="V934" s="6">
        <f ca="1">IFERROR(__xludf.DUMMYFUNCTION("""COMPUTED_VALUE"""),3007.33)</f>
        <v>3007.33</v>
      </c>
      <c r="Z934" s="6" t="str">
        <f t="shared" ca="1" si="261"/>
        <v>20208</v>
      </c>
      <c r="AA934" s="6">
        <f t="shared" ca="1" si="262"/>
        <v>2020</v>
      </c>
      <c r="AB934" s="6">
        <f t="shared" ca="1" si="263"/>
        <v>8</v>
      </c>
      <c r="AC934" s="68">
        <f ca="1">IFERROR(__xludf.DUMMYFUNCTION("""COMPUTED_VALUE"""),44073.9986111111)</f>
        <v>44073.998611111099</v>
      </c>
      <c r="AD934" s="6">
        <f ca="1">IFERROR(__xludf.DUMMYFUNCTION("""COMPUTED_VALUE"""),1179.59)</f>
        <v>1179.5899999999999</v>
      </c>
      <c r="AH934" s="6" t="str">
        <f t="shared" ca="1" si="264"/>
        <v>20207</v>
      </c>
      <c r="AI934" s="6">
        <f t="shared" ca="1" si="265"/>
        <v>2020</v>
      </c>
      <c r="AJ934" s="6">
        <f t="shared" ca="1" si="266"/>
        <v>7</v>
      </c>
      <c r="AK934" s="68">
        <f ca="1">IFERROR(__xludf.DUMMYFUNCTION("""COMPUTED_VALUE"""),44026.9986111111)</f>
        <v>44026.998611111099</v>
      </c>
      <c r="AL934" s="6">
        <f ca="1">IFERROR(__xludf.DUMMYFUNCTION("""COMPUTED_VALUE"""),9276.242)</f>
        <v>9276.2420000000002</v>
      </c>
      <c r="AP934" s="6" t="str">
        <f t="shared" ca="1" si="267"/>
        <v>20219</v>
      </c>
      <c r="AQ934" s="6">
        <f t="shared" ca="1" si="268"/>
        <v>2021</v>
      </c>
      <c r="AR934" s="6">
        <f t="shared" ca="1" si="269"/>
        <v>9</v>
      </c>
      <c r="AS934" s="68">
        <f ca="1">IFERROR(__xludf.DUMMYFUNCTION("""COMPUTED_VALUE"""),44461.9986111111)</f>
        <v>44461.998611111099</v>
      </c>
      <c r="AT934" s="6">
        <f ca="1">IFERROR(__xludf.DUMMYFUNCTION("""COMPUTED_VALUE"""),1778.8)</f>
        <v>1778.8</v>
      </c>
    </row>
    <row r="935" spans="2:46" x14ac:dyDescent="0.35">
      <c r="B935" s="6" t="str">
        <f t="shared" ca="1" si="252"/>
        <v>20219</v>
      </c>
      <c r="C935" s="6">
        <f t="shared" ca="1" si="253"/>
        <v>2021</v>
      </c>
      <c r="D935" s="6">
        <f t="shared" ca="1" si="254"/>
        <v>9</v>
      </c>
      <c r="E935" s="68">
        <f ca="1">IFERROR(__xludf.DUMMYFUNCTION("""COMPUTED_VALUE"""),44454.6666666666)</f>
        <v>44454.666666666599</v>
      </c>
      <c r="F935" s="6">
        <f ca="1">IFERROR(__xludf.DUMMYFUNCTION("""COMPUTED_VALUE"""),4480.7)</f>
        <v>4480.7</v>
      </c>
      <c r="J935" s="6" t="str">
        <f t="shared" ca="1" si="255"/>
        <v>20219</v>
      </c>
      <c r="K935" s="6">
        <f t="shared" ca="1" si="256"/>
        <v>2021</v>
      </c>
      <c r="L935" s="6">
        <f t="shared" ca="1" si="257"/>
        <v>9</v>
      </c>
      <c r="M935" s="68">
        <f ca="1">IFERROR(__xludf.DUMMYFUNCTION("""COMPUTED_VALUE"""),44447.6666666666)</f>
        <v>44447.666666666599</v>
      </c>
      <c r="N935" s="6">
        <f ca="1">IFERROR(__xludf.DUMMYFUNCTION("""COMPUTED_VALUE"""),15286.64)</f>
        <v>15286.64</v>
      </c>
      <c r="R935" s="6" t="str">
        <f t="shared" ca="1" si="258"/>
        <v>202110</v>
      </c>
      <c r="S935" s="6">
        <f t="shared" ca="1" si="259"/>
        <v>2021</v>
      </c>
      <c r="T935" s="6">
        <f t="shared" ca="1" si="260"/>
        <v>10</v>
      </c>
      <c r="U935" s="68">
        <f ca="1">IFERROR(__xludf.DUMMYFUNCTION("""COMPUTED_VALUE"""),44491.6458333333)</f>
        <v>44491.645833333299</v>
      </c>
      <c r="V935" s="6">
        <f ca="1">IFERROR(__xludf.DUMMYFUNCTION("""COMPUTED_VALUE"""),3006.16)</f>
        <v>3006.16</v>
      </c>
      <c r="Z935" s="6" t="str">
        <f t="shared" ca="1" si="261"/>
        <v>20208</v>
      </c>
      <c r="AA935" s="6">
        <f t="shared" ca="1" si="262"/>
        <v>2020</v>
      </c>
      <c r="AB935" s="6">
        <f t="shared" ca="1" si="263"/>
        <v>8</v>
      </c>
      <c r="AC935" s="68">
        <f ca="1">IFERROR(__xludf.DUMMYFUNCTION("""COMPUTED_VALUE"""),44074.9986111111)</f>
        <v>44074.998611111099</v>
      </c>
      <c r="AD935" s="6">
        <f ca="1">IFERROR(__xludf.DUMMYFUNCTION("""COMPUTED_VALUE"""),1187.04)</f>
        <v>1187.04</v>
      </c>
      <c r="AH935" s="6" t="str">
        <f t="shared" ca="1" si="264"/>
        <v>20207</v>
      </c>
      <c r="AI935" s="6">
        <f t="shared" ca="1" si="265"/>
        <v>2020</v>
      </c>
      <c r="AJ935" s="6">
        <f t="shared" ca="1" si="266"/>
        <v>7</v>
      </c>
      <c r="AK935" s="68">
        <f ca="1">IFERROR(__xludf.DUMMYFUNCTION("""COMPUTED_VALUE"""),44027.9986111111)</f>
        <v>44027.998611111099</v>
      </c>
      <c r="AL935" s="6">
        <f ca="1">IFERROR(__xludf.DUMMYFUNCTION("""COMPUTED_VALUE"""),9191.817)</f>
        <v>9191.8169999999991</v>
      </c>
      <c r="AP935" s="6" t="str">
        <f t="shared" ca="1" si="267"/>
        <v>20219</v>
      </c>
      <c r="AQ935" s="6">
        <f t="shared" ca="1" si="268"/>
        <v>2021</v>
      </c>
      <c r="AR935" s="6">
        <f t="shared" ca="1" si="269"/>
        <v>9</v>
      </c>
      <c r="AS935" s="68">
        <f ca="1">IFERROR(__xludf.DUMMYFUNCTION("""COMPUTED_VALUE"""),44462.9986111111)</f>
        <v>44462.998611111099</v>
      </c>
      <c r="AT935" s="6">
        <f ca="1">IFERROR(__xludf.DUMMYFUNCTION("""COMPUTED_VALUE"""),1749.8)</f>
        <v>1749.8</v>
      </c>
    </row>
    <row r="936" spans="2:46" x14ac:dyDescent="0.35">
      <c r="B936" s="6" t="str">
        <f t="shared" ca="1" si="252"/>
        <v>20219</v>
      </c>
      <c r="C936" s="6">
        <f t="shared" ca="1" si="253"/>
        <v>2021</v>
      </c>
      <c r="D936" s="6">
        <f t="shared" ca="1" si="254"/>
        <v>9</v>
      </c>
      <c r="E936" s="68">
        <f ca="1">IFERROR(__xludf.DUMMYFUNCTION("""COMPUTED_VALUE"""),44455.6666666666)</f>
        <v>44455.666666666599</v>
      </c>
      <c r="F936" s="6">
        <f ca="1">IFERROR(__xludf.DUMMYFUNCTION("""COMPUTED_VALUE"""),4473.75)</f>
        <v>4473.75</v>
      </c>
      <c r="J936" s="6" t="str">
        <f t="shared" ca="1" si="255"/>
        <v>20219</v>
      </c>
      <c r="K936" s="6">
        <f t="shared" ca="1" si="256"/>
        <v>2021</v>
      </c>
      <c r="L936" s="6">
        <f t="shared" ca="1" si="257"/>
        <v>9</v>
      </c>
      <c r="M936" s="68">
        <f ca="1">IFERROR(__xludf.DUMMYFUNCTION("""COMPUTED_VALUE"""),44448.6666666666)</f>
        <v>44448.666666666599</v>
      </c>
      <c r="N936" s="6">
        <f ca="1">IFERROR(__xludf.DUMMYFUNCTION("""COMPUTED_VALUE"""),15248.25)</f>
        <v>15248.25</v>
      </c>
      <c r="R936" s="6" t="str">
        <f t="shared" ca="1" si="258"/>
        <v>202110</v>
      </c>
      <c r="S936" s="6">
        <f t="shared" ca="1" si="259"/>
        <v>2021</v>
      </c>
      <c r="T936" s="6">
        <f t="shared" ca="1" si="260"/>
        <v>10</v>
      </c>
      <c r="U936" s="68">
        <f ca="1">IFERROR(__xludf.DUMMYFUNCTION("""COMPUTED_VALUE"""),44494.6458333333)</f>
        <v>44494.645833333299</v>
      </c>
      <c r="V936" s="6">
        <f ca="1">IFERROR(__xludf.DUMMYFUNCTION("""COMPUTED_VALUE"""),3020.54)</f>
        <v>3020.54</v>
      </c>
      <c r="Z936" s="6" t="str">
        <f t="shared" ca="1" si="261"/>
        <v>20209</v>
      </c>
      <c r="AA936" s="6">
        <f t="shared" ca="1" si="262"/>
        <v>2020</v>
      </c>
      <c r="AB936" s="6">
        <f t="shared" ca="1" si="263"/>
        <v>9</v>
      </c>
      <c r="AC936" s="68">
        <f ca="1">IFERROR(__xludf.DUMMYFUNCTION("""COMPUTED_VALUE"""),44075.9986111111)</f>
        <v>44075.998611111099</v>
      </c>
      <c r="AD936" s="6">
        <f ca="1">IFERROR(__xludf.DUMMYFUNCTION("""COMPUTED_VALUE"""),1184.92)</f>
        <v>1184.92</v>
      </c>
      <c r="AH936" s="6" t="str">
        <f t="shared" ca="1" si="264"/>
        <v>20207</v>
      </c>
      <c r="AI936" s="6">
        <f t="shared" ca="1" si="265"/>
        <v>2020</v>
      </c>
      <c r="AJ936" s="6">
        <f t="shared" ca="1" si="266"/>
        <v>7</v>
      </c>
      <c r="AK936" s="68">
        <f ca="1">IFERROR(__xludf.DUMMYFUNCTION("""COMPUTED_VALUE"""),44028.9986111111)</f>
        <v>44028.998611111099</v>
      </c>
      <c r="AL936" s="6">
        <f ca="1">IFERROR(__xludf.DUMMYFUNCTION("""COMPUTED_VALUE"""),9132.512)</f>
        <v>9132.5120000000006</v>
      </c>
      <c r="AP936" s="6" t="str">
        <f t="shared" ca="1" si="267"/>
        <v>20219</v>
      </c>
      <c r="AQ936" s="6">
        <f t="shared" ca="1" si="268"/>
        <v>2021</v>
      </c>
      <c r="AR936" s="6">
        <f t="shared" ca="1" si="269"/>
        <v>9</v>
      </c>
      <c r="AS936" s="68">
        <f ca="1">IFERROR(__xludf.DUMMYFUNCTION("""COMPUTED_VALUE"""),44463.9986111111)</f>
        <v>44463.998611111099</v>
      </c>
      <c r="AT936" s="6">
        <f ca="1">IFERROR(__xludf.DUMMYFUNCTION("""COMPUTED_VALUE"""),1751.7)</f>
        <v>1751.7</v>
      </c>
    </row>
    <row r="937" spans="2:46" x14ac:dyDescent="0.35">
      <c r="B937" s="6" t="str">
        <f t="shared" ca="1" si="252"/>
        <v>20219</v>
      </c>
      <c r="C937" s="6">
        <f t="shared" ca="1" si="253"/>
        <v>2021</v>
      </c>
      <c r="D937" s="6">
        <f t="shared" ca="1" si="254"/>
        <v>9</v>
      </c>
      <c r="E937" s="68">
        <f ca="1">IFERROR(__xludf.DUMMYFUNCTION("""COMPUTED_VALUE"""),44456.6666666666)</f>
        <v>44456.666666666599</v>
      </c>
      <c r="F937" s="6">
        <f ca="1">IFERROR(__xludf.DUMMYFUNCTION("""COMPUTED_VALUE"""),4432.99)</f>
        <v>4432.99</v>
      </c>
      <c r="J937" s="6" t="str">
        <f t="shared" ca="1" si="255"/>
        <v>20219</v>
      </c>
      <c r="K937" s="6">
        <f t="shared" ca="1" si="256"/>
        <v>2021</v>
      </c>
      <c r="L937" s="6">
        <f t="shared" ca="1" si="257"/>
        <v>9</v>
      </c>
      <c r="M937" s="68">
        <f ca="1">IFERROR(__xludf.DUMMYFUNCTION("""COMPUTED_VALUE"""),44449.6666666666)</f>
        <v>44449.666666666599</v>
      </c>
      <c r="N937" s="6">
        <f ca="1">IFERROR(__xludf.DUMMYFUNCTION("""COMPUTED_VALUE"""),15115.49)</f>
        <v>15115.49</v>
      </c>
      <c r="R937" s="6" t="str">
        <f t="shared" ca="1" si="258"/>
        <v>202110</v>
      </c>
      <c r="S937" s="6">
        <f t="shared" ca="1" si="259"/>
        <v>2021</v>
      </c>
      <c r="T937" s="6">
        <f t="shared" ca="1" si="260"/>
        <v>10</v>
      </c>
      <c r="U937" s="68">
        <f ca="1">IFERROR(__xludf.DUMMYFUNCTION("""COMPUTED_VALUE"""),44495.6458333333)</f>
        <v>44495.645833333299</v>
      </c>
      <c r="V937" s="6">
        <f ca="1">IFERROR(__xludf.DUMMYFUNCTION("""COMPUTED_VALUE"""),3049.08)</f>
        <v>3049.08</v>
      </c>
      <c r="Z937" s="6" t="str">
        <f t="shared" ca="1" si="261"/>
        <v>20209</v>
      </c>
      <c r="AA937" s="6">
        <f t="shared" ca="1" si="262"/>
        <v>2020</v>
      </c>
      <c r="AB937" s="6">
        <f t="shared" ca="1" si="263"/>
        <v>9</v>
      </c>
      <c r="AC937" s="68">
        <f ca="1">IFERROR(__xludf.DUMMYFUNCTION("""COMPUTED_VALUE"""),44076.9986111111)</f>
        <v>44076.998611111099</v>
      </c>
      <c r="AD937" s="6">
        <f ca="1">IFERROR(__xludf.DUMMYFUNCTION("""COMPUTED_VALUE"""),1188.65)</f>
        <v>1188.6500000000001</v>
      </c>
      <c r="AH937" s="6" t="str">
        <f t="shared" ca="1" si="264"/>
        <v>20207</v>
      </c>
      <c r="AI937" s="6">
        <f t="shared" ca="1" si="265"/>
        <v>2020</v>
      </c>
      <c r="AJ937" s="6">
        <f t="shared" ca="1" si="266"/>
        <v>7</v>
      </c>
      <c r="AK937" s="68">
        <f ca="1">IFERROR(__xludf.DUMMYFUNCTION("""COMPUTED_VALUE"""),44029.9986111111)</f>
        <v>44029.998611111099</v>
      </c>
      <c r="AL937" s="6">
        <f ca="1">IFERROR(__xludf.DUMMYFUNCTION("""COMPUTED_VALUE"""),9155.095)</f>
        <v>9155.0949999999993</v>
      </c>
      <c r="AP937" s="6" t="str">
        <f t="shared" ca="1" si="267"/>
        <v>20219</v>
      </c>
      <c r="AQ937" s="6">
        <f t="shared" ca="1" si="268"/>
        <v>2021</v>
      </c>
      <c r="AR937" s="6">
        <f t="shared" ca="1" si="269"/>
        <v>9</v>
      </c>
      <c r="AS937" s="68">
        <f ca="1">IFERROR(__xludf.DUMMYFUNCTION("""COMPUTED_VALUE"""),44466.9986111111)</f>
        <v>44466.998611111099</v>
      </c>
      <c r="AT937" s="6">
        <f ca="1">IFERROR(__xludf.DUMMYFUNCTION("""COMPUTED_VALUE"""),1752)</f>
        <v>1752</v>
      </c>
    </row>
    <row r="938" spans="2:46" x14ac:dyDescent="0.35">
      <c r="B938" s="6" t="str">
        <f t="shared" ca="1" si="252"/>
        <v>20219</v>
      </c>
      <c r="C938" s="6">
        <f t="shared" ca="1" si="253"/>
        <v>2021</v>
      </c>
      <c r="D938" s="6">
        <f t="shared" ca="1" si="254"/>
        <v>9</v>
      </c>
      <c r="E938" s="68">
        <f ca="1">IFERROR(__xludf.DUMMYFUNCTION("""COMPUTED_VALUE"""),44459.6666666666)</f>
        <v>44459.666666666599</v>
      </c>
      <c r="F938" s="6">
        <f ca="1">IFERROR(__xludf.DUMMYFUNCTION("""COMPUTED_VALUE"""),4357.73)</f>
        <v>4357.7299999999996</v>
      </c>
      <c r="J938" s="6" t="str">
        <f t="shared" ca="1" si="255"/>
        <v>20219</v>
      </c>
      <c r="K938" s="6">
        <f t="shared" ca="1" si="256"/>
        <v>2021</v>
      </c>
      <c r="L938" s="6">
        <f t="shared" ca="1" si="257"/>
        <v>9</v>
      </c>
      <c r="M938" s="68">
        <f ca="1">IFERROR(__xludf.DUMMYFUNCTION("""COMPUTED_VALUE"""),44452.6666666666)</f>
        <v>44452.666666666599</v>
      </c>
      <c r="N938" s="6">
        <f ca="1">IFERROR(__xludf.DUMMYFUNCTION("""COMPUTED_VALUE"""),15105.58)</f>
        <v>15105.58</v>
      </c>
      <c r="R938" s="6" t="str">
        <f t="shared" ca="1" si="258"/>
        <v>202110</v>
      </c>
      <c r="S938" s="6">
        <f t="shared" ca="1" si="259"/>
        <v>2021</v>
      </c>
      <c r="T938" s="6">
        <f t="shared" ca="1" si="260"/>
        <v>10</v>
      </c>
      <c r="U938" s="68">
        <f ca="1">IFERROR(__xludf.DUMMYFUNCTION("""COMPUTED_VALUE"""),44496.6458333333)</f>
        <v>44496.645833333299</v>
      </c>
      <c r="V938" s="6">
        <f ca="1">IFERROR(__xludf.DUMMYFUNCTION("""COMPUTED_VALUE"""),3025.49)</f>
        <v>3025.49</v>
      </c>
      <c r="Z938" s="6" t="str">
        <f t="shared" ca="1" si="261"/>
        <v>20209</v>
      </c>
      <c r="AA938" s="6">
        <f t="shared" ca="1" si="262"/>
        <v>2020</v>
      </c>
      <c r="AB938" s="6">
        <f t="shared" ca="1" si="263"/>
        <v>9</v>
      </c>
      <c r="AC938" s="68">
        <f ca="1">IFERROR(__xludf.DUMMYFUNCTION("""COMPUTED_VALUE"""),44077.9986111111)</f>
        <v>44077.998611111099</v>
      </c>
      <c r="AD938" s="6">
        <f ca="1">IFERROR(__xludf.DUMMYFUNCTION("""COMPUTED_VALUE"""),1190.78)</f>
        <v>1190.78</v>
      </c>
      <c r="AH938" s="6" t="str">
        <f t="shared" ca="1" si="264"/>
        <v>20207</v>
      </c>
      <c r="AI938" s="6">
        <f t="shared" ca="1" si="265"/>
        <v>2020</v>
      </c>
      <c r="AJ938" s="6">
        <f t="shared" ca="1" si="266"/>
        <v>7</v>
      </c>
      <c r="AK938" s="68">
        <f ca="1">IFERROR(__xludf.DUMMYFUNCTION("""COMPUTED_VALUE"""),44030.9986111111)</f>
        <v>44030.998611111099</v>
      </c>
      <c r="AL938" s="6">
        <f ca="1">IFERROR(__xludf.DUMMYFUNCTION("""COMPUTED_VALUE"""),9177.39)</f>
        <v>9177.39</v>
      </c>
      <c r="AP938" s="6" t="str">
        <f t="shared" ca="1" si="267"/>
        <v>20219</v>
      </c>
      <c r="AQ938" s="6">
        <f t="shared" ca="1" si="268"/>
        <v>2021</v>
      </c>
      <c r="AR938" s="6">
        <f t="shared" ca="1" si="269"/>
        <v>9</v>
      </c>
      <c r="AS938" s="68">
        <f ca="1">IFERROR(__xludf.DUMMYFUNCTION("""COMPUTED_VALUE"""),44467.9986111111)</f>
        <v>44467.998611111099</v>
      </c>
      <c r="AT938" s="6">
        <f ca="1">IFERROR(__xludf.DUMMYFUNCTION("""COMPUTED_VALUE"""),1737.5)</f>
        <v>1737.5</v>
      </c>
    </row>
    <row r="939" spans="2:46" x14ac:dyDescent="0.35">
      <c r="B939" s="6" t="str">
        <f t="shared" ca="1" si="252"/>
        <v>20219</v>
      </c>
      <c r="C939" s="6">
        <f t="shared" ca="1" si="253"/>
        <v>2021</v>
      </c>
      <c r="D939" s="6">
        <f t="shared" ca="1" si="254"/>
        <v>9</v>
      </c>
      <c r="E939" s="68">
        <f ca="1">IFERROR(__xludf.DUMMYFUNCTION("""COMPUTED_VALUE"""),44460.6666666666)</f>
        <v>44460.666666666599</v>
      </c>
      <c r="F939" s="6">
        <f ca="1">IFERROR(__xludf.DUMMYFUNCTION("""COMPUTED_VALUE"""),4354.19)</f>
        <v>4354.1899999999996</v>
      </c>
      <c r="J939" s="6" t="str">
        <f t="shared" ca="1" si="255"/>
        <v>20219</v>
      </c>
      <c r="K939" s="6">
        <f t="shared" ca="1" si="256"/>
        <v>2021</v>
      </c>
      <c r="L939" s="6">
        <f t="shared" ca="1" si="257"/>
        <v>9</v>
      </c>
      <c r="M939" s="68">
        <f ca="1">IFERROR(__xludf.DUMMYFUNCTION("""COMPUTED_VALUE"""),44453.6666666666)</f>
        <v>44453.666666666599</v>
      </c>
      <c r="N939" s="6">
        <f ca="1">IFERROR(__xludf.DUMMYFUNCTION("""COMPUTED_VALUE"""),15037.76)</f>
        <v>15037.76</v>
      </c>
      <c r="R939" s="6" t="str">
        <f t="shared" ca="1" si="258"/>
        <v>202110</v>
      </c>
      <c r="S939" s="6">
        <f t="shared" ca="1" si="259"/>
        <v>2021</v>
      </c>
      <c r="T939" s="6">
        <f t="shared" ca="1" si="260"/>
        <v>10</v>
      </c>
      <c r="U939" s="68">
        <f ca="1">IFERROR(__xludf.DUMMYFUNCTION("""COMPUTED_VALUE"""),44497.6458333333)</f>
        <v>44497.645833333299</v>
      </c>
      <c r="V939" s="6">
        <f ca="1">IFERROR(__xludf.DUMMYFUNCTION("""COMPUTED_VALUE"""),3009.55)</f>
        <v>3009.55</v>
      </c>
      <c r="Z939" s="6" t="str">
        <f t="shared" ca="1" si="261"/>
        <v>20209</v>
      </c>
      <c r="AA939" s="6">
        <f t="shared" ca="1" si="262"/>
        <v>2020</v>
      </c>
      <c r="AB939" s="6">
        <f t="shared" ca="1" si="263"/>
        <v>9</v>
      </c>
      <c r="AC939" s="68">
        <f ca="1">IFERROR(__xludf.DUMMYFUNCTION("""COMPUTED_VALUE"""),44078.9986111111)</f>
        <v>44078.998611111099</v>
      </c>
      <c r="AD939" s="6">
        <f ca="1">IFERROR(__xludf.DUMMYFUNCTION("""COMPUTED_VALUE"""),1186.93)</f>
        <v>1186.93</v>
      </c>
      <c r="AH939" s="6" t="str">
        <f t="shared" ca="1" si="264"/>
        <v>20207</v>
      </c>
      <c r="AI939" s="6">
        <f t="shared" ca="1" si="265"/>
        <v>2020</v>
      </c>
      <c r="AJ939" s="6">
        <f t="shared" ca="1" si="266"/>
        <v>7</v>
      </c>
      <c r="AK939" s="68">
        <f ca="1">IFERROR(__xludf.DUMMYFUNCTION("""COMPUTED_VALUE"""),44031.9986111111)</f>
        <v>44031.998611111099</v>
      </c>
      <c r="AL939" s="6">
        <f ca="1">IFERROR(__xludf.DUMMYFUNCTION("""COMPUTED_VALUE"""),9217.421)</f>
        <v>9217.4210000000003</v>
      </c>
      <c r="AP939" s="6" t="str">
        <f t="shared" ca="1" si="267"/>
        <v>20219</v>
      </c>
      <c r="AQ939" s="6">
        <f t="shared" ca="1" si="268"/>
        <v>2021</v>
      </c>
      <c r="AR939" s="6">
        <f t="shared" ca="1" si="269"/>
        <v>9</v>
      </c>
      <c r="AS939" s="68">
        <f ca="1">IFERROR(__xludf.DUMMYFUNCTION("""COMPUTED_VALUE"""),44468.9986111111)</f>
        <v>44468.998611111099</v>
      </c>
      <c r="AT939" s="6">
        <f ca="1">IFERROR(__xludf.DUMMYFUNCTION("""COMPUTED_VALUE"""),1722.9)</f>
        <v>1722.9</v>
      </c>
    </row>
    <row r="940" spans="2:46" x14ac:dyDescent="0.35">
      <c r="B940" s="6" t="str">
        <f t="shared" ca="1" si="252"/>
        <v>20219</v>
      </c>
      <c r="C940" s="6">
        <f t="shared" ca="1" si="253"/>
        <v>2021</v>
      </c>
      <c r="D940" s="6">
        <f t="shared" ca="1" si="254"/>
        <v>9</v>
      </c>
      <c r="E940" s="68">
        <f ca="1">IFERROR(__xludf.DUMMYFUNCTION("""COMPUTED_VALUE"""),44461.6666666666)</f>
        <v>44461.666666666599</v>
      </c>
      <c r="F940" s="6">
        <f ca="1">IFERROR(__xludf.DUMMYFUNCTION("""COMPUTED_VALUE"""),4395.64)</f>
        <v>4395.6400000000003</v>
      </c>
      <c r="J940" s="6" t="str">
        <f t="shared" ca="1" si="255"/>
        <v>20219</v>
      </c>
      <c r="K940" s="6">
        <f t="shared" ca="1" si="256"/>
        <v>2021</v>
      </c>
      <c r="L940" s="6">
        <f t="shared" ca="1" si="257"/>
        <v>9</v>
      </c>
      <c r="M940" s="68">
        <f ca="1">IFERROR(__xludf.DUMMYFUNCTION("""COMPUTED_VALUE"""),44454.6666666666)</f>
        <v>44454.666666666599</v>
      </c>
      <c r="N940" s="6">
        <f ca="1">IFERROR(__xludf.DUMMYFUNCTION("""COMPUTED_VALUE"""),15161.53)</f>
        <v>15161.53</v>
      </c>
      <c r="R940" s="6" t="str">
        <f t="shared" ca="1" si="258"/>
        <v>202110</v>
      </c>
      <c r="S940" s="6">
        <f t="shared" ca="1" si="259"/>
        <v>2021</v>
      </c>
      <c r="T940" s="6">
        <f t="shared" ca="1" si="260"/>
        <v>10</v>
      </c>
      <c r="U940" s="68">
        <f ca="1">IFERROR(__xludf.DUMMYFUNCTION("""COMPUTED_VALUE"""),44498.6458333333)</f>
        <v>44498.645833333299</v>
      </c>
      <c r="V940" s="6">
        <f ca="1">IFERROR(__xludf.DUMMYFUNCTION("""COMPUTED_VALUE"""),2970.68)</f>
        <v>2970.68</v>
      </c>
      <c r="Z940" s="6" t="str">
        <f t="shared" ca="1" si="261"/>
        <v>20209</v>
      </c>
      <c r="AA940" s="6">
        <f t="shared" ca="1" si="262"/>
        <v>2020</v>
      </c>
      <c r="AB940" s="6">
        <f t="shared" ca="1" si="263"/>
        <v>9</v>
      </c>
      <c r="AC940" s="68">
        <f ca="1">IFERROR(__xludf.DUMMYFUNCTION("""COMPUTED_VALUE"""),44079.9986111111)</f>
        <v>44079.998611111099</v>
      </c>
      <c r="AD940" s="6">
        <f ca="1">IFERROR(__xludf.DUMMYFUNCTION("""COMPUTED_VALUE"""),1186.93)</f>
        <v>1186.93</v>
      </c>
      <c r="AH940" s="6" t="str">
        <f t="shared" ca="1" si="264"/>
        <v>20207</v>
      </c>
      <c r="AI940" s="6">
        <f t="shared" ca="1" si="265"/>
        <v>2020</v>
      </c>
      <c r="AJ940" s="6">
        <f t="shared" ca="1" si="266"/>
        <v>7</v>
      </c>
      <c r="AK940" s="68">
        <f ca="1">IFERROR(__xludf.DUMMYFUNCTION("""COMPUTED_VALUE"""),44032.9986111111)</f>
        <v>44032.998611111099</v>
      </c>
      <c r="AL940" s="6">
        <f ca="1">IFERROR(__xludf.DUMMYFUNCTION("""COMPUTED_VALUE"""),9164.971)</f>
        <v>9164.9709999999995</v>
      </c>
      <c r="AP940" s="6" t="str">
        <f t="shared" ca="1" si="267"/>
        <v>20219</v>
      </c>
      <c r="AQ940" s="6">
        <f t="shared" ca="1" si="268"/>
        <v>2021</v>
      </c>
      <c r="AR940" s="6">
        <f t="shared" ca="1" si="269"/>
        <v>9</v>
      </c>
      <c r="AS940" s="68">
        <f ca="1">IFERROR(__xludf.DUMMYFUNCTION("""COMPUTED_VALUE"""),44469.9986111111)</f>
        <v>44469.998611111099</v>
      </c>
      <c r="AT940" s="6">
        <f ca="1">IFERROR(__xludf.DUMMYFUNCTION("""COMPUTED_VALUE"""),1757)</f>
        <v>1757</v>
      </c>
    </row>
    <row r="941" spans="2:46" x14ac:dyDescent="0.35">
      <c r="B941" s="6" t="str">
        <f t="shared" ca="1" si="252"/>
        <v>20219</v>
      </c>
      <c r="C941" s="6">
        <f t="shared" ca="1" si="253"/>
        <v>2021</v>
      </c>
      <c r="D941" s="6">
        <f t="shared" ca="1" si="254"/>
        <v>9</v>
      </c>
      <c r="E941" s="68">
        <f ca="1">IFERROR(__xludf.DUMMYFUNCTION("""COMPUTED_VALUE"""),44462.6666666666)</f>
        <v>44462.666666666599</v>
      </c>
      <c r="F941" s="6">
        <f ca="1">IFERROR(__xludf.DUMMYFUNCTION("""COMPUTED_VALUE"""),4448.98)</f>
        <v>4448.9799999999996</v>
      </c>
      <c r="J941" s="6" t="str">
        <f t="shared" ca="1" si="255"/>
        <v>20219</v>
      </c>
      <c r="K941" s="6">
        <f t="shared" ca="1" si="256"/>
        <v>2021</v>
      </c>
      <c r="L941" s="6">
        <f t="shared" ca="1" si="257"/>
        <v>9</v>
      </c>
      <c r="M941" s="68">
        <f ca="1">IFERROR(__xludf.DUMMYFUNCTION("""COMPUTED_VALUE"""),44455.6666666666)</f>
        <v>44455.666666666599</v>
      </c>
      <c r="N941" s="6">
        <f ca="1">IFERROR(__xludf.DUMMYFUNCTION("""COMPUTED_VALUE"""),15181.92)</f>
        <v>15181.92</v>
      </c>
      <c r="R941" s="6" t="str">
        <f t="shared" ca="1" si="258"/>
        <v>202111</v>
      </c>
      <c r="S941" s="6">
        <f t="shared" ca="1" si="259"/>
        <v>2021</v>
      </c>
      <c r="T941" s="6">
        <f t="shared" ca="1" si="260"/>
        <v>11</v>
      </c>
      <c r="U941" s="68">
        <f ca="1">IFERROR(__xludf.DUMMYFUNCTION("""COMPUTED_VALUE"""),44501.6458333333)</f>
        <v>44501.645833333299</v>
      </c>
      <c r="V941" s="6">
        <f ca="1">IFERROR(__xludf.DUMMYFUNCTION("""COMPUTED_VALUE"""),2978.94)</f>
        <v>2978.94</v>
      </c>
      <c r="Z941" s="6" t="str">
        <f t="shared" ca="1" si="261"/>
        <v>20209</v>
      </c>
      <c r="AA941" s="6">
        <f t="shared" ca="1" si="262"/>
        <v>2020</v>
      </c>
      <c r="AB941" s="6">
        <f t="shared" ca="1" si="263"/>
        <v>9</v>
      </c>
      <c r="AC941" s="68">
        <f ca="1">IFERROR(__xludf.DUMMYFUNCTION("""COMPUTED_VALUE"""),44080.9986111111)</f>
        <v>44080.998611111099</v>
      </c>
      <c r="AD941" s="6">
        <f ca="1">IFERROR(__xludf.DUMMYFUNCTION("""COMPUTED_VALUE"""),1186.42)</f>
        <v>1186.42</v>
      </c>
      <c r="AH941" s="6" t="str">
        <f t="shared" ca="1" si="264"/>
        <v>20207</v>
      </c>
      <c r="AI941" s="6">
        <f t="shared" ca="1" si="265"/>
        <v>2020</v>
      </c>
      <c r="AJ941" s="6">
        <f t="shared" ca="1" si="266"/>
        <v>7</v>
      </c>
      <c r="AK941" s="68">
        <f ca="1">IFERROR(__xludf.DUMMYFUNCTION("""COMPUTED_VALUE"""),44033.9986111111)</f>
        <v>44033.998611111099</v>
      </c>
      <c r="AL941" s="6">
        <f ca="1">IFERROR(__xludf.DUMMYFUNCTION("""COMPUTED_VALUE"""),9394.428)</f>
        <v>9394.4279999999999</v>
      </c>
      <c r="AP941" s="6" t="str">
        <f t="shared" ca="1" si="267"/>
        <v>202110</v>
      </c>
      <c r="AQ941" s="6">
        <f t="shared" ca="1" si="268"/>
        <v>2021</v>
      </c>
      <c r="AR941" s="6">
        <f t="shared" ca="1" si="269"/>
        <v>10</v>
      </c>
      <c r="AS941" s="68">
        <f ca="1">IFERROR(__xludf.DUMMYFUNCTION("""COMPUTED_VALUE"""),44470.9986111111)</f>
        <v>44470.998611111099</v>
      </c>
      <c r="AT941" s="6">
        <f ca="1">IFERROR(__xludf.DUMMYFUNCTION("""COMPUTED_VALUE"""),1758.4)</f>
        <v>1758.4</v>
      </c>
    </row>
    <row r="942" spans="2:46" x14ac:dyDescent="0.35">
      <c r="B942" s="6" t="str">
        <f t="shared" ca="1" si="252"/>
        <v>20219</v>
      </c>
      <c r="C942" s="6">
        <f t="shared" ca="1" si="253"/>
        <v>2021</v>
      </c>
      <c r="D942" s="6">
        <f t="shared" ca="1" si="254"/>
        <v>9</v>
      </c>
      <c r="E942" s="68">
        <f ca="1">IFERROR(__xludf.DUMMYFUNCTION("""COMPUTED_VALUE"""),44463.6666666666)</f>
        <v>44463.666666666599</v>
      </c>
      <c r="F942" s="6">
        <f ca="1">IFERROR(__xludf.DUMMYFUNCTION("""COMPUTED_VALUE"""),4455.48)</f>
        <v>4455.4799999999996</v>
      </c>
      <c r="J942" s="6" t="str">
        <f t="shared" ca="1" si="255"/>
        <v>20219</v>
      </c>
      <c r="K942" s="6">
        <f t="shared" ca="1" si="256"/>
        <v>2021</v>
      </c>
      <c r="L942" s="6">
        <f t="shared" ca="1" si="257"/>
        <v>9</v>
      </c>
      <c r="M942" s="68">
        <f ca="1">IFERROR(__xludf.DUMMYFUNCTION("""COMPUTED_VALUE"""),44456.6666666666)</f>
        <v>44456.666666666599</v>
      </c>
      <c r="N942" s="6">
        <f ca="1">IFERROR(__xludf.DUMMYFUNCTION("""COMPUTED_VALUE"""),15043.97)</f>
        <v>15043.97</v>
      </c>
      <c r="R942" s="6" t="str">
        <f t="shared" ca="1" si="258"/>
        <v>202111</v>
      </c>
      <c r="S942" s="6">
        <f t="shared" ca="1" si="259"/>
        <v>2021</v>
      </c>
      <c r="T942" s="6">
        <f t="shared" ca="1" si="260"/>
        <v>11</v>
      </c>
      <c r="U942" s="68">
        <f ca="1">IFERROR(__xludf.DUMMYFUNCTION("""COMPUTED_VALUE"""),44502.6458333333)</f>
        <v>44502.645833333299</v>
      </c>
      <c r="V942" s="6">
        <f ca="1">IFERROR(__xludf.DUMMYFUNCTION("""COMPUTED_VALUE"""),3013.49)</f>
        <v>3013.49</v>
      </c>
      <c r="Z942" s="6" t="str">
        <f t="shared" ca="1" si="261"/>
        <v>20209</v>
      </c>
      <c r="AA942" s="6">
        <f t="shared" ca="1" si="262"/>
        <v>2020</v>
      </c>
      <c r="AB942" s="6">
        <f t="shared" ca="1" si="263"/>
        <v>9</v>
      </c>
      <c r="AC942" s="68">
        <f ca="1">IFERROR(__xludf.DUMMYFUNCTION("""COMPUTED_VALUE"""),44081.9986111111)</f>
        <v>44081.998611111099</v>
      </c>
      <c r="AD942" s="6">
        <f ca="1">IFERROR(__xludf.DUMMYFUNCTION("""COMPUTED_VALUE"""),1186.81)</f>
        <v>1186.81</v>
      </c>
      <c r="AH942" s="6" t="str">
        <f t="shared" ca="1" si="264"/>
        <v>20207</v>
      </c>
      <c r="AI942" s="6">
        <f t="shared" ca="1" si="265"/>
        <v>2020</v>
      </c>
      <c r="AJ942" s="6">
        <f t="shared" ca="1" si="266"/>
        <v>7</v>
      </c>
      <c r="AK942" s="68">
        <f ca="1">IFERROR(__xludf.DUMMYFUNCTION("""COMPUTED_VALUE"""),44034.9986111111)</f>
        <v>44034.998611111099</v>
      </c>
      <c r="AL942" s="6">
        <f ca="1">IFERROR(__xludf.DUMMYFUNCTION("""COMPUTED_VALUE"""),9539.67)</f>
        <v>9539.67</v>
      </c>
      <c r="AP942" s="6" t="str">
        <f t="shared" ca="1" si="267"/>
        <v>202110</v>
      </c>
      <c r="AQ942" s="6">
        <f t="shared" ca="1" si="268"/>
        <v>2021</v>
      </c>
      <c r="AR942" s="6">
        <f t="shared" ca="1" si="269"/>
        <v>10</v>
      </c>
      <c r="AS942" s="68">
        <f ca="1">IFERROR(__xludf.DUMMYFUNCTION("""COMPUTED_VALUE"""),44473.9986111111)</f>
        <v>44473.998611111099</v>
      </c>
      <c r="AT942" s="6">
        <f ca="1">IFERROR(__xludf.DUMMYFUNCTION("""COMPUTED_VALUE"""),1767.6)</f>
        <v>1767.6</v>
      </c>
    </row>
    <row r="943" spans="2:46" x14ac:dyDescent="0.35">
      <c r="B943" s="6" t="str">
        <f t="shared" ca="1" si="252"/>
        <v>20219</v>
      </c>
      <c r="C943" s="6">
        <f t="shared" ca="1" si="253"/>
        <v>2021</v>
      </c>
      <c r="D943" s="6">
        <f t="shared" ca="1" si="254"/>
        <v>9</v>
      </c>
      <c r="E943" s="68">
        <f ca="1">IFERROR(__xludf.DUMMYFUNCTION("""COMPUTED_VALUE"""),44466.6666666666)</f>
        <v>44466.666666666599</v>
      </c>
      <c r="F943" s="6">
        <f ca="1">IFERROR(__xludf.DUMMYFUNCTION("""COMPUTED_VALUE"""),4443.11)</f>
        <v>4443.1099999999997</v>
      </c>
      <c r="J943" s="6" t="str">
        <f t="shared" ca="1" si="255"/>
        <v>20219</v>
      </c>
      <c r="K943" s="6">
        <f t="shared" ca="1" si="256"/>
        <v>2021</v>
      </c>
      <c r="L943" s="6">
        <f t="shared" ca="1" si="257"/>
        <v>9</v>
      </c>
      <c r="M943" s="68">
        <f ca="1">IFERROR(__xludf.DUMMYFUNCTION("""COMPUTED_VALUE"""),44459.6666666666)</f>
        <v>44459.666666666599</v>
      </c>
      <c r="N943" s="6">
        <f ca="1">IFERROR(__xludf.DUMMYFUNCTION("""COMPUTED_VALUE"""),14713.9)</f>
        <v>14713.9</v>
      </c>
      <c r="R943" s="6" t="str">
        <f t="shared" ca="1" si="258"/>
        <v>202111</v>
      </c>
      <c r="S943" s="6">
        <f t="shared" ca="1" si="259"/>
        <v>2021</v>
      </c>
      <c r="T943" s="6">
        <f t="shared" ca="1" si="260"/>
        <v>11</v>
      </c>
      <c r="U943" s="68">
        <f ca="1">IFERROR(__xludf.DUMMYFUNCTION("""COMPUTED_VALUE"""),44503.6458333333)</f>
        <v>44503.645833333299</v>
      </c>
      <c r="V943" s="6">
        <f ca="1">IFERROR(__xludf.DUMMYFUNCTION("""COMPUTED_VALUE"""),2975.71)</f>
        <v>2975.71</v>
      </c>
      <c r="Z943" s="6" t="str">
        <f t="shared" ca="1" si="261"/>
        <v>20209</v>
      </c>
      <c r="AA943" s="6">
        <f t="shared" ca="1" si="262"/>
        <v>2020</v>
      </c>
      <c r="AB943" s="6">
        <f t="shared" ca="1" si="263"/>
        <v>9</v>
      </c>
      <c r="AC943" s="68">
        <f ca="1">IFERROR(__xludf.DUMMYFUNCTION("""COMPUTED_VALUE"""),44082.9986111111)</f>
        <v>44082.998611111099</v>
      </c>
      <c r="AD943" s="6">
        <f ca="1">IFERROR(__xludf.DUMMYFUNCTION("""COMPUTED_VALUE"""),1189.24)</f>
        <v>1189.24</v>
      </c>
      <c r="AH943" s="6" t="str">
        <f t="shared" ca="1" si="264"/>
        <v>20207</v>
      </c>
      <c r="AI943" s="6">
        <f t="shared" ca="1" si="265"/>
        <v>2020</v>
      </c>
      <c r="AJ943" s="6">
        <f t="shared" ca="1" si="266"/>
        <v>7</v>
      </c>
      <c r="AK943" s="68">
        <f ca="1">IFERROR(__xludf.DUMMYFUNCTION("""COMPUTED_VALUE"""),44035.9986111111)</f>
        <v>44035.998611111099</v>
      </c>
      <c r="AL943" s="6">
        <f ca="1">IFERROR(__xludf.DUMMYFUNCTION("""COMPUTED_VALUE"""),9614.052)</f>
        <v>9614.0519999999997</v>
      </c>
      <c r="AP943" s="6" t="str">
        <f t="shared" ca="1" si="267"/>
        <v>202110</v>
      </c>
      <c r="AQ943" s="6">
        <f t="shared" ca="1" si="268"/>
        <v>2021</v>
      </c>
      <c r="AR943" s="6">
        <f t="shared" ca="1" si="269"/>
        <v>10</v>
      </c>
      <c r="AS943" s="68">
        <f ca="1">IFERROR(__xludf.DUMMYFUNCTION("""COMPUTED_VALUE"""),44474.9986111111)</f>
        <v>44474.998611111099</v>
      </c>
      <c r="AT943" s="6">
        <f ca="1">IFERROR(__xludf.DUMMYFUNCTION("""COMPUTED_VALUE"""),1760.9)</f>
        <v>1760.9</v>
      </c>
    </row>
    <row r="944" spans="2:46" x14ac:dyDescent="0.35">
      <c r="B944" s="6" t="str">
        <f t="shared" ca="1" si="252"/>
        <v>20219</v>
      </c>
      <c r="C944" s="6">
        <f t="shared" ca="1" si="253"/>
        <v>2021</v>
      </c>
      <c r="D944" s="6">
        <f t="shared" ca="1" si="254"/>
        <v>9</v>
      </c>
      <c r="E944" s="68">
        <f ca="1">IFERROR(__xludf.DUMMYFUNCTION("""COMPUTED_VALUE"""),44467.6666666666)</f>
        <v>44467.666666666599</v>
      </c>
      <c r="F944" s="6">
        <f ca="1">IFERROR(__xludf.DUMMYFUNCTION("""COMPUTED_VALUE"""),4352.63)</f>
        <v>4352.63</v>
      </c>
      <c r="J944" s="6" t="str">
        <f t="shared" ca="1" si="255"/>
        <v>20219</v>
      </c>
      <c r="K944" s="6">
        <f t="shared" ca="1" si="256"/>
        <v>2021</v>
      </c>
      <c r="L944" s="6">
        <f t="shared" ca="1" si="257"/>
        <v>9</v>
      </c>
      <c r="M944" s="68">
        <f ca="1">IFERROR(__xludf.DUMMYFUNCTION("""COMPUTED_VALUE"""),44460.6666666666)</f>
        <v>44460.666666666599</v>
      </c>
      <c r="N944" s="6">
        <f ca="1">IFERROR(__xludf.DUMMYFUNCTION("""COMPUTED_VALUE"""),14746.4)</f>
        <v>14746.4</v>
      </c>
      <c r="R944" s="6" t="str">
        <f t="shared" ca="1" si="258"/>
        <v>202111</v>
      </c>
      <c r="S944" s="6">
        <f t="shared" ca="1" si="259"/>
        <v>2021</v>
      </c>
      <c r="T944" s="6">
        <f t="shared" ca="1" si="260"/>
        <v>11</v>
      </c>
      <c r="U944" s="68">
        <f ca="1">IFERROR(__xludf.DUMMYFUNCTION("""COMPUTED_VALUE"""),44504.6458333333)</f>
        <v>44504.645833333299</v>
      </c>
      <c r="V944" s="6">
        <f ca="1">IFERROR(__xludf.DUMMYFUNCTION("""COMPUTED_VALUE"""),2983.22)</f>
        <v>2983.22</v>
      </c>
      <c r="Z944" s="6" t="str">
        <f t="shared" ca="1" si="261"/>
        <v>20209</v>
      </c>
      <c r="AA944" s="6">
        <f t="shared" ca="1" si="262"/>
        <v>2020</v>
      </c>
      <c r="AB944" s="6">
        <f t="shared" ca="1" si="263"/>
        <v>9</v>
      </c>
      <c r="AC944" s="68">
        <f ca="1">IFERROR(__xludf.DUMMYFUNCTION("""COMPUTED_VALUE"""),44083.9986111111)</f>
        <v>44083.998611111099</v>
      </c>
      <c r="AD944" s="6">
        <f ca="1">IFERROR(__xludf.DUMMYFUNCTION("""COMPUTED_VALUE"""),1184.38)</f>
        <v>1184.3800000000001</v>
      </c>
      <c r="AH944" s="6" t="str">
        <f t="shared" ca="1" si="264"/>
        <v>20207</v>
      </c>
      <c r="AI944" s="6">
        <f t="shared" ca="1" si="265"/>
        <v>2020</v>
      </c>
      <c r="AJ944" s="6">
        <f t="shared" ca="1" si="266"/>
        <v>7</v>
      </c>
      <c r="AK944" s="68">
        <f ca="1">IFERROR(__xludf.DUMMYFUNCTION("""COMPUTED_VALUE"""),44036.9986111111)</f>
        <v>44036.998611111099</v>
      </c>
      <c r="AL944" s="6">
        <f ca="1">IFERROR(__xludf.DUMMYFUNCTION("""COMPUTED_VALUE"""),9551.432)</f>
        <v>9551.4320000000007</v>
      </c>
      <c r="AP944" s="6" t="str">
        <f t="shared" ca="1" si="267"/>
        <v>202110</v>
      </c>
      <c r="AQ944" s="6">
        <f t="shared" ca="1" si="268"/>
        <v>2021</v>
      </c>
      <c r="AR944" s="6">
        <f t="shared" ca="1" si="269"/>
        <v>10</v>
      </c>
      <c r="AS944" s="68">
        <f ca="1">IFERROR(__xludf.DUMMYFUNCTION("""COMPUTED_VALUE"""),44475.9986111111)</f>
        <v>44475.998611111099</v>
      </c>
      <c r="AT944" s="6">
        <f ca="1">IFERROR(__xludf.DUMMYFUNCTION("""COMPUTED_VALUE"""),1761.8)</f>
        <v>1761.8</v>
      </c>
    </row>
    <row r="945" spans="2:46" x14ac:dyDescent="0.35">
      <c r="B945" s="6" t="str">
        <f t="shared" ca="1" si="252"/>
        <v>20219</v>
      </c>
      <c r="C945" s="6">
        <f t="shared" ca="1" si="253"/>
        <v>2021</v>
      </c>
      <c r="D945" s="6">
        <f t="shared" ca="1" si="254"/>
        <v>9</v>
      </c>
      <c r="E945" s="68">
        <f ca="1">IFERROR(__xludf.DUMMYFUNCTION("""COMPUTED_VALUE"""),44468.6666666666)</f>
        <v>44468.666666666599</v>
      </c>
      <c r="F945" s="6">
        <f ca="1">IFERROR(__xludf.DUMMYFUNCTION("""COMPUTED_VALUE"""),4359.46)</f>
        <v>4359.46</v>
      </c>
      <c r="J945" s="6" t="str">
        <f t="shared" ca="1" si="255"/>
        <v>20219</v>
      </c>
      <c r="K945" s="6">
        <f t="shared" ca="1" si="256"/>
        <v>2021</v>
      </c>
      <c r="L945" s="6">
        <f t="shared" ca="1" si="257"/>
        <v>9</v>
      </c>
      <c r="M945" s="68">
        <f ca="1">IFERROR(__xludf.DUMMYFUNCTION("""COMPUTED_VALUE"""),44461.6666666666)</f>
        <v>44461.666666666599</v>
      </c>
      <c r="N945" s="6">
        <f ca="1">IFERROR(__xludf.DUMMYFUNCTION("""COMPUTED_VALUE"""),14896.85)</f>
        <v>14896.85</v>
      </c>
      <c r="R945" s="6" t="str">
        <f t="shared" ca="1" si="258"/>
        <v>202111</v>
      </c>
      <c r="S945" s="6">
        <f t="shared" ca="1" si="259"/>
        <v>2021</v>
      </c>
      <c r="T945" s="6">
        <f t="shared" ca="1" si="260"/>
        <v>11</v>
      </c>
      <c r="U945" s="68">
        <f ca="1">IFERROR(__xludf.DUMMYFUNCTION("""COMPUTED_VALUE"""),44505.6458333333)</f>
        <v>44505.645833333299</v>
      </c>
      <c r="V945" s="6">
        <f ca="1">IFERROR(__xludf.DUMMYFUNCTION("""COMPUTED_VALUE"""),2969.27)</f>
        <v>2969.27</v>
      </c>
      <c r="Z945" s="6" t="str">
        <f t="shared" ca="1" si="261"/>
        <v>20209</v>
      </c>
      <c r="AA945" s="6">
        <f t="shared" ca="1" si="262"/>
        <v>2020</v>
      </c>
      <c r="AB945" s="6">
        <f t="shared" ca="1" si="263"/>
        <v>9</v>
      </c>
      <c r="AC945" s="68">
        <f ca="1">IFERROR(__xludf.DUMMYFUNCTION("""COMPUTED_VALUE"""),44084.9986111111)</f>
        <v>44084.998611111099</v>
      </c>
      <c r="AD945" s="6">
        <f ca="1">IFERROR(__xludf.DUMMYFUNCTION("""COMPUTED_VALUE"""),1187.23)</f>
        <v>1187.23</v>
      </c>
      <c r="AH945" s="6" t="str">
        <f t="shared" ca="1" si="264"/>
        <v>20207</v>
      </c>
      <c r="AI945" s="6">
        <f t="shared" ca="1" si="265"/>
        <v>2020</v>
      </c>
      <c r="AJ945" s="6">
        <f t="shared" ca="1" si="266"/>
        <v>7</v>
      </c>
      <c r="AK945" s="68">
        <f ca="1">IFERROR(__xludf.DUMMYFUNCTION("""COMPUTED_VALUE"""),44037.9986111111)</f>
        <v>44037.998611111099</v>
      </c>
      <c r="AL945" s="6">
        <f ca="1">IFERROR(__xludf.DUMMYFUNCTION("""COMPUTED_VALUE"""),9710.919)</f>
        <v>9710.9189999999999</v>
      </c>
      <c r="AP945" s="6" t="str">
        <f t="shared" ca="1" si="267"/>
        <v>202110</v>
      </c>
      <c r="AQ945" s="6">
        <f t="shared" ca="1" si="268"/>
        <v>2021</v>
      </c>
      <c r="AR945" s="6">
        <f t="shared" ca="1" si="269"/>
        <v>10</v>
      </c>
      <c r="AS945" s="68">
        <f ca="1">IFERROR(__xludf.DUMMYFUNCTION("""COMPUTED_VALUE"""),44476.9986111111)</f>
        <v>44476.998611111099</v>
      </c>
      <c r="AT945" s="6">
        <f ca="1">IFERROR(__xludf.DUMMYFUNCTION("""COMPUTED_VALUE"""),1759.2)</f>
        <v>1759.2</v>
      </c>
    </row>
    <row r="946" spans="2:46" x14ac:dyDescent="0.35">
      <c r="B946" s="6" t="str">
        <f t="shared" ca="1" si="252"/>
        <v>20219</v>
      </c>
      <c r="C946" s="6">
        <f t="shared" ca="1" si="253"/>
        <v>2021</v>
      </c>
      <c r="D946" s="6">
        <f t="shared" ca="1" si="254"/>
        <v>9</v>
      </c>
      <c r="E946" s="68">
        <f ca="1">IFERROR(__xludf.DUMMYFUNCTION("""COMPUTED_VALUE"""),44469.6666666666)</f>
        <v>44469.666666666599</v>
      </c>
      <c r="F946" s="6">
        <f ca="1">IFERROR(__xludf.DUMMYFUNCTION("""COMPUTED_VALUE"""),4307.54)</f>
        <v>4307.54</v>
      </c>
      <c r="J946" s="6" t="str">
        <f t="shared" ca="1" si="255"/>
        <v>20219</v>
      </c>
      <c r="K946" s="6">
        <f t="shared" ca="1" si="256"/>
        <v>2021</v>
      </c>
      <c r="L946" s="6">
        <f t="shared" ca="1" si="257"/>
        <v>9</v>
      </c>
      <c r="M946" s="68">
        <f ca="1">IFERROR(__xludf.DUMMYFUNCTION("""COMPUTED_VALUE"""),44462.6666666666)</f>
        <v>44462.666666666599</v>
      </c>
      <c r="N946" s="6">
        <f ca="1">IFERROR(__xludf.DUMMYFUNCTION("""COMPUTED_VALUE"""),15052.24)</f>
        <v>15052.24</v>
      </c>
      <c r="R946" s="6" t="str">
        <f t="shared" ca="1" si="258"/>
        <v>202111</v>
      </c>
      <c r="S946" s="6">
        <f t="shared" ca="1" si="259"/>
        <v>2021</v>
      </c>
      <c r="T946" s="6">
        <f t="shared" ca="1" si="260"/>
        <v>11</v>
      </c>
      <c r="U946" s="68">
        <f ca="1">IFERROR(__xludf.DUMMYFUNCTION("""COMPUTED_VALUE"""),44508.6458333333)</f>
        <v>44508.645833333299</v>
      </c>
      <c r="V946" s="6">
        <f ca="1">IFERROR(__xludf.DUMMYFUNCTION("""COMPUTED_VALUE"""),2960.2)</f>
        <v>2960.2</v>
      </c>
      <c r="Z946" s="6" t="str">
        <f t="shared" ca="1" si="261"/>
        <v>20209</v>
      </c>
      <c r="AA946" s="6">
        <f t="shared" ca="1" si="262"/>
        <v>2020</v>
      </c>
      <c r="AB946" s="6">
        <f t="shared" ca="1" si="263"/>
        <v>9</v>
      </c>
      <c r="AC946" s="68">
        <f ca="1">IFERROR(__xludf.DUMMYFUNCTION("""COMPUTED_VALUE"""),44085.9986111111)</f>
        <v>44085.998611111099</v>
      </c>
      <c r="AD946" s="6">
        <f ca="1">IFERROR(__xludf.DUMMYFUNCTION("""COMPUTED_VALUE"""),1187.9)</f>
        <v>1187.9000000000001</v>
      </c>
      <c r="AH946" s="6" t="str">
        <f t="shared" ca="1" si="264"/>
        <v>20207</v>
      </c>
      <c r="AI946" s="6">
        <f t="shared" ca="1" si="265"/>
        <v>2020</v>
      </c>
      <c r="AJ946" s="6">
        <f t="shared" ca="1" si="266"/>
        <v>7</v>
      </c>
      <c r="AK946" s="68">
        <f ca="1">IFERROR(__xludf.DUMMYFUNCTION("""COMPUTED_VALUE"""),44038.9986111111)</f>
        <v>44038.998611111099</v>
      </c>
      <c r="AL946" s="6">
        <f ca="1">IFERROR(__xludf.DUMMYFUNCTION("""COMPUTED_VALUE"""),9941.474)</f>
        <v>9941.4740000000002</v>
      </c>
      <c r="AP946" s="6" t="str">
        <f t="shared" ca="1" si="267"/>
        <v>202110</v>
      </c>
      <c r="AQ946" s="6">
        <f t="shared" ca="1" si="268"/>
        <v>2021</v>
      </c>
      <c r="AR946" s="6">
        <f t="shared" ca="1" si="269"/>
        <v>10</v>
      </c>
      <c r="AS946" s="68">
        <f ca="1">IFERROR(__xludf.DUMMYFUNCTION("""COMPUTED_VALUE"""),44477.9986111111)</f>
        <v>44477.998611111099</v>
      </c>
      <c r="AT946" s="6">
        <f ca="1">IFERROR(__xludf.DUMMYFUNCTION("""COMPUTED_VALUE"""),1757.4)</f>
        <v>1757.4</v>
      </c>
    </row>
    <row r="947" spans="2:46" x14ac:dyDescent="0.35">
      <c r="B947" s="6" t="str">
        <f t="shared" ca="1" si="252"/>
        <v>202110</v>
      </c>
      <c r="C947" s="6">
        <f t="shared" ca="1" si="253"/>
        <v>2021</v>
      </c>
      <c r="D947" s="6">
        <f t="shared" ca="1" si="254"/>
        <v>10</v>
      </c>
      <c r="E947" s="68">
        <f ca="1">IFERROR(__xludf.DUMMYFUNCTION("""COMPUTED_VALUE"""),44470.6666666666)</f>
        <v>44470.666666666599</v>
      </c>
      <c r="F947" s="6">
        <f ca="1">IFERROR(__xludf.DUMMYFUNCTION("""COMPUTED_VALUE"""),4357.04)</f>
        <v>4357.04</v>
      </c>
      <c r="J947" s="6" t="str">
        <f t="shared" ca="1" si="255"/>
        <v>20219</v>
      </c>
      <c r="K947" s="6">
        <f t="shared" ca="1" si="256"/>
        <v>2021</v>
      </c>
      <c r="L947" s="6">
        <f t="shared" ca="1" si="257"/>
        <v>9</v>
      </c>
      <c r="M947" s="68">
        <f ca="1">IFERROR(__xludf.DUMMYFUNCTION("""COMPUTED_VALUE"""),44463.6666666666)</f>
        <v>44463.666666666599</v>
      </c>
      <c r="N947" s="6">
        <f ca="1">IFERROR(__xludf.DUMMYFUNCTION("""COMPUTED_VALUE"""),15047.7)</f>
        <v>15047.7</v>
      </c>
      <c r="R947" s="6" t="str">
        <f t="shared" ca="1" si="258"/>
        <v>202111</v>
      </c>
      <c r="S947" s="6">
        <f t="shared" ca="1" si="259"/>
        <v>2021</v>
      </c>
      <c r="T947" s="6">
        <f t="shared" ca="1" si="260"/>
        <v>11</v>
      </c>
      <c r="U947" s="68">
        <f ca="1">IFERROR(__xludf.DUMMYFUNCTION("""COMPUTED_VALUE"""),44509.6458333333)</f>
        <v>44509.645833333299</v>
      </c>
      <c r="V947" s="6">
        <f ca="1">IFERROR(__xludf.DUMMYFUNCTION("""COMPUTED_VALUE"""),2962.46)</f>
        <v>2962.46</v>
      </c>
      <c r="Z947" s="6" t="str">
        <f t="shared" ca="1" si="261"/>
        <v>20209</v>
      </c>
      <c r="AA947" s="6">
        <f t="shared" ca="1" si="262"/>
        <v>2020</v>
      </c>
      <c r="AB947" s="6">
        <f t="shared" ca="1" si="263"/>
        <v>9</v>
      </c>
      <c r="AC947" s="68">
        <f ca="1">IFERROR(__xludf.DUMMYFUNCTION("""COMPUTED_VALUE"""),44086.9986111111)</f>
        <v>44086.998611111099</v>
      </c>
      <c r="AD947" s="6">
        <f ca="1">IFERROR(__xludf.DUMMYFUNCTION("""COMPUTED_VALUE"""),1187.9)</f>
        <v>1187.9000000000001</v>
      </c>
      <c r="AH947" s="6" t="str">
        <f t="shared" ca="1" si="264"/>
        <v>20207</v>
      </c>
      <c r="AI947" s="6">
        <f t="shared" ca="1" si="265"/>
        <v>2020</v>
      </c>
      <c r="AJ947" s="6">
        <f t="shared" ca="1" si="266"/>
        <v>7</v>
      </c>
      <c r="AK947" s="68">
        <f ca="1">IFERROR(__xludf.DUMMYFUNCTION("""COMPUTED_VALUE"""),44039.9986111111)</f>
        <v>44039.998611111099</v>
      </c>
      <c r="AL947" s="6">
        <f ca="1">IFERROR(__xludf.DUMMYFUNCTION("""COMPUTED_VALUE"""),11038.19)</f>
        <v>11038.19</v>
      </c>
      <c r="AP947" s="6" t="str">
        <f t="shared" ca="1" si="267"/>
        <v>202110</v>
      </c>
      <c r="AQ947" s="6">
        <f t="shared" ca="1" si="268"/>
        <v>2021</v>
      </c>
      <c r="AR947" s="6">
        <f t="shared" ca="1" si="269"/>
        <v>10</v>
      </c>
      <c r="AS947" s="68">
        <f ca="1">IFERROR(__xludf.DUMMYFUNCTION("""COMPUTED_VALUE"""),44480.9986111111)</f>
        <v>44480.998611111099</v>
      </c>
      <c r="AT947" s="6">
        <f ca="1">IFERROR(__xludf.DUMMYFUNCTION("""COMPUTED_VALUE"""),1755.7)</f>
        <v>1755.7</v>
      </c>
    </row>
    <row r="948" spans="2:46" x14ac:dyDescent="0.35">
      <c r="B948" s="6" t="str">
        <f t="shared" ca="1" si="252"/>
        <v>202110</v>
      </c>
      <c r="C948" s="6">
        <f t="shared" ca="1" si="253"/>
        <v>2021</v>
      </c>
      <c r="D948" s="6">
        <f t="shared" ca="1" si="254"/>
        <v>10</v>
      </c>
      <c r="E948" s="68">
        <f ca="1">IFERROR(__xludf.DUMMYFUNCTION("""COMPUTED_VALUE"""),44473.6666666666)</f>
        <v>44473.666666666599</v>
      </c>
      <c r="F948" s="6">
        <f ca="1">IFERROR(__xludf.DUMMYFUNCTION("""COMPUTED_VALUE"""),4300.46)</f>
        <v>4300.46</v>
      </c>
      <c r="J948" s="6" t="str">
        <f t="shared" ca="1" si="255"/>
        <v>20219</v>
      </c>
      <c r="K948" s="6">
        <f t="shared" ca="1" si="256"/>
        <v>2021</v>
      </c>
      <c r="L948" s="6">
        <f t="shared" ca="1" si="257"/>
        <v>9</v>
      </c>
      <c r="M948" s="68">
        <f ca="1">IFERROR(__xludf.DUMMYFUNCTION("""COMPUTED_VALUE"""),44466.6666666666)</f>
        <v>44466.666666666599</v>
      </c>
      <c r="N948" s="6">
        <f ca="1">IFERROR(__xludf.DUMMYFUNCTION("""COMPUTED_VALUE"""),14969.97)</f>
        <v>14969.97</v>
      </c>
      <c r="R948" s="6" t="str">
        <f t="shared" ca="1" si="258"/>
        <v>202111</v>
      </c>
      <c r="S948" s="6">
        <f t="shared" ca="1" si="259"/>
        <v>2021</v>
      </c>
      <c r="T948" s="6">
        <f t="shared" ca="1" si="260"/>
        <v>11</v>
      </c>
      <c r="U948" s="68">
        <f ca="1">IFERROR(__xludf.DUMMYFUNCTION("""COMPUTED_VALUE"""),44510.6458333333)</f>
        <v>44510.645833333299</v>
      </c>
      <c r="V948" s="6">
        <f ca="1">IFERROR(__xludf.DUMMYFUNCTION("""COMPUTED_VALUE"""),2930.17)</f>
        <v>2930.17</v>
      </c>
      <c r="Z948" s="6" t="str">
        <f t="shared" ca="1" si="261"/>
        <v>20209</v>
      </c>
      <c r="AA948" s="6">
        <f t="shared" ca="1" si="262"/>
        <v>2020</v>
      </c>
      <c r="AB948" s="6">
        <f t="shared" ca="1" si="263"/>
        <v>9</v>
      </c>
      <c r="AC948" s="68">
        <f ca="1">IFERROR(__xludf.DUMMYFUNCTION("""COMPUTED_VALUE"""),44087.9986111111)</f>
        <v>44087.998611111099</v>
      </c>
      <c r="AD948" s="6">
        <f ca="1">IFERROR(__xludf.DUMMYFUNCTION("""COMPUTED_VALUE"""),1186.97)</f>
        <v>1186.97</v>
      </c>
      <c r="AH948" s="6" t="str">
        <f t="shared" ca="1" si="264"/>
        <v>20207</v>
      </c>
      <c r="AI948" s="6">
        <f t="shared" ca="1" si="265"/>
        <v>2020</v>
      </c>
      <c r="AJ948" s="6">
        <f t="shared" ca="1" si="266"/>
        <v>7</v>
      </c>
      <c r="AK948" s="68">
        <f ca="1">IFERROR(__xludf.DUMMYFUNCTION("""COMPUTED_VALUE"""),44040.9986111111)</f>
        <v>44040.998611111099</v>
      </c>
      <c r="AL948" s="6">
        <f ca="1">IFERROR(__xludf.DUMMYFUNCTION("""COMPUTED_VALUE"""),10932.79)</f>
        <v>10932.79</v>
      </c>
      <c r="AP948" s="6" t="str">
        <f t="shared" ca="1" si="267"/>
        <v>202110</v>
      </c>
      <c r="AQ948" s="6">
        <f t="shared" ca="1" si="268"/>
        <v>2021</v>
      </c>
      <c r="AR948" s="6">
        <f t="shared" ca="1" si="269"/>
        <v>10</v>
      </c>
      <c r="AS948" s="68">
        <f ca="1">IFERROR(__xludf.DUMMYFUNCTION("""COMPUTED_VALUE"""),44481.9986111111)</f>
        <v>44481.998611111099</v>
      </c>
      <c r="AT948" s="6">
        <f ca="1">IFERROR(__xludf.DUMMYFUNCTION("""COMPUTED_VALUE"""),1759.3)</f>
        <v>1759.3</v>
      </c>
    </row>
    <row r="949" spans="2:46" x14ac:dyDescent="0.35">
      <c r="B949" s="6" t="str">
        <f t="shared" ca="1" si="252"/>
        <v>202110</v>
      </c>
      <c r="C949" s="6">
        <f t="shared" ca="1" si="253"/>
        <v>2021</v>
      </c>
      <c r="D949" s="6">
        <f t="shared" ca="1" si="254"/>
        <v>10</v>
      </c>
      <c r="E949" s="68">
        <f ca="1">IFERROR(__xludf.DUMMYFUNCTION("""COMPUTED_VALUE"""),44474.6666666666)</f>
        <v>44474.666666666599</v>
      </c>
      <c r="F949" s="6">
        <f ca="1">IFERROR(__xludf.DUMMYFUNCTION("""COMPUTED_VALUE"""),4345.72)</f>
        <v>4345.72</v>
      </c>
      <c r="J949" s="6" t="str">
        <f t="shared" ca="1" si="255"/>
        <v>20219</v>
      </c>
      <c r="K949" s="6">
        <f t="shared" ca="1" si="256"/>
        <v>2021</v>
      </c>
      <c r="L949" s="6">
        <f t="shared" ca="1" si="257"/>
        <v>9</v>
      </c>
      <c r="M949" s="68">
        <f ca="1">IFERROR(__xludf.DUMMYFUNCTION("""COMPUTED_VALUE"""),44467.6666666666)</f>
        <v>44467.666666666599</v>
      </c>
      <c r="N949" s="6">
        <f ca="1">IFERROR(__xludf.DUMMYFUNCTION("""COMPUTED_VALUE"""),14546.68)</f>
        <v>14546.68</v>
      </c>
      <c r="R949" s="6" t="str">
        <f t="shared" ca="1" si="258"/>
        <v>202111</v>
      </c>
      <c r="S949" s="6">
        <f t="shared" ca="1" si="259"/>
        <v>2021</v>
      </c>
      <c r="T949" s="6">
        <f t="shared" ca="1" si="260"/>
        <v>11</v>
      </c>
      <c r="U949" s="68">
        <f ca="1">IFERROR(__xludf.DUMMYFUNCTION("""COMPUTED_VALUE"""),44511.6458333333)</f>
        <v>44511.645833333299</v>
      </c>
      <c r="V949" s="6">
        <f ca="1">IFERROR(__xludf.DUMMYFUNCTION("""COMPUTED_VALUE"""),2924.92)</f>
        <v>2924.92</v>
      </c>
      <c r="Z949" s="6" t="str">
        <f t="shared" ca="1" si="261"/>
        <v>20209</v>
      </c>
      <c r="AA949" s="6">
        <f t="shared" ca="1" si="262"/>
        <v>2020</v>
      </c>
      <c r="AB949" s="6">
        <f t="shared" ca="1" si="263"/>
        <v>9</v>
      </c>
      <c r="AC949" s="68">
        <f ca="1">IFERROR(__xludf.DUMMYFUNCTION("""COMPUTED_VALUE"""),44088.9986111111)</f>
        <v>44088.998611111099</v>
      </c>
      <c r="AD949" s="6">
        <f ca="1">IFERROR(__xludf.DUMMYFUNCTION("""COMPUTED_VALUE"""),1180.84)</f>
        <v>1180.8399999999999</v>
      </c>
      <c r="AH949" s="6" t="str">
        <f t="shared" ca="1" si="264"/>
        <v>20207</v>
      </c>
      <c r="AI949" s="6">
        <f t="shared" ca="1" si="265"/>
        <v>2020</v>
      </c>
      <c r="AJ949" s="6">
        <f t="shared" ca="1" si="266"/>
        <v>7</v>
      </c>
      <c r="AK949" s="68">
        <f ca="1">IFERROR(__xludf.DUMMYFUNCTION("""COMPUTED_VALUE"""),44041.9986111111)</f>
        <v>44041.998611111099</v>
      </c>
      <c r="AL949" s="6">
        <f ca="1">IFERROR(__xludf.DUMMYFUNCTION("""COMPUTED_VALUE"""),11110.78)</f>
        <v>11110.78</v>
      </c>
      <c r="AP949" s="6" t="str">
        <f t="shared" ca="1" si="267"/>
        <v>202110</v>
      </c>
      <c r="AQ949" s="6">
        <f t="shared" ca="1" si="268"/>
        <v>2021</v>
      </c>
      <c r="AR949" s="6">
        <f t="shared" ca="1" si="269"/>
        <v>10</v>
      </c>
      <c r="AS949" s="68">
        <f ca="1">IFERROR(__xludf.DUMMYFUNCTION("""COMPUTED_VALUE"""),44482.9986111111)</f>
        <v>44482.998611111099</v>
      </c>
      <c r="AT949" s="6">
        <f ca="1">IFERROR(__xludf.DUMMYFUNCTION("""COMPUTED_VALUE"""),1794.7)</f>
        <v>1794.7</v>
      </c>
    </row>
    <row r="950" spans="2:46" x14ac:dyDescent="0.35">
      <c r="B950" s="6" t="str">
        <f t="shared" ca="1" si="252"/>
        <v>202110</v>
      </c>
      <c r="C950" s="6">
        <f t="shared" ca="1" si="253"/>
        <v>2021</v>
      </c>
      <c r="D950" s="6">
        <f t="shared" ca="1" si="254"/>
        <v>10</v>
      </c>
      <c r="E950" s="68">
        <f ca="1">IFERROR(__xludf.DUMMYFUNCTION("""COMPUTED_VALUE"""),44475.6666666666)</f>
        <v>44475.666666666599</v>
      </c>
      <c r="F950" s="6">
        <f ca="1">IFERROR(__xludf.DUMMYFUNCTION("""COMPUTED_VALUE"""),4363.55)</f>
        <v>4363.55</v>
      </c>
      <c r="J950" s="6" t="str">
        <f t="shared" ca="1" si="255"/>
        <v>20219</v>
      </c>
      <c r="K950" s="6">
        <f t="shared" ca="1" si="256"/>
        <v>2021</v>
      </c>
      <c r="L950" s="6">
        <f t="shared" ca="1" si="257"/>
        <v>9</v>
      </c>
      <c r="M950" s="68">
        <f ca="1">IFERROR(__xludf.DUMMYFUNCTION("""COMPUTED_VALUE"""),44468.6666666666)</f>
        <v>44468.666666666599</v>
      </c>
      <c r="N950" s="6">
        <f ca="1">IFERROR(__xludf.DUMMYFUNCTION("""COMPUTED_VALUE"""),14512.44)</f>
        <v>14512.44</v>
      </c>
      <c r="R950" s="6" t="str">
        <f t="shared" ca="1" si="258"/>
        <v>202111</v>
      </c>
      <c r="S950" s="6">
        <f t="shared" ca="1" si="259"/>
        <v>2021</v>
      </c>
      <c r="T950" s="6">
        <f t="shared" ca="1" si="260"/>
        <v>11</v>
      </c>
      <c r="U950" s="68">
        <f ca="1">IFERROR(__xludf.DUMMYFUNCTION("""COMPUTED_VALUE"""),44512.6458333333)</f>
        <v>44512.645833333299</v>
      </c>
      <c r="V950" s="6">
        <f ca="1">IFERROR(__xludf.DUMMYFUNCTION("""COMPUTED_VALUE"""),2968.8)</f>
        <v>2968.8</v>
      </c>
      <c r="Z950" s="6" t="str">
        <f t="shared" ca="1" si="261"/>
        <v>20209</v>
      </c>
      <c r="AA950" s="6">
        <f t="shared" ca="1" si="262"/>
        <v>2020</v>
      </c>
      <c r="AB950" s="6">
        <f t="shared" ca="1" si="263"/>
        <v>9</v>
      </c>
      <c r="AC950" s="68">
        <f ca="1">IFERROR(__xludf.DUMMYFUNCTION("""COMPUTED_VALUE"""),44089.9986111111)</f>
        <v>44089.998611111099</v>
      </c>
      <c r="AD950" s="6">
        <f ca="1">IFERROR(__xludf.DUMMYFUNCTION("""COMPUTED_VALUE"""),1179.25)</f>
        <v>1179.25</v>
      </c>
      <c r="AH950" s="6" t="str">
        <f t="shared" ca="1" si="264"/>
        <v>20207</v>
      </c>
      <c r="AI950" s="6">
        <f t="shared" ca="1" si="265"/>
        <v>2020</v>
      </c>
      <c r="AJ950" s="6">
        <f t="shared" ca="1" si="266"/>
        <v>7</v>
      </c>
      <c r="AK950" s="68">
        <f ca="1">IFERROR(__xludf.DUMMYFUNCTION("""COMPUTED_VALUE"""),44042.9986111111)</f>
        <v>44042.998611111099</v>
      </c>
      <c r="AL950" s="6">
        <f ca="1">IFERROR(__xludf.DUMMYFUNCTION("""COMPUTED_VALUE"""),11113.47)</f>
        <v>11113.47</v>
      </c>
      <c r="AP950" s="6" t="str">
        <f t="shared" ca="1" si="267"/>
        <v>202110</v>
      </c>
      <c r="AQ950" s="6">
        <f t="shared" ca="1" si="268"/>
        <v>2021</v>
      </c>
      <c r="AR950" s="6">
        <f t="shared" ca="1" si="269"/>
        <v>10</v>
      </c>
      <c r="AS950" s="68">
        <f ca="1">IFERROR(__xludf.DUMMYFUNCTION("""COMPUTED_VALUE"""),44483.9986111111)</f>
        <v>44483.998611111099</v>
      </c>
      <c r="AT950" s="6">
        <f ca="1">IFERROR(__xludf.DUMMYFUNCTION("""COMPUTED_VALUE"""),1797.9)</f>
        <v>1797.9</v>
      </c>
    </row>
    <row r="951" spans="2:46" x14ac:dyDescent="0.35">
      <c r="B951" s="6" t="str">
        <f t="shared" ca="1" si="252"/>
        <v>202110</v>
      </c>
      <c r="C951" s="6">
        <f t="shared" ca="1" si="253"/>
        <v>2021</v>
      </c>
      <c r="D951" s="6">
        <f t="shared" ca="1" si="254"/>
        <v>10</v>
      </c>
      <c r="E951" s="68">
        <f ca="1">IFERROR(__xludf.DUMMYFUNCTION("""COMPUTED_VALUE"""),44476.6666666666)</f>
        <v>44476.666666666599</v>
      </c>
      <c r="F951" s="6">
        <f ca="1">IFERROR(__xludf.DUMMYFUNCTION("""COMPUTED_VALUE"""),4399.76)</f>
        <v>4399.76</v>
      </c>
      <c r="J951" s="6" t="str">
        <f t="shared" ca="1" si="255"/>
        <v>20219</v>
      </c>
      <c r="K951" s="6">
        <f t="shared" ca="1" si="256"/>
        <v>2021</v>
      </c>
      <c r="L951" s="6">
        <f t="shared" ca="1" si="257"/>
        <v>9</v>
      </c>
      <c r="M951" s="68">
        <f ca="1">IFERROR(__xludf.DUMMYFUNCTION("""COMPUTED_VALUE"""),44469.6666666666)</f>
        <v>44469.666666666599</v>
      </c>
      <c r="N951" s="6">
        <f ca="1">IFERROR(__xludf.DUMMYFUNCTION("""COMPUTED_VALUE"""),14448.58)</f>
        <v>14448.58</v>
      </c>
      <c r="R951" s="6" t="str">
        <f t="shared" ca="1" si="258"/>
        <v>202111</v>
      </c>
      <c r="S951" s="6">
        <f t="shared" ca="1" si="259"/>
        <v>2021</v>
      </c>
      <c r="T951" s="6">
        <f t="shared" ca="1" si="260"/>
        <v>11</v>
      </c>
      <c r="U951" s="68">
        <f ca="1">IFERROR(__xludf.DUMMYFUNCTION("""COMPUTED_VALUE"""),44515.6458333333)</f>
        <v>44515.645833333299</v>
      </c>
      <c r="V951" s="6">
        <f ca="1">IFERROR(__xludf.DUMMYFUNCTION("""COMPUTED_VALUE"""),2999.52)</f>
        <v>2999.52</v>
      </c>
      <c r="Z951" s="6" t="str">
        <f t="shared" ca="1" si="261"/>
        <v>20209</v>
      </c>
      <c r="AA951" s="6">
        <f t="shared" ca="1" si="262"/>
        <v>2020</v>
      </c>
      <c r="AB951" s="6">
        <f t="shared" ca="1" si="263"/>
        <v>9</v>
      </c>
      <c r="AC951" s="68">
        <f ca="1">IFERROR(__xludf.DUMMYFUNCTION("""COMPUTED_VALUE"""),44090.9986111111)</f>
        <v>44090.998611111099</v>
      </c>
      <c r="AD951" s="6">
        <f ca="1">IFERROR(__xludf.DUMMYFUNCTION("""COMPUTED_VALUE"""),1172.07)</f>
        <v>1172.07</v>
      </c>
      <c r="AH951" s="6" t="str">
        <f t="shared" ca="1" si="264"/>
        <v>20207</v>
      </c>
      <c r="AI951" s="6">
        <f t="shared" ca="1" si="265"/>
        <v>2020</v>
      </c>
      <c r="AJ951" s="6">
        <f t="shared" ca="1" si="266"/>
        <v>7</v>
      </c>
      <c r="AK951" s="68">
        <f ca="1">IFERROR(__xludf.DUMMYFUNCTION("""COMPUTED_VALUE"""),44043.9986111111)</f>
        <v>44043.998611111099</v>
      </c>
      <c r="AL951" s="6">
        <f ca="1">IFERROR(__xludf.DUMMYFUNCTION("""COMPUTED_VALUE"""),11350.44)</f>
        <v>11350.44</v>
      </c>
      <c r="AP951" s="6" t="str">
        <f t="shared" ca="1" si="267"/>
        <v>202110</v>
      </c>
      <c r="AQ951" s="6">
        <f t="shared" ca="1" si="268"/>
        <v>2021</v>
      </c>
      <c r="AR951" s="6">
        <f t="shared" ca="1" si="269"/>
        <v>10</v>
      </c>
      <c r="AS951" s="68">
        <f ca="1">IFERROR(__xludf.DUMMYFUNCTION("""COMPUTED_VALUE"""),44484.9986111111)</f>
        <v>44484.998611111099</v>
      </c>
      <c r="AT951" s="6">
        <f ca="1">IFERROR(__xludf.DUMMYFUNCTION("""COMPUTED_VALUE"""),1768.3)</f>
        <v>1768.3</v>
      </c>
    </row>
    <row r="952" spans="2:46" x14ac:dyDescent="0.35">
      <c r="B952" s="6" t="str">
        <f t="shared" ca="1" si="252"/>
        <v>202110</v>
      </c>
      <c r="C952" s="6">
        <f t="shared" ca="1" si="253"/>
        <v>2021</v>
      </c>
      <c r="D952" s="6">
        <f t="shared" ca="1" si="254"/>
        <v>10</v>
      </c>
      <c r="E952" s="68">
        <f ca="1">IFERROR(__xludf.DUMMYFUNCTION("""COMPUTED_VALUE"""),44477.6666666666)</f>
        <v>44477.666666666599</v>
      </c>
      <c r="F952" s="6">
        <f ca="1">IFERROR(__xludf.DUMMYFUNCTION("""COMPUTED_VALUE"""),4391.34)</f>
        <v>4391.34</v>
      </c>
      <c r="J952" s="6" t="str">
        <f t="shared" ca="1" si="255"/>
        <v>202110</v>
      </c>
      <c r="K952" s="6">
        <f t="shared" ca="1" si="256"/>
        <v>2021</v>
      </c>
      <c r="L952" s="6">
        <f t="shared" ca="1" si="257"/>
        <v>10</v>
      </c>
      <c r="M952" s="68">
        <f ca="1">IFERROR(__xludf.DUMMYFUNCTION("""COMPUTED_VALUE"""),44470.6666666666)</f>
        <v>44470.666666666599</v>
      </c>
      <c r="N952" s="6">
        <f ca="1">IFERROR(__xludf.DUMMYFUNCTION("""COMPUTED_VALUE"""),14566.7)</f>
        <v>14566.7</v>
      </c>
      <c r="R952" s="6" t="str">
        <f t="shared" ca="1" si="258"/>
        <v>202111</v>
      </c>
      <c r="S952" s="6">
        <f t="shared" ca="1" si="259"/>
        <v>2021</v>
      </c>
      <c r="T952" s="6">
        <f t="shared" ca="1" si="260"/>
        <v>11</v>
      </c>
      <c r="U952" s="68">
        <f ca="1">IFERROR(__xludf.DUMMYFUNCTION("""COMPUTED_VALUE"""),44516.6458333333)</f>
        <v>44516.645833333299</v>
      </c>
      <c r="V952" s="6">
        <f ca="1">IFERROR(__xludf.DUMMYFUNCTION("""COMPUTED_VALUE"""),2997.21)</f>
        <v>2997.21</v>
      </c>
      <c r="Z952" s="6" t="str">
        <f t="shared" ca="1" si="261"/>
        <v>20209</v>
      </c>
      <c r="AA952" s="6">
        <f t="shared" ca="1" si="262"/>
        <v>2020</v>
      </c>
      <c r="AB952" s="6">
        <f t="shared" ca="1" si="263"/>
        <v>9</v>
      </c>
      <c r="AC952" s="68">
        <f ca="1">IFERROR(__xludf.DUMMYFUNCTION("""COMPUTED_VALUE"""),44091.9986111111)</f>
        <v>44091.998611111099</v>
      </c>
      <c r="AD952" s="6">
        <f ca="1">IFERROR(__xludf.DUMMYFUNCTION("""COMPUTED_VALUE"""),1168.65)</f>
        <v>1168.6500000000001</v>
      </c>
      <c r="AH952" s="6" t="str">
        <f t="shared" ca="1" si="264"/>
        <v>20208</v>
      </c>
      <c r="AI952" s="6">
        <f t="shared" ca="1" si="265"/>
        <v>2020</v>
      </c>
      <c r="AJ952" s="6">
        <f t="shared" ca="1" si="266"/>
        <v>8</v>
      </c>
      <c r="AK952" s="68">
        <f ca="1">IFERROR(__xludf.DUMMYFUNCTION("""COMPUTED_VALUE"""),44044.9986111111)</f>
        <v>44044.998611111099</v>
      </c>
      <c r="AL952" s="6">
        <f ca="1">IFERROR(__xludf.DUMMYFUNCTION("""COMPUTED_VALUE"""),11811)</f>
        <v>11811</v>
      </c>
      <c r="AP952" s="6" t="str">
        <f t="shared" ca="1" si="267"/>
        <v>202110</v>
      </c>
      <c r="AQ952" s="6">
        <f t="shared" ca="1" si="268"/>
        <v>2021</v>
      </c>
      <c r="AR952" s="6">
        <f t="shared" ca="1" si="269"/>
        <v>10</v>
      </c>
      <c r="AS952" s="68">
        <f ca="1">IFERROR(__xludf.DUMMYFUNCTION("""COMPUTED_VALUE"""),44487.9986111111)</f>
        <v>44487.998611111099</v>
      </c>
      <c r="AT952" s="6">
        <f ca="1">IFERROR(__xludf.DUMMYFUNCTION("""COMPUTED_VALUE"""),1765.7)</f>
        <v>1765.7</v>
      </c>
    </row>
    <row r="953" spans="2:46" x14ac:dyDescent="0.35">
      <c r="B953" s="6" t="str">
        <f t="shared" ca="1" si="252"/>
        <v>202110</v>
      </c>
      <c r="C953" s="6">
        <f t="shared" ca="1" si="253"/>
        <v>2021</v>
      </c>
      <c r="D953" s="6">
        <f t="shared" ca="1" si="254"/>
        <v>10</v>
      </c>
      <c r="E953" s="68">
        <f ca="1">IFERROR(__xludf.DUMMYFUNCTION("""COMPUTED_VALUE"""),44480.6666666666)</f>
        <v>44480.666666666599</v>
      </c>
      <c r="F953" s="6">
        <f ca="1">IFERROR(__xludf.DUMMYFUNCTION("""COMPUTED_VALUE"""),4361.19)</f>
        <v>4361.1899999999996</v>
      </c>
      <c r="J953" s="6" t="str">
        <f t="shared" ca="1" si="255"/>
        <v>202110</v>
      </c>
      <c r="K953" s="6">
        <f t="shared" ca="1" si="256"/>
        <v>2021</v>
      </c>
      <c r="L953" s="6">
        <f t="shared" ca="1" si="257"/>
        <v>10</v>
      </c>
      <c r="M953" s="68">
        <f ca="1">IFERROR(__xludf.DUMMYFUNCTION("""COMPUTED_VALUE"""),44473.6666666666)</f>
        <v>44473.666666666599</v>
      </c>
      <c r="N953" s="6">
        <f ca="1">IFERROR(__xludf.DUMMYFUNCTION("""COMPUTED_VALUE"""),14255.49)</f>
        <v>14255.49</v>
      </c>
      <c r="R953" s="6" t="str">
        <f t="shared" ca="1" si="258"/>
        <v>202111</v>
      </c>
      <c r="S953" s="6">
        <f t="shared" ca="1" si="259"/>
        <v>2021</v>
      </c>
      <c r="T953" s="6">
        <f t="shared" ca="1" si="260"/>
        <v>11</v>
      </c>
      <c r="U953" s="68">
        <f ca="1">IFERROR(__xludf.DUMMYFUNCTION("""COMPUTED_VALUE"""),44517.6458333333)</f>
        <v>44517.645833333299</v>
      </c>
      <c r="V953" s="6">
        <f ca="1">IFERROR(__xludf.DUMMYFUNCTION("""COMPUTED_VALUE"""),2962.42)</f>
        <v>2962.42</v>
      </c>
      <c r="Z953" s="6" t="str">
        <f t="shared" ca="1" si="261"/>
        <v>20209</v>
      </c>
      <c r="AA953" s="6">
        <f t="shared" ca="1" si="262"/>
        <v>2020</v>
      </c>
      <c r="AB953" s="6">
        <f t="shared" ca="1" si="263"/>
        <v>9</v>
      </c>
      <c r="AC953" s="68">
        <f ca="1">IFERROR(__xludf.DUMMYFUNCTION("""COMPUTED_VALUE"""),44092.9986111111)</f>
        <v>44092.998611111099</v>
      </c>
      <c r="AD953" s="6">
        <f ca="1">IFERROR(__xludf.DUMMYFUNCTION("""COMPUTED_VALUE"""),1164)</f>
        <v>1164</v>
      </c>
      <c r="AH953" s="6" t="str">
        <f t="shared" ca="1" si="264"/>
        <v>20208</v>
      </c>
      <c r="AI953" s="6">
        <f t="shared" ca="1" si="265"/>
        <v>2020</v>
      </c>
      <c r="AJ953" s="6">
        <f t="shared" ca="1" si="266"/>
        <v>8</v>
      </c>
      <c r="AK953" s="68">
        <f ca="1">IFERROR(__xludf.DUMMYFUNCTION("""COMPUTED_VALUE"""),44045.9986111111)</f>
        <v>44045.998611111099</v>
      </c>
      <c r="AL953" s="6">
        <f ca="1">IFERROR(__xludf.DUMMYFUNCTION("""COMPUTED_VALUE"""),11060.74)</f>
        <v>11060.74</v>
      </c>
      <c r="AP953" s="6" t="str">
        <f t="shared" ca="1" si="267"/>
        <v>202110</v>
      </c>
      <c r="AQ953" s="6">
        <f t="shared" ca="1" si="268"/>
        <v>2021</v>
      </c>
      <c r="AR953" s="6">
        <f t="shared" ca="1" si="269"/>
        <v>10</v>
      </c>
      <c r="AS953" s="68">
        <f ca="1">IFERROR(__xludf.DUMMYFUNCTION("""COMPUTED_VALUE"""),44488.9986111111)</f>
        <v>44488.998611111099</v>
      </c>
      <c r="AT953" s="6">
        <f ca="1">IFERROR(__xludf.DUMMYFUNCTION("""COMPUTED_VALUE"""),1770.5)</f>
        <v>1770.5</v>
      </c>
    </row>
    <row r="954" spans="2:46" x14ac:dyDescent="0.35">
      <c r="B954" s="6" t="str">
        <f t="shared" ca="1" si="252"/>
        <v>202110</v>
      </c>
      <c r="C954" s="6">
        <f t="shared" ca="1" si="253"/>
        <v>2021</v>
      </c>
      <c r="D954" s="6">
        <f t="shared" ca="1" si="254"/>
        <v>10</v>
      </c>
      <c r="E954" s="68">
        <f ca="1">IFERROR(__xludf.DUMMYFUNCTION("""COMPUTED_VALUE"""),44481.6666666666)</f>
        <v>44481.666666666599</v>
      </c>
      <c r="F954" s="6">
        <f ca="1">IFERROR(__xludf.DUMMYFUNCTION("""COMPUTED_VALUE"""),4350.65)</f>
        <v>4350.6499999999996</v>
      </c>
      <c r="J954" s="6" t="str">
        <f t="shared" ca="1" si="255"/>
        <v>202110</v>
      </c>
      <c r="K954" s="6">
        <f t="shared" ca="1" si="256"/>
        <v>2021</v>
      </c>
      <c r="L954" s="6">
        <f t="shared" ca="1" si="257"/>
        <v>10</v>
      </c>
      <c r="M954" s="68">
        <f ca="1">IFERROR(__xludf.DUMMYFUNCTION("""COMPUTED_VALUE"""),44474.6666666666)</f>
        <v>44474.666666666599</v>
      </c>
      <c r="N954" s="6">
        <f ca="1">IFERROR(__xludf.DUMMYFUNCTION("""COMPUTED_VALUE"""),14433.83)</f>
        <v>14433.83</v>
      </c>
      <c r="R954" s="6" t="str">
        <f t="shared" ca="1" si="258"/>
        <v>202111</v>
      </c>
      <c r="S954" s="6">
        <f t="shared" ca="1" si="259"/>
        <v>2021</v>
      </c>
      <c r="T954" s="6">
        <f t="shared" ca="1" si="260"/>
        <v>11</v>
      </c>
      <c r="U954" s="68">
        <f ca="1">IFERROR(__xludf.DUMMYFUNCTION("""COMPUTED_VALUE"""),44518.6458333333)</f>
        <v>44518.645833333299</v>
      </c>
      <c r="V954" s="6">
        <f ca="1">IFERROR(__xludf.DUMMYFUNCTION("""COMPUTED_VALUE"""),2947.38)</f>
        <v>2947.38</v>
      </c>
      <c r="Z954" s="6" t="str">
        <f t="shared" ca="1" si="261"/>
        <v>20209</v>
      </c>
      <c r="AA954" s="6">
        <f t="shared" ca="1" si="262"/>
        <v>2020</v>
      </c>
      <c r="AB954" s="6">
        <f t="shared" ca="1" si="263"/>
        <v>9</v>
      </c>
      <c r="AC954" s="68">
        <f ca="1">IFERROR(__xludf.DUMMYFUNCTION("""COMPUTED_VALUE"""),44093.9986111111)</f>
        <v>44093.998611111099</v>
      </c>
      <c r="AD954" s="6">
        <f ca="1">IFERROR(__xludf.DUMMYFUNCTION("""COMPUTED_VALUE"""),1164)</f>
        <v>1164</v>
      </c>
      <c r="AH954" s="6" t="str">
        <f t="shared" ca="1" si="264"/>
        <v>20208</v>
      </c>
      <c r="AI954" s="6">
        <f t="shared" ca="1" si="265"/>
        <v>2020</v>
      </c>
      <c r="AJ954" s="6">
        <f t="shared" ca="1" si="266"/>
        <v>8</v>
      </c>
      <c r="AK954" s="68">
        <f ca="1">IFERROR(__xludf.DUMMYFUNCTION("""COMPUTED_VALUE"""),44046.9986111111)</f>
        <v>44046.998611111099</v>
      </c>
      <c r="AL954" s="6">
        <f ca="1">IFERROR(__xludf.DUMMYFUNCTION("""COMPUTED_VALUE"""),11229.23)</f>
        <v>11229.23</v>
      </c>
      <c r="AP954" s="6" t="str">
        <f t="shared" ca="1" si="267"/>
        <v>202110</v>
      </c>
      <c r="AQ954" s="6">
        <f t="shared" ca="1" si="268"/>
        <v>2021</v>
      </c>
      <c r="AR954" s="6">
        <f t="shared" ca="1" si="269"/>
        <v>10</v>
      </c>
      <c r="AS954" s="68">
        <f ca="1">IFERROR(__xludf.DUMMYFUNCTION("""COMPUTED_VALUE"""),44489.9986111111)</f>
        <v>44489.998611111099</v>
      </c>
      <c r="AT954" s="6">
        <f ca="1">IFERROR(__xludf.DUMMYFUNCTION("""COMPUTED_VALUE"""),1784.9)</f>
        <v>1784.9</v>
      </c>
    </row>
    <row r="955" spans="2:46" x14ac:dyDescent="0.35">
      <c r="B955" s="6" t="str">
        <f t="shared" ca="1" si="252"/>
        <v>202110</v>
      </c>
      <c r="C955" s="6">
        <f t="shared" ca="1" si="253"/>
        <v>2021</v>
      </c>
      <c r="D955" s="6">
        <f t="shared" ca="1" si="254"/>
        <v>10</v>
      </c>
      <c r="E955" s="68">
        <f ca="1">IFERROR(__xludf.DUMMYFUNCTION("""COMPUTED_VALUE"""),44482.6666666666)</f>
        <v>44482.666666666599</v>
      </c>
      <c r="F955" s="6">
        <f ca="1">IFERROR(__xludf.DUMMYFUNCTION("""COMPUTED_VALUE"""),4363.8)</f>
        <v>4363.8</v>
      </c>
      <c r="J955" s="6" t="str">
        <f t="shared" ca="1" si="255"/>
        <v>202110</v>
      </c>
      <c r="K955" s="6">
        <f t="shared" ca="1" si="256"/>
        <v>2021</v>
      </c>
      <c r="L955" s="6">
        <f t="shared" ca="1" si="257"/>
        <v>10</v>
      </c>
      <c r="M955" s="68">
        <f ca="1">IFERROR(__xludf.DUMMYFUNCTION("""COMPUTED_VALUE"""),44475.6666666666)</f>
        <v>44475.666666666599</v>
      </c>
      <c r="N955" s="6">
        <f ca="1">IFERROR(__xludf.DUMMYFUNCTION("""COMPUTED_VALUE"""),14501.91)</f>
        <v>14501.91</v>
      </c>
      <c r="R955" s="6" t="str">
        <f t="shared" ca="1" si="258"/>
        <v>202111</v>
      </c>
      <c r="S955" s="6">
        <f t="shared" ca="1" si="259"/>
        <v>2021</v>
      </c>
      <c r="T955" s="6">
        <f t="shared" ca="1" si="260"/>
        <v>11</v>
      </c>
      <c r="U955" s="68">
        <f ca="1">IFERROR(__xludf.DUMMYFUNCTION("""COMPUTED_VALUE"""),44519.6458333333)</f>
        <v>44519.645833333299</v>
      </c>
      <c r="V955" s="6">
        <f ca="1">IFERROR(__xludf.DUMMYFUNCTION("""COMPUTED_VALUE"""),2971.02)</f>
        <v>2971.02</v>
      </c>
      <c r="Z955" s="6" t="str">
        <f t="shared" ca="1" si="261"/>
        <v>20209</v>
      </c>
      <c r="AA955" s="6">
        <f t="shared" ca="1" si="262"/>
        <v>2020</v>
      </c>
      <c r="AB955" s="6">
        <f t="shared" ca="1" si="263"/>
        <v>9</v>
      </c>
      <c r="AC955" s="68">
        <f ca="1">IFERROR(__xludf.DUMMYFUNCTION("""COMPUTED_VALUE"""),44094.9986111111)</f>
        <v>44094.998611111099</v>
      </c>
      <c r="AD955" s="6">
        <f ca="1">IFERROR(__xludf.DUMMYFUNCTION("""COMPUTED_VALUE"""),1163.99)</f>
        <v>1163.99</v>
      </c>
      <c r="AH955" s="6" t="str">
        <f t="shared" ca="1" si="264"/>
        <v>20208</v>
      </c>
      <c r="AI955" s="6">
        <f t="shared" ca="1" si="265"/>
        <v>2020</v>
      </c>
      <c r="AJ955" s="6">
        <f t="shared" ca="1" si="266"/>
        <v>8</v>
      </c>
      <c r="AK955" s="68">
        <f ca="1">IFERROR(__xludf.DUMMYFUNCTION("""COMPUTED_VALUE"""),44047.9986111111)</f>
        <v>44047.998611111099</v>
      </c>
      <c r="AL955" s="6">
        <f ca="1">IFERROR(__xludf.DUMMYFUNCTION("""COMPUTED_VALUE"""),11193.52)</f>
        <v>11193.52</v>
      </c>
      <c r="AP955" s="6" t="str">
        <f t="shared" ca="1" si="267"/>
        <v>202110</v>
      </c>
      <c r="AQ955" s="6">
        <f t="shared" ca="1" si="268"/>
        <v>2021</v>
      </c>
      <c r="AR955" s="6">
        <f t="shared" ca="1" si="269"/>
        <v>10</v>
      </c>
      <c r="AS955" s="68">
        <f ca="1">IFERROR(__xludf.DUMMYFUNCTION("""COMPUTED_VALUE"""),44490.9986111111)</f>
        <v>44490.998611111099</v>
      </c>
      <c r="AT955" s="6">
        <f ca="1">IFERROR(__xludf.DUMMYFUNCTION("""COMPUTED_VALUE"""),1781.9)</f>
        <v>1781.9</v>
      </c>
    </row>
    <row r="956" spans="2:46" x14ac:dyDescent="0.35">
      <c r="B956" s="6" t="str">
        <f t="shared" ca="1" si="252"/>
        <v>202110</v>
      </c>
      <c r="C956" s="6">
        <f t="shared" ca="1" si="253"/>
        <v>2021</v>
      </c>
      <c r="D956" s="6">
        <f t="shared" ca="1" si="254"/>
        <v>10</v>
      </c>
      <c r="E956" s="68">
        <f ca="1">IFERROR(__xludf.DUMMYFUNCTION("""COMPUTED_VALUE"""),44483.6666666666)</f>
        <v>44483.666666666599</v>
      </c>
      <c r="F956" s="6">
        <f ca="1">IFERROR(__xludf.DUMMYFUNCTION("""COMPUTED_VALUE"""),4438.26)</f>
        <v>4438.26</v>
      </c>
      <c r="J956" s="6" t="str">
        <f t="shared" ca="1" si="255"/>
        <v>202110</v>
      </c>
      <c r="K956" s="6">
        <f t="shared" ca="1" si="256"/>
        <v>2021</v>
      </c>
      <c r="L956" s="6">
        <f t="shared" ca="1" si="257"/>
        <v>10</v>
      </c>
      <c r="M956" s="68">
        <f ca="1">IFERROR(__xludf.DUMMYFUNCTION("""COMPUTED_VALUE"""),44476.6666666666)</f>
        <v>44476.666666666599</v>
      </c>
      <c r="N956" s="6">
        <f ca="1">IFERROR(__xludf.DUMMYFUNCTION("""COMPUTED_VALUE"""),14654.02)</f>
        <v>14654.02</v>
      </c>
      <c r="R956" s="6" t="str">
        <f t="shared" ca="1" si="258"/>
        <v>202111</v>
      </c>
      <c r="S956" s="6">
        <f t="shared" ca="1" si="259"/>
        <v>2021</v>
      </c>
      <c r="T956" s="6">
        <f t="shared" ca="1" si="260"/>
        <v>11</v>
      </c>
      <c r="U956" s="68">
        <f ca="1">IFERROR(__xludf.DUMMYFUNCTION("""COMPUTED_VALUE"""),44522.6458333333)</f>
        <v>44522.645833333299</v>
      </c>
      <c r="V956" s="6">
        <f ca="1">IFERROR(__xludf.DUMMYFUNCTION("""COMPUTED_VALUE"""),3013.25)</f>
        <v>3013.25</v>
      </c>
      <c r="Z956" s="6" t="str">
        <f t="shared" ca="1" si="261"/>
        <v>20209</v>
      </c>
      <c r="AA956" s="6">
        <f t="shared" ca="1" si="262"/>
        <v>2020</v>
      </c>
      <c r="AB956" s="6">
        <f t="shared" ca="1" si="263"/>
        <v>9</v>
      </c>
      <c r="AC956" s="68">
        <f ca="1">IFERROR(__xludf.DUMMYFUNCTION("""COMPUTED_VALUE"""),44095.9986111111)</f>
        <v>44095.998611111099</v>
      </c>
      <c r="AD956" s="6">
        <f ca="1">IFERROR(__xludf.DUMMYFUNCTION("""COMPUTED_VALUE"""),1163.85)</f>
        <v>1163.8499999999999</v>
      </c>
      <c r="AH956" s="6" t="str">
        <f t="shared" ca="1" si="264"/>
        <v>20208</v>
      </c>
      <c r="AI956" s="6">
        <f t="shared" ca="1" si="265"/>
        <v>2020</v>
      </c>
      <c r="AJ956" s="6">
        <f t="shared" ca="1" si="266"/>
        <v>8</v>
      </c>
      <c r="AK956" s="68">
        <f ca="1">IFERROR(__xludf.DUMMYFUNCTION("""COMPUTED_VALUE"""),44048.9986111111)</f>
        <v>44048.998611111099</v>
      </c>
      <c r="AL956" s="6">
        <f ca="1">IFERROR(__xludf.DUMMYFUNCTION("""COMPUTED_VALUE"""),11750.11)</f>
        <v>11750.11</v>
      </c>
      <c r="AP956" s="6" t="str">
        <f t="shared" ca="1" si="267"/>
        <v>202110</v>
      </c>
      <c r="AQ956" s="6">
        <f t="shared" ca="1" si="268"/>
        <v>2021</v>
      </c>
      <c r="AR956" s="6">
        <f t="shared" ca="1" si="269"/>
        <v>10</v>
      </c>
      <c r="AS956" s="68">
        <f ca="1">IFERROR(__xludf.DUMMYFUNCTION("""COMPUTED_VALUE"""),44491.9986111111)</f>
        <v>44491.998611111099</v>
      </c>
      <c r="AT956" s="6">
        <f ca="1">IFERROR(__xludf.DUMMYFUNCTION("""COMPUTED_VALUE"""),1796.3)</f>
        <v>1796.3</v>
      </c>
    </row>
    <row r="957" spans="2:46" x14ac:dyDescent="0.35">
      <c r="B957" s="6" t="str">
        <f t="shared" ca="1" si="252"/>
        <v>202110</v>
      </c>
      <c r="C957" s="6">
        <f t="shared" ca="1" si="253"/>
        <v>2021</v>
      </c>
      <c r="D957" s="6">
        <f t="shared" ca="1" si="254"/>
        <v>10</v>
      </c>
      <c r="E957" s="68">
        <f ca="1">IFERROR(__xludf.DUMMYFUNCTION("""COMPUTED_VALUE"""),44484.6666666666)</f>
        <v>44484.666666666599</v>
      </c>
      <c r="F957" s="6">
        <f ca="1">IFERROR(__xludf.DUMMYFUNCTION("""COMPUTED_VALUE"""),4471.37)</f>
        <v>4471.37</v>
      </c>
      <c r="J957" s="6" t="str">
        <f t="shared" ca="1" si="255"/>
        <v>202110</v>
      </c>
      <c r="K957" s="6">
        <f t="shared" ca="1" si="256"/>
        <v>2021</v>
      </c>
      <c r="L957" s="6">
        <f t="shared" ca="1" si="257"/>
        <v>10</v>
      </c>
      <c r="M957" s="68">
        <f ca="1">IFERROR(__xludf.DUMMYFUNCTION("""COMPUTED_VALUE"""),44477.6666666666)</f>
        <v>44477.666666666599</v>
      </c>
      <c r="N957" s="6">
        <f ca="1">IFERROR(__xludf.DUMMYFUNCTION("""COMPUTED_VALUE"""),14579.54)</f>
        <v>14579.54</v>
      </c>
      <c r="R957" s="6" t="str">
        <f t="shared" ca="1" si="258"/>
        <v>202111</v>
      </c>
      <c r="S957" s="6">
        <f t="shared" ca="1" si="259"/>
        <v>2021</v>
      </c>
      <c r="T957" s="6">
        <f t="shared" ca="1" si="260"/>
        <v>11</v>
      </c>
      <c r="U957" s="68">
        <f ca="1">IFERROR(__xludf.DUMMYFUNCTION("""COMPUTED_VALUE"""),44523.6458333333)</f>
        <v>44523.645833333299</v>
      </c>
      <c r="V957" s="6">
        <f ca="1">IFERROR(__xludf.DUMMYFUNCTION("""COMPUTED_VALUE"""),2997.33)</f>
        <v>2997.33</v>
      </c>
      <c r="Z957" s="6" t="str">
        <f t="shared" ca="1" si="261"/>
        <v>20209</v>
      </c>
      <c r="AA957" s="6">
        <f t="shared" ca="1" si="262"/>
        <v>2020</v>
      </c>
      <c r="AB957" s="6">
        <f t="shared" ca="1" si="263"/>
        <v>9</v>
      </c>
      <c r="AC957" s="68">
        <f ca="1">IFERROR(__xludf.DUMMYFUNCTION("""COMPUTED_VALUE"""),44096.9986111111)</f>
        <v>44096.998611111099</v>
      </c>
      <c r="AD957" s="6">
        <f ca="1">IFERROR(__xludf.DUMMYFUNCTION("""COMPUTED_VALUE"""),1162.5)</f>
        <v>1162.5</v>
      </c>
      <c r="AH957" s="6" t="str">
        <f t="shared" ca="1" si="264"/>
        <v>20208</v>
      </c>
      <c r="AI957" s="6">
        <f t="shared" ca="1" si="265"/>
        <v>2020</v>
      </c>
      <c r="AJ957" s="6">
        <f t="shared" ca="1" si="266"/>
        <v>8</v>
      </c>
      <c r="AK957" s="68">
        <f ca="1">IFERROR(__xludf.DUMMYFUNCTION("""COMPUTED_VALUE"""),44049.9986111111)</f>
        <v>44049.998611111099</v>
      </c>
      <c r="AL957" s="6">
        <f ca="1">IFERROR(__xludf.DUMMYFUNCTION("""COMPUTED_VALUE"""),11771.01)</f>
        <v>11771.01</v>
      </c>
      <c r="AP957" s="6" t="str">
        <f t="shared" ca="1" si="267"/>
        <v>202110</v>
      </c>
      <c r="AQ957" s="6">
        <f t="shared" ca="1" si="268"/>
        <v>2021</v>
      </c>
      <c r="AR957" s="6">
        <f t="shared" ca="1" si="269"/>
        <v>10</v>
      </c>
      <c r="AS957" s="68">
        <f ca="1">IFERROR(__xludf.DUMMYFUNCTION("""COMPUTED_VALUE"""),44494.9986111111)</f>
        <v>44494.998611111099</v>
      </c>
      <c r="AT957" s="6">
        <f ca="1">IFERROR(__xludf.DUMMYFUNCTION("""COMPUTED_VALUE"""),1806.8)</f>
        <v>1806.8</v>
      </c>
    </row>
    <row r="958" spans="2:46" x14ac:dyDescent="0.35">
      <c r="B958" s="6" t="str">
        <f t="shared" ca="1" si="252"/>
        <v>202110</v>
      </c>
      <c r="C958" s="6">
        <f t="shared" ca="1" si="253"/>
        <v>2021</v>
      </c>
      <c r="D958" s="6">
        <f t="shared" ca="1" si="254"/>
        <v>10</v>
      </c>
      <c r="E958" s="68">
        <f ca="1">IFERROR(__xludf.DUMMYFUNCTION("""COMPUTED_VALUE"""),44487.6666666666)</f>
        <v>44487.666666666599</v>
      </c>
      <c r="F958" s="6">
        <f ca="1">IFERROR(__xludf.DUMMYFUNCTION("""COMPUTED_VALUE"""),4486.46)</f>
        <v>4486.46</v>
      </c>
      <c r="J958" s="6" t="str">
        <f t="shared" ca="1" si="255"/>
        <v>202110</v>
      </c>
      <c r="K958" s="6">
        <f t="shared" ca="1" si="256"/>
        <v>2021</v>
      </c>
      <c r="L958" s="6">
        <f t="shared" ca="1" si="257"/>
        <v>10</v>
      </c>
      <c r="M958" s="68">
        <f ca="1">IFERROR(__xludf.DUMMYFUNCTION("""COMPUTED_VALUE"""),44480.6666666666)</f>
        <v>44480.666666666599</v>
      </c>
      <c r="N958" s="6">
        <f ca="1">IFERROR(__xludf.DUMMYFUNCTION("""COMPUTED_VALUE"""),14486.2)</f>
        <v>14486.2</v>
      </c>
      <c r="R958" s="6" t="str">
        <f t="shared" ca="1" si="258"/>
        <v>202111</v>
      </c>
      <c r="S958" s="6">
        <f t="shared" ca="1" si="259"/>
        <v>2021</v>
      </c>
      <c r="T958" s="6">
        <f t="shared" ca="1" si="260"/>
        <v>11</v>
      </c>
      <c r="U958" s="68">
        <f ca="1">IFERROR(__xludf.DUMMYFUNCTION("""COMPUTED_VALUE"""),44524.6458333333)</f>
        <v>44524.645833333299</v>
      </c>
      <c r="V958" s="6">
        <f ca="1">IFERROR(__xludf.DUMMYFUNCTION("""COMPUTED_VALUE"""),2994.29)</f>
        <v>2994.29</v>
      </c>
      <c r="Z958" s="6" t="str">
        <f t="shared" ca="1" si="261"/>
        <v>20209</v>
      </c>
      <c r="AA958" s="6">
        <f t="shared" ca="1" si="262"/>
        <v>2020</v>
      </c>
      <c r="AB958" s="6">
        <f t="shared" ca="1" si="263"/>
        <v>9</v>
      </c>
      <c r="AC958" s="68">
        <f ca="1">IFERROR(__xludf.DUMMYFUNCTION("""COMPUTED_VALUE"""),44097.9986111111)</f>
        <v>44097.998611111099</v>
      </c>
      <c r="AD958" s="6">
        <f ca="1">IFERROR(__xludf.DUMMYFUNCTION("""COMPUTED_VALUE"""),1169.73)</f>
        <v>1169.73</v>
      </c>
      <c r="AH958" s="6" t="str">
        <f t="shared" ca="1" si="264"/>
        <v>20208</v>
      </c>
      <c r="AI958" s="6">
        <f t="shared" ca="1" si="265"/>
        <v>2020</v>
      </c>
      <c r="AJ958" s="6">
        <f t="shared" ca="1" si="266"/>
        <v>8</v>
      </c>
      <c r="AK958" s="68">
        <f ca="1">IFERROR(__xludf.DUMMYFUNCTION("""COMPUTED_VALUE"""),44050.9986111111)</f>
        <v>44050.998611111099</v>
      </c>
      <c r="AL958" s="6">
        <f ca="1">IFERROR(__xludf.DUMMYFUNCTION("""COMPUTED_VALUE"""),11603.77)</f>
        <v>11603.77</v>
      </c>
      <c r="AP958" s="6" t="str">
        <f t="shared" ca="1" si="267"/>
        <v>202110</v>
      </c>
      <c r="AQ958" s="6">
        <f t="shared" ca="1" si="268"/>
        <v>2021</v>
      </c>
      <c r="AR958" s="6">
        <f t="shared" ca="1" si="269"/>
        <v>10</v>
      </c>
      <c r="AS958" s="68">
        <f ca="1">IFERROR(__xludf.DUMMYFUNCTION("""COMPUTED_VALUE"""),44495.9986111111)</f>
        <v>44495.998611111099</v>
      </c>
      <c r="AT958" s="6">
        <f ca="1">IFERROR(__xludf.DUMMYFUNCTION("""COMPUTED_VALUE"""),1793.4)</f>
        <v>1793.4</v>
      </c>
    </row>
    <row r="959" spans="2:46" x14ac:dyDescent="0.35">
      <c r="B959" s="6" t="str">
        <f t="shared" ca="1" si="252"/>
        <v>202110</v>
      </c>
      <c r="C959" s="6">
        <f t="shared" ca="1" si="253"/>
        <v>2021</v>
      </c>
      <c r="D959" s="6">
        <f t="shared" ca="1" si="254"/>
        <v>10</v>
      </c>
      <c r="E959" s="68">
        <f ca="1">IFERROR(__xludf.DUMMYFUNCTION("""COMPUTED_VALUE"""),44488.6666666666)</f>
        <v>44488.666666666599</v>
      </c>
      <c r="F959" s="6">
        <f ca="1">IFERROR(__xludf.DUMMYFUNCTION("""COMPUTED_VALUE"""),4519.63)</f>
        <v>4519.63</v>
      </c>
      <c r="J959" s="6" t="str">
        <f t="shared" ca="1" si="255"/>
        <v>202110</v>
      </c>
      <c r="K959" s="6">
        <f t="shared" ca="1" si="256"/>
        <v>2021</v>
      </c>
      <c r="L959" s="6">
        <f t="shared" ca="1" si="257"/>
        <v>10</v>
      </c>
      <c r="M959" s="68">
        <f ca="1">IFERROR(__xludf.DUMMYFUNCTION("""COMPUTED_VALUE"""),44481.6666666666)</f>
        <v>44481.666666666599</v>
      </c>
      <c r="N959" s="6">
        <f ca="1">IFERROR(__xludf.DUMMYFUNCTION("""COMPUTED_VALUE"""),14465.93)</f>
        <v>14465.93</v>
      </c>
      <c r="R959" s="6" t="str">
        <f t="shared" ca="1" si="258"/>
        <v>202111</v>
      </c>
      <c r="S959" s="6">
        <f t="shared" ca="1" si="259"/>
        <v>2021</v>
      </c>
      <c r="T959" s="6">
        <f t="shared" ca="1" si="260"/>
        <v>11</v>
      </c>
      <c r="U959" s="68">
        <f ca="1">IFERROR(__xludf.DUMMYFUNCTION("""COMPUTED_VALUE"""),44525.6458333333)</f>
        <v>44525.645833333299</v>
      </c>
      <c r="V959" s="6">
        <f ca="1">IFERROR(__xludf.DUMMYFUNCTION("""COMPUTED_VALUE"""),2980.27)</f>
        <v>2980.27</v>
      </c>
      <c r="Z959" s="6" t="str">
        <f t="shared" ca="1" si="261"/>
        <v>20209</v>
      </c>
      <c r="AA959" s="6">
        <f t="shared" ca="1" si="262"/>
        <v>2020</v>
      </c>
      <c r="AB959" s="6">
        <f t="shared" ca="1" si="263"/>
        <v>9</v>
      </c>
      <c r="AC959" s="68">
        <f ca="1">IFERROR(__xludf.DUMMYFUNCTION("""COMPUTED_VALUE"""),44098.9986111111)</f>
        <v>44098.998611111099</v>
      </c>
      <c r="AD959" s="6">
        <f ca="1">IFERROR(__xludf.DUMMYFUNCTION("""COMPUTED_VALUE"""),1168.5)</f>
        <v>1168.5</v>
      </c>
      <c r="AH959" s="6" t="str">
        <f t="shared" ca="1" si="264"/>
        <v>20208</v>
      </c>
      <c r="AI959" s="6">
        <f t="shared" ca="1" si="265"/>
        <v>2020</v>
      </c>
      <c r="AJ959" s="6">
        <f t="shared" ca="1" si="266"/>
        <v>8</v>
      </c>
      <c r="AK959" s="68">
        <f ca="1">IFERROR(__xludf.DUMMYFUNCTION("""COMPUTED_VALUE"""),44051.9986111111)</f>
        <v>44051.998611111099</v>
      </c>
      <c r="AL959" s="6">
        <f ca="1">IFERROR(__xludf.DUMMYFUNCTION("""COMPUTED_VALUE"""),11771.91)</f>
        <v>11771.91</v>
      </c>
      <c r="AP959" s="6" t="str">
        <f t="shared" ca="1" si="267"/>
        <v>202110</v>
      </c>
      <c r="AQ959" s="6">
        <f t="shared" ca="1" si="268"/>
        <v>2021</v>
      </c>
      <c r="AR959" s="6">
        <f t="shared" ca="1" si="269"/>
        <v>10</v>
      </c>
      <c r="AS959" s="68">
        <f ca="1">IFERROR(__xludf.DUMMYFUNCTION("""COMPUTED_VALUE"""),44496.9986111111)</f>
        <v>44496.998611111099</v>
      </c>
      <c r="AT959" s="6">
        <f ca="1">IFERROR(__xludf.DUMMYFUNCTION("""COMPUTED_VALUE"""),1798.8)</f>
        <v>1798.8</v>
      </c>
    </row>
    <row r="960" spans="2:46" x14ac:dyDescent="0.35">
      <c r="B960" s="6" t="str">
        <f t="shared" ca="1" si="252"/>
        <v>202110</v>
      </c>
      <c r="C960" s="6">
        <f t="shared" ca="1" si="253"/>
        <v>2021</v>
      </c>
      <c r="D960" s="6">
        <f t="shared" ca="1" si="254"/>
        <v>10</v>
      </c>
      <c r="E960" s="68">
        <f ca="1">IFERROR(__xludf.DUMMYFUNCTION("""COMPUTED_VALUE"""),44489.6666666666)</f>
        <v>44489.666666666599</v>
      </c>
      <c r="F960" s="6">
        <f ca="1">IFERROR(__xludf.DUMMYFUNCTION("""COMPUTED_VALUE"""),4536.19)</f>
        <v>4536.1899999999996</v>
      </c>
      <c r="J960" s="6" t="str">
        <f t="shared" ca="1" si="255"/>
        <v>202110</v>
      </c>
      <c r="K960" s="6">
        <f t="shared" ca="1" si="256"/>
        <v>2021</v>
      </c>
      <c r="L960" s="6">
        <f t="shared" ca="1" si="257"/>
        <v>10</v>
      </c>
      <c r="M960" s="68">
        <f ca="1">IFERROR(__xludf.DUMMYFUNCTION("""COMPUTED_VALUE"""),44482.6666666666)</f>
        <v>44482.666666666599</v>
      </c>
      <c r="N960" s="6">
        <f ca="1">IFERROR(__xludf.DUMMYFUNCTION("""COMPUTED_VALUE"""),14571.64)</f>
        <v>14571.64</v>
      </c>
      <c r="R960" s="6" t="str">
        <f t="shared" ca="1" si="258"/>
        <v>202111</v>
      </c>
      <c r="S960" s="6">
        <f t="shared" ca="1" si="259"/>
        <v>2021</v>
      </c>
      <c r="T960" s="6">
        <f t="shared" ca="1" si="260"/>
        <v>11</v>
      </c>
      <c r="U960" s="68">
        <f ca="1">IFERROR(__xludf.DUMMYFUNCTION("""COMPUTED_VALUE"""),44526.6458333333)</f>
        <v>44526.645833333299</v>
      </c>
      <c r="V960" s="6">
        <f ca="1">IFERROR(__xludf.DUMMYFUNCTION("""COMPUTED_VALUE"""),2936.44)</f>
        <v>2936.44</v>
      </c>
      <c r="Z960" s="6" t="str">
        <f t="shared" ca="1" si="261"/>
        <v>20209</v>
      </c>
      <c r="AA960" s="6">
        <f t="shared" ca="1" si="262"/>
        <v>2020</v>
      </c>
      <c r="AB960" s="6">
        <f t="shared" ca="1" si="263"/>
        <v>9</v>
      </c>
      <c r="AC960" s="68">
        <f ca="1">IFERROR(__xludf.DUMMYFUNCTION("""COMPUTED_VALUE"""),44099.9986111111)</f>
        <v>44099.998611111099</v>
      </c>
      <c r="AD960" s="6">
        <f ca="1">IFERROR(__xludf.DUMMYFUNCTION("""COMPUTED_VALUE"""),1174.23)</f>
        <v>1174.23</v>
      </c>
      <c r="AH960" s="6" t="str">
        <f t="shared" ca="1" si="264"/>
        <v>20208</v>
      </c>
      <c r="AI960" s="6">
        <f t="shared" ca="1" si="265"/>
        <v>2020</v>
      </c>
      <c r="AJ960" s="6">
        <f t="shared" ca="1" si="266"/>
        <v>8</v>
      </c>
      <c r="AK960" s="68">
        <f ca="1">IFERROR(__xludf.DUMMYFUNCTION("""COMPUTED_VALUE"""),44052.9986111111)</f>
        <v>44052.998611111099</v>
      </c>
      <c r="AL960" s="6">
        <f ca="1">IFERROR(__xludf.DUMMYFUNCTION("""COMPUTED_VALUE"""),11685.37)</f>
        <v>11685.37</v>
      </c>
      <c r="AP960" s="6" t="str">
        <f t="shared" ca="1" si="267"/>
        <v>202110</v>
      </c>
      <c r="AQ960" s="6">
        <f t="shared" ca="1" si="268"/>
        <v>2021</v>
      </c>
      <c r="AR960" s="6">
        <f t="shared" ca="1" si="269"/>
        <v>10</v>
      </c>
      <c r="AS960" s="68">
        <f ca="1">IFERROR(__xludf.DUMMYFUNCTION("""COMPUTED_VALUE"""),44497.9986111111)</f>
        <v>44497.998611111099</v>
      </c>
      <c r="AT960" s="6">
        <f ca="1">IFERROR(__xludf.DUMMYFUNCTION("""COMPUTED_VALUE"""),1802.6)</f>
        <v>1802.6</v>
      </c>
    </row>
    <row r="961" spans="2:46" x14ac:dyDescent="0.35">
      <c r="B961" s="6" t="str">
        <f t="shared" ca="1" si="252"/>
        <v>202110</v>
      </c>
      <c r="C961" s="6">
        <f t="shared" ca="1" si="253"/>
        <v>2021</v>
      </c>
      <c r="D961" s="6">
        <f t="shared" ca="1" si="254"/>
        <v>10</v>
      </c>
      <c r="E961" s="68">
        <f ca="1">IFERROR(__xludf.DUMMYFUNCTION("""COMPUTED_VALUE"""),44490.6666666666)</f>
        <v>44490.666666666599</v>
      </c>
      <c r="F961" s="6">
        <f ca="1">IFERROR(__xludf.DUMMYFUNCTION("""COMPUTED_VALUE"""),4549.78)</f>
        <v>4549.78</v>
      </c>
      <c r="J961" s="6" t="str">
        <f t="shared" ca="1" si="255"/>
        <v>202110</v>
      </c>
      <c r="K961" s="6">
        <f t="shared" ca="1" si="256"/>
        <v>2021</v>
      </c>
      <c r="L961" s="6">
        <f t="shared" ca="1" si="257"/>
        <v>10</v>
      </c>
      <c r="M961" s="68">
        <f ca="1">IFERROR(__xludf.DUMMYFUNCTION("""COMPUTED_VALUE"""),44483.6666666666)</f>
        <v>44483.666666666599</v>
      </c>
      <c r="N961" s="6">
        <f ca="1">IFERROR(__xludf.DUMMYFUNCTION("""COMPUTED_VALUE"""),14823.43)</f>
        <v>14823.43</v>
      </c>
      <c r="R961" s="6" t="str">
        <f t="shared" ca="1" si="258"/>
        <v>202111</v>
      </c>
      <c r="S961" s="6">
        <f t="shared" ca="1" si="259"/>
        <v>2021</v>
      </c>
      <c r="T961" s="6">
        <f t="shared" ca="1" si="260"/>
        <v>11</v>
      </c>
      <c r="U961" s="68">
        <f ca="1">IFERROR(__xludf.DUMMYFUNCTION("""COMPUTED_VALUE"""),44529.6458333333)</f>
        <v>44529.645833333299</v>
      </c>
      <c r="V961" s="6">
        <f ca="1">IFERROR(__xludf.DUMMYFUNCTION("""COMPUTED_VALUE"""),2909.32)</f>
        <v>2909.32</v>
      </c>
      <c r="Z961" s="6" t="str">
        <f t="shared" ca="1" si="261"/>
        <v>20209</v>
      </c>
      <c r="AA961" s="6">
        <f t="shared" ca="1" si="262"/>
        <v>2020</v>
      </c>
      <c r="AB961" s="6">
        <f t="shared" ca="1" si="263"/>
        <v>9</v>
      </c>
      <c r="AC961" s="68">
        <f ca="1">IFERROR(__xludf.DUMMYFUNCTION("""COMPUTED_VALUE"""),44100.9986111111)</f>
        <v>44100.998611111099</v>
      </c>
      <c r="AD961" s="6">
        <f ca="1">IFERROR(__xludf.DUMMYFUNCTION("""COMPUTED_VALUE"""),1174.23)</f>
        <v>1174.23</v>
      </c>
      <c r="AH961" s="6" t="str">
        <f t="shared" ca="1" si="264"/>
        <v>20208</v>
      </c>
      <c r="AI961" s="6">
        <f t="shared" ca="1" si="265"/>
        <v>2020</v>
      </c>
      <c r="AJ961" s="6">
        <f t="shared" ca="1" si="266"/>
        <v>8</v>
      </c>
      <c r="AK961" s="68">
        <f ca="1">IFERROR(__xludf.DUMMYFUNCTION("""COMPUTED_VALUE"""),44053.9986111111)</f>
        <v>44053.998611111099</v>
      </c>
      <c r="AL961" s="6">
        <f ca="1">IFERROR(__xludf.DUMMYFUNCTION("""COMPUTED_VALUE"""),11892.32)</f>
        <v>11892.32</v>
      </c>
      <c r="AP961" s="6" t="str">
        <f t="shared" ca="1" si="267"/>
        <v>202110</v>
      </c>
      <c r="AQ961" s="6">
        <f t="shared" ca="1" si="268"/>
        <v>2021</v>
      </c>
      <c r="AR961" s="6">
        <f t="shared" ca="1" si="269"/>
        <v>10</v>
      </c>
      <c r="AS961" s="68">
        <f ca="1">IFERROR(__xludf.DUMMYFUNCTION("""COMPUTED_VALUE"""),44498.9986111111)</f>
        <v>44498.998611111099</v>
      </c>
      <c r="AT961" s="6">
        <f ca="1">IFERROR(__xludf.DUMMYFUNCTION("""COMPUTED_VALUE"""),1785)</f>
        <v>1785</v>
      </c>
    </row>
    <row r="962" spans="2:46" x14ac:dyDescent="0.35">
      <c r="B962" s="6" t="str">
        <f t="shared" ca="1" si="252"/>
        <v>202110</v>
      </c>
      <c r="C962" s="6">
        <f t="shared" ca="1" si="253"/>
        <v>2021</v>
      </c>
      <c r="D962" s="6">
        <f t="shared" ca="1" si="254"/>
        <v>10</v>
      </c>
      <c r="E962" s="68">
        <f ca="1">IFERROR(__xludf.DUMMYFUNCTION("""COMPUTED_VALUE"""),44491.6666666666)</f>
        <v>44491.666666666599</v>
      </c>
      <c r="F962" s="6">
        <f ca="1">IFERROR(__xludf.DUMMYFUNCTION("""COMPUTED_VALUE"""),4544.9)</f>
        <v>4544.8999999999996</v>
      </c>
      <c r="J962" s="6" t="str">
        <f t="shared" ca="1" si="255"/>
        <v>202110</v>
      </c>
      <c r="K962" s="6">
        <f t="shared" ca="1" si="256"/>
        <v>2021</v>
      </c>
      <c r="L962" s="6">
        <f t="shared" ca="1" si="257"/>
        <v>10</v>
      </c>
      <c r="M962" s="68">
        <f ca="1">IFERROR(__xludf.DUMMYFUNCTION("""COMPUTED_VALUE"""),44484.6666666666)</f>
        <v>44484.666666666599</v>
      </c>
      <c r="N962" s="6">
        <f ca="1">IFERROR(__xludf.DUMMYFUNCTION("""COMPUTED_VALUE"""),14897.34)</f>
        <v>14897.34</v>
      </c>
      <c r="R962" s="6" t="str">
        <f t="shared" ca="1" si="258"/>
        <v>202111</v>
      </c>
      <c r="S962" s="6">
        <f t="shared" ca="1" si="259"/>
        <v>2021</v>
      </c>
      <c r="T962" s="6">
        <f t="shared" ca="1" si="260"/>
        <v>11</v>
      </c>
      <c r="U962" s="68">
        <f ca="1">IFERROR(__xludf.DUMMYFUNCTION("""COMPUTED_VALUE"""),44530.6458333333)</f>
        <v>44530.645833333299</v>
      </c>
      <c r="V962" s="6">
        <f ca="1">IFERROR(__xludf.DUMMYFUNCTION("""COMPUTED_VALUE"""),2839.01)</f>
        <v>2839.01</v>
      </c>
      <c r="Z962" s="6" t="str">
        <f t="shared" ca="1" si="261"/>
        <v>20209</v>
      </c>
      <c r="AA962" s="6">
        <f t="shared" ca="1" si="262"/>
        <v>2020</v>
      </c>
      <c r="AB962" s="6">
        <f t="shared" ca="1" si="263"/>
        <v>9</v>
      </c>
      <c r="AC962" s="68">
        <f ca="1">IFERROR(__xludf.DUMMYFUNCTION("""COMPUTED_VALUE"""),44101.9986111111)</f>
        <v>44101.998611111099</v>
      </c>
      <c r="AD962" s="6">
        <f ca="1">IFERROR(__xludf.DUMMYFUNCTION("""COMPUTED_VALUE"""),1173.44)</f>
        <v>1173.44</v>
      </c>
      <c r="AH962" s="6" t="str">
        <f t="shared" ca="1" si="264"/>
        <v>20208</v>
      </c>
      <c r="AI962" s="6">
        <f t="shared" ca="1" si="265"/>
        <v>2020</v>
      </c>
      <c r="AJ962" s="6">
        <f t="shared" ca="1" si="266"/>
        <v>8</v>
      </c>
      <c r="AK962" s="68">
        <f ca="1">IFERROR(__xludf.DUMMYFUNCTION("""COMPUTED_VALUE"""),44054.9986111111)</f>
        <v>44054.998611111099</v>
      </c>
      <c r="AL962" s="6">
        <f ca="1">IFERROR(__xludf.DUMMYFUNCTION("""COMPUTED_VALUE"""),11386.83)</f>
        <v>11386.83</v>
      </c>
      <c r="AP962" s="6" t="str">
        <f t="shared" ca="1" si="267"/>
        <v>202111</v>
      </c>
      <c r="AQ962" s="6">
        <f t="shared" ca="1" si="268"/>
        <v>2021</v>
      </c>
      <c r="AR962" s="6">
        <f t="shared" ca="1" si="269"/>
        <v>11</v>
      </c>
      <c r="AS962" s="68">
        <f ca="1">IFERROR(__xludf.DUMMYFUNCTION("""COMPUTED_VALUE"""),44501.9986111111)</f>
        <v>44501.998611111099</v>
      </c>
      <c r="AT962" s="6">
        <f ca="1">IFERROR(__xludf.DUMMYFUNCTION("""COMPUTED_VALUE"""),1795.8)</f>
        <v>1795.8</v>
      </c>
    </row>
    <row r="963" spans="2:46" x14ac:dyDescent="0.35">
      <c r="B963" s="6" t="str">
        <f t="shared" ca="1" si="252"/>
        <v>202110</v>
      </c>
      <c r="C963" s="6">
        <f t="shared" ca="1" si="253"/>
        <v>2021</v>
      </c>
      <c r="D963" s="6">
        <f t="shared" ca="1" si="254"/>
        <v>10</v>
      </c>
      <c r="E963" s="68">
        <f ca="1">IFERROR(__xludf.DUMMYFUNCTION("""COMPUTED_VALUE"""),44494.6666666666)</f>
        <v>44494.666666666599</v>
      </c>
      <c r="F963" s="6">
        <f ca="1">IFERROR(__xludf.DUMMYFUNCTION("""COMPUTED_VALUE"""),4566.48)</f>
        <v>4566.4799999999996</v>
      </c>
      <c r="J963" s="6" t="str">
        <f t="shared" ca="1" si="255"/>
        <v>202110</v>
      </c>
      <c r="K963" s="6">
        <f t="shared" ca="1" si="256"/>
        <v>2021</v>
      </c>
      <c r="L963" s="6">
        <f t="shared" ca="1" si="257"/>
        <v>10</v>
      </c>
      <c r="M963" s="68">
        <f ca="1">IFERROR(__xludf.DUMMYFUNCTION("""COMPUTED_VALUE"""),44487.6666666666)</f>
        <v>44487.666666666599</v>
      </c>
      <c r="N963" s="6">
        <f ca="1">IFERROR(__xludf.DUMMYFUNCTION("""COMPUTED_VALUE"""),15021.81)</f>
        <v>15021.81</v>
      </c>
      <c r="R963" s="6" t="str">
        <f t="shared" ca="1" si="258"/>
        <v>202112</v>
      </c>
      <c r="S963" s="6">
        <f t="shared" ca="1" si="259"/>
        <v>2021</v>
      </c>
      <c r="T963" s="6">
        <f t="shared" ca="1" si="260"/>
        <v>12</v>
      </c>
      <c r="U963" s="68">
        <f ca="1">IFERROR(__xludf.DUMMYFUNCTION("""COMPUTED_VALUE"""),44531.6458333333)</f>
        <v>44531.645833333299</v>
      </c>
      <c r="V963" s="6">
        <f ca="1">IFERROR(__xludf.DUMMYFUNCTION("""COMPUTED_VALUE"""),2899.72)</f>
        <v>2899.72</v>
      </c>
      <c r="Z963" s="6" t="str">
        <f t="shared" ca="1" si="261"/>
        <v>20209</v>
      </c>
      <c r="AA963" s="6">
        <f t="shared" ca="1" si="262"/>
        <v>2020</v>
      </c>
      <c r="AB963" s="6">
        <f t="shared" ca="1" si="263"/>
        <v>9</v>
      </c>
      <c r="AC963" s="68">
        <f ca="1">IFERROR(__xludf.DUMMYFUNCTION("""COMPUTED_VALUE"""),44102.9986111111)</f>
        <v>44102.998611111099</v>
      </c>
      <c r="AD963" s="6">
        <f ca="1">IFERROR(__xludf.DUMMYFUNCTION("""COMPUTED_VALUE"""),1166.41)</f>
        <v>1166.4100000000001</v>
      </c>
      <c r="AH963" s="6" t="str">
        <f t="shared" ca="1" si="264"/>
        <v>20208</v>
      </c>
      <c r="AI963" s="6">
        <f t="shared" ca="1" si="265"/>
        <v>2020</v>
      </c>
      <c r="AJ963" s="6">
        <f t="shared" ca="1" si="266"/>
        <v>8</v>
      </c>
      <c r="AK963" s="68">
        <f ca="1">IFERROR(__xludf.DUMMYFUNCTION("""COMPUTED_VALUE"""),44055.9986111111)</f>
        <v>44055.998611111099</v>
      </c>
      <c r="AL963" s="6">
        <f ca="1">IFERROR(__xludf.DUMMYFUNCTION("""COMPUTED_VALUE"""),11570.86)</f>
        <v>11570.86</v>
      </c>
      <c r="AP963" s="6" t="str">
        <f t="shared" ca="1" si="267"/>
        <v>202111</v>
      </c>
      <c r="AQ963" s="6">
        <f t="shared" ca="1" si="268"/>
        <v>2021</v>
      </c>
      <c r="AR963" s="6">
        <f t="shared" ca="1" si="269"/>
        <v>11</v>
      </c>
      <c r="AS963" s="68">
        <f ca="1">IFERROR(__xludf.DUMMYFUNCTION("""COMPUTED_VALUE"""),44502.9986111111)</f>
        <v>44502.998611111099</v>
      </c>
      <c r="AT963" s="6">
        <f ca="1">IFERROR(__xludf.DUMMYFUNCTION("""COMPUTED_VALUE"""),1789.4)</f>
        <v>1789.4</v>
      </c>
    </row>
    <row r="964" spans="2:46" x14ac:dyDescent="0.35">
      <c r="B964" s="6" t="str">
        <f t="shared" ca="1" si="252"/>
        <v>202110</v>
      </c>
      <c r="C964" s="6">
        <f t="shared" ca="1" si="253"/>
        <v>2021</v>
      </c>
      <c r="D964" s="6">
        <f t="shared" ca="1" si="254"/>
        <v>10</v>
      </c>
      <c r="E964" s="68">
        <f ca="1">IFERROR(__xludf.DUMMYFUNCTION("""COMPUTED_VALUE"""),44495.6666666666)</f>
        <v>44495.666666666599</v>
      </c>
      <c r="F964" s="6">
        <f ca="1">IFERROR(__xludf.DUMMYFUNCTION("""COMPUTED_VALUE"""),4574.79)</f>
        <v>4574.79</v>
      </c>
      <c r="J964" s="6" t="str">
        <f t="shared" ca="1" si="255"/>
        <v>202110</v>
      </c>
      <c r="K964" s="6">
        <f t="shared" ca="1" si="256"/>
        <v>2021</v>
      </c>
      <c r="L964" s="6">
        <f t="shared" ca="1" si="257"/>
        <v>10</v>
      </c>
      <c r="M964" s="68">
        <f ca="1">IFERROR(__xludf.DUMMYFUNCTION("""COMPUTED_VALUE"""),44488.6666666666)</f>
        <v>44488.666666666599</v>
      </c>
      <c r="N964" s="6">
        <f ca="1">IFERROR(__xludf.DUMMYFUNCTION("""COMPUTED_VALUE"""),15129.09)</f>
        <v>15129.09</v>
      </c>
      <c r="R964" s="6" t="str">
        <f t="shared" ca="1" si="258"/>
        <v>202112</v>
      </c>
      <c r="S964" s="6">
        <f t="shared" ca="1" si="259"/>
        <v>2021</v>
      </c>
      <c r="T964" s="6">
        <f t="shared" ca="1" si="260"/>
        <v>12</v>
      </c>
      <c r="U964" s="68">
        <f ca="1">IFERROR(__xludf.DUMMYFUNCTION("""COMPUTED_VALUE"""),44532.6458333333)</f>
        <v>44532.645833333299</v>
      </c>
      <c r="V964" s="6">
        <f ca="1">IFERROR(__xludf.DUMMYFUNCTION("""COMPUTED_VALUE"""),2945.27)</f>
        <v>2945.27</v>
      </c>
      <c r="Z964" s="6" t="str">
        <f t="shared" ca="1" si="261"/>
        <v>20209</v>
      </c>
      <c r="AA964" s="6">
        <f t="shared" ca="1" si="262"/>
        <v>2020</v>
      </c>
      <c r="AB964" s="6">
        <f t="shared" ca="1" si="263"/>
        <v>9</v>
      </c>
      <c r="AC964" s="68">
        <f ca="1">IFERROR(__xludf.DUMMYFUNCTION("""COMPUTED_VALUE"""),44103.9986111111)</f>
        <v>44103.998611111099</v>
      </c>
      <c r="AD964" s="6">
        <f ca="1">IFERROR(__xludf.DUMMYFUNCTION("""COMPUTED_VALUE"""),1167.86)</f>
        <v>1167.8599999999999</v>
      </c>
      <c r="AH964" s="6" t="str">
        <f t="shared" ca="1" si="264"/>
        <v>20208</v>
      </c>
      <c r="AI964" s="6">
        <f t="shared" ca="1" si="265"/>
        <v>2020</v>
      </c>
      <c r="AJ964" s="6">
        <f t="shared" ca="1" si="266"/>
        <v>8</v>
      </c>
      <c r="AK964" s="68">
        <f ca="1">IFERROR(__xludf.DUMMYFUNCTION("""COMPUTED_VALUE"""),44056.9986111111)</f>
        <v>44056.998611111099</v>
      </c>
      <c r="AL964" s="6">
        <f ca="1">IFERROR(__xludf.DUMMYFUNCTION("""COMPUTED_VALUE"""),11788.67)</f>
        <v>11788.67</v>
      </c>
      <c r="AP964" s="6" t="str">
        <f t="shared" ca="1" si="267"/>
        <v>202111</v>
      </c>
      <c r="AQ964" s="6">
        <f t="shared" ca="1" si="268"/>
        <v>2021</v>
      </c>
      <c r="AR964" s="6">
        <f t="shared" ca="1" si="269"/>
        <v>11</v>
      </c>
      <c r="AS964" s="68">
        <f ca="1">IFERROR(__xludf.DUMMYFUNCTION("""COMPUTED_VALUE"""),44503.9986111111)</f>
        <v>44503.998611111099</v>
      </c>
      <c r="AT964" s="6">
        <f ca="1">IFERROR(__xludf.DUMMYFUNCTION("""COMPUTED_VALUE"""),1763.9)</f>
        <v>1763.9</v>
      </c>
    </row>
    <row r="965" spans="2:46" x14ac:dyDescent="0.35">
      <c r="B965" s="6" t="str">
        <f t="shared" ca="1" si="252"/>
        <v>202110</v>
      </c>
      <c r="C965" s="6">
        <f t="shared" ca="1" si="253"/>
        <v>2021</v>
      </c>
      <c r="D965" s="6">
        <f t="shared" ca="1" si="254"/>
        <v>10</v>
      </c>
      <c r="E965" s="68">
        <f ca="1">IFERROR(__xludf.DUMMYFUNCTION("""COMPUTED_VALUE"""),44496.6666666666)</f>
        <v>44496.666666666599</v>
      </c>
      <c r="F965" s="6">
        <f ca="1">IFERROR(__xludf.DUMMYFUNCTION("""COMPUTED_VALUE"""),4551.68)</f>
        <v>4551.68</v>
      </c>
      <c r="J965" s="6" t="str">
        <f t="shared" ca="1" si="255"/>
        <v>202110</v>
      </c>
      <c r="K965" s="6">
        <f t="shared" ca="1" si="256"/>
        <v>2021</v>
      </c>
      <c r="L965" s="6">
        <f t="shared" ca="1" si="257"/>
        <v>10</v>
      </c>
      <c r="M965" s="68">
        <f ca="1">IFERROR(__xludf.DUMMYFUNCTION("""COMPUTED_VALUE"""),44489.6666666666)</f>
        <v>44489.666666666599</v>
      </c>
      <c r="N965" s="6">
        <f ca="1">IFERROR(__xludf.DUMMYFUNCTION("""COMPUTED_VALUE"""),15121.68)</f>
        <v>15121.68</v>
      </c>
      <c r="R965" s="6" t="str">
        <f t="shared" ca="1" si="258"/>
        <v>202112</v>
      </c>
      <c r="S965" s="6">
        <f t="shared" ca="1" si="259"/>
        <v>2021</v>
      </c>
      <c r="T965" s="6">
        <f t="shared" ca="1" si="260"/>
        <v>12</v>
      </c>
      <c r="U965" s="68">
        <f ca="1">IFERROR(__xludf.DUMMYFUNCTION("""COMPUTED_VALUE"""),44533.6458333333)</f>
        <v>44533.645833333299</v>
      </c>
      <c r="V965" s="6">
        <f ca="1">IFERROR(__xludf.DUMMYFUNCTION("""COMPUTED_VALUE"""),2968.33)</f>
        <v>2968.33</v>
      </c>
      <c r="Z965" s="6" t="str">
        <f t="shared" ca="1" si="261"/>
        <v>20209</v>
      </c>
      <c r="AA965" s="6">
        <f t="shared" ca="1" si="262"/>
        <v>2020</v>
      </c>
      <c r="AB965" s="6">
        <f t="shared" ca="1" si="263"/>
        <v>9</v>
      </c>
      <c r="AC965" s="68">
        <f ca="1">IFERROR(__xludf.DUMMYFUNCTION("""COMPUTED_VALUE"""),44104.9986111111)</f>
        <v>44104.998611111099</v>
      </c>
      <c r="AD965" s="6">
        <f ca="1">IFERROR(__xludf.DUMMYFUNCTION("""COMPUTED_VALUE"""),1163.78)</f>
        <v>1163.78</v>
      </c>
      <c r="AH965" s="6" t="str">
        <f t="shared" ca="1" si="264"/>
        <v>20208</v>
      </c>
      <c r="AI965" s="6">
        <f t="shared" ca="1" si="265"/>
        <v>2020</v>
      </c>
      <c r="AJ965" s="6">
        <f t="shared" ca="1" si="266"/>
        <v>8</v>
      </c>
      <c r="AK965" s="68">
        <f ca="1">IFERROR(__xludf.DUMMYFUNCTION("""COMPUTED_VALUE"""),44057.9986111111)</f>
        <v>44057.998611111099</v>
      </c>
      <c r="AL965" s="6">
        <f ca="1">IFERROR(__xludf.DUMMYFUNCTION("""COMPUTED_VALUE"""),11774.58)</f>
        <v>11774.58</v>
      </c>
      <c r="AP965" s="6" t="str">
        <f t="shared" ca="1" si="267"/>
        <v>202111</v>
      </c>
      <c r="AQ965" s="6">
        <f t="shared" ca="1" si="268"/>
        <v>2021</v>
      </c>
      <c r="AR965" s="6">
        <f t="shared" ca="1" si="269"/>
        <v>11</v>
      </c>
      <c r="AS965" s="68">
        <f ca="1">IFERROR(__xludf.DUMMYFUNCTION("""COMPUTED_VALUE"""),44504.9986111111)</f>
        <v>44504.998611111099</v>
      </c>
      <c r="AT965" s="6">
        <f ca="1">IFERROR(__xludf.DUMMYFUNCTION("""COMPUTED_VALUE"""),1793.5)</f>
        <v>1793.5</v>
      </c>
    </row>
    <row r="966" spans="2:46" x14ac:dyDescent="0.35">
      <c r="B966" s="6" t="str">
        <f t="shared" ca="1" si="252"/>
        <v>202110</v>
      </c>
      <c r="C966" s="6">
        <f t="shared" ca="1" si="253"/>
        <v>2021</v>
      </c>
      <c r="D966" s="6">
        <f t="shared" ca="1" si="254"/>
        <v>10</v>
      </c>
      <c r="E966" s="68">
        <f ca="1">IFERROR(__xludf.DUMMYFUNCTION("""COMPUTED_VALUE"""),44497.6666666666)</f>
        <v>44497.666666666599</v>
      </c>
      <c r="F966" s="6">
        <f ca="1">IFERROR(__xludf.DUMMYFUNCTION("""COMPUTED_VALUE"""),4596.42)</f>
        <v>4596.42</v>
      </c>
      <c r="J966" s="6" t="str">
        <f t="shared" ca="1" si="255"/>
        <v>202110</v>
      </c>
      <c r="K966" s="6">
        <f t="shared" ca="1" si="256"/>
        <v>2021</v>
      </c>
      <c r="L966" s="6">
        <f t="shared" ca="1" si="257"/>
        <v>10</v>
      </c>
      <c r="M966" s="68">
        <f ca="1">IFERROR(__xludf.DUMMYFUNCTION("""COMPUTED_VALUE"""),44490.6666666666)</f>
        <v>44490.666666666599</v>
      </c>
      <c r="N966" s="6">
        <f ca="1">IFERROR(__xludf.DUMMYFUNCTION("""COMPUTED_VALUE"""),15215.7)</f>
        <v>15215.7</v>
      </c>
      <c r="R966" s="6" t="str">
        <f t="shared" ca="1" si="258"/>
        <v>202112</v>
      </c>
      <c r="S966" s="6">
        <f t="shared" ca="1" si="259"/>
        <v>2021</v>
      </c>
      <c r="T966" s="6">
        <f t="shared" ca="1" si="260"/>
        <v>12</v>
      </c>
      <c r="U966" s="68">
        <f ca="1">IFERROR(__xludf.DUMMYFUNCTION("""COMPUTED_VALUE"""),44536.6458333333)</f>
        <v>44536.645833333299</v>
      </c>
      <c r="V966" s="6">
        <f ca="1">IFERROR(__xludf.DUMMYFUNCTION("""COMPUTED_VALUE"""),2973.25)</f>
        <v>2973.25</v>
      </c>
      <c r="Z966" s="6" t="str">
        <f t="shared" ca="1" si="261"/>
        <v>202010</v>
      </c>
      <c r="AA966" s="6">
        <f t="shared" ca="1" si="262"/>
        <v>2020</v>
      </c>
      <c r="AB966" s="6">
        <f t="shared" ca="1" si="263"/>
        <v>10</v>
      </c>
      <c r="AC966" s="68">
        <f ca="1">IFERROR(__xludf.DUMMYFUNCTION("""COMPUTED_VALUE"""),44105.9986111111)</f>
        <v>44105.998611111099</v>
      </c>
      <c r="AD966" s="6">
        <f ca="1">IFERROR(__xludf.DUMMYFUNCTION("""COMPUTED_VALUE"""),1161.98)</f>
        <v>1161.98</v>
      </c>
      <c r="AH966" s="6" t="str">
        <f t="shared" ca="1" si="264"/>
        <v>20208</v>
      </c>
      <c r="AI966" s="6">
        <f t="shared" ca="1" si="265"/>
        <v>2020</v>
      </c>
      <c r="AJ966" s="6">
        <f t="shared" ca="1" si="266"/>
        <v>8</v>
      </c>
      <c r="AK966" s="68">
        <f ca="1">IFERROR(__xludf.DUMMYFUNCTION("""COMPUTED_VALUE"""),44058.9986111111)</f>
        <v>44058.998611111099</v>
      </c>
      <c r="AL966" s="6">
        <f ca="1">IFERROR(__xludf.DUMMYFUNCTION("""COMPUTED_VALUE"""),11860.8)</f>
        <v>11860.8</v>
      </c>
      <c r="AP966" s="6" t="str">
        <f t="shared" ca="1" si="267"/>
        <v>202111</v>
      </c>
      <c r="AQ966" s="6">
        <f t="shared" ca="1" si="268"/>
        <v>2021</v>
      </c>
      <c r="AR966" s="6">
        <f t="shared" ca="1" si="269"/>
        <v>11</v>
      </c>
      <c r="AS966" s="68">
        <f ca="1">IFERROR(__xludf.DUMMYFUNCTION("""COMPUTED_VALUE"""),44505.9986111111)</f>
        <v>44505.998611111099</v>
      </c>
      <c r="AT966" s="6">
        <f ca="1">IFERROR(__xludf.DUMMYFUNCTION("""COMPUTED_VALUE"""),1816.8)</f>
        <v>1816.8</v>
      </c>
    </row>
    <row r="967" spans="2:46" x14ac:dyDescent="0.35">
      <c r="B967" s="6" t="str">
        <f t="shared" ref="B967:B1030" ca="1" si="270">C967&amp;D967</f>
        <v>202110</v>
      </c>
      <c r="C967" s="6">
        <f t="shared" ref="C967:C1030" ca="1" si="271">YEAR(E967)</f>
        <v>2021</v>
      </c>
      <c r="D967" s="6">
        <f t="shared" ref="D967:D1030" ca="1" si="272">MONTH(E967)</f>
        <v>10</v>
      </c>
      <c r="E967" s="68">
        <f ca="1">IFERROR(__xludf.DUMMYFUNCTION("""COMPUTED_VALUE"""),44498.6666666666)</f>
        <v>44498.666666666599</v>
      </c>
      <c r="F967" s="6">
        <f ca="1">IFERROR(__xludf.DUMMYFUNCTION("""COMPUTED_VALUE"""),4605.38)</f>
        <v>4605.38</v>
      </c>
      <c r="J967" s="6" t="str">
        <f t="shared" ref="J967:J1030" ca="1" si="273">K967&amp;L967</f>
        <v>202110</v>
      </c>
      <c r="K967" s="6">
        <f t="shared" ref="K967:K1030" ca="1" si="274">YEAR(M967)</f>
        <v>2021</v>
      </c>
      <c r="L967" s="6">
        <f t="shared" ref="L967:L1030" ca="1" si="275">MONTH(M967)</f>
        <v>10</v>
      </c>
      <c r="M967" s="68">
        <f ca="1">IFERROR(__xludf.DUMMYFUNCTION("""COMPUTED_VALUE"""),44491.6666666666)</f>
        <v>44491.666666666599</v>
      </c>
      <c r="N967" s="6">
        <f ca="1">IFERROR(__xludf.DUMMYFUNCTION("""COMPUTED_VALUE"""),15090.2)</f>
        <v>15090.2</v>
      </c>
      <c r="R967" s="6" t="str">
        <f t="shared" ref="R967:R1030" ca="1" si="276">S967&amp;T967</f>
        <v>202112</v>
      </c>
      <c r="S967" s="6">
        <f t="shared" ref="S967:S1030" ca="1" si="277">YEAR(U967)</f>
        <v>2021</v>
      </c>
      <c r="T967" s="6">
        <f t="shared" ref="T967:T1030" ca="1" si="278">MONTH(U967)</f>
        <v>12</v>
      </c>
      <c r="U967" s="68">
        <f ca="1">IFERROR(__xludf.DUMMYFUNCTION("""COMPUTED_VALUE"""),44537.6458333333)</f>
        <v>44537.645833333299</v>
      </c>
      <c r="V967" s="6">
        <f ca="1">IFERROR(__xludf.DUMMYFUNCTION("""COMPUTED_VALUE"""),2991.72)</f>
        <v>2991.72</v>
      </c>
      <c r="Z967" s="6" t="str">
        <f t="shared" ref="Z967:Z1030" ca="1" si="279">AA967&amp;AB967</f>
        <v>202010</v>
      </c>
      <c r="AA967" s="6">
        <f t="shared" ref="AA967:AA1030" ca="1" si="280">YEAR(AC967)</f>
        <v>2020</v>
      </c>
      <c r="AB967" s="6">
        <f t="shared" ref="AB967:AB1030" ca="1" si="281">MONTH(AC967)</f>
        <v>10</v>
      </c>
      <c r="AC967" s="68">
        <f ca="1">IFERROR(__xludf.DUMMYFUNCTION("""COMPUTED_VALUE"""),44106.9986111111)</f>
        <v>44106.998611111099</v>
      </c>
      <c r="AD967" s="6">
        <f ca="1">IFERROR(__xludf.DUMMYFUNCTION("""COMPUTED_VALUE"""),1165.05)</f>
        <v>1165.05</v>
      </c>
      <c r="AH967" s="6" t="str">
        <f t="shared" ref="AH967:AH1030" ca="1" si="282">AI967&amp;AJ967</f>
        <v>20208</v>
      </c>
      <c r="AI967" s="6">
        <f t="shared" ref="AI967:AI1030" ca="1" si="283">YEAR(AK967)</f>
        <v>2020</v>
      </c>
      <c r="AJ967" s="6">
        <f t="shared" ref="AJ967:AJ1030" ca="1" si="284">MONTH(AK967)</f>
        <v>8</v>
      </c>
      <c r="AK967" s="68">
        <f ca="1">IFERROR(__xludf.DUMMYFUNCTION("""COMPUTED_VALUE"""),44059.9986111111)</f>
        <v>44059.998611111099</v>
      </c>
      <c r="AL967" s="6">
        <f ca="1">IFERROR(__xludf.DUMMYFUNCTION("""COMPUTED_VALUE"""),11917.42)</f>
        <v>11917.42</v>
      </c>
      <c r="AP967" s="6" t="str">
        <f t="shared" ref="AP967:AP1030" ca="1" si="285">AQ967&amp;AR967</f>
        <v>202111</v>
      </c>
      <c r="AQ967" s="6">
        <f t="shared" ref="AQ967:AQ1030" ca="1" si="286">YEAR(AS967)</f>
        <v>2021</v>
      </c>
      <c r="AR967" s="6">
        <f t="shared" ref="AR967:AR1030" ca="1" si="287">MONTH(AS967)</f>
        <v>11</v>
      </c>
      <c r="AS967" s="68">
        <f ca="1">IFERROR(__xludf.DUMMYFUNCTION("""COMPUTED_VALUE"""),44508.9986111111)</f>
        <v>44508.998611111099</v>
      </c>
      <c r="AT967" s="6">
        <f ca="1">IFERROR(__xludf.DUMMYFUNCTION("""COMPUTED_VALUE"""),1828)</f>
        <v>1828</v>
      </c>
    </row>
    <row r="968" spans="2:46" x14ac:dyDescent="0.35">
      <c r="B968" s="6" t="str">
        <f t="shared" ca="1" si="270"/>
        <v>202111</v>
      </c>
      <c r="C968" s="6">
        <f t="shared" ca="1" si="271"/>
        <v>2021</v>
      </c>
      <c r="D968" s="6">
        <f t="shared" ca="1" si="272"/>
        <v>11</v>
      </c>
      <c r="E968" s="68">
        <f ca="1">IFERROR(__xludf.DUMMYFUNCTION("""COMPUTED_VALUE"""),44501.6666666666)</f>
        <v>44501.666666666599</v>
      </c>
      <c r="F968" s="6">
        <f ca="1">IFERROR(__xludf.DUMMYFUNCTION("""COMPUTED_VALUE"""),4613.67)</f>
        <v>4613.67</v>
      </c>
      <c r="J968" s="6" t="str">
        <f t="shared" ca="1" si="273"/>
        <v>202110</v>
      </c>
      <c r="K968" s="6">
        <f t="shared" ca="1" si="274"/>
        <v>2021</v>
      </c>
      <c r="L968" s="6">
        <f t="shared" ca="1" si="275"/>
        <v>10</v>
      </c>
      <c r="M968" s="68">
        <f ca="1">IFERROR(__xludf.DUMMYFUNCTION("""COMPUTED_VALUE"""),44494.6666666666)</f>
        <v>44494.666666666599</v>
      </c>
      <c r="N968" s="6">
        <f ca="1">IFERROR(__xludf.DUMMYFUNCTION("""COMPUTED_VALUE"""),15226.71)</f>
        <v>15226.71</v>
      </c>
      <c r="R968" s="6" t="str">
        <f t="shared" ca="1" si="276"/>
        <v>202112</v>
      </c>
      <c r="S968" s="6">
        <f t="shared" ca="1" si="277"/>
        <v>2021</v>
      </c>
      <c r="T968" s="6">
        <f t="shared" ca="1" si="278"/>
        <v>12</v>
      </c>
      <c r="U968" s="68">
        <f ca="1">IFERROR(__xludf.DUMMYFUNCTION("""COMPUTED_VALUE"""),44538.6458333333)</f>
        <v>44538.645833333299</v>
      </c>
      <c r="V968" s="6">
        <f ca="1">IFERROR(__xludf.DUMMYFUNCTION("""COMPUTED_VALUE"""),3001.8)</f>
        <v>3001.8</v>
      </c>
      <c r="Z968" s="6" t="str">
        <f t="shared" ca="1" si="279"/>
        <v>202010</v>
      </c>
      <c r="AA968" s="6">
        <f t="shared" ca="1" si="280"/>
        <v>2020</v>
      </c>
      <c r="AB968" s="6">
        <f t="shared" ca="1" si="281"/>
        <v>10</v>
      </c>
      <c r="AC968" s="68">
        <f ca="1">IFERROR(__xludf.DUMMYFUNCTION("""COMPUTED_VALUE"""),44107.9986111111)</f>
        <v>44107.998611111099</v>
      </c>
      <c r="AD968" s="6">
        <f ca="1">IFERROR(__xludf.DUMMYFUNCTION("""COMPUTED_VALUE"""),1165.05)</f>
        <v>1165.05</v>
      </c>
      <c r="AH968" s="6" t="str">
        <f t="shared" ca="1" si="282"/>
        <v>20208</v>
      </c>
      <c r="AI968" s="6">
        <f t="shared" ca="1" si="283"/>
        <v>2020</v>
      </c>
      <c r="AJ968" s="6">
        <f t="shared" ca="1" si="284"/>
        <v>8</v>
      </c>
      <c r="AK968" s="68">
        <f ca="1">IFERROR(__xludf.DUMMYFUNCTION("""COMPUTED_VALUE"""),44060.9986111111)</f>
        <v>44060.998611111099</v>
      </c>
      <c r="AL968" s="6">
        <f ca="1">IFERROR(__xludf.DUMMYFUNCTION("""COMPUTED_VALUE"""),12290.64)</f>
        <v>12290.64</v>
      </c>
      <c r="AP968" s="6" t="str">
        <f t="shared" ca="1" si="285"/>
        <v>202111</v>
      </c>
      <c r="AQ968" s="6">
        <f t="shared" ca="1" si="286"/>
        <v>2021</v>
      </c>
      <c r="AR968" s="6">
        <f t="shared" ca="1" si="287"/>
        <v>11</v>
      </c>
      <c r="AS968" s="68">
        <f ca="1">IFERROR(__xludf.DUMMYFUNCTION("""COMPUTED_VALUE"""),44509.9986111111)</f>
        <v>44509.998611111099</v>
      </c>
      <c r="AT968" s="6">
        <f ca="1">IFERROR(__xludf.DUMMYFUNCTION("""COMPUTED_VALUE"""),1830.8)</f>
        <v>1830.8</v>
      </c>
    </row>
    <row r="969" spans="2:46" x14ac:dyDescent="0.35">
      <c r="B969" s="6" t="str">
        <f t="shared" ca="1" si="270"/>
        <v>202111</v>
      </c>
      <c r="C969" s="6">
        <f t="shared" ca="1" si="271"/>
        <v>2021</v>
      </c>
      <c r="D969" s="6">
        <f t="shared" ca="1" si="272"/>
        <v>11</v>
      </c>
      <c r="E969" s="68">
        <f ca="1">IFERROR(__xludf.DUMMYFUNCTION("""COMPUTED_VALUE"""),44502.6666666666)</f>
        <v>44502.666666666599</v>
      </c>
      <c r="F969" s="6">
        <f ca="1">IFERROR(__xludf.DUMMYFUNCTION("""COMPUTED_VALUE"""),4630.65)</f>
        <v>4630.6499999999996</v>
      </c>
      <c r="J969" s="6" t="str">
        <f t="shared" ca="1" si="273"/>
        <v>202110</v>
      </c>
      <c r="K969" s="6">
        <f t="shared" ca="1" si="274"/>
        <v>2021</v>
      </c>
      <c r="L969" s="6">
        <f t="shared" ca="1" si="275"/>
        <v>10</v>
      </c>
      <c r="M969" s="68">
        <f ca="1">IFERROR(__xludf.DUMMYFUNCTION("""COMPUTED_VALUE"""),44495.6666666666)</f>
        <v>44495.666666666599</v>
      </c>
      <c r="N969" s="6">
        <f ca="1">IFERROR(__xludf.DUMMYFUNCTION("""COMPUTED_VALUE"""),15235.72)</f>
        <v>15235.72</v>
      </c>
      <c r="R969" s="6" t="str">
        <f t="shared" ca="1" si="276"/>
        <v>202112</v>
      </c>
      <c r="S969" s="6">
        <f t="shared" ca="1" si="277"/>
        <v>2021</v>
      </c>
      <c r="T969" s="6">
        <f t="shared" ca="1" si="278"/>
        <v>12</v>
      </c>
      <c r="U969" s="68">
        <f ca="1">IFERROR(__xludf.DUMMYFUNCTION("""COMPUTED_VALUE"""),44539.6458333333)</f>
        <v>44539.645833333299</v>
      </c>
      <c r="V969" s="6">
        <f ca="1">IFERROR(__xludf.DUMMYFUNCTION("""COMPUTED_VALUE"""),3029.57)</f>
        <v>3029.57</v>
      </c>
      <c r="Z969" s="6" t="str">
        <f t="shared" ca="1" si="279"/>
        <v>202010</v>
      </c>
      <c r="AA969" s="6">
        <f t="shared" ca="1" si="280"/>
        <v>2020</v>
      </c>
      <c r="AB969" s="6">
        <f t="shared" ca="1" si="281"/>
        <v>10</v>
      </c>
      <c r="AC969" s="68">
        <f ca="1">IFERROR(__xludf.DUMMYFUNCTION("""COMPUTED_VALUE"""),44108.9986111111)</f>
        <v>44108.998611111099</v>
      </c>
      <c r="AD969" s="6">
        <f ca="1">IFERROR(__xludf.DUMMYFUNCTION("""COMPUTED_VALUE"""),1165.36)</f>
        <v>1165.3599999999999</v>
      </c>
      <c r="AH969" s="6" t="str">
        <f t="shared" ca="1" si="282"/>
        <v>20208</v>
      </c>
      <c r="AI969" s="6">
        <f t="shared" ca="1" si="283"/>
        <v>2020</v>
      </c>
      <c r="AJ969" s="6">
        <f t="shared" ca="1" si="284"/>
        <v>8</v>
      </c>
      <c r="AK969" s="68">
        <f ca="1">IFERROR(__xludf.DUMMYFUNCTION("""COMPUTED_VALUE"""),44061.9986111111)</f>
        <v>44061.998611111099</v>
      </c>
      <c r="AL969" s="6">
        <f ca="1">IFERROR(__xludf.DUMMYFUNCTION("""COMPUTED_VALUE"""),11954.85)</f>
        <v>11954.85</v>
      </c>
      <c r="AP969" s="6" t="str">
        <f t="shared" ca="1" si="285"/>
        <v>202111</v>
      </c>
      <c r="AQ969" s="6">
        <f t="shared" ca="1" si="286"/>
        <v>2021</v>
      </c>
      <c r="AR969" s="6">
        <f t="shared" ca="1" si="287"/>
        <v>11</v>
      </c>
      <c r="AS969" s="68">
        <f ca="1">IFERROR(__xludf.DUMMYFUNCTION("""COMPUTED_VALUE"""),44510.9986111111)</f>
        <v>44510.998611111099</v>
      </c>
      <c r="AT969" s="6">
        <f ca="1">IFERROR(__xludf.DUMMYFUNCTION("""COMPUTED_VALUE"""),1848.3)</f>
        <v>1848.3</v>
      </c>
    </row>
    <row r="970" spans="2:46" x14ac:dyDescent="0.35">
      <c r="B970" s="6" t="str">
        <f t="shared" ca="1" si="270"/>
        <v>202111</v>
      </c>
      <c r="C970" s="6">
        <f t="shared" ca="1" si="271"/>
        <v>2021</v>
      </c>
      <c r="D970" s="6">
        <f t="shared" ca="1" si="272"/>
        <v>11</v>
      </c>
      <c r="E970" s="68">
        <f ca="1">IFERROR(__xludf.DUMMYFUNCTION("""COMPUTED_VALUE"""),44503.6666666666)</f>
        <v>44503.666666666599</v>
      </c>
      <c r="F970" s="6">
        <f ca="1">IFERROR(__xludf.DUMMYFUNCTION("""COMPUTED_VALUE"""),4660.57)</f>
        <v>4660.57</v>
      </c>
      <c r="J970" s="6" t="str">
        <f t="shared" ca="1" si="273"/>
        <v>202110</v>
      </c>
      <c r="K970" s="6">
        <f t="shared" ca="1" si="274"/>
        <v>2021</v>
      </c>
      <c r="L970" s="6">
        <f t="shared" ca="1" si="275"/>
        <v>10</v>
      </c>
      <c r="M970" s="68">
        <f ca="1">IFERROR(__xludf.DUMMYFUNCTION("""COMPUTED_VALUE"""),44496.6666666666)</f>
        <v>44496.666666666599</v>
      </c>
      <c r="N970" s="6">
        <f ca="1">IFERROR(__xludf.DUMMYFUNCTION("""COMPUTED_VALUE"""),15235.84)</f>
        <v>15235.84</v>
      </c>
      <c r="R970" s="6" t="str">
        <f t="shared" ca="1" si="276"/>
        <v>202112</v>
      </c>
      <c r="S970" s="6">
        <f t="shared" ca="1" si="277"/>
        <v>2021</v>
      </c>
      <c r="T970" s="6">
        <f t="shared" ca="1" si="278"/>
        <v>12</v>
      </c>
      <c r="U970" s="68">
        <f ca="1">IFERROR(__xludf.DUMMYFUNCTION("""COMPUTED_VALUE"""),44540.6458333333)</f>
        <v>44540.645833333299</v>
      </c>
      <c r="V970" s="6">
        <f ca="1">IFERROR(__xludf.DUMMYFUNCTION("""COMPUTED_VALUE"""),3010.23)</f>
        <v>3010.23</v>
      </c>
      <c r="Z970" s="6" t="str">
        <f t="shared" ca="1" si="279"/>
        <v>202010</v>
      </c>
      <c r="AA970" s="6">
        <f t="shared" ca="1" si="280"/>
        <v>2020</v>
      </c>
      <c r="AB970" s="6">
        <f t="shared" ca="1" si="281"/>
        <v>10</v>
      </c>
      <c r="AC970" s="68">
        <f ca="1">IFERROR(__xludf.DUMMYFUNCTION("""COMPUTED_VALUE"""),44109.9986111111)</f>
        <v>44109.998611111099</v>
      </c>
      <c r="AD970" s="6">
        <f ca="1">IFERROR(__xludf.DUMMYFUNCTION("""COMPUTED_VALUE"""),1156.09)</f>
        <v>1156.0899999999999</v>
      </c>
      <c r="AH970" s="6" t="str">
        <f t="shared" ca="1" si="282"/>
        <v>20208</v>
      </c>
      <c r="AI970" s="6">
        <f t="shared" ca="1" si="283"/>
        <v>2020</v>
      </c>
      <c r="AJ970" s="6">
        <f t="shared" ca="1" si="284"/>
        <v>8</v>
      </c>
      <c r="AK970" s="68">
        <f ca="1">IFERROR(__xludf.DUMMYFUNCTION("""COMPUTED_VALUE"""),44062.9986111111)</f>
        <v>44062.998611111099</v>
      </c>
      <c r="AL970" s="6">
        <f ca="1">IFERROR(__xludf.DUMMYFUNCTION("""COMPUTED_VALUE"""),11756.31)</f>
        <v>11756.31</v>
      </c>
      <c r="AP970" s="6" t="str">
        <f t="shared" ca="1" si="285"/>
        <v>202111</v>
      </c>
      <c r="AQ970" s="6">
        <f t="shared" ca="1" si="286"/>
        <v>2021</v>
      </c>
      <c r="AR970" s="6">
        <f t="shared" ca="1" si="287"/>
        <v>11</v>
      </c>
      <c r="AS970" s="68">
        <f ca="1">IFERROR(__xludf.DUMMYFUNCTION("""COMPUTED_VALUE"""),44511.9986111111)</f>
        <v>44511.998611111099</v>
      </c>
      <c r="AT970" s="6">
        <f ca="1">IFERROR(__xludf.DUMMYFUNCTION("""COMPUTED_VALUE"""),1863.9)</f>
        <v>1863.9</v>
      </c>
    </row>
    <row r="971" spans="2:46" x14ac:dyDescent="0.35">
      <c r="B971" s="6" t="str">
        <f t="shared" ca="1" si="270"/>
        <v>202111</v>
      </c>
      <c r="C971" s="6">
        <f t="shared" ca="1" si="271"/>
        <v>2021</v>
      </c>
      <c r="D971" s="6">
        <f t="shared" ca="1" si="272"/>
        <v>11</v>
      </c>
      <c r="E971" s="68">
        <f ca="1">IFERROR(__xludf.DUMMYFUNCTION("""COMPUTED_VALUE"""),44504.6666666666)</f>
        <v>44504.666666666599</v>
      </c>
      <c r="F971" s="6">
        <f ca="1">IFERROR(__xludf.DUMMYFUNCTION("""COMPUTED_VALUE"""),4680.06)</f>
        <v>4680.0600000000004</v>
      </c>
      <c r="J971" s="6" t="str">
        <f t="shared" ca="1" si="273"/>
        <v>202110</v>
      </c>
      <c r="K971" s="6">
        <f t="shared" ca="1" si="274"/>
        <v>2021</v>
      </c>
      <c r="L971" s="6">
        <f t="shared" ca="1" si="275"/>
        <v>10</v>
      </c>
      <c r="M971" s="68">
        <f ca="1">IFERROR(__xludf.DUMMYFUNCTION("""COMPUTED_VALUE"""),44497.6666666666)</f>
        <v>44497.666666666599</v>
      </c>
      <c r="N971" s="6">
        <f ca="1">IFERROR(__xludf.DUMMYFUNCTION("""COMPUTED_VALUE"""),15448.12)</f>
        <v>15448.12</v>
      </c>
      <c r="R971" s="6" t="str">
        <f t="shared" ca="1" si="276"/>
        <v>202112</v>
      </c>
      <c r="S971" s="6">
        <f t="shared" ca="1" si="277"/>
        <v>2021</v>
      </c>
      <c r="T971" s="6">
        <f t="shared" ca="1" si="278"/>
        <v>12</v>
      </c>
      <c r="U971" s="68">
        <f ca="1">IFERROR(__xludf.DUMMYFUNCTION("""COMPUTED_VALUE"""),44543.6458333333)</f>
        <v>44543.645833333299</v>
      </c>
      <c r="V971" s="6">
        <f ca="1">IFERROR(__xludf.DUMMYFUNCTION("""COMPUTED_VALUE"""),3001.66)</f>
        <v>3001.66</v>
      </c>
      <c r="Z971" s="6" t="str">
        <f t="shared" ca="1" si="279"/>
        <v>202010</v>
      </c>
      <c r="AA971" s="6">
        <f t="shared" ca="1" si="280"/>
        <v>2020</v>
      </c>
      <c r="AB971" s="6">
        <f t="shared" ca="1" si="281"/>
        <v>10</v>
      </c>
      <c r="AC971" s="68">
        <f ca="1">IFERROR(__xludf.DUMMYFUNCTION("""COMPUTED_VALUE"""),44110.9986111111)</f>
        <v>44110.998611111099</v>
      </c>
      <c r="AD971" s="6">
        <f ca="1">IFERROR(__xludf.DUMMYFUNCTION("""COMPUTED_VALUE"""),1163.89)</f>
        <v>1163.8900000000001</v>
      </c>
      <c r="AH971" s="6" t="str">
        <f t="shared" ca="1" si="282"/>
        <v>20208</v>
      </c>
      <c r="AI971" s="6">
        <f t="shared" ca="1" si="283"/>
        <v>2020</v>
      </c>
      <c r="AJ971" s="6">
        <f t="shared" ca="1" si="284"/>
        <v>8</v>
      </c>
      <c r="AK971" s="68">
        <f ca="1">IFERROR(__xludf.DUMMYFUNCTION("""COMPUTED_VALUE"""),44063.9986111111)</f>
        <v>44063.998611111099</v>
      </c>
      <c r="AL971" s="6">
        <f ca="1">IFERROR(__xludf.DUMMYFUNCTION("""COMPUTED_VALUE"""),11864.59)</f>
        <v>11864.59</v>
      </c>
      <c r="AP971" s="6" t="str">
        <f t="shared" ca="1" si="285"/>
        <v>202111</v>
      </c>
      <c r="AQ971" s="6">
        <f t="shared" ca="1" si="286"/>
        <v>2021</v>
      </c>
      <c r="AR971" s="6">
        <f t="shared" ca="1" si="287"/>
        <v>11</v>
      </c>
      <c r="AS971" s="68">
        <f ca="1">IFERROR(__xludf.DUMMYFUNCTION("""COMPUTED_VALUE"""),44512.9986111111)</f>
        <v>44512.998611111099</v>
      </c>
      <c r="AT971" s="6">
        <f ca="1">IFERROR(__xludf.DUMMYFUNCTION("""COMPUTED_VALUE"""),1868.5)</f>
        <v>1868.5</v>
      </c>
    </row>
    <row r="972" spans="2:46" x14ac:dyDescent="0.35">
      <c r="B972" s="6" t="str">
        <f t="shared" ca="1" si="270"/>
        <v>202111</v>
      </c>
      <c r="C972" s="6">
        <f t="shared" ca="1" si="271"/>
        <v>2021</v>
      </c>
      <c r="D972" s="6">
        <f t="shared" ca="1" si="272"/>
        <v>11</v>
      </c>
      <c r="E972" s="68">
        <f ca="1">IFERROR(__xludf.DUMMYFUNCTION("""COMPUTED_VALUE"""),44505.6666666666)</f>
        <v>44505.666666666599</v>
      </c>
      <c r="F972" s="6">
        <f ca="1">IFERROR(__xludf.DUMMYFUNCTION("""COMPUTED_VALUE"""),4697.53)</f>
        <v>4697.53</v>
      </c>
      <c r="J972" s="6" t="str">
        <f t="shared" ca="1" si="273"/>
        <v>202110</v>
      </c>
      <c r="K972" s="6">
        <f t="shared" ca="1" si="274"/>
        <v>2021</v>
      </c>
      <c r="L972" s="6">
        <f t="shared" ca="1" si="275"/>
        <v>10</v>
      </c>
      <c r="M972" s="68">
        <f ca="1">IFERROR(__xludf.DUMMYFUNCTION("""COMPUTED_VALUE"""),44498.6666666666)</f>
        <v>44498.666666666599</v>
      </c>
      <c r="N972" s="6">
        <f ca="1">IFERROR(__xludf.DUMMYFUNCTION("""COMPUTED_VALUE"""),15498.39)</f>
        <v>15498.39</v>
      </c>
      <c r="R972" s="6" t="str">
        <f t="shared" ca="1" si="276"/>
        <v>202112</v>
      </c>
      <c r="S972" s="6">
        <f t="shared" ca="1" si="277"/>
        <v>2021</v>
      </c>
      <c r="T972" s="6">
        <f t="shared" ca="1" si="278"/>
        <v>12</v>
      </c>
      <c r="U972" s="68">
        <f ca="1">IFERROR(__xludf.DUMMYFUNCTION("""COMPUTED_VALUE"""),44544.6458333333)</f>
        <v>44544.645833333299</v>
      </c>
      <c r="V972" s="6">
        <f ca="1">IFERROR(__xludf.DUMMYFUNCTION("""COMPUTED_VALUE"""),2987.95)</f>
        <v>2987.95</v>
      </c>
      <c r="Z972" s="6" t="str">
        <f t="shared" ca="1" si="279"/>
        <v>202010</v>
      </c>
      <c r="AA972" s="6">
        <f t="shared" ca="1" si="280"/>
        <v>2020</v>
      </c>
      <c r="AB972" s="6">
        <f t="shared" ca="1" si="281"/>
        <v>10</v>
      </c>
      <c r="AC972" s="68">
        <f ca="1">IFERROR(__xludf.DUMMYFUNCTION("""COMPUTED_VALUE"""),44111.9986111111)</f>
        <v>44111.998611111099</v>
      </c>
      <c r="AD972" s="6">
        <f ca="1">IFERROR(__xludf.DUMMYFUNCTION("""COMPUTED_VALUE"""),1156.5)</f>
        <v>1156.5</v>
      </c>
      <c r="AH972" s="6" t="str">
        <f t="shared" ca="1" si="282"/>
        <v>20208</v>
      </c>
      <c r="AI972" s="6">
        <f t="shared" ca="1" si="283"/>
        <v>2020</v>
      </c>
      <c r="AJ972" s="6">
        <f t="shared" ca="1" si="284"/>
        <v>8</v>
      </c>
      <c r="AK972" s="68">
        <f ca="1">IFERROR(__xludf.DUMMYFUNCTION("""COMPUTED_VALUE"""),44064.9986111111)</f>
        <v>44064.998611111099</v>
      </c>
      <c r="AL972" s="6">
        <f ca="1">IFERROR(__xludf.DUMMYFUNCTION("""COMPUTED_VALUE"""),11525.75)</f>
        <v>11525.75</v>
      </c>
      <c r="AP972" s="6" t="str">
        <f t="shared" ca="1" si="285"/>
        <v>202111</v>
      </c>
      <c r="AQ972" s="6">
        <f t="shared" ca="1" si="286"/>
        <v>2021</v>
      </c>
      <c r="AR972" s="6">
        <f t="shared" ca="1" si="287"/>
        <v>11</v>
      </c>
      <c r="AS972" s="68">
        <f ca="1">IFERROR(__xludf.DUMMYFUNCTION("""COMPUTED_VALUE"""),44515.9986111111)</f>
        <v>44515.998611111099</v>
      </c>
      <c r="AT972" s="6">
        <f ca="1">IFERROR(__xludf.DUMMYFUNCTION("""COMPUTED_VALUE"""),1866.6)</f>
        <v>1866.6</v>
      </c>
    </row>
    <row r="973" spans="2:46" x14ac:dyDescent="0.35">
      <c r="B973" s="6" t="str">
        <f t="shared" ca="1" si="270"/>
        <v>202111</v>
      </c>
      <c r="C973" s="6">
        <f t="shared" ca="1" si="271"/>
        <v>2021</v>
      </c>
      <c r="D973" s="6">
        <f t="shared" ca="1" si="272"/>
        <v>11</v>
      </c>
      <c r="E973" s="68">
        <f ca="1">IFERROR(__xludf.DUMMYFUNCTION("""COMPUTED_VALUE"""),44508.6666666666)</f>
        <v>44508.666666666599</v>
      </c>
      <c r="F973" s="6">
        <f ca="1">IFERROR(__xludf.DUMMYFUNCTION("""COMPUTED_VALUE"""),4701.7)</f>
        <v>4701.7</v>
      </c>
      <c r="J973" s="6" t="str">
        <f t="shared" ca="1" si="273"/>
        <v>202111</v>
      </c>
      <c r="K973" s="6">
        <f t="shared" ca="1" si="274"/>
        <v>2021</v>
      </c>
      <c r="L973" s="6">
        <f t="shared" ca="1" si="275"/>
        <v>11</v>
      </c>
      <c r="M973" s="68">
        <f ca="1">IFERROR(__xludf.DUMMYFUNCTION("""COMPUTED_VALUE"""),44501.6666666666)</f>
        <v>44501.666666666599</v>
      </c>
      <c r="N973" s="6">
        <f ca="1">IFERROR(__xludf.DUMMYFUNCTION("""COMPUTED_VALUE"""),15595.92)</f>
        <v>15595.92</v>
      </c>
      <c r="R973" s="6" t="str">
        <f t="shared" ca="1" si="276"/>
        <v>202112</v>
      </c>
      <c r="S973" s="6">
        <f t="shared" ca="1" si="277"/>
        <v>2021</v>
      </c>
      <c r="T973" s="6">
        <f t="shared" ca="1" si="278"/>
        <v>12</v>
      </c>
      <c r="U973" s="68">
        <f ca="1">IFERROR(__xludf.DUMMYFUNCTION("""COMPUTED_VALUE"""),44545.6458333333)</f>
        <v>44545.645833333299</v>
      </c>
      <c r="V973" s="6">
        <f ca="1">IFERROR(__xludf.DUMMYFUNCTION("""COMPUTED_VALUE"""),2989.39)</f>
        <v>2989.39</v>
      </c>
      <c r="Z973" s="6" t="str">
        <f t="shared" ca="1" si="279"/>
        <v>202010</v>
      </c>
      <c r="AA973" s="6">
        <f t="shared" ca="1" si="280"/>
        <v>2020</v>
      </c>
      <c r="AB973" s="6">
        <f t="shared" ca="1" si="281"/>
        <v>10</v>
      </c>
      <c r="AC973" s="68">
        <f ca="1">IFERROR(__xludf.DUMMYFUNCTION("""COMPUTED_VALUE"""),44112.9986111111)</f>
        <v>44112.998611111099</v>
      </c>
      <c r="AD973" s="6">
        <f ca="1">IFERROR(__xludf.DUMMYFUNCTION("""COMPUTED_VALUE"""),1150.36)</f>
        <v>1150.3599999999999</v>
      </c>
      <c r="AH973" s="6" t="str">
        <f t="shared" ca="1" si="282"/>
        <v>20208</v>
      </c>
      <c r="AI973" s="6">
        <f t="shared" ca="1" si="283"/>
        <v>2020</v>
      </c>
      <c r="AJ973" s="6">
        <f t="shared" ca="1" si="284"/>
        <v>8</v>
      </c>
      <c r="AK973" s="68">
        <f ca="1">IFERROR(__xludf.DUMMYFUNCTION("""COMPUTED_VALUE"""),44065.9986111111)</f>
        <v>44065.998611111099</v>
      </c>
      <c r="AL973" s="6">
        <f ca="1">IFERROR(__xludf.DUMMYFUNCTION("""COMPUTED_VALUE"""),11676.19)</f>
        <v>11676.19</v>
      </c>
      <c r="AP973" s="6" t="str">
        <f t="shared" ca="1" si="285"/>
        <v>202111</v>
      </c>
      <c r="AQ973" s="6">
        <f t="shared" ca="1" si="286"/>
        <v>2021</v>
      </c>
      <c r="AR973" s="6">
        <f t="shared" ca="1" si="287"/>
        <v>11</v>
      </c>
      <c r="AS973" s="68">
        <f ca="1">IFERROR(__xludf.DUMMYFUNCTION("""COMPUTED_VALUE"""),44516.9986111111)</f>
        <v>44516.998611111099</v>
      </c>
      <c r="AT973" s="6">
        <f ca="1">IFERROR(__xludf.DUMMYFUNCTION("""COMPUTED_VALUE"""),1854.1)</f>
        <v>1854.1</v>
      </c>
    </row>
    <row r="974" spans="2:46" x14ac:dyDescent="0.35">
      <c r="B974" s="6" t="str">
        <f t="shared" ca="1" si="270"/>
        <v>202111</v>
      </c>
      <c r="C974" s="6">
        <f t="shared" ca="1" si="271"/>
        <v>2021</v>
      </c>
      <c r="D974" s="6">
        <f t="shared" ca="1" si="272"/>
        <v>11</v>
      </c>
      <c r="E974" s="68">
        <f ca="1">IFERROR(__xludf.DUMMYFUNCTION("""COMPUTED_VALUE"""),44509.6666666666)</f>
        <v>44509.666666666599</v>
      </c>
      <c r="F974" s="6">
        <f ca="1">IFERROR(__xludf.DUMMYFUNCTION("""COMPUTED_VALUE"""),4685.25)</f>
        <v>4685.25</v>
      </c>
      <c r="J974" s="6" t="str">
        <f t="shared" ca="1" si="273"/>
        <v>202111</v>
      </c>
      <c r="K974" s="6">
        <f t="shared" ca="1" si="274"/>
        <v>2021</v>
      </c>
      <c r="L974" s="6">
        <f t="shared" ca="1" si="275"/>
        <v>11</v>
      </c>
      <c r="M974" s="68">
        <f ca="1">IFERROR(__xludf.DUMMYFUNCTION("""COMPUTED_VALUE"""),44502.6666666666)</f>
        <v>44502.666666666599</v>
      </c>
      <c r="N974" s="6">
        <f ca="1">IFERROR(__xludf.DUMMYFUNCTION("""COMPUTED_VALUE"""),15649.6)</f>
        <v>15649.6</v>
      </c>
      <c r="R974" s="6" t="str">
        <f t="shared" ca="1" si="276"/>
        <v>202112</v>
      </c>
      <c r="S974" s="6">
        <f t="shared" ca="1" si="277"/>
        <v>2021</v>
      </c>
      <c r="T974" s="6">
        <f t="shared" ca="1" si="278"/>
        <v>12</v>
      </c>
      <c r="U974" s="68">
        <f ca="1">IFERROR(__xludf.DUMMYFUNCTION("""COMPUTED_VALUE"""),44546.6458333333)</f>
        <v>44546.645833333299</v>
      </c>
      <c r="V974" s="6">
        <f ca="1">IFERROR(__xludf.DUMMYFUNCTION("""COMPUTED_VALUE"""),3006.41)</f>
        <v>3006.41</v>
      </c>
      <c r="Z974" s="6" t="str">
        <f t="shared" ca="1" si="279"/>
        <v>202010</v>
      </c>
      <c r="AA974" s="6">
        <f t="shared" ca="1" si="280"/>
        <v>2020</v>
      </c>
      <c r="AB974" s="6">
        <f t="shared" ca="1" si="281"/>
        <v>10</v>
      </c>
      <c r="AC974" s="68">
        <f ca="1">IFERROR(__xludf.DUMMYFUNCTION("""COMPUTED_VALUE"""),44113.9986111111)</f>
        <v>44113.998611111099</v>
      </c>
      <c r="AD974" s="6">
        <f ca="1">IFERROR(__xludf.DUMMYFUNCTION("""COMPUTED_VALUE"""),1142.84)</f>
        <v>1142.8399999999999</v>
      </c>
      <c r="AH974" s="6" t="str">
        <f t="shared" ca="1" si="282"/>
        <v>20208</v>
      </c>
      <c r="AI974" s="6">
        <f t="shared" ca="1" si="283"/>
        <v>2020</v>
      </c>
      <c r="AJ974" s="6">
        <f t="shared" ca="1" si="284"/>
        <v>8</v>
      </c>
      <c r="AK974" s="68">
        <f ca="1">IFERROR(__xludf.DUMMYFUNCTION("""COMPUTED_VALUE"""),44066.9986111111)</f>
        <v>44066.998611111099</v>
      </c>
      <c r="AL974" s="6">
        <f ca="1">IFERROR(__xludf.DUMMYFUNCTION("""COMPUTED_VALUE"""),11651.92)</f>
        <v>11651.92</v>
      </c>
      <c r="AP974" s="6" t="str">
        <f t="shared" ca="1" si="285"/>
        <v>202111</v>
      </c>
      <c r="AQ974" s="6">
        <f t="shared" ca="1" si="286"/>
        <v>2021</v>
      </c>
      <c r="AR974" s="6">
        <f t="shared" ca="1" si="287"/>
        <v>11</v>
      </c>
      <c r="AS974" s="68">
        <f ca="1">IFERROR(__xludf.DUMMYFUNCTION("""COMPUTED_VALUE"""),44517.9986111111)</f>
        <v>44517.998611111099</v>
      </c>
      <c r="AT974" s="6">
        <f ca="1">IFERROR(__xludf.DUMMYFUNCTION("""COMPUTED_VALUE"""),1872.8)</f>
        <v>1872.8</v>
      </c>
    </row>
    <row r="975" spans="2:46" x14ac:dyDescent="0.35">
      <c r="B975" s="6" t="str">
        <f t="shared" ca="1" si="270"/>
        <v>202111</v>
      </c>
      <c r="C975" s="6">
        <f t="shared" ca="1" si="271"/>
        <v>2021</v>
      </c>
      <c r="D975" s="6">
        <f t="shared" ca="1" si="272"/>
        <v>11</v>
      </c>
      <c r="E975" s="68">
        <f ca="1">IFERROR(__xludf.DUMMYFUNCTION("""COMPUTED_VALUE"""),44510.6666666666)</f>
        <v>44510.666666666599</v>
      </c>
      <c r="F975" s="6">
        <f ca="1">IFERROR(__xludf.DUMMYFUNCTION("""COMPUTED_VALUE"""),4646.71)</f>
        <v>4646.71</v>
      </c>
      <c r="J975" s="6" t="str">
        <f t="shared" ca="1" si="273"/>
        <v>202111</v>
      </c>
      <c r="K975" s="6">
        <f t="shared" ca="1" si="274"/>
        <v>2021</v>
      </c>
      <c r="L975" s="6">
        <f t="shared" ca="1" si="275"/>
        <v>11</v>
      </c>
      <c r="M975" s="68">
        <f ca="1">IFERROR(__xludf.DUMMYFUNCTION("""COMPUTED_VALUE"""),44503.6666666666)</f>
        <v>44503.666666666599</v>
      </c>
      <c r="N975" s="6">
        <f ca="1">IFERROR(__xludf.DUMMYFUNCTION("""COMPUTED_VALUE"""),15811.58)</f>
        <v>15811.58</v>
      </c>
      <c r="R975" s="6" t="str">
        <f t="shared" ca="1" si="276"/>
        <v>202112</v>
      </c>
      <c r="S975" s="6">
        <f t="shared" ca="1" si="277"/>
        <v>2021</v>
      </c>
      <c r="T975" s="6">
        <f t="shared" ca="1" si="278"/>
        <v>12</v>
      </c>
      <c r="U975" s="68">
        <f ca="1">IFERROR(__xludf.DUMMYFUNCTION("""COMPUTED_VALUE"""),44547.6458333333)</f>
        <v>44547.645833333299</v>
      </c>
      <c r="V975" s="6">
        <f ca="1">IFERROR(__xludf.DUMMYFUNCTION("""COMPUTED_VALUE"""),3017.73)</f>
        <v>3017.73</v>
      </c>
      <c r="Z975" s="6" t="str">
        <f t="shared" ca="1" si="279"/>
        <v>202010</v>
      </c>
      <c r="AA975" s="6">
        <f t="shared" ca="1" si="280"/>
        <v>2020</v>
      </c>
      <c r="AB975" s="6">
        <f t="shared" ca="1" si="281"/>
        <v>10</v>
      </c>
      <c r="AC975" s="68">
        <f ca="1">IFERROR(__xludf.DUMMYFUNCTION("""COMPUTED_VALUE"""),44114.9986111111)</f>
        <v>44114.998611111099</v>
      </c>
      <c r="AD975" s="6">
        <f ca="1">IFERROR(__xludf.DUMMYFUNCTION("""COMPUTED_VALUE"""),1142.84)</f>
        <v>1142.8399999999999</v>
      </c>
      <c r="AH975" s="6" t="str">
        <f t="shared" ca="1" si="282"/>
        <v>20208</v>
      </c>
      <c r="AI975" s="6">
        <f t="shared" ca="1" si="283"/>
        <v>2020</v>
      </c>
      <c r="AJ975" s="6">
        <f t="shared" ca="1" si="284"/>
        <v>8</v>
      </c>
      <c r="AK975" s="68">
        <f ca="1">IFERROR(__xludf.DUMMYFUNCTION("""COMPUTED_VALUE"""),44067.9986111111)</f>
        <v>44067.998611111099</v>
      </c>
      <c r="AL975" s="6">
        <f ca="1">IFERROR(__xludf.DUMMYFUNCTION("""COMPUTED_VALUE"""),11758.47)</f>
        <v>11758.47</v>
      </c>
      <c r="AP975" s="6" t="str">
        <f t="shared" ca="1" si="285"/>
        <v>202111</v>
      </c>
      <c r="AQ975" s="6">
        <f t="shared" ca="1" si="286"/>
        <v>2021</v>
      </c>
      <c r="AR975" s="6">
        <f t="shared" ca="1" si="287"/>
        <v>11</v>
      </c>
      <c r="AS975" s="68">
        <f ca="1">IFERROR(__xludf.DUMMYFUNCTION("""COMPUTED_VALUE"""),44518.9986111111)</f>
        <v>44518.998611111099</v>
      </c>
      <c r="AT975" s="6">
        <f ca="1">IFERROR(__xludf.DUMMYFUNCTION("""COMPUTED_VALUE"""),1864)</f>
        <v>1864</v>
      </c>
    </row>
    <row r="976" spans="2:46" x14ac:dyDescent="0.35">
      <c r="B976" s="6" t="str">
        <f t="shared" ca="1" si="270"/>
        <v>202111</v>
      </c>
      <c r="C976" s="6">
        <f t="shared" ca="1" si="271"/>
        <v>2021</v>
      </c>
      <c r="D976" s="6">
        <f t="shared" ca="1" si="272"/>
        <v>11</v>
      </c>
      <c r="E976" s="68">
        <f ca="1">IFERROR(__xludf.DUMMYFUNCTION("""COMPUTED_VALUE"""),44511.6666666666)</f>
        <v>44511.666666666599</v>
      </c>
      <c r="F976" s="6">
        <f ca="1">IFERROR(__xludf.DUMMYFUNCTION("""COMPUTED_VALUE"""),4649.27)</f>
        <v>4649.2700000000004</v>
      </c>
      <c r="J976" s="6" t="str">
        <f t="shared" ca="1" si="273"/>
        <v>202111</v>
      </c>
      <c r="K976" s="6">
        <f t="shared" ca="1" si="274"/>
        <v>2021</v>
      </c>
      <c r="L976" s="6">
        <f t="shared" ca="1" si="275"/>
        <v>11</v>
      </c>
      <c r="M976" s="68">
        <f ca="1">IFERROR(__xludf.DUMMYFUNCTION("""COMPUTED_VALUE"""),44504.6666666666)</f>
        <v>44504.666666666599</v>
      </c>
      <c r="N976" s="6">
        <f ca="1">IFERROR(__xludf.DUMMYFUNCTION("""COMPUTED_VALUE"""),15940.31)</f>
        <v>15940.31</v>
      </c>
      <c r="R976" s="6" t="str">
        <f t="shared" ca="1" si="276"/>
        <v>202112</v>
      </c>
      <c r="S976" s="6">
        <f t="shared" ca="1" si="277"/>
        <v>2021</v>
      </c>
      <c r="T976" s="6">
        <f t="shared" ca="1" si="278"/>
        <v>12</v>
      </c>
      <c r="U976" s="68">
        <f ca="1">IFERROR(__xludf.DUMMYFUNCTION("""COMPUTED_VALUE"""),44550.6458333333)</f>
        <v>44550.645833333299</v>
      </c>
      <c r="V976" s="6">
        <f ca="1">IFERROR(__xludf.DUMMYFUNCTION("""COMPUTED_VALUE"""),2963)</f>
        <v>2963</v>
      </c>
      <c r="Z976" s="6" t="str">
        <f t="shared" ca="1" si="279"/>
        <v>202010</v>
      </c>
      <c r="AA976" s="6">
        <f t="shared" ca="1" si="280"/>
        <v>2020</v>
      </c>
      <c r="AB976" s="6">
        <f t="shared" ca="1" si="281"/>
        <v>10</v>
      </c>
      <c r="AC976" s="68">
        <f ca="1">IFERROR(__xludf.DUMMYFUNCTION("""COMPUTED_VALUE"""),44115.9986111111)</f>
        <v>44115.998611111099</v>
      </c>
      <c r="AD976" s="6">
        <f ca="1">IFERROR(__xludf.DUMMYFUNCTION("""COMPUTED_VALUE"""),1142.65)</f>
        <v>1142.6500000000001</v>
      </c>
      <c r="AH976" s="6" t="str">
        <f t="shared" ca="1" si="282"/>
        <v>20208</v>
      </c>
      <c r="AI976" s="6">
        <f t="shared" ca="1" si="283"/>
        <v>2020</v>
      </c>
      <c r="AJ976" s="6">
        <f t="shared" ca="1" si="284"/>
        <v>8</v>
      </c>
      <c r="AK976" s="68">
        <f ca="1">IFERROR(__xludf.DUMMYFUNCTION("""COMPUTED_VALUE"""),44068.9986111111)</f>
        <v>44068.998611111099</v>
      </c>
      <c r="AL976" s="6">
        <f ca="1">IFERROR(__xludf.DUMMYFUNCTION("""COMPUTED_VALUE"""),11329.89)</f>
        <v>11329.89</v>
      </c>
      <c r="AP976" s="6" t="str">
        <f t="shared" ca="1" si="285"/>
        <v>202111</v>
      </c>
      <c r="AQ976" s="6">
        <f t="shared" ca="1" si="286"/>
        <v>2021</v>
      </c>
      <c r="AR976" s="6">
        <f t="shared" ca="1" si="287"/>
        <v>11</v>
      </c>
      <c r="AS976" s="68">
        <f ca="1">IFERROR(__xludf.DUMMYFUNCTION("""COMPUTED_VALUE"""),44519.9986111111)</f>
        <v>44519.998611111099</v>
      </c>
      <c r="AT976" s="6">
        <f ca="1">IFERROR(__xludf.DUMMYFUNCTION("""COMPUTED_VALUE"""),1854.3)</f>
        <v>1854.3</v>
      </c>
    </row>
    <row r="977" spans="2:46" x14ac:dyDescent="0.35">
      <c r="B977" s="6" t="str">
        <f t="shared" ca="1" si="270"/>
        <v>202111</v>
      </c>
      <c r="C977" s="6">
        <f t="shared" ca="1" si="271"/>
        <v>2021</v>
      </c>
      <c r="D977" s="6">
        <f t="shared" ca="1" si="272"/>
        <v>11</v>
      </c>
      <c r="E977" s="68">
        <f ca="1">IFERROR(__xludf.DUMMYFUNCTION("""COMPUTED_VALUE"""),44512.6666666666)</f>
        <v>44512.666666666599</v>
      </c>
      <c r="F977" s="6">
        <f ca="1">IFERROR(__xludf.DUMMYFUNCTION("""COMPUTED_VALUE"""),4682.85)</f>
        <v>4682.8500000000004</v>
      </c>
      <c r="J977" s="6" t="str">
        <f t="shared" ca="1" si="273"/>
        <v>202111</v>
      </c>
      <c r="K977" s="6">
        <f t="shared" ca="1" si="274"/>
        <v>2021</v>
      </c>
      <c r="L977" s="6">
        <f t="shared" ca="1" si="275"/>
        <v>11</v>
      </c>
      <c r="M977" s="68">
        <f ca="1">IFERROR(__xludf.DUMMYFUNCTION("""COMPUTED_VALUE"""),44505.6666666666)</f>
        <v>44505.666666666599</v>
      </c>
      <c r="N977" s="6">
        <f ca="1">IFERROR(__xludf.DUMMYFUNCTION("""COMPUTED_VALUE"""),15971.59)</f>
        <v>15971.59</v>
      </c>
      <c r="R977" s="6" t="str">
        <f t="shared" ca="1" si="276"/>
        <v>202112</v>
      </c>
      <c r="S977" s="6">
        <f t="shared" ca="1" si="277"/>
        <v>2021</v>
      </c>
      <c r="T977" s="6">
        <f t="shared" ca="1" si="278"/>
        <v>12</v>
      </c>
      <c r="U977" s="68">
        <f ca="1">IFERROR(__xludf.DUMMYFUNCTION("""COMPUTED_VALUE"""),44551.6458333333)</f>
        <v>44551.645833333299</v>
      </c>
      <c r="V977" s="6">
        <f ca="1">IFERROR(__xludf.DUMMYFUNCTION("""COMPUTED_VALUE"""),2975.03)</f>
        <v>2975.03</v>
      </c>
      <c r="Z977" s="6" t="str">
        <f t="shared" ca="1" si="279"/>
        <v>202010</v>
      </c>
      <c r="AA977" s="6">
        <f t="shared" ca="1" si="280"/>
        <v>2020</v>
      </c>
      <c r="AB977" s="6">
        <f t="shared" ca="1" si="281"/>
        <v>10</v>
      </c>
      <c r="AC977" s="68">
        <f ca="1">IFERROR(__xludf.DUMMYFUNCTION("""COMPUTED_VALUE"""),44116.9986111111)</f>
        <v>44116.998611111099</v>
      </c>
      <c r="AD977" s="6">
        <f ca="1">IFERROR(__xludf.DUMMYFUNCTION("""COMPUTED_VALUE"""),1146.4)</f>
        <v>1146.4000000000001</v>
      </c>
      <c r="AH977" s="6" t="str">
        <f t="shared" ca="1" si="282"/>
        <v>20208</v>
      </c>
      <c r="AI977" s="6">
        <f t="shared" ca="1" si="283"/>
        <v>2020</v>
      </c>
      <c r="AJ977" s="6">
        <f t="shared" ca="1" si="284"/>
        <v>8</v>
      </c>
      <c r="AK977" s="68">
        <f ca="1">IFERROR(__xludf.DUMMYFUNCTION("""COMPUTED_VALUE"""),44069.9986111111)</f>
        <v>44069.998611111099</v>
      </c>
      <c r="AL977" s="6">
        <f ca="1">IFERROR(__xludf.DUMMYFUNCTION("""COMPUTED_VALUE"""),11463.63)</f>
        <v>11463.63</v>
      </c>
      <c r="AP977" s="6" t="str">
        <f t="shared" ca="1" si="285"/>
        <v>202111</v>
      </c>
      <c r="AQ977" s="6">
        <f t="shared" ca="1" si="286"/>
        <v>2021</v>
      </c>
      <c r="AR977" s="6">
        <f t="shared" ca="1" si="287"/>
        <v>11</v>
      </c>
      <c r="AS977" s="68">
        <f ca="1">IFERROR(__xludf.DUMMYFUNCTION("""COMPUTED_VALUE"""),44522.9986111111)</f>
        <v>44522.998611111099</v>
      </c>
      <c r="AT977" s="6">
        <f ca="1">IFERROR(__xludf.DUMMYFUNCTION("""COMPUTED_VALUE"""),1809.1)</f>
        <v>1809.1</v>
      </c>
    </row>
    <row r="978" spans="2:46" x14ac:dyDescent="0.35">
      <c r="B978" s="6" t="str">
        <f t="shared" ca="1" si="270"/>
        <v>202111</v>
      </c>
      <c r="C978" s="6">
        <f t="shared" ca="1" si="271"/>
        <v>2021</v>
      </c>
      <c r="D978" s="6">
        <f t="shared" ca="1" si="272"/>
        <v>11</v>
      </c>
      <c r="E978" s="68">
        <f ca="1">IFERROR(__xludf.DUMMYFUNCTION("""COMPUTED_VALUE"""),44515.6666666666)</f>
        <v>44515.666666666599</v>
      </c>
      <c r="F978" s="6">
        <f ca="1">IFERROR(__xludf.DUMMYFUNCTION("""COMPUTED_VALUE"""),4682.8)</f>
        <v>4682.8</v>
      </c>
      <c r="J978" s="6" t="str">
        <f t="shared" ca="1" si="273"/>
        <v>202111</v>
      </c>
      <c r="K978" s="6">
        <f t="shared" ca="1" si="274"/>
        <v>2021</v>
      </c>
      <c r="L978" s="6">
        <f t="shared" ca="1" si="275"/>
        <v>11</v>
      </c>
      <c r="M978" s="68">
        <f ca="1">IFERROR(__xludf.DUMMYFUNCTION("""COMPUTED_VALUE"""),44508.6666666666)</f>
        <v>44508.666666666599</v>
      </c>
      <c r="N978" s="6">
        <f ca="1">IFERROR(__xludf.DUMMYFUNCTION("""COMPUTED_VALUE"""),15982.36)</f>
        <v>15982.36</v>
      </c>
      <c r="R978" s="6" t="str">
        <f t="shared" ca="1" si="276"/>
        <v>202112</v>
      </c>
      <c r="S978" s="6">
        <f t="shared" ca="1" si="277"/>
        <v>2021</v>
      </c>
      <c r="T978" s="6">
        <f t="shared" ca="1" si="278"/>
        <v>12</v>
      </c>
      <c r="U978" s="68">
        <f ca="1">IFERROR(__xludf.DUMMYFUNCTION("""COMPUTED_VALUE"""),44552.6458333333)</f>
        <v>44552.645833333299</v>
      </c>
      <c r="V978" s="6">
        <f ca="1">IFERROR(__xludf.DUMMYFUNCTION("""COMPUTED_VALUE"""),2984.48)</f>
        <v>2984.48</v>
      </c>
      <c r="Z978" s="6" t="str">
        <f t="shared" ca="1" si="279"/>
        <v>202010</v>
      </c>
      <c r="AA978" s="6">
        <f t="shared" ca="1" si="280"/>
        <v>2020</v>
      </c>
      <c r="AB978" s="6">
        <f t="shared" ca="1" si="281"/>
        <v>10</v>
      </c>
      <c r="AC978" s="68">
        <f ca="1">IFERROR(__xludf.DUMMYFUNCTION("""COMPUTED_VALUE"""),44117.9986111111)</f>
        <v>44117.998611111099</v>
      </c>
      <c r="AD978" s="6">
        <f ca="1">IFERROR(__xludf.DUMMYFUNCTION("""COMPUTED_VALUE"""),1147.89)</f>
        <v>1147.8900000000001</v>
      </c>
      <c r="AH978" s="6" t="str">
        <f t="shared" ca="1" si="282"/>
        <v>20208</v>
      </c>
      <c r="AI978" s="6">
        <f t="shared" ca="1" si="283"/>
        <v>2020</v>
      </c>
      <c r="AJ978" s="6">
        <f t="shared" ca="1" si="284"/>
        <v>8</v>
      </c>
      <c r="AK978" s="68">
        <f ca="1">IFERROR(__xludf.DUMMYFUNCTION("""COMPUTED_VALUE"""),44070.9986111111)</f>
        <v>44070.998611111099</v>
      </c>
      <c r="AL978" s="6">
        <f ca="1">IFERROR(__xludf.DUMMYFUNCTION("""COMPUTED_VALUE"""),11325.62)</f>
        <v>11325.62</v>
      </c>
      <c r="AP978" s="6" t="str">
        <f t="shared" ca="1" si="285"/>
        <v>202111</v>
      </c>
      <c r="AQ978" s="6">
        <f t="shared" ca="1" si="286"/>
        <v>2021</v>
      </c>
      <c r="AR978" s="6">
        <f t="shared" ca="1" si="287"/>
        <v>11</v>
      </c>
      <c r="AS978" s="68">
        <f ca="1">IFERROR(__xludf.DUMMYFUNCTION("""COMPUTED_VALUE"""),44523.9986111111)</f>
        <v>44523.998611111099</v>
      </c>
      <c r="AT978" s="6">
        <f ca="1">IFERROR(__xludf.DUMMYFUNCTION("""COMPUTED_VALUE"""),1786.3)</f>
        <v>1786.3</v>
      </c>
    </row>
    <row r="979" spans="2:46" x14ac:dyDescent="0.35">
      <c r="B979" s="6" t="str">
        <f t="shared" ca="1" si="270"/>
        <v>202111</v>
      </c>
      <c r="C979" s="6">
        <f t="shared" ca="1" si="271"/>
        <v>2021</v>
      </c>
      <c r="D979" s="6">
        <f t="shared" ca="1" si="272"/>
        <v>11</v>
      </c>
      <c r="E979" s="68">
        <f ca="1">IFERROR(__xludf.DUMMYFUNCTION("""COMPUTED_VALUE"""),44516.6666666666)</f>
        <v>44516.666666666599</v>
      </c>
      <c r="F979" s="6">
        <f ca="1">IFERROR(__xludf.DUMMYFUNCTION("""COMPUTED_VALUE"""),4700.9)</f>
        <v>4700.8999999999996</v>
      </c>
      <c r="J979" s="6" t="str">
        <f t="shared" ca="1" si="273"/>
        <v>202111</v>
      </c>
      <c r="K979" s="6">
        <f t="shared" ca="1" si="274"/>
        <v>2021</v>
      </c>
      <c r="L979" s="6">
        <f t="shared" ca="1" si="275"/>
        <v>11</v>
      </c>
      <c r="M979" s="68">
        <f ca="1">IFERROR(__xludf.DUMMYFUNCTION("""COMPUTED_VALUE"""),44509.6666666666)</f>
        <v>44509.666666666599</v>
      </c>
      <c r="N979" s="6">
        <f ca="1">IFERROR(__xludf.DUMMYFUNCTION("""COMPUTED_VALUE"""),15886.54)</f>
        <v>15886.54</v>
      </c>
      <c r="R979" s="6" t="str">
        <f t="shared" ca="1" si="276"/>
        <v>202112</v>
      </c>
      <c r="S979" s="6">
        <f t="shared" ca="1" si="277"/>
        <v>2021</v>
      </c>
      <c r="T979" s="6">
        <f t="shared" ca="1" si="278"/>
        <v>12</v>
      </c>
      <c r="U979" s="68">
        <f ca="1">IFERROR(__xludf.DUMMYFUNCTION("""COMPUTED_VALUE"""),44553.6458333333)</f>
        <v>44553.645833333299</v>
      </c>
      <c r="V979" s="6">
        <f ca="1">IFERROR(__xludf.DUMMYFUNCTION("""COMPUTED_VALUE"""),2998.17)</f>
        <v>2998.17</v>
      </c>
      <c r="Z979" s="6" t="str">
        <f t="shared" ca="1" si="279"/>
        <v>202010</v>
      </c>
      <c r="AA979" s="6">
        <f t="shared" ca="1" si="280"/>
        <v>2020</v>
      </c>
      <c r="AB979" s="6">
        <f t="shared" ca="1" si="281"/>
        <v>10</v>
      </c>
      <c r="AC979" s="68">
        <f ca="1">IFERROR(__xludf.DUMMYFUNCTION("""COMPUTED_VALUE"""),44118.9986111111)</f>
        <v>44118.998611111099</v>
      </c>
      <c r="AD979" s="6">
        <f ca="1">IFERROR(__xludf.DUMMYFUNCTION("""COMPUTED_VALUE"""),1146.31)</f>
        <v>1146.31</v>
      </c>
      <c r="AH979" s="6" t="str">
        <f t="shared" ca="1" si="282"/>
        <v>20208</v>
      </c>
      <c r="AI979" s="6">
        <f t="shared" ca="1" si="283"/>
        <v>2020</v>
      </c>
      <c r="AJ979" s="6">
        <f t="shared" ca="1" si="284"/>
        <v>8</v>
      </c>
      <c r="AK979" s="68">
        <f ca="1">IFERROR(__xludf.DUMMYFUNCTION("""COMPUTED_VALUE"""),44071.9986111111)</f>
        <v>44071.998611111099</v>
      </c>
      <c r="AL979" s="6">
        <f ca="1">IFERROR(__xludf.DUMMYFUNCTION("""COMPUTED_VALUE"""),11533.22)</f>
        <v>11533.22</v>
      </c>
      <c r="AP979" s="6" t="str">
        <f t="shared" ca="1" si="285"/>
        <v>202111</v>
      </c>
      <c r="AQ979" s="6">
        <f t="shared" ca="1" si="286"/>
        <v>2021</v>
      </c>
      <c r="AR979" s="6">
        <f t="shared" ca="1" si="287"/>
        <v>11</v>
      </c>
      <c r="AS979" s="68">
        <f ca="1">IFERROR(__xludf.DUMMYFUNCTION("""COMPUTED_VALUE"""),44524.9986111111)</f>
        <v>44524.998611111099</v>
      </c>
      <c r="AT979" s="6">
        <f ca="1">IFERROR(__xludf.DUMMYFUNCTION("""COMPUTED_VALUE"""),1786.9)</f>
        <v>1786.9</v>
      </c>
    </row>
    <row r="980" spans="2:46" x14ac:dyDescent="0.35">
      <c r="B980" s="6" t="str">
        <f t="shared" ca="1" si="270"/>
        <v>202111</v>
      </c>
      <c r="C980" s="6">
        <f t="shared" ca="1" si="271"/>
        <v>2021</v>
      </c>
      <c r="D980" s="6">
        <f t="shared" ca="1" si="272"/>
        <v>11</v>
      </c>
      <c r="E980" s="68">
        <f ca="1">IFERROR(__xludf.DUMMYFUNCTION("""COMPUTED_VALUE"""),44517.6666666666)</f>
        <v>44517.666666666599</v>
      </c>
      <c r="F980" s="6">
        <f ca="1">IFERROR(__xludf.DUMMYFUNCTION("""COMPUTED_VALUE"""),4688.67)</f>
        <v>4688.67</v>
      </c>
      <c r="J980" s="6" t="str">
        <f t="shared" ca="1" si="273"/>
        <v>202111</v>
      </c>
      <c r="K980" s="6">
        <f t="shared" ca="1" si="274"/>
        <v>2021</v>
      </c>
      <c r="L980" s="6">
        <f t="shared" ca="1" si="275"/>
        <v>11</v>
      </c>
      <c r="M980" s="68">
        <f ca="1">IFERROR(__xludf.DUMMYFUNCTION("""COMPUTED_VALUE"""),44510.6666666666)</f>
        <v>44510.666666666599</v>
      </c>
      <c r="N980" s="6">
        <f ca="1">IFERROR(__xludf.DUMMYFUNCTION("""COMPUTED_VALUE"""),15622.71)</f>
        <v>15622.71</v>
      </c>
      <c r="R980" s="6" t="str">
        <f t="shared" ca="1" si="276"/>
        <v>202112</v>
      </c>
      <c r="S980" s="6">
        <f t="shared" ca="1" si="277"/>
        <v>2021</v>
      </c>
      <c r="T980" s="6">
        <f t="shared" ca="1" si="278"/>
        <v>12</v>
      </c>
      <c r="U980" s="68">
        <f ca="1">IFERROR(__xludf.DUMMYFUNCTION("""COMPUTED_VALUE"""),44554.6458333333)</f>
        <v>44554.645833333299</v>
      </c>
      <c r="V980" s="6">
        <f ca="1">IFERROR(__xludf.DUMMYFUNCTION("""COMPUTED_VALUE"""),3012.43)</f>
        <v>3012.43</v>
      </c>
      <c r="Z980" s="6" t="str">
        <f t="shared" ca="1" si="279"/>
        <v>202010</v>
      </c>
      <c r="AA980" s="6">
        <f t="shared" ca="1" si="280"/>
        <v>2020</v>
      </c>
      <c r="AB980" s="6">
        <f t="shared" ca="1" si="281"/>
        <v>10</v>
      </c>
      <c r="AC980" s="68">
        <f ca="1">IFERROR(__xludf.DUMMYFUNCTION("""COMPUTED_VALUE"""),44119.9986111111)</f>
        <v>44119.998611111099</v>
      </c>
      <c r="AD980" s="6">
        <f ca="1">IFERROR(__xludf.DUMMYFUNCTION("""COMPUTED_VALUE"""),1144.13)</f>
        <v>1144.1300000000001</v>
      </c>
      <c r="AH980" s="6" t="str">
        <f t="shared" ca="1" si="282"/>
        <v>20208</v>
      </c>
      <c r="AI980" s="6">
        <f t="shared" ca="1" si="283"/>
        <v>2020</v>
      </c>
      <c r="AJ980" s="6">
        <f t="shared" ca="1" si="284"/>
        <v>8</v>
      </c>
      <c r="AK980" s="68">
        <f ca="1">IFERROR(__xludf.DUMMYFUNCTION("""COMPUTED_VALUE"""),44072.9986111111)</f>
        <v>44072.998611111099</v>
      </c>
      <c r="AL980" s="6">
        <f ca="1">IFERROR(__xludf.DUMMYFUNCTION("""COMPUTED_VALUE"""),11477.2)</f>
        <v>11477.2</v>
      </c>
      <c r="AP980" s="6" t="str">
        <f t="shared" ca="1" si="285"/>
        <v>202111</v>
      </c>
      <c r="AQ980" s="6">
        <f t="shared" ca="1" si="286"/>
        <v>2021</v>
      </c>
      <c r="AR980" s="6">
        <f t="shared" ca="1" si="287"/>
        <v>11</v>
      </c>
      <c r="AS980" s="68">
        <f ca="1">IFERROR(__xludf.DUMMYFUNCTION("""COMPUTED_VALUE"""),44526.5416666666)</f>
        <v>44526.541666666599</v>
      </c>
      <c r="AT980" s="6">
        <f ca="1">IFERROR(__xludf.DUMMYFUNCTION("""COMPUTED_VALUE"""),1788.1)</f>
        <v>1788.1</v>
      </c>
    </row>
    <row r="981" spans="2:46" x14ac:dyDescent="0.35">
      <c r="B981" s="6" t="str">
        <f t="shared" ca="1" si="270"/>
        <v>202111</v>
      </c>
      <c r="C981" s="6">
        <f t="shared" ca="1" si="271"/>
        <v>2021</v>
      </c>
      <c r="D981" s="6">
        <f t="shared" ca="1" si="272"/>
        <v>11</v>
      </c>
      <c r="E981" s="68">
        <f ca="1">IFERROR(__xludf.DUMMYFUNCTION("""COMPUTED_VALUE"""),44518.6666666666)</f>
        <v>44518.666666666599</v>
      </c>
      <c r="F981" s="6">
        <f ca="1">IFERROR(__xludf.DUMMYFUNCTION("""COMPUTED_VALUE"""),4704.54)</f>
        <v>4704.54</v>
      </c>
      <c r="J981" s="6" t="str">
        <f t="shared" ca="1" si="273"/>
        <v>202111</v>
      </c>
      <c r="K981" s="6">
        <f t="shared" ca="1" si="274"/>
        <v>2021</v>
      </c>
      <c r="L981" s="6">
        <f t="shared" ca="1" si="275"/>
        <v>11</v>
      </c>
      <c r="M981" s="68">
        <f ca="1">IFERROR(__xludf.DUMMYFUNCTION("""COMPUTED_VALUE"""),44511.6666666666)</f>
        <v>44511.666666666599</v>
      </c>
      <c r="N981" s="6">
        <f ca="1">IFERROR(__xludf.DUMMYFUNCTION("""COMPUTED_VALUE"""),15704.28)</f>
        <v>15704.28</v>
      </c>
      <c r="R981" s="6" t="str">
        <f t="shared" ca="1" si="276"/>
        <v>202112</v>
      </c>
      <c r="S981" s="6">
        <f t="shared" ca="1" si="277"/>
        <v>2021</v>
      </c>
      <c r="T981" s="6">
        <f t="shared" ca="1" si="278"/>
        <v>12</v>
      </c>
      <c r="U981" s="68">
        <f ca="1">IFERROR(__xludf.DUMMYFUNCTION("""COMPUTED_VALUE"""),44557.6458333333)</f>
        <v>44557.645833333299</v>
      </c>
      <c r="V981" s="6">
        <f ca="1">IFERROR(__xludf.DUMMYFUNCTION("""COMPUTED_VALUE"""),2999.55)</f>
        <v>2999.55</v>
      </c>
      <c r="Z981" s="6" t="str">
        <f t="shared" ca="1" si="279"/>
        <v>202010</v>
      </c>
      <c r="AA981" s="6">
        <f t="shared" ca="1" si="280"/>
        <v>2020</v>
      </c>
      <c r="AB981" s="6">
        <f t="shared" ca="1" si="281"/>
        <v>10</v>
      </c>
      <c r="AC981" s="68">
        <f ca="1">IFERROR(__xludf.DUMMYFUNCTION("""COMPUTED_VALUE"""),44120.9986111111)</f>
        <v>44120.998611111099</v>
      </c>
      <c r="AD981" s="6">
        <f ca="1">IFERROR(__xludf.DUMMYFUNCTION("""COMPUTED_VALUE"""),1142.13)</f>
        <v>1142.1300000000001</v>
      </c>
      <c r="AH981" s="6" t="str">
        <f t="shared" ca="1" si="282"/>
        <v>20208</v>
      </c>
      <c r="AI981" s="6">
        <f t="shared" ca="1" si="283"/>
        <v>2020</v>
      </c>
      <c r="AJ981" s="6">
        <f t="shared" ca="1" si="284"/>
        <v>8</v>
      </c>
      <c r="AK981" s="68">
        <f ca="1">IFERROR(__xludf.DUMMYFUNCTION("""COMPUTED_VALUE"""),44073.9986111111)</f>
        <v>44073.998611111099</v>
      </c>
      <c r="AL981" s="6">
        <f ca="1">IFERROR(__xludf.DUMMYFUNCTION("""COMPUTED_VALUE"""),11713.8)</f>
        <v>11713.8</v>
      </c>
      <c r="AP981" s="6" t="str">
        <f t="shared" ca="1" si="285"/>
        <v>202111</v>
      </c>
      <c r="AQ981" s="6">
        <f t="shared" ca="1" si="286"/>
        <v>2021</v>
      </c>
      <c r="AR981" s="6">
        <f t="shared" ca="1" si="287"/>
        <v>11</v>
      </c>
      <c r="AS981" s="68">
        <f ca="1">IFERROR(__xludf.DUMMYFUNCTION("""COMPUTED_VALUE"""),44529.9986111111)</f>
        <v>44529.998611111099</v>
      </c>
      <c r="AT981" s="6">
        <f ca="1">IFERROR(__xludf.DUMMYFUNCTION("""COMPUTED_VALUE"""),1785.2)</f>
        <v>1785.2</v>
      </c>
    </row>
    <row r="982" spans="2:46" x14ac:dyDescent="0.35">
      <c r="B982" s="6" t="str">
        <f t="shared" ca="1" si="270"/>
        <v>202111</v>
      </c>
      <c r="C982" s="6">
        <f t="shared" ca="1" si="271"/>
        <v>2021</v>
      </c>
      <c r="D982" s="6">
        <f t="shared" ca="1" si="272"/>
        <v>11</v>
      </c>
      <c r="E982" s="68">
        <f ca="1">IFERROR(__xludf.DUMMYFUNCTION("""COMPUTED_VALUE"""),44519.6666666666)</f>
        <v>44519.666666666599</v>
      </c>
      <c r="F982" s="6">
        <f ca="1">IFERROR(__xludf.DUMMYFUNCTION("""COMPUTED_VALUE"""),4697.96)</f>
        <v>4697.96</v>
      </c>
      <c r="J982" s="6" t="str">
        <f t="shared" ca="1" si="273"/>
        <v>202111</v>
      </c>
      <c r="K982" s="6">
        <f t="shared" ca="1" si="274"/>
        <v>2021</v>
      </c>
      <c r="L982" s="6">
        <f t="shared" ca="1" si="275"/>
        <v>11</v>
      </c>
      <c r="M982" s="68">
        <f ca="1">IFERROR(__xludf.DUMMYFUNCTION("""COMPUTED_VALUE"""),44512.6666666666)</f>
        <v>44512.666666666599</v>
      </c>
      <c r="N982" s="6">
        <f ca="1">IFERROR(__xludf.DUMMYFUNCTION("""COMPUTED_VALUE"""),15860.96)</f>
        <v>15860.96</v>
      </c>
      <c r="R982" s="6" t="str">
        <f t="shared" ca="1" si="276"/>
        <v>202112</v>
      </c>
      <c r="S982" s="6">
        <f t="shared" ca="1" si="277"/>
        <v>2021</v>
      </c>
      <c r="T982" s="6">
        <f t="shared" ca="1" si="278"/>
        <v>12</v>
      </c>
      <c r="U982" s="68">
        <f ca="1">IFERROR(__xludf.DUMMYFUNCTION("""COMPUTED_VALUE"""),44558.6458333333)</f>
        <v>44558.645833333299</v>
      </c>
      <c r="V982" s="6">
        <f ca="1">IFERROR(__xludf.DUMMYFUNCTION("""COMPUTED_VALUE"""),3020.24)</f>
        <v>3020.24</v>
      </c>
      <c r="Z982" s="6" t="str">
        <f t="shared" ca="1" si="279"/>
        <v>202010</v>
      </c>
      <c r="AA982" s="6">
        <f t="shared" ca="1" si="280"/>
        <v>2020</v>
      </c>
      <c r="AB982" s="6">
        <f t="shared" ca="1" si="281"/>
        <v>10</v>
      </c>
      <c r="AC982" s="68">
        <f ca="1">IFERROR(__xludf.DUMMYFUNCTION("""COMPUTED_VALUE"""),44121.9986111111)</f>
        <v>44121.998611111099</v>
      </c>
      <c r="AD982" s="6">
        <f ca="1">IFERROR(__xludf.DUMMYFUNCTION("""COMPUTED_VALUE"""),1142.13)</f>
        <v>1142.1300000000001</v>
      </c>
      <c r="AH982" s="6" t="str">
        <f t="shared" ca="1" si="282"/>
        <v>20208</v>
      </c>
      <c r="AI982" s="6">
        <f t="shared" ca="1" si="283"/>
        <v>2020</v>
      </c>
      <c r="AJ982" s="6">
        <f t="shared" ca="1" si="284"/>
        <v>8</v>
      </c>
      <c r="AK982" s="68">
        <f ca="1">IFERROR(__xludf.DUMMYFUNCTION("""COMPUTED_VALUE"""),44074.9986111111)</f>
        <v>44074.998611111099</v>
      </c>
      <c r="AL982" s="6">
        <f ca="1">IFERROR(__xludf.DUMMYFUNCTION("""COMPUTED_VALUE"""),11656.86)</f>
        <v>11656.86</v>
      </c>
      <c r="AP982" s="6" t="str">
        <f t="shared" ca="1" si="285"/>
        <v>202111</v>
      </c>
      <c r="AQ982" s="6">
        <f t="shared" ca="1" si="286"/>
        <v>2021</v>
      </c>
      <c r="AR982" s="6">
        <f t="shared" ca="1" si="287"/>
        <v>11</v>
      </c>
      <c r="AS982" s="68">
        <f ca="1">IFERROR(__xludf.DUMMYFUNCTION("""COMPUTED_VALUE"""),44530.9986111111)</f>
        <v>44530.998611111099</v>
      </c>
      <c r="AT982" s="6">
        <f ca="1">IFERROR(__xludf.DUMMYFUNCTION("""COMPUTED_VALUE"""),1776.5)</f>
        <v>1776.5</v>
      </c>
    </row>
    <row r="983" spans="2:46" x14ac:dyDescent="0.35">
      <c r="B983" s="6" t="str">
        <f t="shared" ca="1" si="270"/>
        <v>202111</v>
      </c>
      <c r="C983" s="6">
        <f t="shared" ca="1" si="271"/>
        <v>2021</v>
      </c>
      <c r="D983" s="6">
        <f t="shared" ca="1" si="272"/>
        <v>11</v>
      </c>
      <c r="E983" s="68">
        <f ca="1">IFERROR(__xludf.DUMMYFUNCTION("""COMPUTED_VALUE"""),44522.6666666666)</f>
        <v>44522.666666666599</v>
      </c>
      <c r="F983" s="6">
        <f ca="1">IFERROR(__xludf.DUMMYFUNCTION("""COMPUTED_VALUE"""),4682.94)</f>
        <v>4682.9399999999996</v>
      </c>
      <c r="J983" s="6" t="str">
        <f t="shared" ca="1" si="273"/>
        <v>202111</v>
      </c>
      <c r="K983" s="6">
        <f t="shared" ca="1" si="274"/>
        <v>2021</v>
      </c>
      <c r="L983" s="6">
        <f t="shared" ca="1" si="275"/>
        <v>11</v>
      </c>
      <c r="M983" s="68">
        <f ca="1">IFERROR(__xludf.DUMMYFUNCTION("""COMPUTED_VALUE"""),44515.6666666666)</f>
        <v>44515.666666666599</v>
      </c>
      <c r="N983" s="6">
        <f ca="1">IFERROR(__xludf.DUMMYFUNCTION("""COMPUTED_VALUE"""),15853.85)</f>
        <v>15853.85</v>
      </c>
      <c r="R983" s="6" t="str">
        <f t="shared" ca="1" si="276"/>
        <v>202112</v>
      </c>
      <c r="S983" s="6">
        <f t="shared" ca="1" si="277"/>
        <v>2021</v>
      </c>
      <c r="T983" s="6">
        <f t="shared" ca="1" si="278"/>
        <v>12</v>
      </c>
      <c r="U983" s="68">
        <f ca="1">IFERROR(__xludf.DUMMYFUNCTION("""COMPUTED_VALUE"""),44559.6458333333)</f>
        <v>44559.645833333299</v>
      </c>
      <c r="V983" s="6">
        <f ca="1">IFERROR(__xludf.DUMMYFUNCTION("""COMPUTED_VALUE"""),2993.29)</f>
        <v>2993.29</v>
      </c>
      <c r="Z983" s="6" t="str">
        <f t="shared" ca="1" si="279"/>
        <v>202010</v>
      </c>
      <c r="AA983" s="6">
        <f t="shared" ca="1" si="280"/>
        <v>2020</v>
      </c>
      <c r="AB983" s="6">
        <f t="shared" ca="1" si="281"/>
        <v>10</v>
      </c>
      <c r="AC983" s="68">
        <f ca="1">IFERROR(__xludf.DUMMYFUNCTION("""COMPUTED_VALUE"""),44122.9986111111)</f>
        <v>44122.998611111099</v>
      </c>
      <c r="AD983" s="6">
        <f ca="1">IFERROR(__xludf.DUMMYFUNCTION("""COMPUTED_VALUE"""),1141.18)</f>
        <v>1141.18</v>
      </c>
      <c r="AH983" s="6" t="str">
        <f t="shared" ca="1" si="282"/>
        <v>20209</v>
      </c>
      <c r="AI983" s="6">
        <f t="shared" ca="1" si="283"/>
        <v>2020</v>
      </c>
      <c r="AJ983" s="6">
        <f t="shared" ca="1" si="284"/>
        <v>9</v>
      </c>
      <c r="AK983" s="68">
        <f ca="1">IFERROR(__xludf.DUMMYFUNCTION("""COMPUTED_VALUE"""),44075.9986111111)</f>
        <v>44075.998611111099</v>
      </c>
      <c r="AL983" s="6">
        <f ca="1">IFERROR(__xludf.DUMMYFUNCTION("""COMPUTED_VALUE"""),11925.36)</f>
        <v>11925.36</v>
      </c>
      <c r="AP983" s="6" t="str">
        <f t="shared" ca="1" si="285"/>
        <v>202112</v>
      </c>
      <c r="AQ983" s="6">
        <f t="shared" ca="1" si="286"/>
        <v>2021</v>
      </c>
      <c r="AR983" s="6">
        <f t="shared" ca="1" si="287"/>
        <v>12</v>
      </c>
      <c r="AS983" s="68">
        <f ca="1">IFERROR(__xludf.DUMMYFUNCTION("""COMPUTED_VALUE"""),44531.9986111111)</f>
        <v>44531.998611111099</v>
      </c>
      <c r="AT983" s="6">
        <f ca="1">IFERROR(__xludf.DUMMYFUNCTION("""COMPUTED_VALUE"""),1784.3)</f>
        <v>1784.3</v>
      </c>
    </row>
    <row r="984" spans="2:46" x14ac:dyDescent="0.35">
      <c r="B984" s="6" t="str">
        <f t="shared" ca="1" si="270"/>
        <v>202111</v>
      </c>
      <c r="C984" s="6">
        <f t="shared" ca="1" si="271"/>
        <v>2021</v>
      </c>
      <c r="D984" s="6">
        <f t="shared" ca="1" si="272"/>
        <v>11</v>
      </c>
      <c r="E984" s="68">
        <f ca="1">IFERROR(__xludf.DUMMYFUNCTION("""COMPUTED_VALUE"""),44523.6666666666)</f>
        <v>44523.666666666599</v>
      </c>
      <c r="F984" s="6">
        <f ca="1">IFERROR(__xludf.DUMMYFUNCTION("""COMPUTED_VALUE"""),4690.7)</f>
        <v>4690.7</v>
      </c>
      <c r="J984" s="6" t="str">
        <f t="shared" ca="1" si="273"/>
        <v>202111</v>
      </c>
      <c r="K984" s="6">
        <f t="shared" ca="1" si="274"/>
        <v>2021</v>
      </c>
      <c r="L984" s="6">
        <f t="shared" ca="1" si="275"/>
        <v>11</v>
      </c>
      <c r="M984" s="68">
        <f ca="1">IFERROR(__xludf.DUMMYFUNCTION("""COMPUTED_VALUE"""),44516.6666666666)</f>
        <v>44516.666666666599</v>
      </c>
      <c r="N984" s="6">
        <f ca="1">IFERROR(__xludf.DUMMYFUNCTION("""COMPUTED_VALUE"""),15973.86)</f>
        <v>15973.86</v>
      </c>
      <c r="R984" s="6" t="str">
        <f t="shared" ca="1" si="276"/>
        <v>202112</v>
      </c>
      <c r="S984" s="6">
        <f t="shared" ca="1" si="277"/>
        <v>2021</v>
      </c>
      <c r="T984" s="6">
        <f t="shared" ca="1" si="278"/>
        <v>12</v>
      </c>
      <c r="U984" s="68">
        <f ca="1">IFERROR(__xludf.DUMMYFUNCTION("""COMPUTED_VALUE"""),44560.6458333333)</f>
        <v>44560.645833333299</v>
      </c>
      <c r="V984" s="6">
        <f ca="1">IFERROR(__xludf.DUMMYFUNCTION("""COMPUTED_VALUE"""),2977.65)</f>
        <v>2977.65</v>
      </c>
      <c r="Z984" s="6" t="str">
        <f t="shared" ca="1" si="279"/>
        <v>202010</v>
      </c>
      <c r="AA984" s="6">
        <f t="shared" ca="1" si="280"/>
        <v>2020</v>
      </c>
      <c r="AB984" s="6">
        <f t="shared" ca="1" si="281"/>
        <v>10</v>
      </c>
      <c r="AC984" s="68">
        <f ca="1">IFERROR(__xludf.DUMMYFUNCTION("""COMPUTED_VALUE"""),44123.9986111111)</f>
        <v>44123.998611111099</v>
      </c>
      <c r="AD984" s="6">
        <f ca="1">IFERROR(__xludf.DUMMYFUNCTION("""COMPUTED_VALUE"""),1137)</f>
        <v>1137</v>
      </c>
      <c r="AH984" s="6" t="str">
        <f t="shared" ca="1" si="282"/>
        <v>20209</v>
      </c>
      <c r="AI984" s="6">
        <f t="shared" ca="1" si="283"/>
        <v>2020</v>
      </c>
      <c r="AJ984" s="6">
        <f t="shared" ca="1" si="284"/>
        <v>9</v>
      </c>
      <c r="AK984" s="68">
        <f ca="1">IFERROR(__xludf.DUMMYFUNCTION("""COMPUTED_VALUE"""),44076.9986111111)</f>
        <v>44076.998611111099</v>
      </c>
      <c r="AL984" s="6">
        <f ca="1">IFERROR(__xludf.DUMMYFUNCTION("""COMPUTED_VALUE"""),11398.04)</f>
        <v>11398.04</v>
      </c>
      <c r="AP984" s="6" t="str">
        <f t="shared" ca="1" si="285"/>
        <v>202112</v>
      </c>
      <c r="AQ984" s="6">
        <f t="shared" ca="1" si="286"/>
        <v>2021</v>
      </c>
      <c r="AR984" s="6">
        <f t="shared" ca="1" si="287"/>
        <v>12</v>
      </c>
      <c r="AS984" s="68">
        <f ca="1">IFERROR(__xludf.DUMMYFUNCTION("""COMPUTED_VALUE"""),44532.9986111111)</f>
        <v>44532.998611111099</v>
      </c>
      <c r="AT984" s="6">
        <f ca="1">IFERROR(__xludf.DUMMYFUNCTION("""COMPUTED_VALUE"""),1762.7)</f>
        <v>1762.7</v>
      </c>
    </row>
    <row r="985" spans="2:46" x14ac:dyDescent="0.35">
      <c r="B985" s="6" t="str">
        <f t="shared" ca="1" si="270"/>
        <v>202111</v>
      </c>
      <c r="C985" s="6">
        <f t="shared" ca="1" si="271"/>
        <v>2021</v>
      </c>
      <c r="D985" s="6">
        <f t="shared" ca="1" si="272"/>
        <v>11</v>
      </c>
      <c r="E985" s="68">
        <f ca="1">IFERROR(__xludf.DUMMYFUNCTION("""COMPUTED_VALUE"""),44524.6666666666)</f>
        <v>44524.666666666599</v>
      </c>
      <c r="F985" s="6">
        <f ca="1">IFERROR(__xludf.DUMMYFUNCTION("""COMPUTED_VALUE"""),4701.46)</f>
        <v>4701.46</v>
      </c>
      <c r="J985" s="6" t="str">
        <f t="shared" ca="1" si="273"/>
        <v>202111</v>
      </c>
      <c r="K985" s="6">
        <f t="shared" ca="1" si="274"/>
        <v>2021</v>
      </c>
      <c r="L985" s="6">
        <f t="shared" ca="1" si="275"/>
        <v>11</v>
      </c>
      <c r="M985" s="68">
        <f ca="1">IFERROR(__xludf.DUMMYFUNCTION("""COMPUTED_VALUE"""),44517.6666666666)</f>
        <v>44517.666666666599</v>
      </c>
      <c r="N985" s="6">
        <f ca="1">IFERROR(__xludf.DUMMYFUNCTION("""COMPUTED_VALUE"""),15921.57)</f>
        <v>15921.57</v>
      </c>
      <c r="R985" s="6" t="str">
        <f t="shared" ca="1" si="276"/>
        <v>20221</v>
      </c>
      <c r="S985" s="6">
        <f t="shared" ca="1" si="277"/>
        <v>2022</v>
      </c>
      <c r="T985" s="6">
        <f t="shared" ca="1" si="278"/>
        <v>1</v>
      </c>
      <c r="U985" s="68">
        <f ca="1">IFERROR(__xludf.DUMMYFUNCTION("""COMPUTED_VALUE"""),44564.6458333333)</f>
        <v>44564.645833333299</v>
      </c>
      <c r="V985" s="6">
        <f ca="1">IFERROR(__xludf.DUMMYFUNCTION("""COMPUTED_VALUE"""),2988.77)</f>
        <v>2988.77</v>
      </c>
      <c r="Z985" s="6" t="str">
        <f t="shared" ca="1" si="279"/>
        <v>202010</v>
      </c>
      <c r="AA985" s="6">
        <f t="shared" ca="1" si="280"/>
        <v>2020</v>
      </c>
      <c r="AB985" s="6">
        <f t="shared" ca="1" si="281"/>
        <v>10</v>
      </c>
      <c r="AC985" s="68">
        <f ca="1">IFERROR(__xludf.DUMMYFUNCTION("""COMPUTED_VALUE"""),44124.9986111111)</f>
        <v>44124.998611111099</v>
      </c>
      <c r="AD985" s="6">
        <f ca="1">IFERROR(__xludf.DUMMYFUNCTION("""COMPUTED_VALUE"""),1136)</f>
        <v>1136</v>
      </c>
      <c r="AH985" s="6" t="str">
        <f t="shared" ca="1" si="282"/>
        <v>20209</v>
      </c>
      <c r="AI985" s="6">
        <f t="shared" ca="1" si="283"/>
        <v>2020</v>
      </c>
      <c r="AJ985" s="6">
        <f t="shared" ca="1" si="284"/>
        <v>9</v>
      </c>
      <c r="AK985" s="68">
        <f ca="1">IFERROR(__xludf.DUMMYFUNCTION("""COMPUTED_VALUE"""),44077.9986111111)</f>
        <v>44077.998611111099</v>
      </c>
      <c r="AL985" s="6">
        <f ca="1">IFERROR(__xludf.DUMMYFUNCTION("""COMPUTED_VALUE"""),10175.84)</f>
        <v>10175.84</v>
      </c>
      <c r="AP985" s="6" t="str">
        <f t="shared" ca="1" si="285"/>
        <v>202112</v>
      </c>
      <c r="AQ985" s="6">
        <f t="shared" ca="1" si="286"/>
        <v>2021</v>
      </c>
      <c r="AR985" s="6">
        <f t="shared" ca="1" si="287"/>
        <v>12</v>
      </c>
      <c r="AS985" s="68">
        <f ca="1">IFERROR(__xludf.DUMMYFUNCTION("""COMPUTED_VALUE"""),44533.9986111111)</f>
        <v>44533.998611111099</v>
      </c>
      <c r="AT985" s="6">
        <f ca="1">IFERROR(__xludf.DUMMYFUNCTION("""COMPUTED_VALUE"""),1783.9)</f>
        <v>1783.9</v>
      </c>
    </row>
    <row r="986" spans="2:46" x14ac:dyDescent="0.35">
      <c r="B986" s="6" t="str">
        <f t="shared" ca="1" si="270"/>
        <v>202111</v>
      </c>
      <c r="C986" s="6">
        <f t="shared" ca="1" si="271"/>
        <v>2021</v>
      </c>
      <c r="D986" s="6">
        <f t="shared" ca="1" si="272"/>
        <v>11</v>
      </c>
      <c r="E986" s="68">
        <f ca="1">IFERROR(__xludf.DUMMYFUNCTION("""COMPUTED_VALUE"""),44526.5416666666)</f>
        <v>44526.541666666599</v>
      </c>
      <c r="F986" s="6">
        <f ca="1">IFERROR(__xludf.DUMMYFUNCTION("""COMPUTED_VALUE"""),4594.62)</f>
        <v>4594.62</v>
      </c>
      <c r="J986" s="6" t="str">
        <f t="shared" ca="1" si="273"/>
        <v>202111</v>
      </c>
      <c r="K986" s="6">
        <f t="shared" ca="1" si="274"/>
        <v>2021</v>
      </c>
      <c r="L986" s="6">
        <f t="shared" ca="1" si="275"/>
        <v>11</v>
      </c>
      <c r="M986" s="68">
        <f ca="1">IFERROR(__xludf.DUMMYFUNCTION("""COMPUTED_VALUE"""),44518.6666666666)</f>
        <v>44518.666666666599</v>
      </c>
      <c r="N986" s="6">
        <f ca="1">IFERROR(__xludf.DUMMYFUNCTION("""COMPUTED_VALUE"""),15993.71)</f>
        <v>15993.71</v>
      </c>
      <c r="R986" s="6" t="str">
        <f t="shared" ca="1" si="276"/>
        <v>20221</v>
      </c>
      <c r="S986" s="6">
        <f t="shared" ca="1" si="277"/>
        <v>2022</v>
      </c>
      <c r="T986" s="6">
        <f t="shared" ca="1" si="278"/>
        <v>1</v>
      </c>
      <c r="U986" s="68">
        <f ca="1">IFERROR(__xludf.DUMMYFUNCTION("""COMPUTED_VALUE"""),44565.6458333333)</f>
        <v>44565.645833333299</v>
      </c>
      <c r="V986" s="6">
        <f ca="1">IFERROR(__xludf.DUMMYFUNCTION("""COMPUTED_VALUE"""),2989.24)</f>
        <v>2989.24</v>
      </c>
      <c r="Z986" s="6" t="str">
        <f t="shared" ca="1" si="279"/>
        <v>202010</v>
      </c>
      <c r="AA986" s="6">
        <f t="shared" ca="1" si="280"/>
        <v>2020</v>
      </c>
      <c r="AB986" s="6">
        <f t="shared" ca="1" si="281"/>
        <v>10</v>
      </c>
      <c r="AC986" s="68">
        <f ca="1">IFERROR(__xludf.DUMMYFUNCTION("""COMPUTED_VALUE"""),44125.9986111111)</f>
        <v>44125.998611111099</v>
      </c>
      <c r="AD986" s="6">
        <f ca="1">IFERROR(__xludf.DUMMYFUNCTION("""COMPUTED_VALUE"""),1132.03)</f>
        <v>1132.03</v>
      </c>
      <c r="AH986" s="6" t="str">
        <f t="shared" ca="1" si="282"/>
        <v>20209</v>
      </c>
      <c r="AI986" s="6">
        <f t="shared" ca="1" si="283"/>
        <v>2020</v>
      </c>
      <c r="AJ986" s="6">
        <f t="shared" ca="1" si="284"/>
        <v>9</v>
      </c>
      <c r="AK986" s="68">
        <f ca="1">IFERROR(__xludf.DUMMYFUNCTION("""COMPUTED_VALUE"""),44078.9986111111)</f>
        <v>44078.998611111099</v>
      </c>
      <c r="AL986" s="6">
        <f ca="1">IFERROR(__xludf.DUMMYFUNCTION("""COMPUTED_VALUE"""),10469.5)</f>
        <v>10469.5</v>
      </c>
      <c r="AP986" s="6" t="str">
        <f t="shared" ca="1" si="285"/>
        <v>202112</v>
      </c>
      <c r="AQ986" s="6">
        <f t="shared" ca="1" si="286"/>
        <v>2021</v>
      </c>
      <c r="AR986" s="6">
        <f t="shared" ca="1" si="287"/>
        <v>12</v>
      </c>
      <c r="AS986" s="68">
        <f ca="1">IFERROR(__xludf.DUMMYFUNCTION("""COMPUTED_VALUE"""),44536.9986111111)</f>
        <v>44536.998611111099</v>
      </c>
      <c r="AT986" s="6">
        <f ca="1">IFERROR(__xludf.DUMMYFUNCTION("""COMPUTED_VALUE"""),1779.5)</f>
        <v>1779.5</v>
      </c>
    </row>
    <row r="987" spans="2:46" x14ac:dyDescent="0.35">
      <c r="B987" s="6" t="str">
        <f t="shared" ca="1" si="270"/>
        <v>202111</v>
      </c>
      <c r="C987" s="6">
        <f t="shared" ca="1" si="271"/>
        <v>2021</v>
      </c>
      <c r="D987" s="6">
        <f t="shared" ca="1" si="272"/>
        <v>11</v>
      </c>
      <c r="E987" s="68">
        <f ca="1">IFERROR(__xludf.DUMMYFUNCTION("""COMPUTED_VALUE"""),44529.6666666666)</f>
        <v>44529.666666666599</v>
      </c>
      <c r="F987" s="6">
        <f ca="1">IFERROR(__xludf.DUMMYFUNCTION("""COMPUTED_VALUE"""),4655.27)</f>
        <v>4655.2700000000004</v>
      </c>
      <c r="J987" s="6" t="str">
        <f t="shared" ca="1" si="273"/>
        <v>202111</v>
      </c>
      <c r="K987" s="6">
        <f t="shared" ca="1" si="274"/>
        <v>2021</v>
      </c>
      <c r="L987" s="6">
        <f t="shared" ca="1" si="275"/>
        <v>11</v>
      </c>
      <c r="M987" s="68">
        <f ca="1">IFERROR(__xludf.DUMMYFUNCTION("""COMPUTED_VALUE"""),44519.6666666666)</f>
        <v>44519.666666666599</v>
      </c>
      <c r="N987" s="6">
        <f ca="1">IFERROR(__xludf.DUMMYFUNCTION("""COMPUTED_VALUE"""),16057.44)</f>
        <v>16057.44</v>
      </c>
      <c r="R987" s="6" t="str">
        <f t="shared" ca="1" si="276"/>
        <v>20221</v>
      </c>
      <c r="S987" s="6">
        <f t="shared" ca="1" si="277"/>
        <v>2022</v>
      </c>
      <c r="T987" s="6">
        <f t="shared" ca="1" si="278"/>
        <v>1</v>
      </c>
      <c r="U987" s="68">
        <f ca="1">IFERROR(__xludf.DUMMYFUNCTION("""COMPUTED_VALUE"""),44566.6458333333)</f>
        <v>44566.645833333299</v>
      </c>
      <c r="V987" s="6">
        <f ca="1">IFERROR(__xludf.DUMMYFUNCTION("""COMPUTED_VALUE"""),2953.97)</f>
        <v>2953.97</v>
      </c>
      <c r="Z987" s="6" t="str">
        <f t="shared" ca="1" si="279"/>
        <v>202010</v>
      </c>
      <c r="AA987" s="6">
        <f t="shared" ca="1" si="280"/>
        <v>2020</v>
      </c>
      <c r="AB987" s="6">
        <f t="shared" ca="1" si="281"/>
        <v>10</v>
      </c>
      <c r="AC987" s="68">
        <f ca="1">IFERROR(__xludf.DUMMYFUNCTION("""COMPUTED_VALUE"""),44126.9986111111)</f>
        <v>44126.998611111099</v>
      </c>
      <c r="AD987" s="6">
        <f ca="1">IFERROR(__xludf.DUMMYFUNCTION("""COMPUTED_VALUE"""),1134.15)</f>
        <v>1134.1500000000001</v>
      </c>
      <c r="AH987" s="6" t="str">
        <f t="shared" ca="1" si="282"/>
        <v>20209</v>
      </c>
      <c r="AI987" s="6">
        <f t="shared" ca="1" si="283"/>
        <v>2020</v>
      </c>
      <c r="AJ987" s="6">
        <f t="shared" ca="1" si="284"/>
        <v>9</v>
      </c>
      <c r="AK987" s="68">
        <f ca="1">IFERROR(__xludf.DUMMYFUNCTION("""COMPUTED_VALUE"""),44079.9986111111)</f>
        <v>44079.998611111099</v>
      </c>
      <c r="AL987" s="6">
        <f ca="1">IFERROR(__xludf.DUMMYFUNCTION("""COMPUTED_VALUE"""),10166.73)</f>
        <v>10166.73</v>
      </c>
      <c r="AP987" s="6" t="str">
        <f t="shared" ca="1" si="285"/>
        <v>202112</v>
      </c>
      <c r="AQ987" s="6">
        <f t="shared" ca="1" si="286"/>
        <v>2021</v>
      </c>
      <c r="AR987" s="6">
        <f t="shared" ca="1" si="287"/>
        <v>12</v>
      </c>
      <c r="AS987" s="68">
        <f ca="1">IFERROR(__xludf.DUMMYFUNCTION("""COMPUTED_VALUE"""),44537.9986111111)</f>
        <v>44537.998611111099</v>
      </c>
      <c r="AT987" s="6">
        <f ca="1">IFERROR(__xludf.DUMMYFUNCTION("""COMPUTED_VALUE"""),1784.7)</f>
        <v>1784.7</v>
      </c>
    </row>
    <row r="988" spans="2:46" x14ac:dyDescent="0.35">
      <c r="B988" s="6" t="str">
        <f t="shared" ca="1" si="270"/>
        <v>202111</v>
      </c>
      <c r="C988" s="6">
        <f t="shared" ca="1" si="271"/>
        <v>2021</v>
      </c>
      <c r="D988" s="6">
        <f t="shared" ca="1" si="272"/>
        <v>11</v>
      </c>
      <c r="E988" s="68">
        <f ca="1">IFERROR(__xludf.DUMMYFUNCTION("""COMPUTED_VALUE"""),44530.6666666666)</f>
        <v>44530.666666666599</v>
      </c>
      <c r="F988" s="6">
        <f ca="1">IFERROR(__xludf.DUMMYFUNCTION("""COMPUTED_VALUE"""),4567)</f>
        <v>4567</v>
      </c>
      <c r="J988" s="6" t="str">
        <f t="shared" ca="1" si="273"/>
        <v>202111</v>
      </c>
      <c r="K988" s="6">
        <f t="shared" ca="1" si="274"/>
        <v>2021</v>
      </c>
      <c r="L988" s="6">
        <f t="shared" ca="1" si="275"/>
        <v>11</v>
      </c>
      <c r="M988" s="68">
        <f ca="1">IFERROR(__xludf.DUMMYFUNCTION("""COMPUTED_VALUE"""),44522.6666666666)</f>
        <v>44522.666666666599</v>
      </c>
      <c r="N988" s="6">
        <f ca="1">IFERROR(__xludf.DUMMYFUNCTION("""COMPUTED_VALUE"""),15854.76)</f>
        <v>15854.76</v>
      </c>
      <c r="R988" s="6" t="str">
        <f t="shared" ca="1" si="276"/>
        <v>20221</v>
      </c>
      <c r="S988" s="6">
        <f t="shared" ca="1" si="277"/>
        <v>2022</v>
      </c>
      <c r="T988" s="6">
        <f t="shared" ca="1" si="278"/>
        <v>1</v>
      </c>
      <c r="U988" s="68">
        <f ca="1">IFERROR(__xludf.DUMMYFUNCTION("""COMPUTED_VALUE"""),44567.6458333333)</f>
        <v>44567.645833333299</v>
      </c>
      <c r="V988" s="6">
        <f ca="1">IFERROR(__xludf.DUMMYFUNCTION("""COMPUTED_VALUE"""),2920.53)</f>
        <v>2920.53</v>
      </c>
      <c r="Z988" s="6" t="str">
        <f t="shared" ca="1" si="279"/>
        <v>202010</v>
      </c>
      <c r="AA988" s="6">
        <f t="shared" ca="1" si="280"/>
        <v>2020</v>
      </c>
      <c r="AB988" s="6">
        <f t="shared" ca="1" si="281"/>
        <v>10</v>
      </c>
      <c r="AC988" s="68">
        <f ca="1">IFERROR(__xludf.DUMMYFUNCTION("""COMPUTED_VALUE"""),44127.9986111111)</f>
        <v>44127.998611111099</v>
      </c>
      <c r="AD988" s="6">
        <f ca="1">IFERROR(__xludf.DUMMYFUNCTION("""COMPUTED_VALUE"""),1127.76)</f>
        <v>1127.76</v>
      </c>
      <c r="AH988" s="6" t="str">
        <f t="shared" ca="1" si="282"/>
        <v>20209</v>
      </c>
      <c r="AI988" s="6">
        <f t="shared" ca="1" si="283"/>
        <v>2020</v>
      </c>
      <c r="AJ988" s="6">
        <f t="shared" ca="1" si="284"/>
        <v>9</v>
      </c>
      <c r="AK988" s="68">
        <f ca="1">IFERROR(__xludf.DUMMYFUNCTION("""COMPUTED_VALUE"""),44080.9986111111)</f>
        <v>44080.998611111099</v>
      </c>
      <c r="AL988" s="6">
        <f ca="1">IFERROR(__xludf.DUMMYFUNCTION("""COMPUTED_VALUE"""),10255.99)</f>
        <v>10255.99</v>
      </c>
      <c r="AP988" s="6" t="str">
        <f t="shared" ca="1" si="285"/>
        <v>202112</v>
      </c>
      <c r="AQ988" s="6">
        <f t="shared" ca="1" si="286"/>
        <v>2021</v>
      </c>
      <c r="AR988" s="6">
        <f t="shared" ca="1" si="287"/>
        <v>12</v>
      </c>
      <c r="AS988" s="68">
        <f ca="1">IFERROR(__xludf.DUMMYFUNCTION("""COMPUTED_VALUE"""),44538.9986111111)</f>
        <v>44538.998611111099</v>
      </c>
      <c r="AT988" s="6">
        <f ca="1">IFERROR(__xludf.DUMMYFUNCTION("""COMPUTED_VALUE"""),1785.5)</f>
        <v>1785.5</v>
      </c>
    </row>
    <row r="989" spans="2:46" x14ac:dyDescent="0.35">
      <c r="B989" s="6" t="str">
        <f t="shared" ca="1" si="270"/>
        <v>202112</v>
      </c>
      <c r="C989" s="6">
        <f t="shared" ca="1" si="271"/>
        <v>2021</v>
      </c>
      <c r="D989" s="6">
        <f t="shared" ca="1" si="272"/>
        <v>12</v>
      </c>
      <c r="E989" s="68">
        <f ca="1">IFERROR(__xludf.DUMMYFUNCTION("""COMPUTED_VALUE"""),44531.6666666666)</f>
        <v>44531.666666666599</v>
      </c>
      <c r="F989" s="6">
        <f ca="1">IFERROR(__xludf.DUMMYFUNCTION("""COMPUTED_VALUE"""),4513.04)</f>
        <v>4513.04</v>
      </c>
      <c r="J989" s="6" t="str">
        <f t="shared" ca="1" si="273"/>
        <v>202111</v>
      </c>
      <c r="K989" s="6">
        <f t="shared" ca="1" si="274"/>
        <v>2021</v>
      </c>
      <c r="L989" s="6">
        <f t="shared" ca="1" si="275"/>
        <v>11</v>
      </c>
      <c r="M989" s="68">
        <f ca="1">IFERROR(__xludf.DUMMYFUNCTION("""COMPUTED_VALUE"""),44523.6666666666)</f>
        <v>44523.666666666599</v>
      </c>
      <c r="N989" s="6">
        <f ca="1">IFERROR(__xludf.DUMMYFUNCTION("""COMPUTED_VALUE"""),15775.14)</f>
        <v>15775.14</v>
      </c>
      <c r="R989" s="6" t="str">
        <f t="shared" ca="1" si="276"/>
        <v>20221</v>
      </c>
      <c r="S989" s="6">
        <f t="shared" ca="1" si="277"/>
        <v>2022</v>
      </c>
      <c r="T989" s="6">
        <f t="shared" ca="1" si="278"/>
        <v>1</v>
      </c>
      <c r="U989" s="68">
        <f ca="1">IFERROR(__xludf.DUMMYFUNCTION("""COMPUTED_VALUE"""),44568.6458333333)</f>
        <v>44568.645833333299</v>
      </c>
      <c r="V989" s="6">
        <f ca="1">IFERROR(__xludf.DUMMYFUNCTION("""COMPUTED_VALUE"""),2954.89)</f>
        <v>2954.89</v>
      </c>
      <c r="Z989" s="6" t="str">
        <f t="shared" ca="1" si="279"/>
        <v>202010</v>
      </c>
      <c r="AA989" s="6">
        <f t="shared" ca="1" si="280"/>
        <v>2020</v>
      </c>
      <c r="AB989" s="6">
        <f t="shared" ca="1" si="281"/>
        <v>10</v>
      </c>
      <c r="AC989" s="68">
        <f ca="1">IFERROR(__xludf.DUMMYFUNCTION("""COMPUTED_VALUE"""),44128.9986111111)</f>
        <v>44128.998611111099</v>
      </c>
      <c r="AD989" s="6">
        <f ca="1">IFERROR(__xludf.DUMMYFUNCTION("""COMPUTED_VALUE"""),1127.76)</f>
        <v>1127.76</v>
      </c>
      <c r="AH989" s="6" t="str">
        <f t="shared" ca="1" si="282"/>
        <v>20209</v>
      </c>
      <c r="AI989" s="6">
        <f t="shared" ca="1" si="283"/>
        <v>2020</v>
      </c>
      <c r="AJ989" s="6">
        <f t="shared" ca="1" si="284"/>
        <v>9</v>
      </c>
      <c r="AK989" s="68">
        <f ca="1">IFERROR(__xludf.DUMMYFUNCTION("""COMPUTED_VALUE"""),44081.9986111111)</f>
        <v>44081.998611111099</v>
      </c>
      <c r="AL989" s="6">
        <f ca="1">IFERROR(__xludf.DUMMYFUNCTION("""COMPUTED_VALUE"""),10374.99)</f>
        <v>10374.99</v>
      </c>
      <c r="AP989" s="6" t="str">
        <f t="shared" ca="1" si="285"/>
        <v>202112</v>
      </c>
      <c r="AQ989" s="6">
        <f t="shared" ca="1" si="286"/>
        <v>2021</v>
      </c>
      <c r="AR989" s="6">
        <f t="shared" ca="1" si="287"/>
        <v>12</v>
      </c>
      <c r="AS989" s="68">
        <f ca="1">IFERROR(__xludf.DUMMYFUNCTION("""COMPUTED_VALUE"""),44539.9986111111)</f>
        <v>44539.998611111099</v>
      </c>
      <c r="AT989" s="6">
        <f ca="1">IFERROR(__xludf.DUMMYFUNCTION("""COMPUTED_VALUE"""),1776.7)</f>
        <v>1776.7</v>
      </c>
    </row>
    <row r="990" spans="2:46" x14ac:dyDescent="0.35">
      <c r="B990" s="6" t="str">
        <f t="shared" ca="1" si="270"/>
        <v>202112</v>
      </c>
      <c r="C990" s="6">
        <f t="shared" ca="1" si="271"/>
        <v>2021</v>
      </c>
      <c r="D990" s="6">
        <f t="shared" ca="1" si="272"/>
        <v>12</v>
      </c>
      <c r="E990" s="68">
        <f ca="1">IFERROR(__xludf.DUMMYFUNCTION("""COMPUTED_VALUE"""),44532.6666666666)</f>
        <v>44532.666666666599</v>
      </c>
      <c r="F990" s="6">
        <f ca="1">IFERROR(__xludf.DUMMYFUNCTION("""COMPUTED_VALUE"""),4577.1)</f>
        <v>4577.1000000000004</v>
      </c>
      <c r="J990" s="6" t="str">
        <f t="shared" ca="1" si="273"/>
        <v>202111</v>
      </c>
      <c r="K990" s="6">
        <f t="shared" ca="1" si="274"/>
        <v>2021</v>
      </c>
      <c r="L990" s="6">
        <f t="shared" ca="1" si="275"/>
        <v>11</v>
      </c>
      <c r="M990" s="68">
        <f ca="1">IFERROR(__xludf.DUMMYFUNCTION("""COMPUTED_VALUE"""),44524.6666666666)</f>
        <v>44524.666666666599</v>
      </c>
      <c r="N990" s="6">
        <f ca="1">IFERROR(__xludf.DUMMYFUNCTION("""COMPUTED_VALUE"""),15845.23)</f>
        <v>15845.23</v>
      </c>
      <c r="R990" s="6" t="str">
        <f t="shared" ca="1" si="276"/>
        <v>20221</v>
      </c>
      <c r="S990" s="6">
        <f t="shared" ca="1" si="277"/>
        <v>2022</v>
      </c>
      <c r="T990" s="6">
        <f t="shared" ca="1" si="278"/>
        <v>1</v>
      </c>
      <c r="U990" s="68">
        <f ca="1">IFERROR(__xludf.DUMMYFUNCTION("""COMPUTED_VALUE"""),44571.6458333333)</f>
        <v>44571.645833333299</v>
      </c>
      <c r="V990" s="6">
        <f ca="1">IFERROR(__xludf.DUMMYFUNCTION("""COMPUTED_VALUE"""),2926.72)</f>
        <v>2926.72</v>
      </c>
      <c r="Z990" s="6" t="str">
        <f t="shared" ca="1" si="279"/>
        <v>202010</v>
      </c>
      <c r="AA990" s="6">
        <f t="shared" ca="1" si="280"/>
        <v>2020</v>
      </c>
      <c r="AB990" s="6">
        <f t="shared" ca="1" si="281"/>
        <v>10</v>
      </c>
      <c r="AC990" s="68">
        <f ca="1">IFERROR(__xludf.DUMMYFUNCTION("""COMPUTED_VALUE"""),44130.9986111111)</f>
        <v>44130.998611111099</v>
      </c>
      <c r="AD990" s="6">
        <f ca="1">IFERROR(__xludf.DUMMYFUNCTION("""COMPUTED_VALUE"""),1131.64)</f>
        <v>1131.6400000000001</v>
      </c>
      <c r="AH990" s="6" t="str">
        <f t="shared" ca="1" si="282"/>
        <v>20209</v>
      </c>
      <c r="AI990" s="6">
        <f t="shared" ca="1" si="283"/>
        <v>2020</v>
      </c>
      <c r="AJ990" s="6">
        <f t="shared" ca="1" si="284"/>
        <v>9</v>
      </c>
      <c r="AK990" s="68">
        <f ca="1">IFERROR(__xludf.DUMMYFUNCTION("""COMPUTED_VALUE"""),44082.9986111111)</f>
        <v>44082.998611111099</v>
      </c>
      <c r="AL990" s="6">
        <f ca="1">IFERROR(__xludf.DUMMYFUNCTION("""COMPUTED_VALUE"""),10125.08)</f>
        <v>10125.08</v>
      </c>
      <c r="AP990" s="6" t="str">
        <f t="shared" ca="1" si="285"/>
        <v>202112</v>
      </c>
      <c r="AQ990" s="6">
        <f t="shared" ca="1" si="286"/>
        <v>2021</v>
      </c>
      <c r="AR990" s="6">
        <f t="shared" ca="1" si="287"/>
        <v>12</v>
      </c>
      <c r="AS990" s="68">
        <f ca="1">IFERROR(__xludf.DUMMYFUNCTION("""COMPUTED_VALUE"""),44540.9986111111)</f>
        <v>44540.998611111099</v>
      </c>
      <c r="AT990" s="6">
        <f ca="1">IFERROR(__xludf.DUMMYFUNCTION("""COMPUTED_VALUE"""),1784.8)</f>
        <v>1784.8</v>
      </c>
    </row>
    <row r="991" spans="2:46" x14ac:dyDescent="0.35">
      <c r="B991" s="6" t="str">
        <f t="shared" ca="1" si="270"/>
        <v>202112</v>
      </c>
      <c r="C991" s="6">
        <f t="shared" ca="1" si="271"/>
        <v>2021</v>
      </c>
      <c r="D991" s="6">
        <f t="shared" ca="1" si="272"/>
        <v>12</v>
      </c>
      <c r="E991" s="68">
        <f ca="1">IFERROR(__xludf.DUMMYFUNCTION("""COMPUTED_VALUE"""),44533.6666666666)</f>
        <v>44533.666666666599</v>
      </c>
      <c r="F991" s="6">
        <f ca="1">IFERROR(__xludf.DUMMYFUNCTION("""COMPUTED_VALUE"""),4538.43)</f>
        <v>4538.43</v>
      </c>
      <c r="J991" s="6" t="str">
        <f t="shared" ca="1" si="273"/>
        <v>202111</v>
      </c>
      <c r="K991" s="6">
        <f t="shared" ca="1" si="274"/>
        <v>2021</v>
      </c>
      <c r="L991" s="6">
        <f t="shared" ca="1" si="275"/>
        <v>11</v>
      </c>
      <c r="M991" s="68">
        <f ca="1">IFERROR(__xludf.DUMMYFUNCTION("""COMPUTED_VALUE"""),44526.5416666666)</f>
        <v>44526.541666666599</v>
      </c>
      <c r="N991" s="6">
        <f ca="1">IFERROR(__xludf.DUMMYFUNCTION("""COMPUTED_VALUE"""),15491.66)</f>
        <v>15491.66</v>
      </c>
      <c r="R991" s="6" t="str">
        <f t="shared" ca="1" si="276"/>
        <v>20221</v>
      </c>
      <c r="S991" s="6">
        <f t="shared" ca="1" si="277"/>
        <v>2022</v>
      </c>
      <c r="T991" s="6">
        <f t="shared" ca="1" si="278"/>
        <v>1</v>
      </c>
      <c r="U991" s="68">
        <f ca="1">IFERROR(__xludf.DUMMYFUNCTION("""COMPUTED_VALUE"""),44572.6458333333)</f>
        <v>44572.645833333299</v>
      </c>
      <c r="V991" s="6">
        <f ca="1">IFERROR(__xludf.DUMMYFUNCTION("""COMPUTED_VALUE"""),2927.38)</f>
        <v>2927.38</v>
      </c>
      <c r="Z991" s="6" t="str">
        <f t="shared" ca="1" si="279"/>
        <v>202010</v>
      </c>
      <c r="AA991" s="6">
        <f t="shared" ca="1" si="280"/>
        <v>2020</v>
      </c>
      <c r="AB991" s="6">
        <f t="shared" ca="1" si="281"/>
        <v>10</v>
      </c>
      <c r="AC991" s="68">
        <f ca="1">IFERROR(__xludf.DUMMYFUNCTION("""COMPUTED_VALUE"""),44131.9986111111)</f>
        <v>44131.998611111099</v>
      </c>
      <c r="AD991" s="6">
        <f ca="1">IFERROR(__xludf.DUMMYFUNCTION("""COMPUTED_VALUE"""),1128.23)</f>
        <v>1128.23</v>
      </c>
      <c r="AH991" s="6" t="str">
        <f t="shared" ca="1" si="282"/>
        <v>20209</v>
      </c>
      <c r="AI991" s="6">
        <f t="shared" ca="1" si="283"/>
        <v>2020</v>
      </c>
      <c r="AJ991" s="6">
        <f t="shared" ca="1" si="284"/>
        <v>9</v>
      </c>
      <c r="AK991" s="68">
        <f ca="1">IFERROR(__xludf.DUMMYFUNCTION("""COMPUTED_VALUE"""),44083.9986111111)</f>
        <v>44083.998611111099</v>
      </c>
      <c r="AL991" s="6">
        <f ca="1">IFERROR(__xludf.DUMMYFUNCTION("""COMPUTED_VALUE"""),10225.3)</f>
        <v>10225.299999999999</v>
      </c>
      <c r="AP991" s="6" t="str">
        <f t="shared" ca="1" si="285"/>
        <v>202112</v>
      </c>
      <c r="AQ991" s="6">
        <f t="shared" ca="1" si="286"/>
        <v>2021</v>
      </c>
      <c r="AR991" s="6">
        <f t="shared" ca="1" si="287"/>
        <v>12</v>
      </c>
      <c r="AS991" s="68">
        <f ca="1">IFERROR(__xludf.DUMMYFUNCTION("""COMPUTED_VALUE"""),44543.9986111111)</f>
        <v>44543.998611111099</v>
      </c>
      <c r="AT991" s="6">
        <f ca="1">IFERROR(__xludf.DUMMYFUNCTION("""COMPUTED_VALUE"""),1788.3)</f>
        <v>1788.3</v>
      </c>
    </row>
    <row r="992" spans="2:46" x14ac:dyDescent="0.35">
      <c r="B992" s="6" t="str">
        <f t="shared" ca="1" si="270"/>
        <v>202112</v>
      </c>
      <c r="C992" s="6">
        <f t="shared" ca="1" si="271"/>
        <v>2021</v>
      </c>
      <c r="D992" s="6">
        <f t="shared" ca="1" si="272"/>
        <v>12</v>
      </c>
      <c r="E992" s="68">
        <f ca="1">IFERROR(__xludf.DUMMYFUNCTION("""COMPUTED_VALUE"""),44536.6666666666)</f>
        <v>44536.666666666599</v>
      </c>
      <c r="F992" s="6">
        <f ca="1">IFERROR(__xludf.DUMMYFUNCTION("""COMPUTED_VALUE"""),4591.67)</f>
        <v>4591.67</v>
      </c>
      <c r="J992" s="6" t="str">
        <f t="shared" ca="1" si="273"/>
        <v>202111</v>
      </c>
      <c r="K992" s="6">
        <f t="shared" ca="1" si="274"/>
        <v>2021</v>
      </c>
      <c r="L992" s="6">
        <f t="shared" ca="1" si="275"/>
        <v>11</v>
      </c>
      <c r="M992" s="68">
        <f ca="1">IFERROR(__xludf.DUMMYFUNCTION("""COMPUTED_VALUE"""),44529.6666666666)</f>
        <v>44529.666666666599</v>
      </c>
      <c r="N992" s="6">
        <f ca="1">IFERROR(__xludf.DUMMYFUNCTION("""COMPUTED_VALUE"""),15782.83)</f>
        <v>15782.83</v>
      </c>
      <c r="R992" s="6" t="str">
        <f t="shared" ca="1" si="276"/>
        <v>20221</v>
      </c>
      <c r="S992" s="6">
        <f t="shared" ca="1" si="277"/>
        <v>2022</v>
      </c>
      <c r="T992" s="6">
        <f t="shared" ca="1" si="278"/>
        <v>1</v>
      </c>
      <c r="U992" s="68">
        <f ca="1">IFERROR(__xludf.DUMMYFUNCTION("""COMPUTED_VALUE"""),44573.6458333333)</f>
        <v>44573.645833333299</v>
      </c>
      <c r="V992" s="6">
        <f ca="1">IFERROR(__xludf.DUMMYFUNCTION("""COMPUTED_VALUE"""),2972.48)</f>
        <v>2972.48</v>
      </c>
      <c r="Z992" s="6" t="str">
        <f t="shared" ca="1" si="279"/>
        <v>202010</v>
      </c>
      <c r="AA992" s="6">
        <f t="shared" ca="1" si="280"/>
        <v>2020</v>
      </c>
      <c r="AB992" s="6">
        <f t="shared" ca="1" si="281"/>
        <v>10</v>
      </c>
      <c r="AC992" s="68">
        <f ca="1">IFERROR(__xludf.DUMMYFUNCTION("""COMPUTED_VALUE"""),44132.9986111111)</f>
        <v>44132.998611111099</v>
      </c>
      <c r="AD992" s="6">
        <f ca="1">IFERROR(__xludf.DUMMYFUNCTION("""COMPUTED_VALUE"""),1134.18)</f>
        <v>1134.18</v>
      </c>
      <c r="AH992" s="6" t="str">
        <f t="shared" ca="1" si="282"/>
        <v>20209</v>
      </c>
      <c r="AI992" s="6">
        <f t="shared" ca="1" si="283"/>
        <v>2020</v>
      </c>
      <c r="AJ992" s="6">
        <f t="shared" ca="1" si="284"/>
        <v>9</v>
      </c>
      <c r="AK992" s="68">
        <f ca="1">IFERROR(__xludf.DUMMYFUNCTION("""COMPUTED_VALUE"""),44084.9986111111)</f>
        <v>44084.998611111099</v>
      </c>
      <c r="AL992" s="6">
        <f ca="1">IFERROR(__xludf.DUMMYFUNCTION("""COMPUTED_VALUE"""),10346.71)</f>
        <v>10346.709999999999</v>
      </c>
      <c r="AP992" s="6" t="str">
        <f t="shared" ca="1" si="285"/>
        <v>202112</v>
      </c>
      <c r="AQ992" s="6">
        <f t="shared" ca="1" si="286"/>
        <v>2021</v>
      </c>
      <c r="AR992" s="6">
        <f t="shared" ca="1" si="287"/>
        <v>12</v>
      </c>
      <c r="AS992" s="68">
        <f ca="1">IFERROR(__xludf.DUMMYFUNCTION("""COMPUTED_VALUE"""),44544.9986111111)</f>
        <v>44544.998611111099</v>
      </c>
      <c r="AT992" s="6">
        <f ca="1">IFERROR(__xludf.DUMMYFUNCTION("""COMPUTED_VALUE"""),1772.3)</f>
        <v>1772.3</v>
      </c>
    </row>
    <row r="993" spans="2:46" x14ac:dyDescent="0.35">
      <c r="B993" s="6" t="str">
        <f t="shared" ca="1" si="270"/>
        <v>202112</v>
      </c>
      <c r="C993" s="6">
        <f t="shared" ca="1" si="271"/>
        <v>2021</v>
      </c>
      <c r="D993" s="6">
        <f t="shared" ca="1" si="272"/>
        <v>12</v>
      </c>
      <c r="E993" s="68">
        <f ca="1">IFERROR(__xludf.DUMMYFUNCTION("""COMPUTED_VALUE"""),44537.6666666666)</f>
        <v>44537.666666666599</v>
      </c>
      <c r="F993" s="6">
        <f ca="1">IFERROR(__xludf.DUMMYFUNCTION("""COMPUTED_VALUE"""),4686.75)</f>
        <v>4686.75</v>
      </c>
      <c r="J993" s="6" t="str">
        <f t="shared" ca="1" si="273"/>
        <v>202111</v>
      </c>
      <c r="K993" s="6">
        <f t="shared" ca="1" si="274"/>
        <v>2021</v>
      </c>
      <c r="L993" s="6">
        <f t="shared" ca="1" si="275"/>
        <v>11</v>
      </c>
      <c r="M993" s="68">
        <f ca="1">IFERROR(__xludf.DUMMYFUNCTION("""COMPUTED_VALUE"""),44530.6666666666)</f>
        <v>44530.666666666599</v>
      </c>
      <c r="N993" s="6">
        <f ca="1">IFERROR(__xludf.DUMMYFUNCTION("""COMPUTED_VALUE"""),15537.69)</f>
        <v>15537.69</v>
      </c>
      <c r="R993" s="6" t="str">
        <f t="shared" ca="1" si="276"/>
        <v>20221</v>
      </c>
      <c r="S993" s="6">
        <f t="shared" ca="1" si="277"/>
        <v>2022</v>
      </c>
      <c r="T993" s="6">
        <f t="shared" ca="1" si="278"/>
        <v>1</v>
      </c>
      <c r="U993" s="68">
        <f ca="1">IFERROR(__xludf.DUMMYFUNCTION("""COMPUTED_VALUE"""),44574.6458333333)</f>
        <v>44574.645833333299</v>
      </c>
      <c r="V993" s="6">
        <f ca="1">IFERROR(__xludf.DUMMYFUNCTION("""COMPUTED_VALUE"""),2962.09)</f>
        <v>2962.09</v>
      </c>
      <c r="Z993" s="6" t="str">
        <f t="shared" ca="1" si="279"/>
        <v>202010</v>
      </c>
      <c r="AA993" s="6">
        <f t="shared" ca="1" si="280"/>
        <v>2020</v>
      </c>
      <c r="AB993" s="6">
        <f t="shared" ca="1" si="281"/>
        <v>10</v>
      </c>
      <c r="AC993" s="68">
        <f ca="1">IFERROR(__xludf.DUMMYFUNCTION("""COMPUTED_VALUE"""),44133.9986111111)</f>
        <v>44133.998611111099</v>
      </c>
      <c r="AD993" s="6">
        <f ca="1">IFERROR(__xludf.DUMMYFUNCTION("""COMPUTED_VALUE"""),1129.52)</f>
        <v>1129.52</v>
      </c>
      <c r="AH993" s="6" t="str">
        <f t="shared" ca="1" si="282"/>
        <v>20209</v>
      </c>
      <c r="AI993" s="6">
        <f t="shared" ca="1" si="283"/>
        <v>2020</v>
      </c>
      <c r="AJ993" s="6">
        <f t="shared" ca="1" si="284"/>
        <v>9</v>
      </c>
      <c r="AK993" s="68">
        <f ca="1">IFERROR(__xludf.DUMMYFUNCTION("""COMPUTED_VALUE"""),44085.9986111111)</f>
        <v>44085.998611111099</v>
      </c>
      <c r="AL993" s="6">
        <f ca="1">IFERROR(__xludf.DUMMYFUNCTION("""COMPUTED_VALUE"""),10396.03)</f>
        <v>10396.030000000001</v>
      </c>
      <c r="AP993" s="6" t="str">
        <f t="shared" ca="1" si="285"/>
        <v>202112</v>
      </c>
      <c r="AQ993" s="6">
        <f t="shared" ca="1" si="286"/>
        <v>2021</v>
      </c>
      <c r="AR993" s="6">
        <f t="shared" ca="1" si="287"/>
        <v>12</v>
      </c>
      <c r="AS993" s="68">
        <f ca="1">IFERROR(__xludf.DUMMYFUNCTION("""COMPUTED_VALUE"""),44545.9986111111)</f>
        <v>44545.998611111099</v>
      </c>
      <c r="AT993" s="6">
        <f ca="1">IFERROR(__xludf.DUMMYFUNCTION("""COMPUTED_VALUE"""),1764.5)</f>
        <v>1764.5</v>
      </c>
    </row>
    <row r="994" spans="2:46" x14ac:dyDescent="0.35">
      <c r="B994" s="6" t="str">
        <f t="shared" ca="1" si="270"/>
        <v>202112</v>
      </c>
      <c r="C994" s="6">
        <f t="shared" ca="1" si="271"/>
        <v>2021</v>
      </c>
      <c r="D994" s="6">
        <f t="shared" ca="1" si="272"/>
        <v>12</v>
      </c>
      <c r="E994" s="68">
        <f ca="1">IFERROR(__xludf.DUMMYFUNCTION("""COMPUTED_VALUE"""),44538.6666666666)</f>
        <v>44538.666666666599</v>
      </c>
      <c r="F994" s="6">
        <f ca="1">IFERROR(__xludf.DUMMYFUNCTION("""COMPUTED_VALUE"""),4701.21)</f>
        <v>4701.21</v>
      </c>
      <c r="J994" s="6" t="str">
        <f t="shared" ca="1" si="273"/>
        <v>202112</v>
      </c>
      <c r="K994" s="6">
        <f t="shared" ca="1" si="274"/>
        <v>2021</v>
      </c>
      <c r="L994" s="6">
        <f t="shared" ca="1" si="275"/>
        <v>12</v>
      </c>
      <c r="M994" s="68">
        <f ca="1">IFERROR(__xludf.DUMMYFUNCTION("""COMPUTED_VALUE"""),44531.6666666666)</f>
        <v>44531.666666666599</v>
      </c>
      <c r="N994" s="6">
        <f ca="1">IFERROR(__xludf.DUMMYFUNCTION("""COMPUTED_VALUE"""),15254.05)</f>
        <v>15254.05</v>
      </c>
      <c r="R994" s="6" t="str">
        <f t="shared" ca="1" si="276"/>
        <v>20221</v>
      </c>
      <c r="S994" s="6">
        <f t="shared" ca="1" si="277"/>
        <v>2022</v>
      </c>
      <c r="T994" s="6">
        <f t="shared" ca="1" si="278"/>
        <v>1</v>
      </c>
      <c r="U994" s="68">
        <f ca="1">IFERROR(__xludf.DUMMYFUNCTION("""COMPUTED_VALUE"""),44575.6458333333)</f>
        <v>44575.645833333299</v>
      </c>
      <c r="V994" s="6">
        <f ca="1">IFERROR(__xludf.DUMMYFUNCTION("""COMPUTED_VALUE"""),2921.92)</f>
        <v>2921.92</v>
      </c>
      <c r="Z994" s="6" t="str">
        <f t="shared" ca="1" si="279"/>
        <v>202010</v>
      </c>
      <c r="AA994" s="6">
        <f t="shared" ca="1" si="280"/>
        <v>2020</v>
      </c>
      <c r="AB994" s="6">
        <f t="shared" ca="1" si="281"/>
        <v>10</v>
      </c>
      <c r="AC994" s="68">
        <f ca="1">IFERROR(__xludf.DUMMYFUNCTION("""COMPUTED_VALUE"""),44134.9986111111)</f>
        <v>44134.998611111099</v>
      </c>
      <c r="AD994" s="6">
        <f ca="1">IFERROR(__xludf.DUMMYFUNCTION("""COMPUTED_VALUE"""),1135.61)</f>
        <v>1135.6099999999999</v>
      </c>
      <c r="AH994" s="6" t="str">
        <f t="shared" ca="1" si="282"/>
        <v>20209</v>
      </c>
      <c r="AI994" s="6">
        <f t="shared" ca="1" si="283"/>
        <v>2020</v>
      </c>
      <c r="AJ994" s="6">
        <f t="shared" ca="1" si="284"/>
        <v>9</v>
      </c>
      <c r="AK994" s="68">
        <f ca="1">IFERROR(__xludf.DUMMYFUNCTION("""COMPUTED_VALUE"""),44086.9986111111)</f>
        <v>44086.998611111099</v>
      </c>
      <c r="AL994" s="6">
        <f ca="1">IFERROR(__xludf.DUMMYFUNCTION("""COMPUTED_VALUE"""),10446)</f>
        <v>10446</v>
      </c>
      <c r="AP994" s="6" t="str">
        <f t="shared" ca="1" si="285"/>
        <v>202112</v>
      </c>
      <c r="AQ994" s="6">
        <f t="shared" ca="1" si="286"/>
        <v>2021</v>
      </c>
      <c r="AR994" s="6">
        <f t="shared" ca="1" si="287"/>
        <v>12</v>
      </c>
      <c r="AS994" s="68">
        <f ca="1">IFERROR(__xludf.DUMMYFUNCTION("""COMPUTED_VALUE"""),44546.9986111111)</f>
        <v>44546.998611111099</v>
      </c>
      <c r="AT994" s="6">
        <f ca="1">IFERROR(__xludf.DUMMYFUNCTION("""COMPUTED_VALUE"""),1798.2)</f>
        <v>1798.2</v>
      </c>
    </row>
    <row r="995" spans="2:46" x14ac:dyDescent="0.35">
      <c r="B995" s="6" t="str">
        <f t="shared" ca="1" si="270"/>
        <v>202112</v>
      </c>
      <c r="C995" s="6">
        <f t="shared" ca="1" si="271"/>
        <v>2021</v>
      </c>
      <c r="D995" s="6">
        <f t="shared" ca="1" si="272"/>
        <v>12</v>
      </c>
      <c r="E995" s="68">
        <f ca="1">IFERROR(__xludf.DUMMYFUNCTION("""COMPUTED_VALUE"""),44539.6666666666)</f>
        <v>44539.666666666599</v>
      </c>
      <c r="F995" s="6">
        <f ca="1">IFERROR(__xludf.DUMMYFUNCTION("""COMPUTED_VALUE"""),4667.45)</f>
        <v>4667.45</v>
      </c>
      <c r="J995" s="6" t="str">
        <f t="shared" ca="1" si="273"/>
        <v>202112</v>
      </c>
      <c r="K995" s="6">
        <f t="shared" ca="1" si="274"/>
        <v>2021</v>
      </c>
      <c r="L995" s="6">
        <f t="shared" ca="1" si="275"/>
        <v>12</v>
      </c>
      <c r="M995" s="68">
        <f ca="1">IFERROR(__xludf.DUMMYFUNCTION("""COMPUTED_VALUE"""),44532.6666666666)</f>
        <v>44532.666666666599</v>
      </c>
      <c r="N995" s="6">
        <f ca="1">IFERROR(__xludf.DUMMYFUNCTION("""COMPUTED_VALUE"""),15381.32)</f>
        <v>15381.32</v>
      </c>
      <c r="R995" s="6" t="str">
        <f t="shared" ca="1" si="276"/>
        <v>20221</v>
      </c>
      <c r="S995" s="6">
        <f t="shared" ca="1" si="277"/>
        <v>2022</v>
      </c>
      <c r="T995" s="6">
        <f t="shared" ca="1" si="278"/>
        <v>1</v>
      </c>
      <c r="U995" s="68">
        <f ca="1">IFERROR(__xludf.DUMMYFUNCTION("""COMPUTED_VALUE"""),44578.6458333333)</f>
        <v>44578.645833333299</v>
      </c>
      <c r="V995" s="6">
        <f ca="1">IFERROR(__xludf.DUMMYFUNCTION("""COMPUTED_VALUE"""),2890.1)</f>
        <v>2890.1</v>
      </c>
      <c r="Z995" s="6" t="str">
        <f t="shared" ca="1" si="279"/>
        <v>202011</v>
      </c>
      <c r="AA995" s="6">
        <f t="shared" ca="1" si="280"/>
        <v>2020</v>
      </c>
      <c r="AB995" s="6">
        <f t="shared" ca="1" si="281"/>
        <v>11</v>
      </c>
      <c r="AC995" s="68">
        <f ca="1">IFERROR(__xludf.DUMMYFUNCTION("""COMPUTED_VALUE"""),44137.9986111111)</f>
        <v>44137.998611111099</v>
      </c>
      <c r="AD995" s="6">
        <f ca="1">IFERROR(__xludf.DUMMYFUNCTION("""COMPUTED_VALUE"""),1132.14)</f>
        <v>1132.1400000000001</v>
      </c>
      <c r="AH995" s="6" t="str">
        <f t="shared" ca="1" si="282"/>
        <v>20209</v>
      </c>
      <c r="AI995" s="6">
        <f t="shared" ca="1" si="283"/>
        <v>2020</v>
      </c>
      <c r="AJ995" s="6">
        <f t="shared" ca="1" si="284"/>
        <v>9</v>
      </c>
      <c r="AK995" s="68">
        <f ca="1">IFERROR(__xludf.DUMMYFUNCTION("""COMPUTED_VALUE"""),44087.9986111111)</f>
        <v>44087.998611111099</v>
      </c>
      <c r="AL995" s="6">
        <f ca="1">IFERROR(__xludf.DUMMYFUNCTION("""COMPUTED_VALUE"""),10332.06)</f>
        <v>10332.06</v>
      </c>
      <c r="AP995" s="6" t="str">
        <f t="shared" ca="1" si="285"/>
        <v>202112</v>
      </c>
      <c r="AQ995" s="6">
        <f t="shared" ca="1" si="286"/>
        <v>2021</v>
      </c>
      <c r="AR995" s="6">
        <f t="shared" ca="1" si="287"/>
        <v>12</v>
      </c>
      <c r="AS995" s="68">
        <f ca="1">IFERROR(__xludf.DUMMYFUNCTION("""COMPUTED_VALUE"""),44547.9986111111)</f>
        <v>44547.998611111099</v>
      </c>
      <c r="AT995" s="6">
        <f ca="1">IFERROR(__xludf.DUMMYFUNCTION("""COMPUTED_VALUE"""),1804.9)</f>
        <v>1804.9</v>
      </c>
    </row>
    <row r="996" spans="2:46" x14ac:dyDescent="0.35">
      <c r="B996" s="6" t="str">
        <f t="shared" ca="1" si="270"/>
        <v>202112</v>
      </c>
      <c r="C996" s="6">
        <f t="shared" ca="1" si="271"/>
        <v>2021</v>
      </c>
      <c r="D996" s="6">
        <f t="shared" ca="1" si="272"/>
        <v>12</v>
      </c>
      <c r="E996" s="68">
        <f ca="1">IFERROR(__xludf.DUMMYFUNCTION("""COMPUTED_VALUE"""),44540.6666666666)</f>
        <v>44540.666666666599</v>
      </c>
      <c r="F996" s="6">
        <f ca="1">IFERROR(__xludf.DUMMYFUNCTION("""COMPUTED_VALUE"""),4712.02)</f>
        <v>4712.0200000000004</v>
      </c>
      <c r="J996" s="6" t="str">
        <f t="shared" ca="1" si="273"/>
        <v>202112</v>
      </c>
      <c r="K996" s="6">
        <f t="shared" ca="1" si="274"/>
        <v>2021</v>
      </c>
      <c r="L996" s="6">
        <f t="shared" ca="1" si="275"/>
        <v>12</v>
      </c>
      <c r="M996" s="68">
        <f ca="1">IFERROR(__xludf.DUMMYFUNCTION("""COMPUTED_VALUE"""),44533.6666666666)</f>
        <v>44533.666666666599</v>
      </c>
      <c r="N996" s="6">
        <f ca="1">IFERROR(__xludf.DUMMYFUNCTION("""COMPUTED_VALUE"""),15085.47)</f>
        <v>15085.47</v>
      </c>
      <c r="R996" s="6" t="str">
        <f t="shared" ca="1" si="276"/>
        <v>20221</v>
      </c>
      <c r="S996" s="6">
        <f t="shared" ca="1" si="277"/>
        <v>2022</v>
      </c>
      <c r="T996" s="6">
        <f t="shared" ca="1" si="278"/>
        <v>1</v>
      </c>
      <c r="U996" s="68">
        <f ca="1">IFERROR(__xludf.DUMMYFUNCTION("""COMPUTED_VALUE"""),44579.6458333333)</f>
        <v>44579.645833333299</v>
      </c>
      <c r="V996" s="6">
        <f ca="1">IFERROR(__xludf.DUMMYFUNCTION("""COMPUTED_VALUE"""),2864.24)</f>
        <v>2864.24</v>
      </c>
      <c r="Z996" s="6" t="str">
        <f t="shared" ca="1" si="279"/>
        <v>202011</v>
      </c>
      <c r="AA996" s="6">
        <f t="shared" ca="1" si="280"/>
        <v>2020</v>
      </c>
      <c r="AB996" s="6">
        <f t="shared" ca="1" si="281"/>
        <v>11</v>
      </c>
      <c r="AC996" s="68">
        <f ca="1">IFERROR(__xludf.DUMMYFUNCTION("""COMPUTED_VALUE"""),44138.9986111111)</f>
        <v>44138.998611111099</v>
      </c>
      <c r="AD996" s="6">
        <f ca="1">IFERROR(__xludf.DUMMYFUNCTION("""COMPUTED_VALUE"""),1130.33)</f>
        <v>1130.33</v>
      </c>
      <c r="AH996" s="6" t="str">
        <f t="shared" ca="1" si="282"/>
        <v>20209</v>
      </c>
      <c r="AI996" s="6">
        <f t="shared" ca="1" si="283"/>
        <v>2020</v>
      </c>
      <c r="AJ996" s="6">
        <f t="shared" ca="1" si="284"/>
        <v>9</v>
      </c>
      <c r="AK996" s="68">
        <f ca="1">IFERROR(__xludf.DUMMYFUNCTION("""COMPUTED_VALUE"""),44088.9986111111)</f>
        <v>44088.998611111099</v>
      </c>
      <c r="AL996" s="6">
        <f ca="1">IFERROR(__xludf.DUMMYFUNCTION("""COMPUTED_VALUE"""),10678.08)</f>
        <v>10678.08</v>
      </c>
      <c r="AP996" s="6" t="str">
        <f t="shared" ca="1" si="285"/>
        <v>202112</v>
      </c>
      <c r="AQ996" s="6">
        <f t="shared" ca="1" si="286"/>
        <v>2021</v>
      </c>
      <c r="AR996" s="6">
        <f t="shared" ca="1" si="287"/>
        <v>12</v>
      </c>
      <c r="AS996" s="68">
        <f ca="1">IFERROR(__xludf.DUMMYFUNCTION("""COMPUTED_VALUE"""),44550.9986111111)</f>
        <v>44550.998611111099</v>
      </c>
      <c r="AT996" s="6">
        <f ca="1">IFERROR(__xludf.DUMMYFUNCTION("""COMPUTED_VALUE"""),1794.6)</f>
        <v>1794.6</v>
      </c>
    </row>
    <row r="997" spans="2:46" x14ac:dyDescent="0.35">
      <c r="B997" s="6" t="str">
        <f t="shared" ca="1" si="270"/>
        <v>202112</v>
      </c>
      <c r="C997" s="6">
        <f t="shared" ca="1" si="271"/>
        <v>2021</v>
      </c>
      <c r="D997" s="6">
        <f t="shared" ca="1" si="272"/>
        <v>12</v>
      </c>
      <c r="E997" s="68">
        <f ca="1">IFERROR(__xludf.DUMMYFUNCTION("""COMPUTED_VALUE"""),44543.6666666666)</f>
        <v>44543.666666666599</v>
      </c>
      <c r="F997" s="6">
        <f ca="1">IFERROR(__xludf.DUMMYFUNCTION("""COMPUTED_VALUE"""),4668.97)</f>
        <v>4668.97</v>
      </c>
      <c r="J997" s="6" t="str">
        <f t="shared" ca="1" si="273"/>
        <v>202112</v>
      </c>
      <c r="K997" s="6">
        <f t="shared" ca="1" si="274"/>
        <v>2021</v>
      </c>
      <c r="L997" s="6">
        <f t="shared" ca="1" si="275"/>
        <v>12</v>
      </c>
      <c r="M997" s="68">
        <f ca="1">IFERROR(__xludf.DUMMYFUNCTION("""COMPUTED_VALUE"""),44536.6666666666)</f>
        <v>44536.666666666599</v>
      </c>
      <c r="N997" s="6">
        <f ca="1">IFERROR(__xludf.DUMMYFUNCTION("""COMPUTED_VALUE"""),15225.15)</f>
        <v>15225.15</v>
      </c>
      <c r="R997" s="6" t="str">
        <f t="shared" ca="1" si="276"/>
        <v>20221</v>
      </c>
      <c r="S997" s="6">
        <f t="shared" ca="1" si="277"/>
        <v>2022</v>
      </c>
      <c r="T997" s="6">
        <f t="shared" ca="1" si="278"/>
        <v>1</v>
      </c>
      <c r="U997" s="68">
        <f ca="1">IFERROR(__xludf.DUMMYFUNCTION("""COMPUTED_VALUE"""),44580.6458333333)</f>
        <v>44580.645833333299</v>
      </c>
      <c r="V997" s="6">
        <f ca="1">IFERROR(__xludf.DUMMYFUNCTION("""COMPUTED_VALUE"""),2842.28)</f>
        <v>2842.28</v>
      </c>
      <c r="Z997" s="6" t="str">
        <f t="shared" ca="1" si="279"/>
        <v>202011</v>
      </c>
      <c r="AA997" s="6">
        <f t="shared" ca="1" si="280"/>
        <v>2020</v>
      </c>
      <c r="AB997" s="6">
        <f t="shared" ca="1" si="281"/>
        <v>11</v>
      </c>
      <c r="AC997" s="68">
        <f ca="1">IFERROR(__xludf.DUMMYFUNCTION("""COMPUTED_VALUE"""),44139.9986111111)</f>
        <v>44139.998611111099</v>
      </c>
      <c r="AD997" s="6">
        <f ca="1">IFERROR(__xludf.DUMMYFUNCTION("""COMPUTED_VALUE"""),1129.74)</f>
        <v>1129.74</v>
      </c>
      <c r="AH997" s="6" t="str">
        <f t="shared" ca="1" si="282"/>
        <v>20209</v>
      </c>
      <c r="AI997" s="6">
        <f t="shared" ca="1" si="283"/>
        <v>2020</v>
      </c>
      <c r="AJ997" s="6">
        <f t="shared" ca="1" si="284"/>
        <v>9</v>
      </c>
      <c r="AK997" s="68">
        <f ca="1">IFERROR(__xludf.DUMMYFUNCTION("""COMPUTED_VALUE"""),44089.9986111111)</f>
        <v>44089.998611111099</v>
      </c>
      <c r="AL997" s="6">
        <f ca="1">IFERROR(__xludf.DUMMYFUNCTION("""COMPUTED_VALUE"""),10786.28)</f>
        <v>10786.28</v>
      </c>
      <c r="AP997" s="6" t="str">
        <f t="shared" ca="1" si="285"/>
        <v>202112</v>
      </c>
      <c r="AQ997" s="6">
        <f t="shared" ca="1" si="286"/>
        <v>2021</v>
      </c>
      <c r="AR997" s="6">
        <f t="shared" ca="1" si="287"/>
        <v>12</v>
      </c>
      <c r="AS997" s="68">
        <f ca="1">IFERROR(__xludf.DUMMYFUNCTION("""COMPUTED_VALUE"""),44551.9986111111)</f>
        <v>44551.998611111099</v>
      </c>
      <c r="AT997" s="6">
        <f ca="1">IFERROR(__xludf.DUMMYFUNCTION("""COMPUTED_VALUE"""),1788.7)</f>
        <v>1788.7</v>
      </c>
    </row>
    <row r="998" spans="2:46" x14ac:dyDescent="0.35">
      <c r="B998" s="6" t="str">
        <f t="shared" ca="1" si="270"/>
        <v>202112</v>
      </c>
      <c r="C998" s="6">
        <f t="shared" ca="1" si="271"/>
        <v>2021</v>
      </c>
      <c r="D998" s="6">
        <f t="shared" ca="1" si="272"/>
        <v>12</v>
      </c>
      <c r="E998" s="68">
        <f ca="1">IFERROR(__xludf.DUMMYFUNCTION("""COMPUTED_VALUE"""),44544.6666666666)</f>
        <v>44544.666666666599</v>
      </c>
      <c r="F998" s="6">
        <f ca="1">IFERROR(__xludf.DUMMYFUNCTION("""COMPUTED_VALUE"""),4634.09)</f>
        <v>4634.09</v>
      </c>
      <c r="J998" s="6" t="str">
        <f t="shared" ca="1" si="273"/>
        <v>202112</v>
      </c>
      <c r="K998" s="6">
        <f t="shared" ca="1" si="274"/>
        <v>2021</v>
      </c>
      <c r="L998" s="6">
        <f t="shared" ca="1" si="275"/>
        <v>12</v>
      </c>
      <c r="M998" s="68">
        <f ca="1">IFERROR(__xludf.DUMMYFUNCTION("""COMPUTED_VALUE"""),44537.6666666666)</f>
        <v>44537.666666666599</v>
      </c>
      <c r="N998" s="6">
        <f ca="1">IFERROR(__xludf.DUMMYFUNCTION("""COMPUTED_VALUE"""),15686.92)</f>
        <v>15686.92</v>
      </c>
      <c r="R998" s="6" t="str">
        <f t="shared" ca="1" si="276"/>
        <v>20221</v>
      </c>
      <c r="S998" s="6">
        <f t="shared" ca="1" si="277"/>
        <v>2022</v>
      </c>
      <c r="T998" s="6">
        <f t="shared" ca="1" si="278"/>
        <v>1</v>
      </c>
      <c r="U998" s="68">
        <f ca="1">IFERROR(__xludf.DUMMYFUNCTION("""COMPUTED_VALUE"""),44581.6458333333)</f>
        <v>44581.645833333299</v>
      </c>
      <c r="V998" s="6">
        <f ca="1">IFERROR(__xludf.DUMMYFUNCTION("""COMPUTED_VALUE"""),2862.68)</f>
        <v>2862.68</v>
      </c>
      <c r="Z998" s="6" t="str">
        <f t="shared" ca="1" si="279"/>
        <v>202011</v>
      </c>
      <c r="AA998" s="6">
        <f t="shared" ca="1" si="280"/>
        <v>2020</v>
      </c>
      <c r="AB998" s="6">
        <f t="shared" ca="1" si="281"/>
        <v>11</v>
      </c>
      <c r="AC998" s="68">
        <f ca="1">IFERROR(__xludf.DUMMYFUNCTION("""COMPUTED_VALUE"""),44140.9986111111)</f>
        <v>44140.998611111099</v>
      </c>
      <c r="AD998" s="6">
        <f ca="1">IFERROR(__xludf.DUMMYFUNCTION("""COMPUTED_VALUE"""),1122.63)</f>
        <v>1122.6300000000001</v>
      </c>
      <c r="AH998" s="6" t="str">
        <f t="shared" ca="1" si="282"/>
        <v>20209</v>
      </c>
      <c r="AI998" s="6">
        <f t="shared" ca="1" si="283"/>
        <v>2020</v>
      </c>
      <c r="AJ998" s="6">
        <f t="shared" ca="1" si="284"/>
        <v>9</v>
      </c>
      <c r="AK998" s="68">
        <f ca="1">IFERROR(__xludf.DUMMYFUNCTION("""COMPUTED_VALUE"""),44090.9986111111)</f>
        <v>44090.998611111099</v>
      </c>
      <c r="AL998" s="6">
        <f ca="1">IFERROR(__xludf.DUMMYFUNCTION("""COMPUTED_VALUE"""),10950.88)</f>
        <v>10950.88</v>
      </c>
      <c r="AP998" s="6" t="str">
        <f t="shared" ca="1" si="285"/>
        <v>202112</v>
      </c>
      <c r="AQ998" s="6">
        <f t="shared" ca="1" si="286"/>
        <v>2021</v>
      </c>
      <c r="AR998" s="6">
        <f t="shared" ca="1" si="287"/>
        <v>12</v>
      </c>
      <c r="AS998" s="68">
        <f ca="1">IFERROR(__xludf.DUMMYFUNCTION("""COMPUTED_VALUE"""),44552.9986111111)</f>
        <v>44552.998611111099</v>
      </c>
      <c r="AT998" s="6">
        <f ca="1">IFERROR(__xludf.DUMMYFUNCTION("""COMPUTED_VALUE"""),1802.2)</f>
        <v>1802.2</v>
      </c>
    </row>
    <row r="999" spans="2:46" x14ac:dyDescent="0.35">
      <c r="B999" s="6" t="str">
        <f t="shared" ca="1" si="270"/>
        <v>202112</v>
      </c>
      <c r="C999" s="6">
        <f t="shared" ca="1" si="271"/>
        <v>2021</v>
      </c>
      <c r="D999" s="6">
        <f t="shared" ca="1" si="272"/>
        <v>12</v>
      </c>
      <c r="E999" s="68">
        <f ca="1">IFERROR(__xludf.DUMMYFUNCTION("""COMPUTED_VALUE"""),44545.6666666666)</f>
        <v>44545.666666666599</v>
      </c>
      <c r="F999" s="6">
        <f ca="1">IFERROR(__xludf.DUMMYFUNCTION("""COMPUTED_VALUE"""),4709.85)</f>
        <v>4709.8500000000004</v>
      </c>
      <c r="J999" s="6" t="str">
        <f t="shared" ca="1" si="273"/>
        <v>202112</v>
      </c>
      <c r="K999" s="6">
        <f t="shared" ca="1" si="274"/>
        <v>2021</v>
      </c>
      <c r="L999" s="6">
        <f t="shared" ca="1" si="275"/>
        <v>12</v>
      </c>
      <c r="M999" s="68">
        <f ca="1">IFERROR(__xludf.DUMMYFUNCTION("""COMPUTED_VALUE"""),44538.6666666666)</f>
        <v>44538.666666666599</v>
      </c>
      <c r="N999" s="6">
        <f ca="1">IFERROR(__xludf.DUMMYFUNCTION("""COMPUTED_VALUE"""),15786.99)</f>
        <v>15786.99</v>
      </c>
      <c r="R999" s="6" t="str">
        <f t="shared" ca="1" si="276"/>
        <v>20221</v>
      </c>
      <c r="S999" s="6">
        <f t="shared" ca="1" si="277"/>
        <v>2022</v>
      </c>
      <c r="T999" s="6">
        <f t="shared" ca="1" si="278"/>
        <v>1</v>
      </c>
      <c r="U999" s="68">
        <f ca="1">IFERROR(__xludf.DUMMYFUNCTION("""COMPUTED_VALUE"""),44582.6458333333)</f>
        <v>44582.645833333299</v>
      </c>
      <c r="V999" s="6">
        <f ca="1">IFERROR(__xludf.DUMMYFUNCTION("""COMPUTED_VALUE"""),2834.29)</f>
        <v>2834.29</v>
      </c>
      <c r="Z999" s="6" t="str">
        <f t="shared" ca="1" si="279"/>
        <v>202011</v>
      </c>
      <c r="AA999" s="6">
        <f t="shared" ca="1" si="280"/>
        <v>2020</v>
      </c>
      <c r="AB999" s="6">
        <f t="shared" ca="1" si="281"/>
        <v>11</v>
      </c>
      <c r="AC999" s="68">
        <f ca="1">IFERROR(__xludf.DUMMYFUNCTION("""COMPUTED_VALUE"""),44141.9986111111)</f>
        <v>44141.998611111099</v>
      </c>
      <c r="AD999" s="6">
        <f ca="1">IFERROR(__xludf.DUMMYFUNCTION("""COMPUTED_VALUE"""),1121.15)</f>
        <v>1121.1500000000001</v>
      </c>
      <c r="AH999" s="6" t="str">
        <f t="shared" ca="1" si="282"/>
        <v>20209</v>
      </c>
      <c r="AI999" s="6">
        <f t="shared" ca="1" si="283"/>
        <v>2020</v>
      </c>
      <c r="AJ999" s="6">
        <f t="shared" ca="1" si="284"/>
        <v>9</v>
      </c>
      <c r="AK999" s="68">
        <f ca="1">IFERROR(__xludf.DUMMYFUNCTION("""COMPUTED_VALUE"""),44091.9986111111)</f>
        <v>44091.998611111099</v>
      </c>
      <c r="AL999" s="6">
        <f ca="1">IFERROR(__xludf.DUMMYFUNCTION("""COMPUTED_VALUE"""),10944.69)</f>
        <v>10944.69</v>
      </c>
      <c r="AP999" s="6" t="str">
        <f t="shared" ca="1" si="285"/>
        <v>202112</v>
      </c>
      <c r="AQ999" s="6">
        <f t="shared" ca="1" si="286"/>
        <v>2021</v>
      </c>
      <c r="AR999" s="6">
        <f t="shared" ca="1" si="287"/>
        <v>12</v>
      </c>
      <c r="AS999" s="68">
        <f ca="1">IFERROR(__xludf.DUMMYFUNCTION("""COMPUTED_VALUE"""),44553.9986111111)</f>
        <v>44553.998611111099</v>
      </c>
      <c r="AT999" s="6">
        <f ca="1">IFERROR(__xludf.DUMMYFUNCTION("""COMPUTED_VALUE"""),1814)</f>
        <v>1814</v>
      </c>
    </row>
    <row r="1000" spans="2:46" x14ac:dyDescent="0.35">
      <c r="B1000" s="6" t="str">
        <f t="shared" ca="1" si="270"/>
        <v>202112</v>
      </c>
      <c r="C1000" s="6">
        <f t="shared" ca="1" si="271"/>
        <v>2021</v>
      </c>
      <c r="D1000" s="6">
        <f t="shared" ca="1" si="272"/>
        <v>12</v>
      </c>
      <c r="E1000" s="68">
        <f ca="1">IFERROR(__xludf.DUMMYFUNCTION("""COMPUTED_VALUE"""),44546.6666666666)</f>
        <v>44546.666666666599</v>
      </c>
      <c r="F1000" s="6">
        <f ca="1">IFERROR(__xludf.DUMMYFUNCTION("""COMPUTED_VALUE"""),4668.67)</f>
        <v>4668.67</v>
      </c>
      <c r="J1000" s="6" t="str">
        <f t="shared" ca="1" si="273"/>
        <v>202112</v>
      </c>
      <c r="K1000" s="6">
        <f t="shared" ca="1" si="274"/>
        <v>2021</v>
      </c>
      <c r="L1000" s="6">
        <f t="shared" ca="1" si="275"/>
        <v>12</v>
      </c>
      <c r="M1000" s="68">
        <f ca="1">IFERROR(__xludf.DUMMYFUNCTION("""COMPUTED_VALUE"""),44539.6666666666)</f>
        <v>44539.666666666599</v>
      </c>
      <c r="N1000" s="6">
        <f ca="1">IFERROR(__xludf.DUMMYFUNCTION("""COMPUTED_VALUE"""),15517.37)</f>
        <v>15517.37</v>
      </c>
      <c r="R1000" s="6" t="str">
        <f t="shared" ca="1" si="276"/>
        <v>20221</v>
      </c>
      <c r="S1000" s="6">
        <f t="shared" ca="1" si="277"/>
        <v>2022</v>
      </c>
      <c r="T1000" s="6">
        <f t="shared" ca="1" si="278"/>
        <v>1</v>
      </c>
      <c r="U1000" s="68">
        <f ca="1">IFERROR(__xludf.DUMMYFUNCTION("""COMPUTED_VALUE"""),44585.6458333333)</f>
        <v>44585.645833333299</v>
      </c>
      <c r="V1000" s="6">
        <f ca="1">IFERROR(__xludf.DUMMYFUNCTION("""COMPUTED_VALUE"""),2792)</f>
        <v>2792</v>
      </c>
      <c r="Z1000" s="6" t="str">
        <f t="shared" ca="1" si="279"/>
        <v>202011</v>
      </c>
      <c r="AA1000" s="6">
        <f t="shared" ca="1" si="280"/>
        <v>2020</v>
      </c>
      <c r="AB1000" s="6">
        <f t="shared" ca="1" si="281"/>
        <v>11</v>
      </c>
      <c r="AC1000" s="68">
        <f ca="1">IFERROR(__xludf.DUMMYFUNCTION("""COMPUTED_VALUE"""),44142.9986111111)</f>
        <v>44142.998611111099</v>
      </c>
      <c r="AD1000" s="6">
        <f ca="1">IFERROR(__xludf.DUMMYFUNCTION("""COMPUTED_VALUE"""),1121.15)</f>
        <v>1121.1500000000001</v>
      </c>
      <c r="AH1000" s="6" t="str">
        <f t="shared" ca="1" si="282"/>
        <v>20209</v>
      </c>
      <c r="AI1000" s="6">
        <f t="shared" ca="1" si="283"/>
        <v>2020</v>
      </c>
      <c r="AJ1000" s="6">
        <f t="shared" ca="1" si="284"/>
        <v>9</v>
      </c>
      <c r="AK1000" s="68">
        <f ca="1">IFERROR(__xludf.DUMMYFUNCTION("""COMPUTED_VALUE"""),44092.9986111111)</f>
        <v>44092.998611111099</v>
      </c>
      <c r="AL1000" s="6">
        <f ca="1">IFERROR(__xludf.DUMMYFUNCTION("""COMPUTED_VALUE"""),10936.99)</f>
        <v>10936.99</v>
      </c>
      <c r="AP1000" s="6" t="str">
        <f t="shared" ca="1" si="285"/>
        <v>202112</v>
      </c>
      <c r="AQ1000" s="6">
        <f t="shared" ca="1" si="286"/>
        <v>2021</v>
      </c>
      <c r="AR1000" s="6">
        <f t="shared" ca="1" si="287"/>
        <v>12</v>
      </c>
      <c r="AS1000" s="68">
        <f ca="1">IFERROR(__xludf.DUMMYFUNCTION("""COMPUTED_VALUE"""),44557.9986111111)</f>
        <v>44557.998611111099</v>
      </c>
      <c r="AT1000" s="6">
        <f ca="1">IFERROR(__xludf.DUMMYFUNCTION("""COMPUTED_VALUE"""),1808.8)</f>
        <v>1808.8</v>
      </c>
    </row>
    <row r="1001" spans="2:46" x14ac:dyDescent="0.35">
      <c r="B1001" s="6" t="str">
        <f t="shared" ca="1" si="270"/>
        <v>202112</v>
      </c>
      <c r="C1001" s="6">
        <f t="shared" ca="1" si="271"/>
        <v>2021</v>
      </c>
      <c r="D1001" s="6">
        <f t="shared" ca="1" si="272"/>
        <v>12</v>
      </c>
      <c r="E1001" s="68">
        <f ca="1">IFERROR(__xludf.DUMMYFUNCTION("""COMPUTED_VALUE"""),44547.6666666666)</f>
        <v>44547.666666666599</v>
      </c>
      <c r="F1001" s="6">
        <f ca="1">IFERROR(__xludf.DUMMYFUNCTION("""COMPUTED_VALUE"""),4620.64)</f>
        <v>4620.6400000000003</v>
      </c>
      <c r="J1001" s="6" t="str">
        <f t="shared" ca="1" si="273"/>
        <v>202112</v>
      </c>
      <c r="K1001" s="6">
        <f t="shared" ca="1" si="274"/>
        <v>2021</v>
      </c>
      <c r="L1001" s="6">
        <f t="shared" ca="1" si="275"/>
        <v>12</v>
      </c>
      <c r="M1001" s="68">
        <f ca="1">IFERROR(__xludf.DUMMYFUNCTION("""COMPUTED_VALUE"""),44540.6666666666)</f>
        <v>44540.666666666599</v>
      </c>
      <c r="N1001" s="6">
        <f ca="1">IFERROR(__xludf.DUMMYFUNCTION("""COMPUTED_VALUE"""),15630.6)</f>
        <v>15630.6</v>
      </c>
      <c r="R1001" s="6" t="str">
        <f t="shared" ca="1" si="276"/>
        <v>20221</v>
      </c>
      <c r="S1001" s="6">
        <f t="shared" ca="1" si="277"/>
        <v>2022</v>
      </c>
      <c r="T1001" s="6">
        <f t="shared" ca="1" si="278"/>
        <v>1</v>
      </c>
      <c r="U1001" s="68">
        <f ca="1">IFERROR(__xludf.DUMMYFUNCTION("""COMPUTED_VALUE"""),44586.6458333333)</f>
        <v>44586.645833333299</v>
      </c>
      <c r="V1001" s="6">
        <f ca="1">IFERROR(__xludf.DUMMYFUNCTION("""COMPUTED_VALUE"""),2720.39)</f>
        <v>2720.39</v>
      </c>
      <c r="Z1001" s="6" t="str">
        <f t="shared" ca="1" si="279"/>
        <v>202011</v>
      </c>
      <c r="AA1001" s="6">
        <f t="shared" ca="1" si="280"/>
        <v>2020</v>
      </c>
      <c r="AB1001" s="6">
        <f t="shared" ca="1" si="281"/>
        <v>11</v>
      </c>
      <c r="AC1001" s="68">
        <f ca="1">IFERROR(__xludf.DUMMYFUNCTION("""COMPUTED_VALUE"""),44143.9986111111)</f>
        <v>44143.998611111099</v>
      </c>
      <c r="AD1001" s="6">
        <f ca="1">IFERROR(__xludf.DUMMYFUNCTION("""COMPUTED_VALUE"""),1121.15)</f>
        <v>1121.1500000000001</v>
      </c>
      <c r="AH1001" s="6" t="str">
        <f t="shared" ca="1" si="282"/>
        <v>20209</v>
      </c>
      <c r="AI1001" s="6">
        <f t="shared" ca="1" si="283"/>
        <v>2020</v>
      </c>
      <c r="AJ1001" s="6">
        <f t="shared" ca="1" si="284"/>
        <v>9</v>
      </c>
      <c r="AK1001" s="68">
        <f ca="1">IFERROR(__xludf.DUMMYFUNCTION("""COMPUTED_VALUE"""),44093.9986111111)</f>
        <v>44093.998611111099</v>
      </c>
      <c r="AL1001" s="6">
        <f ca="1">IFERROR(__xludf.DUMMYFUNCTION("""COMPUTED_VALUE"""),11082.85)</f>
        <v>11082.85</v>
      </c>
      <c r="AP1001" s="6" t="str">
        <f t="shared" ca="1" si="285"/>
        <v>202112</v>
      </c>
      <c r="AQ1001" s="6">
        <f t="shared" ca="1" si="286"/>
        <v>2021</v>
      </c>
      <c r="AR1001" s="6">
        <f t="shared" ca="1" si="287"/>
        <v>12</v>
      </c>
      <c r="AS1001" s="68">
        <f ca="1">IFERROR(__xludf.DUMMYFUNCTION("""COMPUTED_VALUE"""),44558.9986111111)</f>
        <v>44558.998611111099</v>
      </c>
      <c r="AT1001" s="6">
        <f ca="1">IFERROR(__xludf.DUMMYFUNCTION("""COMPUTED_VALUE"""),1810.9)</f>
        <v>1810.9</v>
      </c>
    </row>
    <row r="1002" spans="2:46" x14ac:dyDescent="0.35">
      <c r="B1002" s="6" t="str">
        <f t="shared" ca="1" si="270"/>
        <v>202112</v>
      </c>
      <c r="C1002" s="6">
        <f t="shared" ca="1" si="271"/>
        <v>2021</v>
      </c>
      <c r="D1002" s="6">
        <f t="shared" ca="1" si="272"/>
        <v>12</v>
      </c>
      <c r="E1002" s="68">
        <f ca="1">IFERROR(__xludf.DUMMYFUNCTION("""COMPUTED_VALUE"""),44550.6666666666)</f>
        <v>44550.666666666599</v>
      </c>
      <c r="F1002" s="6">
        <f ca="1">IFERROR(__xludf.DUMMYFUNCTION("""COMPUTED_VALUE"""),4568.02)</f>
        <v>4568.0200000000004</v>
      </c>
      <c r="J1002" s="6" t="str">
        <f t="shared" ca="1" si="273"/>
        <v>202112</v>
      </c>
      <c r="K1002" s="6">
        <f t="shared" ca="1" si="274"/>
        <v>2021</v>
      </c>
      <c r="L1002" s="6">
        <f t="shared" ca="1" si="275"/>
        <v>12</v>
      </c>
      <c r="M1002" s="68">
        <f ca="1">IFERROR(__xludf.DUMMYFUNCTION("""COMPUTED_VALUE"""),44543.6666666666)</f>
        <v>44543.666666666599</v>
      </c>
      <c r="N1002" s="6">
        <f ca="1">IFERROR(__xludf.DUMMYFUNCTION("""COMPUTED_VALUE"""),15413.28)</f>
        <v>15413.28</v>
      </c>
      <c r="R1002" s="6" t="str">
        <f t="shared" ca="1" si="276"/>
        <v>20221</v>
      </c>
      <c r="S1002" s="6">
        <f t="shared" ca="1" si="277"/>
        <v>2022</v>
      </c>
      <c r="T1002" s="6">
        <f t="shared" ca="1" si="278"/>
        <v>1</v>
      </c>
      <c r="U1002" s="68">
        <f ca="1">IFERROR(__xludf.DUMMYFUNCTION("""COMPUTED_VALUE"""),44587.6458333333)</f>
        <v>44587.645833333299</v>
      </c>
      <c r="V1002" s="6">
        <f ca="1">IFERROR(__xludf.DUMMYFUNCTION("""COMPUTED_VALUE"""),2709.24)</f>
        <v>2709.24</v>
      </c>
      <c r="Z1002" s="6" t="str">
        <f t="shared" ca="1" si="279"/>
        <v>202011</v>
      </c>
      <c r="AA1002" s="6">
        <f t="shared" ca="1" si="280"/>
        <v>2020</v>
      </c>
      <c r="AB1002" s="6">
        <f t="shared" ca="1" si="281"/>
        <v>11</v>
      </c>
      <c r="AC1002" s="68">
        <f ca="1">IFERROR(__xludf.DUMMYFUNCTION("""COMPUTED_VALUE"""),44144.9986111111)</f>
        <v>44144.998611111099</v>
      </c>
      <c r="AD1002" s="6">
        <f ca="1">IFERROR(__xludf.DUMMYFUNCTION("""COMPUTED_VALUE"""),1118.69)</f>
        <v>1118.69</v>
      </c>
      <c r="AH1002" s="6" t="str">
        <f t="shared" ca="1" si="282"/>
        <v>20209</v>
      </c>
      <c r="AI1002" s="6">
        <f t="shared" ca="1" si="283"/>
        <v>2020</v>
      </c>
      <c r="AJ1002" s="6">
        <f t="shared" ca="1" si="284"/>
        <v>9</v>
      </c>
      <c r="AK1002" s="68">
        <f ca="1">IFERROR(__xludf.DUMMYFUNCTION("""COMPUTED_VALUE"""),44094.9986111111)</f>
        <v>44094.998611111099</v>
      </c>
      <c r="AL1002" s="6">
        <f ca="1">IFERROR(__xludf.DUMMYFUNCTION("""COMPUTED_VALUE"""),10920.82)</f>
        <v>10920.82</v>
      </c>
      <c r="AP1002" s="6" t="str">
        <f t="shared" ca="1" si="285"/>
        <v>202112</v>
      </c>
      <c r="AQ1002" s="6">
        <f t="shared" ca="1" si="286"/>
        <v>2021</v>
      </c>
      <c r="AR1002" s="6">
        <f t="shared" ca="1" si="287"/>
        <v>12</v>
      </c>
      <c r="AS1002" s="68">
        <f ca="1">IFERROR(__xludf.DUMMYFUNCTION("""COMPUTED_VALUE"""),44559.9986111111)</f>
        <v>44559.998611111099</v>
      </c>
      <c r="AT1002" s="6">
        <f ca="1">IFERROR(__xludf.DUMMYFUNCTION("""COMPUTED_VALUE"""),1805.8)</f>
        <v>1805.8</v>
      </c>
    </row>
    <row r="1003" spans="2:46" x14ac:dyDescent="0.35">
      <c r="B1003" s="6" t="str">
        <f t="shared" ca="1" si="270"/>
        <v>202112</v>
      </c>
      <c r="C1003" s="6">
        <f t="shared" ca="1" si="271"/>
        <v>2021</v>
      </c>
      <c r="D1003" s="6">
        <f t="shared" ca="1" si="272"/>
        <v>12</v>
      </c>
      <c r="E1003" s="68">
        <f ca="1">IFERROR(__xludf.DUMMYFUNCTION("""COMPUTED_VALUE"""),44551.6666666666)</f>
        <v>44551.666666666599</v>
      </c>
      <c r="F1003" s="6">
        <f ca="1">IFERROR(__xludf.DUMMYFUNCTION("""COMPUTED_VALUE"""),4649.23)</f>
        <v>4649.2299999999996</v>
      </c>
      <c r="J1003" s="6" t="str">
        <f t="shared" ca="1" si="273"/>
        <v>202112</v>
      </c>
      <c r="K1003" s="6">
        <f t="shared" ca="1" si="274"/>
        <v>2021</v>
      </c>
      <c r="L1003" s="6">
        <f t="shared" ca="1" si="275"/>
        <v>12</v>
      </c>
      <c r="M1003" s="68">
        <f ca="1">IFERROR(__xludf.DUMMYFUNCTION("""COMPUTED_VALUE"""),44544.6666666666)</f>
        <v>44544.666666666599</v>
      </c>
      <c r="N1003" s="6">
        <f ca="1">IFERROR(__xludf.DUMMYFUNCTION("""COMPUTED_VALUE"""),15237.64)</f>
        <v>15237.64</v>
      </c>
      <c r="R1003" s="6" t="str">
        <f t="shared" ca="1" si="276"/>
        <v>20221</v>
      </c>
      <c r="S1003" s="6">
        <f t="shared" ca="1" si="277"/>
        <v>2022</v>
      </c>
      <c r="T1003" s="6">
        <f t="shared" ca="1" si="278"/>
        <v>1</v>
      </c>
      <c r="U1003" s="68">
        <f ca="1">IFERROR(__xludf.DUMMYFUNCTION("""COMPUTED_VALUE"""),44588.6458333333)</f>
        <v>44588.645833333299</v>
      </c>
      <c r="V1003" s="6">
        <f ca="1">IFERROR(__xludf.DUMMYFUNCTION("""COMPUTED_VALUE"""),2614.49)</f>
        <v>2614.4899999999998</v>
      </c>
      <c r="Z1003" s="6" t="str">
        <f t="shared" ca="1" si="279"/>
        <v>202011</v>
      </c>
      <c r="AA1003" s="6">
        <f t="shared" ca="1" si="280"/>
        <v>2020</v>
      </c>
      <c r="AB1003" s="6">
        <f t="shared" ca="1" si="281"/>
        <v>11</v>
      </c>
      <c r="AC1003" s="68">
        <f ca="1">IFERROR(__xludf.DUMMYFUNCTION("""COMPUTED_VALUE"""),44145.9986111111)</f>
        <v>44145.998611111099</v>
      </c>
      <c r="AD1003" s="6">
        <f ca="1">IFERROR(__xludf.DUMMYFUNCTION("""COMPUTED_VALUE"""),1116.08)</f>
        <v>1116.08</v>
      </c>
      <c r="AH1003" s="6" t="str">
        <f t="shared" ca="1" si="282"/>
        <v>20209</v>
      </c>
      <c r="AI1003" s="6">
        <f t="shared" ca="1" si="283"/>
        <v>2020</v>
      </c>
      <c r="AJ1003" s="6">
        <f t="shared" ca="1" si="284"/>
        <v>9</v>
      </c>
      <c r="AK1003" s="68">
        <f ca="1">IFERROR(__xludf.DUMMYFUNCTION("""COMPUTED_VALUE"""),44095.9986111111)</f>
        <v>44095.998611111099</v>
      </c>
      <c r="AL1003" s="6">
        <f ca="1">IFERROR(__xludf.DUMMYFUNCTION("""COMPUTED_VALUE"""),10418.53)</f>
        <v>10418.530000000001</v>
      </c>
      <c r="AP1003" s="6" t="str">
        <f t="shared" ca="1" si="285"/>
        <v>202112</v>
      </c>
      <c r="AQ1003" s="6">
        <f t="shared" ca="1" si="286"/>
        <v>2021</v>
      </c>
      <c r="AR1003" s="6">
        <f t="shared" ca="1" si="287"/>
        <v>12</v>
      </c>
      <c r="AS1003" s="68">
        <f ca="1">IFERROR(__xludf.DUMMYFUNCTION("""COMPUTED_VALUE"""),44560.9986111111)</f>
        <v>44560.998611111099</v>
      </c>
      <c r="AT1003" s="6">
        <f ca="1">IFERROR(__xludf.DUMMYFUNCTION("""COMPUTED_VALUE"""),1814.1)</f>
        <v>1814.1</v>
      </c>
    </row>
    <row r="1004" spans="2:46" x14ac:dyDescent="0.35">
      <c r="B1004" s="6" t="str">
        <f t="shared" ca="1" si="270"/>
        <v>202112</v>
      </c>
      <c r="C1004" s="6">
        <f t="shared" ca="1" si="271"/>
        <v>2021</v>
      </c>
      <c r="D1004" s="6">
        <f t="shared" ca="1" si="272"/>
        <v>12</v>
      </c>
      <c r="E1004" s="68">
        <f ca="1">IFERROR(__xludf.DUMMYFUNCTION("""COMPUTED_VALUE"""),44552.6666666666)</f>
        <v>44552.666666666599</v>
      </c>
      <c r="F1004" s="6">
        <f ca="1">IFERROR(__xludf.DUMMYFUNCTION("""COMPUTED_VALUE"""),4696.56)</f>
        <v>4696.5600000000004</v>
      </c>
      <c r="J1004" s="6" t="str">
        <f t="shared" ca="1" si="273"/>
        <v>202112</v>
      </c>
      <c r="K1004" s="6">
        <f t="shared" ca="1" si="274"/>
        <v>2021</v>
      </c>
      <c r="L1004" s="6">
        <f t="shared" ca="1" si="275"/>
        <v>12</v>
      </c>
      <c r="M1004" s="68">
        <f ca="1">IFERROR(__xludf.DUMMYFUNCTION("""COMPUTED_VALUE"""),44545.6666666666)</f>
        <v>44545.666666666599</v>
      </c>
      <c r="N1004" s="6">
        <f ca="1">IFERROR(__xludf.DUMMYFUNCTION("""COMPUTED_VALUE"""),15565.58)</f>
        <v>15565.58</v>
      </c>
      <c r="R1004" s="6" t="str">
        <f t="shared" ca="1" si="276"/>
        <v>20221</v>
      </c>
      <c r="S1004" s="6">
        <f t="shared" ca="1" si="277"/>
        <v>2022</v>
      </c>
      <c r="T1004" s="6">
        <f t="shared" ca="1" si="278"/>
        <v>1</v>
      </c>
      <c r="U1004" s="68">
        <f ca="1">IFERROR(__xludf.DUMMYFUNCTION("""COMPUTED_VALUE"""),44589.6458333333)</f>
        <v>44589.645833333299</v>
      </c>
      <c r="V1004" s="6">
        <f ca="1">IFERROR(__xludf.DUMMYFUNCTION("""COMPUTED_VALUE"""),2663.34)</f>
        <v>2663.34</v>
      </c>
      <c r="Z1004" s="6" t="str">
        <f t="shared" ca="1" si="279"/>
        <v>202011</v>
      </c>
      <c r="AA1004" s="6">
        <f t="shared" ca="1" si="280"/>
        <v>2020</v>
      </c>
      <c r="AB1004" s="6">
        <f t="shared" ca="1" si="281"/>
        <v>11</v>
      </c>
      <c r="AC1004" s="68">
        <f ca="1">IFERROR(__xludf.DUMMYFUNCTION("""COMPUTED_VALUE"""),44146.9986111111)</f>
        <v>44146.998611111099</v>
      </c>
      <c r="AD1004" s="6">
        <f ca="1">IFERROR(__xludf.DUMMYFUNCTION("""COMPUTED_VALUE"""),1111.45)</f>
        <v>1111.45</v>
      </c>
      <c r="AH1004" s="6" t="str">
        <f t="shared" ca="1" si="282"/>
        <v>20209</v>
      </c>
      <c r="AI1004" s="6">
        <f t="shared" ca="1" si="283"/>
        <v>2020</v>
      </c>
      <c r="AJ1004" s="6">
        <f t="shared" ca="1" si="284"/>
        <v>9</v>
      </c>
      <c r="AK1004" s="68">
        <f ca="1">IFERROR(__xludf.DUMMYFUNCTION("""COMPUTED_VALUE"""),44096.9986111111)</f>
        <v>44096.998611111099</v>
      </c>
      <c r="AL1004" s="6">
        <f ca="1">IFERROR(__xludf.DUMMYFUNCTION("""COMPUTED_VALUE"""),10532.29)</f>
        <v>10532.29</v>
      </c>
      <c r="AP1004" s="6" t="str">
        <f t="shared" ca="1" si="285"/>
        <v>202112</v>
      </c>
      <c r="AQ1004" s="6">
        <f t="shared" ca="1" si="286"/>
        <v>2021</v>
      </c>
      <c r="AR1004" s="6">
        <f t="shared" ca="1" si="287"/>
        <v>12</v>
      </c>
      <c r="AS1004" s="68">
        <f ca="1">IFERROR(__xludf.DUMMYFUNCTION("""COMPUTED_VALUE"""),44561.9986111111)</f>
        <v>44561.998611111099</v>
      </c>
      <c r="AT1004" s="6">
        <f ca="1">IFERROR(__xludf.DUMMYFUNCTION("""COMPUTED_VALUE"""),1828.6)</f>
        <v>1828.6</v>
      </c>
    </row>
    <row r="1005" spans="2:46" x14ac:dyDescent="0.35">
      <c r="B1005" s="6" t="str">
        <f t="shared" ca="1" si="270"/>
        <v>202112</v>
      </c>
      <c r="C1005" s="6">
        <f t="shared" ca="1" si="271"/>
        <v>2021</v>
      </c>
      <c r="D1005" s="6">
        <f t="shared" ca="1" si="272"/>
        <v>12</v>
      </c>
      <c r="E1005" s="68">
        <f ca="1">IFERROR(__xludf.DUMMYFUNCTION("""COMPUTED_VALUE"""),44553.6666666666)</f>
        <v>44553.666666666599</v>
      </c>
      <c r="F1005" s="6">
        <f ca="1">IFERROR(__xludf.DUMMYFUNCTION("""COMPUTED_VALUE"""),4725.79)</f>
        <v>4725.79</v>
      </c>
      <c r="J1005" s="6" t="str">
        <f t="shared" ca="1" si="273"/>
        <v>202112</v>
      </c>
      <c r="K1005" s="6">
        <f t="shared" ca="1" si="274"/>
        <v>2021</v>
      </c>
      <c r="L1005" s="6">
        <f t="shared" ca="1" si="275"/>
        <v>12</v>
      </c>
      <c r="M1005" s="68">
        <f ca="1">IFERROR(__xludf.DUMMYFUNCTION("""COMPUTED_VALUE"""),44546.6666666666)</f>
        <v>44546.666666666599</v>
      </c>
      <c r="N1005" s="6">
        <f ca="1">IFERROR(__xludf.DUMMYFUNCTION("""COMPUTED_VALUE"""),15180.44)</f>
        <v>15180.44</v>
      </c>
      <c r="R1005" s="6" t="str">
        <f t="shared" ca="1" si="276"/>
        <v>20222</v>
      </c>
      <c r="S1005" s="6">
        <f t="shared" ca="1" si="277"/>
        <v>2022</v>
      </c>
      <c r="T1005" s="6">
        <f t="shared" ca="1" si="278"/>
        <v>2</v>
      </c>
      <c r="U1005" s="68">
        <f ca="1">IFERROR(__xludf.DUMMYFUNCTION("""COMPUTED_VALUE"""),44595.6458333333)</f>
        <v>44595.645833333299</v>
      </c>
      <c r="V1005" s="6">
        <f ca="1">IFERROR(__xludf.DUMMYFUNCTION("""COMPUTED_VALUE"""),2707.82)</f>
        <v>2707.82</v>
      </c>
      <c r="Z1005" s="6" t="str">
        <f t="shared" ca="1" si="279"/>
        <v>202011</v>
      </c>
      <c r="AA1005" s="6">
        <f t="shared" ca="1" si="280"/>
        <v>2020</v>
      </c>
      <c r="AB1005" s="6">
        <f t="shared" ca="1" si="281"/>
        <v>11</v>
      </c>
      <c r="AC1005" s="68">
        <f ca="1">IFERROR(__xludf.DUMMYFUNCTION("""COMPUTED_VALUE"""),44147.9986111111)</f>
        <v>44147.998611111099</v>
      </c>
      <c r="AD1005" s="6">
        <f ca="1">IFERROR(__xludf.DUMMYFUNCTION("""COMPUTED_VALUE"""),1114.91)</f>
        <v>1114.9100000000001</v>
      </c>
      <c r="AH1005" s="6" t="str">
        <f t="shared" ca="1" si="282"/>
        <v>20209</v>
      </c>
      <c r="AI1005" s="6">
        <f t="shared" ca="1" si="283"/>
        <v>2020</v>
      </c>
      <c r="AJ1005" s="6">
        <f t="shared" ca="1" si="284"/>
        <v>9</v>
      </c>
      <c r="AK1005" s="68">
        <f ca="1">IFERROR(__xludf.DUMMYFUNCTION("""COMPUTED_VALUE"""),44097.9986111111)</f>
        <v>44097.998611111099</v>
      </c>
      <c r="AL1005" s="6">
        <f ca="1">IFERROR(__xludf.DUMMYFUNCTION("""COMPUTED_VALUE"""),10234.28)</f>
        <v>10234.280000000001</v>
      </c>
      <c r="AP1005" s="6" t="str">
        <f t="shared" ca="1" si="285"/>
        <v>20221</v>
      </c>
      <c r="AQ1005" s="6">
        <f t="shared" ca="1" si="286"/>
        <v>2022</v>
      </c>
      <c r="AR1005" s="6">
        <f t="shared" ca="1" si="287"/>
        <v>1</v>
      </c>
      <c r="AS1005" s="68">
        <f ca="1">IFERROR(__xludf.DUMMYFUNCTION("""COMPUTED_VALUE"""),44564.9986111111)</f>
        <v>44564.998611111099</v>
      </c>
      <c r="AT1005" s="6">
        <f ca="1">IFERROR(__xludf.DUMMYFUNCTION("""COMPUTED_VALUE"""),1800.1)</f>
        <v>1800.1</v>
      </c>
    </row>
    <row r="1006" spans="2:46" x14ac:dyDescent="0.35">
      <c r="B1006" s="6" t="str">
        <f t="shared" ca="1" si="270"/>
        <v>202112</v>
      </c>
      <c r="C1006" s="6">
        <f t="shared" ca="1" si="271"/>
        <v>2021</v>
      </c>
      <c r="D1006" s="6">
        <f t="shared" ca="1" si="272"/>
        <v>12</v>
      </c>
      <c r="E1006" s="68">
        <f ca="1">IFERROR(__xludf.DUMMYFUNCTION("""COMPUTED_VALUE"""),44557.6666666666)</f>
        <v>44557.666666666599</v>
      </c>
      <c r="F1006" s="6">
        <f ca="1">IFERROR(__xludf.DUMMYFUNCTION("""COMPUTED_VALUE"""),4791.19)</f>
        <v>4791.1899999999996</v>
      </c>
      <c r="J1006" s="6" t="str">
        <f t="shared" ca="1" si="273"/>
        <v>202112</v>
      </c>
      <c r="K1006" s="6">
        <f t="shared" ca="1" si="274"/>
        <v>2021</v>
      </c>
      <c r="L1006" s="6">
        <f t="shared" ca="1" si="275"/>
        <v>12</v>
      </c>
      <c r="M1006" s="68">
        <f ca="1">IFERROR(__xludf.DUMMYFUNCTION("""COMPUTED_VALUE"""),44547.6666666666)</f>
        <v>44547.666666666599</v>
      </c>
      <c r="N1006" s="6">
        <f ca="1">IFERROR(__xludf.DUMMYFUNCTION("""COMPUTED_VALUE"""),15169.68)</f>
        <v>15169.68</v>
      </c>
      <c r="R1006" s="6" t="str">
        <f t="shared" ca="1" si="276"/>
        <v>20222</v>
      </c>
      <c r="S1006" s="6">
        <f t="shared" ca="1" si="277"/>
        <v>2022</v>
      </c>
      <c r="T1006" s="6">
        <f t="shared" ca="1" si="278"/>
        <v>2</v>
      </c>
      <c r="U1006" s="68">
        <f ca="1">IFERROR(__xludf.DUMMYFUNCTION("""COMPUTED_VALUE"""),44596.6458333333)</f>
        <v>44596.645833333299</v>
      </c>
      <c r="V1006" s="6">
        <f ca="1">IFERROR(__xludf.DUMMYFUNCTION("""COMPUTED_VALUE"""),2750.26)</f>
        <v>2750.26</v>
      </c>
      <c r="Z1006" s="6" t="str">
        <f t="shared" ca="1" si="279"/>
        <v>202011</v>
      </c>
      <c r="AA1006" s="6">
        <f t="shared" ca="1" si="280"/>
        <v>2020</v>
      </c>
      <c r="AB1006" s="6">
        <f t="shared" ca="1" si="281"/>
        <v>11</v>
      </c>
      <c r="AC1006" s="68">
        <f ca="1">IFERROR(__xludf.DUMMYFUNCTION("""COMPUTED_VALUE"""),44148.9986111111)</f>
        <v>44148.998611111099</v>
      </c>
      <c r="AD1006" s="6">
        <f ca="1">IFERROR(__xludf.DUMMYFUNCTION("""COMPUTED_VALUE"""),1107.76)</f>
        <v>1107.76</v>
      </c>
      <c r="AH1006" s="6" t="str">
        <f t="shared" ca="1" si="282"/>
        <v>20209</v>
      </c>
      <c r="AI1006" s="6">
        <f t="shared" ca="1" si="283"/>
        <v>2020</v>
      </c>
      <c r="AJ1006" s="6">
        <f t="shared" ca="1" si="284"/>
        <v>9</v>
      </c>
      <c r="AK1006" s="68">
        <f ca="1">IFERROR(__xludf.DUMMYFUNCTION("""COMPUTED_VALUE"""),44098.9986111111)</f>
        <v>44098.998611111099</v>
      </c>
      <c r="AL1006" s="6">
        <f ca="1">IFERROR(__xludf.DUMMYFUNCTION("""COMPUTED_VALUE"""),10741.21)</f>
        <v>10741.21</v>
      </c>
      <c r="AP1006" s="6" t="str">
        <f t="shared" ca="1" si="285"/>
        <v>20221</v>
      </c>
      <c r="AQ1006" s="6">
        <f t="shared" ca="1" si="286"/>
        <v>2022</v>
      </c>
      <c r="AR1006" s="6">
        <f t="shared" ca="1" si="287"/>
        <v>1</v>
      </c>
      <c r="AS1006" s="68">
        <f ca="1">IFERROR(__xludf.DUMMYFUNCTION("""COMPUTED_VALUE"""),44565.9986111111)</f>
        <v>44565.998611111099</v>
      </c>
      <c r="AT1006" s="6">
        <f ca="1">IFERROR(__xludf.DUMMYFUNCTION("""COMPUTED_VALUE"""),1814.6)</f>
        <v>1814.6</v>
      </c>
    </row>
    <row r="1007" spans="2:46" x14ac:dyDescent="0.35">
      <c r="B1007" s="6" t="str">
        <f t="shared" ca="1" si="270"/>
        <v>202112</v>
      </c>
      <c r="C1007" s="6">
        <f t="shared" ca="1" si="271"/>
        <v>2021</v>
      </c>
      <c r="D1007" s="6">
        <f t="shared" ca="1" si="272"/>
        <v>12</v>
      </c>
      <c r="E1007" s="68">
        <f ca="1">IFERROR(__xludf.DUMMYFUNCTION("""COMPUTED_VALUE"""),44558.6666666666)</f>
        <v>44558.666666666599</v>
      </c>
      <c r="F1007" s="6">
        <f ca="1">IFERROR(__xludf.DUMMYFUNCTION("""COMPUTED_VALUE"""),4786.35)</f>
        <v>4786.3500000000004</v>
      </c>
      <c r="J1007" s="6" t="str">
        <f t="shared" ca="1" si="273"/>
        <v>202112</v>
      </c>
      <c r="K1007" s="6">
        <f t="shared" ca="1" si="274"/>
        <v>2021</v>
      </c>
      <c r="L1007" s="6">
        <f t="shared" ca="1" si="275"/>
        <v>12</v>
      </c>
      <c r="M1007" s="68">
        <f ca="1">IFERROR(__xludf.DUMMYFUNCTION("""COMPUTED_VALUE"""),44550.6666666666)</f>
        <v>44550.666666666599</v>
      </c>
      <c r="N1007" s="6">
        <f ca="1">IFERROR(__xludf.DUMMYFUNCTION("""COMPUTED_VALUE"""),14980.94)</f>
        <v>14980.94</v>
      </c>
      <c r="R1007" s="6" t="str">
        <f t="shared" ca="1" si="276"/>
        <v>20222</v>
      </c>
      <c r="S1007" s="6">
        <f t="shared" ca="1" si="277"/>
        <v>2022</v>
      </c>
      <c r="T1007" s="6">
        <f t="shared" ca="1" si="278"/>
        <v>2</v>
      </c>
      <c r="U1007" s="68">
        <f ca="1">IFERROR(__xludf.DUMMYFUNCTION("""COMPUTED_VALUE"""),44599.6458333333)</f>
        <v>44599.645833333299</v>
      </c>
      <c r="V1007" s="6">
        <f ca="1">IFERROR(__xludf.DUMMYFUNCTION("""COMPUTED_VALUE"""),2745.06)</f>
        <v>2745.06</v>
      </c>
      <c r="Z1007" s="6" t="str">
        <f t="shared" ca="1" si="279"/>
        <v>202011</v>
      </c>
      <c r="AA1007" s="6">
        <f t="shared" ca="1" si="280"/>
        <v>2020</v>
      </c>
      <c r="AB1007" s="6">
        <f t="shared" ca="1" si="281"/>
        <v>11</v>
      </c>
      <c r="AC1007" s="68">
        <f ca="1">IFERROR(__xludf.DUMMYFUNCTION("""COMPUTED_VALUE"""),44149.9986111111)</f>
        <v>44149.998611111099</v>
      </c>
      <c r="AD1007" s="6">
        <f ca="1">IFERROR(__xludf.DUMMYFUNCTION("""COMPUTED_VALUE"""),1107.76)</f>
        <v>1107.76</v>
      </c>
      <c r="AH1007" s="6" t="str">
        <f t="shared" ca="1" si="282"/>
        <v>20209</v>
      </c>
      <c r="AI1007" s="6">
        <f t="shared" ca="1" si="283"/>
        <v>2020</v>
      </c>
      <c r="AJ1007" s="6">
        <f t="shared" ca="1" si="284"/>
        <v>9</v>
      </c>
      <c r="AK1007" s="68">
        <f ca="1">IFERROR(__xludf.DUMMYFUNCTION("""COMPUTED_VALUE"""),44099.9986111111)</f>
        <v>44099.998611111099</v>
      </c>
      <c r="AL1007" s="6">
        <f ca="1">IFERROR(__xludf.DUMMYFUNCTION("""COMPUTED_VALUE"""),10691.79)</f>
        <v>10691.79</v>
      </c>
      <c r="AP1007" s="6" t="str">
        <f t="shared" ca="1" si="285"/>
        <v>20221</v>
      </c>
      <c r="AQ1007" s="6">
        <f t="shared" ca="1" si="286"/>
        <v>2022</v>
      </c>
      <c r="AR1007" s="6">
        <f t="shared" ca="1" si="287"/>
        <v>1</v>
      </c>
      <c r="AS1007" s="68">
        <f ca="1">IFERROR(__xludf.DUMMYFUNCTION("""COMPUTED_VALUE"""),44566.9986111111)</f>
        <v>44566.998611111099</v>
      </c>
      <c r="AT1007" s="6">
        <f ca="1">IFERROR(__xludf.DUMMYFUNCTION("""COMPUTED_VALUE"""),1825.1)</f>
        <v>1825.1</v>
      </c>
    </row>
    <row r="1008" spans="2:46" x14ac:dyDescent="0.35">
      <c r="B1008" s="6" t="str">
        <f t="shared" ca="1" si="270"/>
        <v>202112</v>
      </c>
      <c r="C1008" s="6">
        <f t="shared" ca="1" si="271"/>
        <v>2021</v>
      </c>
      <c r="D1008" s="6">
        <f t="shared" ca="1" si="272"/>
        <v>12</v>
      </c>
      <c r="E1008" s="68">
        <f ca="1">IFERROR(__xludf.DUMMYFUNCTION("""COMPUTED_VALUE"""),44559.6666666666)</f>
        <v>44559.666666666599</v>
      </c>
      <c r="F1008" s="6">
        <f ca="1">IFERROR(__xludf.DUMMYFUNCTION("""COMPUTED_VALUE"""),4793.06)</f>
        <v>4793.0600000000004</v>
      </c>
      <c r="J1008" s="6" t="str">
        <f t="shared" ca="1" si="273"/>
        <v>202112</v>
      </c>
      <c r="K1008" s="6">
        <f t="shared" ca="1" si="274"/>
        <v>2021</v>
      </c>
      <c r="L1008" s="6">
        <f t="shared" ca="1" si="275"/>
        <v>12</v>
      </c>
      <c r="M1008" s="68">
        <f ca="1">IFERROR(__xludf.DUMMYFUNCTION("""COMPUTED_VALUE"""),44551.6666666666)</f>
        <v>44551.666666666599</v>
      </c>
      <c r="N1008" s="6">
        <f ca="1">IFERROR(__xludf.DUMMYFUNCTION("""COMPUTED_VALUE"""),15341.09)</f>
        <v>15341.09</v>
      </c>
      <c r="R1008" s="6" t="str">
        <f t="shared" ca="1" si="276"/>
        <v>20222</v>
      </c>
      <c r="S1008" s="6">
        <f t="shared" ca="1" si="277"/>
        <v>2022</v>
      </c>
      <c r="T1008" s="6">
        <f t="shared" ca="1" si="278"/>
        <v>2</v>
      </c>
      <c r="U1008" s="68">
        <f ca="1">IFERROR(__xludf.DUMMYFUNCTION("""COMPUTED_VALUE"""),44600.6458333333)</f>
        <v>44600.645833333299</v>
      </c>
      <c r="V1008" s="6">
        <f ca="1">IFERROR(__xludf.DUMMYFUNCTION("""COMPUTED_VALUE"""),2746.47)</f>
        <v>2746.47</v>
      </c>
      <c r="Z1008" s="6" t="str">
        <f t="shared" ca="1" si="279"/>
        <v>202011</v>
      </c>
      <c r="AA1008" s="6">
        <f t="shared" ca="1" si="280"/>
        <v>2020</v>
      </c>
      <c r="AB1008" s="6">
        <f t="shared" ca="1" si="281"/>
        <v>11</v>
      </c>
      <c r="AC1008" s="68">
        <f ca="1">IFERROR(__xludf.DUMMYFUNCTION("""COMPUTED_VALUE"""),44150.9986111111)</f>
        <v>44150.998611111099</v>
      </c>
      <c r="AD1008" s="6">
        <f ca="1">IFERROR(__xludf.DUMMYFUNCTION("""COMPUTED_VALUE"""),1107.76)</f>
        <v>1107.76</v>
      </c>
      <c r="AH1008" s="6" t="str">
        <f t="shared" ca="1" si="282"/>
        <v>20209</v>
      </c>
      <c r="AI1008" s="6">
        <f t="shared" ca="1" si="283"/>
        <v>2020</v>
      </c>
      <c r="AJ1008" s="6">
        <f t="shared" ca="1" si="284"/>
        <v>9</v>
      </c>
      <c r="AK1008" s="68">
        <f ca="1">IFERROR(__xludf.DUMMYFUNCTION("""COMPUTED_VALUE"""),44100.9986111111)</f>
        <v>44100.998611111099</v>
      </c>
      <c r="AL1008" s="6">
        <f ca="1">IFERROR(__xludf.DUMMYFUNCTION("""COMPUTED_VALUE"""),10732.1)</f>
        <v>10732.1</v>
      </c>
      <c r="AP1008" s="6" t="str">
        <f t="shared" ca="1" si="285"/>
        <v>20221</v>
      </c>
      <c r="AQ1008" s="6">
        <f t="shared" ca="1" si="286"/>
        <v>2022</v>
      </c>
      <c r="AR1008" s="6">
        <f t="shared" ca="1" si="287"/>
        <v>1</v>
      </c>
      <c r="AS1008" s="68">
        <f ca="1">IFERROR(__xludf.DUMMYFUNCTION("""COMPUTED_VALUE"""),44567.9986111111)</f>
        <v>44567.998611111099</v>
      </c>
      <c r="AT1008" s="6">
        <f ca="1">IFERROR(__xludf.DUMMYFUNCTION("""COMPUTED_VALUE"""),1789.2)</f>
        <v>1789.2</v>
      </c>
    </row>
    <row r="1009" spans="2:46" x14ac:dyDescent="0.35">
      <c r="B1009" s="6" t="str">
        <f t="shared" ca="1" si="270"/>
        <v>202112</v>
      </c>
      <c r="C1009" s="6">
        <f t="shared" ca="1" si="271"/>
        <v>2021</v>
      </c>
      <c r="D1009" s="6">
        <f t="shared" ca="1" si="272"/>
        <v>12</v>
      </c>
      <c r="E1009" s="68">
        <f ca="1">IFERROR(__xludf.DUMMYFUNCTION("""COMPUTED_VALUE"""),44560.6666666666)</f>
        <v>44560.666666666599</v>
      </c>
      <c r="F1009" s="6">
        <f ca="1">IFERROR(__xludf.DUMMYFUNCTION("""COMPUTED_VALUE"""),4778.73)</f>
        <v>4778.7299999999996</v>
      </c>
      <c r="J1009" s="6" t="str">
        <f t="shared" ca="1" si="273"/>
        <v>202112</v>
      </c>
      <c r="K1009" s="6">
        <f t="shared" ca="1" si="274"/>
        <v>2021</v>
      </c>
      <c r="L1009" s="6">
        <f t="shared" ca="1" si="275"/>
        <v>12</v>
      </c>
      <c r="M1009" s="68">
        <f ca="1">IFERROR(__xludf.DUMMYFUNCTION("""COMPUTED_VALUE"""),44552.6666666666)</f>
        <v>44552.666666666599</v>
      </c>
      <c r="N1009" s="6">
        <f ca="1">IFERROR(__xludf.DUMMYFUNCTION("""COMPUTED_VALUE"""),15521.89)</f>
        <v>15521.89</v>
      </c>
      <c r="R1009" s="6" t="str">
        <f t="shared" ca="1" si="276"/>
        <v>20222</v>
      </c>
      <c r="S1009" s="6">
        <f t="shared" ca="1" si="277"/>
        <v>2022</v>
      </c>
      <c r="T1009" s="6">
        <f t="shared" ca="1" si="278"/>
        <v>2</v>
      </c>
      <c r="U1009" s="68">
        <f ca="1">IFERROR(__xludf.DUMMYFUNCTION("""COMPUTED_VALUE"""),44601.6458333333)</f>
        <v>44601.645833333299</v>
      </c>
      <c r="V1009" s="6">
        <f ca="1">IFERROR(__xludf.DUMMYFUNCTION("""COMPUTED_VALUE"""),2768.85)</f>
        <v>2768.85</v>
      </c>
      <c r="Z1009" s="6" t="str">
        <f t="shared" ca="1" si="279"/>
        <v>202011</v>
      </c>
      <c r="AA1009" s="6">
        <f t="shared" ca="1" si="280"/>
        <v>2020</v>
      </c>
      <c r="AB1009" s="6">
        <f t="shared" ca="1" si="281"/>
        <v>11</v>
      </c>
      <c r="AC1009" s="68">
        <f ca="1">IFERROR(__xludf.DUMMYFUNCTION("""COMPUTED_VALUE"""),44151.9986111111)</f>
        <v>44151.998611111099</v>
      </c>
      <c r="AD1009" s="6">
        <f ca="1">IFERROR(__xludf.DUMMYFUNCTION("""COMPUTED_VALUE"""),1106.09)</f>
        <v>1106.0899999999999</v>
      </c>
      <c r="AH1009" s="6" t="str">
        <f t="shared" ca="1" si="282"/>
        <v>20209</v>
      </c>
      <c r="AI1009" s="6">
        <f t="shared" ca="1" si="283"/>
        <v>2020</v>
      </c>
      <c r="AJ1009" s="6">
        <f t="shared" ca="1" si="284"/>
        <v>9</v>
      </c>
      <c r="AK1009" s="68">
        <f ca="1">IFERROR(__xludf.DUMMYFUNCTION("""COMPUTED_VALUE"""),44101.9986111111)</f>
        <v>44101.998611111099</v>
      </c>
      <c r="AL1009" s="6">
        <f ca="1">IFERROR(__xludf.DUMMYFUNCTION("""COMPUTED_VALUE"""),10777.93)</f>
        <v>10777.93</v>
      </c>
      <c r="AP1009" s="6" t="str">
        <f t="shared" ca="1" si="285"/>
        <v>20221</v>
      </c>
      <c r="AQ1009" s="6">
        <f t="shared" ca="1" si="286"/>
        <v>2022</v>
      </c>
      <c r="AR1009" s="6">
        <f t="shared" ca="1" si="287"/>
        <v>1</v>
      </c>
      <c r="AS1009" s="68">
        <f ca="1">IFERROR(__xludf.DUMMYFUNCTION("""COMPUTED_VALUE"""),44568.9986111111)</f>
        <v>44568.998611111099</v>
      </c>
      <c r="AT1009" s="6">
        <f ca="1">IFERROR(__xludf.DUMMYFUNCTION("""COMPUTED_VALUE"""),1797.4)</f>
        <v>1797.4</v>
      </c>
    </row>
    <row r="1010" spans="2:46" x14ac:dyDescent="0.35">
      <c r="B1010" s="6" t="str">
        <f t="shared" ca="1" si="270"/>
        <v>202112</v>
      </c>
      <c r="C1010" s="6">
        <f t="shared" ca="1" si="271"/>
        <v>2021</v>
      </c>
      <c r="D1010" s="6">
        <f t="shared" ca="1" si="272"/>
        <v>12</v>
      </c>
      <c r="E1010" s="68">
        <f ca="1">IFERROR(__xludf.DUMMYFUNCTION("""COMPUTED_VALUE"""),44561.6666666666)</f>
        <v>44561.666666666599</v>
      </c>
      <c r="F1010" s="6">
        <f ca="1">IFERROR(__xludf.DUMMYFUNCTION("""COMPUTED_VALUE"""),4766.18)</f>
        <v>4766.18</v>
      </c>
      <c r="J1010" s="6" t="str">
        <f t="shared" ca="1" si="273"/>
        <v>202112</v>
      </c>
      <c r="K1010" s="6">
        <f t="shared" ca="1" si="274"/>
        <v>2021</v>
      </c>
      <c r="L1010" s="6">
        <f t="shared" ca="1" si="275"/>
        <v>12</v>
      </c>
      <c r="M1010" s="68">
        <f ca="1">IFERROR(__xludf.DUMMYFUNCTION("""COMPUTED_VALUE"""),44553.6666666666)</f>
        <v>44553.666666666599</v>
      </c>
      <c r="N1010" s="6">
        <f ca="1">IFERROR(__xludf.DUMMYFUNCTION("""COMPUTED_VALUE"""),15653.37)</f>
        <v>15653.37</v>
      </c>
      <c r="R1010" s="6" t="str">
        <f t="shared" ca="1" si="276"/>
        <v>20222</v>
      </c>
      <c r="S1010" s="6">
        <f t="shared" ca="1" si="277"/>
        <v>2022</v>
      </c>
      <c r="T1010" s="6">
        <f t="shared" ca="1" si="278"/>
        <v>2</v>
      </c>
      <c r="U1010" s="68">
        <f ca="1">IFERROR(__xludf.DUMMYFUNCTION("""COMPUTED_VALUE"""),44602.6458333333)</f>
        <v>44602.645833333299</v>
      </c>
      <c r="V1010" s="6">
        <f ca="1">IFERROR(__xludf.DUMMYFUNCTION("""COMPUTED_VALUE"""),2771.93)</f>
        <v>2771.93</v>
      </c>
      <c r="Z1010" s="6" t="str">
        <f t="shared" ca="1" si="279"/>
        <v>202011</v>
      </c>
      <c r="AA1010" s="6">
        <f t="shared" ca="1" si="280"/>
        <v>2020</v>
      </c>
      <c r="AB1010" s="6">
        <f t="shared" ca="1" si="281"/>
        <v>11</v>
      </c>
      <c r="AC1010" s="68">
        <f ca="1">IFERROR(__xludf.DUMMYFUNCTION("""COMPUTED_VALUE"""),44152.9986111111)</f>
        <v>44152.998611111099</v>
      </c>
      <c r="AD1010" s="6">
        <f ca="1">IFERROR(__xludf.DUMMYFUNCTION("""COMPUTED_VALUE"""),1104.95)</f>
        <v>1104.95</v>
      </c>
      <c r="AH1010" s="6" t="str">
        <f t="shared" ca="1" si="282"/>
        <v>20209</v>
      </c>
      <c r="AI1010" s="6">
        <f t="shared" ca="1" si="283"/>
        <v>2020</v>
      </c>
      <c r="AJ1010" s="6">
        <f t="shared" ca="1" si="284"/>
        <v>9</v>
      </c>
      <c r="AK1010" s="68">
        <f ca="1">IFERROR(__xludf.DUMMYFUNCTION("""COMPUTED_VALUE"""),44102.9986111111)</f>
        <v>44102.998611111099</v>
      </c>
      <c r="AL1010" s="6">
        <f ca="1">IFERROR(__xludf.DUMMYFUNCTION("""COMPUTED_VALUE"""),10695.78)</f>
        <v>10695.78</v>
      </c>
      <c r="AP1010" s="6" t="str">
        <f t="shared" ca="1" si="285"/>
        <v>20221</v>
      </c>
      <c r="AQ1010" s="6">
        <f t="shared" ca="1" si="286"/>
        <v>2022</v>
      </c>
      <c r="AR1010" s="6">
        <f t="shared" ca="1" si="287"/>
        <v>1</v>
      </c>
      <c r="AS1010" s="68">
        <f ca="1">IFERROR(__xludf.DUMMYFUNCTION("""COMPUTED_VALUE"""),44571.9986111111)</f>
        <v>44571.998611111099</v>
      </c>
      <c r="AT1010" s="6">
        <f ca="1">IFERROR(__xludf.DUMMYFUNCTION("""COMPUTED_VALUE"""),1798.8)</f>
        <v>1798.8</v>
      </c>
    </row>
    <row r="1011" spans="2:46" x14ac:dyDescent="0.35">
      <c r="B1011" s="6" t="str">
        <f t="shared" ca="1" si="270"/>
        <v>20221</v>
      </c>
      <c r="C1011" s="6">
        <f t="shared" ca="1" si="271"/>
        <v>2022</v>
      </c>
      <c r="D1011" s="6">
        <f t="shared" ca="1" si="272"/>
        <v>1</v>
      </c>
      <c r="E1011" s="68">
        <f ca="1">IFERROR(__xludf.DUMMYFUNCTION("""COMPUTED_VALUE"""),44564.6666666666)</f>
        <v>44564.666666666599</v>
      </c>
      <c r="F1011" s="6">
        <f ca="1">IFERROR(__xludf.DUMMYFUNCTION("""COMPUTED_VALUE"""),4796.56)</f>
        <v>4796.5600000000004</v>
      </c>
      <c r="J1011" s="6" t="str">
        <f t="shared" ca="1" si="273"/>
        <v>202112</v>
      </c>
      <c r="K1011" s="6">
        <f t="shared" ca="1" si="274"/>
        <v>2021</v>
      </c>
      <c r="L1011" s="6">
        <f t="shared" ca="1" si="275"/>
        <v>12</v>
      </c>
      <c r="M1011" s="68">
        <f ca="1">IFERROR(__xludf.DUMMYFUNCTION("""COMPUTED_VALUE"""),44557.6666666666)</f>
        <v>44557.666666666599</v>
      </c>
      <c r="N1011" s="6">
        <f ca="1">IFERROR(__xludf.DUMMYFUNCTION("""COMPUTED_VALUE"""),15871.26)</f>
        <v>15871.26</v>
      </c>
      <c r="R1011" s="6" t="str">
        <f t="shared" ca="1" si="276"/>
        <v>20222</v>
      </c>
      <c r="S1011" s="6">
        <f t="shared" ca="1" si="277"/>
        <v>2022</v>
      </c>
      <c r="T1011" s="6">
        <f t="shared" ca="1" si="278"/>
        <v>2</v>
      </c>
      <c r="U1011" s="68">
        <f ca="1">IFERROR(__xludf.DUMMYFUNCTION("""COMPUTED_VALUE"""),44603.6458333333)</f>
        <v>44603.645833333299</v>
      </c>
      <c r="V1011" s="6">
        <f ca="1">IFERROR(__xludf.DUMMYFUNCTION("""COMPUTED_VALUE"""),2747.71)</f>
        <v>2747.71</v>
      </c>
      <c r="Z1011" s="6" t="str">
        <f t="shared" ca="1" si="279"/>
        <v>202011</v>
      </c>
      <c r="AA1011" s="6">
        <f t="shared" ca="1" si="280"/>
        <v>2020</v>
      </c>
      <c r="AB1011" s="6">
        <f t="shared" ca="1" si="281"/>
        <v>11</v>
      </c>
      <c r="AC1011" s="68">
        <f ca="1">IFERROR(__xludf.DUMMYFUNCTION("""COMPUTED_VALUE"""),44153.9986111111)</f>
        <v>44153.998611111099</v>
      </c>
      <c r="AD1011" s="6">
        <f ca="1">IFERROR(__xludf.DUMMYFUNCTION("""COMPUTED_VALUE"""),1105.9)</f>
        <v>1105.9000000000001</v>
      </c>
      <c r="AH1011" s="6" t="str">
        <f t="shared" ca="1" si="282"/>
        <v>20209</v>
      </c>
      <c r="AI1011" s="6">
        <f t="shared" ca="1" si="283"/>
        <v>2020</v>
      </c>
      <c r="AJ1011" s="6">
        <f t="shared" ca="1" si="284"/>
        <v>9</v>
      </c>
      <c r="AK1011" s="68">
        <f ca="1">IFERROR(__xludf.DUMMYFUNCTION("""COMPUTED_VALUE"""),44103.9986111111)</f>
        <v>44103.998611111099</v>
      </c>
      <c r="AL1011" s="6">
        <f ca="1">IFERROR(__xludf.DUMMYFUNCTION("""COMPUTED_VALUE"""),10841.77)</f>
        <v>10841.77</v>
      </c>
      <c r="AP1011" s="6" t="str">
        <f t="shared" ca="1" si="285"/>
        <v>20221</v>
      </c>
      <c r="AQ1011" s="6">
        <f t="shared" ca="1" si="286"/>
        <v>2022</v>
      </c>
      <c r="AR1011" s="6">
        <f t="shared" ca="1" si="287"/>
        <v>1</v>
      </c>
      <c r="AS1011" s="68">
        <f ca="1">IFERROR(__xludf.DUMMYFUNCTION("""COMPUTED_VALUE"""),44572.9986111111)</f>
        <v>44572.998611111099</v>
      </c>
      <c r="AT1011" s="6">
        <f ca="1">IFERROR(__xludf.DUMMYFUNCTION("""COMPUTED_VALUE"""),1818.5)</f>
        <v>1818.5</v>
      </c>
    </row>
    <row r="1012" spans="2:46" x14ac:dyDescent="0.35">
      <c r="B1012" s="6" t="str">
        <f t="shared" ca="1" si="270"/>
        <v>20221</v>
      </c>
      <c r="C1012" s="6">
        <f t="shared" ca="1" si="271"/>
        <v>2022</v>
      </c>
      <c r="D1012" s="6">
        <f t="shared" ca="1" si="272"/>
        <v>1</v>
      </c>
      <c r="E1012" s="68">
        <f ca="1">IFERROR(__xludf.DUMMYFUNCTION("""COMPUTED_VALUE"""),44565.6666666666)</f>
        <v>44565.666666666599</v>
      </c>
      <c r="F1012" s="6">
        <f ca="1">IFERROR(__xludf.DUMMYFUNCTION("""COMPUTED_VALUE"""),4793.54)</f>
        <v>4793.54</v>
      </c>
      <c r="J1012" s="6" t="str">
        <f t="shared" ca="1" si="273"/>
        <v>202112</v>
      </c>
      <c r="K1012" s="6">
        <f t="shared" ca="1" si="274"/>
        <v>2021</v>
      </c>
      <c r="L1012" s="6">
        <f t="shared" ca="1" si="275"/>
        <v>12</v>
      </c>
      <c r="M1012" s="68">
        <f ca="1">IFERROR(__xludf.DUMMYFUNCTION("""COMPUTED_VALUE"""),44558.6666666666)</f>
        <v>44558.666666666599</v>
      </c>
      <c r="N1012" s="6">
        <f ca="1">IFERROR(__xludf.DUMMYFUNCTION("""COMPUTED_VALUE"""),15781.72)</f>
        <v>15781.72</v>
      </c>
      <c r="R1012" s="6" t="str">
        <f t="shared" ca="1" si="276"/>
        <v>20222</v>
      </c>
      <c r="S1012" s="6">
        <f t="shared" ca="1" si="277"/>
        <v>2022</v>
      </c>
      <c r="T1012" s="6">
        <f t="shared" ca="1" si="278"/>
        <v>2</v>
      </c>
      <c r="U1012" s="68">
        <f ca="1">IFERROR(__xludf.DUMMYFUNCTION("""COMPUTED_VALUE"""),44606.6458333333)</f>
        <v>44606.645833333299</v>
      </c>
      <c r="V1012" s="6">
        <f ca="1">IFERROR(__xludf.DUMMYFUNCTION("""COMPUTED_VALUE"""),2704.48)</f>
        <v>2704.48</v>
      </c>
      <c r="Z1012" s="6" t="str">
        <f t="shared" ca="1" si="279"/>
        <v>202011</v>
      </c>
      <c r="AA1012" s="6">
        <f t="shared" ca="1" si="280"/>
        <v>2020</v>
      </c>
      <c r="AB1012" s="6">
        <f t="shared" ca="1" si="281"/>
        <v>11</v>
      </c>
      <c r="AC1012" s="68">
        <f ca="1">IFERROR(__xludf.DUMMYFUNCTION("""COMPUTED_VALUE"""),44154.9986111111)</f>
        <v>44154.998611111099</v>
      </c>
      <c r="AD1012" s="6">
        <f ca="1">IFERROR(__xludf.DUMMYFUNCTION("""COMPUTED_VALUE"""),1114.14)</f>
        <v>1114.1400000000001</v>
      </c>
      <c r="AH1012" s="6" t="str">
        <f t="shared" ca="1" si="282"/>
        <v>20209</v>
      </c>
      <c r="AI1012" s="6">
        <f t="shared" ca="1" si="283"/>
        <v>2020</v>
      </c>
      <c r="AJ1012" s="6">
        <f t="shared" ca="1" si="284"/>
        <v>9</v>
      </c>
      <c r="AK1012" s="68">
        <f ca="1">IFERROR(__xludf.DUMMYFUNCTION("""COMPUTED_VALUE"""),44104.9986111111)</f>
        <v>44104.998611111099</v>
      </c>
      <c r="AL1012" s="6">
        <f ca="1">IFERROR(__xludf.DUMMYFUNCTION("""COMPUTED_VALUE"""),10779.78)</f>
        <v>10779.78</v>
      </c>
      <c r="AP1012" s="6" t="str">
        <f t="shared" ca="1" si="285"/>
        <v>20221</v>
      </c>
      <c r="AQ1012" s="6">
        <f t="shared" ca="1" si="286"/>
        <v>2022</v>
      </c>
      <c r="AR1012" s="6">
        <f t="shared" ca="1" si="287"/>
        <v>1</v>
      </c>
      <c r="AS1012" s="68">
        <f ca="1">IFERROR(__xludf.DUMMYFUNCTION("""COMPUTED_VALUE"""),44573.9986111111)</f>
        <v>44573.998611111099</v>
      </c>
      <c r="AT1012" s="6">
        <f ca="1">IFERROR(__xludf.DUMMYFUNCTION("""COMPUTED_VALUE"""),1827.3)</f>
        <v>1827.3</v>
      </c>
    </row>
    <row r="1013" spans="2:46" x14ac:dyDescent="0.35">
      <c r="B1013" s="6" t="str">
        <f t="shared" ca="1" si="270"/>
        <v>20221</v>
      </c>
      <c r="C1013" s="6">
        <f t="shared" ca="1" si="271"/>
        <v>2022</v>
      </c>
      <c r="D1013" s="6">
        <f t="shared" ca="1" si="272"/>
        <v>1</v>
      </c>
      <c r="E1013" s="68">
        <f ca="1">IFERROR(__xludf.DUMMYFUNCTION("""COMPUTED_VALUE"""),44566.6666666666)</f>
        <v>44566.666666666599</v>
      </c>
      <c r="F1013" s="6">
        <f ca="1">IFERROR(__xludf.DUMMYFUNCTION("""COMPUTED_VALUE"""),4700.58)</f>
        <v>4700.58</v>
      </c>
      <c r="J1013" s="6" t="str">
        <f t="shared" ca="1" si="273"/>
        <v>202112</v>
      </c>
      <c r="K1013" s="6">
        <f t="shared" ca="1" si="274"/>
        <v>2021</v>
      </c>
      <c r="L1013" s="6">
        <f t="shared" ca="1" si="275"/>
        <v>12</v>
      </c>
      <c r="M1013" s="68">
        <f ca="1">IFERROR(__xludf.DUMMYFUNCTION("""COMPUTED_VALUE"""),44559.6666666666)</f>
        <v>44559.666666666599</v>
      </c>
      <c r="N1013" s="6">
        <f ca="1">IFERROR(__xludf.DUMMYFUNCTION("""COMPUTED_VALUE"""),15766.22)</f>
        <v>15766.22</v>
      </c>
      <c r="R1013" s="6" t="str">
        <f t="shared" ca="1" si="276"/>
        <v>20222</v>
      </c>
      <c r="S1013" s="6">
        <f t="shared" ca="1" si="277"/>
        <v>2022</v>
      </c>
      <c r="T1013" s="6">
        <f t="shared" ca="1" si="278"/>
        <v>2</v>
      </c>
      <c r="U1013" s="68">
        <f ca="1">IFERROR(__xludf.DUMMYFUNCTION("""COMPUTED_VALUE"""),44607.6458333333)</f>
        <v>44607.645833333299</v>
      </c>
      <c r="V1013" s="6">
        <f ca="1">IFERROR(__xludf.DUMMYFUNCTION("""COMPUTED_VALUE"""),2676.54)</f>
        <v>2676.54</v>
      </c>
      <c r="Z1013" s="6" t="str">
        <f t="shared" ca="1" si="279"/>
        <v>202011</v>
      </c>
      <c r="AA1013" s="6">
        <f t="shared" ca="1" si="280"/>
        <v>2020</v>
      </c>
      <c r="AB1013" s="6">
        <f t="shared" ca="1" si="281"/>
        <v>11</v>
      </c>
      <c r="AC1013" s="68">
        <f ca="1">IFERROR(__xludf.DUMMYFUNCTION("""COMPUTED_VALUE"""),44155.9986111111)</f>
        <v>44155.998611111099</v>
      </c>
      <c r="AD1013" s="6">
        <f ca="1">IFERROR(__xludf.DUMMYFUNCTION("""COMPUTED_VALUE"""),1113.83)</f>
        <v>1113.83</v>
      </c>
      <c r="AH1013" s="6" t="str">
        <f t="shared" ca="1" si="282"/>
        <v>202010</v>
      </c>
      <c r="AI1013" s="6">
        <f t="shared" ca="1" si="283"/>
        <v>2020</v>
      </c>
      <c r="AJ1013" s="6">
        <f t="shared" ca="1" si="284"/>
        <v>10</v>
      </c>
      <c r="AK1013" s="68">
        <f ca="1">IFERROR(__xludf.DUMMYFUNCTION("""COMPUTED_VALUE"""),44105.9986111111)</f>
        <v>44105.998611111099</v>
      </c>
      <c r="AL1013" s="6">
        <f ca="1">IFERROR(__xludf.DUMMYFUNCTION("""COMPUTED_VALUE"""),10620.55)</f>
        <v>10620.55</v>
      </c>
      <c r="AP1013" s="6" t="str">
        <f t="shared" ca="1" si="285"/>
        <v>20221</v>
      </c>
      <c r="AQ1013" s="6">
        <f t="shared" ca="1" si="286"/>
        <v>2022</v>
      </c>
      <c r="AR1013" s="6">
        <f t="shared" ca="1" si="287"/>
        <v>1</v>
      </c>
      <c r="AS1013" s="68">
        <f ca="1">IFERROR(__xludf.DUMMYFUNCTION("""COMPUTED_VALUE"""),44574.9986111111)</f>
        <v>44574.998611111099</v>
      </c>
      <c r="AT1013" s="6">
        <f ca="1">IFERROR(__xludf.DUMMYFUNCTION("""COMPUTED_VALUE"""),1821.4)</f>
        <v>1821.4</v>
      </c>
    </row>
    <row r="1014" spans="2:46" x14ac:dyDescent="0.35">
      <c r="B1014" s="6" t="str">
        <f t="shared" ca="1" si="270"/>
        <v>20221</v>
      </c>
      <c r="C1014" s="6">
        <f t="shared" ca="1" si="271"/>
        <v>2022</v>
      </c>
      <c r="D1014" s="6">
        <f t="shared" ca="1" si="272"/>
        <v>1</v>
      </c>
      <c r="E1014" s="68">
        <f ca="1">IFERROR(__xludf.DUMMYFUNCTION("""COMPUTED_VALUE"""),44567.6666666666)</f>
        <v>44567.666666666599</v>
      </c>
      <c r="F1014" s="6">
        <f ca="1">IFERROR(__xludf.DUMMYFUNCTION("""COMPUTED_VALUE"""),4696.05)</f>
        <v>4696.05</v>
      </c>
      <c r="J1014" s="6" t="str">
        <f t="shared" ca="1" si="273"/>
        <v>202112</v>
      </c>
      <c r="K1014" s="6">
        <f t="shared" ca="1" si="274"/>
        <v>2021</v>
      </c>
      <c r="L1014" s="6">
        <f t="shared" ca="1" si="275"/>
        <v>12</v>
      </c>
      <c r="M1014" s="68">
        <f ca="1">IFERROR(__xludf.DUMMYFUNCTION("""COMPUTED_VALUE"""),44560.6666666666)</f>
        <v>44560.666666666599</v>
      </c>
      <c r="N1014" s="6">
        <f ca="1">IFERROR(__xludf.DUMMYFUNCTION("""COMPUTED_VALUE"""),15741.56)</f>
        <v>15741.56</v>
      </c>
      <c r="R1014" s="6" t="str">
        <f t="shared" ca="1" si="276"/>
        <v>20222</v>
      </c>
      <c r="S1014" s="6">
        <f t="shared" ca="1" si="277"/>
        <v>2022</v>
      </c>
      <c r="T1014" s="6">
        <f t="shared" ca="1" si="278"/>
        <v>2</v>
      </c>
      <c r="U1014" s="68">
        <f ca="1">IFERROR(__xludf.DUMMYFUNCTION("""COMPUTED_VALUE"""),44608.6458333333)</f>
        <v>44608.645833333299</v>
      </c>
      <c r="V1014" s="6">
        <f ca="1">IFERROR(__xludf.DUMMYFUNCTION("""COMPUTED_VALUE"""),2729.68)</f>
        <v>2729.68</v>
      </c>
      <c r="Z1014" s="6" t="str">
        <f t="shared" ca="1" si="279"/>
        <v>202011</v>
      </c>
      <c r="AA1014" s="6">
        <f t="shared" ca="1" si="280"/>
        <v>2020</v>
      </c>
      <c r="AB1014" s="6">
        <f t="shared" ca="1" si="281"/>
        <v>11</v>
      </c>
      <c r="AC1014" s="68">
        <f ca="1">IFERROR(__xludf.DUMMYFUNCTION("""COMPUTED_VALUE"""),44157.9986111111)</f>
        <v>44157.998611111099</v>
      </c>
      <c r="AD1014" s="6">
        <f ca="1">IFERROR(__xludf.DUMMYFUNCTION("""COMPUTED_VALUE"""),1113.83)</f>
        <v>1113.83</v>
      </c>
      <c r="AH1014" s="6" t="str">
        <f t="shared" ca="1" si="282"/>
        <v>202010</v>
      </c>
      <c r="AI1014" s="6">
        <f t="shared" ca="1" si="283"/>
        <v>2020</v>
      </c>
      <c r="AJ1014" s="6">
        <f t="shared" ca="1" si="284"/>
        <v>10</v>
      </c>
      <c r="AK1014" s="68">
        <f ca="1">IFERROR(__xludf.DUMMYFUNCTION("""COMPUTED_VALUE"""),44106.9986111111)</f>
        <v>44106.998611111099</v>
      </c>
      <c r="AL1014" s="6">
        <f ca="1">IFERROR(__xludf.DUMMYFUNCTION("""COMPUTED_VALUE"""),10574.28)</f>
        <v>10574.28</v>
      </c>
      <c r="AP1014" s="6" t="str">
        <f t="shared" ca="1" si="285"/>
        <v>20221</v>
      </c>
      <c r="AQ1014" s="6">
        <f t="shared" ca="1" si="286"/>
        <v>2022</v>
      </c>
      <c r="AR1014" s="6">
        <f t="shared" ca="1" si="287"/>
        <v>1</v>
      </c>
      <c r="AS1014" s="68">
        <f ca="1">IFERROR(__xludf.DUMMYFUNCTION("""COMPUTED_VALUE"""),44575.9986111111)</f>
        <v>44575.998611111099</v>
      </c>
      <c r="AT1014" s="6">
        <f ca="1">IFERROR(__xludf.DUMMYFUNCTION("""COMPUTED_VALUE"""),1816.5)</f>
        <v>1816.5</v>
      </c>
    </row>
    <row r="1015" spans="2:46" x14ac:dyDescent="0.35">
      <c r="B1015" s="6" t="str">
        <f t="shared" ca="1" si="270"/>
        <v>20221</v>
      </c>
      <c r="C1015" s="6">
        <f t="shared" ca="1" si="271"/>
        <v>2022</v>
      </c>
      <c r="D1015" s="6">
        <f t="shared" ca="1" si="272"/>
        <v>1</v>
      </c>
      <c r="E1015" s="68">
        <f ca="1">IFERROR(__xludf.DUMMYFUNCTION("""COMPUTED_VALUE"""),44568.6666666666)</f>
        <v>44568.666666666599</v>
      </c>
      <c r="F1015" s="6">
        <f ca="1">IFERROR(__xludf.DUMMYFUNCTION("""COMPUTED_VALUE"""),4677.03)</f>
        <v>4677.03</v>
      </c>
      <c r="J1015" s="6" t="str">
        <f t="shared" ca="1" si="273"/>
        <v>202112</v>
      </c>
      <c r="K1015" s="6">
        <f t="shared" ca="1" si="274"/>
        <v>2021</v>
      </c>
      <c r="L1015" s="6">
        <f t="shared" ca="1" si="275"/>
        <v>12</v>
      </c>
      <c r="M1015" s="68">
        <f ca="1">IFERROR(__xludf.DUMMYFUNCTION("""COMPUTED_VALUE"""),44561.6666666666)</f>
        <v>44561.666666666599</v>
      </c>
      <c r="N1015" s="6">
        <f ca="1">IFERROR(__xludf.DUMMYFUNCTION("""COMPUTED_VALUE"""),15644.97)</f>
        <v>15644.97</v>
      </c>
      <c r="R1015" s="6" t="str">
        <f t="shared" ca="1" si="276"/>
        <v>20222</v>
      </c>
      <c r="S1015" s="6">
        <f t="shared" ca="1" si="277"/>
        <v>2022</v>
      </c>
      <c r="T1015" s="6">
        <f t="shared" ca="1" si="278"/>
        <v>2</v>
      </c>
      <c r="U1015" s="68">
        <f ca="1">IFERROR(__xludf.DUMMYFUNCTION("""COMPUTED_VALUE"""),44609.6458333333)</f>
        <v>44609.645833333299</v>
      </c>
      <c r="V1015" s="6">
        <f ca="1">IFERROR(__xludf.DUMMYFUNCTION("""COMPUTED_VALUE"""),2744.09)</f>
        <v>2744.09</v>
      </c>
      <c r="Z1015" s="6" t="str">
        <f t="shared" ca="1" si="279"/>
        <v>202011</v>
      </c>
      <c r="AA1015" s="6">
        <f t="shared" ca="1" si="280"/>
        <v>2020</v>
      </c>
      <c r="AB1015" s="6">
        <f t="shared" ca="1" si="281"/>
        <v>11</v>
      </c>
      <c r="AC1015" s="68">
        <f ca="1">IFERROR(__xludf.DUMMYFUNCTION("""COMPUTED_VALUE"""),44158.9986111111)</f>
        <v>44158.998611111099</v>
      </c>
      <c r="AD1015" s="6">
        <f ca="1">IFERROR(__xludf.DUMMYFUNCTION("""COMPUTED_VALUE"""),1113.08)</f>
        <v>1113.08</v>
      </c>
      <c r="AH1015" s="6" t="str">
        <f t="shared" ca="1" si="282"/>
        <v>202010</v>
      </c>
      <c r="AI1015" s="6">
        <f t="shared" ca="1" si="283"/>
        <v>2020</v>
      </c>
      <c r="AJ1015" s="6">
        <f t="shared" ca="1" si="284"/>
        <v>10</v>
      </c>
      <c r="AK1015" s="68">
        <f ca="1">IFERROR(__xludf.DUMMYFUNCTION("""COMPUTED_VALUE"""),44107.9986111111)</f>
        <v>44107.998611111099</v>
      </c>
      <c r="AL1015" s="6">
        <f ca="1">IFERROR(__xludf.DUMMYFUNCTION("""COMPUTED_VALUE"""),10551.46)</f>
        <v>10551.46</v>
      </c>
      <c r="AP1015" s="6" t="str">
        <f t="shared" ca="1" si="285"/>
        <v>20221</v>
      </c>
      <c r="AQ1015" s="6">
        <f t="shared" ca="1" si="286"/>
        <v>2022</v>
      </c>
      <c r="AR1015" s="6">
        <f t="shared" ca="1" si="287"/>
        <v>1</v>
      </c>
      <c r="AS1015" s="68">
        <f ca="1">IFERROR(__xludf.DUMMYFUNCTION("""COMPUTED_VALUE"""),44579.9986111111)</f>
        <v>44579.998611111099</v>
      </c>
      <c r="AT1015" s="6">
        <f ca="1">IFERROR(__xludf.DUMMYFUNCTION("""COMPUTED_VALUE"""),1812.4)</f>
        <v>1812.4</v>
      </c>
    </row>
    <row r="1016" spans="2:46" x14ac:dyDescent="0.35">
      <c r="B1016" s="6" t="str">
        <f t="shared" ca="1" si="270"/>
        <v>20221</v>
      </c>
      <c r="C1016" s="6">
        <f t="shared" ca="1" si="271"/>
        <v>2022</v>
      </c>
      <c r="D1016" s="6">
        <f t="shared" ca="1" si="272"/>
        <v>1</v>
      </c>
      <c r="E1016" s="68">
        <f ca="1">IFERROR(__xludf.DUMMYFUNCTION("""COMPUTED_VALUE"""),44571.6666666666)</f>
        <v>44571.666666666599</v>
      </c>
      <c r="F1016" s="6">
        <f ca="1">IFERROR(__xludf.DUMMYFUNCTION("""COMPUTED_VALUE"""),4670.29)</f>
        <v>4670.29</v>
      </c>
      <c r="J1016" s="6" t="str">
        <f t="shared" ca="1" si="273"/>
        <v>20221</v>
      </c>
      <c r="K1016" s="6">
        <f t="shared" ca="1" si="274"/>
        <v>2022</v>
      </c>
      <c r="L1016" s="6">
        <f t="shared" ca="1" si="275"/>
        <v>1</v>
      </c>
      <c r="M1016" s="68">
        <f ca="1">IFERROR(__xludf.DUMMYFUNCTION("""COMPUTED_VALUE"""),44564.6666666666)</f>
        <v>44564.666666666599</v>
      </c>
      <c r="N1016" s="6">
        <f ca="1">IFERROR(__xludf.DUMMYFUNCTION("""COMPUTED_VALUE"""),15832.8)</f>
        <v>15832.8</v>
      </c>
      <c r="R1016" s="6" t="str">
        <f t="shared" ca="1" si="276"/>
        <v>20222</v>
      </c>
      <c r="S1016" s="6">
        <f t="shared" ca="1" si="277"/>
        <v>2022</v>
      </c>
      <c r="T1016" s="6">
        <f t="shared" ca="1" si="278"/>
        <v>2</v>
      </c>
      <c r="U1016" s="68">
        <f ca="1">IFERROR(__xludf.DUMMYFUNCTION("""COMPUTED_VALUE"""),44610.6458333333)</f>
        <v>44610.645833333299</v>
      </c>
      <c r="V1016" s="6">
        <f ca="1">IFERROR(__xludf.DUMMYFUNCTION("""COMPUTED_VALUE"""),2744.52)</f>
        <v>2744.52</v>
      </c>
      <c r="Z1016" s="6" t="str">
        <f t="shared" ca="1" si="279"/>
        <v>202011</v>
      </c>
      <c r="AA1016" s="6">
        <f t="shared" ca="1" si="280"/>
        <v>2020</v>
      </c>
      <c r="AB1016" s="6">
        <f t="shared" ca="1" si="281"/>
        <v>11</v>
      </c>
      <c r="AC1016" s="68">
        <f ca="1">IFERROR(__xludf.DUMMYFUNCTION("""COMPUTED_VALUE"""),44159.9986111111)</f>
        <v>44159.998611111099</v>
      </c>
      <c r="AD1016" s="6">
        <f ca="1">IFERROR(__xludf.DUMMYFUNCTION("""COMPUTED_VALUE"""),1109.71)</f>
        <v>1109.71</v>
      </c>
      <c r="AH1016" s="6" t="str">
        <f t="shared" ca="1" si="282"/>
        <v>202010</v>
      </c>
      <c r="AI1016" s="6">
        <f t="shared" ca="1" si="283"/>
        <v>2020</v>
      </c>
      <c r="AJ1016" s="6">
        <f t="shared" ca="1" si="284"/>
        <v>10</v>
      </c>
      <c r="AK1016" s="68">
        <f ca="1">IFERROR(__xludf.DUMMYFUNCTION("""COMPUTED_VALUE"""),44108.9986111111)</f>
        <v>44108.998611111099</v>
      </c>
      <c r="AL1016" s="6">
        <f ca="1">IFERROR(__xludf.DUMMYFUNCTION("""COMPUTED_VALUE"""),10673.94)</f>
        <v>10673.94</v>
      </c>
      <c r="AP1016" s="6" t="str">
        <f t="shared" ca="1" si="285"/>
        <v>20221</v>
      </c>
      <c r="AQ1016" s="6">
        <f t="shared" ca="1" si="286"/>
        <v>2022</v>
      </c>
      <c r="AR1016" s="6">
        <f t="shared" ca="1" si="287"/>
        <v>1</v>
      </c>
      <c r="AS1016" s="68">
        <f ca="1">IFERROR(__xludf.DUMMYFUNCTION("""COMPUTED_VALUE"""),44580.9986111111)</f>
        <v>44580.998611111099</v>
      </c>
      <c r="AT1016" s="6">
        <f ca="1">IFERROR(__xludf.DUMMYFUNCTION("""COMPUTED_VALUE"""),1845.5)</f>
        <v>1845.5</v>
      </c>
    </row>
    <row r="1017" spans="2:46" x14ac:dyDescent="0.35">
      <c r="B1017" s="6" t="str">
        <f t="shared" ca="1" si="270"/>
        <v>20221</v>
      </c>
      <c r="C1017" s="6">
        <f t="shared" ca="1" si="271"/>
        <v>2022</v>
      </c>
      <c r="D1017" s="6">
        <f t="shared" ca="1" si="272"/>
        <v>1</v>
      </c>
      <c r="E1017" s="68">
        <f ca="1">IFERROR(__xludf.DUMMYFUNCTION("""COMPUTED_VALUE"""),44572.6666666666)</f>
        <v>44572.666666666599</v>
      </c>
      <c r="F1017" s="6">
        <f ca="1">IFERROR(__xludf.DUMMYFUNCTION("""COMPUTED_VALUE"""),4713.07)</f>
        <v>4713.07</v>
      </c>
      <c r="J1017" s="6" t="str">
        <f t="shared" ca="1" si="273"/>
        <v>20221</v>
      </c>
      <c r="K1017" s="6">
        <f t="shared" ca="1" si="274"/>
        <v>2022</v>
      </c>
      <c r="L1017" s="6">
        <f t="shared" ca="1" si="275"/>
        <v>1</v>
      </c>
      <c r="M1017" s="68">
        <f ca="1">IFERROR(__xludf.DUMMYFUNCTION("""COMPUTED_VALUE"""),44565.6666666666)</f>
        <v>44565.666666666599</v>
      </c>
      <c r="N1017" s="6">
        <f ca="1">IFERROR(__xludf.DUMMYFUNCTION("""COMPUTED_VALUE"""),15622.72)</f>
        <v>15622.72</v>
      </c>
      <c r="R1017" s="6" t="str">
        <f t="shared" ca="1" si="276"/>
        <v>20222</v>
      </c>
      <c r="S1017" s="6">
        <f t="shared" ca="1" si="277"/>
        <v>2022</v>
      </c>
      <c r="T1017" s="6">
        <f t="shared" ca="1" si="278"/>
        <v>2</v>
      </c>
      <c r="U1017" s="68">
        <f ca="1">IFERROR(__xludf.DUMMYFUNCTION("""COMPUTED_VALUE"""),44613.6458333333)</f>
        <v>44613.645833333299</v>
      </c>
      <c r="V1017" s="6">
        <f ca="1">IFERROR(__xludf.DUMMYFUNCTION("""COMPUTED_VALUE"""),2743.8)</f>
        <v>2743.8</v>
      </c>
      <c r="Z1017" s="6" t="str">
        <f t="shared" ca="1" si="279"/>
        <v>202011</v>
      </c>
      <c r="AA1017" s="6">
        <f t="shared" ca="1" si="280"/>
        <v>2020</v>
      </c>
      <c r="AB1017" s="6">
        <f t="shared" ca="1" si="281"/>
        <v>11</v>
      </c>
      <c r="AC1017" s="68">
        <f ca="1">IFERROR(__xludf.DUMMYFUNCTION("""COMPUTED_VALUE"""),44160.9986111111)</f>
        <v>44160.998611111099</v>
      </c>
      <c r="AD1017" s="6">
        <f ca="1">IFERROR(__xludf.DUMMYFUNCTION("""COMPUTED_VALUE"""),1104.49)</f>
        <v>1104.49</v>
      </c>
      <c r="AH1017" s="6" t="str">
        <f t="shared" ca="1" si="282"/>
        <v>202010</v>
      </c>
      <c r="AI1017" s="6">
        <f t="shared" ca="1" si="283"/>
        <v>2020</v>
      </c>
      <c r="AJ1017" s="6">
        <f t="shared" ca="1" si="284"/>
        <v>10</v>
      </c>
      <c r="AK1017" s="68">
        <f ca="1">IFERROR(__xludf.DUMMYFUNCTION("""COMPUTED_VALUE"""),44109.9986111111)</f>
        <v>44109.998611111099</v>
      </c>
      <c r="AL1017" s="6">
        <f ca="1">IFERROR(__xludf.DUMMYFUNCTION("""COMPUTED_VALUE"""),10793.58)</f>
        <v>10793.58</v>
      </c>
      <c r="AP1017" s="6" t="str">
        <f t="shared" ca="1" si="285"/>
        <v>20221</v>
      </c>
      <c r="AQ1017" s="6">
        <f t="shared" ca="1" si="286"/>
        <v>2022</v>
      </c>
      <c r="AR1017" s="6">
        <f t="shared" ca="1" si="287"/>
        <v>1</v>
      </c>
      <c r="AS1017" s="68">
        <f ca="1">IFERROR(__xludf.DUMMYFUNCTION("""COMPUTED_VALUE"""),44581.9986111111)</f>
        <v>44581.998611111099</v>
      </c>
      <c r="AT1017" s="6">
        <f ca="1">IFERROR(__xludf.DUMMYFUNCTION("""COMPUTED_VALUE"""),1844.9)</f>
        <v>1844.9</v>
      </c>
    </row>
    <row r="1018" spans="2:46" x14ac:dyDescent="0.35">
      <c r="B1018" s="6" t="str">
        <f t="shared" ca="1" si="270"/>
        <v>20221</v>
      </c>
      <c r="C1018" s="6">
        <f t="shared" ca="1" si="271"/>
        <v>2022</v>
      </c>
      <c r="D1018" s="6">
        <f t="shared" ca="1" si="272"/>
        <v>1</v>
      </c>
      <c r="E1018" s="68">
        <f ca="1">IFERROR(__xludf.DUMMYFUNCTION("""COMPUTED_VALUE"""),44573.6666666666)</f>
        <v>44573.666666666599</v>
      </c>
      <c r="F1018" s="6">
        <f ca="1">IFERROR(__xludf.DUMMYFUNCTION("""COMPUTED_VALUE"""),4726.35)</f>
        <v>4726.3500000000004</v>
      </c>
      <c r="J1018" s="6" t="str">
        <f t="shared" ca="1" si="273"/>
        <v>20221</v>
      </c>
      <c r="K1018" s="6">
        <f t="shared" ca="1" si="274"/>
        <v>2022</v>
      </c>
      <c r="L1018" s="6">
        <f t="shared" ca="1" si="275"/>
        <v>1</v>
      </c>
      <c r="M1018" s="68">
        <f ca="1">IFERROR(__xludf.DUMMYFUNCTION("""COMPUTED_VALUE"""),44566.6666666666)</f>
        <v>44566.666666666599</v>
      </c>
      <c r="N1018" s="6">
        <f ca="1">IFERROR(__xludf.DUMMYFUNCTION("""COMPUTED_VALUE"""),15100.17)</f>
        <v>15100.17</v>
      </c>
      <c r="R1018" s="6" t="str">
        <f t="shared" ca="1" si="276"/>
        <v>20222</v>
      </c>
      <c r="S1018" s="6">
        <f t="shared" ca="1" si="277"/>
        <v>2022</v>
      </c>
      <c r="T1018" s="6">
        <f t="shared" ca="1" si="278"/>
        <v>2</v>
      </c>
      <c r="U1018" s="68">
        <f ca="1">IFERROR(__xludf.DUMMYFUNCTION("""COMPUTED_VALUE"""),44614.6458333333)</f>
        <v>44614.645833333299</v>
      </c>
      <c r="V1018" s="6">
        <f ca="1">IFERROR(__xludf.DUMMYFUNCTION("""COMPUTED_VALUE"""),2706.79)</f>
        <v>2706.79</v>
      </c>
      <c r="Z1018" s="6" t="str">
        <f t="shared" ca="1" si="279"/>
        <v>202011</v>
      </c>
      <c r="AA1018" s="6">
        <f t="shared" ca="1" si="280"/>
        <v>2020</v>
      </c>
      <c r="AB1018" s="6">
        <f t="shared" ca="1" si="281"/>
        <v>11</v>
      </c>
      <c r="AC1018" s="68">
        <f ca="1">IFERROR(__xludf.DUMMYFUNCTION("""COMPUTED_VALUE"""),44161.9986111111)</f>
        <v>44161.998611111099</v>
      </c>
      <c r="AD1018" s="6">
        <f ca="1">IFERROR(__xludf.DUMMYFUNCTION("""COMPUTED_VALUE"""),1105.56)</f>
        <v>1105.56</v>
      </c>
      <c r="AH1018" s="6" t="str">
        <f t="shared" ca="1" si="282"/>
        <v>202010</v>
      </c>
      <c r="AI1018" s="6">
        <f t="shared" ca="1" si="283"/>
        <v>2020</v>
      </c>
      <c r="AJ1018" s="6">
        <f t="shared" ca="1" si="284"/>
        <v>10</v>
      </c>
      <c r="AK1018" s="68">
        <f ca="1">IFERROR(__xludf.DUMMYFUNCTION("""COMPUTED_VALUE"""),44110.9986111111)</f>
        <v>44110.998611111099</v>
      </c>
      <c r="AL1018" s="6">
        <f ca="1">IFERROR(__xludf.DUMMYFUNCTION("""COMPUTED_VALUE"""),10603.72)</f>
        <v>10603.72</v>
      </c>
      <c r="AP1018" s="6" t="str">
        <f t="shared" ca="1" si="285"/>
        <v>20221</v>
      </c>
      <c r="AQ1018" s="6">
        <f t="shared" ca="1" si="286"/>
        <v>2022</v>
      </c>
      <c r="AR1018" s="6">
        <f t="shared" ca="1" si="287"/>
        <v>1</v>
      </c>
      <c r="AS1018" s="68">
        <f ca="1">IFERROR(__xludf.DUMMYFUNCTION("""COMPUTED_VALUE"""),44582.9986111111)</f>
        <v>44582.998611111099</v>
      </c>
      <c r="AT1018" s="6">
        <f ca="1">IFERROR(__xludf.DUMMYFUNCTION("""COMPUTED_VALUE"""),1834.1)</f>
        <v>1834.1</v>
      </c>
    </row>
    <row r="1019" spans="2:46" x14ac:dyDescent="0.35">
      <c r="B1019" s="6" t="str">
        <f t="shared" ca="1" si="270"/>
        <v>20221</v>
      </c>
      <c r="C1019" s="6">
        <f t="shared" ca="1" si="271"/>
        <v>2022</v>
      </c>
      <c r="D1019" s="6">
        <f t="shared" ca="1" si="272"/>
        <v>1</v>
      </c>
      <c r="E1019" s="68">
        <f ca="1">IFERROR(__xludf.DUMMYFUNCTION("""COMPUTED_VALUE"""),44574.6666666666)</f>
        <v>44574.666666666599</v>
      </c>
      <c r="F1019" s="6">
        <f ca="1">IFERROR(__xludf.DUMMYFUNCTION("""COMPUTED_VALUE"""),4659.03)</f>
        <v>4659.03</v>
      </c>
      <c r="J1019" s="6" t="str">
        <f t="shared" ca="1" si="273"/>
        <v>20221</v>
      </c>
      <c r="K1019" s="6">
        <f t="shared" ca="1" si="274"/>
        <v>2022</v>
      </c>
      <c r="L1019" s="6">
        <f t="shared" ca="1" si="275"/>
        <v>1</v>
      </c>
      <c r="M1019" s="68">
        <f ca="1">IFERROR(__xludf.DUMMYFUNCTION("""COMPUTED_VALUE"""),44567.6666666666)</f>
        <v>44567.666666666599</v>
      </c>
      <c r="N1019" s="6">
        <f ca="1">IFERROR(__xludf.DUMMYFUNCTION("""COMPUTED_VALUE"""),15080.87)</f>
        <v>15080.87</v>
      </c>
      <c r="R1019" s="6" t="str">
        <f t="shared" ca="1" si="276"/>
        <v>20222</v>
      </c>
      <c r="S1019" s="6">
        <f t="shared" ca="1" si="277"/>
        <v>2022</v>
      </c>
      <c r="T1019" s="6">
        <f t="shared" ca="1" si="278"/>
        <v>2</v>
      </c>
      <c r="U1019" s="68">
        <f ca="1">IFERROR(__xludf.DUMMYFUNCTION("""COMPUTED_VALUE"""),44615.6458333333)</f>
        <v>44615.645833333299</v>
      </c>
      <c r="V1019" s="6">
        <f ca="1">IFERROR(__xludf.DUMMYFUNCTION("""COMPUTED_VALUE"""),2719.53)</f>
        <v>2719.53</v>
      </c>
      <c r="Z1019" s="6" t="str">
        <f t="shared" ca="1" si="279"/>
        <v>202011</v>
      </c>
      <c r="AA1019" s="6">
        <f t="shared" ca="1" si="280"/>
        <v>2020</v>
      </c>
      <c r="AB1019" s="6">
        <f t="shared" ca="1" si="281"/>
        <v>11</v>
      </c>
      <c r="AC1019" s="68">
        <f ca="1">IFERROR(__xludf.DUMMYFUNCTION("""COMPUTED_VALUE"""),44162.9986111111)</f>
        <v>44162.998611111099</v>
      </c>
      <c r="AD1019" s="6">
        <f ca="1">IFERROR(__xludf.DUMMYFUNCTION("""COMPUTED_VALUE"""),1104.33)</f>
        <v>1104.33</v>
      </c>
      <c r="AH1019" s="6" t="str">
        <f t="shared" ca="1" si="282"/>
        <v>202010</v>
      </c>
      <c r="AI1019" s="6">
        <f t="shared" ca="1" si="283"/>
        <v>2020</v>
      </c>
      <c r="AJ1019" s="6">
        <f t="shared" ca="1" si="284"/>
        <v>10</v>
      </c>
      <c r="AK1019" s="68">
        <f ca="1">IFERROR(__xludf.DUMMYFUNCTION("""COMPUTED_VALUE"""),44111.9986111111)</f>
        <v>44111.998611111099</v>
      </c>
      <c r="AL1019" s="6">
        <f ca="1">IFERROR(__xludf.DUMMYFUNCTION("""COMPUTED_VALUE"""),10671.61)</f>
        <v>10671.61</v>
      </c>
      <c r="AP1019" s="6" t="str">
        <f t="shared" ca="1" si="285"/>
        <v>20221</v>
      </c>
      <c r="AQ1019" s="6">
        <f t="shared" ca="1" si="286"/>
        <v>2022</v>
      </c>
      <c r="AR1019" s="6">
        <f t="shared" ca="1" si="287"/>
        <v>1</v>
      </c>
      <c r="AS1019" s="68">
        <f ca="1">IFERROR(__xludf.DUMMYFUNCTION("""COMPUTED_VALUE"""),44585.9986111111)</f>
        <v>44585.998611111099</v>
      </c>
      <c r="AT1019" s="6">
        <f ca="1">IFERROR(__xludf.DUMMYFUNCTION("""COMPUTED_VALUE"""),1844.2)</f>
        <v>1844.2</v>
      </c>
    </row>
    <row r="1020" spans="2:46" x14ac:dyDescent="0.35">
      <c r="B1020" s="6" t="str">
        <f t="shared" ca="1" si="270"/>
        <v>20221</v>
      </c>
      <c r="C1020" s="6">
        <f t="shared" ca="1" si="271"/>
        <v>2022</v>
      </c>
      <c r="D1020" s="6">
        <f t="shared" ca="1" si="272"/>
        <v>1</v>
      </c>
      <c r="E1020" s="68">
        <f ca="1">IFERROR(__xludf.DUMMYFUNCTION("""COMPUTED_VALUE"""),44575.6666666666)</f>
        <v>44575.666666666599</v>
      </c>
      <c r="F1020" s="6">
        <f ca="1">IFERROR(__xludf.DUMMYFUNCTION("""COMPUTED_VALUE"""),4662.85)</f>
        <v>4662.8500000000004</v>
      </c>
      <c r="J1020" s="6" t="str">
        <f t="shared" ca="1" si="273"/>
        <v>20221</v>
      </c>
      <c r="K1020" s="6">
        <f t="shared" ca="1" si="274"/>
        <v>2022</v>
      </c>
      <c r="L1020" s="6">
        <f t="shared" ca="1" si="275"/>
        <v>1</v>
      </c>
      <c r="M1020" s="68">
        <f ca="1">IFERROR(__xludf.DUMMYFUNCTION("""COMPUTED_VALUE"""),44568.6666666666)</f>
        <v>44568.666666666599</v>
      </c>
      <c r="N1020" s="6">
        <f ca="1">IFERROR(__xludf.DUMMYFUNCTION("""COMPUTED_VALUE"""),14935.9)</f>
        <v>14935.9</v>
      </c>
      <c r="R1020" s="6" t="str">
        <f t="shared" ca="1" si="276"/>
        <v>20222</v>
      </c>
      <c r="S1020" s="6">
        <f t="shared" ca="1" si="277"/>
        <v>2022</v>
      </c>
      <c r="T1020" s="6">
        <f t="shared" ca="1" si="278"/>
        <v>2</v>
      </c>
      <c r="U1020" s="68">
        <f ca="1">IFERROR(__xludf.DUMMYFUNCTION("""COMPUTED_VALUE"""),44616.6458333333)</f>
        <v>44616.645833333299</v>
      </c>
      <c r="V1020" s="6">
        <f ca="1">IFERROR(__xludf.DUMMYFUNCTION("""COMPUTED_VALUE"""),2648.8)</f>
        <v>2648.8</v>
      </c>
      <c r="Z1020" s="6" t="str">
        <f t="shared" ca="1" si="279"/>
        <v>202011</v>
      </c>
      <c r="AA1020" s="6">
        <f t="shared" ca="1" si="280"/>
        <v>2020</v>
      </c>
      <c r="AB1020" s="6">
        <f t="shared" ca="1" si="281"/>
        <v>11</v>
      </c>
      <c r="AC1020" s="68">
        <f ca="1">IFERROR(__xludf.DUMMYFUNCTION("""COMPUTED_VALUE"""),44163.9986111111)</f>
        <v>44163.998611111099</v>
      </c>
      <c r="AD1020" s="6">
        <f ca="1">IFERROR(__xludf.DUMMYFUNCTION("""COMPUTED_VALUE"""),1104.33)</f>
        <v>1104.33</v>
      </c>
      <c r="AH1020" s="6" t="str">
        <f t="shared" ca="1" si="282"/>
        <v>202010</v>
      </c>
      <c r="AI1020" s="6">
        <f t="shared" ca="1" si="283"/>
        <v>2020</v>
      </c>
      <c r="AJ1020" s="6">
        <f t="shared" ca="1" si="284"/>
        <v>10</v>
      </c>
      <c r="AK1020" s="68">
        <f ca="1">IFERROR(__xludf.DUMMYFUNCTION("""COMPUTED_VALUE"""),44112.9986111111)</f>
        <v>44112.998611111099</v>
      </c>
      <c r="AL1020" s="6">
        <f ca="1">IFERROR(__xludf.DUMMYFUNCTION("""COMPUTED_VALUE"""),10929.55)</f>
        <v>10929.55</v>
      </c>
      <c r="AP1020" s="6" t="str">
        <f t="shared" ca="1" si="285"/>
        <v>20221</v>
      </c>
      <c r="AQ1020" s="6">
        <f t="shared" ca="1" si="286"/>
        <v>2022</v>
      </c>
      <c r="AR1020" s="6">
        <f t="shared" ca="1" si="287"/>
        <v>1</v>
      </c>
      <c r="AS1020" s="68">
        <f ca="1">IFERROR(__xludf.DUMMYFUNCTION("""COMPUTED_VALUE"""),44586.9986111111)</f>
        <v>44586.998611111099</v>
      </c>
      <c r="AT1020" s="6">
        <f ca="1">IFERROR(__xludf.DUMMYFUNCTION("""COMPUTED_VALUE"""),1855)</f>
        <v>1855</v>
      </c>
    </row>
    <row r="1021" spans="2:46" x14ac:dyDescent="0.35">
      <c r="B1021" s="6" t="str">
        <f t="shared" ca="1" si="270"/>
        <v>20221</v>
      </c>
      <c r="C1021" s="6">
        <f t="shared" ca="1" si="271"/>
        <v>2022</v>
      </c>
      <c r="D1021" s="6">
        <f t="shared" ca="1" si="272"/>
        <v>1</v>
      </c>
      <c r="E1021" s="68">
        <f ca="1">IFERROR(__xludf.DUMMYFUNCTION("""COMPUTED_VALUE"""),44579.6666666666)</f>
        <v>44579.666666666599</v>
      </c>
      <c r="F1021" s="6">
        <f ca="1">IFERROR(__xludf.DUMMYFUNCTION("""COMPUTED_VALUE"""),4577.11)</f>
        <v>4577.1099999999997</v>
      </c>
      <c r="J1021" s="6" t="str">
        <f t="shared" ca="1" si="273"/>
        <v>20221</v>
      </c>
      <c r="K1021" s="6">
        <f t="shared" ca="1" si="274"/>
        <v>2022</v>
      </c>
      <c r="L1021" s="6">
        <f t="shared" ca="1" si="275"/>
        <v>1</v>
      </c>
      <c r="M1021" s="68">
        <f ca="1">IFERROR(__xludf.DUMMYFUNCTION("""COMPUTED_VALUE"""),44571.6666666666)</f>
        <v>44571.666666666599</v>
      </c>
      <c r="N1021" s="6">
        <f ca="1">IFERROR(__xludf.DUMMYFUNCTION("""COMPUTED_VALUE"""),14942.83)</f>
        <v>14942.83</v>
      </c>
      <c r="R1021" s="6" t="str">
        <f t="shared" ca="1" si="276"/>
        <v>20222</v>
      </c>
      <c r="S1021" s="6">
        <f t="shared" ca="1" si="277"/>
        <v>2022</v>
      </c>
      <c r="T1021" s="6">
        <f t="shared" ca="1" si="278"/>
        <v>2</v>
      </c>
      <c r="U1021" s="68">
        <f ca="1">IFERROR(__xludf.DUMMYFUNCTION("""COMPUTED_VALUE"""),44617.6458333333)</f>
        <v>44617.645833333299</v>
      </c>
      <c r="V1021" s="6">
        <f ca="1">IFERROR(__xludf.DUMMYFUNCTION("""COMPUTED_VALUE"""),2676.76)</f>
        <v>2676.76</v>
      </c>
      <c r="Z1021" s="6" t="str">
        <f t="shared" ca="1" si="279"/>
        <v>202011</v>
      </c>
      <c r="AA1021" s="6">
        <f t="shared" ca="1" si="280"/>
        <v>2020</v>
      </c>
      <c r="AB1021" s="6">
        <f t="shared" ca="1" si="281"/>
        <v>11</v>
      </c>
      <c r="AC1021" s="68">
        <f ca="1">IFERROR(__xludf.DUMMYFUNCTION("""COMPUTED_VALUE"""),44164.9986111111)</f>
        <v>44164.998611111099</v>
      </c>
      <c r="AD1021" s="6">
        <f ca="1">IFERROR(__xludf.DUMMYFUNCTION("""COMPUTED_VALUE"""),1104.33)</f>
        <v>1104.33</v>
      </c>
      <c r="AH1021" s="6" t="str">
        <f t="shared" ca="1" si="282"/>
        <v>202010</v>
      </c>
      <c r="AI1021" s="6">
        <f t="shared" ca="1" si="283"/>
        <v>2020</v>
      </c>
      <c r="AJ1021" s="6">
        <f t="shared" ca="1" si="284"/>
        <v>10</v>
      </c>
      <c r="AK1021" s="68">
        <f ca="1">IFERROR(__xludf.DUMMYFUNCTION("""COMPUTED_VALUE"""),44113.9986111111)</f>
        <v>44113.998611111099</v>
      </c>
      <c r="AL1021" s="6">
        <f ca="1">IFERROR(__xludf.DUMMYFUNCTION("""COMPUTED_VALUE"""),11059.02)</f>
        <v>11059.02</v>
      </c>
      <c r="AP1021" s="6" t="str">
        <f t="shared" ca="1" si="285"/>
        <v>20221</v>
      </c>
      <c r="AQ1021" s="6">
        <f t="shared" ca="1" si="286"/>
        <v>2022</v>
      </c>
      <c r="AR1021" s="6">
        <f t="shared" ca="1" si="287"/>
        <v>1</v>
      </c>
      <c r="AS1021" s="68">
        <f ca="1">IFERROR(__xludf.DUMMYFUNCTION("""COMPUTED_VALUE"""),44587.9986111111)</f>
        <v>44587.998611111099</v>
      </c>
      <c r="AT1021" s="6">
        <f ca="1">IFERROR(__xludf.DUMMYFUNCTION("""COMPUTED_VALUE"""),1832)</f>
        <v>1832</v>
      </c>
    </row>
    <row r="1022" spans="2:46" x14ac:dyDescent="0.35">
      <c r="B1022" s="6" t="str">
        <f t="shared" ca="1" si="270"/>
        <v>20221</v>
      </c>
      <c r="C1022" s="6">
        <f t="shared" ca="1" si="271"/>
        <v>2022</v>
      </c>
      <c r="D1022" s="6">
        <f t="shared" ca="1" si="272"/>
        <v>1</v>
      </c>
      <c r="E1022" s="68">
        <f ca="1">IFERROR(__xludf.DUMMYFUNCTION("""COMPUTED_VALUE"""),44580.6666666666)</f>
        <v>44580.666666666599</v>
      </c>
      <c r="F1022" s="6">
        <f ca="1">IFERROR(__xludf.DUMMYFUNCTION("""COMPUTED_VALUE"""),4532.76)</f>
        <v>4532.76</v>
      </c>
      <c r="J1022" s="6" t="str">
        <f t="shared" ca="1" si="273"/>
        <v>20221</v>
      </c>
      <c r="K1022" s="6">
        <f t="shared" ca="1" si="274"/>
        <v>2022</v>
      </c>
      <c r="L1022" s="6">
        <f t="shared" ca="1" si="275"/>
        <v>1</v>
      </c>
      <c r="M1022" s="68">
        <f ca="1">IFERROR(__xludf.DUMMYFUNCTION("""COMPUTED_VALUE"""),44572.6666666666)</f>
        <v>44572.666666666599</v>
      </c>
      <c r="N1022" s="6">
        <f ca="1">IFERROR(__xludf.DUMMYFUNCTION("""COMPUTED_VALUE"""),15153.45)</f>
        <v>15153.45</v>
      </c>
      <c r="R1022" s="6" t="str">
        <f t="shared" ca="1" si="276"/>
        <v>20222</v>
      </c>
      <c r="S1022" s="6">
        <f t="shared" ca="1" si="277"/>
        <v>2022</v>
      </c>
      <c r="T1022" s="6">
        <f t="shared" ca="1" si="278"/>
        <v>2</v>
      </c>
      <c r="U1022" s="68">
        <f ca="1">IFERROR(__xludf.DUMMYFUNCTION("""COMPUTED_VALUE"""),44620.6458333333)</f>
        <v>44620.645833333299</v>
      </c>
      <c r="V1022" s="6">
        <f ca="1">IFERROR(__xludf.DUMMYFUNCTION("""COMPUTED_VALUE"""),2699.18)</f>
        <v>2699.18</v>
      </c>
      <c r="Z1022" s="6" t="str">
        <f t="shared" ca="1" si="279"/>
        <v>202011</v>
      </c>
      <c r="AA1022" s="6">
        <f t="shared" ca="1" si="280"/>
        <v>2020</v>
      </c>
      <c r="AB1022" s="6">
        <f t="shared" ca="1" si="281"/>
        <v>11</v>
      </c>
      <c r="AC1022" s="68">
        <f ca="1">IFERROR(__xludf.DUMMYFUNCTION("""COMPUTED_VALUE"""),44165.9986111111)</f>
        <v>44165.998611111099</v>
      </c>
      <c r="AD1022" s="6">
        <f ca="1">IFERROR(__xludf.DUMMYFUNCTION("""COMPUTED_VALUE"""),1108.51)</f>
        <v>1108.51</v>
      </c>
      <c r="AH1022" s="6" t="str">
        <f t="shared" ca="1" si="282"/>
        <v>202010</v>
      </c>
      <c r="AI1022" s="6">
        <f t="shared" ca="1" si="283"/>
        <v>2020</v>
      </c>
      <c r="AJ1022" s="6">
        <f t="shared" ca="1" si="284"/>
        <v>10</v>
      </c>
      <c r="AK1022" s="68">
        <f ca="1">IFERROR(__xludf.DUMMYFUNCTION("""COMPUTED_VALUE"""),44114.9986111111)</f>
        <v>44114.998611111099</v>
      </c>
      <c r="AL1022" s="6">
        <f ca="1">IFERROR(__xludf.DUMMYFUNCTION("""COMPUTED_VALUE"""),11301.6)</f>
        <v>11301.6</v>
      </c>
      <c r="AP1022" s="6" t="str">
        <f t="shared" ca="1" si="285"/>
        <v>20221</v>
      </c>
      <c r="AQ1022" s="6">
        <f t="shared" ca="1" si="286"/>
        <v>2022</v>
      </c>
      <c r="AR1022" s="6">
        <f t="shared" ca="1" si="287"/>
        <v>1</v>
      </c>
      <c r="AS1022" s="68">
        <f ca="1">IFERROR(__xludf.DUMMYFUNCTION("""COMPUTED_VALUE"""),44588.9986111111)</f>
        <v>44588.998611111099</v>
      </c>
      <c r="AT1022" s="6">
        <f ca="1">IFERROR(__xludf.DUMMYFUNCTION("""COMPUTED_VALUE"""),1795)</f>
        <v>1795</v>
      </c>
    </row>
    <row r="1023" spans="2:46" x14ac:dyDescent="0.35">
      <c r="B1023" s="6" t="str">
        <f t="shared" ca="1" si="270"/>
        <v>20221</v>
      </c>
      <c r="C1023" s="6">
        <f t="shared" ca="1" si="271"/>
        <v>2022</v>
      </c>
      <c r="D1023" s="6">
        <f t="shared" ca="1" si="272"/>
        <v>1</v>
      </c>
      <c r="E1023" s="68">
        <f ca="1">IFERROR(__xludf.DUMMYFUNCTION("""COMPUTED_VALUE"""),44581.6666666666)</f>
        <v>44581.666666666599</v>
      </c>
      <c r="F1023" s="6">
        <f ca="1">IFERROR(__xludf.DUMMYFUNCTION("""COMPUTED_VALUE"""),4482.73)</f>
        <v>4482.7299999999996</v>
      </c>
      <c r="J1023" s="6" t="str">
        <f t="shared" ca="1" si="273"/>
        <v>20221</v>
      </c>
      <c r="K1023" s="6">
        <f t="shared" ca="1" si="274"/>
        <v>2022</v>
      </c>
      <c r="L1023" s="6">
        <f t="shared" ca="1" si="275"/>
        <v>1</v>
      </c>
      <c r="M1023" s="68">
        <f ca="1">IFERROR(__xludf.DUMMYFUNCTION("""COMPUTED_VALUE"""),44573.6666666666)</f>
        <v>44573.666666666599</v>
      </c>
      <c r="N1023" s="6">
        <f ca="1">IFERROR(__xludf.DUMMYFUNCTION("""COMPUTED_VALUE"""),15188.39)</f>
        <v>15188.39</v>
      </c>
      <c r="R1023" s="6" t="str">
        <f t="shared" ca="1" si="276"/>
        <v>20223</v>
      </c>
      <c r="S1023" s="6">
        <f t="shared" ca="1" si="277"/>
        <v>2022</v>
      </c>
      <c r="T1023" s="6">
        <f t="shared" ca="1" si="278"/>
        <v>3</v>
      </c>
      <c r="U1023" s="68">
        <f ca="1">IFERROR(__xludf.DUMMYFUNCTION("""COMPUTED_VALUE"""),44622.6458333333)</f>
        <v>44622.645833333299</v>
      </c>
      <c r="V1023" s="6">
        <f ca="1">IFERROR(__xludf.DUMMYFUNCTION("""COMPUTED_VALUE"""),2703.52)</f>
        <v>2703.52</v>
      </c>
      <c r="Z1023" s="6" t="str">
        <f t="shared" ca="1" si="279"/>
        <v>202012</v>
      </c>
      <c r="AA1023" s="6">
        <f t="shared" ca="1" si="280"/>
        <v>2020</v>
      </c>
      <c r="AB1023" s="6">
        <f t="shared" ca="1" si="281"/>
        <v>12</v>
      </c>
      <c r="AC1023" s="68">
        <f ca="1">IFERROR(__xludf.DUMMYFUNCTION("""COMPUTED_VALUE"""),44166.9986111111)</f>
        <v>44166.998611111099</v>
      </c>
      <c r="AD1023" s="6">
        <f ca="1">IFERROR(__xludf.DUMMYFUNCTION("""COMPUTED_VALUE"""),1106.28)</f>
        <v>1106.28</v>
      </c>
      <c r="AH1023" s="6" t="str">
        <f t="shared" ca="1" si="282"/>
        <v>202010</v>
      </c>
      <c r="AI1023" s="6">
        <f t="shared" ca="1" si="283"/>
        <v>2020</v>
      </c>
      <c r="AJ1023" s="6">
        <f t="shared" ca="1" si="284"/>
        <v>10</v>
      </c>
      <c r="AK1023" s="68">
        <f ca="1">IFERROR(__xludf.DUMMYFUNCTION("""COMPUTED_VALUE"""),44115.9986111111)</f>
        <v>44115.998611111099</v>
      </c>
      <c r="AL1023" s="6">
        <f ca="1">IFERROR(__xludf.DUMMYFUNCTION("""COMPUTED_VALUE"""),11375.07)</f>
        <v>11375.07</v>
      </c>
      <c r="AP1023" s="6" t="str">
        <f t="shared" ca="1" si="285"/>
        <v>20221</v>
      </c>
      <c r="AQ1023" s="6">
        <f t="shared" ca="1" si="286"/>
        <v>2022</v>
      </c>
      <c r="AR1023" s="6">
        <f t="shared" ca="1" si="287"/>
        <v>1</v>
      </c>
      <c r="AS1023" s="68">
        <f ca="1">IFERROR(__xludf.DUMMYFUNCTION("""COMPUTED_VALUE"""),44589.9986111111)</f>
        <v>44589.998611111099</v>
      </c>
      <c r="AT1023" s="6">
        <f ca="1">IFERROR(__xludf.DUMMYFUNCTION("""COMPUTED_VALUE"""),1786.6)</f>
        <v>1786.6</v>
      </c>
    </row>
    <row r="1024" spans="2:46" x14ac:dyDescent="0.35">
      <c r="B1024" s="6" t="str">
        <f t="shared" ca="1" si="270"/>
        <v>20221</v>
      </c>
      <c r="C1024" s="6">
        <f t="shared" ca="1" si="271"/>
        <v>2022</v>
      </c>
      <c r="D1024" s="6">
        <f t="shared" ca="1" si="272"/>
        <v>1</v>
      </c>
      <c r="E1024" s="68">
        <f ca="1">IFERROR(__xludf.DUMMYFUNCTION("""COMPUTED_VALUE"""),44582.6666666666)</f>
        <v>44582.666666666599</v>
      </c>
      <c r="F1024" s="6">
        <f ca="1">IFERROR(__xludf.DUMMYFUNCTION("""COMPUTED_VALUE"""),4397.94)</f>
        <v>4397.9399999999996</v>
      </c>
      <c r="J1024" s="6" t="str">
        <f t="shared" ca="1" si="273"/>
        <v>20221</v>
      </c>
      <c r="K1024" s="6">
        <f t="shared" ca="1" si="274"/>
        <v>2022</v>
      </c>
      <c r="L1024" s="6">
        <f t="shared" ca="1" si="275"/>
        <v>1</v>
      </c>
      <c r="M1024" s="68">
        <f ca="1">IFERROR(__xludf.DUMMYFUNCTION("""COMPUTED_VALUE"""),44574.6666666666)</f>
        <v>44574.666666666599</v>
      </c>
      <c r="N1024" s="6">
        <f ca="1">IFERROR(__xludf.DUMMYFUNCTION("""COMPUTED_VALUE"""),14806.81)</f>
        <v>14806.81</v>
      </c>
      <c r="R1024" s="6" t="str">
        <f t="shared" ca="1" si="276"/>
        <v>20223</v>
      </c>
      <c r="S1024" s="6">
        <f t="shared" ca="1" si="277"/>
        <v>2022</v>
      </c>
      <c r="T1024" s="6">
        <f t="shared" ca="1" si="278"/>
        <v>3</v>
      </c>
      <c r="U1024" s="68">
        <f ca="1">IFERROR(__xludf.DUMMYFUNCTION("""COMPUTED_VALUE"""),44623.6458333333)</f>
        <v>44623.645833333299</v>
      </c>
      <c r="V1024" s="6">
        <f ca="1">IFERROR(__xludf.DUMMYFUNCTION("""COMPUTED_VALUE"""),2747.08)</f>
        <v>2747.08</v>
      </c>
      <c r="Z1024" s="6" t="str">
        <f t="shared" ca="1" si="279"/>
        <v>202012</v>
      </c>
      <c r="AA1024" s="6">
        <f t="shared" ca="1" si="280"/>
        <v>2020</v>
      </c>
      <c r="AB1024" s="6">
        <f t="shared" ca="1" si="281"/>
        <v>12</v>
      </c>
      <c r="AC1024" s="68">
        <f ca="1">IFERROR(__xludf.DUMMYFUNCTION("""COMPUTED_VALUE"""),44167.9986111111)</f>
        <v>44167.998611111099</v>
      </c>
      <c r="AD1024" s="6">
        <f ca="1">IFERROR(__xludf.DUMMYFUNCTION("""COMPUTED_VALUE"""),1099.38)</f>
        <v>1099.3800000000001</v>
      </c>
      <c r="AH1024" s="6" t="str">
        <f t="shared" ca="1" si="282"/>
        <v>202010</v>
      </c>
      <c r="AI1024" s="6">
        <f t="shared" ca="1" si="283"/>
        <v>2020</v>
      </c>
      <c r="AJ1024" s="6">
        <f t="shared" ca="1" si="284"/>
        <v>10</v>
      </c>
      <c r="AK1024" s="68">
        <f ca="1">IFERROR(__xludf.DUMMYFUNCTION("""COMPUTED_VALUE"""),44116.9986111111)</f>
        <v>44116.998611111099</v>
      </c>
      <c r="AL1024" s="6">
        <f ca="1">IFERROR(__xludf.DUMMYFUNCTION("""COMPUTED_VALUE"""),11537.3)</f>
        <v>11537.3</v>
      </c>
      <c r="AP1024" s="6" t="str">
        <f t="shared" ca="1" si="285"/>
        <v>20221</v>
      </c>
      <c r="AQ1024" s="6">
        <f t="shared" ca="1" si="286"/>
        <v>2022</v>
      </c>
      <c r="AR1024" s="6">
        <f t="shared" ca="1" si="287"/>
        <v>1</v>
      </c>
      <c r="AS1024" s="68">
        <f ca="1">IFERROR(__xludf.DUMMYFUNCTION("""COMPUTED_VALUE"""),44592.9986111111)</f>
        <v>44592.998611111099</v>
      </c>
      <c r="AT1024" s="6">
        <f ca="1">IFERROR(__xludf.DUMMYFUNCTION("""COMPUTED_VALUE"""),1796.4)</f>
        <v>1796.4</v>
      </c>
    </row>
    <row r="1025" spans="2:46" x14ac:dyDescent="0.35">
      <c r="B1025" s="6" t="str">
        <f t="shared" ca="1" si="270"/>
        <v>20221</v>
      </c>
      <c r="C1025" s="6">
        <f t="shared" ca="1" si="271"/>
        <v>2022</v>
      </c>
      <c r="D1025" s="6">
        <f t="shared" ca="1" si="272"/>
        <v>1</v>
      </c>
      <c r="E1025" s="68">
        <f ca="1">IFERROR(__xludf.DUMMYFUNCTION("""COMPUTED_VALUE"""),44585.6666666666)</f>
        <v>44585.666666666599</v>
      </c>
      <c r="F1025" s="6">
        <f ca="1">IFERROR(__xludf.DUMMYFUNCTION("""COMPUTED_VALUE"""),4410.13)</f>
        <v>4410.13</v>
      </c>
      <c r="J1025" s="6" t="str">
        <f t="shared" ca="1" si="273"/>
        <v>20221</v>
      </c>
      <c r="K1025" s="6">
        <f t="shared" ca="1" si="274"/>
        <v>2022</v>
      </c>
      <c r="L1025" s="6">
        <f t="shared" ca="1" si="275"/>
        <v>1</v>
      </c>
      <c r="M1025" s="68">
        <f ca="1">IFERROR(__xludf.DUMMYFUNCTION("""COMPUTED_VALUE"""),44575.6666666666)</f>
        <v>44575.666666666599</v>
      </c>
      <c r="N1025" s="6">
        <f ca="1">IFERROR(__xludf.DUMMYFUNCTION("""COMPUTED_VALUE"""),14893.75)</f>
        <v>14893.75</v>
      </c>
      <c r="R1025" s="6" t="str">
        <f t="shared" ca="1" si="276"/>
        <v>20223</v>
      </c>
      <c r="S1025" s="6">
        <f t="shared" ca="1" si="277"/>
        <v>2022</v>
      </c>
      <c r="T1025" s="6">
        <f t="shared" ca="1" si="278"/>
        <v>3</v>
      </c>
      <c r="U1025" s="68">
        <f ca="1">IFERROR(__xludf.DUMMYFUNCTION("""COMPUTED_VALUE"""),44624.6458333333)</f>
        <v>44624.645833333299</v>
      </c>
      <c r="V1025" s="6">
        <f ca="1">IFERROR(__xludf.DUMMYFUNCTION("""COMPUTED_VALUE"""),2713.43)</f>
        <v>2713.43</v>
      </c>
      <c r="Z1025" s="6" t="str">
        <f t="shared" ca="1" si="279"/>
        <v>202012</v>
      </c>
      <c r="AA1025" s="6">
        <f t="shared" ca="1" si="280"/>
        <v>2020</v>
      </c>
      <c r="AB1025" s="6">
        <f t="shared" ca="1" si="281"/>
        <v>12</v>
      </c>
      <c r="AC1025" s="68">
        <f ca="1">IFERROR(__xludf.DUMMYFUNCTION("""COMPUTED_VALUE"""),44168.9986111111)</f>
        <v>44168.998611111099</v>
      </c>
      <c r="AD1025" s="6">
        <f ca="1">IFERROR(__xludf.DUMMYFUNCTION("""COMPUTED_VALUE"""),1091.32)</f>
        <v>1091.32</v>
      </c>
      <c r="AH1025" s="6" t="str">
        <f t="shared" ca="1" si="282"/>
        <v>202010</v>
      </c>
      <c r="AI1025" s="6">
        <f t="shared" ca="1" si="283"/>
        <v>2020</v>
      </c>
      <c r="AJ1025" s="6">
        <f t="shared" ca="1" si="284"/>
        <v>10</v>
      </c>
      <c r="AK1025" s="68">
        <f ca="1">IFERROR(__xludf.DUMMYFUNCTION("""COMPUTED_VALUE"""),44117.9986111111)</f>
        <v>44117.998611111099</v>
      </c>
      <c r="AL1025" s="6">
        <f ca="1">IFERROR(__xludf.DUMMYFUNCTION("""COMPUTED_VALUE"""),11429.06)</f>
        <v>11429.06</v>
      </c>
      <c r="AP1025" s="6" t="str">
        <f t="shared" ca="1" si="285"/>
        <v>20222</v>
      </c>
      <c r="AQ1025" s="6">
        <f t="shared" ca="1" si="286"/>
        <v>2022</v>
      </c>
      <c r="AR1025" s="6">
        <f t="shared" ca="1" si="287"/>
        <v>2</v>
      </c>
      <c r="AS1025" s="68">
        <f ca="1">IFERROR(__xludf.DUMMYFUNCTION("""COMPUTED_VALUE"""),44593.9986111111)</f>
        <v>44593.998611111099</v>
      </c>
      <c r="AT1025" s="6">
        <f ca="1">IFERROR(__xludf.DUMMYFUNCTION("""COMPUTED_VALUE"""),1801.5)</f>
        <v>1801.5</v>
      </c>
    </row>
    <row r="1026" spans="2:46" x14ac:dyDescent="0.35">
      <c r="B1026" s="6" t="str">
        <f t="shared" ca="1" si="270"/>
        <v>20221</v>
      </c>
      <c r="C1026" s="6">
        <f t="shared" ca="1" si="271"/>
        <v>2022</v>
      </c>
      <c r="D1026" s="6">
        <f t="shared" ca="1" si="272"/>
        <v>1</v>
      </c>
      <c r="E1026" s="68">
        <f ca="1">IFERROR(__xludf.DUMMYFUNCTION("""COMPUTED_VALUE"""),44586.6666666666)</f>
        <v>44586.666666666599</v>
      </c>
      <c r="F1026" s="6">
        <f ca="1">IFERROR(__xludf.DUMMYFUNCTION("""COMPUTED_VALUE"""),4356.45)</f>
        <v>4356.45</v>
      </c>
      <c r="J1026" s="6" t="str">
        <f t="shared" ca="1" si="273"/>
        <v>20221</v>
      </c>
      <c r="K1026" s="6">
        <f t="shared" ca="1" si="274"/>
        <v>2022</v>
      </c>
      <c r="L1026" s="6">
        <f t="shared" ca="1" si="275"/>
        <v>1</v>
      </c>
      <c r="M1026" s="68">
        <f ca="1">IFERROR(__xludf.DUMMYFUNCTION("""COMPUTED_VALUE"""),44579.6666666666)</f>
        <v>44579.666666666599</v>
      </c>
      <c r="N1026" s="6">
        <f ca="1">IFERROR(__xludf.DUMMYFUNCTION("""COMPUTED_VALUE"""),14506.9)</f>
        <v>14506.9</v>
      </c>
      <c r="R1026" s="6" t="str">
        <f t="shared" ca="1" si="276"/>
        <v>20223</v>
      </c>
      <c r="S1026" s="6">
        <f t="shared" ca="1" si="277"/>
        <v>2022</v>
      </c>
      <c r="T1026" s="6">
        <f t="shared" ca="1" si="278"/>
        <v>3</v>
      </c>
      <c r="U1026" s="68">
        <f ca="1">IFERROR(__xludf.DUMMYFUNCTION("""COMPUTED_VALUE"""),44627.6458333333)</f>
        <v>44627.645833333299</v>
      </c>
      <c r="V1026" s="6">
        <f ca="1">IFERROR(__xludf.DUMMYFUNCTION("""COMPUTED_VALUE"""),2651.31)</f>
        <v>2651.31</v>
      </c>
      <c r="Z1026" s="6" t="str">
        <f t="shared" ca="1" si="279"/>
        <v>202012</v>
      </c>
      <c r="AA1026" s="6">
        <f t="shared" ca="1" si="280"/>
        <v>2020</v>
      </c>
      <c r="AB1026" s="6">
        <f t="shared" ca="1" si="281"/>
        <v>12</v>
      </c>
      <c r="AC1026" s="68">
        <f ca="1">IFERROR(__xludf.DUMMYFUNCTION("""COMPUTED_VALUE"""),44169.9986111111)</f>
        <v>44169.998611111099</v>
      </c>
      <c r="AD1026" s="6">
        <f ca="1">IFERROR(__xludf.DUMMYFUNCTION("""COMPUTED_VALUE"""),1083.78)</f>
        <v>1083.78</v>
      </c>
      <c r="AH1026" s="6" t="str">
        <f t="shared" ca="1" si="282"/>
        <v>202010</v>
      </c>
      <c r="AI1026" s="6">
        <f t="shared" ca="1" si="283"/>
        <v>2020</v>
      </c>
      <c r="AJ1026" s="6">
        <f t="shared" ca="1" si="284"/>
        <v>10</v>
      </c>
      <c r="AK1026" s="68">
        <f ca="1">IFERROR(__xludf.DUMMYFUNCTION("""COMPUTED_VALUE"""),44118.9986111111)</f>
        <v>44118.998611111099</v>
      </c>
      <c r="AL1026" s="6">
        <f ca="1">IFERROR(__xludf.DUMMYFUNCTION("""COMPUTED_VALUE"""),11428.24)</f>
        <v>11428.24</v>
      </c>
      <c r="AP1026" s="6" t="str">
        <f t="shared" ca="1" si="285"/>
        <v>20222</v>
      </c>
      <c r="AQ1026" s="6">
        <f t="shared" ca="1" si="286"/>
        <v>2022</v>
      </c>
      <c r="AR1026" s="6">
        <f t="shared" ca="1" si="287"/>
        <v>2</v>
      </c>
      <c r="AS1026" s="68">
        <f ca="1">IFERROR(__xludf.DUMMYFUNCTION("""COMPUTED_VALUE"""),44594.9986111111)</f>
        <v>44594.998611111099</v>
      </c>
      <c r="AT1026" s="6">
        <f ca="1">IFERROR(__xludf.DUMMYFUNCTION("""COMPUTED_VALUE"""),1810.3)</f>
        <v>1810.3</v>
      </c>
    </row>
    <row r="1027" spans="2:46" x14ac:dyDescent="0.35">
      <c r="B1027" s="6" t="str">
        <f t="shared" ca="1" si="270"/>
        <v>20221</v>
      </c>
      <c r="C1027" s="6">
        <f t="shared" ca="1" si="271"/>
        <v>2022</v>
      </c>
      <c r="D1027" s="6">
        <f t="shared" ca="1" si="272"/>
        <v>1</v>
      </c>
      <c r="E1027" s="68">
        <f ca="1">IFERROR(__xludf.DUMMYFUNCTION("""COMPUTED_VALUE"""),44587.6666666666)</f>
        <v>44587.666666666599</v>
      </c>
      <c r="F1027" s="6">
        <f ca="1">IFERROR(__xludf.DUMMYFUNCTION("""COMPUTED_VALUE"""),4349.93)</f>
        <v>4349.93</v>
      </c>
      <c r="J1027" s="6" t="str">
        <f t="shared" ca="1" si="273"/>
        <v>20221</v>
      </c>
      <c r="K1027" s="6">
        <f t="shared" ca="1" si="274"/>
        <v>2022</v>
      </c>
      <c r="L1027" s="6">
        <f t="shared" ca="1" si="275"/>
        <v>1</v>
      </c>
      <c r="M1027" s="68">
        <f ca="1">IFERROR(__xludf.DUMMYFUNCTION("""COMPUTED_VALUE"""),44580.6666666666)</f>
        <v>44580.666666666599</v>
      </c>
      <c r="N1027" s="6">
        <f ca="1">IFERROR(__xludf.DUMMYFUNCTION("""COMPUTED_VALUE"""),14340.26)</f>
        <v>14340.26</v>
      </c>
      <c r="R1027" s="6" t="str">
        <f t="shared" ca="1" si="276"/>
        <v>20223</v>
      </c>
      <c r="S1027" s="6">
        <f t="shared" ca="1" si="277"/>
        <v>2022</v>
      </c>
      <c r="T1027" s="6">
        <f t="shared" ca="1" si="278"/>
        <v>3</v>
      </c>
      <c r="U1027" s="68">
        <f ca="1">IFERROR(__xludf.DUMMYFUNCTION("""COMPUTED_VALUE"""),44628.6458333333)</f>
        <v>44628.645833333299</v>
      </c>
      <c r="V1027" s="6">
        <f ca="1">IFERROR(__xludf.DUMMYFUNCTION("""COMPUTED_VALUE"""),2622.4)</f>
        <v>2622.4</v>
      </c>
      <c r="Z1027" s="6" t="str">
        <f t="shared" ca="1" si="279"/>
        <v>202012</v>
      </c>
      <c r="AA1027" s="6">
        <f t="shared" ca="1" si="280"/>
        <v>2020</v>
      </c>
      <c r="AB1027" s="6">
        <f t="shared" ca="1" si="281"/>
        <v>12</v>
      </c>
      <c r="AC1027" s="68">
        <f ca="1">IFERROR(__xludf.DUMMYFUNCTION("""COMPUTED_VALUE"""),44170.9986111111)</f>
        <v>44170.998611111099</v>
      </c>
      <c r="AD1027" s="6">
        <f ca="1">IFERROR(__xludf.DUMMYFUNCTION("""COMPUTED_VALUE"""),1083.78)</f>
        <v>1083.78</v>
      </c>
      <c r="AH1027" s="6" t="str">
        <f t="shared" ca="1" si="282"/>
        <v>202010</v>
      </c>
      <c r="AI1027" s="6">
        <f t="shared" ca="1" si="283"/>
        <v>2020</v>
      </c>
      <c r="AJ1027" s="6">
        <f t="shared" ca="1" si="284"/>
        <v>10</v>
      </c>
      <c r="AK1027" s="68">
        <f ca="1">IFERROR(__xludf.DUMMYFUNCTION("""COMPUTED_VALUE"""),44119.9986111111)</f>
        <v>44119.998611111099</v>
      </c>
      <c r="AL1027" s="6">
        <f ca="1">IFERROR(__xludf.DUMMYFUNCTION("""COMPUTED_VALUE"""),11506.18)</f>
        <v>11506.18</v>
      </c>
      <c r="AP1027" s="6" t="str">
        <f t="shared" ca="1" si="285"/>
        <v>20222</v>
      </c>
      <c r="AQ1027" s="6">
        <f t="shared" ca="1" si="286"/>
        <v>2022</v>
      </c>
      <c r="AR1027" s="6">
        <f t="shared" ca="1" si="287"/>
        <v>2</v>
      </c>
      <c r="AS1027" s="68">
        <f ca="1">IFERROR(__xludf.DUMMYFUNCTION("""COMPUTED_VALUE"""),44595.9986111111)</f>
        <v>44595.998611111099</v>
      </c>
      <c r="AT1027" s="6">
        <f ca="1">IFERROR(__xludf.DUMMYFUNCTION("""COMPUTED_VALUE"""),1804.1)</f>
        <v>1804.1</v>
      </c>
    </row>
    <row r="1028" spans="2:46" x14ac:dyDescent="0.35">
      <c r="B1028" s="6" t="str">
        <f t="shared" ca="1" si="270"/>
        <v>20221</v>
      </c>
      <c r="C1028" s="6">
        <f t="shared" ca="1" si="271"/>
        <v>2022</v>
      </c>
      <c r="D1028" s="6">
        <f t="shared" ca="1" si="272"/>
        <v>1</v>
      </c>
      <c r="E1028" s="68">
        <f ca="1">IFERROR(__xludf.DUMMYFUNCTION("""COMPUTED_VALUE"""),44588.6666666666)</f>
        <v>44588.666666666599</v>
      </c>
      <c r="F1028" s="6">
        <f ca="1">IFERROR(__xludf.DUMMYFUNCTION("""COMPUTED_VALUE"""),4326.51)</f>
        <v>4326.51</v>
      </c>
      <c r="J1028" s="6" t="str">
        <f t="shared" ca="1" si="273"/>
        <v>20221</v>
      </c>
      <c r="K1028" s="6">
        <f t="shared" ca="1" si="274"/>
        <v>2022</v>
      </c>
      <c r="L1028" s="6">
        <f t="shared" ca="1" si="275"/>
        <v>1</v>
      </c>
      <c r="M1028" s="68">
        <f ca="1">IFERROR(__xludf.DUMMYFUNCTION("""COMPUTED_VALUE"""),44581.6666666666)</f>
        <v>44581.666666666599</v>
      </c>
      <c r="N1028" s="6">
        <f ca="1">IFERROR(__xludf.DUMMYFUNCTION("""COMPUTED_VALUE"""),14154.02)</f>
        <v>14154.02</v>
      </c>
      <c r="R1028" s="6" t="str">
        <f t="shared" ca="1" si="276"/>
        <v>20223</v>
      </c>
      <c r="S1028" s="6">
        <f t="shared" ca="1" si="277"/>
        <v>2022</v>
      </c>
      <c r="T1028" s="6">
        <f t="shared" ca="1" si="278"/>
        <v>3</v>
      </c>
      <c r="U1028" s="68">
        <f ca="1">IFERROR(__xludf.DUMMYFUNCTION("""COMPUTED_VALUE"""),44630.6458333333)</f>
        <v>44630.645833333299</v>
      </c>
      <c r="V1028" s="6">
        <f ca="1">IFERROR(__xludf.DUMMYFUNCTION("""COMPUTED_VALUE"""),2680.32)</f>
        <v>2680.32</v>
      </c>
      <c r="Z1028" s="6" t="str">
        <f t="shared" ca="1" si="279"/>
        <v>202012</v>
      </c>
      <c r="AA1028" s="6">
        <f t="shared" ca="1" si="280"/>
        <v>2020</v>
      </c>
      <c r="AB1028" s="6">
        <f t="shared" ca="1" si="281"/>
        <v>12</v>
      </c>
      <c r="AC1028" s="68">
        <f ca="1">IFERROR(__xludf.DUMMYFUNCTION("""COMPUTED_VALUE"""),44171.9986111111)</f>
        <v>44171.998611111099</v>
      </c>
      <c r="AD1028" s="6">
        <f ca="1">IFERROR(__xludf.DUMMYFUNCTION("""COMPUTED_VALUE"""),1083.78)</f>
        <v>1083.78</v>
      </c>
      <c r="AH1028" s="6" t="str">
        <f t="shared" ca="1" si="282"/>
        <v>202010</v>
      </c>
      <c r="AI1028" s="6">
        <f t="shared" ca="1" si="283"/>
        <v>2020</v>
      </c>
      <c r="AJ1028" s="6">
        <f t="shared" ca="1" si="284"/>
        <v>10</v>
      </c>
      <c r="AK1028" s="68">
        <f ca="1">IFERROR(__xludf.DUMMYFUNCTION("""COMPUTED_VALUE"""),44120.9986111111)</f>
        <v>44120.998611111099</v>
      </c>
      <c r="AL1028" s="6">
        <f ca="1">IFERROR(__xludf.DUMMYFUNCTION("""COMPUTED_VALUE"""),11325.54)</f>
        <v>11325.54</v>
      </c>
      <c r="AP1028" s="6" t="str">
        <f t="shared" ca="1" si="285"/>
        <v>20222</v>
      </c>
      <c r="AQ1028" s="6">
        <f t="shared" ca="1" si="286"/>
        <v>2022</v>
      </c>
      <c r="AR1028" s="6">
        <f t="shared" ca="1" si="287"/>
        <v>2</v>
      </c>
      <c r="AS1028" s="68">
        <f ca="1">IFERROR(__xludf.DUMMYFUNCTION("""COMPUTED_VALUE"""),44596.9986111111)</f>
        <v>44596.998611111099</v>
      </c>
      <c r="AT1028" s="6">
        <f ca="1">IFERROR(__xludf.DUMMYFUNCTION("""COMPUTED_VALUE"""),1807.8)</f>
        <v>1807.8</v>
      </c>
    </row>
    <row r="1029" spans="2:46" x14ac:dyDescent="0.35">
      <c r="B1029" s="6" t="str">
        <f t="shared" ca="1" si="270"/>
        <v>20221</v>
      </c>
      <c r="C1029" s="6">
        <f t="shared" ca="1" si="271"/>
        <v>2022</v>
      </c>
      <c r="D1029" s="6">
        <f t="shared" ca="1" si="272"/>
        <v>1</v>
      </c>
      <c r="E1029" s="68">
        <f ca="1">IFERROR(__xludf.DUMMYFUNCTION("""COMPUTED_VALUE"""),44589.6666666666)</f>
        <v>44589.666666666599</v>
      </c>
      <c r="F1029" s="6">
        <f ca="1">IFERROR(__xludf.DUMMYFUNCTION("""COMPUTED_VALUE"""),4431.85)</f>
        <v>4431.8500000000004</v>
      </c>
      <c r="J1029" s="6" t="str">
        <f t="shared" ca="1" si="273"/>
        <v>20221</v>
      </c>
      <c r="K1029" s="6">
        <f t="shared" ca="1" si="274"/>
        <v>2022</v>
      </c>
      <c r="L1029" s="6">
        <f t="shared" ca="1" si="275"/>
        <v>1</v>
      </c>
      <c r="M1029" s="68">
        <f ca="1">IFERROR(__xludf.DUMMYFUNCTION("""COMPUTED_VALUE"""),44582.6666666666)</f>
        <v>44582.666666666599</v>
      </c>
      <c r="N1029" s="6">
        <f ca="1">IFERROR(__xludf.DUMMYFUNCTION("""COMPUTED_VALUE"""),13768.92)</f>
        <v>13768.92</v>
      </c>
      <c r="R1029" s="6" t="str">
        <f t="shared" ca="1" si="276"/>
        <v>20223</v>
      </c>
      <c r="S1029" s="6">
        <f t="shared" ca="1" si="277"/>
        <v>2022</v>
      </c>
      <c r="T1029" s="6">
        <f t="shared" ca="1" si="278"/>
        <v>3</v>
      </c>
      <c r="U1029" s="68">
        <f ca="1">IFERROR(__xludf.DUMMYFUNCTION("""COMPUTED_VALUE"""),44631.6458333333)</f>
        <v>44631.645833333299</v>
      </c>
      <c r="V1029" s="6">
        <f ca="1">IFERROR(__xludf.DUMMYFUNCTION("""COMPUTED_VALUE"""),2661.28)</f>
        <v>2661.28</v>
      </c>
      <c r="Z1029" s="6" t="str">
        <f t="shared" ca="1" si="279"/>
        <v>202012</v>
      </c>
      <c r="AA1029" s="6">
        <f t="shared" ca="1" si="280"/>
        <v>2020</v>
      </c>
      <c r="AB1029" s="6">
        <f t="shared" ca="1" si="281"/>
        <v>12</v>
      </c>
      <c r="AC1029" s="68">
        <f ca="1">IFERROR(__xludf.DUMMYFUNCTION("""COMPUTED_VALUE"""),44172.9986111111)</f>
        <v>44172.998611111099</v>
      </c>
      <c r="AD1029" s="6">
        <f ca="1">IFERROR(__xludf.DUMMYFUNCTION("""COMPUTED_VALUE"""),1083.68)</f>
        <v>1083.68</v>
      </c>
      <c r="AH1029" s="6" t="str">
        <f t="shared" ca="1" si="282"/>
        <v>202010</v>
      </c>
      <c r="AI1029" s="6">
        <f t="shared" ca="1" si="283"/>
        <v>2020</v>
      </c>
      <c r="AJ1029" s="6">
        <f t="shared" ca="1" si="284"/>
        <v>10</v>
      </c>
      <c r="AK1029" s="68">
        <f ca="1">IFERROR(__xludf.DUMMYFUNCTION("""COMPUTED_VALUE"""),44121.9986111111)</f>
        <v>44121.998611111099</v>
      </c>
      <c r="AL1029" s="6">
        <f ca="1">IFERROR(__xludf.DUMMYFUNCTION("""COMPUTED_VALUE"""),11367.93)</f>
        <v>11367.93</v>
      </c>
      <c r="AP1029" s="6" t="str">
        <f t="shared" ca="1" si="285"/>
        <v>20222</v>
      </c>
      <c r="AQ1029" s="6">
        <f t="shared" ca="1" si="286"/>
        <v>2022</v>
      </c>
      <c r="AR1029" s="6">
        <f t="shared" ca="1" si="287"/>
        <v>2</v>
      </c>
      <c r="AS1029" s="68">
        <f ca="1">IFERROR(__xludf.DUMMYFUNCTION("""COMPUTED_VALUE"""),44599.9986111111)</f>
        <v>44599.998611111099</v>
      </c>
      <c r="AT1029" s="6">
        <f ca="1">IFERROR(__xludf.DUMMYFUNCTION("""COMPUTED_VALUE"""),1821.8)</f>
        <v>1821.8</v>
      </c>
    </row>
    <row r="1030" spans="2:46" x14ac:dyDescent="0.35">
      <c r="B1030" s="6" t="str">
        <f t="shared" ca="1" si="270"/>
        <v>20221</v>
      </c>
      <c r="C1030" s="6">
        <f t="shared" ca="1" si="271"/>
        <v>2022</v>
      </c>
      <c r="D1030" s="6">
        <f t="shared" ca="1" si="272"/>
        <v>1</v>
      </c>
      <c r="E1030" s="68">
        <f ca="1">IFERROR(__xludf.DUMMYFUNCTION("""COMPUTED_VALUE"""),44592.6666666666)</f>
        <v>44592.666666666599</v>
      </c>
      <c r="F1030" s="6">
        <f ca="1">IFERROR(__xludf.DUMMYFUNCTION("""COMPUTED_VALUE"""),4515.55)</f>
        <v>4515.55</v>
      </c>
      <c r="J1030" s="6" t="str">
        <f t="shared" ca="1" si="273"/>
        <v>20221</v>
      </c>
      <c r="K1030" s="6">
        <f t="shared" ca="1" si="274"/>
        <v>2022</v>
      </c>
      <c r="L1030" s="6">
        <f t="shared" ca="1" si="275"/>
        <v>1</v>
      </c>
      <c r="M1030" s="68">
        <f ca="1">IFERROR(__xludf.DUMMYFUNCTION("""COMPUTED_VALUE"""),44585.6666666666)</f>
        <v>44585.666666666599</v>
      </c>
      <c r="N1030" s="6">
        <f ca="1">IFERROR(__xludf.DUMMYFUNCTION("""COMPUTED_VALUE"""),13855.13)</f>
        <v>13855.13</v>
      </c>
      <c r="R1030" s="6" t="str">
        <f t="shared" ca="1" si="276"/>
        <v>20223</v>
      </c>
      <c r="S1030" s="6">
        <f t="shared" ca="1" si="277"/>
        <v>2022</v>
      </c>
      <c r="T1030" s="6">
        <f t="shared" ca="1" si="278"/>
        <v>3</v>
      </c>
      <c r="U1030" s="68">
        <f ca="1">IFERROR(__xludf.DUMMYFUNCTION("""COMPUTED_VALUE"""),44634.6458333333)</f>
        <v>44634.645833333299</v>
      </c>
      <c r="V1030" s="6">
        <f ca="1">IFERROR(__xludf.DUMMYFUNCTION("""COMPUTED_VALUE"""),2645.65)</f>
        <v>2645.65</v>
      </c>
      <c r="Z1030" s="6" t="str">
        <f t="shared" ca="1" si="279"/>
        <v>202012</v>
      </c>
      <c r="AA1030" s="6">
        <f t="shared" ca="1" si="280"/>
        <v>2020</v>
      </c>
      <c r="AB1030" s="6">
        <f t="shared" ca="1" si="281"/>
        <v>12</v>
      </c>
      <c r="AC1030" s="68">
        <f ca="1">IFERROR(__xludf.DUMMYFUNCTION("""COMPUTED_VALUE"""),44173.9986111111)</f>
        <v>44173.998611111099</v>
      </c>
      <c r="AD1030" s="6">
        <f ca="1">IFERROR(__xludf.DUMMYFUNCTION("""COMPUTED_VALUE"""),1084.86)</f>
        <v>1084.8599999999999</v>
      </c>
      <c r="AH1030" s="6" t="str">
        <f t="shared" ca="1" si="282"/>
        <v>202010</v>
      </c>
      <c r="AI1030" s="6">
        <f t="shared" ca="1" si="283"/>
        <v>2020</v>
      </c>
      <c r="AJ1030" s="6">
        <f t="shared" ca="1" si="284"/>
        <v>10</v>
      </c>
      <c r="AK1030" s="68">
        <f ca="1">IFERROR(__xludf.DUMMYFUNCTION("""COMPUTED_VALUE"""),44122.9986111111)</f>
        <v>44122.998611111099</v>
      </c>
      <c r="AL1030" s="6">
        <f ca="1">IFERROR(__xludf.DUMMYFUNCTION("""COMPUTED_VALUE"""),11512.48)</f>
        <v>11512.48</v>
      </c>
      <c r="AP1030" s="6" t="str">
        <f t="shared" ca="1" si="285"/>
        <v>20222</v>
      </c>
      <c r="AQ1030" s="6">
        <f t="shared" ca="1" si="286"/>
        <v>2022</v>
      </c>
      <c r="AR1030" s="6">
        <f t="shared" ca="1" si="287"/>
        <v>2</v>
      </c>
      <c r="AS1030" s="68">
        <f ca="1">IFERROR(__xludf.DUMMYFUNCTION("""COMPUTED_VALUE"""),44600.9986111111)</f>
        <v>44600.998611111099</v>
      </c>
      <c r="AT1030" s="6">
        <f ca="1">IFERROR(__xludf.DUMMYFUNCTION("""COMPUTED_VALUE"""),1827.9)</f>
        <v>1827.9</v>
      </c>
    </row>
    <row r="1031" spans="2:46" x14ac:dyDescent="0.35">
      <c r="B1031" s="6" t="str">
        <f t="shared" ref="B1031:B1094" ca="1" si="288">C1031&amp;D1031</f>
        <v>20222</v>
      </c>
      <c r="C1031" s="6">
        <f t="shared" ref="C1031:C1094" ca="1" si="289">YEAR(E1031)</f>
        <v>2022</v>
      </c>
      <c r="D1031" s="6">
        <f t="shared" ref="D1031:D1094" ca="1" si="290">MONTH(E1031)</f>
        <v>2</v>
      </c>
      <c r="E1031" s="68">
        <f ca="1">IFERROR(__xludf.DUMMYFUNCTION("""COMPUTED_VALUE"""),44593.6666666666)</f>
        <v>44593.666666666599</v>
      </c>
      <c r="F1031" s="6">
        <f ca="1">IFERROR(__xludf.DUMMYFUNCTION("""COMPUTED_VALUE"""),4546.54)</f>
        <v>4546.54</v>
      </c>
      <c r="J1031" s="6" t="str">
        <f t="shared" ref="J1031:J1094" ca="1" si="291">K1031&amp;L1031</f>
        <v>20221</v>
      </c>
      <c r="K1031" s="6">
        <f t="shared" ref="K1031:K1094" ca="1" si="292">YEAR(M1031)</f>
        <v>2022</v>
      </c>
      <c r="L1031" s="6">
        <f t="shared" ref="L1031:L1094" ca="1" si="293">MONTH(M1031)</f>
        <v>1</v>
      </c>
      <c r="M1031" s="68">
        <f ca="1">IFERROR(__xludf.DUMMYFUNCTION("""COMPUTED_VALUE"""),44586.6666666666)</f>
        <v>44586.666666666599</v>
      </c>
      <c r="N1031" s="6">
        <f ca="1">IFERROR(__xludf.DUMMYFUNCTION("""COMPUTED_VALUE"""),13539.3)</f>
        <v>13539.3</v>
      </c>
      <c r="R1031" s="6" t="str">
        <f t="shared" ref="R1031:R1094" ca="1" si="294">S1031&amp;T1031</f>
        <v>20223</v>
      </c>
      <c r="S1031" s="6">
        <f t="shared" ref="S1031:S1094" ca="1" si="295">YEAR(U1031)</f>
        <v>2022</v>
      </c>
      <c r="T1031" s="6">
        <f t="shared" ref="T1031:T1094" ca="1" si="296">MONTH(U1031)</f>
        <v>3</v>
      </c>
      <c r="U1031" s="68">
        <f ca="1">IFERROR(__xludf.DUMMYFUNCTION("""COMPUTED_VALUE"""),44635.6458333333)</f>
        <v>44635.645833333299</v>
      </c>
      <c r="V1031" s="6">
        <f ca="1">IFERROR(__xludf.DUMMYFUNCTION("""COMPUTED_VALUE"""),2621.53)</f>
        <v>2621.53</v>
      </c>
      <c r="Z1031" s="6" t="str">
        <f t="shared" ref="Z1031:Z1094" ca="1" si="297">AA1031&amp;AB1031</f>
        <v>202012</v>
      </c>
      <c r="AA1031" s="6">
        <f t="shared" ref="AA1031:AA1094" ca="1" si="298">YEAR(AC1031)</f>
        <v>2020</v>
      </c>
      <c r="AB1031" s="6">
        <f t="shared" ref="AB1031:AB1094" ca="1" si="299">MONTH(AC1031)</f>
        <v>12</v>
      </c>
      <c r="AC1031" s="68">
        <f ca="1">IFERROR(__xludf.DUMMYFUNCTION("""COMPUTED_VALUE"""),44174.9986111111)</f>
        <v>44174.998611111099</v>
      </c>
      <c r="AD1031" s="6">
        <f ca="1">IFERROR(__xludf.DUMMYFUNCTION("""COMPUTED_VALUE"""),1086.36)</f>
        <v>1086.3599999999999</v>
      </c>
      <c r="AH1031" s="6" t="str">
        <f t="shared" ref="AH1031:AH1094" ca="1" si="300">AI1031&amp;AJ1031</f>
        <v>202010</v>
      </c>
      <c r="AI1031" s="6">
        <f t="shared" ref="AI1031:AI1094" ca="1" si="301">YEAR(AK1031)</f>
        <v>2020</v>
      </c>
      <c r="AJ1031" s="6">
        <f t="shared" ref="AJ1031:AJ1094" ca="1" si="302">MONTH(AK1031)</f>
        <v>10</v>
      </c>
      <c r="AK1031" s="68">
        <f ca="1">IFERROR(__xludf.DUMMYFUNCTION("""COMPUTED_VALUE"""),44123.9986111111)</f>
        <v>44123.998611111099</v>
      </c>
      <c r="AL1031" s="6">
        <f ca="1">IFERROR(__xludf.DUMMYFUNCTION("""COMPUTED_VALUE"""),11758.06)</f>
        <v>11758.06</v>
      </c>
      <c r="AP1031" s="6" t="str">
        <f t="shared" ref="AP1031:AP1094" ca="1" si="303">AQ1031&amp;AR1031</f>
        <v>20222</v>
      </c>
      <c r="AQ1031" s="6">
        <f t="shared" ref="AQ1031:AQ1094" ca="1" si="304">YEAR(AS1031)</f>
        <v>2022</v>
      </c>
      <c r="AR1031" s="6">
        <f t="shared" ref="AR1031:AR1094" ca="1" si="305">MONTH(AS1031)</f>
        <v>2</v>
      </c>
      <c r="AS1031" s="68">
        <f ca="1">IFERROR(__xludf.DUMMYFUNCTION("""COMPUTED_VALUE"""),44601.9986111111)</f>
        <v>44601.998611111099</v>
      </c>
      <c r="AT1031" s="6">
        <f ca="1">IFERROR(__xludf.DUMMYFUNCTION("""COMPUTED_VALUE"""),1836.6)</f>
        <v>1836.6</v>
      </c>
    </row>
    <row r="1032" spans="2:46" x14ac:dyDescent="0.35">
      <c r="B1032" s="6" t="str">
        <f t="shared" ca="1" si="288"/>
        <v>20222</v>
      </c>
      <c r="C1032" s="6">
        <f t="shared" ca="1" si="289"/>
        <v>2022</v>
      </c>
      <c r="D1032" s="6">
        <f t="shared" ca="1" si="290"/>
        <v>2</v>
      </c>
      <c r="E1032" s="68">
        <f ca="1">IFERROR(__xludf.DUMMYFUNCTION("""COMPUTED_VALUE"""),44594.6666666666)</f>
        <v>44594.666666666599</v>
      </c>
      <c r="F1032" s="6">
        <f ca="1">IFERROR(__xludf.DUMMYFUNCTION("""COMPUTED_VALUE"""),4589.38)</f>
        <v>4589.38</v>
      </c>
      <c r="J1032" s="6" t="str">
        <f t="shared" ca="1" si="291"/>
        <v>20221</v>
      </c>
      <c r="K1032" s="6">
        <f t="shared" ca="1" si="292"/>
        <v>2022</v>
      </c>
      <c r="L1032" s="6">
        <f t="shared" ca="1" si="293"/>
        <v>1</v>
      </c>
      <c r="M1032" s="68">
        <f ca="1">IFERROR(__xludf.DUMMYFUNCTION("""COMPUTED_VALUE"""),44587.6666666666)</f>
        <v>44587.666666666599</v>
      </c>
      <c r="N1032" s="6">
        <f ca="1">IFERROR(__xludf.DUMMYFUNCTION("""COMPUTED_VALUE"""),13542.12)</f>
        <v>13542.12</v>
      </c>
      <c r="R1032" s="6" t="str">
        <f t="shared" ca="1" si="294"/>
        <v>20223</v>
      </c>
      <c r="S1032" s="6">
        <f t="shared" ca="1" si="295"/>
        <v>2022</v>
      </c>
      <c r="T1032" s="6">
        <f t="shared" ca="1" si="296"/>
        <v>3</v>
      </c>
      <c r="U1032" s="68">
        <f ca="1">IFERROR(__xludf.DUMMYFUNCTION("""COMPUTED_VALUE"""),44636.6458333333)</f>
        <v>44636.645833333299</v>
      </c>
      <c r="V1032" s="6">
        <f ca="1">IFERROR(__xludf.DUMMYFUNCTION("""COMPUTED_VALUE"""),2659.23)</f>
        <v>2659.23</v>
      </c>
      <c r="Z1032" s="6" t="str">
        <f t="shared" ca="1" si="297"/>
        <v>202012</v>
      </c>
      <c r="AA1032" s="6">
        <f t="shared" ca="1" si="298"/>
        <v>2020</v>
      </c>
      <c r="AB1032" s="6">
        <f t="shared" ca="1" si="299"/>
        <v>12</v>
      </c>
      <c r="AC1032" s="68">
        <f ca="1">IFERROR(__xludf.DUMMYFUNCTION("""COMPUTED_VALUE"""),44175.9986111111)</f>
        <v>44175.998611111099</v>
      </c>
      <c r="AD1032" s="6">
        <f ca="1">IFERROR(__xludf.DUMMYFUNCTION("""COMPUTED_VALUE"""),1086.37)</f>
        <v>1086.3699999999999</v>
      </c>
      <c r="AH1032" s="6" t="str">
        <f t="shared" ca="1" si="300"/>
        <v>202010</v>
      </c>
      <c r="AI1032" s="6">
        <f t="shared" ca="1" si="301"/>
        <v>2020</v>
      </c>
      <c r="AJ1032" s="6">
        <f t="shared" ca="1" si="302"/>
        <v>10</v>
      </c>
      <c r="AK1032" s="68">
        <f ca="1">IFERROR(__xludf.DUMMYFUNCTION("""COMPUTED_VALUE"""),44124.9986111111)</f>
        <v>44124.998611111099</v>
      </c>
      <c r="AL1032" s="6">
        <f ca="1">IFERROR(__xludf.DUMMYFUNCTION("""COMPUTED_VALUE"""),11922.28)</f>
        <v>11922.28</v>
      </c>
      <c r="AP1032" s="6" t="str">
        <f t="shared" ca="1" si="303"/>
        <v>20222</v>
      </c>
      <c r="AQ1032" s="6">
        <f t="shared" ca="1" si="304"/>
        <v>2022</v>
      </c>
      <c r="AR1032" s="6">
        <f t="shared" ca="1" si="305"/>
        <v>2</v>
      </c>
      <c r="AS1032" s="68">
        <f ca="1">IFERROR(__xludf.DUMMYFUNCTION("""COMPUTED_VALUE"""),44602.9986111111)</f>
        <v>44602.998611111099</v>
      </c>
      <c r="AT1032" s="6">
        <f ca="1">IFERROR(__xludf.DUMMYFUNCTION("""COMPUTED_VALUE"""),1837.4)</f>
        <v>1837.4</v>
      </c>
    </row>
    <row r="1033" spans="2:46" x14ac:dyDescent="0.35">
      <c r="B1033" s="6" t="str">
        <f t="shared" ca="1" si="288"/>
        <v>20222</v>
      </c>
      <c r="C1033" s="6">
        <f t="shared" ca="1" si="289"/>
        <v>2022</v>
      </c>
      <c r="D1033" s="6">
        <f t="shared" ca="1" si="290"/>
        <v>2</v>
      </c>
      <c r="E1033" s="68">
        <f ca="1">IFERROR(__xludf.DUMMYFUNCTION("""COMPUTED_VALUE"""),44595.6666666666)</f>
        <v>44595.666666666599</v>
      </c>
      <c r="F1033" s="6">
        <f ca="1">IFERROR(__xludf.DUMMYFUNCTION("""COMPUTED_VALUE"""),4477.44)</f>
        <v>4477.4399999999996</v>
      </c>
      <c r="J1033" s="6" t="str">
        <f t="shared" ca="1" si="291"/>
        <v>20221</v>
      </c>
      <c r="K1033" s="6">
        <f t="shared" ca="1" si="292"/>
        <v>2022</v>
      </c>
      <c r="L1033" s="6">
        <f t="shared" ca="1" si="293"/>
        <v>1</v>
      </c>
      <c r="M1033" s="68">
        <f ca="1">IFERROR(__xludf.DUMMYFUNCTION("""COMPUTED_VALUE"""),44588.6666666666)</f>
        <v>44588.666666666599</v>
      </c>
      <c r="N1033" s="6">
        <f ca="1">IFERROR(__xludf.DUMMYFUNCTION("""COMPUTED_VALUE"""),13352.78)</f>
        <v>13352.78</v>
      </c>
      <c r="R1033" s="6" t="str">
        <f t="shared" ca="1" si="294"/>
        <v>20223</v>
      </c>
      <c r="S1033" s="6">
        <f t="shared" ca="1" si="295"/>
        <v>2022</v>
      </c>
      <c r="T1033" s="6">
        <f t="shared" ca="1" si="296"/>
        <v>3</v>
      </c>
      <c r="U1033" s="68">
        <f ca="1">IFERROR(__xludf.DUMMYFUNCTION("""COMPUTED_VALUE"""),44637.6458333333)</f>
        <v>44637.645833333299</v>
      </c>
      <c r="V1033" s="6">
        <f ca="1">IFERROR(__xludf.DUMMYFUNCTION("""COMPUTED_VALUE"""),2694.51)</f>
        <v>2694.51</v>
      </c>
      <c r="Z1033" s="6" t="str">
        <f t="shared" ca="1" si="297"/>
        <v>202012</v>
      </c>
      <c r="AA1033" s="6">
        <f t="shared" ca="1" si="298"/>
        <v>2020</v>
      </c>
      <c r="AB1033" s="6">
        <f t="shared" ca="1" si="299"/>
        <v>12</v>
      </c>
      <c r="AC1033" s="68">
        <f ca="1">IFERROR(__xludf.DUMMYFUNCTION("""COMPUTED_VALUE"""),44176.9986111111)</f>
        <v>44176.998611111099</v>
      </c>
      <c r="AD1033" s="6">
        <f ca="1">IFERROR(__xludf.DUMMYFUNCTION("""COMPUTED_VALUE"""),1091.58)</f>
        <v>1091.58</v>
      </c>
      <c r="AH1033" s="6" t="str">
        <f t="shared" ca="1" si="300"/>
        <v>202010</v>
      </c>
      <c r="AI1033" s="6">
        <f t="shared" ca="1" si="301"/>
        <v>2020</v>
      </c>
      <c r="AJ1033" s="6">
        <f t="shared" ca="1" si="302"/>
        <v>10</v>
      </c>
      <c r="AK1033" s="68">
        <f ca="1">IFERROR(__xludf.DUMMYFUNCTION("""COMPUTED_VALUE"""),44125.9986111111)</f>
        <v>44125.998611111099</v>
      </c>
      <c r="AL1033" s="6">
        <f ca="1">IFERROR(__xludf.DUMMYFUNCTION("""COMPUTED_VALUE"""),12811.03)</f>
        <v>12811.03</v>
      </c>
      <c r="AP1033" s="6" t="str">
        <f t="shared" ca="1" si="303"/>
        <v>20222</v>
      </c>
      <c r="AQ1033" s="6">
        <f t="shared" ca="1" si="304"/>
        <v>2022</v>
      </c>
      <c r="AR1033" s="6">
        <f t="shared" ca="1" si="305"/>
        <v>2</v>
      </c>
      <c r="AS1033" s="68">
        <f ca="1">IFERROR(__xludf.DUMMYFUNCTION("""COMPUTED_VALUE"""),44603.9986111111)</f>
        <v>44603.998611111099</v>
      </c>
      <c r="AT1033" s="6">
        <f ca="1">IFERROR(__xludf.DUMMYFUNCTION("""COMPUTED_VALUE"""),1842.1)</f>
        <v>1842.1</v>
      </c>
    </row>
    <row r="1034" spans="2:46" x14ac:dyDescent="0.35">
      <c r="B1034" s="6" t="str">
        <f t="shared" ca="1" si="288"/>
        <v>20222</v>
      </c>
      <c r="C1034" s="6">
        <f t="shared" ca="1" si="289"/>
        <v>2022</v>
      </c>
      <c r="D1034" s="6">
        <f t="shared" ca="1" si="290"/>
        <v>2</v>
      </c>
      <c r="E1034" s="68">
        <f ca="1">IFERROR(__xludf.DUMMYFUNCTION("""COMPUTED_VALUE"""),44596.6666666666)</f>
        <v>44596.666666666599</v>
      </c>
      <c r="F1034" s="6">
        <f ca="1">IFERROR(__xludf.DUMMYFUNCTION("""COMPUTED_VALUE"""),4500.53)</f>
        <v>4500.53</v>
      </c>
      <c r="J1034" s="6" t="str">
        <f t="shared" ca="1" si="291"/>
        <v>20221</v>
      </c>
      <c r="K1034" s="6">
        <f t="shared" ca="1" si="292"/>
        <v>2022</v>
      </c>
      <c r="L1034" s="6">
        <f t="shared" ca="1" si="293"/>
        <v>1</v>
      </c>
      <c r="M1034" s="68">
        <f ca="1">IFERROR(__xludf.DUMMYFUNCTION("""COMPUTED_VALUE"""),44589.6666666666)</f>
        <v>44589.666666666599</v>
      </c>
      <c r="N1034" s="6">
        <f ca="1">IFERROR(__xludf.DUMMYFUNCTION("""COMPUTED_VALUE"""),13770.57)</f>
        <v>13770.57</v>
      </c>
      <c r="R1034" s="6" t="str">
        <f t="shared" ca="1" si="294"/>
        <v>20223</v>
      </c>
      <c r="S1034" s="6">
        <f t="shared" ca="1" si="295"/>
        <v>2022</v>
      </c>
      <c r="T1034" s="6">
        <f t="shared" ca="1" si="296"/>
        <v>3</v>
      </c>
      <c r="U1034" s="68">
        <f ca="1">IFERROR(__xludf.DUMMYFUNCTION("""COMPUTED_VALUE"""),44638.6458333333)</f>
        <v>44638.645833333299</v>
      </c>
      <c r="V1034" s="6">
        <f ca="1">IFERROR(__xludf.DUMMYFUNCTION("""COMPUTED_VALUE"""),2707.02)</f>
        <v>2707.02</v>
      </c>
      <c r="Z1034" s="6" t="str">
        <f t="shared" ca="1" si="297"/>
        <v>202012</v>
      </c>
      <c r="AA1034" s="6">
        <f t="shared" ca="1" si="298"/>
        <v>2020</v>
      </c>
      <c r="AB1034" s="6">
        <f t="shared" ca="1" si="299"/>
        <v>12</v>
      </c>
      <c r="AC1034" s="68">
        <f ca="1">IFERROR(__xludf.DUMMYFUNCTION("""COMPUTED_VALUE"""),44177.9986111111)</f>
        <v>44177.998611111099</v>
      </c>
      <c r="AD1034" s="6">
        <f ca="1">IFERROR(__xludf.DUMMYFUNCTION("""COMPUTED_VALUE"""),1091.58)</f>
        <v>1091.58</v>
      </c>
      <c r="AH1034" s="6" t="str">
        <f t="shared" ca="1" si="300"/>
        <v>202010</v>
      </c>
      <c r="AI1034" s="6">
        <f t="shared" ca="1" si="301"/>
        <v>2020</v>
      </c>
      <c r="AJ1034" s="6">
        <f t="shared" ca="1" si="302"/>
        <v>10</v>
      </c>
      <c r="AK1034" s="68">
        <f ca="1">IFERROR(__xludf.DUMMYFUNCTION("""COMPUTED_VALUE"""),44126.9986111111)</f>
        <v>44126.998611111099</v>
      </c>
      <c r="AL1034" s="6">
        <f ca="1">IFERROR(__xludf.DUMMYFUNCTION("""COMPUTED_VALUE"""),12984.58)</f>
        <v>12984.58</v>
      </c>
      <c r="AP1034" s="6" t="str">
        <f t="shared" ca="1" si="303"/>
        <v>20222</v>
      </c>
      <c r="AQ1034" s="6">
        <f t="shared" ca="1" si="304"/>
        <v>2022</v>
      </c>
      <c r="AR1034" s="6">
        <f t="shared" ca="1" si="305"/>
        <v>2</v>
      </c>
      <c r="AS1034" s="68">
        <f ca="1">IFERROR(__xludf.DUMMYFUNCTION("""COMPUTED_VALUE"""),44606.9986111111)</f>
        <v>44606.998611111099</v>
      </c>
      <c r="AT1034" s="6">
        <f ca="1">IFERROR(__xludf.DUMMYFUNCTION("""COMPUTED_VALUE"""),1869.4)</f>
        <v>1869.4</v>
      </c>
    </row>
    <row r="1035" spans="2:46" x14ac:dyDescent="0.35">
      <c r="B1035" s="6" t="str">
        <f t="shared" ca="1" si="288"/>
        <v>20222</v>
      </c>
      <c r="C1035" s="6">
        <f t="shared" ca="1" si="289"/>
        <v>2022</v>
      </c>
      <c r="D1035" s="6">
        <f t="shared" ca="1" si="290"/>
        <v>2</v>
      </c>
      <c r="E1035" s="68">
        <f ca="1">IFERROR(__xludf.DUMMYFUNCTION("""COMPUTED_VALUE"""),44599.6666666666)</f>
        <v>44599.666666666599</v>
      </c>
      <c r="F1035" s="6">
        <f ca="1">IFERROR(__xludf.DUMMYFUNCTION("""COMPUTED_VALUE"""),4483.87)</f>
        <v>4483.87</v>
      </c>
      <c r="J1035" s="6" t="str">
        <f t="shared" ca="1" si="291"/>
        <v>20221</v>
      </c>
      <c r="K1035" s="6">
        <f t="shared" ca="1" si="292"/>
        <v>2022</v>
      </c>
      <c r="L1035" s="6">
        <f t="shared" ca="1" si="293"/>
        <v>1</v>
      </c>
      <c r="M1035" s="68">
        <f ca="1">IFERROR(__xludf.DUMMYFUNCTION("""COMPUTED_VALUE"""),44592.6666666666)</f>
        <v>44592.666666666599</v>
      </c>
      <c r="N1035" s="6">
        <f ca="1">IFERROR(__xludf.DUMMYFUNCTION("""COMPUTED_VALUE"""),14239.88)</f>
        <v>14239.88</v>
      </c>
      <c r="R1035" s="6" t="str">
        <f t="shared" ca="1" si="294"/>
        <v>20223</v>
      </c>
      <c r="S1035" s="6">
        <f t="shared" ca="1" si="295"/>
        <v>2022</v>
      </c>
      <c r="T1035" s="6">
        <f t="shared" ca="1" si="296"/>
        <v>3</v>
      </c>
      <c r="U1035" s="68">
        <f ca="1">IFERROR(__xludf.DUMMYFUNCTION("""COMPUTED_VALUE"""),44641.6458333333)</f>
        <v>44641.645833333299</v>
      </c>
      <c r="V1035" s="6">
        <f ca="1">IFERROR(__xludf.DUMMYFUNCTION("""COMPUTED_VALUE"""),2686.05)</f>
        <v>2686.05</v>
      </c>
      <c r="Z1035" s="6" t="str">
        <f t="shared" ca="1" si="297"/>
        <v>202012</v>
      </c>
      <c r="AA1035" s="6">
        <f t="shared" ca="1" si="298"/>
        <v>2020</v>
      </c>
      <c r="AB1035" s="6">
        <f t="shared" ca="1" si="299"/>
        <v>12</v>
      </c>
      <c r="AC1035" s="68">
        <f ca="1">IFERROR(__xludf.DUMMYFUNCTION("""COMPUTED_VALUE"""),44178.9986111111)</f>
        <v>44178.998611111099</v>
      </c>
      <c r="AD1035" s="6">
        <f ca="1">IFERROR(__xludf.DUMMYFUNCTION("""COMPUTED_VALUE"""),1091.58)</f>
        <v>1091.58</v>
      </c>
      <c r="AH1035" s="6" t="str">
        <f t="shared" ca="1" si="300"/>
        <v>202010</v>
      </c>
      <c r="AI1035" s="6">
        <f t="shared" ca="1" si="301"/>
        <v>2020</v>
      </c>
      <c r="AJ1035" s="6">
        <f t="shared" ca="1" si="302"/>
        <v>10</v>
      </c>
      <c r="AK1035" s="68">
        <f ca="1">IFERROR(__xludf.DUMMYFUNCTION("""COMPUTED_VALUE"""),44127.9986111111)</f>
        <v>44127.998611111099</v>
      </c>
      <c r="AL1035" s="6">
        <f ca="1">IFERROR(__xludf.DUMMYFUNCTION("""COMPUTED_VALUE"""),12939.6)</f>
        <v>12939.6</v>
      </c>
      <c r="AP1035" s="6" t="str">
        <f t="shared" ca="1" si="303"/>
        <v>20222</v>
      </c>
      <c r="AQ1035" s="6">
        <f t="shared" ca="1" si="304"/>
        <v>2022</v>
      </c>
      <c r="AR1035" s="6">
        <f t="shared" ca="1" si="305"/>
        <v>2</v>
      </c>
      <c r="AS1035" s="68">
        <f ca="1">IFERROR(__xludf.DUMMYFUNCTION("""COMPUTED_VALUE"""),44607.9986111111)</f>
        <v>44607.998611111099</v>
      </c>
      <c r="AT1035" s="6">
        <f ca="1">IFERROR(__xludf.DUMMYFUNCTION("""COMPUTED_VALUE"""),1856.2)</f>
        <v>1856.2</v>
      </c>
    </row>
    <row r="1036" spans="2:46" x14ac:dyDescent="0.35">
      <c r="B1036" s="6" t="str">
        <f t="shared" ca="1" si="288"/>
        <v>20222</v>
      </c>
      <c r="C1036" s="6">
        <f t="shared" ca="1" si="289"/>
        <v>2022</v>
      </c>
      <c r="D1036" s="6">
        <f t="shared" ca="1" si="290"/>
        <v>2</v>
      </c>
      <c r="E1036" s="68">
        <f ca="1">IFERROR(__xludf.DUMMYFUNCTION("""COMPUTED_VALUE"""),44600.6666666666)</f>
        <v>44600.666666666599</v>
      </c>
      <c r="F1036" s="6">
        <f ca="1">IFERROR(__xludf.DUMMYFUNCTION("""COMPUTED_VALUE"""),4521.54)</f>
        <v>4521.54</v>
      </c>
      <c r="J1036" s="6" t="str">
        <f t="shared" ca="1" si="291"/>
        <v>20222</v>
      </c>
      <c r="K1036" s="6">
        <f t="shared" ca="1" si="292"/>
        <v>2022</v>
      </c>
      <c r="L1036" s="6">
        <f t="shared" ca="1" si="293"/>
        <v>2</v>
      </c>
      <c r="M1036" s="68">
        <f ca="1">IFERROR(__xludf.DUMMYFUNCTION("""COMPUTED_VALUE"""),44593.6666666666)</f>
        <v>44593.666666666599</v>
      </c>
      <c r="N1036" s="6">
        <f ca="1">IFERROR(__xludf.DUMMYFUNCTION("""COMPUTED_VALUE"""),14346)</f>
        <v>14346</v>
      </c>
      <c r="R1036" s="6" t="str">
        <f t="shared" ca="1" si="294"/>
        <v>20223</v>
      </c>
      <c r="S1036" s="6">
        <f t="shared" ca="1" si="295"/>
        <v>2022</v>
      </c>
      <c r="T1036" s="6">
        <f t="shared" ca="1" si="296"/>
        <v>3</v>
      </c>
      <c r="U1036" s="68">
        <f ca="1">IFERROR(__xludf.DUMMYFUNCTION("""COMPUTED_VALUE"""),44642.6458333333)</f>
        <v>44642.645833333299</v>
      </c>
      <c r="V1036" s="6">
        <f ca="1">IFERROR(__xludf.DUMMYFUNCTION("""COMPUTED_VALUE"""),2710)</f>
        <v>2710</v>
      </c>
      <c r="Z1036" s="6" t="str">
        <f t="shared" ca="1" si="297"/>
        <v>202012</v>
      </c>
      <c r="AA1036" s="6">
        <f t="shared" ca="1" si="298"/>
        <v>2020</v>
      </c>
      <c r="AB1036" s="6">
        <f t="shared" ca="1" si="299"/>
        <v>12</v>
      </c>
      <c r="AC1036" s="68">
        <f ca="1">IFERROR(__xludf.DUMMYFUNCTION("""COMPUTED_VALUE"""),44179.9986111111)</f>
        <v>44179.998611111099</v>
      </c>
      <c r="AD1036" s="6">
        <f ca="1">IFERROR(__xludf.DUMMYFUNCTION("""COMPUTED_VALUE"""),1092.06)</f>
        <v>1092.06</v>
      </c>
      <c r="AH1036" s="6" t="str">
        <f t="shared" ca="1" si="300"/>
        <v>202010</v>
      </c>
      <c r="AI1036" s="6">
        <f t="shared" ca="1" si="301"/>
        <v>2020</v>
      </c>
      <c r="AJ1036" s="6">
        <f t="shared" ca="1" si="302"/>
        <v>10</v>
      </c>
      <c r="AK1036" s="68">
        <f ca="1">IFERROR(__xludf.DUMMYFUNCTION("""COMPUTED_VALUE"""),44128.9986111111)</f>
        <v>44128.998611111099</v>
      </c>
      <c r="AL1036" s="6">
        <f ca="1">IFERROR(__xludf.DUMMYFUNCTION("""COMPUTED_VALUE"""),13126.43)</f>
        <v>13126.43</v>
      </c>
      <c r="AP1036" s="6" t="str">
        <f t="shared" ca="1" si="303"/>
        <v>20222</v>
      </c>
      <c r="AQ1036" s="6">
        <f t="shared" ca="1" si="304"/>
        <v>2022</v>
      </c>
      <c r="AR1036" s="6">
        <f t="shared" ca="1" si="305"/>
        <v>2</v>
      </c>
      <c r="AS1036" s="68">
        <f ca="1">IFERROR(__xludf.DUMMYFUNCTION("""COMPUTED_VALUE"""),44608.9986111111)</f>
        <v>44608.998611111099</v>
      </c>
      <c r="AT1036" s="6">
        <f ca="1">IFERROR(__xludf.DUMMYFUNCTION("""COMPUTED_VALUE"""),1871.5)</f>
        <v>1871.5</v>
      </c>
    </row>
    <row r="1037" spans="2:46" x14ac:dyDescent="0.35">
      <c r="B1037" s="6" t="str">
        <f t="shared" ca="1" si="288"/>
        <v>20222</v>
      </c>
      <c r="C1037" s="6">
        <f t="shared" ca="1" si="289"/>
        <v>2022</v>
      </c>
      <c r="D1037" s="6">
        <f t="shared" ca="1" si="290"/>
        <v>2</v>
      </c>
      <c r="E1037" s="68">
        <f ca="1">IFERROR(__xludf.DUMMYFUNCTION("""COMPUTED_VALUE"""),44601.6666666666)</f>
        <v>44601.666666666599</v>
      </c>
      <c r="F1037" s="6">
        <f ca="1">IFERROR(__xludf.DUMMYFUNCTION("""COMPUTED_VALUE"""),4587.18)</f>
        <v>4587.18</v>
      </c>
      <c r="J1037" s="6" t="str">
        <f t="shared" ca="1" si="291"/>
        <v>20222</v>
      </c>
      <c r="K1037" s="6">
        <f t="shared" ca="1" si="292"/>
        <v>2022</v>
      </c>
      <c r="L1037" s="6">
        <f t="shared" ca="1" si="293"/>
        <v>2</v>
      </c>
      <c r="M1037" s="68">
        <f ca="1">IFERROR(__xludf.DUMMYFUNCTION("""COMPUTED_VALUE"""),44594.6666666666)</f>
        <v>44594.666666666599</v>
      </c>
      <c r="N1037" s="6">
        <f ca="1">IFERROR(__xludf.DUMMYFUNCTION("""COMPUTED_VALUE"""),14417.55)</f>
        <v>14417.55</v>
      </c>
      <c r="R1037" s="6" t="str">
        <f t="shared" ca="1" si="294"/>
        <v>20223</v>
      </c>
      <c r="S1037" s="6">
        <f t="shared" ca="1" si="295"/>
        <v>2022</v>
      </c>
      <c r="T1037" s="6">
        <f t="shared" ca="1" si="296"/>
        <v>3</v>
      </c>
      <c r="U1037" s="68">
        <f ca="1">IFERROR(__xludf.DUMMYFUNCTION("""COMPUTED_VALUE"""),44643.6458333333)</f>
        <v>44643.645833333299</v>
      </c>
      <c r="V1037" s="6">
        <f ca="1">IFERROR(__xludf.DUMMYFUNCTION("""COMPUTED_VALUE"""),2735.05)</f>
        <v>2735.05</v>
      </c>
      <c r="Z1037" s="6" t="str">
        <f t="shared" ca="1" si="297"/>
        <v>202012</v>
      </c>
      <c r="AA1037" s="6">
        <f t="shared" ca="1" si="298"/>
        <v>2020</v>
      </c>
      <c r="AB1037" s="6">
        <f t="shared" ca="1" si="299"/>
        <v>12</v>
      </c>
      <c r="AC1037" s="68">
        <f ca="1">IFERROR(__xludf.DUMMYFUNCTION("""COMPUTED_VALUE"""),44180.9986111111)</f>
        <v>44180.998611111099</v>
      </c>
      <c r="AD1037" s="6">
        <f ca="1">IFERROR(__xludf.DUMMYFUNCTION("""COMPUTED_VALUE"""),1088.21)</f>
        <v>1088.21</v>
      </c>
      <c r="AH1037" s="6" t="str">
        <f t="shared" ca="1" si="300"/>
        <v>202010</v>
      </c>
      <c r="AI1037" s="6">
        <f t="shared" ca="1" si="301"/>
        <v>2020</v>
      </c>
      <c r="AJ1037" s="6">
        <f t="shared" ca="1" si="302"/>
        <v>10</v>
      </c>
      <c r="AK1037" s="68">
        <f ca="1">IFERROR(__xludf.DUMMYFUNCTION("""COMPUTED_VALUE"""),44129.9986111111)</f>
        <v>44129.998611111099</v>
      </c>
      <c r="AL1037" s="6">
        <f ca="1">IFERROR(__xludf.DUMMYFUNCTION("""COMPUTED_VALUE"""),13040.09)</f>
        <v>13040.09</v>
      </c>
      <c r="AP1037" s="6" t="str">
        <f t="shared" ca="1" si="303"/>
        <v>20222</v>
      </c>
      <c r="AQ1037" s="6">
        <f t="shared" ca="1" si="304"/>
        <v>2022</v>
      </c>
      <c r="AR1037" s="6">
        <f t="shared" ca="1" si="305"/>
        <v>2</v>
      </c>
      <c r="AS1037" s="68">
        <f ca="1">IFERROR(__xludf.DUMMYFUNCTION("""COMPUTED_VALUE"""),44609.9986111111)</f>
        <v>44609.998611111099</v>
      </c>
      <c r="AT1037" s="6">
        <f ca="1">IFERROR(__xludf.DUMMYFUNCTION("""COMPUTED_VALUE"""),1902)</f>
        <v>1902</v>
      </c>
    </row>
    <row r="1038" spans="2:46" x14ac:dyDescent="0.35">
      <c r="B1038" s="6" t="str">
        <f t="shared" ca="1" si="288"/>
        <v>20222</v>
      </c>
      <c r="C1038" s="6">
        <f t="shared" ca="1" si="289"/>
        <v>2022</v>
      </c>
      <c r="D1038" s="6">
        <f t="shared" ca="1" si="290"/>
        <v>2</v>
      </c>
      <c r="E1038" s="68">
        <f ca="1">IFERROR(__xludf.DUMMYFUNCTION("""COMPUTED_VALUE"""),44602.6666666666)</f>
        <v>44602.666666666599</v>
      </c>
      <c r="F1038" s="6">
        <f ca="1">IFERROR(__xludf.DUMMYFUNCTION("""COMPUTED_VALUE"""),4504.08)</f>
        <v>4504.08</v>
      </c>
      <c r="J1038" s="6" t="str">
        <f t="shared" ca="1" si="291"/>
        <v>20222</v>
      </c>
      <c r="K1038" s="6">
        <f t="shared" ca="1" si="292"/>
        <v>2022</v>
      </c>
      <c r="L1038" s="6">
        <f t="shared" ca="1" si="293"/>
        <v>2</v>
      </c>
      <c r="M1038" s="68">
        <f ca="1">IFERROR(__xludf.DUMMYFUNCTION("""COMPUTED_VALUE"""),44595.6666666666)</f>
        <v>44595.666666666599</v>
      </c>
      <c r="N1038" s="6">
        <f ca="1">IFERROR(__xludf.DUMMYFUNCTION("""COMPUTED_VALUE"""),13878.82)</f>
        <v>13878.82</v>
      </c>
      <c r="R1038" s="6" t="str">
        <f t="shared" ca="1" si="294"/>
        <v>20223</v>
      </c>
      <c r="S1038" s="6">
        <f t="shared" ca="1" si="295"/>
        <v>2022</v>
      </c>
      <c r="T1038" s="6">
        <f t="shared" ca="1" si="296"/>
        <v>3</v>
      </c>
      <c r="U1038" s="68">
        <f ca="1">IFERROR(__xludf.DUMMYFUNCTION("""COMPUTED_VALUE"""),44644.6458333333)</f>
        <v>44644.645833333299</v>
      </c>
      <c r="V1038" s="6">
        <f ca="1">IFERROR(__xludf.DUMMYFUNCTION("""COMPUTED_VALUE"""),2729.66)</f>
        <v>2729.66</v>
      </c>
      <c r="Z1038" s="6" t="str">
        <f t="shared" ca="1" si="297"/>
        <v>202012</v>
      </c>
      <c r="AA1038" s="6">
        <f t="shared" ca="1" si="298"/>
        <v>2020</v>
      </c>
      <c r="AB1038" s="6">
        <f t="shared" ca="1" si="299"/>
        <v>12</v>
      </c>
      <c r="AC1038" s="68">
        <f ca="1">IFERROR(__xludf.DUMMYFUNCTION("""COMPUTED_VALUE"""),44181.9986111111)</f>
        <v>44181.998611111099</v>
      </c>
      <c r="AD1038" s="6">
        <f ca="1">IFERROR(__xludf.DUMMYFUNCTION("""COMPUTED_VALUE"""),1091.65)</f>
        <v>1091.6500000000001</v>
      </c>
      <c r="AH1038" s="6" t="str">
        <f t="shared" ca="1" si="300"/>
        <v>202010</v>
      </c>
      <c r="AI1038" s="6">
        <f t="shared" ca="1" si="301"/>
        <v>2020</v>
      </c>
      <c r="AJ1038" s="6">
        <f t="shared" ca="1" si="302"/>
        <v>10</v>
      </c>
      <c r="AK1038" s="68">
        <f ca="1">IFERROR(__xludf.DUMMYFUNCTION("""COMPUTED_VALUE"""),44130.9986111111)</f>
        <v>44130.998611111099</v>
      </c>
      <c r="AL1038" s="6">
        <f ca="1">IFERROR(__xludf.DUMMYFUNCTION("""COMPUTED_VALUE"""),13070.06)</f>
        <v>13070.06</v>
      </c>
      <c r="AP1038" s="6" t="str">
        <f t="shared" ca="1" si="303"/>
        <v>20222</v>
      </c>
      <c r="AQ1038" s="6">
        <f t="shared" ca="1" si="304"/>
        <v>2022</v>
      </c>
      <c r="AR1038" s="6">
        <f t="shared" ca="1" si="305"/>
        <v>2</v>
      </c>
      <c r="AS1038" s="68">
        <f ca="1">IFERROR(__xludf.DUMMYFUNCTION("""COMPUTED_VALUE"""),44610.9986111111)</f>
        <v>44610.998611111099</v>
      </c>
      <c r="AT1038" s="6">
        <f ca="1">IFERROR(__xludf.DUMMYFUNCTION("""COMPUTED_VALUE"""),1899.8)</f>
        <v>1899.8</v>
      </c>
    </row>
    <row r="1039" spans="2:46" x14ac:dyDescent="0.35">
      <c r="B1039" s="6" t="str">
        <f t="shared" ca="1" si="288"/>
        <v>20222</v>
      </c>
      <c r="C1039" s="6">
        <f t="shared" ca="1" si="289"/>
        <v>2022</v>
      </c>
      <c r="D1039" s="6">
        <f t="shared" ca="1" si="290"/>
        <v>2</v>
      </c>
      <c r="E1039" s="68">
        <f ca="1">IFERROR(__xludf.DUMMYFUNCTION("""COMPUTED_VALUE"""),44603.6666666666)</f>
        <v>44603.666666666599</v>
      </c>
      <c r="F1039" s="6">
        <f ca="1">IFERROR(__xludf.DUMMYFUNCTION("""COMPUTED_VALUE"""),4418.64)</f>
        <v>4418.6400000000003</v>
      </c>
      <c r="J1039" s="6" t="str">
        <f t="shared" ca="1" si="291"/>
        <v>20222</v>
      </c>
      <c r="K1039" s="6">
        <f t="shared" ca="1" si="292"/>
        <v>2022</v>
      </c>
      <c r="L1039" s="6">
        <f t="shared" ca="1" si="293"/>
        <v>2</v>
      </c>
      <c r="M1039" s="68">
        <f ca="1">IFERROR(__xludf.DUMMYFUNCTION("""COMPUTED_VALUE"""),44596.6666666666)</f>
        <v>44596.666666666599</v>
      </c>
      <c r="N1039" s="6">
        <f ca="1">IFERROR(__xludf.DUMMYFUNCTION("""COMPUTED_VALUE"""),14098.01)</f>
        <v>14098.01</v>
      </c>
      <c r="R1039" s="6" t="str">
        <f t="shared" ca="1" si="294"/>
        <v>20223</v>
      </c>
      <c r="S1039" s="6">
        <f t="shared" ca="1" si="295"/>
        <v>2022</v>
      </c>
      <c r="T1039" s="6">
        <f t="shared" ca="1" si="296"/>
        <v>3</v>
      </c>
      <c r="U1039" s="68">
        <f ca="1">IFERROR(__xludf.DUMMYFUNCTION("""COMPUTED_VALUE"""),44645.6458333333)</f>
        <v>44645.645833333299</v>
      </c>
      <c r="V1039" s="6">
        <f ca="1">IFERROR(__xludf.DUMMYFUNCTION("""COMPUTED_VALUE"""),2729.98)</f>
        <v>2729.98</v>
      </c>
      <c r="Z1039" s="6" t="str">
        <f t="shared" ca="1" si="297"/>
        <v>202012</v>
      </c>
      <c r="AA1039" s="6">
        <f t="shared" ca="1" si="298"/>
        <v>2020</v>
      </c>
      <c r="AB1039" s="6">
        <f t="shared" ca="1" si="299"/>
        <v>12</v>
      </c>
      <c r="AC1039" s="68">
        <f ca="1">IFERROR(__xludf.DUMMYFUNCTION("""COMPUTED_VALUE"""),44182.9986111111)</f>
        <v>44182.998611111099</v>
      </c>
      <c r="AD1039" s="6">
        <f ca="1">IFERROR(__xludf.DUMMYFUNCTION("""COMPUTED_VALUE"""),1092.16)</f>
        <v>1092.1600000000001</v>
      </c>
      <c r="AH1039" s="6" t="str">
        <f t="shared" ca="1" si="300"/>
        <v>202010</v>
      </c>
      <c r="AI1039" s="6">
        <f t="shared" ca="1" si="301"/>
        <v>2020</v>
      </c>
      <c r="AJ1039" s="6">
        <f t="shared" ca="1" si="302"/>
        <v>10</v>
      </c>
      <c r="AK1039" s="68">
        <f ca="1">IFERROR(__xludf.DUMMYFUNCTION("""COMPUTED_VALUE"""),44131.9986111111)</f>
        <v>44131.998611111099</v>
      </c>
      <c r="AL1039" s="6">
        <f ca="1">IFERROR(__xludf.DUMMYFUNCTION("""COMPUTED_VALUE"""),13646)</f>
        <v>13646</v>
      </c>
      <c r="AP1039" s="6" t="str">
        <f t="shared" ca="1" si="303"/>
        <v>20222</v>
      </c>
      <c r="AQ1039" s="6">
        <f t="shared" ca="1" si="304"/>
        <v>2022</v>
      </c>
      <c r="AR1039" s="6">
        <f t="shared" ca="1" si="305"/>
        <v>2</v>
      </c>
      <c r="AS1039" s="68">
        <f ca="1">IFERROR(__xludf.DUMMYFUNCTION("""COMPUTED_VALUE"""),44614.9986111111)</f>
        <v>44614.998611111099</v>
      </c>
      <c r="AT1039" s="6">
        <f ca="1">IFERROR(__xludf.DUMMYFUNCTION("""COMPUTED_VALUE"""),1907.4)</f>
        <v>1907.4</v>
      </c>
    </row>
    <row r="1040" spans="2:46" x14ac:dyDescent="0.35">
      <c r="B1040" s="6" t="str">
        <f t="shared" ca="1" si="288"/>
        <v>20222</v>
      </c>
      <c r="C1040" s="6">
        <f t="shared" ca="1" si="289"/>
        <v>2022</v>
      </c>
      <c r="D1040" s="6">
        <f t="shared" ca="1" si="290"/>
        <v>2</v>
      </c>
      <c r="E1040" s="68">
        <f ca="1">IFERROR(__xludf.DUMMYFUNCTION("""COMPUTED_VALUE"""),44606.6666666666)</f>
        <v>44606.666666666599</v>
      </c>
      <c r="F1040" s="6">
        <f ca="1">IFERROR(__xludf.DUMMYFUNCTION("""COMPUTED_VALUE"""),4401.67)</f>
        <v>4401.67</v>
      </c>
      <c r="J1040" s="6" t="str">
        <f t="shared" ca="1" si="291"/>
        <v>20222</v>
      </c>
      <c r="K1040" s="6">
        <f t="shared" ca="1" si="292"/>
        <v>2022</v>
      </c>
      <c r="L1040" s="6">
        <f t="shared" ca="1" si="293"/>
        <v>2</v>
      </c>
      <c r="M1040" s="68">
        <f ca="1">IFERROR(__xludf.DUMMYFUNCTION("""COMPUTED_VALUE"""),44599.6666666666)</f>
        <v>44599.666666666599</v>
      </c>
      <c r="N1040" s="6">
        <f ca="1">IFERROR(__xludf.DUMMYFUNCTION("""COMPUTED_VALUE"""),14015.67)</f>
        <v>14015.67</v>
      </c>
      <c r="R1040" s="6" t="str">
        <f t="shared" ca="1" si="294"/>
        <v>20223</v>
      </c>
      <c r="S1040" s="6">
        <f t="shared" ca="1" si="295"/>
        <v>2022</v>
      </c>
      <c r="T1040" s="6">
        <f t="shared" ca="1" si="296"/>
        <v>3</v>
      </c>
      <c r="U1040" s="68">
        <f ca="1">IFERROR(__xludf.DUMMYFUNCTION("""COMPUTED_VALUE"""),44648.6458333333)</f>
        <v>44648.645833333299</v>
      </c>
      <c r="V1040" s="6">
        <f ca="1">IFERROR(__xludf.DUMMYFUNCTION("""COMPUTED_VALUE"""),2729.56)</f>
        <v>2729.56</v>
      </c>
      <c r="Z1040" s="6" t="str">
        <f t="shared" ca="1" si="297"/>
        <v>202012</v>
      </c>
      <c r="AA1040" s="6">
        <f t="shared" ca="1" si="298"/>
        <v>2020</v>
      </c>
      <c r="AB1040" s="6">
        <f t="shared" ca="1" si="299"/>
        <v>12</v>
      </c>
      <c r="AC1040" s="68">
        <f ca="1">IFERROR(__xludf.DUMMYFUNCTION("""COMPUTED_VALUE"""),44183.9986111111)</f>
        <v>44183.998611111099</v>
      </c>
      <c r="AD1040" s="6">
        <f ca="1">IFERROR(__xludf.DUMMYFUNCTION("""COMPUTED_VALUE"""),1098.98)</f>
        <v>1098.98</v>
      </c>
      <c r="AH1040" s="6" t="str">
        <f t="shared" ca="1" si="300"/>
        <v>202010</v>
      </c>
      <c r="AI1040" s="6">
        <f t="shared" ca="1" si="301"/>
        <v>2020</v>
      </c>
      <c r="AJ1040" s="6">
        <f t="shared" ca="1" si="302"/>
        <v>10</v>
      </c>
      <c r="AK1040" s="68">
        <f ca="1">IFERROR(__xludf.DUMMYFUNCTION("""COMPUTED_VALUE"""),44132.9986111111)</f>
        <v>44132.998611111099</v>
      </c>
      <c r="AL1040" s="6">
        <f ca="1">IFERROR(__xludf.DUMMYFUNCTION("""COMPUTED_VALUE"""),13280.92)</f>
        <v>13280.92</v>
      </c>
      <c r="AP1040" s="6" t="str">
        <f t="shared" ca="1" si="303"/>
        <v>20222</v>
      </c>
      <c r="AQ1040" s="6">
        <f t="shared" ca="1" si="304"/>
        <v>2022</v>
      </c>
      <c r="AR1040" s="6">
        <f t="shared" ca="1" si="305"/>
        <v>2</v>
      </c>
      <c r="AS1040" s="68">
        <f ca="1">IFERROR(__xludf.DUMMYFUNCTION("""COMPUTED_VALUE"""),44615.9986111111)</f>
        <v>44615.998611111099</v>
      </c>
      <c r="AT1040" s="6">
        <f ca="1">IFERROR(__xludf.DUMMYFUNCTION("""COMPUTED_VALUE"""),1910.4)</f>
        <v>1910.4</v>
      </c>
    </row>
    <row r="1041" spans="2:46" x14ac:dyDescent="0.35">
      <c r="B1041" s="6" t="str">
        <f t="shared" ca="1" si="288"/>
        <v>20222</v>
      </c>
      <c r="C1041" s="6">
        <f t="shared" ca="1" si="289"/>
        <v>2022</v>
      </c>
      <c r="D1041" s="6">
        <f t="shared" ca="1" si="290"/>
        <v>2</v>
      </c>
      <c r="E1041" s="68">
        <f ca="1">IFERROR(__xludf.DUMMYFUNCTION("""COMPUTED_VALUE"""),44607.6666666666)</f>
        <v>44607.666666666599</v>
      </c>
      <c r="F1041" s="6">
        <f ca="1">IFERROR(__xludf.DUMMYFUNCTION("""COMPUTED_VALUE"""),4471.07)</f>
        <v>4471.07</v>
      </c>
      <c r="J1041" s="6" t="str">
        <f t="shared" ca="1" si="291"/>
        <v>20222</v>
      </c>
      <c r="K1041" s="6">
        <f t="shared" ca="1" si="292"/>
        <v>2022</v>
      </c>
      <c r="L1041" s="6">
        <f t="shared" ca="1" si="293"/>
        <v>2</v>
      </c>
      <c r="M1041" s="68">
        <f ca="1">IFERROR(__xludf.DUMMYFUNCTION("""COMPUTED_VALUE"""),44600.6666666666)</f>
        <v>44600.666666666599</v>
      </c>
      <c r="N1041" s="6">
        <f ca="1">IFERROR(__xludf.DUMMYFUNCTION("""COMPUTED_VALUE"""),14194.46)</f>
        <v>14194.46</v>
      </c>
      <c r="R1041" s="6" t="str">
        <f t="shared" ca="1" si="294"/>
        <v>20223</v>
      </c>
      <c r="S1041" s="6">
        <f t="shared" ca="1" si="295"/>
        <v>2022</v>
      </c>
      <c r="T1041" s="6">
        <f t="shared" ca="1" si="296"/>
        <v>3</v>
      </c>
      <c r="U1041" s="68">
        <f ca="1">IFERROR(__xludf.DUMMYFUNCTION("""COMPUTED_VALUE"""),44649.6458333333)</f>
        <v>44649.645833333299</v>
      </c>
      <c r="V1041" s="6">
        <f ca="1">IFERROR(__xludf.DUMMYFUNCTION("""COMPUTED_VALUE"""),2741.07)</f>
        <v>2741.07</v>
      </c>
      <c r="Z1041" s="6" t="str">
        <f t="shared" ca="1" si="297"/>
        <v>202012</v>
      </c>
      <c r="AA1041" s="6">
        <f t="shared" ca="1" si="298"/>
        <v>2020</v>
      </c>
      <c r="AB1041" s="6">
        <f t="shared" ca="1" si="299"/>
        <v>12</v>
      </c>
      <c r="AC1041" s="68">
        <f ca="1">IFERROR(__xludf.DUMMYFUNCTION("""COMPUTED_VALUE"""),44184.9986111111)</f>
        <v>44184.998611111099</v>
      </c>
      <c r="AD1041" s="6">
        <f ca="1">IFERROR(__xludf.DUMMYFUNCTION("""COMPUTED_VALUE"""),1098.98)</f>
        <v>1098.98</v>
      </c>
      <c r="AH1041" s="6" t="str">
        <f t="shared" ca="1" si="300"/>
        <v>202010</v>
      </c>
      <c r="AI1041" s="6">
        <f t="shared" ca="1" si="301"/>
        <v>2020</v>
      </c>
      <c r="AJ1041" s="6">
        <f t="shared" ca="1" si="302"/>
        <v>10</v>
      </c>
      <c r="AK1041" s="68">
        <f ca="1">IFERROR(__xludf.DUMMYFUNCTION("""COMPUTED_VALUE"""),44133.9986111111)</f>
        <v>44133.998611111099</v>
      </c>
      <c r="AL1041" s="6">
        <f ca="1">IFERROR(__xludf.DUMMYFUNCTION("""COMPUTED_VALUE"""),13455.76)</f>
        <v>13455.76</v>
      </c>
      <c r="AP1041" s="6" t="str">
        <f t="shared" ca="1" si="303"/>
        <v>20222</v>
      </c>
      <c r="AQ1041" s="6">
        <f t="shared" ca="1" si="304"/>
        <v>2022</v>
      </c>
      <c r="AR1041" s="6">
        <f t="shared" ca="1" si="305"/>
        <v>2</v>
      </c>
      <c r="AS1041" s="68">
        <f ca="1">IFERROR(__xludf.DUMMYFUNCTION("""COMPUTED_VALUE"""),44616.9986111111)</f>
        <v>44616.998611111099</v>
      </c>
      <c r="AT1041" s="6">
        <f ca="1">IFERROR(__xludf.DUMMYFUNCTION("""COMPUTED_VALUE"""),1926.3)</f>
        <v>1926.3</v>
      </c>
    </row>
    <row r="1042" spans="2:46" x14ac:dyDescent="0.35">
      <c r="B1042" s="6" t="str">
        <f t="shared" ca="1" si="288"/>
        <v>20222</v>
      </c>
      <c r="C1042" s="6">
        <f t="shared" ca="1" si="289"/>
        <v>2022</v>
      </c>
      <c r="D1042" s="6">
        <f t="shared" ca="1" si="290"/>
        <v>2</v>
      </c>
      <c r="E1042" s="68">
        <f ca="1">IFERROR(__xludf.DUMMYFUNCTION("""COMPUTED_VALUE"""),44608.6666666666)</f>
        <v>44608.666666666599</v>
      </c>
      <c r="F1042" s="6">
        <f ca="1">IFERROR(__xludf.DUMMYFUNCTION("""COMPUTED_VALUE"""),4475.01)</f>
        <v>4475.01</v>
      </c>
      <c r="J1042" s="6" t="str">
        <f t="shared" ca="1" si="291"/>
        <v>20222</v>
      </c>
      <c r="K1042" s="6">
        <f t="shared" ca="1" si="292"/>
        <v>2022</v>
      </c>
      <c r="L1042" s="6">
        <f t="shared" ca="1" si="293"/>
        <v>2</v>
      </c>
      <c r="M1042" s="68">
        <f ca="1">IFERROR(__xludf.DUMMYFUNCTION("""COMPUTED_VALUE"""),44601.6666666666)</f>
        <v>44601.666666666599</v>
      </c>
      <c r="N1042" s="6">
        <f ca="1">IFERROR(__xludf.DUMMYFUNCTION("""COMPUTED_VALUE"""),14490.37)</f>
        <v>14490.37</v>
      </c>
      <c r="R1042" s="6" t="str">
        <f t="shared" ca="1" si="294"/>
        <v>20223</v>
      </c>
      <c r="S1042" s="6">
        <f t="shared" ca="1" si="295"/>
        <v>2022</v>
      </c>
      <c r="T1042" s="6">
        <f t="shared" ca="1" si="296"/>
        <v>3</v>
      </c>
      <c r="U1042" s="68">
        <f ca="1">IFERROR(__xludf.DUMMYFUNCTION("""COMPUTED_VALUE"""),44650.6458333333)</f>
        <v>44650.645833333299</v>
      </c>
      <c r="V1042" s="6">
        <f ca="1">IFERROR(__xludf.DUMMYFUNCTION("""COMPUTED_VALUE"""),2746.74)</f>
        <v>2746.74</v>
      </c>
      <c r="Z1042" s="6" t="str">
        <f t="shared" ca="1" si="297"/>
        <v>202012</v>
      </c>
      <c r="AA1042" s="6">
        <f t="shared" ca="1" si="298"/>
        <v>2020</v>
      </c>
      <c r="AB1042" s="6">
        <f t="shared" ca="1" si="299"/>
        <v>12</v>
      </c>
      <c r="AC1042" s="68">
        <f ca="1">IFERROR(__xludf.DUMMYFUNCTION("""COMPUTED_VALUE"""),44185.9986111111)</f>
        <v>44185.998611111099</v>
      </c>
      <c r="AD1042" s="6">
        <f ca="1">IFERROR(__xludf.DUMMYFUNCTION("""COMPUTED_VALUE"""),1098.98)</f>
        <v>1098.98</v>
      </c>
      <c r="AH1042" s="6" t="str">
        <f t="shared" ca="1" si="300"/>
        <v>202010</v>
      </c>
      <c r="AI1042" s="6">
        <f t="shared" ca="1" si="301"/>
        <v>2020</v>
      </c>
      <c r="AJ1042" s="6">
        <f t="shared" ca="1" si="302"/>
        <v>10</v>
      </c>
      <c r="AK1042" s="68">
        <f ca="1">IFERROR(__xludf.DUMMYFUNCTION("""COMPUTED_VALUE"""),44134.9986111111)</f>
        <v>44134.998611111099</v>
      </c>
      <c r="AL1042" s="6">
        <f ca="1">IFERROR(__xludf.DUMMYFUNCTION("""COMPUTED_VALUE"""),13568.08)</f>
        <v>13568.08</v>
      </c>
      <c r="AP1042" s="6" t="str">
        <f t="shared" ca="1" si="303"/>
        <v>20222</v>
      </c>
      <c r="AQ1042" s="6">
        <f t="shared" ca="1" si="304"/>
        <v>2022</v>
      </c>
      <c r="AR1042" s="6">
        <f t="shared" ca="1" si="305"/>
        <v>2</v>
      </c>
      <c r="AS1042" s="68">
        <f ca="1">IFERROR(__xludf.DUMMYFUNCTION("""COMPUTED_VALUE"""),44617.9986111111)</f>
        <v>44617.998611111099</v>
      </c>
      <c r="AT1042" s="6">
        <f ca="1">IFERROR(__xludf.DUMMYFUNCTION("""COMPUTED_VALUE"""),1887.6)</f>
        <v>1887.6</v>
      </c>
    </row>
    <row r="1043" spans="2:46" x14ac:dyDescent="0.35">
      <c r="B1043" s="6" t="str">
        <f t="shared" ca="1" si="288"/>
        <v>20222</v>
      </c>
      <c r="C1043" s="6">
        <f t="shared" ca="1" si="289"/>
        <v>2022</v>
      </c>
      <c r="D1043" s="6">
        <f t="shared" ca="1" si="290"/>
        <v>2</v>
      </c>
      <c r="E1043" s="68">
        <f ca="1">IFERROR(__xludf.DUMMYFUNCTION("""COMPUTED_VALUE"""),44609.6666666666)</f>
        <v>44609.666666666599</v>
      </c>
      <c r="F1043" s="6">
        <f ca="1">IFERROR(__xludf.DUMMYFUNCTION("""COMPUTED_VALUE"""),4380.26)</f>
        <v>4380.26</v>
      </c>
      <c r="J1043" s="6" t="str">
        <f t="shared" ca="1" si="291"/>
        <v>20222</v>
      </c>
      <c r="K1043" s="6">
        <f t="shared" ca="1" si="292"/>
        <v>2022</v>
      </c>
      <c r="L1043" s="6">
        <f t="shared" ca="1" si="293"/>
        <v>2</v>
      </c>
      <c r="M1043" s="68">
        <f ca="1">IFERROR(__xludf.DUMMYFUNCTION("""COMPUTED_VALUE"""),44602.6666666666)</f>
        <v>44602.666666666599</v>
      </c>
      <c r="N1043" s="6">
        <f ca="1">IFERROR(__xludf.DUMMYFUNCTION("""COMPUTED_VALUE"""),14185.64)</f>
        <v>14185.64</v>
      </c>
      <c r="R1043" s="6" t="str">
        <f t="shared" ca="1" si="294"/>
        <v>20223</v>
      </c>
      <c r="S1043" s="6">
        <f t="shared" ca="1" si="295"/>
        <v>2022</v>
      </c>
      <c r="T1043" s="6">
        <f t="shared" ca="1" si="296"/>
        <v>3</v>
      </c>
      <c r="U1043" s="68">
        <f ca="1">IFERROR(__xludf.DUMMYFUNCTION("""COMPUTED_VALUE"""),44651.6458333333)</f>
        <v>44651.645833333299</v>
      </c>
      <c r="V1043" s="6">
        <f ca="1">IFERROR(__xludf.DUMMYFUNCTION("""COMPUTED_VALUE"""),2757.65)</f>
        <v>2757.65</v>
      </c>
      <c r="Z1043" s="6" t="str">
        <f t="shared" ca="1" si="297"/>
        <v>202012</v>
      </c>
      <c r="AA1043" s="6">
        <f t="shared" ca="1" si="298"/>
        <v>2020</v>
      </c>
      <c r="AB1043" s="6">
        <f t="shared" ca="1" si="299"/>
        <v>12</v>
      </c>
      <c r="AC1043" s="68">
        <f ca="1">IFERROR(__xludf.DUMMYFUNCTION("""COMPUTED_VALUE"""),44186.9986111111)</f>
        <v>44186.998611111099</v>
      </c>
      <c r="AD1043" s="6">
        <f ca="1">IFERROR(__xludf.DUMMYFUNCTION("""COMPUTED_VALUE"""),1101.86)</f>
        <v>1101.8599999999999</v>
      </c>
      <c r="AH1043" s="6" t="str">
        <f t="shared" ca="1" si="300"/>
        <v>202010</v>
      </c>
      <c r="AI1043" s="6">
        <f t="shared" ca="1" si="301"/>
        <v>2020</v>
      </c>
      <c r="AJ1043" s="6">
        <f t="shared" ca="1" si="302"/>
        <v>10</v>
      </c>
      <c r="AK1043" s="68">
        <f ca="1">IFERROR(__xludf.DUMMYFUNCTION("""COMPUTED_VALUE"""),44135.9986111111)</f>
        <v>44135.998611111099</v>
      </c>
      <c r="AL1043" s="6">
        <f ca="1">IFERROR(__xludf.DUMMYFUNCTION("""COMPUTED_VALUE"""),13798.8)</f>
        <v>13798.8</v>
      </c>
      <c r="AP1043" s="6" t="str">
        <f t="shared" ca="1" si="303"/>
        <v>20222</v>
      </c>
      <c r="AQ1043" s="6">
        <f t="shared" ca="1" si="304"/>
        <v>2022</v>
      </c>
      <c r="AR1043" s="6">
        <f t="shared" ca="1" si="305"/>
        <v>2</v>
      </c>
      <c r="AS1043" s="68">
        <f ca="1">IFERROR(__xludf.DUMMYFUNCTION("""COMPUTED_VALUE"""),44620.9986111111)</f>
        <v>44620.998611111099</v>
      </c>
      <c r="AT1043" s="6">
        <f ca="1">IFERROR(__xludf.DUMMYFUNCTION("""COMPUTED_VALUE"""),1900.7)</f>
        <v>1900.7</v>
      </c>
    </row>
    <row r="1044" spans="2:46" x14ac:dyDescent="0.35">
      <c r="B1044" s="6" t="str">
        <f t="shared" ca="1" si="288"/>
        <v>20222</v>
      </c>
      <c r="C1044" s="6">
        <f t="shared" ca="1" si="289"/>
        <v>2022</v>
      </c>
      <c r="D1044" s="6">
        <f t="shared" ca="1" si="290"/>
        <v>2</v>
      </c>
      <c r="E1044" s="68">
        <f ca="1">IFERROR(__xludf.DUMMYFUNCTION("""COMPUTED_VALUE"""),44610.6666666666)</f>
        <v>44610.666666666599</v>
      </c>
      <c r="F1044" s="6">
        <f ca="1">IFERROR(__xludf.DUMMYFUNCTION("""COMPUTED_VALUE"""),4348.87)</f>
        <v>4348.87</v>
      </c>
      <c r="J1044" s="6" t="str">
        <f t="shared" ca="1" si="291"/>
        <v>20222</v>
      </c>
      <c r="K1044" s="6">
        <f t="shared" ca="1" si="292"/>
        <v>2022</v>
      </c>
      <c r="L1044" s="6">
        <f t="shared" ca="1" si="293"/>
        <v>2</v>
      </c>
      <c r="M1044" s="68">
        <f ca="1">IFERROR(__xludf.DUMMYFUNCTION("""COMPUTED_VALUE"""),44603.6666666666)</f>
        <v>44603.666666666599</v>
      </c>
      <c r="N1044" s="6">
        <f ca="1">IFERROR(__xludf.DUMMYFUNCTION("""COMPUTED_VALUE"""),13791.15)</f>
        <v>13791.15</v>
      </c>
      <c r="R1044" s="6" t="str">
        <f t="shared" ca="1" si="294"/>
        <v>20224</v>
      </c>
      <c r="S1044" s="6">
        <f t="shared" ca="1" si="295"/>
        <v>2022</v>
      </c>
      <c r="T1044" s="6">
        <f t="shared" ca="1" si="296"/>
        <v>4</v>
      </c>
      <c r="U1044" s="68">
        <f ca="1">IFERROR(__xludf.DUMMYFUNCTION("""COMPUTED_VALUE"""),44652.6458333333)</f>
        <v>44652.645833333299</v>
      </c>
      <c r="V1044" s="6">
        <f ca="1">IFERROR(__xludf.DUMMYFUNCTION("""COMPUTED_VALUE"""),2739.85)</f>
        <v>2739.85</v>
      </c>
      <c r="Z1044" s="6" t="str">
        <f t="shared" ca="1" si="297"/>
        <v>202012</v>
      </c>
      <c r="AA1044" s="6">
        <f t="shared" ca="1" si="298"/>
        <v>2020</v>
      </c>
      <c r="AB1044" s="6">
        <f t="shared" ca="1" si="299"/>
        <v>12</v>
      </c>
      <c r="AC1044" s="68">
        <f ca="1">IFERROR(__xludf.DUMMYFUNCTION("""COMPUTED_VALUE"""),44187.9986111111)</f>
        <v>44187.998611111099</v>
      </c>
      <c r="AD1044" s="6">
        <f ca="1">IFERROR(__xludf.DUMMYFUNCTION("""COMPUTED_VALUE"""),1107.98)</f>
        <v>1107.98</v>
      </c>
      <c r="AH1044" s="6" t="str">
        <f t="shared" ca="1" si="300"/>
        <v>202011</v>
      </c>
      <c r="AI1044" s="6">
        <f t="shared" ca="1" si="301"/>
        <v>2020</v>
      </c>
      <c r="AJ1044" s="6">
        <f t="shared" ca="1" si="302"/>
        <v>11</v>
      </c>
      <c r="AK1044" s="68">
        <f ca="1">IFERROR(__xludf.DUMMYFUNCTION("""COMPUTED_VALUE"""),44136.9986111111)</f>
        <v>44136.998611111099</v>
      </c>
      <c r="AL1044" s="6">
        <f ca="1">IFERROR(__xludf.DUMMYFUNCTION("""COMPUTED_VALUE"""),13763.58)</f>
        <v>13763.58</v>
      </c>
      <c r="AP1044" s="6" t="str">
        <f t="shared" ca="1" si="303"/>
        <v>20223</v>
      </c>
      <c r="AQ1044" s="6">
        <f t="shared" ca="1" si="304"/>
        <v>2022</v>
      </c>
      <c r="AR1044" s="6">
        <f t="shared" ca="1" si="305"/>
        <v>3</v>
      </c>
      <c r="AS1044" s="68">
        <f ca="1">IFERROR(__xludf.DUMMYFUNCTION("""COMPUTED_VALUE"""),44621.9986111111)</f>
        <v>44621.998611111099</v>
      </c>
      <c r="AT1044" s="6">
        <f ca="1">IFERROR(__xludf.DUMMYFUNCTION("""COMPUTED_VALUE"""),1943.8)</f>
        <v>1943.8</v>
      </c>
    </row>
    <row r="1045" spans="2:46" x14ac:dyDescent="0.35">
      <c r="B1045" s="6" t="str">
        <f t="shared" ca="1" si="288"/>
        <v>20222</v>
      </c>
      <c r="C1045" s="6">
        <f t="shared" ca="1" si="289"/>
        <v>2022</v>
      </c>
      <c r="D1045" s="6">
        <f t="shared" ca="1" si="290"/>
        <v>2</v>
      </c>
      <c r="E1045" s="68">
        <f ca="1">IFERROR(__xludf.DUMMYFUNCTION("""COMPUTED_VALUE"""),44614.6666666666)</f>
        <v>44614.666666666599</v>
      </c>
      <c r="F1045" s="6">
        <f ca="1">IFERROR(__xludf.DUMMYFUNCTION("""COMPUTED_VALUE"""),4304.76)</f>
        <v>4304.76</v>
      </c>
      <c r="J1045" s="6" t="str">
        <f t="shared" ca="1" si="291"/>
        <v>20222</v>
      </c>
      <c r="K1045" s="6">
        <f t="shared" ca="1" si="292"/>
        <v>2022</v>
      </c>
      <c r="L1045" s="6">
        <f t="shared" ca="1" si="293"/>
        <v>2</v>
      </c>
      <c r="M1045" s="68">
        <f ca="1">IFERROR(__xludf.DUMMYFUNCTION("""COMPUTED_VALUE"""),44606.6666666666)</f>
        <v>44606.666666666599</v>
      </c>
      <c r="N1045" s="6">
        <f ca="1">IFERROR(__xludf.DUMMYFUNCTION("""COMPUTED_VALUE"""),13790.92)</f>
        <v>13790.92</v>
      </c>
      <c r="R1045" s="6" t="str">
        <f t="shared" ca="1" si="294"/>
        <v>20224</v>
      </c>
      <c r="S1045" s="6">
        <f t="shared" ca="1" si="295"/>
        <v>2022</v>
      </c>
      <c r="T1045" s="6">
        <f t="shared" ca="1" si="296"/>
        <v>4</v>
      </c>
      <c r="U1045" s="68">
        <f ca="1">IFERROR(__xludf.DUMMYFUNCTION("""COMPUTED_VALUE"""),44655.6458333333)</f>
        <v>44655.645833333299</v>
      </c>
      <c r="V1045" s="6">
        <f ca="1">IFERROR(__xludf.DUMMYFUNCTION("""COMPUTED_VALUE"""),2757.9)</f>
        <v>2757.9</v>
      </c>
      <c r="Z1045" s="6" t="str">
        <f t="shared" ca="1" si="297"/>
        <v>202012</v>
      </c>
      <c r="AA1045" s="6">
        <f t="shared" ca="1" si="298"/>
        <v>2020</v>
      </c>
      <c r="AB1045" s="6">
        <f t="shared" ca="1" si="299"/>
        <v>12</v>
      </c>
      <c r="AC1045" s="68">
        <f ca="1">IFERROR(__xludf.DUMMYFUNCTION("""COMPUTED_VALUE"""),44188.9986111111)</f>
        <v>44188.998611111099</v>
      </c>
      <c r="AD1045" s="6">
        <f ca="1">IFERROR(__xludf.DUMMYFUNCTION("""COMPUTED_VALUE"""),1104.8)</f>
        <v>1104.8</v>
      </c>
      <c r="AH1045" s="6" t="str">
        <f t="shared" ca="1" si="300"/>
        <v>202011</v>
      </c>
      <c r="AI1045" s="6">
        <f t="shared" ca="1" si="301"/>
        <v>2020</v>
      </c>
      <c r="AJ1045" s="6">
        <f t="shared" ca="1" si="302"/>
        <v>11</v>
      </c>
      <c r="AK1045" s="68">
        <f ca="1">IFERROR(__xludf.DUMMYFUNCTION("""COMPUTED_VALUE"""),44137.9986111111)</f>
        <v>44137.998611111099</v>
      </c>
      <c r="AL1045" s="6">
        <f ca="1">IFERROR(__xludf.DUMMYFUNCTION("""COMPUTED_VALUE"""),13566.47)</f>
        <v>13566.47</v>
      </c>
      <c r="AP1045" s="6" t="str">
        <f t="shared" ca="1" si="303"/>
        <v>20223</v>
      </c>
      <c r="AQ1045" s="6">
        <f t="shared" ca="1" si="304"/>
        <v>2022</v>
      </c>
      <c r="AR1045" s="6">
        <f t="shared" ca="1" si="305"/>
        <v>3</v>
      </c>
      <c r="AS1045" s="68">
        <f ca="1">IFERROR(__xludf.DUMMYFUNCTION("""COMPUTED_VALUE"""),44622.9986111111)</f>
        <v>44622.998611111099</v>
      </c>
      <c r="AT1045" s="6">
        <f ca="1">IFERROR(__xludf.DUMMYFUNCTION("""COMPUTED_VALUE"""),1922.3)</f>
        <v>1922.3</v>
      </c>
    </row>
    <row r="1046" spans="2:46" x14ac:dyDescent="0.35">
      <c r="B1046" s="6" t="str">
        <f t="shared" ca="1" si="288"/>
        <v>20222</v>
      </c>
      <c r="C1046" s="6">
        <f t="shared" ca="1" si="289"/>
        <v>2022</v>
      </c>
      <c r="D1046" s="6">
        <f t="shared" ca="1" si="290"/>
        <v>2</v>
      </c>
      <c r="E1046" s="68">
        <f ca="1">IFERROR(__xludf.DUMMYFUNCTION("""COMPUTED_VALUE"""),44615.6666666666)</f>
        <v>44615.666666666599</v>
      </c>
      <c r="F1046" s="6">
        <f ca="1">IFERROR(__xludf.DUMMYFUNCTION("""COMPUTED_VALUE"""),4225.5)</f>
        <v>4225.5</v>
      </c>
      <c r="J1046" s="6" t="str">
        <f t="shared" ca="1" si="291"/>
        <v>20222</v>
      </c>
      <c r="K1046" s="6">
        <f t="shared" ca="1" si="292"/>
        <v>2022</v>
      </c>
      <c r="L1046" s="6">
        <f t="shared" ca="1" si="293"/>
        <v>2</v>
      </c>
      <c r="M1046" s="68">
        <f ca="1">IFERROR(__xludf.DUMMYFUNCTION("""COMPUTED_VALUE"""),44607.6666666666)</f>
        <v>44607.666666666599</v>
      </c>
      <c r="N1046" s="6">
        <f ca="1">IFERROR(__xludf.DUMMYFUNCTION("""COMPUTED_VALUE"""),14139.76)</f>
        <v>14139.76</v>
      </c>
      <c r="R1046" s="6" t="str">
        <f t="shared" ca="1" si="294"/>
        <v>20224</v>
      </c>
      <c r="S1046" s="6">
        <f t="shared" ca="1" si="295"/>
        <v>2022</v>
      </c>
      <c r="T1046" s="6">
        <f t="shared" ca="1" si="296"/>
        <v>4</v>
      </c>
      <c r="U1046" s="68">
        <f ca="1">IFERROR(__xludf.DUMMYFUNCTION("""COMPUTED_VALUE"""),44656.6458333333)</f>
        <v>44656.645833333299</v>
      </c>
      <c r="V1046" s="6">
        <f ca="1">IFERROR(__xludf.DUMMYFUNCTION("""COMPUTED_VALUE"""),2759.2)</f>
        <v>2759.2</v>
      </c>
      <c r="Z1046" s="6" t="str">
        <f t="shared" ca="1" si="297"/>
        <v>202012</v>
      </c>
      <c r="AA1046" s="6">
        <f t="shared" ca="1" si="298"/>
        <v>2020</v>
      </c>
      <c r="AB1046" s="6">
        <f t="shared" ca="1" si="299"/>
        <v>12</v>
      </c>
      <c r="AC1046" s="68">
        <f ca="1">IFERROR(__xludf.DUMMYFUNCTION("""COMPUTED_VALUE"""),44189.9986111111)</f>
        <v>44189.998611111099</v>
      </c>
      <c r="AD1046" s="6">
        <f ca="1">IFERROR(__xludf.DUMMYFUNCTION("""COMPUTED_VALUE"""),1099.91)</f>
        <v>1099.9100000000001</v>
      </c>
      <c r="AH1046" s="6" t="str">
        <f t="shared" ca="1" si="300"/>
        <v>202011</v>
      </c>
      <c r="AI1046" s="6">
        <f t="shared" ca="1" si="301"/>
        <v>2020</v>
      </c>
      <c r="AJ1046" s="6">
        <f t="shared" ca="1" si="302"/>
        <v>11</v>
      </c>
      <c r="AK1046" s="68">
        <f ca="1">IFERROR(__xludf.DUMMYFUNCTION("""COMPUTED_VALUE"""),44138.9986111111)</f>
        <v>44138.998611111099</v>
      </c>
      <c r="AL1046" s="6">
        <f ca="1">IFERROR(__xludf.DUMMYFUNCTION("""COMPUTED_VALUE"""),14021.7)</f>
        <v>14021.7</v>
      </c>
      <c r="AP1046" s="6" t="str">
        <f t="shared" ca="1" si="303"/>
        <v>20223</v>
      </c>
      <c r="AQ1046" s="6">
        <f t="shared" ca="1" si="304"/>
        <v>2022</v>
      </c>
      <c r="AR1046" s="6">
        <f t="shared" ca="1" si="305"/>
        <v>3</v>
      </c>
      <c r="AS1046" s="68">
        <f ca="1">IFERROR(__xludf.DUMMYFUNCTION("""COMPUTED_VALUE"""),44623.9986111111)</f>
        <v>44623.998611111099</v>
      </c>
      <c r="AT1046" s="6">
        <f ca="1">IFERROR(__xludf.DUMMYFUNCTION("""COMPUTED_VALUE"""),1935.9)</f>
        <v>1935.9</v>
      </c>
    </row>
    <row r="1047" spans="2:46" x14ac:dyDescent="0.35">
      <c r="B1047" s="6" t="str">
        <f t="shared" ca="1" si="288"/>
        <v>20222</v>
      </c>
      <c r="C1047" s="6">
        <f t="shared" ca="1" si="289"/>
        <v>2022</v>
      </c>
      <c r="D1047" s="6">
        <f t="shared" ca="1" si="290"/>
        <v>2</v>
      </c>
      <c r="E1047" s="68">
        <f ca="1">IFERROR(__xludf.DUMMYFUNCTION("""COMPUTED_VALUE"""),44616.6666666666)</f>
        <v>44616.666666666599</v>
      </c>
      <c r="F1047" s="6">
        <f ca="1">IFERROR(__xludf.DUMMYFUNCTION("""COMPUTED_VALUE"""),4288.7)</f>
        <v>4288.7</v>
      </c>
      <c r="J1047" s="6" t="str">
        <f t="shared" ca="1" si="291"/>
        <v>20222</v>
      </c>
      <c r="K1047" s="6">
        <f t="shared" ca="1" si="292"/>
        <v>2022</v>
      </c>
      <c r="L1047" s="6">
        <f t="shared" ca="1" si="293"/>
        <v>2</v>
      </c>
      <c r="M1047" s="68">
        <f ca="1">IFERROR(__xludf.DUMMYFUNCTION("""COMPUTED_VALUE"""),44608.6666666666)</f>
        <v>44608.666666666599</v>
      </c>
      <c r="N1047" s="6">
        <f ca="1">IFERROR(__xludf.DUMMYFUNCTION("""COMPUTED_VALUE"""),14124.1)</f>
        <v>14124.1</v>
      </c>
      <c r="R1047" s="6" t="str">
        <f t="shared" ca="1" si="294"/>
        <v>20224</v>
      </c>
      <c r="S1047" s="6">
        <f t="shared" ca="1" si="295"/>
        <v>2022</v>
      </c>
      <c r="T1047" s="6">
        <f t="shared" ca="1" si="296"/>
        <v>4</v>
      </c>
      <c r="U1047" s="68">
        <f ca="1">IFERROR(__xludf.DUMMYFUNCTION("""COMPUTED_VALUE"""),44657.6458333333)</f>
        <v>44657.645833333299</v>
      </c>
      <c r="V1047" s="6">
        <f ca="1">IFERROR(__xludf.DUMMYFUNCTION("""COMPUTED_VALUE"""),2735.03)</f>
        <v>2735.03</v>
      </c>
      <c r="Z1047" s="6" t="str">
        <f t="shared" ca="1" si="297"/>
        <v>202012</v>
      </c>
      <c r="AA1047" s="6">
        <f t="shared" ca="1" si="298"/>
        <v>2020</v>
      </c>
      <c r="AB1047" s="6">
        <f t="shared" ca="1" si="299"/>
        <v>12</v>
      </c>
      <c r="AC1047" s="68">
        <f ca="1">IFERROR(__xludf.DUMMYFUNCTION("""COMPUTED_VALUE"""),44190.9986111111)</f>
        <v>44190.998611111099</v>
      </c>
      <c r="AD1047" s="6">
        <f ca="1">IFERROR(__xludf.DUMMYFUNCTION("""COMPUTED_VALUE"""),1099.09)</f>
        <v>1099.0899999999999</v>
      </c>
      <c r="AH1047" s="6" t="str">
        <f t="shared" ca="1" si="300"/>
        <v>202011</v>
      </c>
      <c r="AI1047" s="6">
        <f t="shared" ca="1" si="301"/>
        <v>2020</v>
      </c>
      <c r="AJ1047" s="6">
        <f t="shared" ca="1" si="302"/>
        <v>11</v>
      </c>
      <c r="AK1047" s="68">
        <f ca="1">IFERROR(__xludf.DUMMYFUNCTION("""COMPUTED_VALUE"""),44139.9986111111)</f>
        <v>44139.998611111099</v>
      </c>
      <c r="AL1047" s="6">
        <f ca="1">IFERROR(__xludf.DUMMYFUNCTION("""COMPUTED_VALUE"""),14159.61)</f>
        <v>14159.61</v>
      </c>
      <c r="AP1047" s="6" t="str">
        <f t="shared" ca="1" si="303"/>
        <v>20223</v>
      </c>
      <c r="AQ1047" s="6">
        <f t="shared" ca="1" si="304"/>
        <v>2022</v>
      </c>
      <c r="AR1047" s="6">
        <f t="shared" ca="1" si="305"/>
        <v>3</v>
      </c>
      <c r="AS1047" s="68">
        <f ca="1">IFERROR(__xludf.DUMMYFUNCTION("""COMPUTED_VALUE"""),44624.9986111111)</f>
        <v>44624.998611111099</v>
      </c>
      <c r="AT1047" s="6">
        <f ca="1">IFERROR(__xludf.DUMMYFUNCTION("""COMPUTED_VALUE"""),1966.6)</f>
        <v>1966.6</v>
      </c>
    </row>
    <row r="1048" spans="2:46" x14ac:dyDescent="0.35">
      <c r="B1048" s="6" t="str">
        <f t="shared" ca="1" si="288"/>
        <v>20222</v>
      </c>
      <c r="C1048" s="6">
        <f t="shared" ca="1" si="289"/>
        <v>2022</v>
      </c>
      <c r="D1048" s="6">
        <f t="shared" ca="1" si="290"/>
        <v>2</v>
      </c>
      <c r="E1048" s="68">
        <f ca="1">IFERROR(__xludf.DUMMYFUNCTION("""COMPUTED_VALUE"""),44617.6666666666)</f>
        <v>44617.666666666599</v>
      </c>
      <c r="F1048" s="6">
        <f ca="1">IFERROR(__xludf.DUMMYFUNCTION("""COMPUTED_VALUE"""),4384.65)</f>
        <v>4384.6499999999996</v>
      </c>
      <c r="J1048" s="6" t="str">
        <f t="shared" ca="1" si="291"/>
        <v>20222</v>
      </c>
      <c r="K1048" s="6">
        <f t="shared" ca="1" si="292"/>
        <v>2022</v>
      </c>
      <c r="L1048" s="6">
        <f t="shared" ca="1" si="293"/>
        <v>2</v>
      </c>
      <c r="M1048" s="68">
        <f ca="1">IFERROR(__xludf.DUMMYFUNCTION("""COMPUTED_VALUE"""),44609.6666666666)</f>
        <v>44609.666666666599</v>
      </c>
      <c r="N1048" s="6">
        <f ca="1">IFERROR(__xludf.DUMMYFUNCTION("""COMPUTED_VALUE"""),13716.72)</f>
        <v>13716.72</v>
      </c>
      <c r="R1048" s="6" t="str">
        <f t="shared" ca="1" si="294"/>
        <v>20224</v>
      </c>
      <c r="S1048" s="6">
        <f t="shared" ca="1" si="295"/>
        <v>2022</v>
      </c>
      <c r="T1048" s="6">
        <f t="shared" ca="1" si="296"/>
        <v>4</v>
      </c>
      <c r="U1048" s="68">
        <f ca="1">IFERROR(__xludf.DUMMYFUNCTION("""COMPUTED_VALUE"""),44658.6458333333)</f>
        <v>44658.645833333299</v>
      </c>
      <c r="V1048" s="6">
        <f ca="1">IFERROR(__xludf.DUMMYFUNCTION("""COMPUTED_VALUE"""),2695.86)</f>
        <v>2695.86</v>
      </c>
      <c r="Z1048" s="6" t="str">
        <f t="shared" ca="1" si="297"/>
        <v>202012</v>
      </c>
      <c r="AA1048" s="6">
        <f t="shared" ca="1" si="298"/>
        <v>2020</v>
      </c>
      <c r="AB1048" s="6">
        <f t="shared" ca="1" si="299"/>
        <v>12</v>
      </c>
      <c r="AC1048" s="68">
        <f ca="1">IFERROR(__xludf.DUMMYFUNCTION("""COMPUTED_VALUE"""),44191.9986111111)</f>
        <v>44191.998611111099</v>
      </c>
      <c r="AD1048" s="6">
        <f ca="1">IFERROR(__xludf.DUMMYFUNCTION("""COMPUTED_VALUE"""),1099.09)</f>
        <v>1099.0899999999999</v>
      </c>
      <c r="AH1048" s="6" t="str">
        <f t="shared" ca="1" si="300"/>
        <v>202011</v>
      </c>
      <c r="AI1048" s="6">
        <f t="shared" ca="1" si="301"/>
        <v>2020</v>
      </c>
      <c r="AJ1048" s="6">
        <f t="shared" ca="1" si="302"/>
        <v>11</v>
      </c>
      <c r="AK1048" s="68">
        <f ca="1">IFERROR(__xludf.DUMMYFUNCTION("""COMPUTED_VALUE"""),44140.9986111111)</f>
        <v>44140.998611111099</v>
      </c>
      <c r="AL1048" s="6">
        <f ca="1">IFERROR(__xludf.DUMMYFUNCTION("""COMPUTED_VALUE"""),15588.08)</f>
        <v>15588.08</v>
      </c>
      <c r="AP1048" s="6" t="str">
        <f t="shared" ca="1" si="303"/>
        <v>20223</v>
      </c>
      <c r="AQ1048" s="6">
        <f t="shared" ca="1" si="304"/>
        <v>2022</v>
      </c>
      <c r="AR1048" s="6">
        <f t="shared" ca="1" si="305"/>
        <v>3</v>
      </c>
      <c r="AS1048" s="68">
        <f ca="1">IFERROR(__xludf.DUMMYFUNCTION("""COMPUTED_VALUE"""),44627.9986111111)</f>
        <v>44627.998611111099</v>
      </c>
      <c r="AT1048" s="6">
        <f ca="1">IFERROR(__xludf.DUMMYFUNCTION("""COMPUTED_VALUE"""),1995.9)</f>
        <v>1995.9</v>
      </c>
    </row>
    <row r="1049" spans="2:46" x14ac:dyDescent="0.35">
      <c r="B1049" s="6" t="str">
        <f t="shared" ca="1" si="288"/>
        <v>20222</v>
      </c>
      <c r="C1049" s="6">
        <f t="shared" ca="1" si="289"/>
        <v>2022</v>
      </c>
      <c r="D1049" s="6">
        <f t="shared" ca="1" si="290"/>
        <v>2</v>
      </c>
      <c r="E1049" s="68">
        <f ca="1">IFERROR(__xludf.DUMMYFUNCTION("""COMPUTED_VALUE"""),44620.6666666666)</f>
        <v>44620.666666666599</v>
      </c>
      <c r="F1049" s="6">
        <f ca="1">IFERROR(__xludf.DUMMYFUNCTION("""COMPUTED_VALUE"""),4373.94)</f>
        <v>4373.9399999999996</v>
      </c>
      <c r="J1049" s="6" t="str">
        <f t="shared" ca="1" si="291"/>
        <v>20222</v>
      </c>
      <c r="K1049" s="6">
        <f t="shared" ca="1" si="292"/>
        <v>2022</v>
      </c>
      <c r="L1049" s="6">
        <f t="shared" ca="1" si="293"/>
        <v>2</v>
      </c>
      <c r="M1049" s="68">
        <f ca="1">IFERROR(__xludf.DUMMYFUNCTION("""COMPUTED_VALUE"""),44610.6666666666)</f>
        <v>44610.666666666599</v>
      </c>
      <c r="N1049" s="6">
        <f ca="1">IFERROR(__xludf.DUMMYFUNCTION("""COMPUTED_VALUE"""),13548.07)</f>
        <v>13548.07</v>
      </c>
      <c r="R1049" s="6" t="str">
        <f t="shared" ca="1" si="294"/>
        <v>20224</v>
      </c>
      <c r="S1049" s="6">
        <f t="shared" ca="1" si="295"/>
        <v>2022</v>
      </c>
      <c r="T1049" s="6">
        <f t="shared" ca="1" si="296"/>
        <v>4</v>
      </c>
      <c r="U1049" s="68">
        <f ca="1">IFERROR(__xludf.DUMMYFUNCTION("""COMPUTED_VALUE"""),44659.6458333333)</f>
        <v>44659.645833333299</v>
      </c>
      <c r="V1049" s="6">
        <f ca="1">IFERROR(__xludf.DUMMYFUNCTION("""COMPUTED_VALUE"""),2700.39)</f>
        <v>2700.39</v>
      </c>
      <c r="Z1049" s="6" t="str">
        <f t="shared" ca="1" si="297"/>
        <v>202012</v>
      </c>
      <c r="AA1049" s="6">
        <f t="shared" ca="1" si="298"/>
        <v>2020</v>
      </c>
      <c r="AB1049" s="6">
        <f t="shared" ca="1" si="299"/>
        <v>12</v>
      </c>
      <c r="AC1049" s="68">
        <f ca="1">IFERROR(__xludf.DUMMYFUNCTION("""COMPUTED_VALUE"""),44192.9986111111)</f>
        <v>44192.998611111099</v>
      </c>
      <c r="AD1049" s="6">
        <f ca="1">IFERROR(__xludf.DUMMYFUNCTION("""COMPUTED_VALUE"""),1099.09)</f>
        <v>1099.0899999999999</v>
      </c>
      <c r="AH1049" s="6" t="str">
        <f t="shared" ca="1" si="300"/>
        <v>202011</v>
      </c>
      <c r="AI1049" s="6">
        <f t="shared" ca="1" si="301"/>
        <v>2020</v>
      </c>
      <c r="AJ1049" s="6">
        <f t="shared" ca="1" si="302"/>
        <v>11</v>
      </c>
      <c r="AK1049" s="68">
        <f ca="1">IFERROR(__xludf.DUMMYFUNCTION("""COMPUTED_VALUE"""),44141.9986111111)</f>
        <v>44141.998611111099</v>
      </c>
      <c r="AL1049" s="6">
        <f ca="1">IFERROR(__xludf.DUMMYFUNCTION("""COMPUTED_VALUE"""),15584.02)</f>
        <v>15584.02</v>
      </c>
      <c r="AP1049" s="6" t="str">
        <f t="shared" ca="1" si="303"/>
        <v>20223</v>
      </c>
      <c r="AQ1049" s="6">
        <f t="shared" ca="1" si="304"/>
        <v>2022</v>
      </c>
      <c r="AR1049" s="6">
        <f t="shared" ca="1" si="305"/>
        <v>3</v>
      </c>
      <c r="AS1049" s="68">
        <f ca="1">IFERROR(__xludf.DUMMYFUNCTION("""COMPUTED_VALUE"""),44628.9986111111)</f>
        <v>44628.998611111099</v>
      </c>
      <c r="AT1049" s="6">
        <f ca="1">IFERROR(__xludf.DUMMYFUNCTION("""COMPUTED_VALUE"""),2043.3)</f>
        <v>2043.3</v>
      </c>
    </row>
    <row r="1050" spans="2:46" x14ac:dyDescent="0.35">
      <c r="B1050" s="6" t="str">
        <f t="shared" ca="1" si="288"/>
        <v>20223</v>
      </c>
      <c r="C1050" s="6">
        <f t="shared" ca="1" si="289"/>
        <v>2022</v>
      </c>
      <c r="D1050" s="6">
        <f t="shared" ca="1" si="290"/>
        <v>3</v>
      </c>
      <c r="E1050" s="68">
        <f ca="1">IFERROR(__xludf.DUMMYFUNCTION("""COMPUTED_VALUE"""),44621.6666666666)</f>
        <v>44621.666666666599</v>
      </c>
      <c r="F1050" s="6">
        <f ca="1">IFERROR(__xludf.DUMMYFUNCTION("""COMPUTED_VALUE"""),4306.26)</f>
        <v>4306.26</v>
      </c>
      <c r="J1050" s="6" t="str">
        <f t="shared" ca="1" si="291"/>
        <v>20222</v>
      </c>
      <c r="K1050" s="6">
        <f t="shared" ca="1" si="292"/>
        <v>2022</v>
      </c>
      <c r="L1050" s="6">
        <f t="shared" ca="1" si="293"/>
        <v>2</v>
      </c>
      <c r="M1050" s="68">
        <f ca="1">IFERROR(__xludf.DUMMYFUNCTION("""COMPUTED_VALUE"""),44614.6666666666)</f>
        <v>44614.666666666599</v>
      </c>
      <c r="N1050" s="6">
        <f ca="1">IFERROR(__xludf.DUMMYFUNCTION("""COMPUTED_VALUE"""),13381.52)</f>
        <v>13381.52</v>
      </c>
      <c r="R1050" s="6" t="str">
        <f t="shared" ca="1" si="294"/>
        <v>20224</v>
      </c>
      <c r="S1050" s="6">
        <f t="shared" ca="1" si="295"/>
        <v>2022</v>
      </c>
      <c r="T1050" s="6">
        <f t="shared" ca="1" si="296"/>
        <v>4</v>
      </c>
      <c r="U1050" s="68">
        <f ca="1">IFERROR(__xludf.DUMMYFUNCTION("""COMPUTED_VALUE"""),44662.6458333333)</f>
        <v>44662.645833333299</v>
      </c>
      <c r="V1050" s="6">
        <f ca="1">IFERROR(__xludf.DUMMYFUNCTION("""COMPUTED_VALUE"""),2693.1)</f>
        <v>2693.1</v>
      </c>
      <c r="Z1050" s="6" t="str">
        <f t="shared" ca="1" si="297"/>
        <v>202012</v>
      </c>
      <c r="AA1050" s="6">
        <f t="shared" ca="1" si="298"/>
        <v>2020</v>
      </c>
      <c r="AB1050" s="6">
        <f t="shared" ca="1" si="299"/>
        <v>12</v>
      </c>
      <c r="AC1050" s="68">
        <f ca="1">IFERROR(__xludf.DUMMYFUNCTION("""COMPUTED_VALUE"""),44193.9986111111)</f>
        <v>44193.998611111099</v>
      </c>
      <c r="AD1050" s="6">
        <f ca="1">IFERROR(__xludf.DUMMYFUNCTION("""COMPUTED_VALUE"""),1095)</f>
        <v>1095</v>
      </c>
      <c r="AH1050" s="6" t="str">
        <f t="shared" ca="1" si="300"/>
        <v>202011</v>
      </c>
      <c r="AI1050" s="6">
        <f t="shared" ca="1" si="301"/>
        <v>2020</v>
      </c>
      <c r="AJ1050" s="6">
        <f t="shared" ca="1" si="302"/>
        <v>11</v>
      </c>
      <c r="AK1050" s="68">
        <f ca="1">IFERROR(__xludf.DUMMYFUNCTION("""COMPUTED_VALUE"""),44142.9986111111)</f>
        <v>44142.998611111099</v>
      </c>
      <c r="AL1050" s="6">
        <f ca="1">IFERROR(__xludf.DUMMYFUNCTION("""COMPUTED_VALUE"""),14832.34)</f>
        <v>14832.34</v>
      </c>
      <c r="AP1050" s="6" t="str">
        <f t="shared" ca="1" si="303"/>
        <v>20223</v>
      </c>
      <c r="AQ1050" s="6">
        <f t="shared" ca="1" si="304"/>
        <v>2022</v>
      </c>
      <c r="AR1050" s="6">
        <f t="shared" ca="1" si="305"/>
        <v>3</v>
      </c>
      <c r="AS1050" s="68">
        <f ca="1">IFERROR(__xludf.DUMMYFUNCTION("""COMPUTED_VALUE"""),44629.9986111111)</f>
        <v>44629.998611111099</v>
      </c>
      <c r="AT1050" s="6">
        <f ca="1">IFERROR(__xludf.DUMMYFUNCTION("""COMPUTED_VALUE"""),1988.2)</f>
        <v>1988.2</v>
      </c>
    </row>
    <row r="1051" spans="2:46" x14ac:dyDescent="0.35">
      <c r="B1051" s="6" t="str">
        <f t="shared" ca="1" si="288"/>
        <v>20223</v>
      </c>
      <c r="C1051" s="6">
        <f t="shared" ca="1" si="289"/>
        <v>2022</v>
      </c>
      <c r="D1051" s="6">
        <f t="shared" ca="1" si="290"/>
        <v>3</v>
      </c>
      <c r="E1051" s="68">
        <f ca="1">IFERROR(__xludf.DUMMYFUNCTION("""COMPUTED_VALUE"""),44622.6666666666)</f>
        <v>44622.666666666599</v>
      </c>
      <c r="F1051" s="6">
        <f ca="1">IFERROR(__xludf.DUMMYFUNCTION("""COMPUTED_VALUE"""),4386.54)</f>
        <v>4386.54</v>
      </c>
      <c r="J1051" s="6" t="str">
        <f t="shared" ca="1" si="291"/>
        <v>20222</v>
      </c>
      <c r="K1051" s="6">
        <f t="shared" ca="1" si="292"/>
        <v>2022</v>
      </c>
      <c r="L1051" s="6">
        <f t="shared" ca="1" si="293"/>
        <v>2</v>
      </c>
      <c r="M1051" s="68">
        <f ca="1">IFERROR(__xludf.DUMMYFUNCTION("""COMPUTED_VALUE"""),44615.6666666666)</f>
        <v>44615.666666666599</v>
      </c>
      <c r="N1051" s="6">
        <f ca="1">IFERROR(__xludf.DUMMYFUNCTION("""COMPUTED_VALUE"""),13037.49)</f>
        <v>13037.49</v>
      </c>
      <c r="R1051" s="6" t="str">
        <f t="shared" ca="1" si="294"/>
        <v>20224</v>
      </c>
      <c r="S1051" s="6">
        <f t="shared" ca="1" si="295"/>
        <v>2022</v>
      </c>
      <c r="T1051" s="6">
        <f t="shared" ca="1" si="296"/>
        <v>4</v>
      </c>
      <c r="U1051" s="68">
        <f ca="1">IFERROR(__xludf.DUMMYFUNCTION("""COMPUTED_VALUE"""),44663.6458333333)</f>
        <v>44663.645833333299</v>
      </c>
      <c r="V1051" s="6">
        <f ca="1">IFERROR(__xludf.DUMMYFUNCTION("""COMPUTED_VALUE"""),2666.76)</f>
        <v>2666.76</v>
      </c>
      <c r="Z1051" s="6" t="str">
        <f t="shared" ca="1" si="297"/>
        <v>202012</v>
      </c>
      <c r="AA1051" s="6">
        <f t="shared" ca="1" si="298"/>
        <v>2020</v>
      </c>
      <c r="AB1051" s="6">
        <f t="shared" ca="1" si="299"/>
        <v>12</v>
      </c>
      <c r="AC1051" s="68">
        <f ca="1">IFERROR(__xludf.DUMMYFUNCTION("""COMPUTED_VALUE"""),44194.9986111111)</f>
        <v>44194.998611111099</v>
      </c>
      <c r="AD1051" s="6">
        <f ca="1">IFERROR(__xludf.DUMMYFUNCTION("""COMPUTED_VALUE"""),1092.62)</f>
        <v>1092.6199999999999</v>
      </c>
      <c r="AH1051" s="6" t="str">
        <f t="shared" ca="1" si="300"/>
        <v>202011</v>
      </c>
      <c r="AI1051" s="6">
        <f t="shared" ca="1" si="301"/>
        <v>2020</v>
      </c>
      <c r="AJ1051" s="6">
        <f t="shared" ca="1" si="302"/>
        <v>11</v>
      </c>
      <c r="AK1051" s="68">
        <f ca="1">IFERROR(__xludf.DUMMYFUNCTION("""COMPUTED_VALUE"""),44143.9986111111)</f>
        <v>44143.998611111099</v>
      </c>
      <c r="AL1051" s="6">
        <f ca="1">IFERROR(__xludf.DUMMYFUNCTION("""COMPUTED_VALUE"""),15484.36)</f>
        <v>15484.36</v>
      </c>
      <c r="AP1051" s="6" t="str">
        <f t="shared" ca="1" si="303"/>
        <v>20223</v>
      </c>
      <c r="AQ1051" s="6">
        <f t="shared" ca="1" si="304"/>
        <v>2022</v>
      </c>
      <c r="AR1051" s="6">
        <f t="shared" ca="1" si="305"/>
        <v>3</v>
      </c>
      <c r="AS1051" s="68">
        <f ca="1">IFERROR(__xludf.DUMMYFUNCTION("""COMPUTED_VALUE"""),44630.9986111111)</f>
        <v>44630.998611111099</v>
      </c>
      <c r="AT1051" s="6">
        <f ca="1">IFERROR(__xludf.DUMMYFUNCTION("""COMPUTED_VALUE"""),2000.4)</f>
        <v>2000.4</v>
      </c>
    </row>
    <row r="1052" spans="2:46" x14ac:dyDescent="0.35">
      <c r="B1052" s="6" t="str">
        <f t="shared" ca="1" si="288"/>
        <v>20223</v>
      </c>
      <c r="C1052" s="6">
        <f t="shared" ca="1" si="289"/>
        <v>2022</v>
      </c>
      <c r="D1052" s="6">
        <f t="shared" ca="1" si="290"/>
        <v>3</v>
      </c>
      <c r="E1052" s="68">
        <f ca="1">IFERROR(__xludf.DUMMYFUNCTION("""COMPUTED_VALUE"""),44623.6666666666)</f>
        <v>44623.666666666599</v>
      </c>
      <c r="F1052" s="6">
        <f ca="1">IFERROR(__xludf.DUMMYFUNCTION("""COMPUTED_VALUE"""),4363.49)</f>
        <v>4363.49</v>
      </c>
      <c r="J1052" s="6" t="str">
        <f t="shared" ca="1" si="291"/>
        <v>20222</v>
      </c>
      <c r="K1052" s="6">
        <f t="shared" ca="1" si="292"/>
        <v>2022</v>
      </c>
      <c r="L1052" s="6">
        <f t="shared" ca="1" si="293"/>
        <v>2</v>
      </c>
      <c r="M1052" s="68">
        <f ca="1">IFERROR(__xludf.DUMMYFUNCTION("""COMPUTED_VALUE"""),44616.6666666666)</f>
        <v>44616.666666666599</v>
      </c>
      <c r="N1052" s="6">
        <f ca="1">IFERROR(__xludf.DUMMYFUNCTION("""COMPUTED_VALUE"""),13473.59)</f>
        <v>13473.59</v>
      </c>
      <c r="R1052" s="6" t="str">
        <f t="shared" ca="1" si="294"/>
        <v>20224</v>
      </c>
      <c r="S1052" s="6">
        <f t="shared" ca="1" si="295"/>
        <v>2022</v>
      </c>
      <c r="T1052" s="6">
        <f t="shared" ca="1" si="296"/>
        <v>4</v>
      </c>
      <c r="U1052" s="68">
        <f ca="1">IFERROR(__xludf.DUMMYFUNCTION("""COMPUTED_VALUE"""),44664.6458333333)</f>
        <v>44664.645833333299</v>
      </c>
      <c r="V1052" s="6">
        <f ca="1">IFERROR(__xludf.DUMMYFUNCTION("""COMPUTED_VALUE"""),2716.49)</f>
        <v>2716.49</v>
      </c>
      <c r="Z1052" s="6" t="str">
        <f t="shared" ca="1" si="297"/>
        <v>202012</v>
      </c>
      <c r="AA1052" s="6">
        <f t="shared" ca="1" si="298"/>
        <v>2020</v>
      </c>
      <c r="AB1052" s="6">
        <f t="shared" ca="1" si="299"/>
        <v>12</v>
      </c>
      <c r="AC1052" s="68">
        <f ca="1">IFERROR(__xludf.DUMMYFUNCTION("""COMPUTED_VALUE"""),44195.9986111111)</f>
        <v>44195.998611111099</v>
      </c>
      <c r="AD1052" s="6">
        <f ca="1">IFERROR(__xludf.DUMMYFUNCTION("""COMPUTED_VALUE"""),1086.42)</f>
        <v>1086.42</v>
      </c>
      <c r="AH1052" s="6" t="str">
        <f t="shared" ca="1" si="300"/>
        <v>202011</v>
      </c>
      <c r="AI1052" s="6">
        <f t="shared" ca="1" si="301"/>
        <v>2020</v>
      </c>
      <c r="AJ1052" s="6">
        <f t="shared" ca="1" si="302"/>
        <v>11</v>
      </c>
      <c r="AK1052" s="68">
        <f ca="1">IFERROR(__xludf.DUMMYFUNCTION("""COMPUTED_VALUE"""),44144.9986111111)</f>
        <v>44144.998611111099</v>
      </c>
      <c r="AL1052" s="6">
        <f ca="1">IFERROR(__xludf.DUMMYFUNCTION("""COMPUTED_VALUE"""),15326.06)</f>
        <v>15326.06</v>
      </c>
      <c r="AP1052" s="6" t="str">
        <f t="shared" ca="1" si="303"/>
        <v>20223</v>
      </c>
      <c r="AQ1052" s="6">
        <f t="shared" ca="1" si="304"/>
        <v>2022</v>
      </c>
      <c r="AR1052" s="6">
        <f t="shared" ca="1" si="305"/>
        <v>3</v>
      </c>
      <c r="AS1052" s="68">
        <f ca="1">IFERROR(__xludf.DUMMYFUNCTION("""COMPUTED_VALUE"""),44631.9986111111)</f>
        <v>44631.998611111099</v>
      </c>
      <c r="AT1052" s="6">
        <f ca="1">IFERROR(__xludf.DUMMYFUNCTION("""COMPUTED_VALUE"""),1985)</f>
        <v>1985</v>
      </c>
    </row>
    <row r="1053" spans="2:46" x14ac:dyDescent="0.35">
      <c r="B1053" s="6" t="str">
        <f t="shared" ca="1" si="288"/>
        <v>20223</v>
      </c>
      <c r="C1053" s="6">
        <f t="shared" ca="1" si="289"/>
        <v>2022</v>
      </c>
      <c r="D1053" s="6">
        <f t="shared" ca="1" si="290"/>
        <v>3</v>
      </c>
      <c r="E1053" s="68">
        <f ca="1">IFERROR(__xludf.DUMMYFUNCTION("""COMPUTED_VALUE"""),44624.6666666666)</f>
        <v>44624.666666666599</v>
      </c>
      <c r="F1053" s="6">
        <f ca="1">IFERROR(__xludf.DUMMYFUNCTION("""COMPUTED_VALUE"""),4328.87)</f>
        <v>4328.87</v>
      </c>
      <c r="J1053" s="6" t="str">
        <f t="shared" ca="1" si="291"/>
        <v>20222</v>
      </c>
      <c r="K1053" s="6">
        <f t="shared" ca="1" si="292"/>
        <v>2022</v>
      </c>
      <c r="L1053" s="6">
        <f t="shared" ca="1" si="293"/>
        <v>2</v>
      </c>
      <c r="M1053" s="68">
        <f ca="1">IFERROR(__xludf.DUMMYFUNCTION("""COMPUTED_VALUE"""),44617.6666666666)</f>
        <v>44617.666666666599</v>
      </c>
      <c r="N1053" s="6">
        <f ca="1">IFERROR(__xludf.DUMMYFUNCTION("""COMPUTED_VALUE"""),13694.62)</f>
        <v>13694.62</v>
      </c>
      <c r="R1053" s="6" t="str">
        <f t="shared" ca="1" si="294"/>
        <v>20224</v>
      </c>
      <c r="S1053" s="6">
        <f t="shared" ca="1" si="295"/>
        <v>2022</v>
      </c>
      <c r="T1053" s="6">
        <f t="shared" ca="1" si="296"/>
        <v>4</v>
      </c>
      <c r="U1053" s="68">
        <f ca="1">IFERROR(__xludf.DUMMYFUNCTION("""COMPUTED_VALUE"""),44665.6458333333)</f>
        <v>44665.645833333299</v>
      </c>
      <c r="V1053" s="6">
        <f ca="1">IFERROR(__xludf.DUMMYFUNCTION("""COMPUTED_VALUE"""),2716.71)</f>
        <v>2716.71</v>
      </c>
      <c r="Z1053" s="6" t="str">
        <f t="shared" ca="1" si="297"/>
        <v>202012</v>
      </c>
      <c r="AA1053" s="6">
        <f t="shared" ca="1" si="298"/>
        <v>2020</v>
      </c>
      <c r="AB1053" s="6">
        <f t="shared" ca="1" si="299"/>
        <v>12</v>
      </c>
      <c r="AC1053" s="68">
        <f ca="1">IFERROR(__xludf.DUMMYFUNCTION("""COMPUTED_VALUE"""),44196.9986111111)</f>
        <v>44196.998611111099</v>
      </c>
      <c r="AD1053" s="6">
        <f ca="1">IFERROR(__xludf.DUMMYFUNCTION("""COMPUTED_VALUE"""),1084.65)</f>
        <v>1084.6500000000001</v>
      </c>
      <c r="AH1053" s="6" t="str">
        <f t="shared" ca="1" si="300"/>
        <v>202011</v>
      </c>
      <c r="AI1053" s="6">
        <f t="shared" ca="1" si="301"/>
        <v>2020</v>
      </c>
      <c r="AJ1053" s="6">
        <f t="shared" ca="1" si="302"/>
        <v>11</v>
      </c>
      <c r="AK1053" s="68">
        <f ca="1">IFERROR(__xludf.DUMMYFUNCTION("""COMPUTED_VALUE"""),44145.9986111111)</f>
        <v>44145.998611111099</v>
      </c>
      <c r="AL1053" s="6">
        <f ca="1">IFERROR(__xludf.DUMMYFUNCTION("""COMPUTED_VALUE"""),15309.83)</f>
        <v>15309.83</v>
      </c>
      <c r="AP1053" s="6" t="str">
        <f t="shared" ca="1" si="303"/>
        <v>20223</v>
      </c>
      <c r="AQ1053" s="6">
        <f t="shared" ca="1" si="304"/>
        <v>2022</v>
      </c>
      <c r="AR1053" s="6">
        <f t="shared" ca="1" si="305"/>
        <v>3</v>
      </c>
      <c r="AS1053" s="68">
        <f ca="1">IFERROR(__xludf.DUMMYFUNCTION("""COMPUTED_VALUE"""),44634.9986111111)</f>
        <v>44634.998611111099</v>
      </c>
      <c r="AT1053" s="6">
        <f ca="1">IFERROR(__xludf.DUMMYFUNCTION("""COMPUTED_VALUE"""),1960.8)</f>
        <v>1960.8</v>
      </c>
    </row>
    <row r="1054" spans="2:46" x14ac:dyDescent="0.35">
      <c r="B1054" s="6" t="str">
        <f t="shared" ca="1" si="288"/>
        <v>20223</v>
      </c>
      <c r="C1054" s="6">
        <f t="shared" ca="1" si="289"/>
        <v>2022</v>
      </c>
      <c r="D1054" s="6">
        <f t="shared" ca="1" si="290"/>
        <v>3</v>
      </c>
      <c r="E1054" s="68">
        <f ca="1">IFERROR(__xludf.DUMMYFUNCTION("""COMPUTED_VALUE"""),44627.6666666666)</f>
        <v>44627.666666666599</v>
      </c>
      <c r="F1054" s="6">
        <f ca="1">IFERROR(__xludf.DUMMYFUNCTION("""COMPUTED_VALUE"""),4201.09)</f>
        <v>4201.09</v>
      </c>
      <c r="J1054" s="6" t="str">
        <f t="shared" ca="1" si="291"/>
        <v>20222</v>
      </c>
      <c r="K1054" s="6">
        <f t="shared" ca="1" si="292"/>
        <v>2022</v>
      </c>
      <c r="L1054" s="6">
        <f t="shared" ca="1" si="293"/>
        <v>2</v>
      </c>
      <c r="M1054" s="68">
        <f ca="1">IFERROR(__xludf.DUMMYFUNCTION("""COMPUTED_VALUE"""),44620.6666666666)</f>
        <v>44620.666666666599</v>
      </c>
      <c r="N1054" s="6">
        <f ca="1">IFERROR(__xludf.DUMMYFUNCTION("""COMPUTED_VALUE"""),13751.4)</f>
        <v>13751.4</v>
      </c>
      <c r="R1054" s="6" t="str">
        <f t="shared" ca="1" si="294"/>
        <v>20224</v>
      </c>
      <c r="S1054" s="6">
        <f t="shared" ca="1" si="295"/>
        <v>2022</v>
      </c>
      <c r="T1054" s="6">
        <f t="shared" ca="1" si="296"/>
        <v>4</v>
      </c>
      <c r="U1054" s="68">
        <f ca="1">IFERROR(__xludf.DUMMYFUNCTION("""COMPUTED_VALUE"""),44666.6458333333)</f>
        <v>44666.645833333299</v>
      </c>
      <c r="V1054" s="6">
        <f ca="1">IFERROR(__xludf.DUMMYFUNCTION("""COMPUTED_VALUE"""),2696.06)</f>
        <v>2696.06</v>
      </c>
      <c r="Z1054" s="6" t="str">
        <f t="shared" ca="1" si="297"/>
        <v>20211</v>
      </c>
      <c r="AA1054" s="6">
        <f t="shared" ca="1" si="298"/>
        <v>2021</v>
      </c>
      <c r="AB1054" s="6">
        <f t="shared" ca="1" si="299"/>
        <v>1</v>
      </c>
      <c r="AC1054" s="68">
        <f ca="1">IFERROR(__xludf.DUMMYFUNCTION("""COMPUTED_VALUE"""),44197.9986111111)</f>
        <v>44197.998611111099</v>
      </c>
      <c r="AD1054" s="6">
        <f ca="1">IFERROR(__xludf.DUMMYFUNCTION("""COMPUTED_VALUE"""),1084.73)</f>
        <v>1084.73</v>
      </c>
      <c r="AH1054" s="6" t="str">
        <f t="shared" ca="1" si="300"/>
        <v>202011</v>
      </c>
      <c r="AI1054" s="6">
        <f t="shared" ca="1" si="301"/>
        <v>2020</v>
      </c>
      <c r="AJ1054" s="6">
        <f t="shared" ca="1" si="302"/>
        <v>11</v>
      </c>
      <c r="AK1054" s="68">
        <f ca="1">IFERROR(__xludf.DUMMYFUNCTION("""COMPUTED_VALUE"""),44146.9986111111)</f>
        <v>44146.998611111099</v>
      </c>
      <c r="AL1054" s="6">
        <f ca="1">IFERROR(__xludf.DUMMYFUNCTION("""COMPUTED_VALUE"""),15704.55)</f>
        <v>15704.55</v>
      </c>
      <c r="AP1054" s="6" t="str">
        <f t="shared" ca="1" si="303"/>
        <v>20223</v>
      </c>
      <c r="AQ1054" s="6">
        <f t="shared" ca="1" si="304"/>
        <v>2022</v>
      </c>
      <c r="AR1054" s="6">
        <f t="shared" ca="1" si="305"/>
        <v>3</v>
      </c>
      <c r="AS1054" s="68">
        <f ca="1">IFERROR(__xludf.DUMMYFUNCTION("""COMPUTED_VALUE"""),44635.9986111111)</f>
        <v>44635.998611111099</v>
      </c>
      <c r="AT1054" s="6">
        <f ca="1">IFERROR(__xludf.DUMMYFUNCTION("""COMPUTED_VALUE"""),1929.7)</f>
        <v>1929.7</v>
      </c>
    </row>
    <row r="1055" spans="2:46" x14ac:dyDescent="0.35">
      <c r="B1055" s="6" t="str">
        <f t="shared" ca="1" si="288"/>
        <v>20223</v>
      </c>
      <c r="C1055" s="6">
        <f t="shared" ca="1" si="289"/>
        <v>2022</v>
      </c>
      <c r="D1055" s="6">
        <f t="shared" ca="1" si="290"/>
        <v>3</v>
      </c>
      <c r="E1055" s="68">
        <f ca="1">IFERROR(__xludf.DUMMYFUNCTION("""COMPUTED_VALUE"""),44628.6666666666)</f>
        <v>44628.666666666599</v>
      </c>
      <c r="F1055" s="6">
        <f ca="1">IFERROR(__xludf.DUMMYFUNCTION("""COMPUTED_VALUE"""),4170.7)</f>
        <v>4170.7</v>
      </c>
      <c r="J1055" s="6" t="str">
        <f t="shared" ca="1" si="291"/>
        <v>20223</v>
      </c>
      <c r="K1055" s="6">
        <f t="shared" ca="1" si="292"/>
        <v>2022</v>
      </c>
      <c r="L1055" s="6">
        <f t="shared" ca="1" si="293"/>
        <v>3</v>
      </c>
      <c r="M1055" s="68">
        <f ca="1">IFERROR(__xludf.DUMMYFUNCTION("""COMPUTED_VALUE"""),44621.6666666666)</f>
        <v>44621.666666666599</v>
      </c>
      <c r="N1055" s="6">
        <f ca="1">IFERROR(__xludf.DUMMYFUNCTION("""COMPUTED_VALUE"""),13532.46)</f>
        <v>13532.46</v>
      </c>
      <c r="R1055" s="6" t="str">
        <f t="shared" ca="1" si="294"/>
        <v>20224</v>
      </c>
      <c r="S1055" s="6">
        <f t="shared" ca="1" si="295"/>
        <v>2022</v>
      </c>
      <c r="T1055" s="6">
        <f t="shared" ca="1" si="296"/>
        <v>4</v>
      </c>
      <c r="U1055" s="68">
        <f ca="1">IFERROR(__xludf.DUMMYFUNCTION("""COMPUTED_VALUE"""),44669.6458333333)</f>
        <v>44669.645833333299</v>
      </c>
      <c r="V1055" s="6">
        <f ca="1">IFERROR(__xludf.DUMMYFUNCTION("""COMPUTED_VALUE"""),2693.21)</f>
        <v>2693.21</v>
      </c>
      <c r="Z1055" s="6" t="str">
        <f t="shared" ca="1" si="297"/>
        <v>20211</v>
      </c>
      <c r="AA1055" s="6">
        <f t="shared" ca="1" si="298"/>
        <v>2021</v>
      </c>
      <c r="AB1055" s="6">
        <f t="shared" ca="1" si="299"/>
        <v>1</v>
      </c>
      <c r="AC1055" s="68">
        <f ca="1">IFERROR(__xludf.DUMMYFUNCTION("""COMPUTED_VALUE"""),44198.9986111111)</f>
        <v>44198.998611111099</v>
      </c>
      <c r="AD1055" s="6">
        <f ca="1">IFERROR(__xludf.DUMMYFUNCTION("""COMPUTED_VALUE"""),1084.73)</f>
        <v>1084.73</v>
      </c>
      <c r="AH1055" s="6" t="str">
        <f t="shared" ca="1" si="300"/>
        <v>202011</v>
      </c>
      <c r="AI1055" s="6">
        <f t="shared" ca="1" si="301"/>
        <v>2020</v>
      </c>
      <c r="AJ1055" s="6">
        <f t="shared" ca="1" si="302"/>
        <v>11</v>
      </c>
      <c r="AK1055" s="68">
        <f ca="1">IFERROR(__xludf.DUMMYFUNCTION("""COMPUTED_VALUE"""),44148.9986111111)</f>
        <v>44148.998611111099</v>
      </c>
      <c r="AL1055" s="6">
        <f ca="1">IFERROR(__xludf.DUMMYFUNCTION("""COMPUTED_VALUE"""),16326.84)</f>
        <v>16326.84</v>
      </c>
      <c r="AP1055" s="6" t="str">
        <f t="shared" ca="1" si="303"/>
        <v>20223</v>
      </c>
      <c r="AQ1055" s="6">
        <f t="shared" ca="1" si="304"/>
        <v>2022</v>
      </c>
      <c r="AR1055" s="6">
        <f t="shared" ca="1" si="305"/>
        <v>3</v>
      </c>
      <c r="AS1055" s="68">
        <f ca="1">IFERROR(__xludf.DUMMYFUNCTION("""COMPUTED_VALUE"""),44636.9986111111)</f>
        <v>44636.998611111099</v>
      </c>
      <c r="AT1055" s="6">
        <f ca="1">IFERROR(__xludf.DUMMYFUNCTION("""COMPUTED_VALUE"""),1909.2)</f>
        <v>1909.2</v>
      </c>
    </row>
    <row r="1056" spans="2:46" x14ac:dyDescent="0.35">
      <c r="B1056" s="6" t="str">
        <f t="shared" ca="1" si="288"/>
        <v>20223</v>
      </c>
      <c r="C1056" s="6">
        <f t="shared" ca="1" si="289"/>
        <v>2022</v>
      </c>
      <c r="D1056" s="6">
        <f t="shared" ca="1" si="290"/>
        <v>3</v>
      </c>
      <c r="E1056" s="68">
        <f ca="1">IFERROR(__xludf.DUMMYFUNCTION("""COMPUTED_VALUE"""),44629.6666666666)</f>
        <v>44629.666666666599</v>
      </c>
      <c r="F1056" s="6">
        <f ca="1">IFERROR(__xludf.DUMMYFUNCTION("""COMPUTED_VALUE"""),4277.88)</f>
        <v>4277.88</v>
      </c>
      <c r="J1056" s="6" t="str">
        <f t="shared" ca="1" si="291"/>
        <v>20223</v>
      </c>
      <c r="K1056" s="6">
        <f t="shared" ca="1" si="292"/>
        <v>2022</v>
      </c>
      <c r="L1056" s="6">
        <f t="shared" ca="1" si="293"/>
        <v>3</v>
      </c>
      <c r="M1056" s="68">
        <f ca="1">IFERROR(__xludf.DUMMYFUNCTION("""COMPUTED_VALUE"""),44622.6666666666)</f>
        <v>44622.666666666599</v>
      </c>
      <c r="N1056" s="6">
        <f ca="1">IFERROR(__xludf.DUMMYFUNCTION("""COMPUTED_VALUE"""),13752.02)</f>
        <v>13752.02</v>
      </c>
      <c r="R1056" s="6" t="str">
        <f t="shared" ca="1" si="294"/>
        <v>20224</v>
      </c>
      <c r="S1056" s="6">
        <f t="shared" ca="1" si="295"/>
        <v>2022</v>
      </c>
      <c r="T1056" s="6">
        <f t="shared" ca="1" si="296"/>
        <v>4</v>
      </c>
      <c r="U1056" s="68">
        <f ca="1">IFERROR(__xludf.DUMMYFUNCTION("""COMPUTED_VALUE"""),44670.6458333333)</f>
        <v>44670.645833333299</v>
      </c>
      <c r="V1056" s="6">
        <f ca="1">IFERROR(__xludf.DUMMYFUNCTION("""COMPUTED_VALUE"""),2718.89)</f>
        <v>2718.89</v>
      </c>
      <c r="Z1056" s="6" t="str">
        <f t="shared" ca="1" si="297"/>
        <v>20211</v>
      </c>
      <c r="AA1056" s="6">
        <f t="shared" ca="1" si="298"/>
        <v>2021</v>
      </c>
      <c r="AB1056" s="6">
        <f t="shared" ca="1" si="299"/>
        <v>1</v>
      </c>
      <c r="AC1056" s="68">
        <f ca="1">IFERROR(__xludf.DUMMYFUNCTION("""COMPUTED_VALUE"""),44199.9986111111)</f>
        <v>44199.998611111099</v>
      </c>
      <c r="AD1056" s="6">
        <f ca="1">IFERROR(__xludf.DUMMYFUNCTION("""COMPUTED_VALUE"""),1084.73)</f>
        <v>1084.73</v>
      </c>
      <c r="AH1056" s="6" t="str">
        <f t="shared" ca="1" si="300"/>
        <v>202011</v>
      </c>
      <c r="AI1056" s="6">
        <f t="shared" ca="1" si="301"/>
        <v>2020</v>
      </c>
      <c r="AJ1056" s="6">
        <f t="shared" ca="1" si="302"/>
        <v>11</v>
      </c>
      <c r="AK1056" s="68">
        <f ca="1">IFERROR(__xludf.DUMMYFUNCTION("""COMPUTED_VALUE"""),44149.9986111111)</f>
        <v>44149.998611111099</v>
      </c>
      <c r="AL1056" s="6">
        <f ca="1">IFERROR(__xludf.DUMMYFUNCTION("""COMPUTED_VALUE"""),16078.98)</f>
        <v>16078.98</v>
      </c>
      <c r="AP1056" s="6" t="str">
        <f t="shared" ca="1" si="303"/>
        <v>20223</v>
      </c>
      <c r="AQ1056" s="6">
        <f t="shared" ca="1" si="304"/>
        <v>2022</v>
      </c>
      <c r="AR1056" s="6">
        <f t="shared" ca="1" si="305"/>
        <v>3</v>
      </c>
      <c r="AS1056" s="68">
        <f ca="1">IFERROR(__xludf.DUMMYFUNCTION("""COMPUTED_VALUE"""),44637.9986111111)</f>
        <v>44637.998611111099</v>
      </c>
      <c r="AT1056" s="6">
        <f ca="1">IFERROR(__xludf.DUMMYFUNCTION("""COMPUTED_VALUE"""),1948.2)</f>
        <v>1948.2</v>
      </c>
    </row>
    <row r="1057" spans="2:46" x14ac:dyDescent="0.35">
      <c r="B1057" s="6" t="str">
        <f t="shared" ca="1" si="288"/>
        <v>20223</v>
      </c>
      <c r="C1057" s="6">
        <f t="shared" ca="1" si="289"/>
        <v>2022</v>
      </c>
      <c r="D1057" s="6">
        <f t="shared" ca="1" si="290"/>
        <v>3</v>
      </c>
      <c r="E1057" s="68">
        <f ca="1">IFERROR(__xludf.DUMMYFUNCTION("""COMPUTED_VALUE"""),44630.6666666666)</f>
        <v>44630.666666666599</v>
      </c>
      <c r="F1057" s="6">
        <f ca="1">IFERROR(__xludf.DUMMYFUNCTION("""COMPUTED_VALUE"""),4259.52)</f>
        <v>4259.5200000000004</v>
      </c>
      <c r="J1057" s="6" t="str">
        <f t="shared" ca="1" si="291"/>
        <v>20223</v>
      </c>
      <c r="K1057" s="6">
        <f t="shared" ca="1" si="292"/>
        <v>2022</v>
      </c>
      <c r="L1057" s="6">
        <f t="shared" ca="1" si="293"/>
        <v>3</v>
      </c>
      <c r="M1057" s="68">
        <f ca="1">IFERROR(__xludf.DUMMYFUNCTION("""COMPUTED_VALUE"""),44623.6666666666)</f>
        <v>44623.666666666599</v>
      </c>
      <c r="N1057" s="6">
        <f ca="1">IFERROR(__xludf.DUMMYFUNCTION("""COMPUTED_VALUE"""),13537.94)</f>
        <v>13537.94</v>
      </c>
      <c r="R1057" s="6" t="str">
        <f t="shared" ca="1" si="294"/>
        <v>20224</v>
      </c>
      <c r="S1057" s="6">
        <f t="shared" ca="1" si="295"/>
        <v>2022</v>
      </c>
      <c r="T1057" s="6">
        <f t="shared" ca="1" si="296"/>
        <v>4</v>
      </c>
      <c r="U1057" s="68">
        <f ca="1">IFERROR(__xludf.DUMMYFUNCTION("""COMPUTED_VALUE"""),44671.6458333333)</f>
        <v>44671.645833333299</v>
      </c>
      <c r="V1057" s="6">
        <f ca="1">IFERROR(__xludf.DUMMYFUNCTION("""COMPUTED_VALUE"""),2718.69)</f>
        <v>2718.69</v>
      </c>
      <c r="Z1057" s="6" t="str">
        <f t="shared" ca="1" si="297"/>
        <v>20211</v>
      </c>
      <c r="AA1057" s="6">
        <f t="shared" ca="1" si="298"/>
        <v>2021</v>
      </c>
      <c r="AB1057" s="6">
        <f t="shared" ca="1" si="299"/>
        <v>1</v>
      </c>
      <c r="AC1057" s="68">
        <f ca="1">IFERROR(__xludf.DUMMYFUNCTION("""COMPUTED_VALUE"""),44200.9986111111)</f>
        <v>44200.998611111099</v>
      </c>
      <c r="AD1057" s="6">
        <f ca="1">IFERROR(__xludf.DUMMYFUNCTION("""COMPUTED_VALUE"""),1086.62)</f>
        <v>1086.6199999999999</v>
      </c>
      <c r="AH1057" s="6" t="str">
        <f t="shared" ca="1" si="300"/>
        <v>202011</v>
      </c>
      <c r="AI1057" s="6">
        <f t="shared" ca="1" si="301"/>
        <v>2020</v>
      </c>
      <c r="AJ1057" s="6">
        <f t="shared" ca="1" si="302"/>
        <v>11</v>
      </c>
      <c r="AK1057" s="68">
        <f ca="1">IFERROR(__xludf.DUMMYFUNCTION("""COMPUTED_VALUE"""),44150.9986111111)</f>
        <v>44150.998611111099</v>
      </c>
      <c r="AL1057" s="6">
        <f ca="1">IFERROR(__xludf.DUMMYFUNCTION("""COMPUTED_VALUE"""),15936.22)</f>
        <v>15936.22</v>
      </c>
      <c r="AP1057" s="6" t="str">
        <f t="shared" ca="1" si="303"/>
        <v>20223</v>
      </c>
      <c r="AQ1057" s="6">
        <f t="shared" ca="1" si="304"/>
        <v>2022</v>
      </c>
      <c r="AR1057" s="6">
        <f t="shared" ca="1" si="305"/>
        <v>3</v>
      </c>
      <c r="AS1057" s="68">
        <f ca="1">IFERROR(__xludf.DUMMYFUNCTION("""COMPUTED_VALUE"""),44638.9986111111)</f>
        <v>44638.998611111099</v>
      </c>
      <c r="AT1057" s="6">
        <f ca="1">IFERROR(__xludf.DUMMYFUNCTION("""COMPUTED_VALUE"""),1933.9)</f>
        <v>1933.9</v>
      </c>
    </row>
    <row r="1058" spans="2:46" x14ac:dyDescent="0.35">
      <c r="B1058" s="6" t="str">
        <f t="shared" ca="1" si="288"/>
        <v>20223</v>
      </c>
      <c r="C1058" s="6">
        <f t="shared" ca="1" si="289"/>
        <v>2022</v>
      </c>
      <c r="D1058" s="6">
        <f t="shared" ca="1" si="290"/>
        <v>3</v>
      </c>
      <c r="E1058" s="68">
        <f ca="1">IFERROR(__xludf.DUMMYFUNCTION("""COMPUTED_VALUE"""),44631.6666666666)</f>
        <v>44631.666666666599</v>
      </c>
      <c r="F1058" s="6">
        <f ca="1">IFERROR(__xludf.DUMMYFUNCTION("""COMPUTED_VALUE"""),4204.31)</f>
        <v>4204.3100000000004</v>
      </c>
      <c r="J1058" s="6" t="str">
        <f t="shared" ca="1" si="291"/>
        <v>20223</v>
      </c>
      <c r="K1058" s="6">
        <f t="shared" ca="1" si="292"/>
        <v>2022</v>
      </c>
      <c r="L1058" s="6">
        <f t="shared" ca="1" si="293"/>
        <v>3</v>
      </c>
      <c r="M1058" s="68">
        <f ca="1">IFERROR(__xludf.DUMMYFUNCTION("""COMPUTED_VALUE"""),44624.6666666666)</f>
        <v>44624.666666666599</v>
      </c>
      <c r="N1058" s="6">
        <f ca="1">IFERROR(__xludf.DUMMYFUNCTION("""COMPUTED_VALUE"""),13313.44)</f>
        <v>13313.44</v>
      </c>
      <c r="R1058" s="6" t="str">
        <f t="shared" ca="1" si="294"/>
        <v>20224</v>
      </c>
      <c r="S1058" s="6">
        <f t="shared" ca="1" si="295"/>
        <v>2022</v>
      </c>
      <c r="T1058" s="6">
        <f t="shared" ca="1" si="296"/>
        <v>4</v>
      </c>
      <c r="U1058" s="68">
        <f ca="1">IFERROR(__xludf.DUMMYFUNCTION("""COMPUTED_VALUE"""),44672.6458333333)</f>
        <v>44672.645833333299</v>
      </c>
      <c r="V1058" s="6">
        <f ca="1">IFERROR(__xludf.DUMMYFUNCTION("""COMPUTED_VALUE"""),2728.21)</f>
        <v>2728.21</v>
      </c>
      <c r="Z1058" s="6" t="str">
        <f t="shared" ca="1" si="297"/>
        <v>20211</v>
      </c>
      <c r="AA1058" s="6">
        <f t="shared" ca="1" si="298"/>
        <v>2021</v>
      </c>
      <c r="AB1058" s="6">
        <f t="shared" ca="1" si="299"/>
        <v>1</v>
      </c>
      <c r="AC1058" s="68">
        <f ca="1">IFERROR(__xludf.DUMMYFUNCTION("""COMPUTED_VALUE"""),44201.9986111111)</f>
        <v>44201.998611111099</v>
      </c>
      <c r="AD1058" s="6">
        <f ca="1">IFERROR(__xludf.DUMMYFUNCTION("""COMPUTED_VALUE"""),1086.45)</f>
        <v>1086.45</v>
      </c>
      <c r="AH1058" s="6" t="str">
        <f t="shared" ca="1" si="300"/>
        <v>202011</v>
      </c>
      <c r="AI1058" s="6">
        <f t="shared" ca="1" si="301"/>
        <v>2020</v>
      </c>
      <c r="AJ1058" s="6">
        <f t="shared" ca="1" si="302"/>
        <v>11</v>
      </c>
      <c r="AK1058" s="68">
        <f ca="1">IFERROR(__xludf.DUMMYFUNCTION("""COMPUTED_VALUE"""),44151.9986111111)</f>
        <v>44151.998611111099</v>
      </c>
      <c r="AL1058" s="6">
        <f ca="1">IFERROR(__xludf.DUMMYFUNCTION("""COMPUTED_VALUE"""),16709.44)</f>
        <v>16709.439999999999</v>
      </c>
      <c r="AP1058" s="6" t="str">
        <f t="shared" ca="1" si="303"/>
        <v>20223</v>
      </c>
      <c r="AQ1058" s="6">
        <f t="shared" ca="1" si="304"/>
        <v>2022</v>
      </c>
      <c r="AR1058" s="6">
        <f t="shared" ca="1" si="305"/>
        <v>3</v>
      </c>
      <c r="AS1058" s="68">
        <f ca="1">IFERROR(__xludf.DUMMYFUNCTION("""COMPUTED_VALUE"""),44641.9986111111)</f>
        <v>44641.998611111099</v>
      </c>
      <c r="AT1058" s="6">
        <f ca="1">IFERROR(__xludf.DUMMYFUNCTION("""COMPUTED_VALUE"""),1934.8)</f>
        <v>1934.8</v>
      </c>
    </row>
    <row r="1059" spans="2:46" x14ac:dyDescent="0.35">
      <c r="B1059" s="6" t="str">
        <f t="shared" ca="1" si="288"/>
        <v>20223</v>
      </c>
      <c r="C1059" s="6">
        <f t="shared" ca="1" si="289"/>
        <v>2022</v>
      </c>
      <c r="D1059" s="6">
        <f t="shared" ca="1" si="290"/>
        <v>3</v>
      </c>
      <c r="E1059" s="68">
        <f ca="1">IFERROR(__xludf.DUMMYFUNCTION("""COMPUTED_VALUE"""),44634.6666666666)</f>
        <v>44634.666666666599</v>
      </c>
      <c r="F1059" s="6">
        <f ca="1">IFERROR(__xludf.DUMMYFUNCTION("""COMPUTED_VALUE"""),4173.11)</f>
        <v>4173.1099999999997</v>
      </c>
      <c r="J1059" s="6" t="str">
        <f t="shared" ca="1" si="291"/>
        <v>20223</v>
      </c>
      <c r="K1059" s="6">
        <f t="shared" ca="1" si="292"/>
        <v>2022</v>
      </c>
      <c r="L1059" s="6">
        <f t="shared" ca="1" si="293"/>
        <v>3</v>
      </c>
      <c r="M1059" s="68">
        <f ca="1">IFERROR(__xludf.DUMMYFUNCTION("""COMPUTED_VALUE"""),44627.6666666666)</f>
        <v>44627.666666666599</v>
      </c>
      <c r="N1059" s="6">
        <f ca="1">IFERROR(__xludf.DUMMYFUNCTION("""COMPUTED_VALUE"""),12830.96)</f>
        <v>12830.96</v>
      </c>
      <c r="R1059" s="6" t="str">
        <f t="shared" ca="1" si="294"/>
        <v>20224</v>
      </c>
      <c r="S1059" s="6">
        <f t="shared" ca="1" si="295"/>
        <v>2022</v>
      </c>
      <c r="T1059" s="6">
        <f t="shared" ca="1" si="296"/>
        <v>4</v>
      </c>
      <c r="U1059" s="68">
        <f ca="1">IFERROR(__xludf.DUMMYFUNCTION("""COMPUTED_VALUE"""),44673.6458333333)</f>
        <v>44673.645833333299</v>
      </c>
      <c r="V1059" s="6">
        <f ca="1">IFERROR(__xludf.DUMMYFUNCTION("""COMPUTED_VALUE"""),2704.71)</f>
        <v>2704.71</v>
      </c>
      <c r="Z1059" s="6" t="str">
        <f t="shared" ca="1" si="297"/>
        <v>20211</v>
      </c>
      <c r="AA1059" s="6">
        <f t="shared" ca="1" si="298"/>
        <v>2021</v>
      </c>
      <c r="AB1059" s="6">
        <f t="shared" ca="1" si="299"/>
        <v>1</v>
      </c>
      <c r="AC1059" s="68">
        <f ca="1">IFERROR(__xludf.DUMMYFUNCTION("""COMPUTED_VALUE"""),44202.9986111111)</f>
        <v>44202.998611111099</v>
      </c>
      <c r="AD1059" s="6">
        <f ca="1">IFERROR(__xludf.DUMMYFUNCTION("""COMPUTED_VALUE"""),1086.95)</f>
        <v>1086.95</v>
      </c>
      <c r="AH1059" s="6" t="str">
        <f t="shared" ca="1" si="300"/>
        <v>202011</v>
      </c>
      <c r="AI1059" s="6">
        <f t="shared" ca="1" si="301"/>
        <v>2020</v>
      </c>
      <c r="AJ1059" s="6">
        <f t="shared" ca="1" si="302"/>
        <v>11</v>
      </c>
      <c r="AK1059" s="68">
        <f ca="1">IFERROR(__xludf.DUMMYFUNCTION("""COMPUTED_VALUE"""),44152.9986111111)</f>
        <v>44152.998611111099</v>
      </c>
      <c r="AL1059" s="6">
        <f ca="1">IFERROR(__xludf.DUMMYFUNCTION("""COMPUTED_VALUE"""),17672.58)</f>
        <v>17672.580000000002</v>
      </c>
      <c r="AP1059" s="6" t="str">
        <f t="shared" ca="1" si="303"/>
        <v>20223</v>
      </c>
      <c r="AQ1059" s="6">
        <f t="shared" ca="1" si="304"/>
        <v>2022</v>
      </c>
      <c r="AR1059" s="6">
        <f t="shared" ca="1" si="305"/>
        <v>3</v>
      </c>
      <c r="AS1059" s="68">
        <f ca="1">IFERROR(__xludf.DUMMYFUNCTION("""COMPUTED_VALUE"""),44642.9986111111)</f>
        <v>44642.998611111099</v>
      </c>
      <c r="AT1059" s="6">
        <f ca="1">IFERROR(__xludf.DUMMYFUNCTION("""COMPUTED_VALUE"""),1926.7)</f>
        <v>1926.7</v>
      </c>
    </row>
    <row r="1060" spans="2:46" x14ac:dyDescent="0.35">
      <c r="B1060" s="6" t="str">
        <f t="shared" ca="1" si="288"/>
        <v>20223</v>
      </c>
      <c r="C1060" s="6">
        <f t="shared" ca="1" si="289"/>
        <v>2022</v>
      </c>
      <c r="D1060" s="6">
        <f t="shared" ca="1" si="290"/>
        <v>3</v>
      </c>
      <c r="E1060" s="68">
        <f ca="1">IFERROR(__xludf.DUMMYFUNCTION("""COMPUTED_VALUE"""),44635.6666666666)</f>
        <v>44635.666666666599</v>
      </c>
      <c r="F1060" s="6">
        <f ca="1">IFERROR(__xludf.DUMMYFUNCTION("""COMPUTED_VALUE"""),4262.45)</f>
        <v>4262.45</v>
      </c>
      <c r="J1060" s="6" t="str">
        <f t="shared" ca="1" si="291"/>
        <v>20223</v>
      </c>
      <c r="K1060" s="6">
        <f t="shared" ca="1" si="292"/>
        <v>2022</v>
      </c>
      <c r="L1060" s="6">
        <f t="shared" ca="1" si="293"/>
        <v>3</v>
      </c>
      <c r="M1060" s="68">
        <f ca="1">IFERROR(__xludf.DUMMYFUNCTION("""COMPUTED_VALUE"""),44628.6666666666)</f>
        <v>44628.666666666599</v>
      </c>
      <c r="N1060" s="6">
        <f ca="1">IFERROR(__xludf.DUMMYFUNCTION("""COMPUTED_VALUE"""),12795.55)</f>
        <v>12795.55</v>
      </c>
      <c r="R1060" s="6" t="str">
        <f t="shared" ca="1" si="294"/>
        <v>20224</v>
      </c>
      <c r="S1060" s="6">
        <f t="shared" ca="1" si="295"/>
        <v>2022</v>
      </c>
      <c r="T1060" s="6">
        <f t="shared" ca="1" si="296"/>
        <v>4</v>
      </c>
      <c r="U1060" s="68">
        <f ca="1">IFERROR(__xludf.DUMMYFUNCTION("""COMPUTED_VALUE"""),44676.6458333333)</f>
        <v>44676.645833333299</v>
      </c>
      <c r="V1060" s="6">
        <f ca="1">IFERROR(__xludf.DUMMYFUNCTION("""COMPUTED_VALUE"""),2657.13)</f>
        <v>2657.13</v>
      </c>
      <c r="Z1060" s="6" t="str">
        <f t="shared" ca="1" si="297"/>
        <v>20211</v>
      </c>
      <c r="AA1060" s="6">
        <f t="shared" ca="1" si="298"/>
        <v>2021</v>
      </c>
      <c r="AB1060" s="6">
        <f t="shared" ca="1" si="299"/>
        <v>1</v>
      </c>
      <c r="AC1060" s="68">
        <f ca="1">IFERROR(__xludf.DUMMYFUNCTION("""COMPUTED_VALUE"""),44203.9986111111)</f>
        <v>44203.998611111099</v>
      </c>
      <c r="AD1060" s="6">
        <f ca="1">IFERROR(__xludf.DUMMYFUNCTION("""COMPUTED_VALUE"""),1093.07)</f>
        <v>1093.07</v>
      </c>
      <c r="AH1060" s="6" t="str">
        <f t="shared" ca="1" si="300"/>
        <v>202011</v>
      </c>
      <c r="AI1060" s="6">
        <f t="shared" ca="1" si="301"/>
        <v>2020</v>
      </c>
      <c r="AJ1060" s="6">
        <f t="shared" ca="1" si="302"/>
        <v>11</v>
      </c>
      <c r="AK1060" s="68">
        <f ca="1">IFERROR(__xludf.DUMMYFUNCTION("""COMPUTED_VALUE"""),44153.9986111111)</f>
        <v>44153.998611111099</v>
      </c>
      <c r="AL1060" s="6">
        <f ca="1">IFERROR(__xludf.DUMMYFUNCTION("""COMPUTED_VALUE"""),17785.87)</f>
        <v>17785.87</v>
      </c>
      <c r="AP1060" s="6" t="str">
        <f t="shared" ca="1" si="303"/>
        <v>20223</v>
      </c>
      <c r="AQ1060" s="6">
        <f t="shared" ca="1" si="304"/>
        <v>2022</v>
      </c>
      <c r="AR1060" s="6">
        <f t="shared" ca="1" si="305"/>
        <v>3</v>
      </c>
      <c r="AS1060" s="68">
        <f ca="1">IFERROR(__xludf.DUMMYFUNCTION("""COMPUTED_VALUE"""),44643.9986111111)</f>
        <v>44643.998611111099</v>
      </c>
      <c r="AT1060" s="6">
        <f ca="1">IFERROR(__xludf.DUMMYFUNCTION("""COMPUTED_VALUE"""),1942.6)</f>
        <v>1942.6</v>
      </c>
    </row>
    <row r="1061" spans="2:46" x14ac:dyDescent="0.35">
      <c r="B1061" s="6" t="str">
        <f t="shared" ca="1" si="288"/>
        <v>20223</v>
      </c>
      <c r="C1061" s="6">
        <f t="shared" ca="1" si="289"/>
        <v>2022</v>
      </c>
      <c r="D1061" s="6">
        <f t="shared" ca="1" si="290"/>
        <v>3</v>
      </c>
      <c r="E1061" s="68">
        <f ca="1">IFERROR(__xludf.DUMMYFUNCTION("""COMPUTED_VALUE"""),44636.6666666666)</f>
        <v>44636.666666666599</v>
      </c>
      <c r="F1061" s="6">
        <f ca="1">IFERROR(__xludf.DUMMYFUNCTION("""COMPUTED_VALUE"""),4357.86)</f>
        <v>4357.8599999999997</v>
      </c>
      <c r="J1061" s="6" t="str">
        <f t="shared" ca="1" si="291"/>
        <v>20223</v>
      </c>
      <c r="K1061" s="6">
        <f t="shared" ca="1" si="292"/>
        <v>2022</v>
      </c>
      <c r="L1061" s="6">
        <f t="shared" ca="1" si="293"/>
        <v>3</v>
      </c>
      <c r="M1061" s="68">
        <f ca="1">IFERROR(__xludf.DUMMYFUNCTION("""COMPUTED_VALUE"""),44629.6666666666)</f>
        <v>44629.666666666599</v>
      </c>
      <c r="N1061" s="6">
        <f ca="1">IFERROR(__xludf.DUMMYFUNCTION("""COMPUTED_VALUE"""),13255.55)</f>
        <v>13255.55</v>
      </c>
      <c r="R1061" s="6" t="str">
        <f t="shared" ca="1" si="294"/>
        <v>20224</v>
      </c>
      <c r="S1061" s="6">
        <f t="shared" ca="1" si="295"/>
        <v>2022</v>
      </c>
      <c r="T1061" s="6">
        <f t="shared" ca="1" si="296"/>
        <v>4</v>
      </c>
      <c r="U1061" s="68">
        <f ca="1">IFERROR(__xludf.DUMMYFUNCTION("""COMPUTED_VALUE"""),44677.6458333333)</f>
        <v>44677.645833333299</v>
      </c>
      <c r="V1061" s="6">
        <f ca="1">IFERROR(__xludf.DUMMYFUNCTION("""COMPUTED_VALUE"""),2668.31)</f>
        <v>2668.31</v>
      </c>
      <c r="Z1061" s="6" t="str">
        <f t="shared" ca="1" si="297"/>
        <v>20211</v>
      </c>
      <c r="AA1061" s="6">
        <f t="shared" ca="1" si="298"/>
        <v>2021</v>
      </c>
      <c r="AB1061" s="6">
        <f t="shared" ca="1" si="299"/>
        <v>1</v>
      </c>
      <c r="AC1061" s="68">
        <f ca="1">IFERROR(__xludf.DUMMYFUNCTION("""COMPUTED_VALUE"""),44204.9986111111)</f>
        <v>44204.998611111099</v>
      </c>
      <c r="AD1061" s="6">
        <f ca="1">IFERROR(__xludf.DUMMYFUNCTION("""COMPUTED_VALUE"""),1092.92)</f>
        <v>1092.92</v>
      </c>
      <c r="AH1061" s="6" t="str">
        <f t="shared" ca="1" si="300"/>
        <v>202011</v>
      </c>
      <c r="AI1061" s="6">
        <f t="shared" ca="1" si="301"/>
        <v>2020</v>
      </c>
      <c r="AJ1061" s="6">
        <f t="shared" ca="1" si="302"/>
        <v>11</v>
      </c>
      <c r="AK1061" s="68">
        <f ca="1">IFERROR(__xludf.DUMMYFUNCTION("""COMPUTED_VALUE"""),44154.9986111111)</f>
        <v>44154.998611111099</v>
      </c>
      <c r="AL1061" s="6">
        <f ca="1">IFERROR(__xludf.DUMMYFUNCTION("""COMPUTED_VALUE"""),17813.76)</f>
        <v>17813.759999999998</v>
      </c>
      <c r="AP1061" s="6" t="str">
        <f t="shared" ca="1" si="303"/>
        <v>20223</v>
      </c>
      <c r="AQ1061" s="6">
        <f t="shared" ca="1" si="304"/>
        <v>2022</v>
      </c>
      <c r="AR1061" s="6">
        <f t="shared" ca="1" si="305"/>
        <v>3</v>
      </c>
      <c r="AS1061" s="68">
        <f ca="1">IFERROR(__xludf.DUMMYFUNCTION("""COMPUTED_VALUE"""),44644.9986111111)</f>
        <v>44644.998611111099</v>
      </c>
      <c r="AT1061" s="6">
        <f ca="1">IFERROR(__xludf.DUMMYFUNCTION("""COMPUTED_VALUE"""),1967.7)</f>
        <v>1967.7</v>
      </c>
    </row>
    <row r="1062" spans="2:46" x14ac:dyDescent="0.35">
      <c r="B1062" s="6" t="str">
        <f t="shared" ca="1" si="288"/>
        <v>20223</v>
      </c>
      <c r="C1062" s="6">
        <f t="shared" ca="1" si="289"/>
        <v>2022</v>
      </c>
      <c r="D1062" s="6">
        <f t="shared" ca="1" si="290"/>
        <v>3</v>
      </c>
      <c r="E1062" s="68">
        <f ca="1">IFERROR(__xludf.DUMMYFUNCTION("""COMPUTED_VALUE"""),44637.6666666666)</f>
        <v>44637.666666666599</v>
      </c>
      <c r="F1062" s="6">
        <f ca="1">IFERROR(__xludf.DUMMYFUNCTION("""COMPUTED_VALUE"""),4411.67)</f>
        <v>4411.67</v>
      </c>
      <c r="J1062" s="6" t="str">
        <f t="shared" ca="1" si="291"/>
        <v>20223</v>
      </c>
      <c r="K1062" s="6">
        <f t="shared" ca="1" si="292"/>
        <v>2022</v>
      </c>
      <c r="L1062" s="6">
        <f t="shared" ca="1" si="293"/>
        <v>3</v>
      </c>
      <c r="M1062" s="68">
        <f ca="1">IFERROR(__xludf.DUMMYFUNCTION("""COMPUTED_VALUE"""),44630.6666666666)</f>
        <v>44630.666666666599</v>
      </c>
      <c r="N1062" s="6">
        <f ca="1">IFERROR(__xludf.DUMMYFUNCTION("""COMPUTED_VALUE"""),13129.96)</f>
        <v>13129.96</v>
      </c>
      <c r="R1062" s="6" t="str">
        <f t="shared" ca="1" si="294"/>
        <v>20224</v>
      </c>
      <c r="S1062" s="6">
        <f t="shared" ca="1" si="295"/>
        <v>2022</v>
      </c>
      <c r="T1062" s="6">
        <f t="shared" ca="1" si="296"/>
        <v>4</v>
      </c>
      <c r="U1062" s="68">
        <f ca="1">IFERROR(__xludf.DUMMYFUNCTION("""COMPUTED_VALUE"""),44678.6458333333)</f>
        <v>44678.645833333299</v>
      </c>
      <c r="V1062" s="6">
        <f ca="1">IFERROR(__xludf.DUMMYFUNCTION("""COMPUTED_VALUE"""),2639.06)</f>
        <v>2639.06</v>
      </c>
      <c r="Z1062" s="6" t="str">
        <f t="shared" ca="1" si="297"/>
        <v>20211</v>
      </c>
      <c r="AA1062" s="6">
        <f t="shared" ca="1" si="298"/>
        <v>2021</v>
      </c>
      <c r="AB1062" s="6">
        <f t="shared" ca="1" si="299"/>
        <v>1</v>
      </c>
      <c r="AC1062" s="68">
        <f ca="1">IFERROR(__xludf.DUMMYFUNCTION("""COMPUTED_VALUE"""),44205.9986111111)</f>
        <v>44205.998611111099</v>
      </c>
      <c r="AD1062" s="6">
        <f ca="1">IFERROR(__xludf.DUMMYFUNCTION("""COMPUTED_VALUE"""),1092.82)</f>
        <v>1092.82</v>
      </c>
      <c r="AH1062" s="6" t="str">
        <f t="shared" ca="1" si="300"/>
        <v>202011</v>
      </c>
      <c r="AI1062" s="6">
        <f t="shared" ca="1" si="301"/>
        <v>2020</v>
      </c>
      <c r="AJ1062" s="6">
        <f t="shared" ca="1" si="302"/>
        <v>11</v>
      </c>
      <c r="AK1062" s="68">
        <f ca="1">IFERROR(__xludf.DUMMYFUNCTION("""COMPUTED_VALUE"""),44155.9986111111)</f>
        <v>44155.998611111099</v>
      </c>
      <c r="AL1062" s="6">
        <f ca="1">IFERROR(__xludf.DUMMYFUNCTION("""COMPUTED_VALUE"""),18669.68)</f>
        <v>18669.68</v>
      </c>
      <c r="AP1062" s="6" t="str">
        <f t="shared" ca="1" si="303"/>
        <v>20223</v>
      </c>
      <c r="AQ1062" s="6">
        <f t="shared" ca="1" si="304"/>
        <v>2022</v>
      </c>
      <c r="AR1062" s="6">
        <f t="shared" ca="1" si="305"/>
        <v>3</v>
      </c>
      <c r="AS1062" s="68">
        <f ca="1">IFERROR(__xludf.DUMMYFUNCTION("""COMPUTED_VALUE"""),44645.9986111111)</f>
        <v>44645.998611111099</v>
      </c>
      <c r="AT1062" s="6">
        <f ca="1">IFERROR(__xludf.DUMMYFUNCTION("""COMPUTED_VALUE"""),1959.8)</f>
        <v>1959.8</v>
      </c>
    </row>
    <row r="1063" spans="2:46" x14ac:dyDescent="0.35">
      <c r="B1063" s="6" t="str">
        <f t="shared" ca="1" si="288"/>
        <v>20223</v>
      </c>
      <c r="C1063" s="6">
        <f t="shared" ca="1" si="289"/>
        <v>2022</v>
      </c>
      <c r="D1063" s="6">
        <f t="shared" ca="1" si="290"/>
        <v>3</v>
      </c>
      <c r="E1063" s="68">
        <f ca="1">IFERROR(__xludf.DUMMYFUNCTION("""COMPUTED_VALUE"""),44638.6666666666)</f>
        <v>44638.666666666599</v>
      </c>
      <c r="F1063" s="6">
        <f ca="1">IFERROR(__xludf.DUMMYFUNCTION("""COMPUTED_VALUE"""),4463.12)</f>
        <v>4463.12</v>
      </c>
      <c r="J1063" s="6" t="str">
        <f t="shared" ca="1" si="291"/>
        <v>20223</v>
      </c>
      <c r="K1063" s="6">
        <f t="shared" ca="1" si="292"/>
        <v>2022</v>
      </c>
      <c r="L1063" s="6">
        <f t="shared" ca="1" si="293"/>
        <v>3</v>
      </c>
      <c r="M1063" s="68">
        <f ca="1">IFERROR(__xludf.DUMMYFUNCTION("""COMPUTED_VALUE"""),44631.6666666666)</f>
        <v>44631.666666666599</v>
      </c>
      <c r="N1063" s="6">
        <f ca="1">IFERROR(__xludf.DUMMYFUNCTION("""COMPUTED_VALUE"""),12843.81)</f>
        <v>12843.81</v>
      </c>
      <c r="R1063" s="6" t="str">
        <f t="shared" ca="1" si="294"/>
        <v>20224</v>
      </c>
      <c r="S1063" s="6">
        <f t="shared" ca="1" si="295"/>
        <v>2022</v>
      </c>
      <c r="T1063" s="6">
        <f t="shared" ca="1" si="296"/>
        <v>4</v>
      </c>
      <c r="U1063" s="68">
        <f ca="1">IFERROR(__xludf.DUMMYFUNCTION("""COMPUTED_VALUE"""),44679.6458333333)</f>
        <v>44679.645833333299</v>
      </c>
      <c r="V1063" s="6">
        <f ca="1">IFERROR(__xludf.DUMMYFUNCTION("""COMPUTED_VALUE"""),2667.49)</f>
        <v>2667.49</v>
      </c>
      <c r="Z1063" s="6" t="str">
        <f t="shared" ca="1" si="297"/>
        <v>20211</v>
      </c>
      <c r="AA1063" s="6">
        <f t="shared" ca="1" si="298"/>
        <v>2021</v>
      </c>
      <c r="AB1063" s="6">
        <f t="shared" ca="1" si="299"/>
        <v>1</v>
      </c>
      <c r="AC1063" s="68">
        <f ca="1">IFERROR(__xludf.DUMMYFUNCTION("""COMPUTED_VALUE"""),44206.9986111111)</f>
        <v>44206.998611111099</v>
      </c>
      <c r="AD1063" s="6">
        <f ca="1">IFERROR(__xludf.DUMMYFUNCTION("""COMPUTED_VALUE"""),1092.82)</f>
        <v>1092.82</v>
      </c>
      <c r="AH1063" s="6" t="str">
        <f t="shared" ca="1" si="300"/>
        <v>202011</v>
      </c>
      <c r="AI1063" s="6">
        <f t="shared" ca="1" si="301"/>
        <v>2020</v>
      </c>
      <c r="AJ1063" s="6">
        <f t="shared" ca="1" si="302"/>
        <v>11</v>
      </c>
      <c r="AK1063" s="68">
        <f ca="1">IFERROR(__xludf.DUMMYFUNCTION("""COMPUTED_VALUE"""),44156.9986111111)</f>
        <v>44156.998611111099</v>
      </c>
      <c r="AL1063" s="6">
        <f ca="1">IFERROR(__xludf.DUMMYFUNCTION("""COMPUTED_VALUE"""),18697.88)</f>
        <v>18697.88</v>
      </c>
      <c r="AP1063" s="6" t="str">
        <f t="shared" ca="1" si="303"/>
        <v>20223</v>
      </c>
      <c r="AQ1063" s="6">
        <f t="shared" ca="1" si="304"/>
        <v>2022</v>
      </c>
      <c r="AR1063" s="6">
        <f t="shared" ca="1" si="305"/>
        <v>3</v>
      </c>
      <c r="AS1063" s="68">
        <f ca="1">IFERROR(__xludf.DUMMYFUNCTION("""COMPUTED_VALUE"""),44648.9986111111)</f>
        <v>44648.998611111099</v>
      </c>
      <c r="AT1063" s="6">
        <f ca="1">IFERROR(__xludf.DUMMYFUNCTION("""COMPUTED_VALUE"""),1944.7)</f>
        <v>1944.7</v>
      </c>
    </row>
    <row r="1064" spans="2:46" x14ac:dyDescent="0.35">
      <c r="B1064" s="6" t="str">
        <f t="shared" ca="1" si="288"/>
        <v>20223</v>
      </c>
      <c r="C1064" s="6">
        <f t="shared" ca="1" si="289"/>
        <v>2022</v>
      </c>
      <c r="D1064" s="6">
        <f t="shared" ca="1" si="290"/>
        <v>3</v>
      </c>
      <c r="E1064" s="68">
        <f ca="1">IFERROR(__xludf.DUMMYFUNCTION("""COMPUTED_VALUE"""),44641.6666666666)</f>
        <v>44641.666666666599</v>
      </c>
      <c r="F1064" s="6">
        <f ca="1">IFERROR(__xludf.DUMMYFUNCTION("""COMPUTED_VALUE"""),4461.18)</f>
        <v>4461.18</v>
      </c>
      <c r="J1064" s="6" t="str">
        <f t="shared" ca="1" si="291"/>
        <v>20223</v>
      </c>
      <c r="K1064" s="6">
        <f t="shared" ca="1" si="292"/>
        <v>2022</v>
      </c>
      <c r="L1064" s="6">
        <f t="shared" ca="1" si="293"/>
        <v>3</v>
      </c>
      <c r="M1064" s="68">
        <f ca="1">IFERROR(__xludf.DUMMYFUNCTION("""COMPUTED_VALUE"""),44634.6666666666)</f>
        <v>44634.666666666599</v>
      </c>
      <c r="N1064" s="6">
        <f ca="1">IFERROR(__xludf.DUMMYFUNCTION("""COMPUTED_VALUE"""),12581.22)</f>
        <v>12581.22</v>
      </c>
      <c r="R1064" s="6" t="str">
        <f t="shared" ca="1" si="294"/>
        <v>20224</v>
      </c>
      <c r="S1064" s="6">
        <f t="shared" ca="1" si="295"/>
        <v>2022</v>
      </c>
      <c r="T1064" s="6">
        <f t="shared" ca="1" si="296"/>
        <v>4</v>
      </c>
      <c r="U1064" s="68">
        <f ca="1">IFERROR(__xludf.DUMMYFUNCTION("""COMPUTED_VALUE"""),44680.6458333333)</f>
        <v>44680.645833333299</v>
      </c>
      <c r="V1064" s="6">
        <f ca="1">IFERROR(__xludf.DUMMYFUNCTION("""COMPUTED_VALUE"""),2695.05)</f>
        <v>2695.05</v>
      </c>
      <c r="Z1064" s="6" t="str">
        <f t="shared" ca="1" si="297"/>
        <v>20211</v>
      </c>
      <c r="AA1064" s="6">
        <f t="shared" ca="1" si="298"/>
        <v>2021</v>
      </c>
      <c r="AB1064" s="6">
        <f t="shared" ca="1" si="299"/>
        <v>1</v>
      </c>
      <c r="AC1064" s="68">
        <f ca="1">IFERROR(__xludf.DUMMYFUNCTION("""COMPUTED_VALUE"""),44207.9986111111)</f>
        <v>44207.998611111099</v>
      </c>
      <c r="AD1064" s="6">
        <f ca="1">IFERROR(__xludf.DUMMYFUNCTION("""COMPUTED_VALUE"""),1096.45)</f>
        <v>1096.45</v>
      </c>
      <c r="AH1064" s="6" t="str">
        <f t="shared" ca="1" si="300"/>
        <v>202011</v>
      </c>
      <c r="AI1064" s="6">
        <f t="shared" ca="1" si="301"/>
        <v>2020</v>
      </c>
      <c r="AJ1064" s="6">
        <f t="shared" ca="1" si="302"/>
        <v>11</v>
      </c>
      <c r="AK1064" s="68">
        <f ca="1">IFERROR(__xludf.DUMMYFUNCTION("""COMPUTED_VALUE"""),44157.9986111111)</f>
        <v>44157.998611111099</v>
      </c>
      <c r="AL1064" s="6">
        <f ca="1">IFERROR(__xludf.DUMMYFUNCTION("""COMPUTED_VALUE"""),18428.38)</f>
        <v>18428.38</v>
      </c>
      <c r="AP1064" s="6" t="str">
        <f t="shared" ca="1" si="303"/>
        <v>20223</v>
      </c>
      <c r="AQ1064" s="6">
        <f t="shared" ca="1" si="304"/>
        <v>2022</v>
      </c>
      <c r="AR1064" s="6">
        <f t="shared" ca="1" si="305"/>
        <v>3</v>
      </c>
      <c r="AS1064" s="68">
        <f ca="1">IFERROR(__xludf.DUMMYFUNCTION("""COMPUTED_VALUE"""),44649.9986111111)</f>
        <v>44649.998611111099</v>
      </c>
      <c r="AT1064" s="6">
        <f ca="1">IFERROR(__xludf.DUMMYFUNCTION("""COMPUTED_VALUE"""),1918)</f>
        <v>1918</v>
      </c>
    </row>
    <row r="1065" spans="2:46" x14ac:dyDescent="0.35">
      <c r="B1065" s="6" t="str">
        <f t="shared" ca="1" si="288"/>
        <v>20223</v>
      </c>
      <c r="C1065" s="6">
        <f t="shared" ca="1" si="289"/>
        <v>2022</v>
      </c>
      <c r="D1065" s="6">
        <f t="shared" ca="1" si="290"/>
        <v>3</v>
      </c>
      <c r="E1065" s="68">
        <f ca="1">IFERROR(__xludf.DUMMYFUNCTION("""COMPUTED_VALUE"""),44642.6666666666)</f>
        <v>44642.666666666599</v>
      </c>
      <c r="F1065" s="6">
        <f ca="1">IFERROR(__xludf.DUMMYFUNCTION("""COMPUTED_VALUE"""),4511.61)</f>
        <v>4511.6099999999997</v>
      </c>
      <c r="J1065" s="6" t="str">
        <f t="shared" ca="1" si="291"/>
        <v>20223</v>
      </c>
      <c r="K1065" s="6">
        <f t="shared" ca="1" si="292"/>
        <v>2022</v>
      </c>
      <c r="L1065" s="6">
        <f t="shared" ca="1" si="293"/>
        <v>3</v>
      </c>
      <c r="M1065" s="68">
        <f ca="1">IFERROR(__xludf.DUMMYFUNCTION("""COMPUTED_VALUE"""),44635.6666666666)</f>
        <v>44635.666666666599</v>
      </c>
      <c r="N1065" s="6">
        <f ca="1">IFERROR(__xludf.DUMMYFUNCTION("""COMPUTED_VALUE"""),12948.62)</f>
        <v>12948.62</v>
      </c>
      <c r="R1065" s="6" t="str">
        <f t="shared" ca="1" si="294"/>
        <v>20225</v>
      </c>
      <c r="S1065" s="6">
        <f t="shared" ca="1" si="295"/>
        <v>2022</v>
      </c>
      <c r="T1065" s="6">
        <f t="shared" ca="1" si="296"/>
        <v>5</v>
      </c>
      <c r="U1065" s="68">
        <f ca="1">IFERROR(__xludf.DUMMYFUNCTION("""COMPUTED_VALUE"""),44683.6458333333)</f>
        <v>44683.645833333299</v>
      </c>
      <c r="V1065" s="6">
        <f ca="1">IFERROR(__xludf.DUMMYFUNCTION("""COMPUTED_VALUE"""),2687.45)</f>
        <v>2687.45</v>
      </c>
      <c r="Z1065" s="6" t="str">
        <f t="shared" ca="1" si="297"/>
        <v>20211</v>
      </c>
      <c r="AA1065" s="6">
        <f t="shared" ca="1" si="298"/>
        <v>2021</v>
      </c>
      <c r="AB1065" s="6">
        <f t="shared" ca="1" si="299"/>
        <v>1</v>
      </c>
      <c r="AC1065" s="68">
        <f ca="1">IFERROR(__xludf.DUMMYFUNCTION("""COMPUTED_VALUE"""),44208.9986111111)</f>
        <v>44208.998611111099</v>
      </c>
      <c r="AD1065" s="6">
        <f ca="1">IFERROR(__xludf.DUMMYFUNCTION("""COMPUTED_VALUE"""),1093.54)</f>
        <v>1093.54</v>
      </c>
      <c r="AH1065" s="6" t="str">
        <f t="shared" ca="1" si="300"/>
        <v>202011</v>
      </c>
      <c r="AI1065" s="6">
        <f t="shared" ca="1" si="301"/>
        <v>2020</v>
      </c>
      <c r="AJ1065" s="6">
        <f t="shared" ca="1" si="302"/>
        <v>11</v>
      </c>
      <c r="AK1065" s="68">
        <f ca="1">IFERROR(__xludf.DUMMYFUNCTION("""COMPUTED_VALUE"""),44158.9986111111)</f>
        <v>44158.998611111099</v>
      </c>
      <c r="AL1065" s="6">
        <f ca="1">IFERROR(__xludf.DUMMYFUNCTION("""COMPUTED_VALUE"""),18375.57)</f>
        <v>18375.57</v>
      </c>
      <c r="AP1065" s="6" t="str">
        <f t="shared" ca="1" si="303"/>
        <v>20223</v>
      </c>
      <c r="AQ1065" s="6">
        <f t="shared" ca="1" si="304"/>
        <v>2022</v>
      </c>
      <c r="AR1065" s="6">
        <f t="shared" ca="1" si="305"/>
        <v>3</v>
      </c>
      <c r="AS1065" s="68">
        <f ca="1">IFERROR(__xludf.DUMMYFUNCTION("""COMPUTED_VALUE"""),44650.9986111111)</f>
        <v>44650.998611111099</v>
      </c>
      <c r="AT1065" s="6">
        <f ca="1">IFERROR(__xludf.DUMMYFUNCTION("""COMPUTED_VALUE"""),1939)</f>
        <v>1939</v>
      </c>
    </row>
    <row r="1066" spans="2:46" x14ac:dyDescent="0.35">
      <c r="B1066" s="6" t="str">
        <f t="shared" ca="1" si="288"/>
        <v>20223</v>
      </c>
      <c r="C1066" s="6">
        <f t="shared" ca="1" si="289"/>
        <v>2022</v>
      </c>
      <c r="D1066" s="6">
        <f t="shared" ca="1" si="290"/>
        <v>3</v>
      </c>
      <c r="E1066" s="68">
        <f ca="1">IFERROR(__xludf.DUMMYFUNCTION("""COMPUTED_VALUE"""),44643.6666666666)</f>
        <v>44643.666666666599</v>
      </c>
      <c r="F1066" s="6">
        <f ca="1">IFERROR(__xludf.DUMMYFUNCTION("""COMPUTED_VALUE"""),4456.24)</f>
        <v>4456.24</v>
      </c>
      <c r="J1066" s="6" t="str">
        <f t="shared" ca="1" si="291"/>
        <v>20223</v>
      </c>
      <c r="K1066" s="6">
        <f t="shared" ca="1" si="292"/>
        <v>2022</v>
      </c>
      <c r="L1066" s="6">
        <f t="shared" ca="1" si="293"/>
        <v>3</v>
      </c>
      <c r="M1066" s="68">
        <f ca="1">IFERROR(__xludf.DUMMYFUNCTION("""COMPUTED_VALUE"""),44636.6666666666)</f>
        <v>44636.666666666599</v>
      </c>
      <c r="N1066" s="6">
        <f ca="1">IFERROR(__xludf.DUMMYFUNCTION("""COMPUTED_VALUE"""),13436.55)</f>
        <v>13436.55</v>
      </c>
      <c r="R1066" s="6" t="str">
        <f t="shared" ca="1" si="294"/>
        <v>20225</v>
      </c>
      <c r="S1066" s="6">
        <f t="shared" ca="1" si="295"/>
        <v>2022</v>
      </c>
      <c r="T1066" s="6">
        <f t="shared" ca="1" si="296"/>
        <v>5</v>
      </c>
      <c r="U1066" s="68">
        <f ca="1">IFERROR(__xludf.DUMMYFUNCTION("""COMPUTED_VALUE"""),44684.6458333333)</f>
        <v>44684.645833333299</v>
      </c>
      <c r="V1066" s="6">
        <f ca="1">IFERROR(__xludf.DUMMYFUNCTION("""COMPUTED_VALUE"""),2680.46)</f>
        <v>2680.46</v>
      </c>
      <c r="Z1066" s="6" t="str">
        <f t="shared" ca="1" si="297"/>
        <v>20211</v>
      </c>
      <c r="AA1066" s="6">
        <f t="shared" ca="1" si="298"/>
        <v>2021</v>
      </c>
      <c r="AB1066" s="6">
        <f t="shared" ca="1" si="299"/>
        <v>1</v>
      </c>
      <c r="AC1066" s="68">
        <f ca="1">IFERROR(__xludf.DUMMYFUNCTION("""COMPUTED_VALUE"""),44209.9986111111)</f>
        <v>44209.998611111099</v>
      </c>
      <c r="AD1066" s="6">
        <f ca="1">IFERROR(__xludf.DUMMYFUNCTION("""COMPUTED_VALUE"""),1097.11)</f>
        <v>1097.1099999999999</v>
      </c>
      <c r="AH1066" s="6" t="str">
        <f t="shared" ca="1" si="300"/>
        <v>202011</v>
      </c>
      <c r="AI1066" s="6">
        <f t="shared" ca="1" si="301"/>
        <v>2020</v>
      </c>
      <c r="AJ1066" s="6">
        <f t="shared" ca="1" si="302"/>
        <v>11</v>
      </c>
      <c r="AK1066" s="68">
        <f ca="1">IFERROR(__xludf.DUMMYFUNCTION("""COMPUTED_VALUE"""),44159.9986111111)</f>
        <v>44159.998611111099</v>
      </c>
      <c r="AL1066" s="6">
        <f ca="1">IFERROR(__xludf.DUMMYFUNCTION("""COMPUTED_VALUE"""),19146.67)</f>
        <v>19146.669999999998</v>
      </c>
      <c r="AP1066" s="6" t="str">
        <f t="shared" ca="1" si="303"/>
        <v>20223</v>
      </c>
      <c r="AQ1066" s="6">
        <f t="shared" ca="1" si="304"/>
        <v>2022</v>
      </c>
      <c r="AR1066" s="6">
        <f t="shared" ca="1" si="305"/>
        <v>3</v>
      </c>
      <c r="AS1066" s="68">
        <f ca="1">IFERROR(__xludf.DUMMYFUNCTION("""COMPUTED_VALUE"""),44651.9986111111)</f>
        <v>44651.998611111099</v>
      </c>
      <c r="AT1066" s="6">
        <f ca="1">IFERROR(__xludf.DUMMYFUNCTION("""COMPUTED_VALUE"""),1954)</f>
        <v>1954</v>
      </c>
    </row>
    <row r="1067" spans="2:46" x14ac:dyDescent="0.35">
      <c r="B1067" s="6" t="str">
        <f t="shared" ca="1" si="288"/>
        <v>20223</v>
      </c>
      <c r="C1067" s="6">
        <f t="shared" ca="1" si="289"/>
        <v>2022</v>
      </c>
      <c r="D1067" s="6">
        <f t="shared" ca="1" si="290"/>
        <v>3</v>
      </c>
      <c r="E1067" s="68">
        <f ca="1">IFERROR(__xludf.DUMMYFUNCTION("""COMPUTED_VALUE"""),44644.6666666666)</f>
        <v>44644.666666666599</v>
      </c>
      <c r="F1067" s="6">
        <f ca="1">IFERROR(__xludf.DUMMYFUNCTION("""COMPUTED_VALUE"""),4520.16)</f>
        <v>4520.16</v>
      </c>
      <c r="J1067" s="6" t="str">
        <f t="shared" ca="1" si="291"/>
        <v>20223</v>
      </c>
      <c r="K1067" s="6">
        <f t="shared" ca="1" si="292"/>
        <v>2022</v>
      </c>
      <c r="L1067" s="6">
        <f t="shared" ca="1" si="293"/>
        <v>3</v>
      </c>
      <c r="M1067" s="68">
        <f ca="1">IFERROR(__xludf.DUMMYFUNCTION("""COMPUTED_VALUE"""),44637.6666666666)</f>
        <v>44637.666666666599</v>
      </c>
      <c r="N1067" s="6">
        <f ca="1">IFERROR(__xludf.DUMMYFUNCTION("""COMPUTED_VALUE"""),13614.78)</f>
        <v>13614.78</v>
      </c>
      <c r="R1067" s="6" t="str">
        <f t="shared" ca="1" si="294"/>
        <v>20225</v>
      </c>
      <c r="S1067" s="6">
        <f t="shared" ca="1" si="295"/>
        <v>2022</v>
      </c>
      <c r="T1067" s="6">
        <f t="shared" ca="1" si="296"/>
        <v>5</v>
      </c>
      <c r="U1067" s="68">
        <f ca="1">IFERROR(__xludf.DUMMYFUNCTION("""COMPUTED_VALUE"""),44685.6458333333)</f>
        <v>44685.645833333299</v>
      </c>
      <c r="V1067" s="6">
        <f ca="1">IFERROR(__xludf.DUMMYFUNCTION("""COMPUTED_VALUE"""),2677.57)</f>
        <v>2677.57</v>
      </c>
      <c r="Z1067" s="6" t="str">
        <f t="shared" ca="1" si="297"/>
        <v>20211</v>
      </c>
      <c r="AA1067" s="6">
        <f t="shared" ca="1" si="298"/>
        <v>2021</v>
      </c>
      <c r="AB1067" s="6">
        <f t="shared" ca="1" si="299"/>
        <v>1</v>
      </c>
      <c r="AC1067" s="68">
        <f ca="1">IFERROR(__xludf.DUMMYFUNCTION("""COMPUTED_VALUE"""),44210.9986111111)</f>
        <v>44210.998611111099</v>
      </c>
      <c r="AD1067" s="6">
        <f ca="1">IFERROR(__xludf.DUMMYFUNCTION("""COMPUTED_VALUE"""),1094.9)</f>
        <v>1094.9000000000001</v>
      </c>
      <c r="AH1067" s="6" t="str">
        <f t="shared" ca="1" si="300"/>
        <v>202011</v>
      </c>
      <c r="AI1067" s="6">
        <f t="shared" ca="1" si="301"/>
        <v>2020</v>
      </c>
      <c r="AJ1067" s="6">
        <f t="shared" ca="1" si="302"/>
        <v>11</v>
      </c>
      <c r="AK1067" s="68">
        <f ca="1">IFERROR(__xludf.DUMMYFUNCTION("""COMPUTED_VALUE"""),44160.9986111111)</f>
        <v>44160.998611111099</v>
      </c>
      <c r="AL1067" s="6">
        <f ca="1">IFERROR(__xludf.DUMMYFUNCTION("""COMPUTED_VALUE"""),18724.2)</f>
        <v>18724.2</v>
      </c>
      <c r="AP1067" s="6" t="str">
        <f t="shared" ca="1" si="303"/>
        <v>20224</v>
      </c>
      <c r="AQ1067" s="6">
        <f t="shared" ca="1" si="304"/>
        <v>2022</v>
      </c>
      <c r="AR1067" s="6">
        <f t="shared" ca="1" si="305"/>
        <v>4</v>
      </c>
      <c r="AS1067" s="68">
        <f ca="1">IFERROR(__xludf.DUMMYFUNCTION("""COMPUTED_VALUE"""),44652.9986111111)</f>
        <v>44652.998611111099</v>
      </c>
      <c r="AT1067" s="6">
        <f ca="1">IFERROR(__xludf.DUMMYFUNCTION("""COMPUTED_VALUE"""),1923.7)</f>
        <v>1923.7</v>
      </c>
    </row>
    <row r="1068" spans="2:46" x14ac:dyDescent="0.35">
      <c r="B1068" s="6" t="str">
        <f t="shared" ca="1" si="288"/>
        <v>20223</v>
      </c>
      <c r="C1068" s="6">
        <f t="shared" ca="1" si="289"/>
        <v>2022</v>
      </c>
      <c r="D1068" s="6">
        <f t="shared" ca="1" si="290"/>
        <v>3</v>
      </c>
      <c r="E1068" s="68">
        <f ca="1">IFERROR(__xludf.DUMMYFUNCTION("""COMPUTED_VALUE"""),44645.6666666666)</f>
        <v>44645.666666666599</v>
      </c>
      <c r="F1068" s="6">
        <f ca="1">IFERROR(__xludf.DUMMYFUNCTION("""COMPUTED_VALUE"""),4543.06)</f>
        <v>4543.0600000000004</v>
      </c>
      <c r="J1068" s="6" t="str">
        <f t="shared" ca="1" si="291"/>
        <v>20223</v>
      </c>
      <c r="K1068" s="6">
        <f t="shared" ca="1" si="292"/>
        <v>2022</v>
      </c>
      <c r="L1068" s="6">
        <f t="shared" ca="1" si="293"/>
        <v>3</v>
      </c>
      <c r="M1068" s="68">
        <f ca="1">IFERROR(__xludf.DUMMYFUNCTION("""COMPUTED_VALUE"""),44638.6666666666)</f>
        <v>44638.666666666599</v>
      </c>
      <c r="N1068" s="6">
        <f ca="1">IFERROR(__xludf.DUMMYFUNCTION("""COMPUTED_VALUE"""),13893.84)</f>
        <v>13893.84</v>
      </c>
      <c r="R1068" s="6" t="str">
        <f t="shared" ca="1" si="294"/>
        <v>20225</v>
      </c>
      <c r="S1068" s="6">
        <f t="shared" ca="1" si="295"/>
        <v>2022</v>
      </c>
      <c r="T1068" s="6">
        <f t="shared" ca="1" si="296"/>
        <v>5</v>
      </c>
      <c r="U1068" s="68">
        <f ca="1">IFERROR(__xludf.DUMMYFUNCTION("""COMPUTED_VALUE"""),44687.6458333333)</f>
        <v>44687.645833333299</v>
      </c>
      <c r="V1068" s="6">
        <f ca="1">IFERROR(__xludf.DUMMYFUNCTION("""COMPUTED_VALUE"""),2644.51)</f>
        <v>2644.51</v>
      </c>
      <c r="Z1068" s="6" t="str">
        <f t="shared" ca="1" si="297"/>
        <v>20211</v>
      </c>
      <c r="AA1068" s="6">
        <f t="shared" ca="1" si="298"/>
        <v>2021</v>
      </c>
      <c r="AB1068" s="6">
        <f t="shared" ca="1" si="299"/>
        <v>1</v>
      </c>
      <c r="AC1068" s="68">
        <f ca="1">IFERROR(__xludf.DUMMYFUNCTION("""COMPUTED_VALUE"""),44211.9986111111)</f>
        <v>44211.998611111099</v>
      </c>
      <c r="AD1068" s="6">
        <f ca="1">IFERROR(__xludf.DUMMYFUNCTION("""COMPUTED_VALUE"""),1103.36)</f>
        <v>1103.3599999999999</v>
      </c>
      <c r="AH1068" s="6" t="str">
        <f t="shared" ca="1" si="300"/>
        <v>202011</v>
      </c>
      <c r="AI1068" s="6">
        <f t="shared" ca="1" si="301"/>
        <v>2020</v>
      </c>
      <c r="AJ1068" s="6">
        <f t="shared" ca="1" si="302"/>
        <v>11</v>
      </c>
      <c r="AK1068" s="68">
        <f ca="1">IFERROR(__xludf.DUMMYFUNCTION("""COMPUTED_VALUE"""),44161.9986111111)</f>
        <v>44161.998611111099</v>
      </c>
      <c r="AL1068" s="6">
        <f ca="1">IFERROR(__xludf.DUMMYFUNCTION("""COMPUTED_VALUE"""),17165.51)</f>
        <v>17165.509999999998</v>
      </c>
      <c r="AP1068" s="6" t="str">
        <f t="shared" ca="1" si="303"/>
        <v>20224</v>
      </c>
      <c r="AQ1068" s="6">
        <f t="shared" ca="1" si="304"/>
        <v>2022</v>
      </c>
      <c r="AR1068" s="6">
        <f t="shared" ca="1" si="305"/>
        <v>4</v>
      </c>
      <c r="AS1068" s="68">
        <f ca="1">IFERROR(__xludf.DUMMYFUNCTION("""COMPUTED_VALUE"""),44655.9986111111)</f>
        <v>44655.998611111099</v>
      </c>
      <c r="AT1068" s="6">
        <f ca="1">IFERROR(__xludf.DUMMYFUNCTION("""COMPUTED_VALUE"""),1934)</f>
        <v>1934</v>
      </c>
    </row>
    <row r="1069" spans="2:46" x14ac:dyDescent="0.35">
      <c r="B1069" s="6" t="str">
        <f t="shared" ca="1" si="288"/>
        <v>20223</v>
      </c>
      <c r="C1069" s="6">
        <f t="shared" ca="1" si="289"/>
        <v>2022</v>
      </c>
      <c r="D1069" s="6">
        <f t="shared" ca="1" si="290"/>
        <v>3</v>
      </c>
      <c r="E1069" s="68">
        <f ca="1">IFERROR(__xludf.DUMMYFUNCTION("""COMPUTED_VALUE"""),44648.6666666666)</f>
        <v>44648.666666666599</v>
      </c>
      <c r="F1069" s="6">
        <f ca="1">IFERROR(__xludf.DUMMYFUNCTION("""COMPUTED_VALUE"""),4575.52)</f>
        <v>4575.5200000000004</v>
      </c>
      <c r="J1069" s="6" t="str">
        <f t="shared" ca="1" si="291"/>
        <v>20223</v>
      </c>
      <c r="K1069" s="6">
        <f t="shared" ca="1" si="292"/>
        <v>2022</v>
      </c>
      <c r="L1069" s="6">
        <f t="shared" ca="1" si="293"/>
        <v>3</v>
      </c>
      <c r="M1069" s="68">
        <f ca="1">IFERROR(__xludf.DUMMYFUNCTION("""COMPUTED_VALUE"""),44641.6666666666)</f>
        <v>44641.666666666599</v>
      </c>
      <c r="N1069" s="6">
        <f ca="1">IFERROR(__xludf.DUMMYFUNCTION("""COMPUTED_VALUE"""),13838.46)</f>
        <v>13838.46</v>
      </c>
      <c r="R1069" s="6" t="str">
        <f t="shared" ca="1" si="294"/>
        <v>20225</v>
      </c>
      <c r="S1069" s="6">
        <f t="shared" ca="1" si="295"/>
        <v>2022</v>
      </c>
      <c r="T1069" s="6">
        <f t="shared" ca="1" si="296"/>
        <v>5</v>
      </c>
      <c r="U1069" s="68">
        <f ca="1">IFERROR(__xludf.DUMMYFUNCTION("""COMPUTED_VALUE"""),44690.6458333333)</f>
        <v>44690.645833333299</v>
      </c>
      <c r="V1069" s="6">
        <f ca="1">IFERROR(__xludf.DUMMYFUNCTION("""COMPUTED_VALUE"""),2610.81)</f>
        <v>2610.81</v>
      </c>
      <c r="Z1069" s="6" t="str">
        <f t="shared" ca="1" si="297"/>
        <v>20211</v>
      </c>
      <c r="AA1069" s="6">
        <f t="shared" ca="1" si="298"/>
        <v>2021</v>
      </c>
      <c r="AB1069" s="6">
        <f t="shared" ca="1" si="299"/>
        <v>1</v>
      </c>
      <c r="AC1069" s="68">
        <f ca="1">IFERROR(__xludf.DUMMYFUNCTION("""COMPUTED_VALUE"""),44212.9986111111)</f>
        <v>44212.998611111099</v>
      </c>
      <c r="AD1069" s="6">
        <f ca="1">IFERROR(__xludf.DUMMYFUNCTION("""COMPUTED_VALUE"""),1102.96)</f>
        <v>1102.96</v>
      </c>
      <c r="AH1069" s="6" t="str">
        <f t="shared" ca="1" si="300"/>
        <v>202011</v>
      </c>
      <c r="AI1069" s="6">
        <f t="shared" ca="1" si="301"/>
        <v>2020</v>
      </c>
      <c r="AJ1069" s="6">
        <f t="shared" ca="1" si="302"/>
        <v>11</v>
      </c>
      <c r="AK1069" s="68">
        <f ca="1">IFERROR(__xludf.DUMMYFUNCTION("""COMPUTED_VALUE"""),44162.9986111111)</f>
        <v>44162.998611111099</v>
      </c>
      <c r="AL1069" s="6">
        <f ca="1">IFERROR(__xludf.DUMMYFUNCTION("""COMPUTED_VALUE"""),17140.12)</f>
        <v>17140.12</v>
      </c>
      <c r="AP1069" s="6" t="str">
        <f t="shared" ca="1" si="303"/>
        <v>20224</v>
      </c>
      <c r="AQ1069" s="6">
        <f t="shared" ca="1" si="304"/>
        <v>2022</v>
      </c>
      <c r="AR1069" s="6">
        <f t="shared" ca="1" si="305"/>
        <v>4</v>
      </c>
      <c r="AS1069" s="68">
        <f ca="1">IFERROR(__xludf.DUMMYFUNCTION("""COMPUTED_VALUE"""),44656.9986111111)</f>
        <v>44656.998611111099</v>
      </c>
      <c r="AT1069" s="6">
        <f ca="1">IFERROR(__xludf.DUMMYFUNCTION("""COMPUTED_VALUE"""),1927.5)</f>
        <v>1927.5</v>
      </c>
    </row>
    <row r="1070" spans="2:46" x14ac:dyDescent="0.35">
      <c r="B1070" s="6" t="str">
        <f t="shared" ca="1" si="288"/>
        <v>20223</v>
      </c>
      <c r="C1070" s="6">
        <f t="shared" ca="1" si="289"/>
        <v>2022</v>
      </c>
      <c r="D1070" s="6">
        <f t="shared" ca="1" si="290"/>
        <v>3</v>
      </c>
      <c r="E1070" s="68">
        <f ca="1">IFERROR(__xludf.DUMMYFUNCTION("""COMPUTED_VALUE"""),44649.6666666666)</f>
        <v>44649.666666666599</v>
      </c>
      <c r="F1070" s="6">
        <f ca="1">IFERROR(__xludf.DUMMYFUNCTION("""COMPUTED_VALUE"""),4631.6)</f>
        <v>4631.6000000000004</v>
      </c>
      <c r="J1070" s="6" t="str">
        <f t="shared" ca="1" si="291"/>
        <v>20223</v>
      </c>
      <c r="K1070" s="6">
        <f t="shared" ca="1" si="292"/>
        <v>2022</v>
      </c>
      <c r="L1070" s="6">
        <f t="shared" ca="1" si="293"/>
        <v>3</v>
      </c>
      <c r="M1070" s="68">
        <f ca="1">IFERROR(__xludf.DUMMYFUNCTION("""COMPUTED_VALUE"""),44642.6666666666)</f>
        <v>44642.666666666599</v>
      </c>
      <c r="N1070" s="6">
        <f ca="1">IFERROR(__xludf.DUMMYFUNCTION("""COMPUTED_VALUE"""),14108.82)</f>
        <v>14108.82</v>
      </c>
      <c r="R1070" s="6" t="str">
        <f t="shared" ca="1" si="294"/>
        <v>20225</v>
      </c>
      <c r="S1070" s="6">
        <f t="shared" ca="1" si="295"/>
        <v>2022</v>
      </c>
      <c r="T1070" s="6">
        <f t="shared" ca="1" si="296"/>
        <v>5</v>
      </c>
      <c r="U1070" s="68">
        <f ca="1">IFERROR(__xludf.DUMMYFUNCTION("""COMPUTED_VALUE"""),44691.6458333333)</f>
        <v>44691.645833333299</v>
      </c>
      <c r="V1070" s="6">
        <f ca="1">IFERROR(__xludf.DUMMYFUNCTION("""COMPUTED_VALUE"""),2596.56)</f>
        <v>2596.56</v>
      </c>
      <c r="Z1070" s="6" t="str">
        <f t="shared" ca="1" si="297"/>
        <v>20211</v>
      </c>
      <c r="AA1070" s="6">
        <f t="shared" ca="1" si="298"/>
        <v>2021</v>
      </c>
      <c r="AB1070" s="6">
        <f t="shared" ca="1" si="299"/>
        <v>1</v>
      </c>
      <c r="AC1070" s="68">
        <f ca="1">IFERROR(__xludf.DUMMYFUNCTION("""COMPUTED_VALUE"""),44213.9986111111)</f>
        <v>44213.998611111099</v>
      </c>
      <c r="AD1070" s="6">
        <f ca="1">IFERROR(__xludf.DUMMYFUNCTION("""COMPUTED_VALUE"""),1102.96)</f>
        <v>1102.96</v>
      </c>
      <c r="AH1070" s="6" t="str">
        <f t="shared" ca="1" si="300"/>
        <v>202011</v>
      </c>
      <c r="AI1070" s="6">
        <f t="shared" ca="1" si="301"/>
        <v>2020</v>
      </c>
      <c r="AJ1070" s="6">
        <f t="shared" ca="1" si="302"/>
        <v>11</v>
      </c>
      <c r="AK1070" s="68">
        <f ca="1">IFERROR(__xludf.DUMMYFUNCTION("""COMPUTED_VALUE"""),44163.9986111111)</f>
        <v>44163.998611111099</v>
      </c>
      <c r="AL1070" s="6">
        <f ca="1">IFERROR(__xludf.DUMMYFUNCTION("""COMPUTED_VALUE"""),17734.38)</f>
        <v>17734.38</v>
      </c>
      <c r="AP1070" s="6" t="str">
        <f t="shared" ca="1" si="303"/>
        <v>20224</v>
      </c>
      <c r="AQ1070" s="6">
        <f t="shared" ca="1" si="304"/>
        <v>2022</v>
      </c>
      <c r="AR1070" s="6">
        <f t="shared" ca="1" si="305"/>
        <v>4</v>
      </c>
      <c r="AS1070" s="68">
        <f ca="1">IFERROR(__xludf.DUMMYFUNCTION("""COMPUTED_VALUE"""),44657.9986111111)</f>
        <v>44657.998611111099</v>
      </c>
      <c r="AT1070" s="6">
        <f ca="1">IFERROR(__xludf.DUMMYFUNCTION("""COMPUTED_VALUE"""),1923.1)</f>
        <v>1923.1</v>
      </c>
    </row>
    <row r="1071" spans="2:46" x14ac:dyDescent="0.35">
      <c r="B1071" s="6" t="str">
        <f t="shared" ca="1" si="288"/>
        <v>20223</v>
      </c>
      <c r="C1071" s="6">
        <f t="shared" ca="1" si="289"/>
        <v>2022</v>
      </c>
      <c r="D1071" s="6">
        <f t="shared" ca="1" si="290"/>
        <v>3</v>
      </c>
      <c r="E1071" s="68">
        <f ca="1">IFERROR(__xludf.DUMMYFUNCTION("""COMPUTED_VALUE"""),44650.6666666666)</f>
        <v>44650.666666666599</v>
      </c>
      <c r="F1071" s="6">
        <f ca="1">IFERROR(__xludf.DUMMYFUNCTION("""COMPUTED_VALUE"""),4602.45)</f>
        <v>4602.45</v>
      </c>
      <c r="J1071" s="6" t="str">
        <f t="shared" ca="1" si="291"/>
        <v>20223</v>
      </c>
      <c r="K1071" s="6">
        <f t="shared" ca="1" si="292"/>
        <v>2022</v>
      </c>
      <c r="L1071" s="6">
        <f t="shared" ca="1" si="293"/>
        <v>3</v>
      </c>
      <c r="M1071" s="68">
        <f ca="1">IFERROR(__xludf.DUMMYFUNCTION("""COMPUTED_VALUE"""),44643.6666666666)</f>
        <v>44643.666666666599</v>
      </c>
      <c r="N1071" s="6">
        <f ca="1">IFERROR(__xludf.DUMMYFUNCTION("""COMPUTED_VALUE"""),13922.6)</f>
        <v>13922.6</v>
      </c>
      <c r="R1071" s="6" t="str">
        <f t="shared" ca="1" si="294"/>
        <v>20225</v>
      </c>
      <c r="S1071" s="6">
        <f t="shared" ca="1" si="295"/>
        <v>2022</v>
      </c>
      <c r="T1071" s="6">
        <f t="shared" ca="1" si="296"/>
        <v>5</v>
      </c>
      <c r="U1071" s="68">
        <f ca="1">IFERROR(__xludf.DUMMYFUNCTION("""COMPUTED_VALUE"""),44692.6458333333)</f>
        <v>44692.645833333299</v>
      </c>
      <c r="V1071" s="6">
        <f ca="1">IFERROR(__xludf.DUMMYFUNCTION("""COMPUTED_VALUE"""),2592.27)</f>
        <v>2592.27</v>
      </c>
      <c r="Z1071" s="6" t="str">
        <f t="shared" ca="1" si="297"/>
        <v>20211</v>
      </c>
      <c r="AA1071" s="6">
        <f t="shared" ca="1" si="298"/>
        <v>2021</v>
      </c>
      <c r="AB1071" s="6">
        <f t="shared" ca="1" si="299"/>
        <v>1</v>
      </c>
      <c r="AC1071" s="68">
        <f ca="1">IFERROR(__xludf.DUMMYFUNCTION("""COMPUTED_VALUE"""),44214.9986111111)</f>
        <v>44214.998611111099</v>
      </c>
      <c r="AD1071" s="6">
        <f ca="1">IFERROR(__xludf.DUMMYFUNCTION("""COMPUTED_VALUE"""),1103.1)</f>
        <v>1103.0999999999999</v>
      </c>
      <c r="AH1071" s="6" t="str">
        <f t="shared" ca="1" si="300"/>
        <v>202011</v>
      </c>
      <c r="AI1071" s="6">
        <f t="shared" ca="1" si="301"/>
        <v>2020</v>
      </c>
      <c r="AJ1071" s="6">
        <f t="shared" ca="1" si="302"/>
        <v>11</v>
      </c>
      <c r="AK1071" s="68">
        <f ca="1">IFERROR(__xludf.DUMMYFUNCTION("""COMPUTED_VALUE"""),44164.9986111111)</f>
        <v>44164.998611111099</v>
      </c>
      <c r="AL1071" s="6">
        <f ca="1">IFERROR(__xludf.DUMMYFUNCTION("""COMPUTED_VALUE"""),18189.63)</f>
        <v>18189.63</v>
      </c>
      <c r="AP1071" s="6" t="str">
        <f t="shared" ca="1" si="303"/>
        <v>20224</v>
      </c>
      <c r="AQ1071" s="6">
        <f t="shared" ca="1" si="304"/>
        <v>2022</v>
      </c>
      <c r="AR1071" s="6">
        <f t="shared" ca="1" si="305"/>
        <v>4</v>
      </c>
      <c r="AS1071" s="68">
        <f ca="1">IFERROR(__xludf.DUMMYFUNCTION("""COMPUTED_VALUE"""),44658.9986111111)</f>
        <v>44658.998611111099</v>
      </c>
      <c r="AT1071" s="6">
        <f ca="1">IFERROR(__xludf.DUMMYFUNCTION("""COMPUTED_VALUE"""),1937.8)</f>
        <v>1937.8</v>
      </c>
    </row>
    <row r="1072" spans="2:46" x14ac:dyDescent="0.35">
      <c r="B1072" s="6" t="str">
        <f t="shared" ca="1" si="288"/>
        <v>20223</v>
      </c>
      <c r="C1072" s="6">
        <f t="shared" ca="1" si="289"/>
        <v>2022</v>
      </c>
      <c r="D1072" s="6">
        <f t="shared" ca="1" si="290"/>
        <v>3</v>
      </c>
      <c r="E1072" s="68">
        <f ca="1">IFERROR(__xludf.DUMMYFUNCTION("""COMPUTED_VALUE"""),44651.6666666666)</f>
        <v>44651.666666666599</v>
      </c>
      <c r="F1072" s="6">
        <f ca="1">IFERROR(__xludf.DUMMYFUNCTION("""COMPUTED_VALUE"""),4530.41)</f>
        <v>4530.41</v>
      </c>
      <c r="J1072" s="6" t="str">
        <f t="shared" ca="1" si="291"/>
        <v>20223</v>
      </c>
      <c r="K1072" s="6">
        <f t="shared" ca="1" si="292"/>
        <v>2022</v>
      </c>
      <c r="L1072" s="6">
        <f t="shared" ca="1" si="293"/>
        <v>3</v>
      </c>
      <c r="M1072" s="68">
        <f ca="1">IFERROR(__xludf.DUMMYFUNCTION("""COMPUTED_VALUE"""),44644.6666666666)</f>
        <v>44644.666666666599</v>
      </c>
      <c r="N1072" s="6">
        <f ca="1">IFERROR(__xludf.DUMMYFUNCTION("""COMPUTED_VALUE"""),14191.84)</f>
        <v>14191.84</v>
      </c>
      <c r="R1072" s="6" t="str">
        <f t="shared" ca="1" si="294"/>
        <v>20225</v>
      </c>
      <c r="S1072" s="6">
        <f t="shared" ca="1" si="295"/>
        <v>2022</v>
      </c>
      <c r="T1072" s="6">
        <f t="shared" ca="1" si="296"/>
        <v>5</v>
      </c>
      <c r="U1072" s="68">
        <f ca="1">IFERROR(__xludf.DUMMYFUNCTION("""COMPUTED_VALUE"""),44693.6458333333)</f>
        <v>44693.645833333299</v>
      </c>
      <c r="V1072" s="6">
        <f ca="1">IFERROR(__xludf.DUMMYFUNCTION("""COMPUTED_VALUE"""),2550.08)</f>
        <v>2550.08</v>
      </c>
      <c r="Z1072" s="6" t="str">
        <f t="shared" ca="1" si="297"/>
        <v>20211</v>
      </c>
      <c r="AA1072" s="6">
        <f t="shared" ca="1" si="298"/>
        <v>2021</v>
      </c>
      <c r="AB1072" s="6">
        <f t="shared" ca="1" si="299"/>
        <v>1</v>
      </c>
      <c r="AC1072" s="68">
        <f ca="1">IFERROR(__xludf.DUMMYFUNCTION("""COMPUTED_VALUE"""),44215.9986111111)</f>
        <v>44215.998611111099</v>
      </c>
      <c r="AD1072" s="6">
        <f ca="1">IFERROR(__xludf.DUMMYFUNCTION("""COMPUTED_VALUE"""),1100.99)</f>
        <v>1100.99</v>
      </c>
      <c r="AH1072" s="6" t="str">
        <f t="shared" ca="1" si="300"/>
        <v>202011</v>
      </c>
      <c r="AI1072" s="6">
        <f t="shared" ca="1" si="301"/>
        <v>2020</v>
      </c>
      <c r="AJ1072" s="6">
        <f t="shared" ca="1" si="302"/>
        <v>11</v>
      </c>
      <c r="AK1072" s="68">
        <f ca="1">IFERROR(__xludf.DUMMYFUNCTION("""COMPUTED_VALUE"""),44165.9986111111)</f>
        <v>44165.998611111099</v>
      </c>
      <c r="AL1072" s="6">
        <f ca="1">IFERROR(__xludf.DUMMYFUNCTION("""COMPUTED_VALUE"""),19704.15)</f>
        <v>19704.150000000001</v>
      </c>
      <c r="AP1072" s="6" t="str">
        <f t="shared" ca="1" si="303"/>
        <v>20224</v>
      </c>
      <c r="AQ1072" s="6">
        <f t="shared" ca="1" si="304"/>
        <v>2022</v>
      </c>
      <c r="AR1072" s="6">
        <f t="shared" ca="1" si="305"/>
        <v>4</v>
      </c>
      <c r="AS1072" s="68">
        <f ca="1">IFERROR(__xludf.DUMMYFUNCTION("""COMPUTED_VALUE"""),44659.9986111111)</f>
        <v>44659.998611111099</v>
      </c>
      <c r="AT1072" s="6">
        <f ca="1">IFERROR(__xludf.DUMMYFUNCTION("""COMPUTED_VALUE"""),1945.6)</f>
        <v>1945.6</v>
      </c>
    </row>
    <row r="1073" spans="2:46" x14ac:dyDescent="0.35">
      <c r="B1073" s="6" t="str">
        <f t="shared" ca="1" si="288"/>
        <v>20224</v>
      </c>
      <c r="C1073" s="6">
        <f t="shared" ca="1" si="289"/>
        <v>2022</v>
      </c>
      <c r="D1073" s="6">
        <f t="shared" ca="1" si="290"/>
        <v>4</v>
      </c>
      <c r="E1073" s="68">
        <f ca="1">IFERROR(__xludf.DUMMYFUNCTION("""COMPUTED_VALUE"""),44652.6666666666)</f>
        <v>44652.666666666599</v>
      </c>
      <c r="F1073" s="6">
        <f ca="1">IFERROR(__xludf.DUMMYFUNCTION("""COMPUTED_VALUE"""),4545.86)</f>
        <v>4545.8599999999997</v>
      </c>
      <c r="J1073" s="6" t="str">
        <f t="shared" ca="1" si="291"/>
        <v>20223</v>
      </c>
      <c r="K1073" s="6">
        <f t="shared" ca="1" si="292"/>
        <v>2022</v>
      </c>
      <c r="L1073" s="6">
        <f t="shared" ca="1" si="293"/>
        <v>3</v>
      </c>
      <c r="M1073" s="68">
        <f ca="1">IFERROR(__xludf.DUMMYFUNCTION("""COMPUTED_VALUE"""),44645.6666666666)</f>
        <v>44645.666666666599</v>
      </c>
      <c r="N1073" s="6">
        <f ca="1">IFERROR(__xludf.DUMMYFUNCTION("""COMPUTED_VALUE"""),14169.3)</f>
        <v>14169.3</v>
      </c>
      <c r="R1073" s="6" t="str">
        <f t="shared" ca="1" si="294"/>
        <v>20225</v>
      </c>
      <c r="S1073" s="6">
        <f t="shared" ca="1" si="295"/>
        <v>2022</v>
      </c>
      <c r="T1073" s="6">
        <f t="shared" ca="1" si="296"/>
        <v>5</v>
      </c>
      <c r="U1073" s="68">
        <f ca="1">IFERROR(__xludf.DUMMYFUNCTION("""COMPUTED_VALUE"""),44694.6458333333)</f>
        <v>44694.645833333299</v>
      </c>
      <c r="V1073" s="6">
        <f ca="1">IFERROR(__xludf.DUMMYFUNCTION("""COMPUTED_VALUE"""),2604.24)</f>
        <v>2604.2399999999998</v>
      </c>
      <c r="Z1073" s="6" t="str">
        <f t="shared" ca="1" si="297"/>
        <v>20211</v>
      </c>
      <c r="AA1073" s="6">
        <f t="shared" ca="1" si="298"/>
        <v>2021</v>
      </c>
      <c r="AB1073" s="6">
        <f t="shared" ca="1" si="299"/>
        <v>1</v>
      </c>
      <c r="AC1073" s="68">
        <f ca="1">IFERROR(__xludf.DUMMYFUNCTION("""COMPUTED_VALUE"""),44216.9986111111)</f>
        <v>44216.998611111099</v>
      </c>
      <c r="AD1073" s="6">
        <f ca="1">IFERROR(__xludf.DUMMYFUNCTION("""COMPUTED_VALUE"""),1096.25)</f>
        <v>1096.25</v>
      </c>
      <c r="AH1073" s="6" t="str">
        <f t="shared" ca="1" si="300"/>
        <v>202012</v>
      </c>
      <c r="AI1073" s="6">
        <f t="shared" ca="1" si="301"/>
        <v>2020</v>
      </c>
      <c r="AJ1073" s="6">
        <f t="shared" ca="1" si="302"/>
        <v>12</v>
      </c>
      <c r="AK1073" s="68">
        <f ca="1">IFERROR(__xludf.DUMMYFUNCTION("""COMPUTED_VALUE"""),44166.9986111111)</f>
        <v>44166.998611111099</v>
      </c>
      <c r="AL1073" s="6">
        <f ca="1">IFERROR(__xludf.DUMMYFUNCTION("""COMPUTED_VALUE"""),18784.93)</f>
        <v>18784.93</v>
      </c>
      <c r="AP1073" s="6" t="str">
        <f t="shared" ca="1" si="303"/>
        <v>20224</v>
      </c>
      <c r="AQ1073" s="6">
        <f t="shared" ca="1" si="304"/>
        <v>2022</v>
      </c>
      <c r="AR1073" s="6">
        <f t="shared" ca="1" si="305"/>
        <v>4</v>
      </c>
      <c r="AS1073" s="68">
        <f ca="1">IFERROR(__xludf.DUMMYFUNCTION("""COMPUTED_VALUE"""),44662.9986111111)</f>
        <v>44662.998611111099</v>
      </c>
      <c r="AT1073" s="6">
        <f ca="1">IFERROR(__xludf.DUMMYFUNCTION("""COMPUTED_VALUE"""),1948.2)</f>
        <v>1948.2</v>
      </c>
    </row>
    <row r="1074" spans="2:46" x14ac:dyDescent="0.35">
      <c r="B1074" s="6" t="str">
        <f t="shared" ca="1" si="288"/>
        <v>20224</v>
      </c>
      <c r="C1074" s="6">
        <f t="shared" ca="1" si="289"/>
        <v>2022</v>
      </c>
      <c r="D1074" s="6">
        <f t="shared" ca="1" si="290"/>
        <v>4</v>
      </c>
      <c r="E1074" s="68">
        <f ca="1">IFERROR(__xludf.DUMMYFUNCTION("""COMPUTED_VALUE"""),44655.6666666666)</f>
        <v>44655.666666666599</v>
      </c>
      <c r="F1074" s="6">
        <f ca="1">IFERROR(__xludf.DUMMYFUNCTION("""COMPUTED_VALUE"""),4582.64)</f>
        <v>4582.6400000000003</v>
      </c>
      <c r="J1074" s="6" t="str">
        <f t="shared" ca="1" si="291"/>
        <v>20223</v>
      </c>
      <c r="K1074" s="6">
        <f t="shared" ca="1" si="292"/>
        <v>2022</v>
      </c>
      <c r="L1074" s="6">
        <f t="shared" ca="1" si="293"/>
        <v>3</v>
      </c>
      <c r="M1074" s="68">
        <f ca="1">IFERROR(__xludf.DUMMYFUNCTION("""COMPUTED_VALUE"""),44648.6666666666)</f>
        <v>44648.666666666599</v>
      </c>
      <c r="N1074" s="6">
        <f ca="1">IFERROR(__xludf.DUMMYFUNCTION("""COMPUTED_VALUE"""),14354.9)</f>
        <v>14354.9</v>
      </c>
      <c r="R1074" s="6" t="str">
        <f t="shared" ca="1" si="294"/>
        <v>20225</v>
      </c>
      <c r="S1074" s="6">
        <f t="shared" ca="1" si="295"/>
        <v>2022</v>
      </c>
      <c r="T1074" s="6">
        <f t="shared" ca="1" si="296"/>
        <v>5</v>
      </c>
      <c r="U1074" s="68">
        <f ca="1">IFERROR(__xludf.DUMMYFUNCTION("""COMPUTED_VALUE"""),44697.6458333333)</f>
        <v>44697.645833333299</v>
      </c>
      <c r="V1074" s="6">
        <f ca="1">IFERROR(__xludf.DUMMYFUNCTION("""COMPUTED_VALUE"""),2596.58)</f>
        <v>2596.58</v>
      </c>
      <c r="Z1074" s="6" t="str">
        <f t="shared" ca="1" si="297"/>
        <v>20211</v>
      </c>
      <c r="AA1074" s="6">
        <f t="shared" ca="1" si="298"/>
        <v>2021</v>
      </c>
      <c r="AB1074" s="6">
        <f t="shared" ca="1" si="299"/>
        <v>1</v>
      </c>
      <c r="AC1074" s="68">
        <f ca="1">IFERROR(__xludf.DUMMYFUNCTION("""COMPUTED_VALUE"""),44217.9986111111)</f>
        <v>44217.998611111099</v>
      </c>
      <c r="AD1074" s="6">
        <f ca="1">IFERROR(__xludf.DUMMYFUNCTION("""COMPUTED_VALUE"""),1099.9)</f>
        <v>1099.9000000000001</v>
      </c>
      <c r="AH1074" s="6" t="str">
        <f t="shared" ca="1" si="300"/>
        <v>202012</v>
      </c>
      <c r="AI1074" s="6">
        <f t="shared" ca="1" si="301"/>
        <v>2020</v>
      </c>
      <c r="AJ1074" s="6">
        <f t="shared" ca="1" si="302"/>
        <v>12</v>
      </c>
      <c r="AK1074" s="68">
        <f ca="1">IFERROR(__xludf.DUMMYFUNCTION("""COMPUTED_VALUE"""),44167.9986111111)</f>
        <v>44167.998611111099</v>
      </c>
      <c r="AL1074" s="6">
        <f ca="1">IFERROR(__xludf.DUMMYFUNCTION("""COMPUTED_VALUE"""),19230.17)</f>
        <v>19230.169999999998</v>
      </c>
      <c r="AP1074" s="6" t="str">
        <f t="shared" ca="1" si="303"/>
        <v>20224</v>
      </c>
      <c r="AQ1074" s="6">
        <f t="shared" ca="1" si="304"/>
        <v>2022</v>
      </c>
      <c r="AR1074" s="6">
        <f t="shared" ca="1" si="305"/>
        <v>4</v>
      </c>
      <c r="AS1074" s="68">
        <f ca="1">IFERROR(__xludf.DUMMYFUNCTION("""COMPUTED_VALUE"""),44663.9986111111)</f>
        <v>44663.998611111099</v>
      </c>
      <c r="AT1074" s="6">
        <f ca="1">IFERROR(__xludf.DUMMYFUNCTION("""COMPUTED_VALUE"""),1976.1)</f>
        <v>1976.1</v>
      </c>
    </row>
    <row r="1075" spans="2:46" x14ac:dyDescent="0.35">
      <c r="B1075" s="6" t="str">
        <f t="shared" ca="1" si="288"/>
        <v>20224</v>
      </c>
      <c r="C1075" s="6">
        <f t="shared" ca="1" si="289"/>
        <v>2022</v>
      </c>
      <c r="D1075" s="6">
        <f t="shared" ca="1" si="290"/>
        <v>4</v>
      </c>
      <c r="E1075" s="68">
        <f ca="1">IFERROR(__xludf.DUMMYFUNCTION("""COMPUTED_VALUE"""),44656.6666666666)</f>
        <v>44656.666666666599</v>
      </c>
      <c r="F1075" s="6">
        <f ca="1">IFERROR(__xludf.DUMMYFUNCTION("""COMPUTED_VALUE"""),4525.12)</f>
        <v>4525.12</v>
      </c>
      <c r="J1075" s="6" t="str">
        <f t="shared" ca="1" si="291"/>
        <v>20223</v>
      </c>
      <c r="K1075" s="6">
        <f t="shared" ca="1" si="292"/>
        <v>2022</v>
      </c>
      <c r="L1075" s="6">
        <f t="shared" ca="1" si="293"/>
        <v>3</v>
      </c>
      <c r="M1075" s="68">
        <f ca="1">IFERROR(__xludf.DUMMYFUNCTION("""COMPUTED_VALUE"""),44649.6666666666)</f>
        <v>44649.666666666599</v>
      </c>
      <c r="N1075" s="6">
        <f ca="1">IFERROR(__xludf.DUMMYFUNCTION("""COMPUTED_VALUE"""),14619.64)</f>
        <v>14619.64</v>
      </c>
      <c r="R1075" s="6" t="str">
        <f t="shared" ca="1" si="294"/>
        <v>20225</v>
      </c>
      <c r="S1075" s="6">
        <f t="shared" ca="1" si="295"/>
        <v>2022</v>
      </c>
      <c r="T1075" s="6">
        <f t="shared" ca="1" si="296"/>
        <v>5</v>
      </c>
      <c r="U1075" s="68">
        <f ca="1">IFERROR(__xludf.DUMMYFUNCTION("""COMPUTED_VALUE"""),44698.6458333333)</f>
        <v>44698.645833333299</v>
      </c>
      <c r="V1075" s="6">
        <f ca="1">IFERROR(__xludf.DUMMYFUNCTION("""COMPUTED_VALUE"""),2620.44)</f>
        <v>2620.44</v>
      </c>
      <c r="Z1075" s="6" t="str">
        <f t="shared" ca="1" si="297"/>
        <v>20211</v>
      </c>
      <c r="AA1075" s="6">
        <f t="shared" ca="1" si="298"/>
        <v>2021</v>
      </c>
      <c r="AB1075" s="6">
        <f t="shared" ca="1" si="299"/>
        <v>1</v>
      </c>
      <c r="AC1075" s="68">
        <f ca="1">IFERROR(__xludf.DUMMYFUNCTION("""COMPUTED_VALUE"""),44218.9986111111)</f>
        <v>44218.998611111099</v>
      </c>
      <c r="AD1075" s="6">
        <f ca="1">IFERROR(__xludf.DUMMYFUNCTION("""COMPUTED_VALUE"""),1104.64)</f>
        <v>1104.6400000000001</v>
      </c>
      <c r="AH1075" s="6" t="str">
        <f t="shared" ca="1" si="300"/>
        <v>202012</v>
      </c>
      <c r="AI1075" s="6">
        <f t="shared" ca="1" si="301"/>
        <v>2020</v>
      </c>
      <c r="AJ1075" s="6">
        <f t="shared" ca="1" si="302"/>
        <v>12</v>
      </c>
      <c r="AK1075" s="68">
        <f ca="1">IFERROR(__xludf.DUMMYFUNCTION("""COMPUTED_VALUE"""),44168.9986111111)</f>
        <v>44168.998611111099</v>
      </c>
      <c r="AL1075" s="6">
        <f ca="1">IFERROR(__xludf.DUMMYFUNCTION("""COMPUTED_VALUE"""),19444.89)</f>
        <v>19444.89</v>
      </c>
      <c r="AP1075" s="6" t="str">
        <f t="shared" ca="1" si="303"/>
        <v>20224</v>
      </c>
      <c r="AQ1075" s="6">
        <f t="shared" ca="1" si="304"/>
        <v>2022</v>
      </c>
      <c r="AR1075" s="6">
        <f t="shared" ca="1" si="305"/>
        <v>4</v>
      </c>
      <c r="AS1075" s="68">
        <f ca="1">IFERROR(__xludf.DUMMYFUNCTION("""COMPUTED_VALUE"""),44664.9986111111)</f>
        <v>44664.998611111099</v>
      </c>
      <c r="AT1075" s="6">
        <f ca="1">IFERROR(__xludf.DUMMYFUNCTION("""COMPUTED_VALUE"""),1984.7)</f>
        <v>1984.7</v>
      </c>
    </row>
    <row r="1076" spans="2:46" x14ac:dyDescent="0.35">
      <c r="B1076" s="6" t="str">
        <f t="shared" ca="1" si="288"/>
        <v>20224</v>
      </c>
      <c r="C1076" s="6">
        <f t="shared" ca="1" si="289"/>
        <v>2022</v>
      </c>
      <c r="D1076" s="6">
        <f t="shared" ca="1" si="290"/>
        <v>4</v>
      </c>
      <c r="E1076" s="68">
        <f ca="1">IFERROR(__xludf.DUMMYFUNCTION("""COMPUTED_VALUE"""),44657.6666666666)</f>
        <v>44657.666666666599</v>
      </c>
      <c r="F1076" s="6">
        <f ca="1">IFERROR(__xludf.DUMMYFUNCTION("""COMPUTED_VALUE"""),4481.15)</f>
        <v>4481.1499999999996</v>
      </c>
      <c r="J1076" s="6" t="str">
        <f t="shared" ca="1" si="291"/>
        <v>20223</v>
      </c>
      <c r="K1076" s="6">
        <f t="shared" ca="1" si="292"/>
        <v>2022</v>
      </c>
      <c r="L1076" s="6">
        <f t="shared" ca="1" si="293"/>
        <v>3</v>
      </c>
      <c r="M1076" s="68">
        <f ca="1">IFERROR(__xludf.DUMMYFUNCTION("""COMPUTED_VALUE"""),44650.6666666666)</f>
        <v>44650.666666666599</v>
      </c>
      <c r="N1076" s="6">
        <f ca="1">IFERROR(__xludf.DUMMYFUNCTION("""COMPUTED_VALUE"""),14442.28)</f>
        <v>14442.28</v>
      </c>
      <c r="R1076" s="6" t="str">
        <f t="shared" ca="1" si="294"/>
        <v>20225</v>
      </c>
      <c r="S1076" s="6">
        <f t="shared" ca="1" si="295"/>
        <v>2022</v>
      </c>
      <c r="T1076" s="6">
        <f t="shared" ca="1" si="296"/>
        <v>5</v>
      </c>
      <c r="U1076" s="68">
        <f ca="1">IFERROR(__xludf.DUMMYFUNCTION("""COMPUTED_VALUE"""),44699.6458333333)</f>
        <v>44699.645833333299</v>
      </c>
      <c r="V1076" s="6">
        <f ca="1">IFERROR(__xludf.DUMMYFUNCTION("""COMPUTED_VALUE"""),2625.98)</f>
        <v>2625.98</v>
      </c>
      <c r="Z1076" s="6" t="str">
        <f t="shared" ca="1" si="297"/>
        <v>20211</v>
      </c>
      <c r="AA1076" s="6">
        <f t="shared" ca="1" si="298"/>
        <v>2021</v>
      </c>
      <c r="AB1076" s="6">
        <f t="shared" ca="1" si="299"/>
        <v>1</v>
      </c>
      <c r="AC1076" s="68">
        <f ca="1">IFERROR(__xludf.DUMMYFUNCTION("""COMPUTED_VALUE"""),44221.9986111111)</f>
        <v>44221.998611111099</v>
      </c>
      <c r="AD1076" s="6">
        <f ca="1">IFERROR(__xludf.DUMMYFUNCTION("""COMPUTED_VALUE"""),1101.73)</f>
        <v>1101.73</v>
      </c>
      <c r="AH1076" s="6" t="str">
        <f t="shared" ca="1" si="300"/>
        <v>202012</v>
      </c>
      <c r="AI1076" s="6">
        <f t="shared" ca="1" si="301"/>
        <v>2020</v>
      </c>
      <c r="AJ1076" s="6">
        <f t="shared" ca="1" si="302"/>
        <v>12</v>
      </c>
      <c r="AK1076" s="68">
        <f ca="1">IFERROR(__xludf.DUMMYFUNCTION("""COMPUTED_VALUE"""),44169.9986111111)</f>
        <v>44169.998611111099</v>
      </c>
      <c r="AL1076" s="6">
        <f ca="1">IFERROR(__xludf.DUMMYFUNCTION("""COMPUTED_VALUE"""),18658.84)</f>
        <v>18658.84</v>
      </c>
      <c r="AP1076" s="6" t="str">
        <f t="shared" ca="1" si="303"/>
        <v>20224</v>
      </c>
      <c r="AQ1076" s="6">
        <f t="shared" ca="1" si="304"/>
        <v>2022</v>
      </c>
      <c r="AR1076" s="6">
        <f t="shared" ca="1" si="305"/>
        <v>4</v>
      </c>
      <c r="AS1076" s="68">
        <f ca="1">IFERROR(__xludf.DUMMYFUNCTION("""COMPUTED_VALUE"""),44665.9986111111)</f>
        <v>44665.998611111099</v>
      </c>
      <c r="AT1076" s="6">
        <f ca="1">IFERROR(__xludf.DUMMYFUNCTION("""COMPUTED_VALUE"""),1974.9)</f>
        <v>1974.9</v>
      </c>
    </row>
    <row r="1077" spans="2:46" x14ac:dyDescent="0.35">
      <c r="B1077" s="6" t="str">
        <f t="shared" ca="1" si="288"/>
        <v>20224</v>
      </c>
      <c r="C1077" s="6">
        <f t="shared" ca="1" si="289"/>
        <v>2022</v>
      </c>
      <c r="D1077" s="6">
        <f t="shared" ca="1" si="290"/>
        <v>4</v>
      </c>
      <c r="E1077" s="68">
        <f ca="1">IFERROR(__xludf.DUMMYFUNCTION("""COMPUTED_VALUE"""),44658.6666666666)</f>
        <v>44658.666666666599</v>
      </c>
      <c r="F1077" s="6">
        <f ca="1">IFERROR(__xludf.DUMMYFUNCTION("""COMPUTED_VALUE"""),4500.21)</f>
        <v>4500.21</v>
      </c>
      <c r="J1077" s="6" t="str">
        <f t="shared" ca="1" si="291"/>
        <v>20223</v>
      </c>
      <c r="K1077" s="6">
        <f t="shared" ca="1" si="292"/>
        <v>2022</v>
      </c>
      <c r="L1077" s="6">
        <f t="shared" ca="1" si="293"/>
        <v>3</v>
      </c>
      <c r="M1077" s="68">
        <f ca="1">IFERROR(__xludf.DUMMYFUNCTION("""COMPUTED_VALUE"""),44651.6666666666)</f>
        <v>44651.666666666599</v>
      </c>
      <c r="N1077" s="6">
        <f ca="1">IFERROR(__xludf.DUMMYFUNCTION("""COMPUTED_VALUE"""),14220.52)</f>
        <v>14220.52</v>
      </c>
      <c r="R1077" s="6" t="str">
        <f t="shared" ca="1" si="294"/>
        <v>20225</v>
      </c>
      <c r="S1077" s="6">
        <f t="shared" ca="1" si="295"/>
        <v>2022</v>
      </c>
      <c r="T1077" s="6">
        <f t="shared" ca="1" si="296"/>
        <v>5</v>
      </c>
      <c r="U1077" s="68">
        <f ca="1">IFERROR(__xludf.DUMMYFUNCTION("""COMPUTED_VALUE"""),44700.6458333333)</f>
        <v>44700.645833333299</v>
      </c>
      <c r="V1077" s="6">
        <f ca="1">IFERROR(__xludf.DUMMYFUNCTION("""COMPUTED_VALUE"""),2592.34)</f>
        <v>2592.34</v>
      </c>
      <c r="Z1077" s="6" t="str">
        <f t="shared" ca="1" si="297"/>
        <v>20211</v>
      </c>
      <c r="AA1077" s="6">
        <f t="shared" ca="1" si="298"/>
        <v>2021</v>
      </c>
      <c r="AB1077" s="6">
        <f t="shared" ca="1" si="299"/>
        <v>1</v>
      </c>
      <c r="AC1077" s="68">
        <f ca="1">IFERROR(__xludf.DUMMYFUNCTION("""COMPUTED_VALUE"""),44222.9986111111)</f>
        <v>44222.998611111099</v>
      </c>
      <c r="AD1077" s="6">
        <f ca="1">IFERROR(__xludf.DUMMYFUNCTION("""COMPUTED_VALUE"""),1101)</f>
        <v>1101</v>
      </c>
      <c r="AH1077" s="6" t="str">
        <f t="shared" ca="1" si="300"/>
        <v>202012</v>
      </c>
      <c r="AI1077" s="6">
        <f t="shared" ca="1" si="301"/>
        <v>2020</v>
      </c>
      <c r="AJ1077" s="6">
        <f t="shared" ca="1" si="302"/>
        <v>12</v>
      </c>
      <c r="AK1077" s="68">
        <f ca="1">IFERROR(__xludf.DUMMYFUNCTION("""COMPUTED_VALUE"""),44170.9986111111)</f>
        <v>44170.998611111099</v>
      </c>
      <c r="AL1077" s="6">
        <f ca="1">IFERROR(__xludf.DUMMYFUNCTION("""COMPUTED_VALUE"""),19156.46)</f>
        <v>19156.46</v>
      </c>
      <c r="AP1077" s="6" t="str">
        <f t="shared" ca="1" si="303"/>
        <v>20224</v>
      </c>
      <c r="AQ1077" s="6">
        <f t="shared" ca="1" si="304"/>
        <v>2022</v>
      </c>
      <c r="AR1077" s="6">
        <f t="shared" ca="1" si="305"/>
        <v>4</v>
      </c>
      <c r="AS1077" s="68">
        <f ca="1">IFERROR(__xludf.DUMMYFUNCTION("""COMPUTED_VALUE"""),44669.9986111111)</f>
        <v>44669.998611111099</v>
      </c>
      <c r="AT1077" s="6">
        <f ca="1">IFERROR(__xludf.DUMMYFUNCTION("""COMPUTED_VALUE"""),1986.4)</f>
        <v>1986.4</v>
      </c>
    </row>
    <row r="1078" spans="2:46" x14ac:dyDescent="0.35">
      <c r="B1078" s="6" t="str">
        <f t="shared" ca="1" si="288"/>
        <v>20224</v>
      </c>
      <c r="C1078" s="6">
        <f t="shared" ca="1" si="289"/>
        <v>2022</v>
      </c>
      <c r="D1078" s="6">
        <f t="shared" ca="1" si="290"/>
        <v>4</v>
      </c>
      <c r="E1078" s="68">
        <f ca="1">IFERROR(__xludf.DUMMYFUNCTION("""COMPUTED_VALUE"""),44659.6666666666)</f>
        <v>44659.666666666599</v>
      </c>
      <c r="F1078" s="6">
        <f ca="1">IFERROR(__xludf.DUMMYFUNCTION("""COMPUTED_VALUE"""),4488.28)</f>
        <v>4488.28</v>
      </c>
      <c r="J1078" s="6" t="str">
        <f t="shared" ca="1" si="291"/>
        <v>20224</v>
      </c>
      <c r="K1078" s="6">
        <f t="shared" ca="1" si="292"/>
        <v>2022</v>
      </c>
      <c r="L1078" s="6">
        <f t="shared" ca="1" si="293"/>
        <v>4</v>
      </c>
      <c r="M1078" s="68">
        <f ca="1">IFERROR(__xludf.DUMMYFUNCTION("""COMPUTED_VALUE"""),44652.6666666666)</f>
        <v>44652.666666666599</v>
      </c>
      <c r="N1078" s="6">
        <f ca="1">IFERROR(__xludf.DUMMYFUNCTION("""COMPUTED_VALUE"""),14261.5)</f>
        <v>14261.5</v>
      </c>
      <c r="R1078" s="6" t="str">
        <f t="shared" ca="1" si="294"/>
        <v>20225</v>
      </c>
      <c r="S1078" s="6">
        <f t="shared" ca="1" si="295"/>
        <v>2022</v>
      </c>
      <c r="T1078" s="6">
        <f t="shared" ca="1" si="296"/>
        <v>5</v>
      </c>
      <c r="U1078" s="68">
        <f ca="1">IFERROR(__xludf.DUMMYFUNCTION("""COMPUTED_VALUE"""),44701.6458333333)</f>
        <v>44701.645833333299</v>
      </c>
      <c r="V1078" s="6">
        <f ca="1">IFERROR(__xludf.DUMMYFUNCTION("""COMPUTED_VALUE"""),2639.29)</f>
        <v>2639.29</v>
      </c>
      <c r="Z1078" s="6" t="str">
        <f t="shared" ca="1" si="297"/>
        <v>20211</v>
      </c>
      <c r="AA1078" s="6">
        <f t="shared" ca="1" si="298"/>
        <v>2021</v>
      </c>
      <c r="AB1078" s="6">
        <f t="shared" ca="1" si="299"/>
        <v>1</v>
      </c>
      <c r="AC1078" s="68">
        <f ca="1">IFERROR(__xludf.DUMMYFUNCTION("""COMPUTED_VALUE"""),44223.9986111111)</f>
        <v>44223.998611111099</v>
      </c>
      <c r="AD1078" s="6">
        <f ca="1">IFERROR(__xludf.DUMMYFUNCTION("""COMPUTED_VALUE"""),1107.5)</f>
        <v>1107.5</v>
      </c>
      <c r="AH1078" s="6" t="str">
        <f t="shared" ca="1" si="300"/>
        <v>202012</v>
      </c>
      <c r="AI1078" s="6">
        <f t="shared" ca="1" si="301"/>
        <v>2020</v>
      </c>
      <c r="AJ1078" s="6">
        <f t="shared" ca="1" si="302"/>
        <v>12</v>
      </c>
      <c r="AK1078" s="68">
        <f ca="1">IFERROR(__xludf.DUMMYFUNCTION("""COMPUTED_VALUE"""),44171.9986111111)</f>
        <v>44171.998611111099</v>
      </c>
      <c r="AL1078" s="6">
        <f ca="1">IFERROR(__xludf.DUMMYFUNCTION("""COMPUTED_VALUE"""),19380.58)</f>
        <v>19380.580000000002</v>
      </c>
      <c r="AP1078" s="6" t="str">
        <f t="shared" ca="1" si="303"/>
        <v>20224</v>
      </c>
      <c r="AQ1078" s="6">
        <f t="shared" ca="1" si="304"/>
        <v>2022</v>
      </c>
      <c r="AR1078" s="6">
        <f t="shared" ca="1" si="305"/>
        <v>4</v>
      </c>
      <c r="AS1078" s="68">
        <f ca="1">IFERROR(__xludf.DUMMYFUNCTION("""COMPUTED_VALUE"""),44670.9986111111)</f>
        <v>44670.998611111099</v>
      </c>
      <c r="AT1078" s="6">
        <f ca="1">IFERROR(__xludf.DUMMYFUNCTION("""COMPUTED_VALUE"""),1959)</f>
        <v>1959</v>
      </c>
    </row>
    <row r="1079" spans="2:46" x14ac:dyDescent="0.35">
      <c r="B1079" s="6" t="str">
        <f t="shared" ca="1" si="288"/>
        <v>20224</v>
      </c>
      <c r="C1079" s="6">
        <f t="shared" ca="1" si="289"/>
        <v>2022</v>
      </c>
      <c r="D1079" s="6">
        <f t="shared" ca="1" si="290"/>
        <v>4</v>
      </c>
      <c r="E1079" s="68">
        <f ca="1">IFERROR(__xludf.DUMMYFUNCTION("""COMPUTED_VALUE"""),44662.6666666666)</f>
        <v>44662.666666666599</v>
      </c>
      <c r="F1079" s="6">
        <f ca="1">IFERROR(__xludf.DUMMYFUNCTION("""COMPUTED_VALUE"""),4412.53)</f>
        <v>4412.53</v>
      </c>
      <c r="J1079" s="6" t="str">
        <f t="shared" ca="1" si="291"/>
        <v>20224</v>
      </c>
      <c r="K1079" s="6">
        <f t="shared" ca="1" si="292"/>
        <v>2022</v>
      </c>
      <c r="L1079" s="6">
        <f t="shared" ca="1" si="293"/>
        <v>4</v>
      </c>
      <c r="M1079" s="68">
        <f ca="1">IFERROR(__xludf.DUMMYFUNCTION("""COMPUTED_VALUE"""),44655.6666666666)</f>
        <v>44655.666666666599</v>
      </c>
      <c r="N1079" s="6">
        <f ca="1">IFERROR(__xludf.DUMMYFUNCTION("""COMPUTED_VALUE"""),14532.55)</f>
        <v>14532.55</v>
      </c>
      <c r="R1079" s="6" t="str">
        <f t="shared" ca="1" si="294"/>
        <v>20225</v>
      </c>
      <c r="S1079" s="6">
        <f t="shared" ca="1" si="295"/>
        <v>2022</v>
      </c>
      <c r="T1079" s="6">
        <f t="shared" ca="1" si="296"/>
        <v>5</v>
      </c>
      <c r="U1079" s="68">
        <f ca="1">IFERROR(__xludf.DUMMYFUNCTION("""COMPUTED_VALUE"""),44704.6458333333)</f>
        <v>44704.645833333299</v>
      </c>
      <c r="V1079" s="6">
        <f ca="1">IFERROR(__xludf.DUMMYFUNCTION("""COMPUTED_VALUE"""),2647.38)</f>
        <v>2647.38</v>
      </c>
      <c r="Z1079" s="6" t="str">
        <f t="shared" ca="1" si="297"/>
        <v>20211</v>
      </c>
      <c r="AA1079" s="6">
        <f t="shared" ca="1" si="298"/>
        <v>2021</v>
      </c>
      <c r="AB1079" s="6">
        <f t="shared" ca="1" si="299"/>
        <v>1</v>
      </c>
      <c r="AC1079" s="68">
        <f ca="1">IFERROR(__xludf.DUMMYFUNCTION("""COMPUTED_VALUE"""),44224.9986111111)</f>
        <v>44224.998611111099</v>
      </c>
      <c r="AD1079" s="6">
        <f ca="1">IFERROR(__xludf.DUMMYFUNCTION("""COMPUTED_VALUE"""),1112.29)</f>
        <v>1112.29</v>
      </c>
      <c r="AH1079" s="6" t="str">
        <f t="shared" ca="1" si="300"/>
        <v>202012</v>
      </c>
      <c r="AI1079" s="6">
        <f t="shared" ca="1" si="301"/>
        <v>2020</v>
      </c>
      <c r="AJ1079" s="6">
        <f t="shared" ca="1" si="302"/>
        <v>12</v>
      </c>
      <c r="AK1079" s="68">
        <f ca="1">IFERROR(__xludf.DUMMYFUNCTION("""COMPUTED_VALUE"""),44172.9986111111)</f>
        <v>44172.998611111099</v>
      </c>
      <c r="AL1079" s="6">
        <f ca="1">IFERROR(__xludf.DUMMYFUNCTION("""COMPUTED_VALUE"""),19176.42)</f>
        <v>19176.419999999998</v>
      </c>
      <c r="AP1079" s="6" t="str">
        <f t="shared" ca="1" si="303"/>
        <v>20224</v>
      </c>
      <c r="AQ1079" s="6">
        <f t="shared" ca="1" si="304"/>
        <v>2022</v>
      </c>
      <c r="AR1079" s="6">
        <f t="shared" ca="1" si="305"/>
        <v>4</v>
      </c>
      <c r="AS1079" s="68">
        <f ca="1">IFERROR(__xludf.DUMMYFUNCTION("""COMPUTED_VALUE"""),44671.9986111111)</f>
        <v>44671.998611111099</v>
      </c>
      <c r="AT1079" s="6">
        <f ca="1">IFERROR(__xludf.DUMMYFUNCTION("""COMPUTED_VALUE"""),1955.6)</f>
        <v>1955.6</v>
      </c>
    </row>
    <row r="1080" spans="2:46" x14ac:dyDescent="0.35">
      <c r="B1080" s="6" t="str">
        <f t="shared" ca="1" si="288"/>
        <v>20224</v>
      </c>
      <c r="C1080" s="6">
        <f t="shared" ca="1" si="289"/>
        <v>2022</v>
      </c>
      <c r="D1080" s="6">
        <f t="shared" ca="1" si="290"/>
        <v>4</v>
      </c>
      <c r="E1080" s="68">
        <f ca="1">IFERROR(__xludf.DUMMYFUNCTION("""COMPUTED_VALUE"""),44663.6666666666)</f>
        <v>44663.666666666599</v>
      </c>
      <c r="F1080" s="6">
        <f ca="1">IFERROR(__xludf.DUMMYFUNCTION("""COMPUTED_VALUE"""),4397.45)</f>
        <v>4397.45</v>
      </c>
      <c r="J1080" s="6" t="str">
        <f t="shared" ca="1" si="291"/>
        <v>20224</v>
      </c>
      <c r="K1080" s="6">
        <f t="shared" ca="1" si="292"/>
        <v>2022</v>
      </c>
      <c r="L1080" s="6">
        <f t="shared" ca="1" si="293"/>
        <v>4</v>
      </c>
      <c r="M1080" s="68">
        <f ca="1">IFERROR(__xludf.DUMMYFUNCTION("""COMPUTED_VALUE"""),44656.6666666666)</f>
        <v>44656.666666666599</v>
      </c>
      <c r="N1080" s="6">
        <f ca="1">IFERROR(__xludf.DUMMYFUNCTION("""COMPUTED_VALUE"""),14204.17)</f>
        <v>14204.17</v>
      </c>
      <c r="R1080" s="6" t="str">
        <f t="shared" ca="1" si="294"/>
        <v>20225</v>
      </c>
      <c r="S1080" s="6">
        <f t="shared" ca="1" si="295"/>
        <v>2022</v>
      </c>
      <c r="T1080" s="6">
        <f t="shared" ca="1" si="296"/>
        <v>5</v>
      </c>
      <c r="U1080" s="68">
        <f ca="1">IFERROR(__xludf.DUMMYFUNCTION("""COMPUTED_VALUE"""),44705.6458333333)</f>
        <v>44705.645833333299</v>
      </c>
      <c r="V1080" s="6">
        <f ca="1">IFERROR(__xludf.DUMMYFUNCTION("""COMPUTED_VALUE"""),2605.87)</f>
        <v>2605.87</v>
      </c>
      <c r="Z1080" s="6" t="str">
        <f t="shared" ca="1" si="297"/>
        <v>20211</v>
      </c>
      <c r="AA1080" s="6">
        <f t="shared" ca="1" si="298"/>
        <v>2021</v>
      </c>
      <c r="AB1080" s="6">
        <f t="shared" ca="1" si="299"/>
        <v>1</v>
      </c>
      <c r="AC1080" s="68">
        <f ca="1">IFERROR(__xludf.DUMMYFUNCTION("""COMPUTED_VALUE"""),44225.9986111111)</f>
        <v>44225.998611111099</v>
      </c>
      <c r="AD1080" s="6">
        <f ca="1">IFERROR(__xludf.DUMMYFUNCTION("""COMPUTED_VALUE"""),1117.33)</f>
        <v>1117.33</v>
      </c>
      <c r="AH1080" s="6" t="str">
        <f t="shared" ca="1" si="300"/>
        <v>202012</v>
      </c>
      <c r="AI1080" s="6">
        <f t="shared" ca="1" si="301"/>
        <v>2020</v>
      </c>
      <c r="AJ1080" s="6">
        <f t="shared" ca="1" si="302"/>
        <v>12</v>
      </c>
      <c r="AK1080" s="68">
        <f ca="1">IFERROR(__xludf.DUMMYFUNCTION("""COMPUTED_VALUE"""),44173.9986111111)</f>
        <v>44173.998611111099</v>
      </c>
      <c r="AL1080" s="6">
        <f ca="1">IFERROR(__xludf.DUMMYFUNCTION("""COMPUTED_VALUE"""),18321.51)</f>
        <v>18321.509999999998</v>
      </c>
      <c r="AP1080" s="6" t="str">
        <f t="shared" ca="1" si="303"/>
        <v>20224</v>
      </c>
      <c r="AQ1080" s="6">
        <f t="shared" ca="1" si="304"/>
        <v>2022</v>
      </c>
      <c r="AR1080" s="6">
        <f t="shared" ca="1" si="305"/>
        <v>4</v>
      </c>
      <c r="AS1080" s="68">
        <f ca="1">IFERROR(__xludf.DUMMYFUNCTION("""COMPUTED_VALUE"""),44672.9986111111)</f>
        <v>44672.998611111099</v>
      </c>
      <c r="AT1080" s="6">
        <f ca="1">IFERROR(__xludf.DUMMYFUNCTION("""COMPUTED_VALUE"""),1948.2)</f>
        <v>1948.2</v>
      </c>
    </row>
    <row r="1081" spans="2:46" x14ac:dyDescent="0.35">
      <c r="B1081" s="6" t="str">
        <f t="shared" ca="1" si="288"/>
        <v>20224</v>
      </c>
      <c r="C1081" s="6">
        <f t="shared" ca="1" si="289"/>
        <v>2022</v>
      </c>
      <c r="D1081" s="6">
        <f t="shared" ca="1" si="290"/>
        <v>4</v>
      </c>
      <c r="E1081" s="68">
        <f ca="1">IFERROR(__xludf.DUMMYFUNCTION("""COMPUTED_VALUE"""),44664.6666666666)</f>
        <v>44664.666666666599</v>
      </c>
      <c r="F1081" s="6">
        <f ca="1">IFERROR(__xludf.DUMMYFUNCTION("""COMPUTED_VALUE"""),4446.59)</f>
        <v>4446.59</v>
      </c>
      <c r="J1081" s="6" t="str">
        <f t="shared" ca="1" si="291"/>
        <v>20224</v>
      </c>
      <c r="K1081" s="6">
        <f t="shared" ca="1" si="292"/>
        <v>2022</v>
      </c>
      <c r="L1081" s="6">
        <f t="shared" ca="1" si="293"/>
        <v>4</v>
      </c>
      <c r="M1081" s="68">
        <f ca="1">IFERROR(__xludf.DUMMYFUNCTION("""COMPUTED_VALUE"""),44657.6666666666)</f>
        <v>44657.666666666599</v>
      </c>
      <c r="N1081" s="6">
        <f ca="1">IFERROR(__xludf.DUMMYFUNCTION("""COMPUTED_VALUE"""),13888.82)</f>
        <v>13888.82</v>
      </c>
      <c r="R1081" s="6" t="str">
        <f t="shared" ca="1" si="294"/>
        <v>20225</v>
      </c>
      <c r="S1081" s="6">
        <f t="shared" ca="1" si="295"/>
        <v>2022</v>
      </c>
      <c r="T1081" s="6">
        <f t="shared" ca="1" si="296"/>
        <v>5</v>
      </c>
      <c r="U1081" s="68">
        <f ca="1">IFERROR(__xludf.DUMMYFUNCTION("""COMPUTED_VALUE"""),44706.6458333333)</f>
        <v>44706.645833333299</v>
      </c>
      <c r="V1081" s="6">
        <f ca="1">IFERROR(__xludf.DUMMYFUNCTION("""COMPUTED_VALUE"""),2617.22)</f>
        <v>2617.2199999999998</v>
      </c>
      <c r="Z1081" s="6" t="str">
        <f t="shared" ca="1" si="297"/>
        <v>20211</v>
      </c>
      <c r="AA1081" s="6">
        <f t="shared" ca="1" si="298"/>
        <v>2021</v>
      </c>
      <c r="AB1081" s="6">
        <f t="shared" ca="1" si="299"/>
        <v>1</v>
      </c>
      <c r="AC1081" s="68">
        <f ca="1">IFERROR(__xludf.DUMMYFUNCTION("""COMPUTED_VALUE"""),44226.9986111111)</f>
        <v>44226.998611111099</v>
      </c>
      <c r="AD1081" s="6">
        <f ca="1">IFERROR(__xludf.DUMMYFUNCTION("""COMPUTED_VALUE"""),1117.43)</f>
        <v>1117.43</v>
      </c>
      <c r="AH1081" s="6" t="str">
        <f t="shared" ca="1" si="300"/>
        <v>202012</v>
      </c>
      <c r="AI1081" s="6">
        <f t="shared" ca="1" si="301"/>
        <v>2020</v>
      </c>
      <c r="AJ1081" s="6">
        <f t="shared" ca="1" si="302"/>
        <v>12</v>
      </c>
      <c r="AK1081" s="68">
        <f ca="1">IFERROR(__xludf.DUMMYFUNCTION("""COMPUTED_VALUE"""),44174.9986111111)</f>
        <v>44174.998611111099</v>
      </c>
      <c r="AL1081" s="6">
        <f ca="1">IFERROR(__xludf.DUMMYFUNCTION("""COMPUTED_VALUE"""),18547.8)</f>
        <v>18547.8</v>
      </c>
      <c r="AP1081" s="6" t="str">
        <f t="shared" ca="1" si="303"/>
        <v>20224</v>
      </c>
      <c r="AQ1081" s="6">
        <f t="shared" ca="1" si="304"/>
        <v>2022</v>
      </c>
      <c r="AR1081" s="6">
        <f t="shared" ca="1" si="305"/>
        <v>4</v>
      </c>
      <c r="AS1081" s="68">
        <f ca="1">IFERROR(__xludf.DUMMYFUNCTION("""COMPUTED_VALUE"""),44673.9986111111)</f>
        <v>44673.998611111099</v>
      </c>
      <c r="AT1081" s="6">
        <f ca="1">IFERROR(__xludf.DUMMYFUNCTION("""COMPUTED_VALUE"""),1934.3)</f>
        <v>1934.3</v>
      </c>
    </row>
    <row r="1082" spans="2:46" x14ac:dyDescent="0.35">
      <c r="B1082" s="6" t="str">
        <f t="shared" ca="1" si="288"/>
        <v>20224</v>
      </c>
      <c r="C1082" s="6">
        <f t="shared" ca="1" si="289"/>
        <v>2022</v>
      </c>
      <c r="D1082" s="6">
        <f t="shared" ca="1" si="290"/>
        <v>4</v>
      </c>
      <c r="E1082" s="68">
        <f ca="1">IFERROR(__xludf.DUMMYFUNCTION("""COMPUTED_VALUE"""),44665.6666666666)</f>
        <v>44665.666666666599</v>
      </c>
      <c r="F1082" s="6">
        <f ca="1">IFERROR(__xludf.DUMMYFUNCTION("""COMPUTED_VALUE"""),4392.59)</f>
        <v>4392.59</v>
      </c>
      <c r="J1082" s="6" t="str">
        <f t="shared" ca="1" si="291"/>
        <v>20224</v>
      </c>
      <c r="K1082" s="6">
        <f t="shared" ca="1" si="292"/>
        <v>2022</v>
      </c>
      <c r="L1082" s="6">
        <f t="shared" ca="1" si="293"/>
        <v>4</v>
      </c>
      <c r="M1082" s="68">
        <f ca="1">IFERROR(__xludf.DUMMYFUNCTION("""COMPUTED_VALUE"""),44658.6666666666)</f>
        <v>44658.666666666599</v>
      </c>
      <c r="N1082" s="6">
        <f ca="1">IFERROR(__xludf.DUMMYFUNCTION("""COMPUTED_VALUE"""),13897.3)</f>
        <v>13897.3</v>
      </c>
      <c r="R1082" s="6" t="str">
        <f t="shared" ca="1" si="294"/>
        <v>20225</v>
      </c>
      <c r="S1082" s="6">
        <f t="shared" ca="1" si="295"/>
        <v>2022</v>
      </c>
      <c r="T1082" s="6">
        <f t="shared" ca="1" si="296"/>
        <v>5</v>
      </c>
      <c r="U1082" s="68">
        <f ca="1">IFERROR(__xludf.DUMMYFUNCTION("""COMPUTED_VALUE"""),44707.6458333333)</f>
        <v>44707.645833333299</v>
      </c>
      <c r="V1082" s="6">
        <f ca="1">IFERROR(__xludf.DUMMYFUNCTION("""COMPUTED_VALUE"""),2612.45)</f>
        <v>2612.4499999999998</v>
      </c>
      <c r="Z1082" s="6" t="str">
        <f t="shared" ca="1" si="297"/>
        <v>20211</v>
      </c>
      <c r="AA1082" s="6">
        <f t="shared" ca="1" si="298"/>
        <v>2021</v>
      </c>
      <c r="AB1082" s="6">
        <f t="shared" ca="1" si="299"/>
        <v>1</v>
      </c>
      <c r="AC1082" s="68">
        <f ca="1">IFERROR(__xludf.DUMMYFUNCTION("""COMPUTED_VALUE"""),44227.9986111111)</f>
        <v>44227.998611111099</v>
      </c>
      <c r="AD1082" s="6">
        <f ca="1">IFERROR(__xludf.DUMMYFUNCTION("""COMPUTED_VALUE"""),1117.43)</f>
        <v>1117.43</v>
      </c>
      <c r="AH1082" s="6" t="str">
        <f t="shared" ca="1" si="300"/>
        <v>202012</v>
      </c>
      <c r="AI1082" s="6">
        <f t="shared" ca="1" si="301"/>
        <v>2020</v>
      </c>
      <c r="AJ1082" s="6">
        <f t="shared" ca="1" si="302"/>
        <v>12</v>
      </c>
      <c r="AK1082" s="68">
        <f ca="1">IFERROR(__xludf.DUMMYFUNCTION("""COMPUTED_VALUE"""),44175.9986111111)</f>
        <v>44175.998611111099</v>
      </c>
      <c r="AL1082" s="6">
        <f ca="1">IFERROR(__xludf.DUMMYFUNCTION("""COMPUTED_VALUE"""),18248.09)</f>
        <v>18248.09</v>
      </c>
      <c r="AP1082" s="6" t="str">
        <f t="shared" ca="1" si="303"/>
        <v>20224</v>
      </c>
      <c r="AQ1082" s="6">
        <f t="shared" ca="1" si="304"/>
        <v>2022</v>
      </c>
      <c r="AR1082" s="6">
        <f t="shared" ca="1" si="305"/>
        <v>4</v>
      </c>
      <c r="AS1082" s="68">
        <f ca="1">IFERROR(__xludf.DUMMYFUNCTION("""COMPUTED_VALUE"""),44676.9986111111)</f>
        <v>44676.998611111099</v>
      </c>
      <c r="AT1082" s="6">
        <f ca="1">IFERROR(__xludf.DUMMYFUNCTION("""COMPUTED_VALUE"""),1896)</f>
        <v>1896</v>
      </c>
    </row>
    <row r="1083" spans="2:46" x14ac:dyDescent="0.35">
      <c r="B1083" s="6" t="str">
        <f t="shared" ca="1" si="288"/>
        <v>20224</v>
      </c>
      <c r="C1083" s="6">
        <f t="shared" ca="1" si="289"/>
        <v>2022</v>
      </c>
      <c r="D1083" s="6">
        <f t="shared" ca="1" si="290"/>
        <v>4</v>
      </c>
      <c r="E1083" s="68">
        <f ca="1">IFERROR(__xludf.DUMMYFUNCTION("""COMPUTED_VALUE"""),44669.6666666666)</f>
        <v>44669.666666666599</v>
      </c>
      <c r="F1083" s="6">
        <f ca="1">IFERROR(__xludf.DUMMYFUNCTION("""COMPUTED_VALUE"""),4391.69)</f>
        <v>4391.6899999999996</v>
      </c>
      <c r="J1083" s="6" t="str">
        <f t="shared" ca="1" si="291"/>
        <v>20224</v>
      </c>
      <c r="K1083" s="6">
        <f t="shared" ca="1" si="292"/>
        <v>2022</v>
      </c>
      <c r="L1083" s="6">
        <f t="shared" ca="1" si="293"/>
        <v>4</v>
      </c>
      <c r="M1083" s="68">
        <f ca="1">IFERROR(__xludf.DUMMYFUNCTION("""COMPUTED_VALUE"""),44659.6666666666)</f>
        <v>44659.666666666599</v>
      </c>
      <c r="N1083" s="6">
        <f ca="1">IFERROR(__xludf.DUMMYFUNCTION("""COMPUTED_VALUE"""),13711)</f>
        <v>13711</v>
      </c>
      <c r="R1083" s="6" t="str">
        <f t="shared" ca="1" si="294"/>
        <v>20225</v>
      </c>
      <c r="S1083" s="6">
        <f t="shared" ca="1" si="295"/>
        <v>2022</v>
      </c>
      <c r="T1083" s="6">
        <f t="shared" ca="1" si="296"/>
        <v>5</v>
      </c>
      <c r="U1083" s="68">
        <f ca="1">IFERROR(__xludf.DUMMYFUNCTION("""COMPUTED_VALUE"""),44708.6458333333)</f>
        <v>44708.645833333299</v>
      </c>
      <c r="V1083" s="6">
        <f ca="1">IFERROR(__xludf.DUMMYFUNCTION("""COMPUTED_VALUE"""),2638.05)</f>
        <v>2638.05</v>
      </c>
      <c r="Z1083" s="6" t="str">
        <f t="shared" ca="1" si="297"/>
        <v>20212</v>
      </c>
      <c r="AA1083" s="6">
        <f t="shared" ca="1" si="298"/>
        <v>2021</v>
      </c>
      <c r="AB1083" s="6">
        <f t="shared" ca="1" si="299"/>
        <v>2</v>
      </c>
      <c r="AC1083" s="68">
        <f ca="1">IFERROR(__xludf.DUMMYFUNCTION("""COMPUTED_VALUE"""),44228.9986111111)</f>
        <v>44228.998611111099</v>
      </c>
      <c r="AD1083" s="6">
        <f ca="1">IFERROR(__xludf.DUMMYFUNCTION("""COMPUTED_VALUE"""),1116.88)</f>
        <v>1116.8800000000001</v>
      </c>
      <c r="AH1083" s="6" t="str">
        <f t="shared" ca="1" si="300"/>
        <v>202012</v>
      </c>
      <c r="AI1083" s="6">
        <f t="shared" ca="1" si="301"/>
        <v>2020</v>
      </c>
      <c r="AJ1083" s="6">
        <f t="shared" ca="1" si="302"/>
        <v>12</v>
      </c>
      <c r="AK1083" s="68">
        <f ca="1">IFERROR(__xludf.DUMMYFUNCTION("""COMPUTED_VALUE"""),44176.9986111111)</f>
        <v>44176.998611111099</v>
      </c>
      <c r="AL1083" s="6">
        <f ca="1">IFERROR(__xludf.DUMMYFUNCTION("""COMPUTED_VALUE"""),18023.18)</f>
        <v>18023.18</v>
      </c>
      <c r="AP1083" s="6" t="str">
        <f t="shared" ca="1" si="303"/>
        <v>20224</v>
      </c>
      <c r="AQ1083" s="6">
        <f t="shared" ca="1" si="304"/>
        <v>2022</v>
      </c>
      <c r="AR1083" s="6">
        <f t="shared" ca="1" si="305"/>
        <v>4</v>
      </c>
      <c r="AS1083" s="68">
        <f ca="1">IFERROR(__xludf.DUMMYFUNCTION("""COMPUTED_VALUE"""),44677.9986111111)</f>
        <v>44677.998611111099</v>
      </c>
      <c r="AT1083" s="6">
        <f ca="1">IFERROR(__xludf.DUMMYFUNCTION("""COMPUTED_VALUE"""),1904.1)</f>
        <v>1904.1</v>
      </c>
    </row>
    <row r="1084" spans="2:46" x14ac:dyDescent="0.35">
      <c r="B1084" s="6" t="str">
        <f t="shared" ca="1" si="288"/>
        <v>20224</v>
      </c>
      <c r="C1084" s="6">
        <f t="shared" ca="1" si="289"/>
        <v>2022</v>
      </c>
      <c r="D1084" s="6">
        <f t="shared" ca="1" si="290"/>
        <v>4</v>
      </c>
      <c r="E1084" s="68">
        <f ca="1">IFERROR(__xludf.DUMMYFUNCTION("""COMPUTED_VALUE"""),44670.6666666666)</f>
        <v>44670.666666666599</v>
      </c>
      <c r="F1084" s="6">
        <f ca="1">IFERROR(__xludf.DUMMYFUNCTION("""COMPUTED_VALUE"""),4462.21)</f>
        <v>4462.21</v>
      </c>
      <c r="J1084" s="6" t="str">
        <f t="shared" ca="1" si="291"/>
        <v>20224</v>
      </c>
      <c r="K1084" s="6">
        <f t="shared" ca="1" si="292"/>
        <v>2022</v>
      </c>
      <c r="L1084" s="6">
        <f t="shared" ca="1" si="293"/>
        <v>4</v>
      </c>
      <c r="M1084" s="68">
        <f ca="1">IFERROR(__xludf.DUMMYFUNCTION("""COMPUTED_VALUE"""),44662.6666666666)</f>
        <v>44662.666666666599</v>
      </c>
      <c r="N1084" s="6">
        <f ca="1">IFERROR(__xludf.DUMMYFUNCTION("""COMPUTED_VALUE"""),13411.96)</f>
        <v>13411.96</v>
      </c>
      <c r="R1084" s="6" t="str">
        <f t="shared" ca="1" si="294"/>
        <v>20225</v>
      </c>
      <c r="S1084" s="6">
        <f t="shared" ca="1" si="295"/>
        <v>2022</v>
      </c>
      <c r="T1084" s="6">
        <f t="shared" ca="1" si="296"/>
        <v>5</v>
      </c>
      <c r="U1084" s="68">
        <f ca="1">IFERROR(__xludf.DUMMYFUNCTION("""COMPUTED_VALUE"""),44711.6458333333)</f>
        <v>44711.645833333299</v>
      </c>
      <c r="V1084" s="6">
        <f ca="1">IFERROR(__xludf.DUMMYFUNCTION("""COMPUTED_VALUE"""),2669.66)</f>
        <v>2669.66</v>
      </c>
      <c r="Z1084" s="6" t="str">
        <f t="shared" ca="1" si="297"/>
        <v>20212</v>
      </c>
      <c r="AA1084" s="6">
        <f t="shared" ca="1" si="298"/>
        <v>2021</v>
      </c>
      <c r="AB1084" s="6">
        <f t="shared" ca="1" si="299"/>
        <v>2</v>
      </c>
      <c r="AC1084" s="68">
        <f ca="1">IFERROR(__xludf.DUMMYFUNCTION("""COMPUTED_VALUE"""),44229.9986111111)</f>
        <v>44229.998611111099</v>
      </c>
      <c r="AD1084" s="6">
        <f ca="1">IFERROR(__xludf.DUMMYFUNCTION("""COMPUTED_VALUE"""),1113.61)</f>
        <v>1113.6099999999999</v>
      </c>
      <c r="AH1084" s="6" t="str">
        <f t="shared" ca="1" si="300"/>
        <v>202012</v>
      </c>
      <c r="AI1084" s="6">
        <f t="shared" ca="1" si="301"/>
        <v>2020</v>
      </c>
      <c r="AJ1084" s="6">
        <f t="shared" ca="1" si="302"/>
        <v>12</v>
      </c>
      <c r="AK1084" s="68">
        <f ca="1">IFERROR(__xludf.DUMMYFUNCTION("""COMPUTED_VALUE"""),44177.9986111111)</f>
        <v>44177.998611111099</v>
      </c>
      <c r="AL1084" s="6">
        <f ca="1">IFERROR(__xludf.DUMMYFUNCTION("""COMPUTED_VALUE"""),18810.76)</f>
        <v>18810.759999999998</v>
      </c>
      <c r="AP1084" s="6" t="str">
        <f t="shared" ca="1" si="303"/>
        <v>20224</v>
      </c>
      <c r="AQ1084" s="6">
        <f t="shared" ca="1" si="304"/>
        <v>2022</v>
      </c>
      <c r="AR1084" s="6">
        <f t="shared" ca="1" si="305"/>
        <v>4</v>
      </c>
      <c r="AS1084" s="68">
        <f ca="1">IFERROR(__xludf.DUMMYFUNCTION("""COMPUTED_VALUE"""),44678.9986111111)</f>
        <v>44678.998611111099</v>
      </c>
      <c r="AT1084" s="6">
        <f ca="1">IFERROR(__xludf.DUMMYFUNCTION("""COMPUTED_VALUE"""),1888.7)</f>
        <v>1888.7</v>
      </c>
    </row>
    <row r="1085" spans="2:46" x14ac:dyDescent="0.35">
      <c r="B1085" s="6" t="str">
        <f t="shared" ca="1" si="288"/>
        <v>20224</v>
      </c>
      <c r="C1085" s="6">
        <f t="shared" ca="1" si="289"/>
        <v>2022</v>
      </c>
      <c r="D1085" s="6">
        <f t="shared" ca="1" si="290"/>
        <v>4</v>
      </c>
      <c r="E1085" s="68">
        <f ca="1">IFERROR(__xludf.DUMMYFUNCTION("""COMPUTED_VALUE"""),44671.6666666666)</f>
        <v>44671.666666666599</v>
      </c>
      <c r="F1085" s="6">
        <f ca="1">IFERROR(__xludf.DUMMYFUNCTION("""COMPUTED_VALUE"""),4459.45)</f>
        <v>4459.45</v>
      </c>
      <c r="J1085" s="6" t="str">
        <f t="shared" ca="1" si="291"/>
        <v>20224</v>
      </c>
      <c r="K1085" s="6">
        <f t="shared" ca="1" si="292"/>
        <v>2022</v>
      </c>
      <c r="L1085" s="6">
        <f t="shared" ca="1" si="293"/>
        <v>4</v>
      </c>
      <c r="M1085" s="68">
        <f ca="1">IFERROR(__xludf.DUMMYFUNCTION("""COMPUTED_VALUE"""),44663.6666666666)</f>
        <v>44663.666666666599</v>
      </c>
      <c r="N1085" s="6">
        <f ca="1">IFERROR(__xludf.DUMMYFUNCTION("""COMPUTED_VALUE"""),13371.57)</f>
        <v>13371.57</v>
      </c>
      <c r="R1085" s="6" t="str">
        <f t="shared" ca="1" si="294"/>
        <v>20225</v>
      </c>
      <c r="S1085" s="6">
        <f t="shared" ca="1" si="295"/>
        <v>2022</v>
      </c>
      <c r="T1085" s="6">
        <f t="shared" ca="1" si="296"/>
        <v>5</v>
      </c>
      <c r="U1085" s="68">
        <f ca="1">IFERROR(__xludf.DUMMYFUNCTION("""COMPUTED_VALUE"""),44712.6458333333)</f>
        <v>44712.645833333299</v>
      </c>
      <c r="V1085" s="6">
        <f ca="1">IFERROR(__xludf.DUMMYFUNCTION("""COMPUTED_VALUE"""),2685.9)</f>
        <v>2685.9</v>
      </c>
      <c r="Z1085" s="6" t="str">
        <f t="shared" ca="1" si="297"/>
        <v>20212</v>
      </c>
      <c r="AA1085" s="6">
        <f t="shared" ca="1" si="298"/>
        <v>2021</v>
      </c>
      <c r="AB1085" s="6">
        <f t="shared" ca="1" si="299"/>
        <v>2</v>
      </c>
      <c r="AC1085" s="68">
        <f ca="1">IFERROR(__xludf.DUMMYFUNCTION("""COMPUTED_VALUE"""),44230.9986111111)</f>
        <v>44230.998611111099</v>
      </c>
      <c r="AD1085" s="6">
        <f ca="1">IFERROR(__xludf.DUMMYFUNCTION("""COMPUTED_VALUE"""),1113.15)</f>
        <v>1113.1500000000001</v>
      </c>
      <c r="AH1085" s="6" t="str">
        <f t="shared" ca="1" si="300"/>
        <v>202012</v>
      </c>
      <c r="AI1085" s="6">
        <f t="shared" ca="1" si="301"/>
        <v>2020</v>
      </c>
      <c r="AJ1085" s="6">
        <f t="shared" ca="1" si="302"/>
        <v>12</v>
      </c>
      <c r="AK1085" s="68">
        <f ca="1">IFERROR(__xludf.DUMMYFUNCTION("""COMPUTED_VALUE"""),44178.9986111111)</f>
        <v>44178.998611111099</v>
      </c>
      <c r="AL1085" s="6">
        <f ca="1">IFERROR(__xludf.DUMMYFUNCTION("""COMPUTED_VALUE"""),19166.16)</f>
        <v>19166.16</v>
      </c>
      <c r="AP1085" s="6" t="str">
        <f t="shared" ca="1" si="303"/>
        <v>20224</v>
      </c>
      <c r="AQ1085" s="6">
        <f t="shared" ca="1" si="304"/>
        <v>2022</v>
      </c>
      <c r="AR1085" s="6">
        <f t="shared" ca="1" si="305"/>
        <v>4</v>
      </c>
      <c r="AS1085" s="68">
        <f ca="1">IFERROR(__xludf.DUMMYFUNCTION("""COMPUTED_VALUE"""),44679.9986111111)</f>
        <v>44679.998611111099</v>
      </c>
      <c r="AT1085" s="6">
        <f ca="1">IFERROR(__xludf.DUMMYFUNCTION("""COMPUTED_VALUE"""),1891.3)</f>
        <v>1891.3</v>
      </c>
    </row>
    <row r="1086" spans="2:46" x14ac:dyDescent="0.35">
      <c r="B1086" s="6" t="str">
        <f t="shared" ca="1" si="288"/>
        <v>20224</v>
      </c>
      <c r="C1086" s="6">
        <f t="shared" ca="1" si="289"/>
        <v>2022</v>
      </c>
      <c r="D1086" s="6">
        <f t="shared" ca="1" si="290"/>
        <v>4</v>
      </c>
      <c r="E1086" s="68">
        <f ca="1">IFERROR(__xludf.DUMMYFUNCTION("""COMPUTED_VALUE"""),44672.6666666666)</f>
        <v>44672.666666666599</v>
      </c>
      <c r="F1086" s="6">
        <f ca="1">IFERROR(__xludf.DUMMYFUNCTION("""COMPUTED_VALUE"""),4393.66)</f>
        <v>4393.66</v>
      </c>
      <c r="J1086" s="6" t="str">
        <f t="shared" ca="1" si="291"/>
        <v>20224</v>
      </c>
      <c r="K1086" s="6">
        <f t="shared" ca="1" si="292"/>
        <v>2022</v>
      </c>
      <c r="L1086" s="6">
        <f t="shared" ca="1" si="293"/>
        <v>4</v>
      </c>
      <c r="M1086" s="68">
        <f ca="1">IFERROR(__xludf.DUMMYFUNCTION("""COMPUTED_VALUE"""),44664.6666666666)</f>
        <v>44664.666666666599</v>
      </c>
      <c r="N1086" s="6">
        <f ca="1">IFERROR(__xludf.DUMMYFUNCTION("""COMPUTED_VALUE"""),13643.59)</f>
        <v>13643.59</v>
      </c>
      <c r="R1086" s="6" t="str">
        <f t="shared" ca="1" si="294"/>
        <v>20226</v>
      </c>
      <c r="S1086" s="6">
        <f t="shared" ca="1" si="295"/>
        <v>2022</v>
      </c>
      <c r="T1086" s="6">
        <f t="shared" ca="1" si="296"/>
        <v>6</v>
      </c>
      <c r="U1086" s="68">
        <f ca="1">IFERROR(__xludf.DUMMYFUNCTION("""COMPUTED_VALUE"""),44714.6458333333)</f>
        <v>44714.645833333299</v>
      </c>
      <c r="V1086" s="6">
        <f ca="1">IFERROR(__xludf.DUMMYFUNCTION("""COMPUTED_VALUE"""),2658.99)</f>
        <v>2658.99</v>
      </c>
      <c r="Z1086" s="6" t="str">
        <f t="shared" ca="1" si="297"/>
        <v>20212</v>
      </c>
      <c r="AA1086" s="6">
        <f t="shared" ca="1" si="298"/>
        <v>2021</v>
      </c>
      <c r="AB1086" s="6">
        <f t="shared" ca="1" si="299"/>
        <v>2</v>
      </c>
      <c r="AC1086" s="68">
        <f ca="1">IFERROR(__xludf.DUMMYFUNCTION("""COMPUTED_VALUE"""),44231.9986111111)</f>
        <v>44231.998611111099</v>
      </c>
      <c r="AD1086" s="6">
        <f ca="1">IFERROR(__xludf.DUMMYFUNCTION("""COMPUTED_VALUE"""),1119.13)</f>
        <v>1119.1300000000001</v>
      </c>
      <c r="AH1086" s="6" t="str">
        <f t="shared" ca="1" si="300"/>
        <v>202012</v>
      </c>
      <c r="AI1086" s="6">
        <f t="shared" ca="1" si="301"/>
        <v>2020</v>
      </c>
      <c r="AJ1086" s="6">
        <f t="shared" ca="1" si="302"/>
        <v>12</v>
      </c>
      <c r="AK1086" s="68">
        <f ca="1">IFERROR(__xludf.DUMMYFUNCTION("""COMPUTED_VALUE"""),44179.9986111111)</f>
        <v>44179.998611111099</v>
      </c>
      <c r="AL1086" s="6">
        <f ca="1">IFERROR(__xludf.DUMMYFUNCTION("""COMPUTED_VALUE"""),19274.74)</f>
        <v>19274.740000000002</v>
      </c>
      <c r="AP1086" s="6" t="str">
        <f t="shared" ca="1" si="303"/>
        <v>20224</v>
      </c>
      <c r="AQ1086" s="6">
        <f t="shared" ca="1" si="304"/>
        <v>2022</v>
      </c>
      <c r="AR1086" s="6">
        <f t="shared" ca="1" si="305"/>
        <v>4</v>
      </c>
      <c r="AS1086" s="68">
        <f ca="1">IFERROR(__xludf.DUMMYFUNCTION("""COMPUTED_VALUE"""),44680.9986111111)</f>
        <v>44680.998611111099</v>
      </c>
      <c r="AT1086" s="6">
        <f ca="1">IFERROR(__xludf.DUMMYFUNCTION("""COMPUTED_VALUE"""),1911.7)</f>
        <v>1911.7</v>
      </c>
    </row>
    <row r="1087" spans="2:46" x14ac:dyDescent="0.35">
      <c r="B1087" s="6" t="str">
        <f t="shared" ca="1" si="288"/>
        <v>20224</v>
      </c>
      <c r="C1087" s="6">
        <f t="shared" ca="1" si="289"/>
        <v>2022</v>
      </c>
      <c r="D1087" s="6">
        <f t="shared" ca="1" si="290"/>
        <v>4</v>
      </c>
      <c r="E1087" s="68">
        <f ca="1">IFERROR(__xludf.DUMMYFUNCTION("""COMPUTED_VALUE"""),44673.6666666666)</f>
        <v>44673.666666666599</v>
      </c>
      <c r="F1087" s="6">
        <f ca="1">IFERROR(__xludf.DUMMYFUNCTION("""COMPUTED_VALUE"""),4271.78)</f>
        <v>4271.78</v>
      </c>
      <c r="J1087" s="6" t="str">
        <f t="shared" ca="1" si="291"/>
        <v>20224</v>
      </c>
      <c r="K1087" s="6">
        <f t="shared" ca="1" si="292"/>
        <v>2022</v>
      </c>
      <c r="L1087" s="6">
        <f t="shared" ca="1" si="293"/>
        <v>4</v>
      </c>
      <c r="M1087" s="68">
        <f ca="1">IFERROR(__xludf.DUMMYFUNCTION("""COMPUTED_VALUE"""),44665.6666666666)</f>
        <v>44665.666666666599</v>
      </c>
      <c r="N1087" s="6">
        <f ca="1">IFERROR(__xludf.DUMMYFUNCTION("""COMPUTED_VALUE"""),13351.08)</f>
        <v>13351.08</v>
      </c>
      <c r="R1087" s="6" t="str">
        <f t="shared" ca="1" si="294"/>
        <v>20226</v>
      </c>
      <c r="S1087" s="6">
        <f t="shared" ca="1" si="295"/>
        <v>2022</v>
      </c>
      <c r="T1087" s="6">
        <f t="shared" ca="1" si="296"/>
        <v>6</v>
      </c>
      <c r="U1087" s="68">
        <f ca="1">IFERROR(__xludf.DUMMYFUNCTION("""COMPUTED_VALUE"""),44715.6458333333)</f>
        <v>44715.645833333299</v>
      </c>
      <c r="V1087" s="6">
        <f ca="1">IFERROR(__xludf.DUMMYFUNCTION("""COMPUTED_VALUE"""),2670.65)</f>
        <v>2670.65</v>
      </c>
      <c r="Z1087" s="6" t="str">
        <f t="shared" ca="1" si="297"/>
        <v>20212</v>
      </c>
      <c r="AA1087" s="6">
        <f t="shared" ca="1" si="298"/>
        <v>2021</v>
      </c>
      <c r="AB1087" s="6">
        <f t="shared" ca="1" si="299"/>
        <v>2</v>
      </c>
      <c r="AC1087" s="68">
        <f ca="1">IFERROR(__xludf.DUMMYFUNCTION("""COMPUTED_VALUE"""),44232.9986111111)</f>
        <v>44232.998611111099</v>
      </c>
      <c r="AD1087" s="6">
        <f ca="1">IFERROR(__xludf.DUMMYFUNCTION("""COMPUTED_VALUE"""),1116.85)</f>
        <v>1116.8499999999999</v>
      </c>
      <c r="AH1087" s="6" t="str">
        <f t="shared" ca="1" si="300"/>
        <v>202012</v>
      </c>
      <c r="AI1087" s="6">
        <f t="shared" ca="1" si="301"/>
        <v>2020</v>
      </c>
      <c r="AJ1087" s="6">
        <f t="shared" ca="1" si="302"/>
        <v>12</v>
      </c>
      <c r="AK1087" s="68">
        <f ca="1">IFERROR(__xludf.DUMMYFUNCTION("""COMPUTED_VALUE"""),44180.9986111111)</f>
        <v>44180.998611111099</v>
      </c>
      <c r="AL1087" s="6">
        <f ca="1">IFERROR(__xludf.DUMMYFUNCTION("""COMPUTED_VALUE"""),19435.53)</f>
        <v>19435.53</v>
      </c>
      <c r="AP1087" s="6" t="str">
        <f t="shared" ca="1" si="303"/>
        <v>20225</v>
      </c>
      <c r="AQ1087" s="6">
        <f t="shared" ca="1" si="304"/>
        <v>2022</v>
      </c>
      <c r="AR1087" s="6">
        <f t="shared" ca="1" si="305"/>
        <v>5</v>
      </c>
      <c r="AS1087" s="68">
        <f ca="1">IFERROR(__xludf.DUMMYFUNCTION("""COMPUTED_VALUE"""),44683.9986111111)</f>
        <v>44683.998611111099</v>
      </c>
      <c r="AT1087" s="6">
        <f ca="1">IFERROR(__xludf.DUMMYFUNCTION("""COMPUTED_VALUE"""),1863.6)</f>
        <v>1863.6</v>
      </c>
    </row>
    <row r="1088" spans="2:46" x14ac:dyDescent="0.35">
      <c r="B1088" s="6" t="str">
        <f t="shared" ca="1" si="288"/>
        <v>20224</v>
      </c>
      <c r="C1088" s="6">
        <f t="shared" ca="1" si="289"/>
        <v>2022</v>
      </c>
      <c r="D1088" s="6">
        <f t="shared" ca="1" si="290"/>
        <v>4</v>
      </c>
      <c r="E1088" s="68">
        <f ca="1">IFERROR(__xludf.DUMMYFUNCTION("""COMPUTED_VALUE"""),44676.6666666666)</f>
        <v>44676.666666666599</v>
      </c>
      <c r="F1088" s="6">
        <f ca="1">IFERROR(__xludf.DUMMYFUNCTION("""COMPUTED_VALUE"""),4296.12)</f>
        <v>4296.12</v>
      </c>
      <c r="J1088" s="6" t="str">
        <f t="shared" ca="1" si="291"/>
        <v>20224</v>
      </c>
      <c r="K1088" s="6">
        <f t="shared" ca="1" si="292"/>
        <v>2022</v>
      </c>
      <c r="L1088" s="6">
        <f t="shared" ca="1" si="293"/>
        <v>4</v>
      </c>
      <c r="M1088" s="68">
        <f ca="1">IFERROR(__xludf.DUMMYFUNCTION("""COMPUTED_VALUE"""),44669.6666666666)</f>
        <v>44669.666666666599</v>
      </c>
      <c r="N1088" s="6">
        <f ca="1">IFERROR(__xludf.DUMMYFUNCTION("""COMPUTED_VALUE"""),13332.36)</f>
        <v>13332.36</v>
      </c>
      <c r="R1088" s="6" t="str">
        <f t="shared" ca="1" si="294"/>
        <v>20226</v>
      </c>
      <c r="S1088" s="6">
        <f t="shared" ca="1" si="295"/>
        <v>2022</v>
      </c>
      <c r="T1088" s="6">
        <f t="shared" ca="1" si="296"/>
        <v>6</v>
      </c>
      <c r="U1088" s="68">
        <f ca="1">IFERROR(__xludf.DUMMYFUNCTION("""COMPUTED_VALUE"""),44719.6458333333)</f>
        <v>44719.645833333299</v>
      </c>
      <c r="V1088" s="6">
        <f ca="1">IFERROR(__xludf.DUMMYFUNCTION("""COMPUTED_VALUE"""),2626.34)</f>
        <v>2626.34</v>
      </c>
      <c r="Z1088" s="6" t="str">
        <f t="shared" ca="1" si="297"/>
        <v>20212</v>
      </c>
      <c r="AA1088" s="6">
        <f t="shared" ca="1" si="298"/>
        <v>2021</v>
      </c>
      <c r="AB1088" s="6">
        <f t="shared" ca="1" si="299"/>
        <v>2</v>
      </c>
      <c r="AC1088" s="68">
        <f ca="1">IFERROR(__xludf.DUMMYFUNCTION("""COMPUTED_VALUE"""),44233.9986111111)</f>
        <v>44233.998611111099</v>
      </c>
      <c r="AD1088" s="6">
        <f ca="1">IFERROR(__xludf.DUMMYFUNCTION("""COMPUTED_VALUE"""),1116.85)</f>
        <v>1116.8499999999999</v>
      </c>
      <c r="AH1088" s="6" t="str">
        <f t="shared" ca="1" si="300"/>
        <v>202012</v>
      </c>
      <c r="AI1088" s="6">
        <f t="shared" ca="1" si="301"/>
        <v>2020</v>
      </c>
      <c r="AJ1088" s="6">
        <f t="shared" ca="1" si="302"/>
        <v>12</v>
      </c>
      <c r="AK1088" s="68">
        <f ca="1">IFERROR(__xludf.DUMMYFUNCTION("""COMPUTED_VALUE"""),44181.9986111111)</f>
        <v>44181.998611111099</v>
      </c>
      <c r="AL1088" s="6">
        <f ca="1">IFERROR(__xludf.DUMMYFUNCTION("""COMPUTED_VALUE"""),21354.81)</f>
        <v>21354.81</v>
      </c>
      <c r="AP1088" s="6" t="str">
        <f t="shared" ca="1" si="303"/>
        <v>20225</v>
      </c>
      <c r="AQ1088" s="6">
        <f t="shared" ca="1" si="304"/>
        <v>2022</v>
      </c>
      <c r="AR1088" s="6">
        <f t="shared" ca="1" si="305"/>
        <v>5</v>
      </c>
      <c r="AS1088" s="68">
        <f ca="1">IFERROR(__xludf.DUMMYFUNCTION("""COMPUTED_VALUE"""),44684.9986111111)</f>
        <v>44684.998611111099</v>
      </c>
      <c r="AT1088" s="6">
        <f ca="1">IFERROR(__xludf.DUMMYFUNCTION("""COMPUTED_VALUE"""),1870.6)</f>
        <v>1870.6</v>
      </c>
    </row>
    <row r="1089" spans="2:46" x14ac:dyDescent="0.35">
      <c r="B1089" s="6" t="str">
        <f t="shared" ca="1" si="288"/>
        <v>20224</v>
      </c>
      <c r="C1089" s="6">
        <f t="shared" ca="1" si="289"/>
        <v>2022</v>
      </c>
      <c r="D1089" s="6">
        <f t="shared" ca="1" si="290"/>
        <v>4</v>
      </c>
      <c r="E1089" s="68">
        <f ca="1">IFERROR(__xludf.DUMMYFUNCTION("""COMPUTED_VALUE"""),44677.6666666666)</f>
        <v>44677.666666666599</v>
      </c>
      <c r="F1089" s="6">
        <f ca="1">IFERROR(__xludf.DUMMYFUNCTION("""COMPUTED_VALUE"""),4175.2)</f>
        <v>4175.2</v>
      </c>
      <c r="J1089" s="6" t="str">
        <f t="shared" ca="1" si="291"/>
        <v>20224</v>
      </c>
      <c r="K1089" s="6">
        <f t="shared" ca="1" si="292"/>
        <v>2022</v>
      </c>
      <c r="L1089" s="6">
        <f t="shared" ca="1" si="293"/>
        <v>4</v>
      </c>
      <c r="M1089" s="68">
        <f ca="1">IFERROR(__xludf.DUMMYFUNCTION("""COMPUTED_VALUE"""),44670.6666666666)</f>
        <v>44670.666666666599</v>
      </c>
      <c r="N1089" s="6">
        <f ca="1">IFERROR(__xludf.DUMMYFUNCTION("""COMPUTED_VALUE"""),13619.66)</f>
        <v>13619.66</v>
      </c>
      <c r="R1089" s="6" t="str">
        <f t="shared" ca="1" si="294"/>
        <v>20226</v>
      </c>
      <c r="S1089" s="6">
        <f t="shared" ca="1" si="295"/>
        <v>2022</v>
      </c>
      <c r="T1089" s="6">
        <f t="shared" ca="1" si="296"/>
        <v>6</v>
      </c>
      <c r="U1089" s="68">
        <f ca="1">IFERROR(__xludf.DUMMYFUNCTION("""COMPUTED_VALUE"""),44720.6458333333)</f>
        <v>44720.645833333299</v>
      </c>
      <c r="V1089" s="6">
        <f ca="1">IFERROR(__xludf.DUMMYFUNCTION("""COMPUTED_VALUE"""),2626.15)</f>
        <v>2626.15</v>
      </c>
      <c r="Z1089" s="6" t="str">
        <f t="shared" ca="1" si="297"/>
        <v>20212</v>
      </c>
      <c r="AA1089" s="6">
        <f t="shared" ca="1" si="298"/>
        <v>2021</v>
      </c>
      <c r="AB1089" s="6">
        <f t="shared" ca="1" si="299"/>
        <v>2</v>
      </c>
      <c r="AC1089" s="68">
        <f ca="1">IFERROR(__xludf.DUMMYFUNCTION("""COMPUTED_VALUE"""),44234.9986111111)</f>
        <v>44234.998611111099</v>
      </c>
      <c r="AD1089" s="6">
        <f ca="1">IFERROR(__xludf.DUMMYFUNCTION("""COMPUTED_VALUE"""),1116.85)</f>
        <v>1116.8499999999999</v>
      </c>
      <c r="AH1089" s="6" t="str">
        <f t="shared" ca="1" si="300"/>
        <v>202012</v>
      </c>
      <c r="AI1089" s="6">
        <f t="shared" ca="1" si="301"/>
        <v>2020</v>
      </c>
      <c r="AJ1089" s="6">
        <f t="shared" ca="1" si="302"/>
        <v>12</v>
      </c>
      <c r="AK1089" s="68">
        <f ca="1">IFERROR(__xludf.DUMMYFUNCTION("""COMPUTED_VALUE"""),44182.9986111111)</f>
        <v>44182.998611111099</v>
      </c>
      <c r="AL1089" s="6">
        <f ca="1">IFERROR(__xludf.DUMMYFUNCTION("""COMPUTED_VALUE"""),22831.94)</f>
        <v>22831.94</v>
      </c>
      <c r="AP1089" s="6" t="str">
        <f t="shared" ca="1" si="303"/>
        <v>20225</v>
      </c>
      <c r="AQ1089" s="6">
        <f t="shared" ca="1" si="304"/>
        <v>2022</v>
      </c>
      <c r="AR1089" s="6">
        <f t="shared" ca="1" si="305"/>
        <v>5</v>
      </c>
      <c r="AS1089" s="68">
        <f ca="1">IFERROR(__xludf.DUMMYFUNCTION("""COMPUTED_VALUE"""),44685.9986111111)</f>
        <v>44685.998611111099</v>
      </c>
      <c r="AT1089" s="6">
        <f ca="1">IFERROR(__xludf.DUMMYFUNCTION("""COMPUTED_VALUE"""),1868.8)</f>
        <v>1868.8</v>
      </c>
    </row>
    <row r="1090" spans="2:46" x14ac:dyDescent="0.35">
      <c r="B1090" s="6" t="str">
        <f t="shared" ca="1" si="288"/>
        <v>20224</v>
      </c>
      <c r="C1090" s="6">
        <f t="shared" ca="1" si="289"/>
        <v>2022</v>
      </c>
      <c r="D1090" s="6">
        <f t="shared" ca="1" si="290"/>
        <v>4</v>
      </c>
      <c r="E1090" s="68">
        <f ca="1">IFERROR(__xludf.DUMMYFUNCTION("""COMPUTED_VALUE"""),44678.6666666666)</f>
        <v>44678.666666666599</v>
      </c>
      <c r="F1090" s="6">
        <f ca="1">IFERROR(__xludf.DUMMYFUNCTION("""COMPUTED_VALUE"""),4183.96)</f>
        <v>4183.96</v>
      </c>
      <c r="J1090" s="6" t="str">
        <f t="shared" ca="1" si="291"/>
        <v>20224</v>
      </c>
      <c r="K1090" s="6">
        <f t="shared" ca="1" si="292"/>
        <v>2022</v>
      </c>
      <c r="L1090" s="6">
        <f t="shared" ca="1" si="293"/>
        <v>4</v>
      </c>
      <c r="M1090" s="68">
        <f ca="1">IFERROR(__xludf.DUMMYFUNCTION("""COMPUTED_VALUE"""),44671.6666666666)</f>
        <v>44671.666666666599</v>
      </c>
      <c r="N1090" s="6">
        <f ca="1">IFERROR(__xludf.DUMMYFUNCTION("""COMPUTED_VALUE"""),13453.07)</f>
        <v>13453.07</v>
      </c>
      <c r="R1090" s="6" t="str">
        <f t="shared" ca="1" si="294"/>
        <v>20226</v>
      </c>
      <c r="S1090" s="6">
        <f t="shared" ca="1" si="295"/>
        <v>2022</v>
      </c>
      <c r="T1090" s="6">
        <f t="shared" ca="1" si="296"/>
        <v>6</v>
      </c>
      <c r="U1090" s="68">
        <f ca="1">IFERROR(__xludf.DUMMYFUNCTION("""COMPUTED_VALUE"""),44721.6458333333)</f>
        <v>44721.645833333299</v>
      </c>
      <c r="V1090" s="6">
        <f ca="1">IFERROR(__xludf.DUMMYFUNCTION("""COMPUTED_VALUE"""),2625.44)</f>
        <v>2625.44</v>
      </c>
      <c r="Z1090" s="6" t="str">
        <f t="shared" ca="1" si="297"/>
        <v>20212</v>
      </c>
      <c r="AA1090" s="6">
        <f t="shared" ca="1" si="298"/>
        <v>2021</v>
      </c>
      <c r="AB1090" s="6">
        <f t="shared" ca="1" si="299"/>
        <v>2</v>
      </c>
      <c r="AC1090" s="68">
        <f ca="1">IFERROR(__xludf.DUMMYFUNCTION("""COMPUTED_VALUE"""),44235.9986111111)</f>
        <v>44235.998611111099</v>
      </c>
      <c r="AD1090" s="6">
        <f ca="1">IFERROR(__xludf.DUMMYFUNCTION("""COMPUTED_VALUE"""),1116.33)</f>
        <v>1116.33</v>
      </c>
      <c r="AH1090" s="6" t="str">
        <f t="shared" ca="1" si="300"/>
        <v>202012</v>
      </c>
      <c r="AI1090" s="6">
        <f t="shared" ca="1" si="301"/>
        <v>2020</v>
      </c>
      <c r="AJ1090" s="6">
        <f t="shared" ca="1" si="302"/>
        <v>12</v>
      </c>
      <c r="AK1090" s="68">
        <f ca="1">IFERROR(__xludf.DUMMYFUNCTION("""COMPUTED_VALUE"""),44183.9986111111)</f>
        <v>44183.998611111099</v>
      </c>
      <c r="AL1090" s="6">
        <f ca="1">IFERROR(__xludf.DUMMYFUNCTION("""COMPUTED_VALUE"""),23137.34)</f>
        <v>23137.34</v>
      </c>
      <c r="AP1090" s="6" t="str">
        <f t="shared" ca="1" si="303"/>
        <v>20225</v>
      </c>
      <c r="AQ1090" s="6">
        <f t="shared" ca="1" si="304"/>
        <v>2022</v>
      </c>
      <c r="AR1090" s="6">
        <f t="shared" ca="1" si="305"/>
        <v>5</v>
      </c>
      <c r="AS1090" s="68">
        <f ca="1">IFERROR(__xludf.DUMMYFUNCTION("""COMPUTED_VALUE"""),44686.9986111111)</f>
        <v>44686.998611111099</v>
      </c>
      <c r="AT1090" s="6">
        <f ca="1">IFERROR(__xludf.DUMMYFUNCTION("""COMPUTED_VALUE"""),1875.7)</f>
        <v>1875.7</v>
      </c>
    </row>
    <row r="1091" spans="2:46" x14ac:dyDescent="0.35">
      <c r="B1091" s="6" t="str">
        <f t="shared" ca="1" si="288"/>
        <v>20224</v>
      </c>
      <c r="C1091" s="6">
        <f t="shared" ca="1" si="289"/>
        <v>2022</v>
      </c>
      <c r="D1091" s="6">
        <f t="shared" ca="1" si="290"/>
        <v>4</v>
      </c>
      <c r="E1091" s="68">
        <f ca="1">IFERROR(__xludf.DUMMYFUNCTION("""COMPUTED_VALUE"""),44679.6666666666)</f>
        <v>44679.666666666599</v>
      </c>
      <c r="F1091" s="6">
        <f ca="1">IFERROR(__xludf.DUMMYFUNCTION("""COMPUTED_VALUE"""),4287.5)</f>
        <v>4287.5</v>
      </c>
      <c r="J1091" s="6" t="str">
        <f t="shared" ca="1" si="291"/>
        <v>20224</v>
      </c>
      <c r="K1091" s="6">
        <f t="shared" ca="1" si="292"/>
        <v>2022</v>
      </c>
      <c r="L1091" s="6">
        <f t="shared" ca="1" si="293"/>
        <v>4</v>
      </c>
      <c r="M1091" s="68">
        <f ca="1">IFERROR(__xludf.DUMMYFUNCTION("""COMPUTED_VALUE"""),44672.6666666666)</f>
        <v>44672.666666666599</v>
      </c>
      <c r="N1091" s="6">
        <f ca="1">IFERROR(__xludf.DUMMYFUNCTION("""COMPUTED_VALUE"""),13174.65)</f>
        <v>13174.65</v>
      </c>
      <c r="R1091" s="6" t="str">
        <f t="shared" ca="1" si="294"/>
        <v>20226</v>
      </c>
      <c r="S1091" s="6">
        <f t="shared" ca="1" si="295"/>
        <v>2022</v>
      </c>
      <c r="T1091" s="6">
        <f t="shared" ca="1" si="296"/>
        <v>6</v>
      </c>
      <c r="U1091" s="68">
        <f ca="1">IFERROR(__xludf.DUMMYFUNCTION("""COMPUTED_VALUE"""),44722.6458333333)</f>
        <v>44722.645833333299</v>
      </c>
      <c r="V1091" s="6">
        <f ca="1">IFERROR(__xludf.DUMMYFUNCTION("""COMPUTED_VALUE"""),2595.87)</f>
        <v>2595.87</v>
      </c>
      <c r="Z1091" s="6" t="str">
        <f t="shared" ca="1" si="297"/>
        <v>20212</v>
      </c>
      <c r="AA1091" s="6">
        <f t="shared" ca="1" si="298"/>
        <v>2021</v>
      </c>
      <c r="AB1091" s="6">
        <f t="shared" ca="1" si="299"/>
        <v>2</v>
      </c>
      <c r="AC1091" s="68">
        <f ca="1">IFERROR(__xludf.DUMMYFUNCTION("""COMPUTED_VALUE"""),44236.9986111111)</f>
        <v>44236.998611111099</v>
      </c>
      <c r="AD1091" s="6">
        <f ca="1">IFERROR(__xludf.DUMMYFUNCTION("""COMPUTED_VALUE"""),1110)</f>
        <v>1110</v>
      </c>
      <c r="AH1091" s="6" t="str">
        <f t="shared" ca="1" si="300"/>
        <v>202012</v>
      </c>
      <c r="AI1091" s="6">
        <f t="shared" ca="1" si="301"/>
        <v>2020</v>
      </c>
      <c r="AJ1091" s="6">
        <f t="shared" ca="1" si="302"/>
        <v>12</v>
      </c>
      <c r="AK1091" s="68">
        <f ca="1">IFERROR(__xludf.DUMMYFUNCTION("""COMPUTED_VALUE"""),44184.9986111111)</f>
        <v>44184.998611111099</v>
      </c>
      <c r="AL1091" s="6">
        <f ca="1">IFERROR(__xludf.DUMMYFUNCTION("""COMPUTED_VALUE"""),23841.97)</f>
        <v>23841.97</v>
      </c>
      <c r="AP1091" s="6" t="str">
        <f t="shared" ca="1" si="303"/>
        <v>20225</v>
      </c>
      <c r="AQ1091" s="6">
        <f t="shared" ca="1" si="304"/>
        <v>2022</v>
      </c>
      <c r="AR1091" s="6">
        <f t="shared" ca="1" si="305"/>
        <v>5</v>
      </c>
      <c r="AS1091" s="68">
        <f ca="1">IFERROR(__xludf.DUMMYFUNCTION("""COMPUTED_VALUE"""),44687.9986111111)</f>
        <v>44687.998611111099</v>
      </c>
      <c r="AT1091" s="6">
        <f ca="1">IFERROR(__xludf.DUMMYFUNCTION("""COMPUTED_VALUE"""),1882.8)</f>
        <v>1882.8</v>
      </c>
    </row>
    <row r="1092" spans="2:46" x14ac:dyDescent="0.35">
      <c r="B1092" s="6" t="str">
        <f t="shared" ca="1" si="288"/>
        <v>20224</v>
      </c>
      <c r="C1092" s="6">
        <f t="shared" ca="1" si="289"/>
        <v>2022</v>
      </c>
      <c r="D1092" s="6">
        <f t="shared" ca="1" si="290"/>
        <v>4</v>
      </c>
      <c r="E1092" s="68">
        <f ca="1">IFERROR(__xludf.DUMMYFUNCTION("""COMPUTED_VALUE"""),44680.6666666666)</f>
        <v>44680.666666666599</v>
      </c>
      <c r="F1092" s="6">
        <f ca="1">IFERROR(__xludf.DUMMYFUNCTION("""COMPUTED_VALUE"""),4131.93)</f>
        <v>4131.93</v>
      </c>
      <c r="J1092" s="6" t="str">
        <f t="shared" ca="1" si="291"/>
        <v>20224</v>
      </c>
      <c r="K1092" s="6">
        <f t="shared" ca="1" si="292"/>
        <v>2022</v>
      </c>
      <c r="L1092" s="6">
        <f t="shared" ca="1" si="293"/>
        <v>4</v>
      </c>
      <c r="M1092" s="68">
        <f ca="1">IFERROR(__xludf.DUMMYFUNCTION("""COMPUTED_VALUE"""),44673.6666666666)</f>
        <v>44673.666666666599</v>
      </c>
      <c r="N1092" s="6">
        <f ca="1">IFERROR(__xludf.DUMMYFUNCTION("""COMPUTED_VALUE"""),12839.29)</f>
        <v>12839.29</v>
      </c>
      <c r="R1092" s="6" t="str">
        <f t="shared" ca="1" si="294"/>
        <v>20226</v>
      </c>
      <c r="S1092" s="6">
        <f t="shared" ca="1" si="295"/>
        <v>2022</v>
      </c>
      <c r="T1092" s="6">
        <f t="shared" ca="1" si="296"/>
        <v>6</v>
      </c>
      <c r="U1092" s="68">
        <f ca="1">IFERROR(__xludf.DUMMYFUNCTION("""COMPUTED_VALUE"""),44725.6458333333)</f>
        <v>44725.645833333299</v>
      </c>
      <c r="V1092" s="6">
        <f ca="1">IFERROR(__xludf.DUMMYFUNCTION("""COMPUTED_VALUE"""),2504.51)</f>
        <v>2504.5100000000002</v>
      </c>
      <c r="Z1092" s="6" t="str">
        <f t="shared" ca="1" si="297"/>
        <v>20212</v>
      </c>
      <c r="AA1092" s="6">
        <f t="shared" ca="1" si="298"/>
        <v>2021</v>
      </c>
      <c r="AB1092" s="6">
        <f t="shared" ca="1" si="299"/>
        <v>2</v>
      </c>
      <c r="AC1092" s="68">
        <f ca="1">IFERROR(__xludf.DUMMYFUNCTION("""COMPUTED_VALUE"""),44237.9986111111)</f>
        <v>44237.998611111099</v>
      </c>
      <c r="AD1092" s="6">
        <f ca="1">IFERROR(__xludf.DUMMYFUNCTION("""COMPUTED_VALUE"""),1103.98)</f>
        <v>1103.98</v>
      </c>
      <c r="AH1092" s="6" t="str">
        <f t="shared" ca="1" si="300"/>
        <v>202012</v>
      </c>
      <c r="AI1092" s="6">
        <f t="shared" ca="1" si="301"/>
        <v>2020</v>
      </c>
      <c r="AJ1092" s="6">
        <f t="shared" ca="1" si="302"/>
        <v>12</v>
      </c>
      <c r="AK1092" s="68">
        <f ca="1">IFERROR(__xludf.DUMMYFUNCTION("""COMPUTED_VALUE"""),44185.9986111111)</f>
        <v>44185.998611111099</v>
      </c>
      <c r="AL1092" s="6">
        <f ca="1">IFERROR(__xludf.DUMMYFUNCTION("""COMPUTED_VALUE"""),23472.68)</f>
        <v>23472.68</v>
      </c>
      <c r="AP1092" s="6" t="str">
        <f t="shared" ca="1" si="303"/>
        <v>20225</v>
      </c>
      <c r="AQ1092" s="6">
        <f t="shared" ca="1" si="304"/>
        <v>2022</v>
      </c>
      <c r="AR1092" s="6">
        <f t="shared" ca="1" si="305"/>
        <v>5</v>
      </c>
      <c r="AS1092" s="68">
        <f ca="1">IFERROR(__xludf.DUMMYFUNCTION("""COMPUTED_VALUE"""),44690.9986111111)</f>
        <v>44690.998611111099</v>
      </c>
      <c r="AT1092" s="6">
        <f ca="1">IFERROR(__xludf.DUMMYFUNCTION("""COMPUTED_VALUE"""),1858.6)</f>
        <v>1858.6</v>
      </c>
    </row>
    <row r="1093" spans="2:46" x14ac:dyDescent="0.35">
      <c r="B1093" s="6" t="str">
        <f t="shared" ca="1" si="288"/>
        <v>20225</v>
      </c>
      <c r="C1093" s="6">
        <f t="shared" ca="1" si="289"/>
        <v>2022</v>
      </c>
      <c r="D1093" s="6">
        <f t="shared" ca="1" si="290"/>
        <v>5</v>
      </c>
      <c r="E1093" s="68">
        <f ca="1">IFERROR(__xludf.DUMMYFUNCTION("""COMPUTED_VALUE"""),44683.6666666666)</f>
        <v>44683.666666666599</v>
      </c>
      <c r="F1093" s="6">
        <f ca="1">IFERROR(__xludf.DUMMYFUNCTION("""COMPUTED_VALUE"""),4155.38)</f>
        <v>4155.38</v>
      </c>
      <c r="J1093" s="6" t="str">
        <f t="shared" ca="1" si="291"/>
        <v>20224</v>
      </c>
      <c r="K1093" s="6">
        <f t="shared" ca="1" si="292"/>
        <v>2022</v>
      </c>
      <c r="L1093" s="6">
        <f t="shared" ca="1" si="293"/>
        <v>4</v>
      </c>
      <c r="M1093" s="68">
        <f ca="1">IFERROR(__xludf.DUMMYFUNCTION("""COMPUTED_VALUE"""),44676.6666666666)</f>
        <v>44676.666666666599</v>
      </c>
      <c r="N1093" s="6">
        <f ca="1">IFERROR(__xludf.DUMMYFUNCTION("""COMPUTED_VALUE"""),13004.85)</f>
        <v>13004.85</v>
      </c>
      <c r="R1093" s="6" t="str">
        <f t="shared" ca="1" si="294"/>
        <v>20226</v>
      </c>
      <c r="S1093" s="6">
        <f t="shared" ca="1" si="295"/>
        <v>2022</v>
      </c>
      <c r="T1093" s="6">
        <f t="shared" ca="1" si="296"/>
        <v>6</v>
      </c>
      <c r="U1093" s="68">
        <f ca="1">IFERROR(__xludf.DUMMYFUNCTION("""COMPUTED_VALUE"""),44726.6458333333)</f>
        <v>44726.645833333299</v>
      </c>
      <c r="V1093" s="6">
        <f ca="1">IFERROR(__xludf.DUMMYFUNCTION("""COMPUTED_VALUE"""),2492.97)</f>
        <v>2492.9699999999998</v>
      </c>
      <c r="Z1093" s="6" t="str">
        <f t="shared" ca="1" si="297"/>
        <v>20212</v>
      </c>
      <c r="AA1093" s="6">
        <f t="shared" ca="1" si="298"/>
        <v>2021</v>
      </c>
      <c r="AB1093" s="6">
        <f t="shared" ca="1" si="299"/>
        <v>2</v>
      </c>
      <c r="AC1093" s="68">
        <f ca="1">IFERROR(__xludf.DUMMYFUNCTION("""COMPUTED_VALUE"""),44238.9986111111)</f>
        <v>44238.998611111099</v>
      </c>
      <c r="AD1093" s="6">
        <f ca="1">IFERROR(__xludf.DUMMYFUNCTION("""COMPUTED_VALUE"""),1102.22)</f>
        <v>1102.22</v>
      </c>
      <c r="AH1093" s="6" t="str">
        <f t="shared" ca="1" si="300"/>
        <v>202012</v>
      </c>
      <c r="AI1093" s="6">
        <f t="shared" ca="1" si="301"/>
        <v>2020</v>
      </c>
      <c r="AJ1093" s="6">
        <f t="shared" ca="1" si="302"/>
        <v>12</v>
      </c>
      <c r="AK1093" s="68">
        <f ca="1">IFERROR(__xludf.DUMMYFUNCTION("""COMPUTED_VALUE"""),44186.9986111111)</f>
        <v>44186.998611111099</v>
      </c>
      <c r="AL1093" s="6">
        <f ca="1">IFERROR(__xludf.DUMMYFUNCTION("""COMPUTED_VALUE"""),22709.7)</f>
        <v>22709.7</v>
      </c>
      <c r="AP1093" s="6" t="str">
        <f t="shared" ca="1" si="303"/>
        <v>20225</v>
      </c>
      <c r="AQ1093" s="6">
        <f t="shared" ca="1" si="304"/>
        <v>2022</v>
      </c>
      <c r="AR1093" s="6">
        <f t="shared" ca="1" si="305"/>
        <v>5</v>
      </c>
      <c r="AS1093" s="68">
        <f ca="1">IFERROR(__xludf.DUMMYFUNCTION("""COMPUTED_VALUE"""),44691.9986111111)</f>
        <v>44691.998611111099</v>
      </c>
      <c r="AT1093" s="6">
        <f ca="1">IFERROR(__xludf.DUMMYFUNCTION("""COMPUTED_VALUE"""),1841)</f>
        <v>1841</v>
      </c>
    </row>
    <row r="1094" spans="2:46" x14ac:dyDescent="0.35">
      <c r="B1094" s="6" t="str">
        <f t="shared" ca="1" si="288"/>
        <v>20225</v>
      </c>
      <c r="C1094" s="6">
        <f t="shared" ca="1" si="289"/>
        <v>2022</v>
      </c>
      <c r="D1094" s="6">
        <f t="shared" ca="1" si="290"/>
        <v>5</v>
      </c>
      <c r="E1094" s="68">
        <f ca="1">IFERROR(__xludf.DUMMYFUNCTION("""COMPUTED_VALUE"""),44684.6666666666)</f>
        <v>44684.666666666599</v>
      </c>
      <c r="F1094" s="6">
        <f ca="1">IFERROR(__xludf.DUMMYFUNCTION("""COMPUTED_VALUE"""),4175.48)</f>
        <v>4175.4799999999996</v>
      </c>
      <c r="J1094" s="6" t="str">
        <f t="shared" ca="1" si="291"/>
        <v>20224</v>
      </c>
      <c r="K1094" s="6">
        <f t="shared" ca="1" si="292"/>
        <v>2022</v>
      </c>
      <c r="L1094" s="6">
        <f t="shared" ca="1" si="293"/>
        <v>4</v>
      </c>
      <c r="M1094" s="68">
        <f ca="1">IFERROR(__xludf.DUMMYFUNCTION("""COMPUTED_VALUE"""),44677.6666666666)</f>
        <v>44677.666666666599</v>
      </c>
      <c r="N1094" s="6">
        <f ca="1">IFERROR(__xludf.DUMMYFUNCTION("""COMPUTED_VALUE"""),12490.74)</f>
        <v>12490.74</v>
      </c>
      <c r="R1094" s="6" t="str">
        <f t="shared" ca="1" si="294"/>
        <v>20226</v>
      </c>
      <c r="S1094" s="6">
        <f t="shared" ca="1" si="295"/>
        <v>2022</v>
      </c>
      <c r="T1094" s="6">
        <f t="shared" ca="1" si="296"/>
        <v>6</v>
      </c>
      <c r="U1094" s="68">
        <f ca="1">IFERROR(__xludf.DUMMYFUNCTION("""COMPUTED_VALUE"""),44727.6458333333)</f>
        <v>44727.645833333299</v>
      </c>
      <c r="V1094" s="6">
        <f ca="1">IFERROR(__xludf.DUMMYFUNCTION("""COMPUTED_VALUE"""),2447.38)</f>
        <v>2447.38</v>
      </c>
      <c r="Z1094" s="6" t="str">
        <f t="shared" ca="1" si="297"/>
        <v>20212</v>
      </c>
      <c r="AA1094" s="6">
        <f t="shared" ca="1" si="298"/>
        <v>2021</v>
      </c>
      <c r="AB1094" s="6">
        <f t="shared" ca="1" si="299"/>
        <v>2</v>
      </c>
      <c r="AC1094" s="68">
        <f ca="1">IFERROR(__xludf.DUMMYFUNCTION("""COMPUTED_VALUE"""),44239.9986111111)</f>
        <v>44239.998611111099</v>
      </c>
      <c r="AD1094" s="6">
        <f ca="1">IFERROR(__xludf.DUMMYFUNCTION("""COMPUTED_VALUE"""),1103.37)</f>
        <v>1103.3699999999999</v>
      </c>
      <c r="AH1094" s="6" t="str">
        <f t="shared" ca="1" si="300"/>
        <v>202012</v>
      </c>
      <c r="AI1094" s="6">
        <f t="shared" ca="1" si="301"/>
        <v>2020</v>
      </c>
      <c r="AJ1094" s="6">
        <f t="shared" ca="1" si="302"/>
        <v>12</v>
      </c>
      <c r="AK1094" s="68">
        <f ca="1">IFERROR(__xludf.DUMMYFUNCTION("""COMPUTED_VALUE"""),44187.9986111111)</f>
        <v>44187.998611111099</v>
      </c>
      <c r="AL1094" s="6">
        <f ca="1">IFERROR(__xludf.DUMMYFUNCTION("""COMPUTED_VALUE"""),23822.64)</f>
        <v>23822.639999999999</v>
      </c>
      <c r="AP1094" s="6" t="str">
        <f t="shared" ca="1" si="303"/>
        <v>20225</v>
      </c>
      <c r="AQ1094" s="6">
        <f t="shared" ca="1" si="304"/>
        <v>2022</v>
      </c>
      <c r="AR1094" s="6">
        <f t="shared" ca="1" si="305"/>
        <v>5</v>
      </c>
      <c r="AS1094" s="68">
        <f ca="1">IFERROR(__xludf.DUMMYFUNCTION("""COMPUTED_VALUE"""),44692.9986111111)</f>
        <v>44692.998611111099</v>
      </c>
      <c r="AT1094" s="6">
        <f ca="1">IFERROR(__xludf.DUMMYFUNCTION("""COMPUTED_VALUE"""),1853.7)</f>
        <v>1853.7</v>
      </c>
    </row>
    <row r="1095" spans="2:46" x14ac:dyDescent="0.35">
      <c r="B1095" s="6" t="str">
        <f t="shared" ref="B1095:B1158" ca="1" si="306">C1095&amp;D1095</f>
        <v>20225</v>
      </c>
      <c r="C1095" s="6">
        <f t="shared" ref="C1095:C1158" ca="1" si="307">YEAR(E1095)</f>
        <v>2022</v>
      </c>
      <c r="D1095" s="6">
        <f t="shared" ref="D1095:D1158" ca="1" si="308">MONTH(E1095)</f>
        <v>5</v>
      </c>
      <c r="E1095" s="68">
        <f ca="1">IFERROR(__xludf.DUMMYFUNCTION("""COMPUTED_VALUE"""),44685.6666666666)</f>
        <v>44685.666666666599</v>
      </c>
      <c r="F1095" s="6">
        <f ca="1">IFERROR(__xludf.DUMMYFUNCTION("""COMPUTED_VALUE"""),4300.17)</f>
        <v>4300.17</v>
      </c>
      <c r="J1095" s="6" t="str">
        <f t="shared" ref="J1095:J1158" ca="1" si="309">K1095&amp;L1095</f>
        <v>20224</v>
      </c>
      <c r="K1095" s="6">
        <f t="shared" ref="K1095:K1158" ca="1" si="310">YEAR(M1095)</f>
        <v>2022</v>
      </c>
      <c r="L1095" s="6">
        <f t="shared" ref="L1095:L1158" ca="1" si="311">MONTH(M1095)</f>
        <v>4</v>
      </c>
      <c r="M1095" s="68">
        <f ca="1">IFERROR(__xludf.DUMMYFUNCTION("""COMPUTED_VALUE"""),44678.6666666666)</f>
        <v>44678.666666666599</v>
      </c>
      <c r="N1095" s="6">
        <f ca="1">IFERROR(__xludf.DUMMYFUNCTION("""COMPUTED_VALUE"""),12488.93)</f>
        <v>12488.93</v>
      </c>
      <c r="R1095" s="6" t="str">
        <f t="shared" ref="R1095:R1158" ca="1" si="312">S1095&amp;T1095</f>
        <v>20226</v>
      </c>
      <c r="S1095" s="6">
        <f t="shared" ref="S1095:S1158" ca="1" si="313">YEAR(U1095)</f>
        <v>2022</v>
      </c>
      <c r="T1095" s="6">
        <f t="shared" ref="T1095:T1158" ca="1" si="314">MONTH(U1095)</f>
        <v>6</v>
      </c>
      <c r="U1095" s="68">
        <f ca="1">IFERROR(__xludf.DUMMYFUNCTION("""COMPUTED_VALUE"""),44728.6458333333)</f>
        <v>44728.645833333299</v>
      </c>
      <c r="V1095" s="6">
        <f ca="1">IFERROR(__xludf.DUMMYFUNCTION("""COMPUTED_VALUE"""),2451.41)</f>
        <v>2451.41</v>
      </c>
      <c r="Z1095" s="6" t="str">
        <f t="shared" ref="Z1095:Z1158" ca="1" si="315">AA1095&amp;AB1095</f>
        <v>20212</v>
      </c>
      <c r="AA1095" s="6">
        <f t="shared" ref="AA1095:AA1158" ca="1" si="316">YEAR(AC1095)</f>
        <v>2021</v>
      </c>
      <c r="AB1095" s="6">
        <f t="shared" ref="AB1095:AB1158" ca="1" si="317">MONTH(AC1095)</f>
        <v>2</v>
      </c>
      <c r="AC1095" s="68">
        <f ca="1">IFERROR(__xludf.DUMMYFUNCTION("""COMPUTED_VALUE"""),44240.9986111111)</f>
        <v>44240.998611111099</v>
      </c>
      <c r="AD1095" s="6">
        <f ca="1">IFERROR(__xludf.DUMMYFUNCTION("""COMPUTED_VALUE"""),1103.37)</f>
        <v>1103.3699999999999</v>
      </c>
      <c r="AH1095" s="6" t="str">
        <f t="shared" ref="AH1095:AH1158" ca="1" si="318">AI1095&amp;AJ1095</f>
        <v>202012</v>
      </c>
      <c r="AI1095" s="6">
        <f t="shared" ref="AI1095:AI1158" ca="1" si="319">YEAR(AK1095)</f>
        <v>2020</v>
      </c>
      <c r="AJ1095" s="6">
        <f t="shared" ref="AJ1095:AJ1158" ca="1" si="320">MONTH(AK1095)</f>
        <v>12</v>
      </c>
      <c r="AK1095" s="68">
        <f ca="1">IFERROR(__xludf.DUMMYFUNCTION("""COMPUTED_VALUE"""),44188.9986111111)</f>
        <v>44188.998611111099</v>
      </c>
      <c r="AL1095" s="6">
        <f ca="1">IFERROR(__xludf.DUMMYFUNCTION("""COMPUTED_VALUE"""),23234.12)</f>
        <v>23234.12</v>
      </c>
      <c r="AP1095" s="6" t="str">
        <f t="shared" ref="AP1095:AP1158" ca="1" si="321">AQ1095&amp;AR1095</f>
        <v>20225</v>
      </c>
      <c r="AQ1095" s="6">
        <f t="shared" ref="AQ1095:AQ1158" ca="1" si="322">YEAR(AS1095)</f>
        <v>2022</v>
      </c>
      <c r="AR1095" s="6">
        <f t="shared" ref="AR1095:AR1158" ca="1" si="323">MONTH(AS1095)</f>
        <v>5</v>
      </c>
      <c r="AS1095" s="68">
        <f ca="1">IFERROR(__xludf.DUMMYFUNCTION("""COMPUTED_VALUE"""),44693.9986111111)</f>
        <v>44693.998611111099</v>
      </c>
      <c r="AT1095" s="6">
        <f ca="1">IFERROR(__xludf.DUMMYFUNCTION("""COMPUTED_VALUE"""),1824.6)</f>
        <v>1824.6</v>
      </c>
    </row>
    <row r="1096" spans="2:46" x14ac:dyDescent="0.35">
      <c r="B1096" s="6" t="str">
        <f t="shared" ca="1" si="306"/>
        <v>20225</v>
      </c>
      <c r="C1096" s="6">
        <f t="shared" ca="1" si="307"/>
        <v>2022</v>
      </c>
      <c r="D1096" s="6">
        <f t="shared" ca="1" si="308"/>
        <v>5</v>
      </c>
      <c r="E1096" s="68">
        <f ca="1">IFERROR(__xludf.DUMMYFUNCTION("""COMPUTED_VALUE"""),44686.6666666666)</f>
        <v>44686.666666666599</v>
      </c>
      <c r="F1096" s="6">
        <f ca="1">IFERROR(__xludf.DUMMYFUNCTION("""COMPUTED_VALUE"""),4146.87)</f>
        <v>4146.87</v>
      </c>
      <c r="J1096" s="6" t="str">
        <f t="shared" ca="1" si="309"/>
        <v>20224</v>
      </c>
      <c r="K1096" s="6">
        <f t="shared" ca="1" si="310"/>
        <v>2022</v>
      </c>
      <c r="L1096" s="6">
        <f t="shared" ca="1" si="311"/>
        <v>4</v>
      </c>
      <c r="M1096" s="68">
        <f ca="1">IFERROR(__xludf.DUMMYFUNCTION("""COMPUTED_VALUE"""),44679.6666666666)</f>
        <v>44679.666666666599</v>
      </c>
      <c r="N1096" s="6">
        <f ca="1">IFERROR(__xludf.DUMMYFUNCTION("""COMPUTED_VALUE"""),12871.53)</f>
        <v>12871.53</v>
      </c>
      <c r="R1096" s="6" t="str">
        <f t="shared" ca="1" si="312"/>
        <v>20226</v>
      </c>
      <c r="S1096" s="6">
        <f t="shared" ca="1" si="313"/>
        <v>2022</v>
      </c>
      <c r="T1096" s="6">
        <f t="shared" ca="1" si="314"/>
        <v>6</v>
      </c>
      <c r="U1096" s="68">
        <f ca="1">IFERROR(__xludf.DUMMYFUNCTION("""COMPUTED_VALUE"""),44729.6458333333)</f>
        <v>44729.645833333299</v>
      </c>
      <c r="V1096" s="6">
        <f ca="1">IFERROR(__xludf.DUMMYFUNCTION("""COMPUTED_VALUE"""),2440.93)</f>
        <v>2440.9299999999998</v>
      </c>
      <c r="Z1096" s="6" t="str">
        <f t="shared" ca="1" si="315"/>
        <v>20212</v>
      </c>
      <c r="AA1096" s="6">
        <f t="shared" ca="1" si="316"/>
        <v>2021</v>
      </c>
      <c r="AB1096" s="6">
        <f t="shared" ca="1" si="317"/>
        <v>2</v>
      </c>
      <c r="AC1096" s="68">
        <f ca="1">IFERROR(__xludf.DUMMYFUNCTION("""COMPUTED_VALUE"""),44241.9986111111)</f>
        <v>44241.998611111099</v>
      </c>
      <c r="AD1096" s="6">
        <f ca="1">IFERROR(__xludf.DUMMYFUNCTION("""COMPUTED_VALUE"""),1103.37)</f>
        <v>1103.3699999999999</v>
      </c>
      <c r="AH1096" s="6" t="str">
        <f t="shared" ca="1" si="318"/>
        <v>202012</v>
      </c>
      <c r="AI1096" s="6">
        <f t="shared" ca="1" si="319"/>
        <v>2020</v>
      </c>
      <c r="AJ1096" s="6">
        <f t="shared" ca="1" si="320"/>
        <v>12</v>
      </c>
      <c r="AK1096" s="68">
        <f ca="1">IFERROR(__xludf.DUMMYFUNCTION("""COMPUTED_VALUE"""),44189.9986111111)</f>
        <v>44189.998611111099</v>
      </c>
      <c r="AL1096" s="6">
        <f ca="1">IFERROR(__xludf.DUMMYFUNCTION("""COMPUTED_VALUE"""),23719.2)</f>
        <v>23719.200000000001</v>
      </c>
      <c r="AP1096" s="6" t="str">
        <f t="shared" ca="1" si="321"/>
        <v>20225</v>
      </c>
      <c r="AQ1096" s="6">
        <f t="shared" ca="1" si="322"/>
        <v>2022</v>
      </c>
      <c r="AR1096" s="6">
        <f t="shared" ca="1" si="323"/>
        <v>5</v>
      </c>
      <c r="AS1096" s="68">
        <f ca="1">IFERROR(__xludf.DUMMYFUNCTION("""COMPUTED_VALUE"""),44694.9986111111)</f>
        <v>44694.998611111099</v>
      </c>
      <c r="AT1096" s="6">
        <f ca="1">IFERROR(__xludf.DUMMYFUNCTION("""COMPUTED_VALUE"""),1808.2)</f>
        <v>1808.2</v>
      </c>
    </row>
    <row r="1097" spans="2:46" x14ac:dyDescent="0.35">
      <c r="B1097" s="6" t="str">
        <f t="shared" ca="1" si="306"/>
        <v>20225</v>
      </c>
      <c r="C1097" s="6">
        <f t="shared" ca="1" si="307"/>
        <v>2022</v>
      </c>
      <c r="D1097" s="6">
        <f t="shared" ca="1" si="308"/>
        <v>5</v>
      </c>
      <c r="E1097" s="68">
        <f ca="1">IFERROR(__xludf.DUMMYFUNCTION("""COMPUTED_VALUE"""),44687.6666666666)</f>
        <v>44687.666666666599</v>
      </c>
      <c r="F1097" s="6">
        <f ca="1">IFERROR(__xludf.DUMMYFUNCTION("""COMPUTED_VALUE"""),4123.34)</f>
        <v>4123.34</v>
      </c>
      <c r="J1097" s="6" t="str">
        <f t="shared" ca="1" si="309"/>
        <v>20224</v>
      </c>
      <c r="K1097" s="6">
        <f t="shared" ca="1" si="310"/>
        <v>2022</v>
      </c>
      <c r="L1097" s="6">
        <f t="shared" ca="1" si="311"/>
        <v>4</v>
      </c>
      <c r="M1097" s="68">
        <f ca="1">IFERROR(__xludf.DUMMYFUNCTION("""COMPUTED_VALUE"""),44680.6666666666)</f>
        <v>44680.666666666599</v>
      </c>
      <c r="N1097" s="6">
        <f ca="1">IFERROR(__xludf.DUMMYFUNCTION("""COMPUTED_VALUE"""),12334.64)</f>
        <v>12334.64</v>
      </c>
      <c r="R1097" s="6" t="str">
        <f t="shared" ca="1" si="312"/>
        <v>20226</v>
      </c>
      <c r="S1097" s="6">
        <f t="shared" ca="1" si="313"/>
        <v>2022</v>
      </c>
      <c r="T1097" s="6">
        <f t="shared" ca="1" si="314"/>
        <v>6</v>
      </c>
      <c r="U1097" s="68">
        <f ca="1">IFERROR(__xludf.DUMMYFUNCTION("""COMPUTED_VALUE"""),44732.6458333333)</f>
        <v>44732.645833333299</v>
      </c>
      <c r="V1097" s="6">
        <f ca="1">IFERROR(__xludf.DUMMYFUNCTION("""COMPUTED_VALUE"""),2391.03)</f>
        <v>2391.0300000000002</v>
      </c>
      <c r="Z1097" s="6" t="str">
        <f t="shared" ca="1" si="315"/>
        <v>20212</v>
      </c>
      <c r="AA1097" s="6">
        <f t="shared" ca="1" si="316"/>
        <v>2021</v>
      </c>
      <c r="AB1097" s="6">
        <f t="shared" ca="1" si="317"/>
        <v>2</v>
      </c>
      <c r="AC1097" s="68">
        <f ca="1">IFERROR(__xludf.DUMMYFUNCTION("""COMPUTED_VALUE"""),44242.9986111111)</f>
        <v>44242.998611111099</v>
      </c>
      <c r="AD1097" s="6">
        <f ca="1">IFERROR(__xludf.DUMMYFUNCTION("""COMPUTED_VALUE"""),1102.24)</f>
        <v>1102.24</v>
      </c>
      <c r="AH1097" s="6" t="str">
        <f t="shared" ca="1" si="318"/>
        <v>202012</v>
      </c>
      <c r="AI1097" s="6">
        <f t="shared" ca="1" si="319"/>
        <v>2020</v>
      </c>
      <c r="AJ1097" s="6">
        <f t="shared" ca="1" si="320"/>
        <v>12</v>
      </c>
      <c r="AK1097" s="68">
        <f ca="1">IFERROR(__xludf.DUMMYFUNCTION("""COMPUTED_VALUE"""),44190.9986111111)</f>
        <v>44190.998611111099</v>
      </c>
      <c r="AL1097" s="6">
        <f ca="1">IFERROR(__xludf.DUMMYFUNCTION("""COMPUTED_VALUE"""),24703.38)</f>
        <v>24703.38</v>
      </c>
      <c r="AP1097" s="6" t="str">
        <f t="shared" ca="1" si="321"/>
        <v>20225</v>
      </c>
      <c r="AQ1097" s="6">
        <f t="shared" ca="1" si="322"/>
        <v>2022</v>
      </c>
      <c r="AR1097" s="6">
        <f t="shared" ca="1" si="323"/>
        <v>5</v>
      </c>
      <c r="AS1097" s="68">
        <f ca="1">IFERROR(__xludf.DUMMYFUNCTION("""COMPUTED_VALUE"""),44697.9986111111)</f>
        <v>44697.998611111099</v>
      </c>
      <c r="AT1097" s="6">
        <f ca="1">IFERROR(__xludf.DUMMYFUNCTION("""COMPUTED_VALUE"""),1814)</f>
        <v>1814</v>
      </c>
    </row>
    <row r="1098" spans="2:46" x14ac:dyDescent="0.35">
      <c r="B1098" s="6" t="str">
        <f t="shared" ca="1" si="306"/>
        <v>20225</v>
      </c>
      <c r="C1098" s="6">
        <f t="shared" ca="1" si="307"/>
        <v>2022</v>
      </c>
      <c r="D1098" s="6">
        <f t="shared" ca="1" si="308"/>
        <v>5</v>
      </c>
      <c r="E1098" s="68">
        <f ca="1">IFERROR(__xludf.DUMMYFUNCTION("""COMPUTED_VALUE"""),44690.6666666666)</f>
        <v>44690.666666666599</v>
      </c>
      <c r="F1098" s="6">
        <f ca="1">IFERROR(__xludf.DUMMYFUNCTION("""COMPUTED_VALUE"""),3991.24)</f>
        <v>3991.24</v>
      </c>
      <c r="J1098" s="6" t="str">
        <f t="shared" ca="1" si="309"/>
        <v>20225</v>
      </c>
      <c r="K1098" s="6">
        <f t="shared" ca="1" si="310"/>
        <v>2022</v>
      </c>
      <c r="L1098" s="6">
        <f t="shared" ca="1" si="311"/>
        <v>5</v>
      </c>
      <c r="M1098" s="68">
        <f ca="1">IFERROR(__xludf.DUMMYFUNCTION("""COMPUTED_VALUE"""),44683.6666666666)</f>
        <v>44683.666666666599</v>
      </c>
      <c r="N1098" s="6">
        <f ca="1">IFERROR(__xludf.DUMMYFUNCTION("""COMPUTED_VALUE"""),12536.02)</f>
        <v>12536.02</v>
      </c>
      <c r="R1098" s="6" t="str">
        <f t="shared" ca="1" si="312"/>
        <v>20226</v>
      </c>
      <c r="S1098" s="6">
        <f t="shared" ca="1" si="313"/>
        <v>2022</v>
      </c>
      <c r="T1098" s="6">
        <f t="shared" ca="1" si="314"/>
        <v>6</v>
      </c>
      <c r="U1098" s="68">
        <f ca="1">IFERROR(__xludf.DUMMYFUNCTION("""COMPUTED_VALUE"""),44733.6458333333)</f>
        <v>44733.645833333299</v>
      </c>
      <c r="V1098" s="6">
        <f ca="1">IFERROR(__xludf.DUMMYFUNCTION("""COMPUTED_VALUE"""),2408.93)</f>
        <v>2408.9299999999998</v>
      </c>
      <c r="Z1098" s="6" t="str">
        <f t="shared" ca="1" si="315"/>
        <v>20212</v>
      </c>
      <c r="AA1098" s="6">
        <f t="shared" ca="1" si="316"/>
        <v>2021</v>
      </c>
      <c r="AB1098" s="6">
        <f t="shared" ca="1" si="317"/>
        <v>2</v>
      </c>
      <c r="AC1098" s="68">
        <f ca="1">IFERROR(__xludf.DUMMYFUNCTION("""COMPUTED_VALUE"""),44243.9986111111)</f>
        <v>44243.998611111099</v>
      </c>
      <c r="AD1098" s="6">
        <f ca="1">IFERROR(__xludf.DUMMYFUNCTION("""COMPUTED_VALUE"""),1106.46)</f>
        <v>1106.46</v>
      </c>
      <c r="AH1098" s="6" t="str">
        <f t="shared" ca="1" si="318"/>
        <v>202012</v>
      </c>
      <c r="AI1098" s="6">
        <f t="shared" ca="1" si="319"/>
        <v>2020</v>
      </c>
      <c r="AJ1098" s="6">
        <f t="shared" ca="1" si="320"/>
        <v>12</v>
      </c>
      <c r="AK1098" s="68">
        <f ca="1">IFERROR(__xludf.DUMMYFUNCTION("""COMPUTED_VALUE"""),44191.9986111111)</f>
        <v>44191.998611111099</v>
      </c>
      <c r="AL1098" s="6">
        <f ca="1">IFERROR(__xludf.DUMMYFUNCTION("""COMPUTED_VALUE"""),26449.16)</f>
        <v>26449.16</v>
      </c>
      <c r="AP1098" s="6" t="str">
        <f t="shared" ca="1" si="321"/>
        <v>20225</v>
      </c>
      <c r="AQ1098" s="6">
        <f t="shared" ca="1" si="322"/>
        <v>2022</v>
      </c>
      <c r="AR1098" s="6">
        <f t="shared" ca="1" si="323"/>
        <v>5</v>
      </c>
      <c r="AS1098" s="68">
        <f ca="1">IFERROR(__xludf.DUMMYFUNCTION("""COMPUTED_VALUE"""),44698.9986111111)</f>
        <v>44698.998611111099</v>
      </c>
      <c r="AT1098" s="6">
        <f ca="1">IFERROR(__xludf.DUMMYFUNCTION("""COMPUTED_VALUE"""),1818.9)</f>
        <v>1818.9</v>
      </c>
    </row>
    <row r="1099" spans="2:46" x14ac:dyDescent="0.35">
      <c r="B1099" s="6" t="str">
        <f t="shared" ca="1" si="306"/>
        <v>20225</v>
      </c>
      <c r="C1099" s="6">
        <f t="shared" ca="1" si="307"/>
        <v>2022</v>
      </c>
      <c r="D1099" s="6">
        <f t="shared" ca="1" si="308"/>
        <v>5</v>
      </c>
      <c r="E1099" s="68">
        <f ca="1">IFERROR(__xludf.DUMMYFUNCTION("""COMPUTED_VALUE"""),44691.6666666666)</f>
        <v>44691.666666666599</v>
      </c>
      <c r="F1099" s="6">
        <f ca="1">IFERROR(__xludf.DUMMYFUNCTION("""COMPUTED_VALUE"""),4001.05)</f>
        <v>4001.05</v>
      </c>
      <c r="J1099" s="6" t="str">
        <f t="shared" ca="1" si="309"/>
        <v>20225</v>
      </c>
      <c r="K1099" s="6">
        <f t="shared" ca="1" si="310"/>
        <v>2022</v>
      </c>
      <c r="L1099" s="6">
        <f t="shared" ca="1" si="311"/>
        <v>5</v>
      </c>
      <c r="M1099" s="68">
        <f ca="1">IFERROR(__xludf.DUMMYFUNCTION("""COMPUTED_VALUE"""),44684.6666666666)</f>
        <v>44684.666666666599</v>
      </c>
      <c r="N1099" s="6">
        <f ca="1">IFERROR(__xludf.DUMMYFUNCTION("""COMPUTED_VALUE"""),12563.76)</f>
        <v>12563.76</v>
      </c>
      <c r="R1099" s="6" t="str">
        <f t="shared" ca="1" si="312"/>
        <v>20226</v>
      </c>
      <c r="S1099" s="6">
        <f t="shared" ca="1" si="313"/>
        <v>2022</v>
      </c>
      <c r="T1099" s="6">
        <f t="shared" ca="1" si="314"/>
        <v>6</v>
      </c>
      <c r="U1099" s="68">
        <f ca="1">IFERROR(__xludf.DUMMYFUNCTION("""COMPUTED_VALUE"""),44734.6458333333)</f>
        <v>44734.645833333299</v>
      </c>
      <c r="V1099" s="6">
        <f ca="1">IFERROR(__xludf.DUMMYFUNCTION("""COMPUTED_VALUE"""),2342.81)</f>
        <v>2342.81</v>
      </c>
      <c r="Z1099" s="6" t="str">
        <f t="shared" ca="1" si="315"/>
        <v>20212</v>
      </c>
      <c r="AA1099" s="6">
        <f t="shared" ca="1" si="316"/>
        <v>2021</v>
      </c>
      <c r="AB1099" s="6">
        <f t="shared" ca="1" si="317"/>
        <v>2</v>
      </c>
      <c r="AC1099" s="68">
        <f ca="1">IFERROR(__xludf.DUMMYFUNCTION("""COMPUTED_VALUE"""),44244.9986111111)</f>
        <v>44244.998611111099</v>
      </c>
      <c r="AD1099" s="6">
        <f ca="1">IFERROR(__xludf.DUMMYFUNCTION("""COMPUTED_VALUE"""),1104.55)</f>
        <v>1104.55</v>
      </c>
      <c r="AH1099" s="6" t="str">
        <f t="shared" ca="1" si="318"/>
        <v>202012</v>
      </c>
      <c r="AI1099" s="6">
        <f t="shared" ca="1" si="319"/>
        <v>2020</v>
      </c>
      <c r="AJ1099" s="6">
        <f t="shared" ca="1" si="320"/>
        <v>12</v>
      </c>
      <c r="AK1099" s="68">
        <f ca="1">IFERROR(__xludf.DUMMYFUNCTION("""COMPUTED_VALUE"""),44192.9986111111)</f>
        <v>44192.998611111099</v>
      </c>
      <c r="AL1099" s="6">
        <f ca="1">IFERROR(__xludf.DUMMYFUNCTION("""COMPUTED_VALUE"""),26239.31)</f>
        <v>26239.31</v>
      </c>
      <c r="AP1099" s="6" t="str">
        <f t="shared" ca="1" si="321"/>
        <v>20225</v>
      </c>
      <c r="AQ1099" s="6">
        <f t="shared" ca="1" si="322"/>
        <v>2022</v>
      </c>
      <c r="AR1099" s="6">
        <f t="shared" ca="1" si="323"/>
        <v>5</v>
      </c>
      <c r="AS1099" s="68">
        <f ca="1">IFERROR(__xludf.DUMMYFUNCTION("""COMPUTED_VALUE"""),44699.9986111111)</f>
        <v>44699.998611111099</v>
      </c>
      <c r="AT1099" s="6">
        <f ca="1">IFERROR(__xludf.DUMMYFUNCTION("""COMPUTED_VALUE"""),1822.4)</f>
        <v>1822.4</v>
      </c>
    </row>
    <row r="1100" spans="2:46" x14ac:dyDescent="0.35">
      <c r="B1100" s="6" t="str">
        <f t="shared" ca="1" si="306"/>
        <v>20225</v>
      </c>
      <c r="C1100" s="6">
        <f t="shared" ca="1" si="307"/>
        <v>2022</v>
      </c>
      <c r="D1100" s="6">
        <f t="shared" ca="1" si="308"/>
        <v>5</v>
      </c>
      <c r="E1100" s="68">
        <f ca="1">IFERROR(__xludf.DUMMYFUNCTION("""COMPUTED_VALUE"""),44692.6666666666)</f>
        <v>44692.666666666599</v>
      </c>
      <c r="F1100" s="6">
        <f ca="1">IFERROR(__xludf.DUMMYFUNCTION("""COMPUTED_VALUE"""),3935.18)</f>
        <v>3935.18</v>
      </c>
      <c r="J1100" s="6" t="str">
        <f t="shared" ca="1" si="309"/>
        <v>20225</v>
      </c>
      <c r="K1100" s="6">
        <f t="shared" ca="1" si="310"/>
        <v>2022</v>
      </c>
      <c r="L1100" s="6">
        <f t="shared" ca="1" si="311"/>
        <v>5</v>
      </c>
      <c r="M1100" s="68">
        <f ca="1">IFERROR(__xludf.DUMMYFUNCTION("""COMPUTED_VALUE"""),44685.6666666666)</f>
        <v>44685.666666666599</v>
      </c>
      <c r="N1100" s="6">
        <f ca="1">IFERROR(__xludf.DUMMYFUNCTION("""COMPUTED_VALUE"""),12964.86)</f>
        <v>12964.86</v>
      </c>
      <c r="R1100" s="6" t="str">
        <f t="shared" ca="1" si="312"/>
        <v>20226</v>
      </c>
      <c r="S1100" s="6">
        <f t="shared" ca="1" si="313"/>
        <v>2022</v>
      </c>
      <c r="T1100" s="6">
        <f t="shared" ca="1" si="314"/>
        <v>6</v>
      </c>
      <c r="U1100" s="68">
        <f ca="1">IFERROR(__xludf.DUMMYFUNCTION("""COMPUTED_VALUE"""),44735.6458333333)</f>
        <v>44735.645833333299</v>
      </c>
      <c r="V1100" s="6">
        <f ca="1">IFERROR(__xludf.DUMMYFUNCTION("""COMPUTED_VALUE"""),2314.32)</f>
        <v>2314.3200000000002</v>
      </c>
      <c r="Z1100" s="6" t="str">
        <f t="shared" ca="1" si="315"/>
        <v>20212</v>
      </c>
      <c r="AA1100" s="6">
        <f t="shared" ca="1" si="316"/>
        <v>2021</v>
      </c>
      <c r="AB1100" s="6">
        <f t="shared" ca="1" si="317"/>
        <v>2</v>
      </c>
      <c r="AC1100" s="68">
        <f ca="1">IFERROR(__xludf.DUMMYFUNCTION("""COMPUTED_VALUE"""),44245.9986111111)</f>
        <v>44245.998611111099</v>
      </c>
      <c r="AD1100" s="6">
        <f ca="1">IFERROR(__xludf.DUMMYFUNCTION("""COMPUTED_VALUE"""),1106.22)</f>
        <v>1106.22</v>
      </c>
      <c r="AH1100" s="6" t="str">
        <f t="shared" ca="1" si="318"/>
        <v>202012</v>
      </c>
      <c r="AI1100" s="6">
        <f t="shared" ca="1" si="319"/>
        <v>2020</v>
      </c>
      <c r="AJ1100" s="6">
        <f t="shared" ca="1" si="320"/>
        <v>12</v>
      </c>
      <c r="AK1100" s="68">
        <f ca="1">IFERROR(__xludf.DUMMYFUNCTION("""COMPUTED_VALUE"""),44193.9986111111)</f>
        <v>44193.998611111099</v>
      </c>
      <c r="AL1100" s="6">
        <f ca="1">IFERROR(__xludf.DUMMYFUNCTION("""COMPUTED_VALUE"""),27035.83)</f>
        <v>27035.83</v>
      </c>
      <c r="AP1100" s="6" t="str">
        <f t="shared" ca="1" si="321"/>
        <v>20225</v>
      </c>
      <c r="AQ1100" s="6">
        <f t="shared" ca="1" si="322"/>
        <v>2022</v>
      </c>
      <c r="AR1100" s="6">
        <f t="shared" ca="1" si="323"/>
        <v>5</v>
      </c>
      <c r="AS1100" s="68">
        <f ca="1">IFERROR(__xludf.DUMMYFUNCTION("""COMPUTED_VALUE"""),44700.9986111111)</f>
        <v>44700.998611111099</v>
      </c>
      <c r="AT1100" s="6">
        <f ca="1">IFERROR(__xludf.DUMMYFUNCTION("""COMPUTED_VALUE"""),1847.8)</f>
        <v>1847.8</v>
      </c>
    </row>
    <row r="1101" spans="2:46" x14ac:dyDescent="0.35">
      <c r="B1101" s="6" t="str">
        <f t="shared" ca="1" si="306"/>
        <v>20225</v>
      </c>
      <c r="C1101" s="6">
        <f t="shared" ca="1" si="307"/>
        <v>2022</v>
      </c>
      <c r="D1101" s="6">
        <f t="shared" ca="1" si="308"/>
        <v>5</v>
      </c>
      <c r="E1101" s="68">
        <f ca="1">IFERROR(__xludf.DUMMYFUNCTION("""COMPUTED_VALUE"""),44693.6666666666)</f>
        <v>44693.666666666599</v>
      </c>
      <c r="F1101" s="6">
        <f ca="1">IFERROR(__xludf.DUMMYFUNCTION("""COMPUTED_VALUE"""),3930.08)</f>
        <v>3930.08</v>
      </c>
      <c r="J1101" s="6" t="str">
        <f t="shared" ca="1" si="309"/>
        <v>20225</v>
      </c>
      <c r="K1101" s="6">
        <f t="shared" ca="1" si="310"/>
        <v>2022</v>
      </c>
      <c r="L1101" s="6">
        <f t="shared" ca="1" si="311"/>
        <v>5</v>
      </c>
      <c r="M1101" s="68">
        <f ca="1">IFERROR(__xludf.DUMMYFUNCTION("""COMPUTED_VALUE"""),44686.6666666666)</f>
        <v>44686.666666666599</v>
      </c>
      <c r="N1101" s="6">
        <f ca="1">IFERROR(__xludf.DUMMYFUNCTION("""COMPUTED_VALUE"""),12317.69)</f>
        <v>12317.69</v>
      </c>
      <c r="R1101" s="6" t="str">
        <f t="shared" ca="1" si="312"/>
        <v>20226</v>
      </c>
      <c r="S1101" s="6">
        <f t="shared" ca="1" si="313"/>
        <v>2022</v>
      </c>
      <c r="T1101" s="6">
        <f t="shared" ca="1" si="314"/>
        <v>6</v>
      </c>
      <c r="U1101" s="68">
        <f ca="1">IFERROR(__xludf.DUMMYFUNCTION("""COMPUTED_VALUE"""),44736.6458333333)</f>
        <v>44736.645833333299</v>
      </c>
      <c r="V1101" s="6">
        <f ca="1">IFERROR(__xludf.DUMMYFUNCTION("""COMPUTED_VALUE"""),2366.6)</f>
        <v>2366.6</v>
      </c>
      <c r="Z1101" s="6" t="str">
        <f t="shared" ca="1" si="315"/>
        <v>20212</v>
      </c>
      <c r="AA1101" s="6">
        <f t="shared" ca="1" si="316"/>
        <v>2021</v>
      </c>
      <c r="AB1101" s="6">
        <f t="shared" ca="1" si="317"/>
        <v>2</v>
      </c>
      <c r="AC1101" s="68">
        <f ca="1">IFERROR(__xludf.DUMMYFUNCTION("""COMPUTED_VALUE"""),44246.9986111111)</f>
        <v>44246.998611111099</v>
      </c>
      <c r="AD1101" s="6">
        <f ca="1">IFERROR(__xludf.DUMMYFUNCTION("""COMPUTED_VALUE"""),1104.54)</f>
        <v>1104.54</v>
      </c>
      <c r="AH1101" s="6" t="str">
        <f t="shared" ca="1" si="318"/>
        <v>202012</v>
      </c>
      <c r="AI1101" s="6">
        <f t="shared" ca="1" si="319"/>
        <v>2020</v>
      </c>
      <c r="AJ1101" s="6">
        <f t="shared" ca="1" si="320"/>
        <v>12</v>
      </c>
      <c r="AK1101" s="68">
        <f ca="1">IFERROR(__xludf.DUMMYFUNCTION("""COMPUTED_VALUE"""),44194.9986111111)</f>
        <v>44194.998611111099</v>
      </c>
      <c r="AL1101" s="6">
        <f ca="1">IFERROR(__xludf.DUMMYFUNCTION("""COMPUTED_VALUE"""),27360.16)</f>
        <v>27360.16</v>
      </c>
      <c r="AP1101" s="6" t="str">
        <f t="shared" ca="1" si="321"/>
        <v>20225</v>
      </c>
      <c r="AQ1101" s="6">
        <f t="shared" ca="1" si="322"/>
        <v>2022</v>
      </c>
      <c r="AR1101" s="6">
        <f t="shared" ca="1" si="323"/>
        <v>5</v>
      </c>
      <c r="AS1101" s="68">
        <f ca="1">IFERROR(__xludf.DUMMYFUNCTION("""COMPUTED_VALUE"""),44701.9986111111)</f>
        <v>44701.998611111099</v>
      </c>
      <c r="AT1101" s="6">
        <f ca="1">IFERROR(__xludf.DUMMYFUNCTION("""COMPUTED_VALUE"""),1848.4)</f>
        <v>1848.4</v>
      </c>
    </row>
    <row r="1102" spans="2:46" x14ac:dyDescent="0.35">
      <c r="B1102" s="6" t="str">
        <f t="shared" ca="1" si="306"/>
        <v>20225</v>
      </c>
      <c r="C1102" s="6">
        <f t="shared" ca="1" si="307"/>
        <v>2022</v>
      </c>
      <c r="D1102" s="6">
        <f t="shared" ca="1" si="308"/>
        <v>5</v>
      </c>
      <c r="E1102" s="68">
        <f ca="1">IFERROR(__xludf.DUMMYFUNCTION("""COMPUTED_VALUE"""),44694.6666666666)</f>
        <v>44694.666666666599</v>
      </c>
      <c r="F1102" s="6">
        <f ca="1">IFERROR(__xludf.DUMMYFUNCTION("""COMPUTED_VALUE"""),4023.89)</f>
        <v>4023.89</v>
      </c>
      <c r="J1102" s="6" t="str">
        <f t="shared" ca="1" si="309"/>
        <v>20225</v>
      </c>
      <c r="K1102" s="6">
        <f t="shared" ca="1" si="310"/>
        <v>2022</v>
      </c>
      <c r="L1102" s="6">
        <f t="shared" ca="1" si="311"/>
        <v>5</v>
      </c>
      <c r="M1102" s="68">
        <f ca="1">IFERROR(__xludf.DUMMYFUNCTION("""COMPUTED_VALUE"""),44687.6666666666)</f>
        <v>44687.666666666599</v>
      </c>
      <c r="N1102" s="6">
        <f ca="1">IFERROR(__xludf.DUMMYFUNCTION("""COMPUTED_VALUE"""),12144.66)</f>
        <v>12144.66</v>
      </c>
      <c r="R1102" s="6" t="str">
        <f t="shared" ca="1" si="312"/>
        <v>20226</v>
      </c>
      <c r="S1102" s="6">
        <f t="shared" ca="1" si="313"/>
        <v>2022</v>
      </c>
      <c r="T1102" s="6">
        <f t="shared" ca="1" si="314"/>
        <v>6</v>
      </c>
      <c r="U1102" s="68">
        <f ca="1">IFERROR(__xludf.DUMMYFUNCTION("""COMPUTED_VALUE"""),44739.6458333333)</f>
        <v>44739.645833333299</v>
      </c>
      <c r="V1102" s="6">
        <f ca="1">IFERROR(__xludf.DUMMYFUNCTION("""COMPUTED_VALUE"""),2401.92)</f>
        <v>2401.92</v>
      </c>
      <c r="Z1102" s="6" t="str">
        <f t="shared" ca="1" si="315"/>
        <v>20212</v>
      </c>
      <c r="AA1102" s="6">
        <f t="shared" ca="1" si="316"/>
        <v>2021</v>
      </c>
      <c r="AB1102" s="6">
        <f t="shared" ca="1" si="317"/>
        <v>2</v>
      </c>
      <c r="AC1102" s="68">
        <f ca="1">IFERROR(__xludf.DUMMYFUNCTION("""COMPUTED_VALUE"""),44247.9986111111)</f>
        <v>44247.998611111099</v>
      </c>
      <c r="AD1102" s="6">
        <f ca="1">IFERROR(__xludf.DUMMYFUNCTION("""COMPUTED_VALUE"""),1103)</f>
        <v>1103</v>
      </c>
      <c r="AH1102" s="6" t="str">
        <f t="shared" ca="1" si="318"/>
        <v>202012</v>
      </c>
      <c r="AI1102" s="6">
        <f t="shared" ca="1" si="319"/>
        <v>2020</v>
      </c>
      <c r="AJ1102" s="6">
        <f t="shared" ca="1" si="320"/>
        <v>12</v>
      </c>
      <c r="AK1102" s="68">
        <f ca="1">IFERROR(__xludf.DUMMYFUNCTION("""COMPUTED_VALUE"""),44195.9986111111)</f>
        <v>44195.998611111099</v>
      </c>
      <c r="AL1102" s="6">
        <f ca="1">IFERROR(__xludf.DUMMYFUNCTION("""COMPUTED_VALUE"""),28880.12)</f>
        <v>28880.12</v>
      </c>
      <c r="AP1102" s="6" t="str">
        <f t="shared" ca="1" si="321"/>
        <v>20225</v>
      </c>
      <c r="AQ1102" s="6">
        <f t="shared" ca="1" si="322"/>
        <v>2022</v>
      </c>
      <c r="AR1102" s="6">
        <f t="shared" ca="1" si="323"/>
        <v>5</v>
      </c>
      <c r="AS1102" s="68">
        <f ca="1">IFERROR(__xludf.DUMMYFUNCTION("""COMPUTED_VALUE"""),44704.9986111111)</f>
        <v>44704.998611111099</v>
      </c>
      <c r="AT1102" s="6">
        <f ca="1">IFERROR(__xludf.DUMMYFUNCTION("""COMPUTED_VALUE"""),1853.9)</f>
        <v>1853.9</v>
      </c>
    </row>
    <row r="1103" spans="2:46" x14ac:dyDescent="0.35">
      <c r="B1103" s="6" t="str">
        <f t="shared" ca="1" si="306"/>
        <v>20225</v>
      </c>
      <c r="C1103" s="6">
        <f t="shared" ca="1" si="307"/>
        <v>2022</v>
      </c>
      <c r="D1103" s="6">
        <f t="shared" ca="1" si="308"/>
        <v>5</v>
      </c>
      <c r="E1103" s="68">
        <f ca="1">IFERROR(__xludf.DUMMYFUNCTION("""COMPUTED_VALUE"""),44697.6666666666)</f>
        <v>44697.666666666599</v>
      </c>
      <c r="F1103" s="6">
        <f ca="1">IFERROR(__xludf.DUMMYFUNCTION("""COMPUTED_VALUE"""),4008.01)</f>
        <v>4008.01</v>
      </c>
      <c r="J1103" s="6" t="str">
        <f t="shared" ca="1" si="309"/>
        <v>20225</v>
      </c>
      <c r="K1103" s="6">
        <f t="shared" ca="1" si="310"/>
        <v>2022</v>
      </c>
      <c r="L1103" s="6">
        <f t="shared" ca="1" si="311"/>
        <v>5</v>
      </c>
      <c r="M1103" s="68">
        <f ca="1">IFERROR(__xludf.DUMMYFUNCTION("""COMPUTED_VALUE"""),44690.6666666666)</f>
        <v>44690.666666666599</v>
      </c>
      <c r="N1103" s="6">
        <f ca="1">IFERROR(__xludf.DUMMYFUNCTION("""COMPUTED_VALUE"""),11623.25)</f>
        <v>11623.25</v>
      </c>
      <c r="R1103" s="6" t="str">
        <f t="shared" ca="1" si="312"/>
        <v>20226</v>
      </c>
      <c r="S1103" s="6">
        <f t="shared" ca="1" si="313"/>
        <v>2022</v>
      </c>
      <c r="T1103" s="6">
        <f t="shared" ca="1" si="314"/>
        <v>6</v>
      </c>
      <c r="U1103" s="68">
        <f ca="1">IFERROR(__xludf.DUMMYFUNCTION("""COMPUTED_VALUE"""),44740.6458333333)</f>
        <v>44740.645833333299</v>
      </c>
      <c r="V1103" s="6">
        <f ca="1">IFERROR(__xludf.DUMMYFUNCTION("""COMPUTED_VALUE"""),2422.09)</f>
        <v>2422.09</v>
      </c>
      <c r="Z1103" s="6" t="str">
        <f t="shared" ca="1" si="315"/>
        <v>20212</v>
      </c>
      <c r="AA1103" s="6">
        <f t="shared" ca="1" si="316"/>
        <v>2021</v>
      </c>
      <c r="AB1103" s="6">
        <f t="shared" ca="1" si="317"/>
        <v>2</v>
      </c>
      <c r="AC1103" s="68">
        <f ca="1">IFERROR(__xludf.DUMMYFUNCTION("""COMPUTED_VALUE"""),44248.9986111111)</f>
        <v>44248.998611111099</v>
      </c>
      <c r="AD1103" s="6">
        <f ca="1">IFERROR(__xludf.DUMMYFUNCTION("""COMPUTED_VALUE"""),1103.94)</f>
        <v>1103.94</v>
      </c>
      <c r="AH1103" s="6" t="str">
        <f t="shared" ca="1" si="318"/>
        <v>202012</v>
      </c>
      <c r="AI1103" s="6">
        <f t="shared" ca="1" si="319"/>
        <v>2020</v>
      </c>
      <c r="AJ1103" s="6">
        <f t="shared" ca="1" si="320"/>
        <v>12</v>
      </c>
      <c r="AK1103" s="68">
        <f ca="1">IFERROR(__xludf.DUMMYFUNCTION("""COMPUTED_VALUE"""),44196.9986111111)</f>
        <v>44196.998611111099</v>
      </c>
      <c r="AL1103" s="6">
        <f ca="1">IFERROR(__xludf.DUMMYFUNCTION("""COMPUTED_VALUE"""),28943.58)</f>
        <v>28943.58</v>
      </c>
      <c r="AP1103" s="6" t="str">
        <f t="shared" ca="1" si="321"/>
        <v>20225</v>
      </c>
      <c r="AQ1103" s="6">
        <f t="shared" ca="1" si="322"/>
        <v>2022</v>
      </c>
      <c r="AR1103" s="6">
        <f t="shared" ca="1" si="323"/>
        <v>5</v>
      </c>
      <c r="AS1103" s="68">
        <f ca="1">IFERROR(__xludf.DUMMYFUNCTION("""COMPUTED_VALUE"""),44705.9986111111)</f>
        <v>44705.998611111099</v>
      </c>
      <c r="AT1103" s="6">
        <f ca="1">IFERROR(__xludf.DUMMYFUNCTION("""COMPUTED_VALUE"""),1871.4)</f>
        <v>1871.4</v>
      </c>
    </row>
    <row r="1104" spans="2:46" x14ac:dyDescent="0.35">
      <c r="B1104" s="6" t="str">
        <f t="shared" ca="1" si="306"/>
        <v>20225</v>
      </c>
      <c r="C1104" s="6">
        <f t="shared" ca="1" si="307"/>
        <v>2022</v>
      </c>
      <c r="D1104" s="6">
        <f t="shared" ca="1" si="308"/>
        <v>5</v>
      </c>
      <c r="E1104" s="68">
        <f ca="1">IFERROR(__xludf.DUMMYFUNCTION("""COMPUTED_VALUE"""),44698.6666666666)</f>
        <v>44698.666666666599</v>
      </c>
      <c r="F1104" s="6">
        <f ca="1">IFERROR(__xludf.DUMMYFUNCTION("""COMPUTED_VALUE"""),4088.85)</f>
        <v>4088.85</v>
      </c>
      <c r="J1104" s="6" t="str">
        <f t="shared" ca="1" si="309"/>
        <v>20225</v>
      </c>
      <c r="K1104" s="6">
        <f t="shared" ca="1" si="310"/>
        <v>2022</v>
      </c>
      <c r="L1104" s="6">
        <f t="shared" ca="1" si="311"/>
        <v>5</v>
      </c>
      <c r="M1104" s="68">
        <f ca="1">IFERROR(__xludf.DUMMYFUNCTION("""COMPUTED_VALUE"""),44691.6666666666)</f>
        <v>44691.666666666599</v>
      </c>
      <c r="N1104" s="6">
        <f ca="1">IFERROR(__xludf.DUMMYFUNCTION("""COMPUTED_VALUE"""),11737.67)</f>
        <v>11737.67</v>
      </c>
      <c r="R1104" s="6" t="str">
        <f t="shared" ca="1" si="312"/>
        <v>20226</v>
      </c>
      <c r="S1104" s="6">
        <f t="shared" ca="1" si="313"/>
        <v>2022</v>
      </c>
      <c r="T1104" s="6">
        <f t="shared" ca="1" si="314"/>
        <v>6</v>
      </c>
      <c r="U1104" s="68">
        <f ca="1">IFERROR(__xludf.DUMMYFUNCTION("""COMPUTED_VALUE"""),44741.6458333333)</f>
        <v>44741.645833333299</v>
      </c>
      <c r="V1104" s="6">
        <f ca="1">IFERROR(__xludf.DUMMYFUNCTION("""COMPUTED_VALUE"""),2377.99)</f>
        <v>2377.9899999999998</v>
      </c>
      <c r="Z1104" s="6" t="str">
        <f t="shared" ca="1" si="315"/>
        <v>20212</v>
      </c>
      <c r="AA1104" s="6">
        <f t="shared" ca="1" si="316"/>
        <v>2021</v>
      </c>
      <c r="AB1104" s="6">
        <f t="shared" ca="1" si="317"/>
        <v>2</v>
      </c>
      <c r="AC1104" s="68">
        <f ca="1">IFERROR(__xludf.DUMMYFUNCTION("""COMPUTED_VALUE"""),44249.9986111111)</f>
        <v>44249.998611111099</v>
      </c>
      <c r="AD1104" s="6">
        <f ca="1">IFERROR(__xludf.DUMMYFUNCTION("""COMPUTED_VALUE"""),1110.67)</f>
        <v>1110.67</v>
      </c>
      <c r="AH1104" s="6" t="str">
        <f t="shared" ca="1" si="318"/>
        <v>20211</v>
      </c>
      <c r="AI1104" s="6">
        <f t="shared" ca="1" si="319"/>
        <v>2021</v>
      </c>
      <c r="AJ1104" s="6">
        <f t="shared" ca="1" si="320"/>
        <v>1</v>
      </c>
      <c r="AK1104" s="68">
        <f ca="1">IFERROR(__xludf.DUMMYFUNCTION("""COMPUTED_VALUE"""),44197.9986111111)</f>
        <v>44197.998611111099</v>
      </c>
      <c r="AL1104" s="6">
        <f ca="1">IFERROR(__xludf.DUMMYFUNCTION("""COMPUTED_VALUE"""),29394.66)</f>
        <v>29394.66</v>
      </c>
      <c r="AP1104" s="6" t="str">
        <f t="shared" ca="1" si="321"/>
        <v>20225</v>
      </c>
      <c r="AQ1104" s="6">
        <f t="shared" ca="1" si="322"/>
        <v>2022</v>
      </c>
      <c r="AR1104" s="6">
        <f t="shared" ca="1" si="323"/>
        <v>5</v>
      </c>
      <c r="AS1104" s="68">
        <f ca="1">IFERROR(__xludf.DUMMYFUNCTION("""COMPUTED_VALUE"""),44706.9986111111)</f>
        <v>44706.998611111099</v>
      </c>
      <c r="AT1104" s="6">
        <f ca="1">IFERROR(__xludf.DUMMYFUNCTION("""COMPUTED_VALUE"""),1852.5)</f>
        <v>1852.5</v>
      </c>
    </row>
    <row r="1105" spans="2:46" x14ac:dyDescent="0.35">
      <c r="B1105" s="6" t="str">
        <f t="shared" ca="1" si="306"/>
        <v>20225</v>
      </c>
      <c r="C1105" s="6">
        <f t="shared" ca="1" si="307"/>
        <v>2022</v>
      </c>
      <c r="D1105" s="6">
        <f t="shared" ca="1" si="308"/>
        <v>5</v>
      </c>
      <c r="E1105" s="68">
        <f ca="1">IFERROR(__xludf.DUMMYFUNCTION("""COMPUTED_VALUE"""),44699.6666666666)</f>
        <v>44699.666666666599</v>
      </c>
      <c r="F1105" s="6">
        <f ca="1">IFERROR(__xludf.DUMMYFUNCTION("""COMPUTED_VALUE"""),3923.68)</f>
        <v>3923.68</v>
      </c>
      <c r="J1105" s="6" t="str">
        <f t="shared" ca="1" si="309"/>
        <v>20225</v>
      </c>
      <c r="K1105" s="6">
        <f t="shared" ca="1" si="310"/>
        <v>2022</v>
      </c>
      <c r="L1105" s="6">
        <f t="shared" ca="1" si="311"/>
        <v>5</v>
      </c>
      <c r="M1105" s="68">
        <f ca="1">IFERROR(__xludf.DUMMYFUNCTION("""COMPUTED_VALUE"""),44692.6666666666)</f>
        <v>44692.666666666599</v>
      </c>
      <c r="N1105" s="6">
        <f ca="1">IFERROR(__xludf.DUMMYFUNCTION("""COMPUTED_VALUE"""),11364.24)</f>
        <v>11364.24</v>
      </c>
      <c r="R1105" s="6" t="str">
        <f t="shared" ca="1" si="312"/>
        <v>20226</v>
      </c>
      <c r="S1105" s="6">
        <f t="shared" ca="1" si="313"/>
        <v>2022</v>
      </c>
      <c r="T1105" s="6">
        <f t="shared" ca="1" si="314"/>
        <v>6</v>
      </c>
      <c r="U1105" s="68">
        <f ca="1">IFERROR(__xludf.DUMMYFUNCTION("""COMPUTED_VALUE"""),44742.6458333333)</f>
        <v>44742.645833333299</v>
      </c>
      <c r="V1105" s="6">
        <f ca="1">IFERROR(__xludf.DUMMYFUNCTION("""COMPUTED_VALUE"""),2332.64)</f>
        <v>2332.64</v>
      </c>
      <c r="Z1105" s="6" t="str">
        <f t="shared" ca="1" si="315"/>
        <v>20212</v>
      </c>
      <c r="AA1105" s="6">
        <f t="shared" ca="1" si="316"/>
        <v>2021</v>
      </c>
      <c r="AB1105" s="6">
        <f t="shared" ca="1" si="317"/>
        <v>2</v>
      </c>
      <c r="AC1105" s="68">
        <f ca="1">IFERROR(__xludf.DUMMYFUNCTION("""COMPUTED_VALUE"""),44250.9986111111)</f>
        <v>44250.998611111099</v>
      </c>
      <c r="AD1105" s="6">
        <f ca="1">IFERROR(__xludf.DUMMYFUNCTION("""COMPUTED_VALUE"""),1109.31)</f>
        <v>1109.31</v>
      </c>
      <c r="AH1105" s="6" t="str">
        <f t="shared" ca="1" si="318"/>
        <v>20211</v>
      </c>
      <c r="AI1105" s="6">
        <f t="shared" ca="1" si="319"/>
        <v>2021</v>
      </c>
      <c r="AJ1105" s="6">
        <f t="shared" ca="1" si="320"/>
        <v>1</v>
      </c>
      <c r="AK1105" s="68">
        <f ca="1">IFERROR(__xludf.DUMMYFUNCTION("""COMPUTED_VALUE"""),44198.9986111111)</f>
        <v>44198.998611111099</v>
      </c>
      <c r="AL1105" s="6">
        <f ca="1">IFERROR(__xludf.DUMMYFUNCTION("""COMPUTED_VALUE"""),32183.46)</f>
        <v>32183.46</v>
      </c>
      <c r="AP1105" s="6" t="str">
        <f t="shared" ca="1" si="321"/>
        <v>20225</v>
      </c>
      <c r="AQ1105" s="6">
        <f t="shared" ca="1" si="322"/>
        <v>2022</v>
      </c>
      <c r="AR1105" s="6">
        <f t="shared" ca="1" si="323"/>
        <v>5</v>
      </c>
      <c r="AS1105" s="68">
        <f ca="1">IFERROR(__xludf.DUMMYFUNCTION("""COMPUTED_VALUE"""),44707.9986111111)</f>
        <v>44707.998611111099</v>
      </c>
      <c r="AT1105" s="6">
        <f ca="1">IFERROR(__xludf.DUMMYFUNCTION("""COMPUTED_VALUE"""),1853.9)</f>
        <v>1853.9</v>
      </c>
    </row>
    <row r="1106" spans="2:46" x14ac:dyDescent="0.35">
      <c r="B1106" s="6" t="str">
        <f t="shared" ca="1" si="306"/>
        <v>20225</v>
      </c>
      <c r="C1106" s="6">
        <f t="shared" ca="1" si="307"/>
        <v>2022</v>
      </c>
      <c r="D1106" s="6">
        <f t="shared" ca="1" si="308"/>
        <v>5</v>
      </c>
      <c r="E1106" s="68">
        <f ca="1">IFERROR(__xludf.DUMMYFUNCTION("""COMPUTED_VALUE"""),44700.6666666666)</f>
        <v>44700.666666666599</v>
      </c>
      <c r="F1106" s="6">
        <f ca="1">IFERROR(__xludf.DUMMYFUNCTION("""COMPUTED_VALUE"""),3900.79)</f>
        <v>3900.79</v>
      </c>
      <c r="J1106" s="6" t="str">
        <f t="shared" ca="1" si="309"/>
        <v>20225</v>
      </c>
      <c r="K1106" s="6">
        <f t="shared" ca="1" si="310"/>
        <v>2022</v>
      </c>
      <c r="L1106" s="6">
        <f t="shared" ca="1" si="311"/>
        <v>5</v>
      </c>
      <c r="M1106" s="68">
        <f ca="1">IFERROR(__xludf.DUMMYFUNCTION("""COMPUTED_VALUE"""),44693.6666666666)</f>
        <v>44693.666666666599</v>
      </c>
      <c r="N1106" s="6">
        <f ca="1">IFERROR(__xludf.DUMMYFUNCTION("""COMPUTED_VALUE"""),11370.96)</f>
        <v>11370.96</v>
      </c>
      <c r="R1106" s="6" t="str">
        <f t="shared" ca="1" si="312"/>
        <v>20227</v>
      </c>
      <c r="S1106" s="6">
        <f t="shared" ca="1" si="313"/>
        <v>2022</v>
      </c>
      <c r="T1106" s="6">
        <f t="shared" ca="1" si="314"/>
        <v>7</v>
      </c>
      <c r="U1106" s="68">
        <f ca="1">IFERROR(__xludf.DUMMYFUNCTION("""COMPUTED_VALUE"""),44743.6458333333)</f>
        <v>44743.645833333299</v>
      </c>
      <c r="V1106" s="6">
        <f ca="1">IFERROR(__xludf.DUMMYFUNCTION("""COMPUTED_VALUE"""),2305.42)</f>
        <v>2305.42</v>
      </c>
      <c r="Z1106" s="6" t="str">
        <f t="shared" ca="1" si="315"/>
        <v>20212</v>
      </c>
      <c r="AA1106" s="6">
        <f t="shared" ca="1" si="316"/>
        <v>2021</v>
      </c>
      <c r="AB1106" s="6">
        <f t="shared" ca="1" si="317"/>
        <v>2</v>
      </c>
      <c r="AC1106" s="68">
        <f ca="1">IFERROR(__xludf.DUMMYFUNCTION("""COMPUTED_VALUE"""),44251.9986111111)</f>
        <v>44251.998611111099</v>
      </c>
      <c r="AD1106" s="6">
        <f ca="1">IFERROR(__xludf.DUMMYFUNCTION("""COMPUTED_VALUE"""),1107.21)</f>
        <v>1107.21</v>
      </c>
      <c r="AH1106" s="6" t="str">
        <f t="shared" ca="1" si="318"/>
        <v>20211</v>
      </c>
      <c r="AI1106" s="6">
        <f t="shared" ca="1" si="319"/>
        <v>2021</v>
      </c>
      <c r="AJ1106" s="6">
        <f t="shared" ca="1" si="320"/>
        <v>1</v>
      </c>
      <c r="AK1106" s="68">
        <f ca="1">IFERROR(__xludf.DUMMYFUNCTION("""COMPUTED_VALUE"""),44199.9986111111)</f>
        <v>44199.998611111099</v>
      </c>
      <c r="AL1106" s="6">
        <f ca="1">IFERROR(__xludf.DUMMYFUNCTION("""COMPUTED_VALUE"""),32995.38)</f>
        <v>32995.379999999997</v>
      </c>
      <c r="AP1106" s="6" t="str">
        <f t="shared" ca="1" si="321"/>
        <v>20225</v>
      </c>
      <c r="AQ1106" s="6">
        <f t="shared" ca="1" si="322"/>
        <v>2022</v>
      </c>
      <c r="AR1106" s="6">
        <f t="shared" ca="1" si="323"/>
        <v>5</v>
      </c>
      <c r="AS1106" s="68">
        <f ca="1">IFERROR(__xludf.DUMMYFUNCTION("""COMPUTED_VALUE"""),44708.9986111111)</f>
        <v>44708.998611111099</v>
      </c>
      <c r="AT1106" s="6">
        <f ca="1">IFERROR(__xludf.DUMMYFUNCTION("""COMPUTED_VALUE"""),1857.3)</f>
        <v>1857.3</v>
      </c>
    </row>
    <row r="1107" spans="2:46" x14ac:dyDescent="0.35">
      <c r="B1107" s="6" t="str">
        <f t="shared" ca="1" si="306"/>
        <v>20225</v>
      </c>
      <c r="C1107" s="6">
        <f t="shared" ca="1" si="307"/>
        <v>2022</v>
      </c>
      <c r="D1107" s="6">
        <f t="shared" ca="1" si="308"/>
        <v>5</v>
      </c>
      <c r="E1107" s="68">
        <f ca="1">IFERROR(__xludf.DUMMYFUNCTION("""COMPUTED_VALUE"""),44701.6666666666)</f>
        <v>44701.666666666599</v>
      </c>
      <c r="F1107" s="6">
        <f ca="1">IFERROR(__xludf.DUMMYFUNCTION("""COMPUTED_VALUE"""),3901.36)</f>
        <v>3901.36</v>
      </c>
      <c r="J1107" s="6" t="str">
        <f t="shared" ca="1" si="309"/>
        <v>20225</v>
      </c>
      <c r="K1107" s="6">
        <f t="shared" ca="1" si="310"/>
        <v>2022</v>
      </c>
      <c r="L1107" s="6">
        <f t="shared" ca="1" si="311"/>
        <v>5</v>
      </c>
      <c r="M1107" s="68">
        <f ca="1">IFERROR(__xludf.DUMMYFUNCTION("""COMPUTED_VALUE"""),44694.6666666666)</f>
        <v>44694.666666666599</v>
      </c>
      <c r="N1107" s="6">
        <f ca="1">IFERROR(__xludf.DUMMYFUNCTION("""COMPUTED_VALUE"""),11805)</f>
        <v>11805</v>
      </c>
      <c r="R1107" s="6" t="str">
        <f t="shared" ca="1" si="312"/>
        <v>20227</v>
      </c>
      <c r="S1107" s="6">
        <f t="shared" ca="1" si="313"/>
        <v>2022</v>
      </c>
      <c r="T1107" s="6">
        <f t="shared" ca="1" si="314"/>
        <v>7</v>
      </c>
      <c r="U1107" s="68">
        <f ca="1">IFERROR(__xludf.DUMMYFUNCTION("""COMPUTED_VALUE"""),44746.6458333333)</f>
        <v>44746.645833333299</v>
      </c>
      <c r="V1107" s="6">
        <f ca="1">IFERROR(__xludf.DUMMYFUNCTION("""COMPUTED_VALUE"""),2300.34)</f>
        <v>2300.34</v>
      </c>
      <c r="Z1107" s="6" t="str">
        <f t="shared" ca="1" si="315"/>
        <v>20212</v>
      </c>
      <c r="AA1107" s="6">
        <f t="shared" ca="1" si="316"/>
        <v>2021</v>
      </c>
      <c r="AB1107" s="6">
        <f t="shared" ca="1" si="317"/>
        <v>2</v>
      </c>
      <c r="AC1107" s="68">
        <f ca="1">IFERROR(__xludf.DUMMYFUNCTION("""COMPUTED_VALUE"""),44252.9986111111)</f>
        <v>44252.998611111099</v>
      </c>
      <c r="AD1107" s="6">
        <f ca="1">IFERROR(__xludf.DUMMYFUNCTION("""COMPUTED_VALUE"""),1119.13)</f>
        <v>1119.1300000000001</v>
      </c>
      <c r="AH1107" s="6" t="str">
        <f t="shared" ca="1" si="318"/>
        <v>20211</v>
      </c>
      <c r="AI1107" s="6">
        <f t="shared" ca="1" si="319"/>
        <v>2021</v>
      </c>
      <c r="AJ1107" s="6">
        <f t="shared" ca="1" si="320"/>
        <v>1</v>
      </c>
      <c r="AK1107" s="68">
        <f ca="1">IFERROR(__xludf.DUMMYFUNCTION("""COMPUTED_VALUE"""),44200.9986111111)</f>
        <v>44200.998611111099</v>
      </c>
      <c r="AL1107" s="6">
        <f ca="1">IFERROR(__xludf.DUMMYFUNCTION("""COMPUTED_VALUE"""),32022.43)</f>
        <v>32022.43</v>
      </c>
      <c r="AP1107" s="6" t="str">
        <f t="shared" ca="1" si="321"/>
        <v>20225</v>
      </c>
      <c r="AQ1107" s="6">
        <f t="shared" ca="1" si="322"/>
        <v>2022</v>
      </c>
      <c r="AR1107" s="6">
        <f t="shared" ca="1" si="323"/>
        <v>5</v>
      </c>
      <c r="AS1107" s="68">
        <f ca="1">IFERROR(__xludf.DUMMYFUNCTION("""COMPUTED_VALUE"""),44712.9986111111)</f>
        <v>44712.998611111099</v>
      </c>
      <c r="AT1107" s="6">
        <f ca="1">IFERROR(__xludf.DUMMYFUNCTION("""COMPUTED_VALUE"""),1848.4)</f>
        <v>1848.4</v>
      </c>
    </row>
    <row r="1108" spans="2:46" x14ac:dyDescent="0.35">
      <c r="B1108" s="6" t="str">
        <f t="shared" ca="1" si="306"/>
        <v>20225</v>
      </c>
      <c r="C1108" s="6">
        <f t="shared" ca="1" si="307"/>
        <v>2022</v>
      </c>
      <c r="D1108" s="6">
        <f t="shared" ca="1" si="308"/>
        <v>5</v>
      </c>
      <c r="E1108" s="68">
        <f ca="1">IFERROR(__xludf.DUMMYFUNCTION("""COMPUTED_VALUE"""),44704.6666666666)</f>
        <v>44704.666666666599</v>
      </c>
      <c r="F1108" s="6">
        <f ca="1">IFERROR(__xludf.DUMMYFUNCTION("""COMPUTED_VALUE"""),3973.75)</f>
        <v>3973.75</v>
      </c>
      <c r="J1108" s="6" t="str">
        <f t="shared" ca="1" si="309"/>
        <v>20225</v>
      </c>
      <c r="K1108" s="6">
        <f t="shared" ca="1" si="310"/>
        <v>2022</v>
      </c>
      <c r="L1108" s="6">
        <f t="shared" ca="1" si="311"/>
        <v>5</v>
      </c>
      <c r="M1108" s="68">
        <f ca="1">IFERROR(__xludf.DUMMYFUNCTION("""COMPUTED_VALUE"""),44697.6666666666)</f>
        <v>44697.666666666599</v>
      </c>
      <c r="N1108" s="6">
        <f ca="1">IFERROR(__xludf.DUMMYFUNCTION("""COMPUTED_VALUE"""),11662.79)</f>
        <v>11662.79</v>
      </c>
      <c r="R1108" s="6" t="str">
        <f t="shared" ca="1" si="312"/>
        <v>20227</v>
      </c>
      <c r="S1108" s="6">
        <f t="shared" ca="1" si="313"/>
        <v>2022</v>
      </c>
      <c r="T1108" s="6">
        <f t="shared" ca="1" si="314"/>
        <v>7</v>
      </c>
      <c r="U1108" s="68">
        <f ca="1">IFERROR(__xludf.DUMMYFUNCTION("""COMPUTED_VALUE"""),44747.6458333333)</f>
        <v>44747.645833333299</v>
      </c>
      <c r="V1108" s="6">
        <f ca="1">IFERROR(__xludf.DUMMYFUNCTION("""COMPUTED_VALUE"""),2341.78)</f>
        <v>2341.7800000000002</v>
      </c>
      <c r="Z1108" s="6" t="str">
        <f t="shared" ca="1" si="315"/>
        <v>20212</v>
      </c>
      <c r="AA1108" s="6">
        <f t="shared" ca="1" si="316"/>
        <v>2021</v>
      </c>
      <c r="AB1108" s="6">
        <f t="shared" ca="1" si="317"/>
        <v>2</v>
      </c>
      <c r="AC1108" s="68">
        <f ca="1">IFERROR(__xludf.DUMMYFUNCTION("""COMPUTED_VALUE"""),44253.9986111111)</f>
        <v>44253.998611111099</v>
      </c>
      <c r="AD1108" s="6">
        <f ca="1">IFERROR(__xludf.DUMMYFUNCTION("""COMPUTED_VALUE"""),1123.37)</f>
        <v>1123.3699999999999</v>
      </c>
      <c r="AH1108" s="6" t="str">
        <f t="shared" ca="1" si="318"/>
        <v>20211</v>
      </c>
      <c r="AI1108" s="6">
        <f t="shared" ca="1" si="319"/>
        <v>2021</v>
      </c>
      <c r="AJ1108" s="6">
        <f t="shared" ca="1" si="320"/>
        <v>1</v>
      </c>
      <c r="AK1108" s="68">
        <f ca="1">IFERROR(__xludf.DUMMYFUNCTION("""COMPUTED_VALUE"""),44201.9986111111)</f>
        <v>44201.998611111099</v>
      </c>
      <c r="AL1108" s="6">
        <f ca="1">IFERROR(__xludf.DUMMYFUNCTION("""COMPUTED_VALUE"""),33999.23)</f>
        <v>33999.230000000003</v>
      </c>
      <c r="AP1108" s="6" t="str">
        <f t="shared" ca="1" si="321"/>
        <v>20226</v>
      </c>
      <c r="AQ1108" s="6">
        <f t="shared" ca="1" si="322"/>
        <v>2022</v>
      </c>
      <c r="AR1108" s="6">
        <f t="shared" ca="1" si="323"/>
        <v>6</v>
      </c>
      <c r="AS1108" s="68">
        <f ca="1">IFERROR(__xludf.DUMMYFUNCTION("""COMPUTED_VALUE"""),44713.9986111111)</f>
        <v>44713.998611111099</v>
      </c>
      <c r="AT1108" s="6">
        <f ca="1">IFERROR(__xludf.DUMMYFUNCTION("""COMPUTED_VALUE"""),1848.7)</f>
        <v>1848.7</v>
      </c>
    </row>
    <row r="1109" spans="2:46" x14ac:dyDescent="0.35">
      <c r="B1109" s="6" t="str">
        <f t="shared" ca="1" si="306"/>
        <v>20225</v>
      </c>
      <c r="C1109" s="6">
        <f t="shared" ca="1" si="307"/>
        <v>2022</v>
      </c>
      <c r="D1109" s="6">
        <f t="shared" ca="1" si="308"/>
        <v>5</v>
      </c>
      <c r="E1109" s="68">
        <f ca="1">IFERROR(__xludf.DUMMYFUNCTION("""COMPUTED_VALUE"""),44705.6666666666)</f>
        <v>44705.666666666599</v>
      </c>
      <c r="F1109" s="6">
        <f ca="1">IFERROR(__xludf.DUMMYFUNCTION("""COMPUTED_VALUE"""),3941.48)</f>
        <v>3941.48</v>
      </c>
      <c r="J1109" s="6" t="str">
        <f t="shared" ca="1" si="309"/>
        <v>20225</v>
      </c>
      <c r="K1109" s="6">
        <f t="shared" ca="1" si="310"/>
        <v>2022</v>
      </c>
      <c r="L1109" s="6">
        <f t="shared" ca="1" si="311"/>
        <v>5</v>
      </c>
      <c r="M1109" s="68">
        <f ca="1">IFERROR(__xludf.DUMMYFUNCTION("""COMPUTED_VALUE"""),44698.6666666666)</f>
        <v>44698.666666666599</v>
      </c>
      <c r="N1109" s="6">
        <f ca="1">IFERROR(__xludf.DUMMYFUNCTION("""COMPUTED_VALUE"""),11984.52)</f>
        <v>11984.52</v>
      </c>
      <c r="R1109" s="6" t="str">
        <f t="shared" ca="1" si="312"/>
        <v>20227</v>
      </c>
      <c r="S1109" s="6">
        <f t="shared" ca="1" si="313"/>
        <v>2022</v>
      </c>
      <c r="T1109" s="6">
        <f t="shared" ca="1" si="314"/>
        <v>7</v>
      </c>
      <c r="U1109" s="68">
        <f ca="1">IFERROR(__xludf.DUMMYFUNCTION("""COMPUTED_VALUE"""),44748.6458333333)</f>
        <v>44748.645833333299</v>
      </c>
      <c r="V1109" s="6">
        <f ca="1">IFERROR(__xludf.DUMMYFUNCTION("""COMPUTED_VALUE"""),2292.01)</f>
        <v>2292.0100000000002</v>
      </c>
      <c r="Z1109" s="6" t="str">
        <f t="shared" ca="1" si="315"/>
        <v>20212</v>
      </c>
      <c r="AA1109" s="6">
        <f t="shared" ca="1" si="316"/>
        <v>2021</v>
      </c>
      <c r="AB1109" s="6">
        <f t="shared" ca="1" si="317"/>
        <v>2</v>
      </c>
      <c r="AC1109" s="68">
        <f ca="1">IFERROR(__xludf.DUMMYFUNCTION("""COMPUTED_VALUE"""),44254.9986111111)</f>
        <v>44254.998611111099</v>
      </c>
      <c r="AD1109" s="6">
        <f ca="1">IFERROR(__xludf.DUMMYFUNCTION("""COMPUTED_VALUE"""),1123.37)</f>
        <v>1123.3699999999999</v>
      </c>
      <c r="AH1109" s="6" t="str">
        <f t="shared" ca="1" si="318"/>
        <v>20211</v>
      </c>
      <c r="AI1109" s="6">
        <f t="shared" ca="1" si="319"/>
        <v>2021</v>
      </c>
      <c r="AJ1109" s="6">
        <f t="shared" ca="1" si="320"/>
        <v>1</v>
      </c>
      <c r="AK1109" s="68">
        <f ca="1">IFERROR(__xludf.DUMMYFUNCTION("""COMPUTED_VALUE"""),44202.9986111111)</f>
        <v>44202.998611111099</v>
      </c>
      <c r="AL1109" s="6">
        <f ca="1">IFERROR(__xludf.DUMMYFUNCTION("""COMPUTED_VALUE"""),36812.19)</f>
        <v>36812.19</v>
      </c>
      <c r="AP1109" s="6" t="str">
        <f t="shared" ca="1" si="321"/>
        <v>20226</v>
      </c>
      <c r="AQ1109" s="6">
        <f t="shared" ca="1" si="322"/>
        <v>2022</v>
      </c>
      <c r="AR1109" s="6">
        <f t="shared" ca="1" si="323"/>
        <v>6</v>
      </c>
      <c r="AS1109" s="68">
        <f ca="1">IFERROR(__xludf.DUMMYFUNCTION("""COMPUTED_VALUE"""),44714.9986111111)</f>
        <v>44714.998611111099</v>
      </c>
      <c r="AT1109" s="6">
        <f ca="1">IFERROR(__xludf.DUMMYFUNCTION("""COMPUTED_VALUE"""),1871.4)</f>
        <v>1871.4</v>
      </c>
    </row>
    <row r="1110" spans="2:46" x14ac:dyDescent="0.35">
      <c r="B1110" s="6" t="str">
        <f t="shared" ca="1" si="306"/>
        <v>20225</v>
      </c>
      <c r="C1110" s="6">
        <f t="shared" ca="1" si="307"/>
        <v>2022</v>
      </c>
      <c r="D1110" s="6">
        <f t="shared" ca="1" si="308"/>
        <v>5</v>
      </c>
      <c r="E1110" s="68">
        <f ca="1">IFERROR(__xludf.DUMMYFUNCTION("""COMPUTED_VALUE"""),44706.6666666666)</f>
        <v>44706.666666666599</v>
      </c>
      <c r="F1110" s="6">
        <f ca="1">IFERROR(__xludf.DUMMYFUNCTION("""COMPUTED_VALUE"""),3978.73)</f>
        <v>3978.73</v>
      </c>
      <c r="J1110" s="6" t="str">
        <f t="shared" ca="1" si="309"/>
        <v>20225</v>
      </c>
      <c r="K1110" s="6">
        <f t="shared" ca="1" si="310"/>
        <v>2022</v>
      </c>
      <c r="L1110" s="6">
        <f t="shared" ca="1" si="311"/>
        <v>5</v>
      </c>
      <c r="M1110" s="68">
        <f ca="1">IFERROR(__xludf.DUMMYFUNCTION("""COMPUTED_VALUE"""),44699.6666666666)</f>
        <v>44699.666666666599</v>
      </c>
      <c r="N1110" s="6">
        <f ca="1">IFERROR(__xludf.DUMMYFUNCTION("""COMPUTED_VALUE"""),11418.15)</f>
        <v>11418.15</v>
      </c>
      <c r="R1110" s="6" t="str">
        <f t="shared" ca="1" si="312"/>
        <v>20227</v>
      </c>
      <c r="S1110" s="6">
        <f t="shared" ca="1" si="313"/>
        <v>2022</v>
      </c>
      <c r="T1110" s="6">
        <f t="shared" ca="1" si="314"/>
        <v>7</v>
      </c>
      <c r="U1110" s="68">
        <f ca="1">IFERROR(__xludf.DUMMYFUNCTION("""COMPUTED_VALUE"""),44749.6458333333)</f>
        <v>44749.645833333299</v>
      </c>
      <c r="V1110" s="6">
        <f ca="1">IFERROR(__xludf.DUMMYFUNCTION("""COMPUTED_VALUE"""),2334.27)</f>
        <v>2334.27</v>
      </c>
      <c r="Z1110" s="6" t="str">
        <f t="shared" ca="1" si="315"/>
        <v>20212</v>
      </c>
      <c r="AA1110" s="6">
        <f t="shared" ca="1" si="316"/>
        <v>2021</v>
      </c>
      <c r="AB1110" s="6">
        <f t="shared" ca="1" si="317"/>
        <v>2</v>
      </c>
      <c r="AC1110" s="68">
        <f ca="1">IFERROR(__xludf.DUMMYFUNCTION("""COMPUTED_VALUE"""),44255.9986111111)</f>
        <v>44255.998611111099</v>
      </c>
      <c r="AD1110" s="6">
        <f ca="1">IFERROR(__xludf.DUMMYFUNCTION("""COMPUTED_VALUE"""),1123.37)</f>
        <v>1123.3699999999999</v>
      </c>
      <c r="AH1110" s="6" t="str">
        <f t="shared" ca="1" si="318"/>
        <v>20211</v>
      </c>
      <c r="AI1110" s="6">
        <f t="shared" ca="1" si="319"/>
        <v>2021</v>
      </c>
      <c r="AJ1110" s="6">
        <f t="shared" ca="1" si="320"/>
        <v>1</v>
      </c>
      <c r="AK1110" s="68">
        <f ca="1">IFERROR(__xludf.DUMMYFUNCTION("""COMPUTED_VALUE"""),44203.9986111111)</f>
        <v>44203.998611111099</v>
      </c>
      <c r="AL1110" s="6">
        <f ca="1">IFERROR(__xludf.DUMMYFUNCTION("""COMPUTED_VALUE"""),39465)</f>
        <v>39465</v>
      </c>
      <c r="AP1110" s="6" t="str">
        <f t="shared" ca="1" si="321"/>
        <v>20226</v>
      </c>
      <c r="AQ1110" s="6">
        <f t="shared" ca="1" si="322"/>
        <v>2022</v>
      </c>
      <c r="AR1110" s="6">
        <f t="shared" ca="1" si="323"/>
        <v>6</v>
      </c>
      <c r="AS1110" s="68">
        <f ca="1">IFERROR(__xludf.DUMMYFUNCTION("""COMPUTED_VALUE"""),44715.9986111111)</f>
        <v>44715.998611111099</v>
      </c>
      <c r="AT1110" s="6">
        <f ca="1">IFERROR(__xludf.DUMMYFUNCTION("""COMPUTED_VALUE"""),1850.2)</f>
        <v>1850.2</v>
      </c>
    </row>
    <row r="1111" spans="2:46" x14ac:dyDescent="0.35">
      <c r="B1111" s="6" t="str">
        <f t="shared" ca="1" si="306"/>
        <v>20225</v>
      </c>
      <c r="C1111" s="6">
        <f t="shared" ca="1" si="307"/>
        <v>2022</v>
      </c>
      <c r="D1111" s="6">
        <f t="shared" ca="1" si="308"/>
        <v>5</v>
      </c>
      <c r="E1111" s="68">
        <f ca="1">IFERROR(__xludf.DUMMYFUNCTION("""COMPUTED_VALUE"""),44707.6666666666)</f>
        <v>44707.666666666599</v>
      </c>
      <c r="F1111" s="6">
        <f ca="1">IFERROR(__xludf.DUMMYFUNCTION("""COMPUTED_VALUE"""),4057.84)</f>
        <v>4057.84</v>
      </c>
      <c r="J1111" s="6" t="str">
        <f t="shared" ca="1" si="309"/>
        <v>20225</v>
      </c>
      <c r="K1111" s="6">
        <f t="shared" ca="1" si="310"/>
        <v>2022</v>
      </c>
      <c r="L1111" s="6">
        <f t="shared" ca="1" si="311"/>
        <v>5</v>
      </c>
      <c r="M1111" s="68">
        <f ca="1">IFERROR(__xludf.DUMMYFUNCTION("""COMPUTED_VALUE"""),44700.6666666666)</f>
        <v>44700.666666666599</v>
      </c>
      <c r="N1111" s="6">
        <f ca="1">IFERROR(__xludf.DUMMYFUNCTION("""COMPUTED_VALUE"""),11388.5)</f>
        <v>11388.5</v>
      </c>
      <c r="R1111" s="6" t="str">
        <f t="shared" ca="1" si="312"/>
        <v>20227</v>
      </c>
      <c r="S1111" s="6">
        <f t="shared" ca="1" si="313"/>
        <v>2022</v>
      </c>
      <c r="T1111" s="6">
        <f t="shared" ca="1" si="314"/>
        <v>7</v>
      </c>
      <c r="U1111" s="68">
        <f ca="1">IFERROR(__xludf.DUMMYFUNCTION("""COMPUTED_VALUE"""),44750.6458333333)</f>
        <v>44750.645833333299</v>
      </c>
      <c r="V1111" s="6">
        <f ca="1">IFERROR(__xludf.DUMMYFUNCTION("""COMPUTED_VALUE"""),2350.61)</f>
        <v>2350.61</v>
      </c>
      <c r="Z1111" s="6" t="str">
        <f t="shared" ca="1" si="315"/>
        <v>20213</v>
      </c>
      <c r="AA1111" s="6">
        <f t="shared" ca="1" si="316"/>
        <v>2021</v>
      </c>
      <c r="AB1111" s="6">
        <f t="shared" ca="1" si="317"/>
        <v>3</v>
      </c>
      <c r="AC1111" s="68">
        <f ca="1">IFERROR(__xludf.DUMMYFUNCTION("""COMPUTED_VALUE"""),44256.9986111111)</f>
        <v>44256.998611111099</v>
      </c>
      <c r="AD1111" s="6">
        <f ca="1">IFERROR(__xludf.DUMMYFUNCTION("""COMPUTED_VALUE"""),1101.83)</f>
        <v>1101.83</v>
      </c>
      <c r="AH1111" s="6" t="str">
        <f t="shared" ca="1" si="318"/>
        <v>20211</v>
      </c>
      <c r="AI1111" s="6">
        <f t="shared" ca="1" si="319"/>
        <v>2021</v>
      </c>
      <c r="AJ1111" s="6">
        <f t="shared" ca="1" si="320"/>
        <v>1</v>
      </c>
      <c r="AK1111" s="68">
        <f ca="1">IFERROR(__xludf.DUMMYFUNCTION("""COMPUTED_VALUE"""),44204.9986111111)</f>
        <v>44204.998611111099</v>
      </c>
      <c r="AL1111" s="6">
        <f ca="1">IFERROR(__xludf.DUMMYFUNCTION("""COMPUTED_VALUE"""),40641.98)</f>
        <v>40641.980000000003</v>
      </c>
      <c r="AP1111" s="6" t="str">
        <f t="shared" ca="1" si="321"/>
        <v>20226</v>
      </c>
      <c r="AQ1111" s="6">
        <f t="shared" ca="1" si="322"/>
        <v>2022</v>
      </c>
      <c r="AR1111" s="6">
        <f t="shared" ca="1" si="323"/>
        <v>6</v>
      </c>
      <c r="AS1111" s="68">
        <f ca="1">IFERROR(__xludf.DUMMYFUNCTION("""COMPUTED_VALUE"""),44718.9986111111)</f>
        <v>44718.998611111099</v>
      </c>
      <c r="AT1111" s="6">
        <f ca="1">IFERROR(__xludf.DUMMYFUNCTION("""COMPUTED_VALUE"""),1843.7)</f>
        <v>1843.7</v>
      </c>
    </row>
    <row r="1112" spans="2:46" x14ac:dyDescent="0.35">
      <c r="B1112" s="6" t="str">
        <f t="shared" ca="1" si="306"/>
        <v>20225</v>
      </c>
      <c r="C1112" s="6">
        <f t="shared" ca="1" si="307"/>
        <v>2022</v>
      </c>
      <c r="D1112" s="6">
        <f t="shared" ca="1" si="308"/>
        <v>5</v>
      </c>
      <c r="E1112" s="68">
        <f ca="1">IFERROR(__xludf.DUMMYFUNCTION("""COMPUTED_VALUE"""),44708.6666666666)</f>
        <v>44708.666666666599</v>
      </c>
      <c r="F1112" s="6">
        <f ca="1">IFERROR(__xludf.DUMMYFUNCTION("""COMPUTED_VALUE"""),4158.24)</f>
        <v>4158.24</v>
      </c>
      <c r="J1112" s="6" t="str">
        <f t="shared" ca="1" si="309"/>
        <v>20225</v>
      </c>
      <c r="K1112" s="6">
        <f t="shared" ca="1" si="310"/>
        <v>2022</v>
      </c>
      <c r="L1112" s="6">
        <f t="shared" ca="1" si="311"/>
        <v>5</v>
      </c>
      <c r="M1112" s="68">
        <f ca="1">IFERROR(__xludf.DUMMYFUNCTION("""COMPUTED_VALUE"""),44701.6666666666)</f>
        <v>44701.666666666599</v>
      </c>
      <c r="N1112" s="6">
        <f ca="1">IFERROR(__xludf.DUMMYFUNCTION("""COMPUTED_VALUE"""),11354.62)</f>
        <v>11354.62</v>
      </c>
      <c r="R1112" s="6" t="str">
        <f t="shared" ca="1" si="312"/>
        <v>20227</v>
      </c>
      <c r="S1112" s="6">
        <f t="shared" ca="1" si="313"/>
        <v>2022</v>
      </c>
      <c r="T1112" s="6">
        <f t="shared" ca="1" si="314"/>
        <v>7</v>
      </c>
      <c r="U1112" s="68">
        <f ca="1">IFERROR(__xludf.DUMMYFUNCTION("""COMPUTED_VALUE"""),44753.6458333333)</f>
        <v>44753.645833333299</v>
      </c>
      <c r="V1112" s="6">
        <f ca="1">IFERROR(__xludf.DUMMYFUNCTION("""COMPUTED_VALUE"""),2340.27)</f>
        <v>2340.27</v>
      </c>
      <c r="Z1112" s="6" t="str">
        <f t="shared" ca="1" si="315"/>
        <v>20213</v>
      </c>
      <c r="AA1112" s="6">
        <f t="shared" ca="1" si="316"/>
        <v>2021</v>
      </c>
      <c r="AB1112" s="6">
        <f t="shared" ca="1" si="317"/>
        <v>3</v>
      </c>
      <c r="AC1112" s="68">
        <f ca="1">IFERROR(__xludf.DUMMYFUNCTION("""COMPUTED_VALUE"""),44257.9986111111)</f>
        <v>44257.998611111099</v>
      </c>
      <c r="AD1112" s="6">
        <f ca="1">IFERROR(__xludf.DUMMYFUNCTION("""COMPUTED_VALUE"""),1124.33)</f>
        <v>1124.33</v>
      </c>
      <c r="AH1112" s="6" t="str">
        <f t="shared" ca="1" si="318"/>
        <v>20211</v>
      </c>
      <c r="AI1112" s="6">
        <f t="shared" ca="1" si="319"/>
        <v>2021</v>
      </c>
      <c r="AJ1112" s="6">
        <f t="shared" ca="1" si="320"/>
        <v>1</v>
      </c>
      <c r="AK1112" s="68">
        <f ca="1">IFERROR(__xludf.DUMMYFUNCTION("""COMPUTED_VALUE"""),44205.9986111111)</f>
        <v>44205.998611111099</v>
      </c>
      <c r="AL1112" s="6">
        <f ca="1">IFERROR(__xludf.DUMMYFUNCTION("""COMPUTED_VALUE"""),40229.14)</f>
        <v>40229.14</v>
      </c>
      <c r="AP1112" s="6" t="str">
        <f t="shared" ca="1" si="321"/>
        <v>20226</v>
      </c>
      <c r="AQ1112" s="6">
        <f t="shared" ca="1" si="322"/>
        <v>2022</v>
      </c>
      <c r="AR1112" s="6">
        <f t="shared" ca="1" si="323"/>
        <v>6</v>
      </c>
      <c r="AS1112" s="68">
        <f ca="1">IFERROR(__xludf.DUMMYFUNCTION("""COMPUTED_VALUE"""),44719.9986111111)</f>
        <v>44719.998611111099</v>
      </c>
      <c r="AT1112" s="6">
        <f ca="1">IFERROR(__xludf.DUMMYFUNCTION("""COMPUTED_VALUE"""),1852.1)</f>
        <v>1852.1</v>
      </c>
    </row>
    <row r="1113" spans="2:46" x14ac:dyDescent="0.35">
      <c r="B1113" s="6" t="str">
        <f t="shared" ca="1" si="306"/>
        <v>20225</v>
      </c>
      <c r="C1113" s="6">
        <f t="shared" ca="1" si="307"/>
        <v>2022</v>
      </c>
      <c r="D1113" s="6">
        <f t="shared" ca="1" si="308"/>
        <v>5</v>
      </c>
      <c r="E1113" s="68">
        <f ca="1">IFERROR(__xludf.DUMMYFUNCTION("""COMPUTED_VALUE"""),44712.6666666666)</f>
        <v>44712.666666666599</v>
      </c>
      <c r="F1113" s="6">
        <f ca="1">IFERROR(__xludf.DUMMYFUNCTION("""COMPUTED_VALUE"""),4132.15)</f>
        <v>4132.1499999999996</v>
      </c>
      <c r="J1113" s="6" t="str">
        <f t="shared" ca="1" si="309"/>
        <v>20225</v>
      </c>
      <c r="K1113" s="6">
        <f t="shared" ca="1" si="310"/>
        <v>2022</v>
      </c>
      <c r="L1113" s="6">
        <f t="shared" ca="1" si="311"/>
        <v>5</v>
      </c>
      <c r="M1113" s="68">
        <f ca="1">IFERROR(__xludf.DUMMYFUNCTION("""COMPUTED_VALUE"""),44704.6666666666)</f>
        <v>44704.666666666599</v>
      </c>
      <c r="N1113" s="6">
        <f ca="1">IFERROR(__xludf.DUMMYFUNCTION("""COMPUTED_VALUE"""),11535.28)</f>
        <v>11535.28</v>
      </c>
      <c r="R1113" s="6" t="str">
        <f t="shared" ca="1" si="312"/>
        <v>20227</v>
      </c>
      <c r="S1113" s="6">
        <f t="shared" ca="1" si="313"/>
        <v>2022</v>
      </c>
      <c r="T1113" s="6">
        <f t="shared" ca="1" si="314"/>
        <v>7</v>
      </c>
      <c r="U1113" s="68">
        <f ca="1">IFERROR(__xludf.DUMMYFUNCTION("""COMPUTED_VALUE"""),44754.6458333333)</f>
        <v>44754.645833333299</v>
      </c>
      <c r="V1113" s="6">
        <f ca="1">IFERROR(__xludf.DUMMYFUNCTION("""COMPUTED_VALUE"""),2317.76)</f>
        <v>2317.7600000000002</v>
      </c>
      <c r="Z1113" s="6" t="str">
        <f t="shared" ca="1" si="315"/>
        <v>20213</v>
      </c>
      <c r="AA1113" s="6">
        <f t="shared" ca="1" si="316"/>
        <v>2021</v>
      </c>
      <c r="AB1113" s="6">
        <f t="shared" ca="1" si="317"/>
        <v>3</v>
      </c>
      <c r="AC1113" s="68">
        <f ca="1">IFERROR(__xludf.DUMMYFUNCTION("""COMPUTED_VALUE"""),44258.9986111111)</f>
        <v>44258.998611111099</v>
      </c>
      <c r="AD1113" s="6">
        <f ca="1">IFERROR(__xludf.DUMMYFUNCTION("""COMPUTED_VALUE"""),1129.5)</f>
        <v>1129.5</v>
      </c>
      <c r="AH1113" s="6" t="str">
        <f t="shared" ca="1" si="318"/>
        <v>20211</v>
      </c>
      <c r="AI1113" s="6">
        <f t="shared" ca="1" si="319"/>
        <v>2021</v>
      </c>
      <c r="AJ1113" s="6">
        <f t="shared" ca="1" si="320"/>
        <v>1</v>
      </c>
      <c r="AK1113" s="68">
        <f ca="1">IFERROR(__xludf.DUMMYFUNCTION("""COMPUTED_VALUE"""),44206.9986111111)</f>
        <v>44206.998611111099</v>
      </c>
      <c r="AL1113" s="6">
        <f ca="1">IFERROR(__xludf.DUMMYFUNCTION("""COMPUTED_VALUE"""),38212.04)</f>
        <v>38212.04</v>
      </c>
      <c r="AP1113" s="6" t="str">
        <f t="shared" ca="1" si="321"/>
        <v>20226</v>
      </c>
      <c r="AQ1113" s="6">
        <f t="shared" ca="1" si="322"/>
        <v>2022</v>
      </c>
      <c r="AR1113" s="6">
        <f t="shared" ca="1" si="323"/>
        <v>6</v>
      </c>
      <c r="AS1113" s="68">
        <f ca="1">IFERROR(__xludf.DUMMYFUNCTION("""COMPUTED_VALUE"""),44720.9986111111)</f>
        <v>44720.998611111099</v>
      </c>
      <c r="AT1113" s="6">
        <f ca="1">IFERROR(__xludf.DUMMYFUNCTION("""COMPUTED_VALUE"""),1856.5)</f>
        <v>1856.5</v>
      </c>
    </row>
    <row r="1114" spans="2:46" x14ac:dyDescent="0.35">
      <c r="B1114" s="6" t="str">
        <f t="shared" ca="1" si="306"/>
        <v>20226</v>
      </c>
      <c r="C1114" s="6">
        <f t="shared" ca="1" si="307"/>
        <v>2022</v>
      </c>
      <c r="D1114" s="6">
        <f t="shared" ca="1" si="308"/>
        <v>6</v>
      </c>
      <c r="E1114" s="68">
        <f ca="1">IFERROR(__xludf.DUMMYFUNCTION("""COMPUTED_VALUE"""),44713.6666666666)</f>
        <v>44713.666666666599</v>
      </c>
      <c r="F1114" s="6">
        <f ca="1">IFERROR(__xludf.DUMMYFUNCTION("""COMPUTED_VALUE"""),4101.23)</f>
        <v>4101.2299999999996</v>
      </c>
      <c r="J1114" s="6" t="str">
        <f t="shared" ca="1" si="309"/>
        <v>20225</v>
      </c>
      <c r="K1114" s="6">
        <f t="shared" ca="1" si="310"/>
        <v>2022</v>
      </c>
      <c r="L1114" s="6">
        <f t="shared" ca="1" si="311"/>
        <v>5</v>
      </c>
      <c r="M1114" s="68">
        <f ca="1">IFERROR(__xludf.DUMMYFUNCTION("""COMPUTED_VALUE"""),44705.6666666666)</f>
        <v>44705.666666666599</v>
      </c>
      <c r="N1114" s="6">
        <f ca="1">IFERROR(__xludf.DUMMYFUNCTION("""COMPUTED_VALUE"""),11264.45)</f>
        <v>11264.45</v>
      </c>
      <c r="R1114" s="6" t="str">
        <f t="shared" ca="1" si="312"/>
        <v>20227</v>
      </c>
      <c r="S1114" s="6">
        <f t="shared" ca="1" si="313"/>
        <v>2022</v>
      </c>
      <c r="T1114" s="6">
        <f t="shared" ca="1" si="314"/>
        <v>7</v>
      </c>
      <c r="U1114" s="68">
        <f ca="1">IFERROR(__xludf.DUMMYFUNCTION("""COMPUTED_VALUE"""),44755.6458333333)</f>
        <v>44755.645833333299</v>
      </c>
      <c r="V1114" s="6">
        <f ca="1">IFERROR(__xludf.DUMMYFUNCTION("""COMPUTED_VALUE"""),2328.61)</f>
        <v>2328.61</v>
      </c>
      <c r="Z1114" s="6" t="str">
        <f t="shared" ca="1" si="315"/>
        <v>20213</v>
      </c>
      <c r="AA1114" s="6">
        <f t="shared" ca="1" si="316"/>
        <v>2021</v>
      </c>
      <c r="AB1114" s="6">
        <f t="shared" ca="1" si="317"/>
        <v>3</v>
      </c>
      <c r="AC1114" s="68">
        <f ca="1">IFERROR(__xludf.DUMMYFUNCTION("""COMPUTED_VALUE"""),44259.9986111111)</f>
        <v>44259.998611111099</v>
      </c>
      <c r="AD1114" s="6">
        <f ca="1">IFERROR(__xludf.DUMMYFUNCTION("""COMPUTED_VALUE"""),1133.35)</f>
        <v>1133.3499999999999</v>
      </c>
      <c r="AH1114" s="6" t="str">
        <f t="shared" ca="1" si="318"/>
        <v>20211</v>
      </c>
      <c r="AI1114" s="6">
        <f t="shared" ca="1" si="319"/>
        <v>2021</v>
      </c>
      <c r="AJ1114" s="6">
        <f t="shared" ca="1" si="320"/>
        <v>1</v>
      </c>
      <c r="AK1114" s="68">
        <f ca="1">IFERROR(__xludf.DUMMYFUNCTION("""COMPUTED_VALUE"""),44207.9986111111)</f>
        <v>44207.998611111099</v>
      </c>
      <c r="AL1114" s="6">
        <f ca="1">IFERROR(__xludf.DUMMYFUNCTION("""COMPUTED_VALUE"""),35480.42)</f>
        <v>35480.42</v>
      </c>
      <c r="AP1114" s="6" t="str">
        <f t="shared" ca="1" si="321"/>
        <v>20226</v>
      </c>
      <c r="AQ1114" s="6">
        <f t="shared" ca="1" si="322"/>
        <v>2022</v>
      </c>
      <c r="AR1114" s="6">
        <f t="shared" ca="1" si="323"/>
        <v>6</v>
      </c>
      <c r="AS1114" s="68">
        <f ca="1">IFERROR(__xludf.DUMMYFUNCTION("""COMPUTED_VALUE"""),44721.9986111111)</f>
        <v>44721.998611111099</v>
      </c>
      <c r="AT1114" s="6">
        <f ca="1">IFERROR(__xludf.DUMMYFUNCTION("""COMPUTED_VALUE"""),1852.8)</f>
        <v>1852.8</v>
      </c>
    </row>
    <row r="1115" spans="2:46" x14ac:dyDescent="0.35">
      <c r="B1115" s="6" t="str">
        <f t="shared" ca="1" si="306"/>
        <v>20226</v>
      </c>
      <c r="C1115" s="6">
        <f t="shared" ca="1" si="307"/>
        <v>2022</v>
      </c>
      <c r="D1115" s="6">
        <f t="shared" ca="1" si="308"/>
        <v>6</v>
      </c>
      <c r="E1115" s="68">
        <f ca="1">IFERROR(__xludf.DUMMYFUNCTION("""COMPUTED_VALUE"""),44714.6666666666)</f>
        <v>44714.666666666599</v>
      </c>
      <c r="F1115" s="6">
        <f ca="1">IFERROR(__xludf.DUMMYFUNCTION("""COMPUTED_VALUE"""),4176.82)</f>
        <v>4176.82</v>
      </c>
      <c r="J1115" s="6" t="str">
        <f t="shared" ca="1" si="309"/>
        <v>20225</v>
      </c>
      <c r="K1115" s="6">
        <f t="shared" ca="1" si="310"/>
        <v>2022</v>
      </c>
      <c r="L1115" s="6">
        <f t="shared" ca="1" si="311"/>
        <v>5</v>
      </c>
      <c r="M1115" s="68">
        <f ca="1">IFERROR(__xludf.DUMMYFUNCTION("""COMPUTED_VALUE"""),44706.6666666666)</f>
        <v>44706.666666666599</v>
      </c>
      <c r="N1115" s="6">
        <f ca="1">IFERROR(__xludf.DUMMYFUNCTION("""COMPUTED_VALUE"""),11434.74)</f>
        <v>11434.74</v>
      </c>
      <c r="R1115" s="6" t="str">
        <f t="shared" ca="1" si="312"/>
        <v>20227</v>
      </c>
      <c r="S1115" s="6">
        <f t="shared" ca="1" si="313"/>
        <v>2022</v>
      </c>
      <c r="T1115" s="6">
        <f t="shared" ca="1" si="314"/>
        <v>7</v>
      </c>
      <c r="U1115" s="68">
        <f ca="1">IFERROR(__xludf.DUMMYFUNCTION("""COMPUTED_VALUE"""),44756.6458333333)</f>
        <v>44756.645833333299</v>
      </c>
      <c r="V1115" s="6">
        <f ca="1">IFERROR(__xludf.DUMMYFUNCTION("""COMPUTED_VALUE"""),2322.32)</f>
        <v>2322.3200000000002</v>
      </c>
      <c r="Z1115" s="6" t="str">
        <f t="shared" ca="1" si="315"/>
        <v>20213</v>
      </c>
      <c r="AA1115" s="6">
        <f t="shared" ca="1" si="316"/>
        <v>2021</v>
      </c>
      <c r="AB1115" s="6">
        <f t="shared" ca="1" si="317"/>
        <v>3</v>
      </c>
      <c r="AC1115" s="68">
        <f ca="1">IFERROR(__xludf.DUMMYFUNCTION("""COMPUTED_VALUE"""),44260.9986111111)</f>
        <v>44260.998611111099</v>
      </c>
      <c r="AD1115" s="6">
        <f ca="1">IFERROR(__xludf.DUMMYFUNCTION("""COMPUTED_VALUE"""),1127.49)</f>
        <v>1127.49</v>
      </c>
      <c r="AH1115" s="6" t="str">
        <f t="shared" ca="1" si="318"/>
        <v>20211</v>
      </c>
      <c r="AI1115" s="6">
        <f t="shared" ca="1" si="319"/>
        <v>2021</v>
      </c>
      <c r="AJ1115" s="6">
        <f t="shared" ca="1" si="320"/>
        <v>1</v>
      </c>
      <c r="AK1115" s="68">
        <f ca="1">IFERROR(__xludf.DUMMYFUNCTION("""COMPUTED_VALUE"""),44208.9986111111)</f>
        <v>44208.998611111099</v>
      </c>
      <c r="AL1115" s="6">
        <f ca="1">IFERROR(__xludf.DUMMYFUNCTION("""COMPUTED_VALUE"""),34051)</f>
        <v>34051</v>
      </c>
      <c r="AP1115" s="6" t="str">
        <f t="shared" ca="1" si="321"/>
        <v>20226</v>
      </c>
      <c r="AQ1115" s="6">
        <f t="shared" ca="1" si="322"/>
        <v>2022</v>
      </c>
      <c r="AR1115" s="6">
        <f t="shared" ca="1" si="323"/>
        <v>6</v>
      </c>
      <c r="AS1115" s="68">
        <f ca="1">IFERROR(__xludf.DUMMYFUNCTION("""COMPUTED_VALUE"""),44722.9986111111)</f>
        <v>44722.998611111099</v>
      </c>
      <c r="AT1115" s="6">
        <f ca="1">IFERROR(__xludf.DUMMYFUNCTION("""COMPUTED_VALUE"""),1875.5)</f>
        <v>1875.5</v>
      </c>
    </row>
    <row r="1116" spans="2:46" x14ac:dyDescent="0.35">
      <c r="B1116" s="6" t="str">
        <f t="shared" ca="1" si="306"/>
        <v>20226</v>
      </c>
      <c r="C1116" s="6">
        <f t="shared" ca="1" si="307"/>
        <v>2022</v>
      </c>
      <c r="D1116" s="6">
        <f t="shared" ca="1" si="308"/>
        <v>6</v>
      </c>
      <c r="E1116" s="68">
        <f ca="1">IFERROR(__xludf.DUMMYFUNCTION("""COMPUTED_VALUE"""),44715.6666666666)</f>
        <v>44715.666666666599</v>
      </c>
      <c r="F1116" s="6">
        <f ca="1">IFERROR(__xludf.DUMMYFUNCTION("""COMPUTED_VALUE"""),4108.54)</f>
        <v>4108.54</v>
      </c>
      <c r="J1116" s="6" t="str">
        <f t="shared" ca="1" si="309"/>
        <v>20225</v>
      </c>
      <c r="K1116" s="6">
        <f t="shared" ca="1" si="310"/>
        <v>2022</v>
      </c>
      <c r="L1116" s="6">
        <f t="shared" ca="1" si="311"/>
        <v>5</v>
      </c>
      <c r="M1116" s="68">
        <f ca="1">IFERROR(__xludf.DUMMYFUNCTION("""COMPUTED_VALUE"""),44707.6666666666)</f>
        <v>44707.666666666599</v>
      </c>
      <c r="N1116" s="6">
        <f ca="1">IFERROR(__xludf.DUMMYFUNCTION("""COMPUTED_VALUE"""),11740.65)</f>
        <v>11740.65</v>
      </c>
      <c r="R1116" s="6" t="str">
        <f t="shared" ca="1" si="312"/>
        <v>20227</v>
      </c>
      <c r="S1116" s="6">
        <f t="shared" ca="1" si="313"/>
        <v>2022</v>
      </c>
      <c r="T1116" s="6">
        <f t="shared" ca="1" si="314"/>
        <v>7</v>
      </c>
      <c r="U1116" s="68">
        <f ca="1">IFERROR(__xludf.DUMMYFUNCTION("""COMPUTED_VALUE"""),44757.6458333333)</f>
        <v>44757.645833333299</v>
      </c>
      <c r="V1116" s="6">
        <f ca="1">IFERROR(__xludf.DUMMYFUNCTION("""COMPUTED_VALUE"""),2330.98)</f>
        <v>2330.98</v>
      </c>
      <c r="Z1116" s="6" t="str">
        <f t="shared" ca="1" si="315"/>
        <v>20213</v>
      </c>
      <c r="AA1116" s="6">
        <f t="shared" ca="1" si="316"/>
        <v>2021</v>
      </c>
      <c r="AB1116" s="6">
        <f t="shared" ca="1" si="317"/>
        <v>3</v>
      </c>
      <c r="AC1116" s="68">
        <f ca="1">IFERROR(__xludf.DUMMYFUNCTION("""COMPUTED_VALUE"""),44261.9986111111)</f>
        <v>44261.998611111099</v>
      </c>
      <c r="AD1116" s="6">
        <f ca="1">IFERROR(__xludf.DUMMYFUNCTION("""COMPUTED_VALUE"""),1127.49)</f>
        <v>1127.49</v>
      </c>
      <c r="AH1116" s="6" t="str">
        <f t="shared" ca="1" si="318"/>
        <v>20211</v>
      </c>
      <c r="AI1116" s="6">
        <f t="shared" ca="1" si="319"/>
        <v>2021</v>
      </c>
      <c r="AJ1116" s="6">
        <f t="shared" ca="1" si="320"/>
        <v>1</v>
      </c>
      <c r="AK1116" s="68">
        <f ca="1">IFERROR(__xludf.DUMMYFUNCTION("""COMPUTED_VALUE"""),44209.9986111111)</f>
        <v>44209.998611111099</v>
      </c>
      <c r="AL1116" s="6">
        <f ca="1">IFERROR(__xludf.DUMMYFUNCTION("""COMPUTED_VALUE"""),37385.53)</f>
        <v>37385.53</v>
      </c>
      <c r="AP1116" s="6" t="str">
        <f t="shared" ca="1" si="321"/>
        <v>20226</v>
      </c>
      <c r="AQ1116" s="6">
        <f t="shared" ca="1" si="322"/>
        <v>2022</v>
      </c>
      <c r="AR1116" s="6">
        <f t="shared" ca="1" si="323"/>
        <v>6</v>
      </c>
      <c r="AS1116" s="68">
        <f ca="1">IFERROR(__xludf.DUMMYFUNCTION("""COMPUTED_VALUE"""),44725.9986111111)</f>
        <v>44725.998611111099</v>
      </c>
      <c r="AT1116" s="6">
        <f ca="1">IFERROR(__xludf.DUMMYFUNCTION("""COMPUTED_VALUE"""),1831.8)</f>
        <v>1831.8</v>
      </c>
    </row>
    <row r="1117" spans="2:46" x14ac:dyDescent="0.35">
      <c r="B1117" s="6" t="str">
        <f t="shared" ca="1" si="306"/>
        <v>20226</v>
      </c>
      <c r="C1117" s="6">
        <f t="shared" ca="1" si="307"/>
        <v>2022</v>
      </c>
      <c r="D1117" s="6">
        <f t="shared" ca="1" si="308"/>
        <v>6</v>
      </c>
      <c r="E1117" s="68">
        <f ca="1">IFERROR(__xludf.DUMMYFUNCTION("""COMPUTED_VALUE"""),44718.6666666666)</f>
        <v>44718.666666666599</v>
      </c>
      <c r="F1117" s="6">
        <f ca="1">IFERROR(__xludf.DUMMYFUNCTION("""COMPUTED_VALUE"""),4121.43)</f>
        <v>4121.43</v>
      </c>
      <c r="J1117" s="6" t="str">
        <f t="shared" ca="1" si="309"/>
        <v>20225</v>
      </c>
      <c r="K1117" s="6">
        <f t="shared" ca="1" si="310"/>
        <v>2022</v>
      </c>
      <c r="L1117" s="6">
        <f t="shared" ca="1" si="311"/>
        <v>5</v>
      </c>
      <c r="M1117" s="68">
        <f ca="1">IFERROR(__xludf.DUMMYFUNCTION("""COMPUTED_VALUE"""),44708.6666666666)</f>
        <v>44708.666666666599</v>
      </c>
      <c r="N1117" s="6">
        <f ca="1">IFERROR(__xludf.DUMMYFUNCTION("""COMPUTED_VALUE"""),12131.13)</f>
        <v>12131.13</v>
      </c>
      <c r="R1117" s="6" t="str">
        <f t="shared" ca="1" si="312"/>
        <v>20227</v>
      </c>
      <c r="S1117" s="6">
        <f t="shared" ca="1" si="313"/>
        <v>2022</v>
      </c>
      <c r="T1117" s="6">
        <f t="shared" ca="1" si="314"/>
        <v>7</v>
      </c>
      <c r="U1117" s="68">
        <f ca="1">IFERROR(__xludf.DUMMYFUNCTION("""COMPUTED_VALUE"""),44760.6458333333)</f>
        <v>44760.645833333299</v>
      </c>
      <c r="V1117" s="6">
        <f ca="1">IFERROR(__xludf.DUMMYFUNCTION("""COMPUTED_VALUE"""),2375.25)</f>
        <v>2375.25</v>
      </c>
      <c r="Z1117" s="6" t="str">
        <f t="shared" ca="1" si="315"/>
        <v>20213</v>
      </c>
      <c r="AA1117" s="6">
        <f t="shared" ca="1" si="316"/>
        <v>2021</v>
      </c>
      <c r="AB1117" s="6">
        <f t="shared" ca="1" si="317"/>
        <v>3</v>
      </c>
      <c r="AC1117" s="68">
        <f ca="1">IFERROR(__xludf.DUMMYFUNCTION("""COMPUTED_VALUE"""),44262.9986111111)</f>
        <v>44262.998611111099</v>
      </c>
      <c r="AD1117" s="6">
        <f ca="1">IFERROR(__xludf.DUMMYFUNCTION("""COMPUTED_VALUE"""),1127.49)</f>
        <v>1127.49</v>
      </c>
      <c r="AH1117" s="6" t="str">
        <f t="shared" ca="1" si="318"/>
        <v>20211</v>
      </c>
      <c r="AI1117" s="6">
        <f t="shared" ca="1" si="319"/>
        <v>2021</v>
      </c>
      <c r="AJ1117" s="6">
        <f t="shared" ca="1" si="320"/>
        <v>1</v>
      </c>
      <c r="AK1117" s="68">
        <f ca="1">IFERROR(__xludf.DUMMYFUNCTION("""COMPUTED_VALUE"""),44210.9986111111)</f>
        <v>44210.998611111099</v>
      </c>
      <c r="AL1117" s="6">
        <f ca="1">IFERROR(__xludf.DUMMYFUNCTION("""COMPUTED_VALUE"""),39152.59)</f>
        <v>39152.589999999997</v>
      </c>
      <c r="AP1117" s="6" t="str">
        <f t="shared" ca="1" si="321"/>
        <v>20226</v>
      </c>
      <c r="AQ1117" s="6">
        <f t="shared" ca="1" si="322"/>
        <v>2022</v>
      </c>
      <c r="AR1117" s="6">
        <f t="shared" ca="1" si="323"/>
        <v>6</v>
      </c>
      <c r="AS1117" s="68">
        <f ca="1">IFERROR(__xludf.DUMMYFUNCTION("""COMPUTED_VALUE"""),44726.9986111111)</f>
        <v>44726.998611111099</v>
      </c>
      <c r="AT1117" s="6">
        <f ca="1">IFERROR(__xludf.DUMMYFUNCTION("""COMPUTED_VALUE"""),1813.5)</f>
        <v>1813.5</v>
      </c>
    </row>
    <row r="1118" spans="2:46" x14ac:dyDescent="0.35">
      <c r="B1118" s="6" t="str">
        <f t="shared" ca="1" si="306"/>
        <v>20226</v>
      </c>
      <c r="C1118" s="6">
        <f t="shared" ca="1" si="307"/>
        <v>2022</v>
      </c>
      <c r="D1118" s="6">
        <f t="shared" ca="1" si="308"/>
        <v>6</v>
      </c>
      <c r="E1118" s="68">
        <f ca="1">IFERROR(__xludf.DUMMYFUNCTION("""COMPUTED_VALUE"""),44719.6666666666)</f>
        <v>44719.666666666599</v>
      </c>
      <c r="F1118" s="6">
        <f ca="1">IFERROR(__xludf.DUMMYFUNCTION("""COMPUTED_VALUE"""),4160.68)</f>
        <v>4160.68</v>
      </c>
      <c r="J1118" s="6" t="str">
        <f t="shared" ca="1" si="309"/>
        <v>20225</v>
      </c>
      <c r="K1118" s="6">
        <f t="shared" ca="1" si="310"/>
        <v>2022</v>
      </c>
      <c r="L1118" s="6">
        <f t="shared" ca="1" si="311"/>
        <v>5</v>
      </c>
      <c r="M1118" s="68">
        <f ca="1">IFERROR(__xludf.DUMMYFUNCTION("""COMPUTED_VALUE"""),44712.6666666666)</f>
        <v>44712.666666666599</v>
      </c>
      <c r="N1118" s="6">
        <f ca="1">IFERROR(__xludf.DUMMYFUNCTION("""COMPUTED_VALUE"""),12081.39)</f>
        <v>12081.39</v>
      </c>
      <c r="R1118" s="6" t="str">
        <f t="shared" ca="1" si="312"/>
        <v>20227</v>
      </c>
      <c r="S1118" s="6">
        <f t="shared" ca="1" si="313"/>
        <v>2022</v>
      </c>
      <c r="T1118" s="6">
        <f t="shared" ca="1" si="314"/>
        <v>7</v>
      </c>
      <c r="U1118" s="68">
        <f ca="1">IFERROR(__xludf.DUMMYFUNCTION("""COMPUTED_VALUE"""),44761.6458333333)</f>
        <v>44761.645833333299</v>
      </c>
      <c r="V1118" s="6">
        <f ca="1">IFERROR(__xludf.DUMMYFUNCTION("""COMPUTED_VALUE"""),2370.97)</f>
        <v>2370.9699999999998</v>
      </c>
      <c r="Z1118" s="6" t="str">
        <f t="shared" ca="1" si="315"/>
        <v>20213</v>
      </c>
      <c r="AA1118" s="6">
        <f t="shared" ca="1" si="316"/>
        <v>2021</v>
      </c>
      <c r="AB1118" s="6">
        <f t="shared" ca="1" si="317"/>
        <v>3</v>
      </c>
      <c r="AC1118" s="68">
        <f ca="1">IFERROR(__xludf.DUMMYFUNCTION("""COMPUTED_VALUE"""),44263.9986111111)</f>
        <v>44263.998611111099</v>
      </c>
      <c r="AD1118" s="6">
        <f ca="1">IFERROR(__xludf.DUMMYFUNCTION("""COMPUTED_VALUE"""),1140.23)</f>
        <v>1140.23</v>
      </c>
      <c r="AH1118" s="6" t="str">
        <f t="shared" ca="1" si="318"/>
        <v>20211</v>
      </c>
      <c r="AI1118" s="6">
        <f t="shared" ca="1" si="319"/>
        <v>2021</v>
      </c>
      <c r="AJ1118" s="6">
        <f t="shared" ca="1" si="320"/>
        <v>1</v>
      </c>
      <c r="AK1118" s="68">
        <f ca="1">IFERROR(__xludf.DUMMYFUNCTION("""COMPUTED_VALUE"""),44211.9986111111)</f>
        <v>44211.998611111099</v>
      </c>
      <c r="AL1118" s="6">
        <f ca="1">IFERROR(__xludf.DUMMYFUNCTION("""COMPUTED_VALUE"""),36820.3)</f>
        <v>36820.300000000003</v>
      </c>
      <c r="AP1118" s="6" t="str">
        <f t="shared" ca="1" si="321"/>
        <v>20226</v>
      </c>
      <c r="AQ1118" s="6">
        <f t="shared" ca="1" si="322"/>
        <v>2022</v>
      </c>
      <c r="AR1118" s="6">
        <f t="shared" ca="1" si="323"/>
        <v>6</v>
      </c>
      <c r="AS1118" s="68">
        <f ca="1">IFERROR(__xludf.DUMMYFUNCTION("""COMPUTED_VALUE"""),44727.9986111111)</f>
        <v>44727.998611111099</v>
      </c>
      <c r="AT1118" s="6">
        <f ca="1">IFERROR(__xludf.DUMMYFUNCTION("""COMPUTED_VALUE"""),1819.6)</f>
        <v>1819.6</v>
      </c>
    </row>
    <row r="1119" spans="2:46" x14ac:dyDescent="0.35">
      <c r="B1119" s="6" t="str">
        <f t="shared" ca="1" si="306"/>
        <v>20226</v>
      </c>
      <c r="C1119" s="6">
        <f t="shared" ca="1" si="307"/>
        <v>2022</v>
      </c>
      <c r="D1119" s="6">
        <f t="shared" ca="1" si="308"/>
        <v>6</v>
      </c>
      <c r="E1119" s="68">
        <f ca="1">IFERROR(__xludf.DUMMYFUNCTION("""COMPUTED_VALUE"""),44720.6666666666)</f>
        <v>44720.666666666599</v>
      </c>
      <c r="F1119" s="6">
        <f ca="1">IFERROR(__xludf.DUMMYFUNCTION("""COMPUTED_VALUE"""),4115.77)</f>
        <v>4115.7700000000004</v>
      </c>
      <c r="J1119" s="6" t="str">
        <f t="shared" ca="1" si="309"/>
        <v>20226</v>
      </c>
      <c r="K1119" s="6">
        <f t="shared" ca="1" si="310"/>
        <v>2022</v>
      </c>
      <c r="L1119" s="6">
        <f t="shared" ca="1" si="311"/>
        <v>6</v>
      </c>
      <c r="M1119" s="68">
        <f ca="1">IFERROR(__xludf.DUMMYFUNCTION("""COMPUTED_VALUE"""),44713.6666666666)</f>
        <v>44713.666666666599</v>
      </c>
      <c r="N1119" s="6">
        <f ca="1">IFERROR(__xludf.DUMMYFUNCTION("""COMPUTED_VALUE"""),11994.46)</f>
        <v>11994.46</v>
      </c>
      <c r="R1119" s="6" t="str">
        <f t="shared" ca="1" si="312"/>
        <v>20227</v>
      </c>
      <c r="S1119" s="6">
        <f t="shared" ca="1" si="313"/>
        <v>2022</v>
      </c>
      <c r="T1119" s="6">
        <f t="shared" ca="1" si="314"/>
        <v>7</v>
      </c>
      <c r="U1119" s="68">
        <f ca="1">IFERROR(__xludf.DUMMYFUNCTION("""COMPUTED_VALUE"""),44762.6458333333)</f>
        <v>44762.645833333299</v>
      </c>
      <c r="V1119" s="6">
        <f ca="1">IFERROR(__xludf.DUMMYFUNCTION("""COMPUTED_VALUE"""),2386.85)</f>
        <v>2386.85</v>
      </c>
      <c r="Z1119" s="6" t="str">
        <f t="shared" ca="1" si="315"/>
        <v>20213</v>
      </c>
      <c r="AA1119" s="6">
        <f t="shared" ca="1" si="316"/>
        <v>2021</v>
      </c>
      <c r="AB1119" s="6">
        <f t="shared" ca="1" si="317"/>
        <v>3</v>
      </c>
      <c r="AC1119" s="68">
        <f ca="1">IFERROR(__xludf.DUMMYFUNCTION("""COMPUTED_VALUE"""),44264.9986111111)</f>
        <v>44264.998611111099</v>
      </c>
      <c r="AD1119" s="6">
        <f ca="1">IFERROR(__xludf.DUMMYFUNCTION("""COMPUTED_VALUE"""),1134.91)</f>
        <v>1134.9100000000001</v>
      </c>
      <c r="AH1119" s="6" t="str">
        <f t="shared" ca="1" si="318"/>
        <v>20211</v>
      </c>
      <c r="AI1119" s="6">
        <f t="shared" ca="1" si="319"/>
        <v>2021</v>
      </c>
      <c r="AJ1119" s="6">
        <f t="shared" ca="1" si="320"/>
        <v>1</v>
      </c>
      <c r="AK1119" s="68">
        <f ca="1">IFERROR(__xludf.DUMMYFUNCTION("""COMPUTED_VALUE"""),44212.9986111111)</f>
        <v>44212.998611111099</v>
      </c>
      <c r="AL1119" s="6">
        <f ca="1">IFERROR(__xludf.DUMMYFUNCTION("""COMPUTED_VALUE"""),36022.09)</f>
        <v>36022.089999999997</v>
      </c>
      <c r="AP1119" s="6" t="str">
        <f t="shared" ca="1" si="321"/>
        <v>20226</v>
      </c>
      <c r="AQ1119" s="6">
        <f t="shared" ca="1" si="322"/>
        <v>2022</v>
      </c>
      <c r="AR1119" s="6">
        <f t="shared" ca="1" si="323"/>
        <v>6</v>
      </c>
      <c r="AS1119" s="68">
        <f ca="1">IFERROR(__xludf.DUMMYFUNCTION("""COMPUTED_VALUE"""),44728.9986111111)</f>
        <v>44728.998611111099</v>
      </c>
      <c r="AT1119" s="6">
        <f ca="1">IFERROR(__xludf.DUMMYFUNCTION("""COMPUTED_VALUE"""),1849.9)</f>
        <v>1849.9</v>
      </c>
    </row>
    <row r="1120" spans="2:46" x14ac:dyDescent="0.35">
      <c r="B1120" s="6" t="str">
        <f t="shared" ca="1" si="306"/>
        <v>20226</v>
      </c>
      <c r="C1120" s="6">
        <f t="shared" ca="1" si="307"/>
        <v>2022</v>
      </c>
      <c r="D1120" s="6">
        <f t="shared" ca="1" si="308"/>
        <v>6</v>
      </c>
      <c r="E1120" s="68">
        <f ca="1">IFERROR(__xludf.DUMMYFUNCTION("""COMPUTED_VALUE"""),44721.6666666666)</f>
        <v>44721.666666666599</v>
      </c>
      <c r="F1120" s="6">
        <f ca="1">IFERROR(__xludf.DUMMYFUNCTION("""COMPUTED_VALUE"""),4017.82)</f>
        <v>4017.82</v>
      </c>
      <c r="J1120" s="6" t="str">
        <f t="shared" ca="1" si="309"/>
        <v>20226</v>
      </c>
      <c r="K1120" s="6">
        <f t="shared" ca="1" si="310"/>
        <v>2022</v>
      </c>
      <c r="L1120" s="6">
        <f t="shared" ca="1" si="311"/>
        <v>6</v>
      </c>
      <c r="M1120" s="68">
        <f ca="1">IFERROR(__xludf.DUMMYFUNCTION("""COMPUTED_VALUE"""),44714.6666666666)</f>
        <v>44714.666666666599</v>
      </c>
      <c r="N1120" s="6">
        <f ca="1">IFERROR(__xludf.DUMMYFUNCTION("""COMPUTED_VALUE"""),12316.9)</f>
        <v>12316.9</v>
      </c>
      <c r="R1120" s="6" t="str">
        <f t="shared" ca="1" si="312"/>
        <v>20227</v>
      </c>
      <c r="S1120" s="6">
        <f t="shared" ca="1" si="313"/>
        <v>2022</v>
      </c>
      <c r="T1120" s="6">
        <f t="shared" ca="1" si="314"/>
        <v>7</v>
      </c>
      <c r="U1120" s="68">
        <f ca="1">IFERROR(__xludf.DUMMYFUNCTION("""COMPUTED_VALUE"""),44763.6458333333)</f>
        <v>44763.645833333299</v>
      </c>
      <c r="V1120" s="6">
        <f ca="1">IFERROR(__xludf.DUMMYFUNCTION("""COMPUTED_VALUE"""),2409.16)</f>
        <v>2409.16</v>
      </c>
      <c r="Z1120" s="6" t="str">
        <f t="shared" ca="1" si="315"/>
        <v>20213</v>
      </c>
      <c r="AA1120" s="6">
        <f t="shared" ca="1" si="316"/>
        <v>2021</v>
      </c>
      <c r="AB1120" s="6">
        <f t="shared" ca="1" si="317"/>
        <v>3</v>
      </c>
      <c r="AC1120" s="68">
        <f ca="1">IFERROR(__xludf.DUMMYFUNCTION("""COMPUTED_VALUE"""),44265.9986111111)</f>
        <v>44265.998611111099</v>
      </c>
      <c r="AD1120" s="6">
        <f ca="1">IFERROR(__xludf.DUMMYFUNCTION("""COMPUTED_VALUE"""),1136.01)</f>
        <v>1136.01</v>
      </c>
      <c r="AH1120" s="6" t="str">
        <f t="shared" ca="1" si="318"/>
        <v>20211</v>
      </c>
      <c r="AI1120" s="6">
        <f t="shared" ca="1" si="319"/>
        <v>2021</v>
      </c>
      <c r="AJ1120" s="6">
        <f t="shared" ca="1" si="320"/>
        <v>1</v>
      </c>
      <c r="AK1120" s="68">
        <f ca="1">IFERROR(__xludf.DUMMYFUNCTION("""COMPUTED_VALUE"""),44213.9986111111)</f>
        <v>44213.998611111099</v>
      </c>
      <c r="AL1120" s="6">
        <f ca="1">IFERROR(__xludf.DUMMYFUNCTION("""COMPUTED_VALUE"""),35825.16)</f>
        <v>35825.160000000003</v>
      </c>
      <c r="AP1120" s="6" t="str">
        <f t="shared" ca="1" si="321"/>
        <v>20226</v>
      </c>
      <c r="AQ1120" s="6">
        <f t="shared" ca="1" si="322"/>
        <v>2022</v>
      </c>
      <c r="AR1120" s="6">
        <f t="shared" ca="1" si="323"/>
        <v>6</v>
      </c>
      <c r="AS1120" s="68">
        <f ca="1">IFERROR(__xludf.DUMMYFUNCTION("""COMPUTED_VALUE"""),44729.9986111111)</f>
        <v>44729.998611111099</v>
      </c>
      <c r="AT1120" s="6">
        <f ca="1">IFERROR(__xludf.DUMMYFUNCTION("""COMPUTED_VALUE"""),1840.6)</f>
        <v>1840.6</v>
      </c>
    </row>
    <row r="1121" spans="2:46" x14ac:dyDescent="0.35">
      <c r="B1121" s="6" t="str">
        <f t="shared" ca="1" si="306"/>
        <v>20226</v>
      </c>
      <c r="C1121" s="6">
        <f t="shared" ca="1" si="307"/>
        <v>2022</v>
      </c>
      <c r="D1121" s="6">
        <f t="shared" ca="1" si="308"/>
        <v>6</v>
      </c>
      <c r="E1121" s="68">
        <f ca="1">IFERROR(__xludf.DUMMYFUNCTION("""COMPUTED_VALUE"""),44722.6666666666)</f>
        <v>44722.666666666599</v>
      </c>
      <c r="F1121" s="6">
        <f ca="1">IFERROR(__xludf.DUMMYFUNCTION("""COMPUTED_VALUE"""),3900.86)</f>
        <v>3900.86</v>
      </c>
      <c r="J1121" s="6" t="str">
        <f t="shared" ca="1" si="309"/>
        <v>20226</v>
      </c>
      <c r="K1121" s="6">
        <f t="shared" ca="1" si="310"/>
        <v>2022</v>
      </c>
      <c r="L1121" s="6">
        <f t="shared" ca="1" si="311"/>
        <v>6</v>
      </c>
      <c r="M1121" s="68">
        <f ca="1">IFERROR(__xludf.DUMMYFUNCTION("""COMPUTED_VALUE"""),44715.6666666666)</f>
        <v>44715.666666666599</v>
      </c>
      <c r="N1121" s="6">
        <f ca="1">IFERROR(__xludf.DUMMYFUNCTION("""COMPUTED_VALUE"""),12012.73)</f>
        <v>12012.73</v>
      </c>
      <c r="R1121" s="6" t="str">
        <f t="shared" ca="1" si="312"/>
        <v>20227</v>
      </c>
      <c r="S1121" s="6">
        <f t="shared" ca="1" si="313"/>
        <v>2022</v>
      </c>
      <c r="T1121" s="6">
        <f t="shared" ca="1" si="314"/>
        <v>7</v>
      </c>
      <c r="U1121" s="68">
        <f ca="1">IFERROR(__xludf.DUMMYFUNCTION("""COMPUTED_VALUE"""),44764.6458333333)</f>
        <v>44764.645833333299</v>
      </c>
      <c r="V1121" s="6">
        <f ca="1">IFERROR(__xludf.DUMMYFUNCTION("""COMPUTED_VALUE"""),2393.14)</f>
        <v>2393.14</v>
      </c>
      <c r="Z1121" s="6" t="str">
        <f t="shared" ca="1" si="315"/>
        <v>20213</v>
      </c>
      <c r="AA1121" s="6">
        <f t="shared" ca="1" si="316"/>
        <v>2021</v>
      </c>
      <c r="AB1121" s="6">
        <f t="shared" ca="1" si="317"/>
        <v>3</v>
      </c>
      <c r="AC1121" s="68">
        <f ca="1">IFERROR(__xludf.DUMMYFUNCTION("""COMPUTED_VALUE"""),44266.9986111111)</f>
        <v>44266.998611111099</v>
      </c>
      <c r="AD1121" s="6">
        <f ca="1">IFERROR(__xludf.DUMMYFUNCTION("""COMPUTED_VALUE"""),1129.64)</f>
        <v>1129.6400000000001</v>
      </c>
      <c r="AH1121" s="6" t="str">
        <f t="shared" ca="1" si="318"/>
        <v>20211</v>
      </c>
      <c r="AI1121" s="6">
        <f t="shared" ca="1" si="319"/>
        <v>2021</v>
      </c>
      <c r="AJ1121" s="6">
        <f t="shared" ca="1" si="320"/>
        <v>1</v>
      </c>
      <c r="AK1121" s="68">
        <f ca="1">IFERROR(__xludf.DUMMYFUNCTION("""COMPUTED_VALUE"""),44214.9986111111)</f>
        <v>44214.998611111099</v>
      </c>
      <c r="AL1121" s="6">
        <f ca="1">IFERROR(__xludf.DUMMYFUNCTION("""COMPUTED_VALUE"""),36625.9)</f>
        <v>36625.9</v>
      </c>
      <c r="AP1121" s="6" t="str">
        <f t="shared" ca="1" si="321"/>
        <v>20226</v>
      </c>
      <c r="AQ1121" s="6">
        <f t="shared" ca="1" si="322"/>
        <v>2022</v>
      </c>
      <c r="AR1121" s="6">
        <f t="shared" ca="1" si="323"/>
        <v>6</v>
      </c>
      <c r="AS1121" s="68">
        <f ca="1">IFERROR(__xludf.DUMMYFUNCTION("""COMPUTED_VALUE"""),44733.9986111111)</f>
        <v>44733.998611111099</v>
      </c>
      <c r="AT1121" s="6">
        <f ca="1">IFERROR(__xludf.DUMMYFUNCTION("""COMPUTED_VALUE"""),1838.8)</f>
        <v>1838.8</v>
      </c>
    </row>
    <row r="1122" spans="2:46" x14ac:dyDescent="0.35">
      <c r="B1122" s="6" t="str">
        <f t="shared" ca="1" si="306"/>
        <v>20226</v>
      </c>
      <c r="C1122" s="6">
        <f t="shared" ca="1" si="307"/>
        <v>2022</v>
      </c>
      <c r="D1122" s="6">
        <f t="shared" ca="1" si="308"/>
        <v>6</v>
      </c>
      <c r="E1122" s="68">
        <f ca="1">IFERROR(__xludf.DUMMYFUNCTION("""COMPUTED_VALUE"""),44725.6666666666)</f>
        <v>44725.666666666599</v>
      </c>
      <c r="F1122" s="6">
        <f ca="1">IFERROR(__xludf.DUMMYFUNCTION("""COMPUTED_VALUE"""),3749.63)</f>
        <v>3749.63</v>
      </c>
      <c r="J1122" s="6" t="str">
        <f t="shared" ca="1" si="309"/>
        <v>20226</v>
      </c>
      <c r="K1122" s="6">
        <f t="shared" ca="1" si="310"/>
        <v>2022</v>
      </c>
      <c r="L1122" s="6">
        <f t="shared" ca="1" si="311"/>
        <v>6</v>
      </c>
      <c r="M1122" s="68">
        <f ca="1">IFERROR(__xludf.DUMMYFUNCTION("""COMPUTED_VALUE"""),44718.6666666666)</f>
        <v>44718.666666666599</v>
      </c>
      <c r="N1122" s="6">
        <f ca="1">IFERROR(__xludf.DUMMYFUNCTION("""COMPUTED_VALUE"""),12061.37)</f>
        <v>12061.37</v>
      </c>
      <c r="R1122" s="6" t="str">
        <f t="shared" ca="1" si="312"/>
        <v>20227</v>
      </c>
      <c r="S1122" s="6">
        <f t="shared" ca="1" si="313"/>
        <v>2022</v>
      </c>
      <c r="T1122" s="6">
        <f t="shared" ca="1" si="314"/>
        <v>7</v>
      </c>
      <c r="U1122" s="68">
        <f ca="1">IFERROR(__xludf.DUMMYFUNCTION("""COMPUTED_VALUE"""),44767.6458333333)</f>
        <v>44767.645833333299</v>
      </c>
      <c r="V1122" s="6">
        <f ca="1">IFERROR(__xludf.DUMMYFUNCTION("""COMPUTED_VALUE"""),2403.69)</f>
        <v>2403.69</v>
      </c>
      <c r="Z1122" s="6" t="str">
        <f t="shared" ca="1" si="315"/>
        <v>20213</v>
      </c>
      <c r="AA1122" s="6">
        <f t="shared" ca="1" si="316"/>
        <v>2021</v>
      </c>
      <c r="AB1122" s="6">
        <f t="shared" ca="1" si="317"/>
        <v>3</v>
      </c>
      <c r="AC1122" s="68">
        <f ca="1">IFERROR(__xludf.DUMMYFUNCTION("""COMPUTED_VALUE"""),44267.9986111111)</f>
        <v>44267.998611111099</v>
      </c>
      <c r="AD1122" s="6">
        <f ca="1">IFERROR(__xludf.DUMMYFUNCTION("""COMPUTED_VALUE"""),1135.39)</f>
        <v>1135.3900000000001</v>
      </c>
      <c r="AH1122" s="6" t="str">
        <f t="shared" ca="1" si="318"/>
        <v>20211</v>
      </c>
      <c r="AI1122" s="6">
        <f t="shared" ca="1" si="319"/>
        <v>2021</v>
      </c>
      <c r="AJ1122" s="6">
        <f t="shared" ca="1" si="320"/>
        <v>1</v>
      </c>
      <c r="AK1122" s="68">
        <f ca="1">IFERROR(__xludf.DUMMYFUNCTION("""COMPUTED_VALUE"""),44215.9986111111)</f>
        <v>44215.998611111099</v>
      </c>
      <c r="AL1122" s="6">
        <f ca="1">IFERROR(__xludf.DUMMYFUNCTION("""COMPUTED_VALUE"""),35972.69)</f>
        <v>35972.69</v>
      </c>
      <c r="AP1122" s="6" t="str">
        <f t="shared" ca="1" si="321"/>
        <v>20226</v>
      </c>
      <c r="AQ1122" s="6">
        <f t="shared" ca="1" si="322"/>
        <v>2022</v>
      </c>
      <c r="AR1122" s="6">
        <f t="shared" ca="1" si="323"/>
        <v>6</v>
      </c>
      <c r="AS1122" s="68">
        <f ca="1">IFERROR(__xludf.DUMMYFUNCTION("""COMPUTED_VALUE"""),44734.9986111111)</f>
        <v>44734.998611111099</v>
      </c>
      <c r="AT1122" s="6">
        <f ca="1">IFERROR(__xludf.DUMMYFUNCTION("""COMPUTED_VALUE"""),1838.4)</f>
        <v>1838.4</v>
      </c>
    </row>
    <row r="1123" spans="2:46" x14ac:dyDescent="0.35">
      <c r="B1123" s="6" t="str">
        <f t="shared" ca="1" si="306"/>
        <v>20226</v>
      </c>
      <c r="C1123" s="6">
        <f t="shared" ca="1" si="307"/>
        <v>2022</v>
      </c>
      <c r="D1123" s="6">
        <f t="shared" ca="1" si="308"/>
        <v>6</v>
      </c>
      <c r="E1123" s="68">
        <f ca="1">IFERROR(__xludf.DUMMYFUNCTION("""COMPUTED_VALUE"""),44726.6666666666)</f>
        <v>44726.666666666599</v>
      </c>
      <c r="F1123" s="6">
        <f ca="1">IFERROR(__xludf.DUMMYFUNCTION("""COMPUTED_VALUE"""),3735.48)</f>
        <v>3735.48</v>
      </c>
      <c r="J1123" s="6" t="str">
        <f t="shared" ca="1" si="309"/>
        <v>20226</v>
      </c>
      <c r="K1123" s="6">
        <f t="shared" ca="1" si="310"/>
        <v>2022</v>
      </c>
      <c r="L1123" s="6">
        <f t="shared" ca="1" si="311"/>
        <v>6</v>
      </c>
      <c r="M1123" s="68">
        <f ca="1">IFERROR(__xludf.DUMMYFUNCTION("""COMPUTED_VALUE"""),44719.6666666666)</f>
        <v>44719.666666666599</v>
      </c>
      <c r="N1123" s="6">
        <f ca="1">IFERROR(__xludf.DUMMYFUNCTION("""COMPUTED_VALUE"""),12175.23)</f>
        <v>12175.23</v>
      </c>
      <c r="R1123" s="6" t="str">
        <f t="shared" ca="1" si="312"/>
        <v>20227</v>
      </c>
      <c r="S1123" s="6">
        <f t="shared" ca="1" si="313"/>
        <v>2022</v>
      </c>
      <c r="T1123" s="6">
        <f t="shared" ca="1" si="314"/>
        <v>7</v>
      </c>
      <c r="U1123" s="68">
        <f ca="1">IFERROR(__xludf.DUMMYFUNCTION("""COMPUTED_VALUE"""),44768.6458333333)</f>
        <v>44768.645833333299</v>
      </c>
      <c r="V1123" s="6">
        <f ca="1">IFERROR(__xludf.DUMMYFUNCTION("""COMPUTED_VALUE"""),2412.96)</f>
        <v>2412.96</v>
      </c>
      <c r="Z1123" s="6" t="str">
        <f t="shared" ca="1" si="315"/>
        <v>20213</v>
      </c>
      <c r="AA1123" s="6">
        <f t="shared" ca="1" si="316"/>
        <v>2021</v>
      </c>
      <c r="AB1123" s="6">
        <f t="shared" ca="1" si="317"/>
        <v>3</v>
      </c>
      <c r="AC1123" s="68">
        <f ca="1">IFERROR(__xludf.DUMMYFUNCTION("""COMPUTED_VALUE"""),44268.9986111111)</f>
        <v>44268.998611111099</v>
      </c>
      <c r="AD1123" s="6">
        <f ca="1">IFERROR(__xludf.DUMMYFUNCTION("""COMPUTED_VALUE"""),1135.39)</f>
        <v>1135.3900000000001</v>
      </c>
      <c r="AH1123" s="6" t="str">
        <f t="shared" ca="1" si="318"/>
        <v>20211</v>
      </c>
      <c r="AI1123" s="6">
        <f t="shared" ca="1" si="319"/>
        <v>2021</v>
      </c>
      <c r="AJ1123" s="6">
        <f t="shared" ca="1" si="320"/>
        <v>1</v>
      </c>
      <c r="AK1123" s="68">
        <f ca="1">IFERROR(__xludf.DUMMYFUNCTION("""COMPUTED_VALUE"""),44216.9986111111)</f>
        <v>44216.998611111099</v>
      </c>
      <c r="AL1123" s="6">
        <f ca="1">IFERROR(__xludf.DUMMYFUNCTION("""COMPUTED_VALUE"""),35501.85)</f>
        <v>35501.85</v>
      </c>
      <c r="AP1123" s="6" t="str">
        <f t="shared" ca="1" si="321"/>
        <v>20226</v>
      </c>
      <c r="AQ1123" s="6">
        <f t="shared" ca="1" si="322"/>
        <v>2022</v>
      </c>
      <c r="AR1123" s="6">
        <f t="shared" ca="1" si="323"/>
        <v>6</v>
      </c>
      <c r="AS1123" s="68">
        <f ca="1">IFERROR(__xludf.DUMMYFUNCTION("""COMPUTED_VALUE"""),44735.9986111111)</f>
        <v>44735.998611111099</v>
      </c>
      <c r="AT1123" s="6">
        <f ca="1">IFERROR(__xludf.DUMMYFUNCTION("""COMPUTED_VALUE"""),1829.8)</f>
        <v>1829.8</v>
      </c>
    </row>
    <row r="1124" spans="2:46" x14ac:dyDescent="0.35">
      <c r="B1124" s="6" t="str">
        <f t="shared" ca="1" si="306"/>
        <v>20226</v>
      </c>
      <c r="C1124" s="6">
        <f t="shared" ca="1" si="307"/>
        <v>2022</v>
      </c>
      <c r="D1124" s="6">
        <f t="shared" ca="1" si="308"/>
        <v>6</v>
      </c>
      <c r="E1124" s="68">
        <f ca="1">IFERROR(__xludf.DUMMYFUNCTION("""COMPUTED_VALUE"""),44727.6666666666)</f>
        <v>44727.666666666599</v>
      </c>
      <c r="F1124" s="6">
        <f ca="1">IFERROR(__xludf.DUMMYFUNCTION("""COMPUTED_VALUE"""),3789.99)</f>
        <v>3789.99</v>
      </c>
      <c r="J1124" s="6" t="str">
        <f t="shared" ca="1" si="309"/>
        <v>20226</v>
      </c>
      <c r="K1124" s="6">
        <f t="shared" ca="1" si="310"/>
        <v>2022</v>
      </c>
      <c r="L1124" s="6">
        <f t="shared" ca="1" si="311"/>
        <v>6</v>
      </c>
      <c r="M1124" s="68">
        <f ca="1">IFERROR(__xludf.DUMMYFUNCTION("""COMPUTED_VALUE"""),44720.6666666666)</f>
        <v>44720.666666666599</v>
      </c>
      <c r="N1124" s="6">
        <f ca="1">IFERROR(__xludf.DUMMYFUNCTION("""COMPUTED_VALUE"""),12086.27)</f>
        <v>12086.27</v>
      </c>
      <c r="R1124" s="6" t="str">
        <f t="shared" ca="1" si="312"/>
        <v>20227</v>
      </c>
      <c r="S1124" s="6">
        <f t="shared" ca="1" si="313"/>
        <v>2022</v>
      </c>
      <c r="T1124" s="6">
        <f t="shared" ca="1" si="314"/>
        <v>7</v>
      </c>
      <c r="U1124" s="68">
        <f ca="1">IFERROR(__xludf.DUMMYFUNCTION("""COMPUTED_VALUE"""),44769.6458333333)</f>
        <v>44769.645833333299</v>
      </c>
      <c r="V1124" s="6">
        <f ca="1">IFERROR(__xludf.DUMMYFUNCTION("""COMPUTED_VALUE"""),2415.53)</f>
        <v>2415.5300000000002</v>
      </c>
      <c r="Z1124" s="6" t="str">
        <f t="shared" ca="1" si="315"/>
        <v>20213</v>
      </c>
      <c r="AA1124" s="6">
        <f t="shared" ca="1" si="316"/>
        <v>2021</v>
      </c>
      <c r="AB1124" s="6">
        <f t="shared" ca="1" si="317"/>
        <v>3</v>
      </c>
      <c r="AC1124" s="68">
        <f ca="1">IFERROR(__xludf.DUMMYFUNCTION("""COMPUTED_VALUE"""),44269.9986111111)</f>
        <v>44269.998611111099</v>
      </c>
      <c r="AD1124" s="6">
        <f ca="1">IFERROR(__xludf.DUMMYFUNCTION("""COMPUTED_VALUE"""),1134.5)</f>
        <v>1134.5</v>
      </c>
      <c r="AH1124" s="6" t="str">
        <f t="shared" ca="1" si="318"/>
        <v>20211</v>
      </c>
      <c r="AI1124" s="6">
        <f t="shared" ca="1" si="319"/>
        <v>2021</v>
      </c>
      <c r="AJ1124" s="6">
        <f t="shared" ca="1" si="320"/>
        <v>1</v>
      </c>
      <c r="AK1124" s="68">
        <f ca="1">IFERROR(__xludf.DUMMYFUNCTION("""COMPUTED_VALUE"""),44217.9986111111)</f>
        <v>44217.998611111099</v>
      </c>
      <c r="AL1124" s="6">
        <f ca="1">IFERROR(__xludf.DUMMYFUNCTION("""COMPUTED_VALUE"""),30834.26)</f>
        <v>30834.26</v>
      </c>
      <c r="AP1124" s="6" t="str">
        <f t="shared" ca="1" si="321"/>
        <v>20226</v>
      </c>
      <c r="AQ1124" s="6">
        <f t="shared" ca="1" si="322"/>
        <v>2022</v>
      </c>
      <c r="AR1124" s="6">
        <f t="shared" ca="1" si="323"/>
        <v>6</v>
      </c>
      <c r="AS1124" s="68">
        <f ca="1">IFERROR(__xludf.DUMMYFUNCTION("""COMPUTED_VALUE"""),44736.9986111111)</f>
        <v>44736.998611111099</v>
      </c>
      <c r="AT1124" s="6">
        <f ca="1">IFERROR(__xludf.DUMMYFUNCTION("""COMPUTED_VALUE"""),1830.3)</f>
        <v>1830.3</v>
      </c>
    </row>
    <row r="1125" spans="2:46" x14ac:dyDescent="0.35">
      <c r="B1125" s="6" t="str">
        <f t="shared" ca="1" si="306"/>
        <v>20226</v>
      </c>
      <c r="C1125" s="6">
        <f t="shared" ca="1" si="307"/>
        <v>2022</v>
      </c>
      <c r="D1125" s="6">
        <f t="shared" ca="1" si="308"/>
        <v>6</v>
      </c>
      <c r="E1125" s="68">
        <f ca="1">IFERROR(__xludf.DUMMYFUNCTION("""COMPUTED_VALUE"""),44728.6666666666)</f>
        <v>44728.666666666599</v>
      </c>
      <c r="F1125" s="6">
        <f ca="1">IFERROR(__xludf.DUMMYFUNCTION("""COMPUTED_VALUE"""),3666.77)</f>
        <v>3666.77</v>
      </c>
      <c r="J1125" s="6" t="str">
        <f t="shared" ca="1" si="309"/>
        <v>20226</v>
      </c>
      <c r="K1125" s="6">
        <f t="shared" ca="1" si="310"/>
        <v>2022</v>
      </c>
      <c r="L1125" s="6">
        <f t="shared" ca="1" si="311"/>
        <v>6</v>
      </c>
      <c r="M1125" s="68">
        <f ca="1">IFERROR(__xludf.DUMMYFUNCTION("""COMPUTED_VALUE"""),44721.6666666666)</f>
        <v>44721.666666666599</v>
      </c>
      <c r="N1125" s="6">
        <f ca="1">IFERROR(__xludf.DUMMYFUNCTION("""COMPUTED_VALUE"""),11754.23)</f>
        <v>11754.23</v>
      </c>
      <c r="R1125" s="6" t="str">
        <f t="shared" ca="1" si="312"/>
        <v>20227</v>
      </c>
      <c r="S1125" s="6">
        <f t="shared" ca="1" si="313"/>
        <v>2022</v>
      </c>
      <c r="T1125" s="6">
        <f t="shared" ca="1" si="314"/>
        <v>7</v>
      </c>
      <c r="U1125" s="68">
        <f ca="1">IFERROR(__xludf.DUMMYFUNCTION("""COMPUTED_VALUE"""),44770.6458333333)</f>
        <v>44770.645833333299</v>
      </c>
      <c r="V1125" s="6">
        <f ca="1">IFERROR(__xludf.DUMMYFUNCTION("""COMPUTED_VALUE"""),2435.27)</f>
        <v>2435.27</v>
      </c>
      <c r="Z1125" s="6" t="str">
        <f t="shared" ca="1" si="315"/>
        <v>20213</v>
      </c>
      <c r="AA1125" s="6">
        <f t="shared" ca="1" si="316"/>
        <v>2021</v>
      </c>
      <c r="AB1125" s="6">
        <f t="shared" ca="1" si="317"/>
        <v>3</v>
      </c>
      <c r="AC1125" s="68">
        <f ca="1">IFERROR(__xludf.DUMMYFUNCTION("""COMPUTED_VALUE"""),44270.9986111111)</f>
        <v>44270.998611111099</v>
      </c>
      <c r="AD1125" s="6">
        <f ca="1">IFERROR(__xludf.DUMMYFUNCTION("""COMPUTED_VALUE"""),1131.39)</f>
        <v>1131.3900000000001</v>
      </c>
      <c r="AH1125" s="6" t="str">
        <f t="shared" ca="1" si="318"/>
        <v>20211</v>
      </c>
      <c r="AI1125" s="6">
        <f t="shared" ca="1" si="319"/>
        <v>2021</v>
      </c>
      <c r="AJ1125" s="6">
        <f t="shared" ca="1" si="320"/>
        <v>1</v>
      </c>
      <c r="AK1125" s="68">
        <f ca="1">IFERROR(__xludf.DUMMYFUNCTION("""COMPUTED_VALUE"""),44218.9986111111)</f>
        <v>44218.998611111099</v>
      </c>
      <c r="AL1125" s="6">
        <f ca="1">IFERROR(__xludf.DUMMYFUNCTION("""COMPUTED_VALUE"""),33010.61)</f>
        <v>33010.61</v>
      </c>
      <c r="AP1125" s="6" t="str">
        <f t="shared" ca="1" si="321"/>
        <v>20226</v>
      </c>
      <c r="AQ1125" s="6">
        <f t="shared" ca="1" si="322"/>
        <v>2022</v>
      </c>
      <c r="AR1125" s="6">
        <f t="shared" ca="1" si="323"/>
        <v>6</v>
      </c>
      <c r="AS1125" s="68">
        <f ca="1">IFERROR(__xludf.DUMMYFUNCTION("""COMPUTED_VALUE"""),44739.9986111111)</f>
        <v>44739.998611111099</v>
      </c>
      <c r="AT1125" s="6">
        <f ca="1">IFERROR(__xludf.DUMMYFUNCTION("""COMPUTED_VALUE"""),1824.8)</f>
        <v>1824.8</v>
      </c>
    </row>
    <row r="1126" spans="2:46" x14ac:dyDescent="0.35">
      <c r="B1126" s="6" t="str">
        <f t="shared" ca="1" si="306"/>
        <v>20226</v>
      </c>
      <c r="C1126" s="6">
        <f t="shared" ca="1" si="307"/>
        <v>2022</v>
      </c>
      <c r="D1126" s="6">
        <f t="shared" ca="1" si="308"/>
        <v>6</v>
      </c>
      <c r="E1126" s="68">
        <f ca="1">IFERROR(__xludf.DUMMYFUNCTION("""COMPUTED_VALUE"""),44729.6666666666)</f>
        <v>44729.666666666599</v>
      </c>
      <c r="F1126" s="6">
        <f ca="1">IFERROR(__xludf.DUMMYFUNCTION("""COMPUTED_VALUE"""),3674.84)</f>
        <v>3674.84</v>
      </c>
      <c r="J1126" s="6" t="str">
        <f t="shared" ca="1" si="309"/>
        <v>20226</v>
      </c>
      <c r="K1126" s="6">
        <f t="shared" ca="1" si="310"/>
        <v>2022</v>
      </c>
      <c r="L1126" s="6">
        <f t="shared" ca="1" si="311"/>
        <v>6</v>
      </c>
      <c r="M1126" s="68">
        <f ca="1">IFERROR(__xludf.DUMMYFUNCTION("""COMPUTED_VALUE"""),44722.6666666666)</f>
        <v>44722.666666666599</v>
      </c>
      <c r="N1126" s="6">
        <f ca="1">IFERROR(__xludf.DUMMYFUNCTION("""COMPUTED_VALUE"""),11340.02)</f>
        <v>11340.02</v>
      </c>
      <c r="R1126" s="6" t="str">
        <f t="shared" ca="1" si="312"/>
        <v>20227</v>
      </c>
      <c r="S1126" s="6">
        <f t="shared" ca="1" si="313"/>
        <v>2022</v>
      </c>
      <c r="T1126" s="6">
        <f t="shared" ca="1" si="314"/>
        <v>7</v>
      </c>
      <c r="U1126" s="68">
        <f ca="1">IFERROR(__xludf.DUMMYFUNCTION("""COMPUTED_VALUE"""),44771.6458333333)</f>
        <v>44771.645833333299</v>
      </c>
      <c r="V1126" s="6">
        <f ca="1">IFERROR(__xludf.DUMMYFUNCTION("""COMPUTED_VALUE"""),2451.5)</f>
        <v>2451.5</v>
      </c>
      <c r="Z1126" s="6" t="str">
        <f t="shared" ca="1" si="315"/>
        <v>20213</v>
      </c>
      <c r="AA1126" s="6">
        <f t="shared" ca="1" si="316"/>
        <v>2021</v>
      </c>
      <c r="AB1126" s="6">
        <f t="shared" ca="1" si="317"/>
        <v>3</v>
      </c>
      <c r="AC1126" s="68">
        <f ca="1">IFERROR(__xludf.DUMMYFUNCTION("""COMPUTED_VALUE"""),44271.9986111111)</f>
        <v>44271.998611111099</v>
      </c>
      <c r="AD1126" s="6">
        <f ca="1">IFERROR(__xludf.DUMMYFUNCTION("""COMPUTED_VALUE"""),1129.84)</f>
        <v>1129.8399999999999</v>
      </c>
      <c r="AH1126" s="6" t="str">
        <f t="shared" ca="1" si="318"/>
        <v>20211</v>
      </c>
      <c r="AI1126" s="6">
        <f t="shared" ca="1" si="319"/>
        <v>2021</v>
      </c>
      <c r="AJ1126" s="6">
        <f t="shared" ca="1" si="320"/>
        <v>1</v>
      </c>
      <c r="AK1126" s="68">
        <f ca="1">IFERROR(__xludf.DUMMYFUNCTION("""COMPUTED_VALUE"""),44219.9986111111)</f>
        <v>44219.998611111099</v>
      </c>
      <c r="AL1126" s="6">
        <f ca="1">IFERROR(__xludf.DUMMYFUNCTION("""COMPUTED_VALUE"""),32090.97)</f>
        <v>32090.97</v>
      </c>
      <c r="AP1126" s="6" t="str">
        <f t="shared" ca="1" si="321"/>
        <v>20226</v>
      </c>
      <c r="AQ1126" s="6">
        <f t="shared" ca="1" si="322"/>
        <v>2022</v>
      </c>
      <c r="AR1126" s="6">
        <f t="shared" ca="1" si="323"/>
        <v>6</v>
      </c>
      <c r="AS1126" s="68">
        <f ca="1">IFERROR(__xludf.DUMMYFUNCTION("""COMPUTED_VALUE"""),44740.9986111111)</f>
        <v>44740.998611111099</v>
      </c>
      <c r="AT1126" s="6">
        <f ca="1">IFERROR(__xludf.DUMMYFUNCTION("""COMPUTED_VALUE"""),1821.2)</f>
        <v>1821.2</v>
      </c>
    </row>
    <row r="1127" spans="2:46" x14ac:dyDescent="0.35">
      <c r="B1127" s="6" t="str">
        <f t="shared" ca="1" si="306"/>
        <v>20226</v>
      </c>
      <c r="C1127" s="6">
        <f t="shared" ca="1" si="307"/>
        <v>2022</v>
      </c>
      <c r="D1127" s="6">
        <f t="shared" ca="1" si="308"/>
        <v>6</v>
      </c>
      <c r="E1127" s="68">
        <f ca="1">IFERROR(__xludf.DUMMYFUNCTION("""COMPUTED_VALUE"""),44733.6666666666)</f>
        <v>44733.666666666599</v>
      </c>
      <c r="F1127" s="6">
        <f ca="1">IFERROR(__xludf.DUMMYFUNCTION("""COMPUTED_VALUE"""),3764.79)</f>
        <v>3764.79</v>
      </c>
      <c r="J1127" s="6" t="str">
        <f t="shared" ca="1" si="309"/>
        <v>20226</v>
      </c>
      <c r="K1127" s="6">
        <f t="shared" ca="1" si="310"/>
        <v>2022</v>
      </c>
      <c r="L1127" s="6">
        <f t="shared" ca="1" si="311"/>
        <v>6</v>
      </c>
      <c r="M1127" s="68">
        <f ca="1">IFERROR(__xludf.DUMMYFUNCTION("""COMPUTED_VALUE"""),44725.6666666666)</f>
        <v>44725.666666666599</v>
      </c>
      <c r="N1127" s="6">
        <f ca="1">IFERROR(__xludf.DUMMYFUNCTION("""COMPUTED_VALUE"""),10809.23)</f>
        <v>10809.23</v>
      </c>
      <c r="R1127" s="6" t="str">
        <f t="shared" ca="1" si="312"/>
        <v>20228</v>
      </c>
      <c r="S1127" s="6">
        <f t="shared" ca="1" si="313"/>
        <v>2022</v>
      </c>
      <c r="T1127" s="6">
        <f t="shared" ca="1" si="314"/>
        <v>8</v>
      </c>
      <c r="U1127" s="68">
        <f ca="1">IFERROR(__xludf.DUMMYFUNCTION("""COMPUTED_VALUE"""),44774.6458333333)</f>
        <v>44774.645833333299</v>
      </c>
      <c r="V1127" s="6">
        <f ca="1">IFERROR(__xludf.DUMMYFUNCTION("""COMPUTED_VALUE"""),2452.25)</f>
        <v>2452.25</v>
      </c>
      <c r="Z1127" s="6" t="str">
        <f t="shared" ca="1" si="315"/>
        <v>20213</v>
      </c>
      <c r="AA1127" s="6">
        <f t="shared" ca="1" si="316"/>
        <v>2021</v>
      </c>
      <c r="AB1127" s="6">
        <f t="shared" ca="1" si="317"/>
        <v>3</v>
      </c>
      <c r="AC1127" s="68">
        <f ca="1">IFERROR(__xludf.DUMMYFUNCTION("""COMPUTED_VALUE"""),44272.9986111111)</f>
        <v>44272.998611111099</v>
      </c>
      <c r="AD1127" s="6">
        <f ca="1">IFERROR(__xludf.DUMMYFUNCTION("""COMPUTED_VALUE"""),1121.13)</f>
        <v>1121.1300000000001</v>
      </c>
      <c r="AH1127" s="6" t="str">
        <f t="shared" ca="1" si="318"/>
        <v>20211</v>
      </c>
      <c r="AI1127" s="6">
        <f t="shared" ca="1" si="319"/>
        <v>2021</v>
      </c>
      <c r="AJ1127" s="6">
        <f t="shared" ca="1" si="320"/>
        <v>1</v>
      </c>
      <c r="AK1127" s="68">
        <f ca="1">IFERROR(__xludf.DUMMYFUNCTION("""COMPUTED_VALUE"""),44220.9986111111)</f>
        <v>44220.998611111099</v>
      </c>
      <c r="AL1127" s="6">
        <f ca="1">IFERROR(__xludf.DUMMYFUNCTION("""COMPUTED_VALUE"""),32260.85)</f>
        <v>32260.85</v>
      </c>
      <c r="AP1127" s="6" t="str">
        <f t="shared" ca="1" si="321"/>
        <v>20226</v>
      </c>
      <c r="AQ1127" s="6">
        <f t="shared" ca="1" si="322"/>
        <v>2022</v>
      </c>
      <c r="AR1127" s="6">
        <f t="shared" ca="1" si="323"/>
        <v>6</v>
      </c>
      <c r="AS1127" s="68">
        <f ca="1">IFERROR(__xludf.DUMMYFUNCTION("""COMPUTED_VALUE"""),44741.9986111111)</f>
        <v>44741.998611111099</v>
      </c>
      <c r="AT1127" s="6">
        <f ca="1">IFERROR(__xludf.DUMMYFUNCTION("""COMPUTED_VALUE"""),1817.5)</f>
        <v>1817.5</v>
      </c>
    </row>
    <row r="1128" spans="2:46" x14ac:dyDescent="0.35">
      <c r="B1128" s="6" t="str">
        <f t="shared" ca="1" si="306"/>
        <v>20226</v>
      </c>
      <c r="C1128" s="6">
        <f t="shared" ca="1" si="307"/>
        <v>2022</v>
      </c>
      <c r="D1128" s="6">
        <f t="shared" ca="1" si="308"/>
        <v>6</v>
      </c>
      <c r="E1128" s="68">
        <f ca="1">IFERROR(__xludf.DUMMYFUNCTION("""COMPUTED_VALUE"""),44734.6666666666)</f>
        <v>44734.666666666599</v>
      </c>
      <c r="F1128" s="6">
        <f ca="1">IFERROR(__xludf.DUMMYFUNCTION("""COMPUTED_VALUE"""),3759.89)</f>
        <v>3759.89</v>
      </c>
      <c r="J1128" s="6" t="str">
        <f t="shared" ca="1" si="309"/>
        <v>20226</v>
      </c>
      <c r="K1128" s="6">
        <f t="shared" ca="1" si="310"/>
        <v>2022</v>
      </c>
      <c r="L1128" s="6">
        <f t="shared" ca="1" si="311"/>
        <v>6</v>
      </c>
      <c r="M1128" s="68">
        <f ca="1">IFERROR(__xludf.DUMMYFUNCTION("""COMPUTED_VALUE"""),44726.6666666666)</f>
        <v>44726.666666666599</v>
      </c>
      <c r="N1128" s="6">
        <f ca="1">IFERROR(__xludf.DUMMYFUNCTION("""COMPUTED_VALUE"""),10828.35)</f>
        <v>10828.35</v>
      </c>
      <c r="R1128" s="6" t="str">
        <f t="shared" ca="1" si="312"/>
        <v>20228</v>
      </c>
      <c r="S1128" s="6">
        <f t="shared" ca="1" si="313"/>
        <v>2022</v>
      </c>
      <c r="T1128" s="6">
        <f t="shared" ca="1" si="314"/>
        <v>8</v>
      </c>
      <c r="U1128" s="68">
        <f ca="1">IFERROR(__xludf.DUMMYFUNCTION("""COMPUTED_VALUE"""),44775.6458333333)</f>
        <v>44775.645833333299</v>
      </c>
      <c r="V1128" s="6">
        <f ca="1">IFERROR(__xludf.DUMMYFUNCTION("""COMPUTED_VALUE"""),2439.62)</f>
        <v>2439.62</v>
      </c>
      <c r="Z1128" s="6" t="str">
        <f t="shared" ca="1" si="315"/>
        <v>20213</v>
      </c>
      <c r="AA1128" s="6">
        <f t="shared" ca="1" si="316"/>
        <v>2021</v>
      </c>
      <c r="AB1128" s="6">
        <f t="shared" ca="1" si="317"/>
        <v>3</v>
      </c>
      <c r="AC1128" s="68">
        <f ca="1">IFERROR(__xludf.DUMMYFUNCTION("""COMPUTED_VALUE"""),44273.9986111111)</f>
        <v>44273.998611111099</v>
      </c>
      <c r="AD1128" s="6">
        <f ca="1">IFERROR(__xludf.DUMMYFUNCTION("""COMPUTED_VALUE"""),1126.11)</f>
        <v>1126.1099999999999</v>
      </c>
      <c r="AH1128" s="6" t="str">
        <f t="shared" ca="1" si="318"/>
        <v>20211</v>
      </c>
      <c r="AI1128" s="6">
        <f t="shared" ca="1" si="319"/>
        <v>2021</v>
      </c>
      <c r="AJ1128" s="6">
        <f t="shared" ca="1" si="320"/>
        <v>1</v>
      </c>
      <c r="AK1128" s="68">
        <f ca="1">IFERROR(__xludf.DUMMYFUNCTION("""COMPUTED_VALUE"""),44221.9986111111)</f>
        <v>44221.998611111099</v>
      </c>
      <c r="AL1128" s="6">
        <f ca="1">IFERROR(__xludf.DUMMYFUNCTION("""COMPUTED_VALUE"""),32249.76)</f>
        <v>32249.759999999998</v>
      </c>
      <c r="AP1128" s="6" t="str">
        <f t="shared" ca="1" si="321"/>
        <v>20226</v>
      </c>
      <c r="AQ1128" s="6">
        <f t="shared" ca="1" si="322"/>
        <v>2022</v>
      </c>
      <c r="AR1128" s="6">
        <f t="shared" ca="1" si="323"/>
        <v>6</v>
      </c>
      <c r="AS1128" s="68">
        <f ca="1">IFERROR(__xludf.DUMMYFUNCTION("""COMPUTED_VALUE"""),44742.9986111111)</f>
        <v>44742.998611111099</v>
      </c>
      <c r="AT1128" s="6">
        <f ca="1">IFERROR(__xludf.DUMMYFUNCTION("""COMPUTED_VALUE"""),1807.3)</f>
        <v>1807.3</v>
      </c>
    </row>
    <row r="1129" spans="2:46" x14ac:dyDescent="0.35">
      <c r="B1129" s="6" t="str">
        <f t="shared" ca="1" si="306"/>
        <v>20226</v>
      </c>
      <c r="C1129" s="6">
        <f t="shared" ca="1" si="307"/>
        <v>2022</v>
      </c>
      <c r="D1129" s="6">
        <f t="shared" ca="1" si="308"/>
        <v>6</v>
      </c>
      <c r="E1129" s="68">
        <f ca="1">IFERROR(__xludf.DUMMYFUNCTION("""COMPUTED_VALUE"""),44735.6666666666)</f>
        <v>44735.666666666599</v>
      </c>
      <c r="F1129" s="6">
        <f ca="1">IFERROR(__xludf.DUMMYFUNCTION("""COMPUTED_VALUE"""),3795.73)</f>
        <v>3795.73</v>
      </c>
      <c r="J1129" s="6" t="str">
        <f t="shared" ca="1" si="309"/>
        <v>20226</v>
      </c>
      <c r="K1129" s="6">
        <f t="shared" ca="1" si="310"/>
        <v>2022</v>
      </c>
      <c r="L1129" s="6">
        <f t="shared" ca="1" si="311"/>
        <v>6</v>
      </c>
      <c r="M1129" s="68">
        <f ca="1">IFERROR(__xludf.DUMMYFUNCTION("""COMPUTED_VALUE"""),44727.6666666666)</f>
        <v>44727.666666666599</v>
      </c>
      <c r="N1129" s="6">
        <f ca="1">IFERROR(__xludf.DUMMYFUNCTION("""COMPUTED_VALUE"""),11099.16)</f>
        <v>11099.16</v>
      </c>
      <c r="R1129" s="6" t="str">
        <f t="shared" ca="1" si="312"/>
        <v>20228</v>
      </c>
      <c r="S1129" s="6">
        <f t="shared" ca="1" si="313"/>
        <v>2022</v>
      </c>
      <c r="T1129" s="6">
        <f t="shared" ca="1" si="314"/>
        <v>8</v>
      </c>
      <c r="U1129" s="68">
        <f ca="1">IFERROR(__xludf.DUMMYFUNCTION("""COMPUTED_VALUE"""),44776.6458333333)</f>
        <v>44776.645833333299</v>
      </c>
      <c r="V1129" s="6">
        <f ca="1">IFERROR(__xludf.DUMMYFUNCTION("""COMPUTED_VALUE"""),2461.45)</f>
        <v>2461.4499999999998</v>
      </c>
      <c r="Z1129" s="6" t="str">
        <f t="shared" ca="1" si="315"/>
        <v>20213</v>
      </c>
      <c r="AA1129" s="6">
        <f t="shared" ca="1" si="316"/>
        <v>2021</v>
      </c>
      <c r="AB1129" s="6">
        <f t="shared" ca="1" si="317"/>
        <v>3</v>
      </c>
      <c r="AC1129" s="68">
        <f ca="1">IFERROR(__xludf.DUMMYFUNCTION("""COMPUTED_VALUE"""),44274.9986111111)</f>
        <v>44274.998611111099</v>
      </c>
      <c r="AD1129" s="6">
        <f ca="1">IFERROR(__xludf.DUMMYFUNCTION("""COMPUTED_VALUE"""),1128.46)</f>
        <v>1128.46</v>
      </c>
      <c r="AH1129" s="6" t="str">
        <f t="shared" ca="1" si="318"/>
        <v>20211</v>
      </c>
      <c r="AI1129" s="6">
        <f t="shared" ca="1" si="319"/>
        <v>2021</v>
      </c>
      <c r="AJ1129" s="6">
        <f t="shared" ca="1" si="320"/>
        <v>1</v>
      </c>
      <c r="AK1129" s="68">
        <f ca="1">IFERROR(__xludf.DUMMYFUNCTION("""COMPUTED_VALUE"""),44222.9986111111)</f>
        <v>44222.998611111099</v>
      </c>
      <c r="AL1129" s="6">
        <f ca="1">IFERROR(__xludf.DUMMYFUNCTION("""COMPUTED_VALUE"""),32507.34)</f>
        <v>32507.34</v>
      </c>
      <c r="AP1129" s="6" t="str">
        <f t="shared" ca="1" si="321"/>
        <v>20227</v>
      </c>
      <c r="AQ1129" s="6">
        <f t="shared" ca="1" si="322"/>
        <v>2022</v>
      </c>
      <c r="AR1129" s="6">
        <f t="shared" ca="1" si="323"/>
        <v>7</v>
      </c>
      <c r="AS1129" s="68">
        <f ca="1">IFERROR(__xludf.DUMMYFUNCTION("""COMPUTED_VALUE"""),44743.9986111111)</f>
        <v>44743.998611111099</v>
      </c>
      <c r="AT1129" s="6">
        <f ca="1">IFERROR(__xludf.DUMMYFUNCTION("""COMPUTED_VALUE"""),1801.5)</f>
        <v>1801.5</v>
      </c>
    </row>
    <row r="1130" spans="2:46" x14ac:dyDescent="0.35">
      <c r="B1130" s="6" t="str">
        <f t="shared" ca="1" si="306"/>
        <v>20226</v>
      </c>
      <c r="C1130" s="6">
        <f t="shared" ca="1" si="307"/>
        <v>2022</v>
      </c>
      <c r="D1130" s="6">
        <f t="shared" ca="1" si="308"/>
        <v>6</v>
      </c>
      <c r="E1130" s="68">
        <f ca="1">IFERROR(__xludf.DUMMYFUNCTION("""COMPUTED_VALUE"""),44736.6666666666)</f>
        <v>44736.666666666599</v>
      </c>
      <c r="F1130" s="6">
        <f ca="1">IFERROR(__xludf.DUMMYFUNCTION("""COMPUTED_VALUE"""),3911.74)</f>
        <v>3911.74</v>
      </c>
      <c r="J1130" s="6" t="str">
        <f t="shared" ca="1" si="309"/>
        <v>20226</v>
      </c>
      <c r="K1130" s="6">
        <f t="shared" ca="1" si="310"/>
        <v>2022</v>
      </c>
      <c r="L1130" s="6">
        <f t="shared" ca="1" si="311"/>
        <v>6</v>
      </c>
      <c r="M1130" s="68">
        <f ca="1">IFERROR(__xludf.DUMMYFUNCTION("""COMPUTED_VALUE"""),44728.6666666666)</f>
        <v>44728.666666666599</v>
      </c>
      <c r="N1130" s="6">
        <f ca="1">IFERROR(__xludf.DUMMYFUNCTION("""COMPUTED_VALUE"""),10646.1)</f>
        <v>10646.1</v>
      </c>
      <c r="R1130" s="6" t="str">
        <f t="shared" ca="1" si="312"/>
        <v>20228</v>
      </c>
      <c r="S1130" s="6">
        <f t="shared" ca="1" si="313"/>
        <v>2022</v>
      </c>
      <c r="T1130" s="6">
        <f t="shared" ca="1" si="314"/>
        <v>8</v>
      </c>
      <c r="U1130" s="68">
        <f ca="1">IFERROR(__xludf.DUMMYFUNCTION("""COMPUTED_VALUE"""),44777.6458333333)</f>
        <v>44777.645833333299</v>
      </c>
      <c r="V1130" s="6">
        <f ca="1">IFERROR(__xludf.DUMMYFUNCTION("""COMPUTED_VALUE"""),2473.11)</f>
        <v>2473.11</v>
      </c>
      <c r="Z1130" s="6" t="str">
        <f t="shared" ca="1" si="315"/>
        <v>20213</v>
      </c>
      <c r="AA1130" s="6">
        <f t="shared" ca="1" si="316"/>
        <v>2021</v>
      </c>
      <c r="AB1130" s="6">
        <f t="shared" ca="1" si="317"/>
        <v>3</v>
      </c>
      <c r="AC1130" s="68">
        <f ca="1">IFERROR(__xludf.DUMMYFUNCTION("""COMPUTED_VALUE"""),44275.9986111111)</f>
        <v>44275.998611111099</v>
      </c>
      <c r="AD1130" s="6">
        <f ca="1">IFERROR(__xludf.DUMMYFUNCTION("""COMPUTED_VALUE"""),1128.46)</f>
        <v>1128.46</v>
      </c>
      <c r="AH1130" s="6" t="str">
        <f t="shared" ca="1" si="318"/>
        <v>20211</v>
      </c>
      <c r="AI1130" s="6">
        <f t="shared" ca="1" si="319"/>
        <v>2021</v>
      </c>
      <c r="AJ1130" s="6">
        <f t="shared" ca="1" si="320"/>
        <v>1</v>
      </c>
      <c r="AK1130" s="68">
        <f ca="1">IFERROR(__xludf.DUMMYFUNCTION("""COMPUTED_VALUE"""),44223.9986111111)</f>
        <v>44223.998611111099</v>
      </c>
      <c r="AL1130" s="6">
        <f ca="1">IFERROR(__xludf.DUMMYFUNCTION("""COMPUTED_VALUE"""),30414.07)</f>
        <v>30414.07</v>
      </c>
      <c r="AP1130" s="6" t="str">
        <f t="shared" ca="1" si="321"/>
        <v>20227</v>
      </c>
      <c r="AQ1130" s="6">
        <f t="shared" ca="1" si="322"/>
        <v>2022</v>
      </c>
      <c r="AR1130" s="6">
        <f t="shared" ca="1" si="323"/>
        <v>7</v>
      </c>
      <c r="AS1130" s="68">
        <f ca="1">IFERROR(__xludf.DUMMYFUNCTION("""COMPUTED_VALUE"""),44747.9986111111)</f>
        <v>44747.998611111099</v>
      </c>
      <c r="AT1130" s="6">
        <f ca="1">IFERROR(__xludf.DUMMYFUNCTION("""COMPUTED_VALUE"""),1763.9)</f>
        <v>1763.9</v>
      </c>
    </row>
    <row r="1131" spans="2:46" x14ac:dyDescent="0.35">
      <c r="B1131" s="6" t="str">
        <f t="shared" ca="1" si="306"/>
        <v>20226</v>
      </c>
      <c r="C1131" s="6">
        <f t="shared" ca="1" si="307"/>
        <v>2022</v>
      </c>
      <c r="D1131" s="6">
        <f t="shared" ca="1" si="308"/>
        <v>6</v>
      </c>
      <c r="E1131" s="68">
        <f ca="1">IFERROR(__xludf.DUMMYFUNCTION("""COMPUTED_VALUE"""),44739.6666666666)</f>
        <v>44739.666666666599</v>
      </c>
      <c r="F1131" s="6">
        <f ca="1">IFERROR(__xludf.DUMMYFUNCTION("""COMPUTED_VALUE"""),3900.11)</f>
        <v>3900.11</v>
      </c>
      <c r="J1131" s="6" t="str">
        <f t="shared" ca="1" si="309"/>
        <v>20226</v>
      </c>
      <c r="K1131" s="6">
        <f t="shared" ca="1" si="310"/>
        <v>2022</v>
      </c>
      <c r="L1131" s="6">
        <f t="shared" ca="1" si="311"/>
        <v>6</v>
      </c>
      <c r="M1131" s="68">
        <f ca="1">IFERROR(__xludf.DUMMYFUNCTION("""COMPUTED_VALUE"""),44729.6666666666)</f>
        <v>44729.666666666599</v>
      </c>
      <c r="N1131" s="6">
        <f ca="1">IFERROR(__xludf.DUMMYFUNCTION("""COMPUTED_VALUE"""),10798.35)</f>
        <v>10798.35</v>
      </c>
      <c r="R1131" s="6" t="str">
        <f t="shared" ca="1" si="312"/>
        <v>20228</v>
      </c>
      <c r="S1131" s="6">
        <f t="shared" ca="1" si="313"/>
        <v>2022</v>
      </c>
      <c r="T1131" s="6">
        <f t="shared" ca="1" si="314"/>
        <v>8</v>
      </c>
      <c r="U1131" s="68">
        <f ca="1">IFERROR(__xludf.DUMMYFUNCTION("""COMPUTED_VALUE"""),44778.6458333333)</f>
        <v>44778.645833333299</v>
      </c>
      <c r="V1131" s="6">
        <f ca="1">IFERROR(__xludf.DUMMYFUNCTION("""COMPUTED_VALUE"""),2490.8)</f>
        <v>2490.8000000000002</v>
      </c>
      <c r="Z1131" s="6" t="str">
        <f t="shared" ca="1" si="315"/>
        <v>20213</v>
      </c>
      <c r="AA1131" s="6">
        <f t="shared" ca="1" si="316"/>
        <v>2021</v>
      </c>
      <c r="AB1131" s="6">
        <f t="shared" ca="1" si="317"/>
        <v>3</v>
      </c>
      <c r="AC1131" s="68">
        <f ca="1">IFERROR(__xludf.DUMMYFUNCTION("""COMPUTED_VALUE"""),44276.9986111111)</f>
        <v>44276.998611111099</v>
      </c>
      <c r="AD1131" s="6">
        <f ca="1">IFERROR(__xludf.DUMMYFUNCTION("""COMPUTED_VALUE"""),1127.48)</f>
        <v>1127.48</v>
      </c>
      <c r="AH1131" s="6" t="str">
        <f t="shared" ca="1" si="318"/>
        <v>20211</v>
      </c>
      <c r="AI1131" s="6">
        <f t="shared" ca="1" si="319"/>
        <v>2021</v>
      </c>
      <c r="AJ1131" s="6">
        <f t="shared" ca="1" si="320"/>
        <v>1</v>
      </c>
      <c r="AK1131" s="68">
        <f ca="1">IFERROR(__xludf.DUMMYFUNCTION("""COMPUTED_VALUE"""),44224.9986111111)</f>
        <v>44224.998611111099</v>
      </c>
      <c r="AL1131" s="6">
        <f ca="1">IFERROR(__xludf.DUMMYFUNCTION("""COMPUTED_VALUE"""),33404.69)</f>
        <v>33404.69</v>
      </c>
      <c r="AP1131" s="6" t="str">
        <f t="shared" ca="1" si="321"/>
        <v>20227</v>
      </c>
      <c r="AQ1131" s="6">
        <f t="shared" ca="1" si="322"/>
        <v>2022</v>
      </c>
      <c r="AR1131" s="6">
        <f t="shared" ca="1" si="323"/>
        <v>7</v>
      </c>
      <c r="AS1131" s="68">
        <f ca="1">IFERROR(__xludf.DUMMYFUNCTION("""COMPUTED_VALUE"""),44748.9986111111)</f>
        <v>44748.998611111099</v>
      </c>
      <c r="AT1131" s="6">
        <f ca="1">IFERROR(__xludf.DUMMYFUNCTION("""COMPUTED_VALUE"""),1736.5)</f>
        <v>1736.5</v>
      </c>
    </row>
    <row r="1132" spans="2:46" x14ac:dyDescent="0.35">
      <c r="B1132" s="6" t="str">
        <f t="shared" ca="1" si="306"/>
        <v>20226</v>
      </c>
      <c r="C1132" s="6">
        <f t="shared" ca="1" si="307"/>
        <v>2022</v>
      </c>
      <c r="D1132" s="6">
        <f t="shared" ca="1" si="308"/>
        <v>6</v>
      </c>
      <c r="E1132" s="68">
        <f ca="1">IFERROR(__xludf.DUMMYFUNCTION("""COMPUTED_VALUE"""),44740.6666666666)</f>
        <v>44740.666666666599</v>
      </c>
      <c r="F1132" s="6">
        <f ca="1">IFERROR(__xludf.DUMMYFUNCTION("""COMPUTED_VALUE"""),3821.55)</f>
        <v>3821.55</v>
      </c>
      <c r="J1132" s="6" t="str">
        <f t="shared" ca="1" si="309"/>
        <v>20226</v>
      </c>
      <c r="K1132" s="6">
        <f t="shared" ca="1" si="310"/>
        <v>2022</v>
      </c>
      <c r="L1132" s="6">
        <f t="shared" ca="1" si="311"/>
        <v>6</v>
      </c>
      <c r="M1132" s="68">
        <f ca="1">IFERROR(__xludf.DUMMYFUNCTION("""COMPUTED_VALUE"""),44733.6666666666)</f>
        <v>44733.666666666599</v>
      </c>
      <c r="N1132" s="6">
        <f ca="1">IFERROR(__xludf.DUMMYFUNCTION("""COMPUTED_VALUE"""),11069.3)</f>
        <v>11069.3</v>
      </c>
      <c r="R1132" s="6" t="str">
        <f t="shared" ca="1" si="312"/>
        <v>20228</v>
      </c>
      <c r="S1132" s="6">
        <f t="shared" ca="1" si="313"/>
        <v>2022</v>
      </c>
      <c r="T1132" s="6">
        <f t="shared" ca="1" si="314"/>
        <v>8</v>
      </c>
      <c r="U1132" s="68">
        <f ca="1">IFERROR(__xludf.DUMMYFUNCTION("""COMPUTED_VALUE"""),44781.6458333333)</f>
        <v>44781.645833333299</v>
      </c>
      <c r="V1132" s="6">
        <f ca="1">IFERROR(__xludf.DUMMYFUNCTION("""COMPUTED_VALUE"""),2493.1)</f>
        <v>2493.1</v>
      </c>
      <c r="Z1132" s="6" t="str">
        <f t="shared" ca="1" si="315"/>
        <v>20213</v>
      </c>
      <c r="AA1132" s="6">
        <f t="shared" ca="1" si="316"/>
        <v>2021</v>
      </c>
      <c r="AB1132" s="6">
        <f t="shared" ca="1" si="317"/>
        <v>3</v>
      </c>
      <c r="AC1132" s="68">
        <f ca="1">IFERROR(__xludf.DUMMYFUNCTION("""COMPUTED_VALUE"""),44277.9986111111)</f>
        <v>44277.998611111099</v>
      </c>
      <c r="AD1132" s="6">
        <f ca="1">IFERROR(__xludf.DUMMYFUNCTION("""COMPUTED_VALUE"""),1125.12)</f>
        <v>1125.1199999999999</v>
      </c>
      <c r="AH1132" s="6" t="str">
        <f t="shared" ca="1" si="318"/>
        <v>20211</v>
      </c>
      <c r="AI1132" s="6">
        <f t="shared" ca="1" si="319"/>
        <v>2021</v>
      </c>
      <c r="AJ1132" s="6">
        <f t="shared" ca="1" si="320"/>
        <v>1</v>
      </c>
      <c r="AK1132" s="68">
        <f ca="1">IFERROR(__xludf.DUMMYFUNCTION("""COMPUTED_VALUE"""),44225.9986111111)</f>
        <v>44225.998611111099</v>
      </c>
      <c r="AL1132" s="6">
        <f ca="1">IFERROR(__xludf.DUMMYFUNCTION("""COMPUTED_VALUE"""),34260.81)</f>
        <v>34260.81</v>
      </c>
      <c r="AP1132" s="6" t="str">
        <f t="shared" ca="1" si="321"/>
        <v>20227</v>
      </c>
      <c r="AQ1132" s="6">
        <f t="shared" ca="1" si="322"/>
        <v>2022</v>
      </c>
      <c r="AR1132" s="6">
        <f t="shared" ca="1" si="323"/>
        <v>7</v>
      </c>
      <c r="AS1132" s="68">
        <f ca="1">IFERROR(__xludf.DUMMYFUNCTION("""COMPUTED_VALUE"""),44749.9986111111)</f>
        <v>44749.998611111099</v>
      </c>
      <c r="AT1132" s="6">
        <f ca="1">IFERROR(__xludf.DUMMYFUNCTION("""COMPUTED_VALUE"""),1739.7)</f>
        <v>1739.7</v>
      </c>
    </row>
    <row r="1133" spans="2:46" x14ac:dyDescent="0.35">
      <c r="B1133" s="6" t="str">
        <f t="shared" ca="1" si="306"/>
        <v>20226</v>
      </c>
      <c r="C1133" s="6">
        <f t="shared" ca="1" si="307"/>
        <v>2022</v>
      </c>
      <c r="D1133" s="6">
        <f t="shared" ca="1" si="308"/>
        <v>6</v>
      </c>
      <c r="E1133" s="68">
        <f ca="1">IFERROR(__xludf.DUMMYFUNCTION("""COMPUTED_VALUE"""),44741.6666666666)</f>
        <v>44741.666666666599</v>
      </c>
      <c r="F1133" s="6">
        <f ca="1">IFERROR(__xludf.DUMMYFUNCTION("""COMPUTED_VALUE"""),3818.83)</f>
        <v>3818.83</v>
      </c>
      <c r="J1133" s="6" t="str">
        <f t="shared" ca="1" si="309"/>
        <v>20226</v>
      </c>
      <c r="K1133" s="6">
        <f t="shared" ca="1" si="310"/>
        <v>2022</v>
      </c>
      <c r="L1133" s="6">
        <f t="shared" ca="1" si="311"/>
        <v>6</v>
      </c>
      <c r="M1133" s="68">
        <f ca="1">IFERROR(__xludf.DUMMYFUNCTION("""COMPUTED_VALUE"""),44734.6666666666)</f>
        <v>44734.666666666599</v>
      </c>
      <c r="N1133" s="6">
        <f ca="1">IFERROR(__xludf.DUMMYFUNCTION("""COMPUTED_VALUE"""),11053.08)</f>
        <v>11053.08</v>
      </c>
      <c r="R1133" s="6" t="str">
        <f t="shared" ca="1" si="312"/>
        <v>20228</v>
      </c>
      <c r="S1133" s="6">
        <f t="shared" ca="1" si="313"/>
        <v>2022</v>
      </c>
      <c r="T1133" s="6">
        <f t="shared" ca="1" si="314"/>
        <v>8</v>
      </c>
      <c r="U1133" s="68">
        <f ca="1">IFERROR(__xludf.DUMMYFUNCTION("""COMPUTED_VALUE"""),44782.6458333333)</f>
        <v>44782.645833333299</v>
      </c>
      <c r="V1133" s="6">
        <f ca="1">IFERROR(__xludf.DUMMYFUNCTION("""COMPUTED_VALUE"""),2503.46)</f>
        <v>2503.46</v>
      </c>
      <c r="Z1133" s="6" t="str">
        <f t="shared" ca="1" si="315"/>
        <v>20213</v>
      </c>
      <c r="AA1133" s="6">
        <f t="shared" ca="1" si="316"/>
        <v>2021</v>
      </c>
      <c r="AB1133" s="6">
        <f t="shared" ca="1" si="317"/>
        <v>3</v>
      </c>
      <c r="AC1133" s="68">
        <f ca="1">IFERROR(__xludf.DUMMYFUNCTION("""COMPUTED_VALUE"""),44278.9986111111)</f>
        <v>44278.998611111099</v>
      </c>
      <c r="AD1133" s="6">
        <f ca="1">IFERROR(__xludf.DUMMYFUNCTION("""COMPUTED_VALUE"""),1133.2)</f>
        <v>1133.2</v>
      </c>
      <c r="AH1133" s="6" t="str">
        <f t="shared" ca="1" si="318"/>
        <v>20211</v>
      </c>
      <c r="AI1133" s="6">
        <f t="shared" ca="1" si="319"/>
        <v>2021</v>
      </c>
      <c r="AJ1133" s="6">
        <f t="shared" ca="1" si="320"/>
        <v>1</v>
      </c>
      <c r="AK1133" s="68">
        <f ca="1">IFERROR(__xludf.DUMMYFUNCTION("""COMPUTED_VALUE"""),44226.9986111111)</f>
        <v>44226.998611111099</v>
      </c>
      <c r="AL1133" s="6">
        <f ca="1">IFERROR(__xludf.DUMMYFUNCTION("""COMPUTED_VALUE"""),34293.02)</f>
        <v>34293.019999999997</v>
      </c>
      <c r="AP1133" s="6" t="str">
        <f t="shared" ca="1" si="321"/>
        <v>20227</v>
      </c>
      <c r="AQ1133" s="6">
        <f t="shared" ca="1" si="322"/>
        <v>2022</v>
      </c>
      <c r="AR1133" s="6">
        <f t="shared" ca="1" si="323"/>
        <v>7</v>
      </c>
      <c r="AS1133" s="68">
        <f ca="1">IFERROR(__xludf.DUMMYFUNCTION("""COMPUTED_VALUE"""),44750.9986111111)</f>
        <v>44750.998611111099</v>
      </c>
      <c r="AT1133" s="6">
        <f ca="1">IFERROR(__xludf.DUMMYFUNCTION("""COMPUTED_VALUE"""),1742.3)</f>
        <v>1742.3</v>
      </c>
    </row>
    <row r="1134" spans="2:46" x14ac:dyDescent="0.35">
      <c r="B1134" s="6" t="str">
        <f t="shared" ca="1" si="306"/>
        <v>20226</v>
      </c>
      <c r="C1134" s="6">
        <f t="shared" ca="1" si="307"/>
        <v>2022</v>
      </c>
      <c r="D1134" s="6">
        <f t="shared" ca="1" si="308"/>
        <v>6</v>
      </c>
      <c r="E1134" s="68">
        <f ca="1">IFERROR(__xludf.DUMMYFUNCTION("""COMPUTED_VALUE"""),44742.6666666666)</f>
        <v>44742.666666666599</v>
      </c>
      <c r="F1134" s="6">
        <f ca="1">IFERROR(__xludf.DUMMYFUNCTION("""COMPUTED_VALUE"""),3785.38)</f>
        <v>3785.38</v>
      </c>
      <c r="J1134" s="6" t="str">
        <f t="shared" ca="1" si="309"/>
        <v>20226</v>
      </c>
      <c r="K1134" s="6">
        <f t="shared" ca="1" si="310"/>
        <v>2022</v>
      </c>
      <c r="L1134" s="6">
        <f t="shared" ca="1" si="311"/>
        <v>6</v>
      </c>
      <c r="M1134" s="68">
        <f ca="1">IFERROR(__xludf.DUMMYFUNCTION("""COMPUTED_VALUE"""),44735.6666666666)</f>
        <v>44735.666666666599</v>
      </c>
      <c r="N1134" s="6">
        <f ca="1">IFERROR(__xludf.DUMMYFUNCTION("""COMPUTED_VALUE"""),11232.19)</f>
        <v>11232.19</v>
      </c>
      <c r="R1134" s="6" t="str">
        <f t="shared" ca="1" si="312"/>
        <v>20228</v>
      </c>
      <c r="S1134" s="6">
        <f t="shared" ca="1" si="313"/>
        <v>2022</v>
      </c>
      <c r="T1134" s="6">
        <f t="shared" ca="1" si="314"/>
        <v>8</v>
      </c>
      <c r="U1134" s="68">
        <f ca="1">IFERROR(__xludf.DUMMYFUNCTION("""COMPUTED_VALUE"""),44783.6458333333)</f>
        <v>44783.645833333299</v>
      </c>
      <c r="V1134" s="6">
        <f ca="1">IFERROR(__xludf.DUMMYFUNCTION("""COMPUTED_VALUE"""),2480.88)</f>
        <v>2480.88</v>
      </c>
      <c r="Z1134" s="6" t="str">
        <f t="shared" ca="1" si="315"/>
        <v>20213</v>
      </c>
      <c r="AA1134" s="6">
        <f t="shared" ca="1" si="316"/>
        <v>2021</v>
      </c>
      <c r="AB1134" s="6">
        <f t="shared" ca="1" si="317"/>
        <v>3</v>
      </c>
      <c r="AC1134" s="68">
        <f ca="1">IFERROR(__xludf.DUMMYFUNCTION("""COMPUTED_VALUE"""),44279.9986111111)</f>
        <v>44279.998611111099</v>
      </c>
      <c r="AD1134" s="6">
        <f ca="1">IFERROR(__xludf.DUMMYFUNCTION("""COMPUTED_VALUE"""),1134.48)</f>
        <v>1134.48</v>
      </c>
      <c r="AH1134" s="6" t="str">
        <f t="shared" ca="1" si="318"/>
        <v>20211</v>
      </c>
      <c r="AI1134" s="6">
        <f t="shared" ca="1" si="319"/>
        <v>2021</v>
      </c>
      <c r="AJ1134" s="6">
        <f t="shared" ca="1" si="320"/>
        <v>1</v>
      </c>
      <c r="AK1134" s="68">
        <f ca="1">IFERROR(__xludf.DUMMYFUNCTION("""COMPUTED_VALUE"""),44227.9986111111)</f>
        <v>44227.998611111099</v>
      </c>
      <c r="AL1134" s="6">
        <f ca="1">IFERROR(__xludf.DUMMYFUNCTION("""COMPUTED_VALUE"""),33119.93)</f>
        <v>33119.93</v>
      </c>
      <c r="AP1134" s="6" t="str">
        <f t="shared" ca="1" si="321"/>
        <v>20227</v>
      </c>
      <c r="AQ1134" s="6">
        <f t="shared" ca="1" si="322"/>
        <v>2022</v>
      </c>
      <c r="AR1134" s="6">
        <f t="shared" ca="1" si="323"/>
        <v>7</v>
      </c>
      <c r="AS1134" s="68">
        <f ca="1">IFERROR(__xludf.DUMMYFUNCTION("""COMPUTED_VALUE"""),44753.9986111111)</f>
        <v>44753.998611111099</v>
      </c>
      <c r="AT1134" s="6">
        <f ca="1">IFERROR(__xludf.DUMMYFUNCTION("""COMPUTED_VALUE"""),1731.7)</f>
        <v>1731.7</v>
      </c>
    </row>
    <row r="1135" spans="2:46" x14ac:dyDescent="0.35">
      <c r="B1135" s="6" t="str">
        <f t="shared" ca="1" si="306"/>
        <v>20227</v>
      </c>
      <c r="C1135" s="6">
        <f t="shared" ca="1" si="307"/>
        <v>2022</v>
      </c>
      <c r="D1135" s="6">
        <f t="shared" ca="1" si="308"/>
        <v>7</v>
      </c>
      <c r="E1135" s="68">
        <f ca="1">IFERROR(__xludf.DUMMYFUNCTION("""COMPUTED_VALUE"""),44743.6666666666)</f>
        <v>44743.666666666599</v>
      </c>
      <c r="F1135" s="6">
        <f ca="1">IFERROR(__xludf.DUMMYFUNCTION("""COMPUTED_VALUE"""),3825.33)</f>
        <v>3825.33</v>
      </c>
      <c r="J1135" s="6" t="str">
        <f t="shared" ca="1" si="309"/>
        <v>20226</v>
      </c>
      <c r="K1135" s="6">
        <f t="shared" ca="1" si="310"/>
        <v>2022</v>
      </c>
      <c r="L1135" s="6">
        <f t="shared" ca="1" si="311"/>
        <v>6</v>
      </c>
      <c r="M1135" s="68">
        <f ca="1">IFERROR(__xludf.DUMMYFUNCTION("""COMPUTED_VALUE"""),44736.6666666666)</f>
        <v>44736.666666666599</v>
      </c>
      <c r="N1135" s="6">
        <f ca="1">IFERROR(__xludf.DUMMYFUNCTION("""COMPUTED_VALUE"""),11607.62)</f>
        <v>11607.62</v>
      </c>
      <c r="R1135" s="6" t="str">
        <f t="shared" ca="1" si="312"/>
        <v>20228</v>
      </c>
      <c r="S1135" s="6">
        <f t="shared" ca="1" si="313"/>
        <v>2022</v>
      </c>
      <c r="T1135" s="6">
        <f t="shared" ca="1" si="314"/>
        <v>8</v>
      </c>
      <c r="U1135" s="68">
        <f ca="1">IFERROR(__xludf.DUMMYFUNCTION("""COMPUTED_VALUE"""),44784.6458333333)</f>
        <v>44784.645833333299</v>
      </c>
      <c r="V1135" s="6">
        <f ca="1">IFERROR(__xludf.DUMMYFUNCTION("""COMPUTED_VALUE"""),2523.78)</f>
        <v>2523.7800000000002</v>
      </c>
      <c r="Z1135" s="6" t="str">
        <f t="shared" ca="1" si="315"/>
        <v>20213</v>
      </c>
      <c r="AA1135" s="6">
        <f t="shared" ca="1" si="316"/>
        <v>2021</v>
      </c>
      <c r="AB1135" s="6">
        <f t="shared" ca="1" si="317"/>
        <v>3</v>
      </c>
      <c r="AC1135" s="68">
        <f ca="1">IFERROR(__xludf.DUMMYFUNCTION("""COMPUTED_VALUE"""),44280.9986111111)</f>
        <v>44280.998611111099</v>
      </c>
      <c r="AD1135" s="6">
        <f ca="1">IFERROR(__xludf.DUMMYFUNCTION("""COMPUTED_VALUE"""),1134.21)</f>
        <v>1134.21</v>
      </c>
      <c r="AH1135" s="6" t="str">
        <f t="shared" ca="1" si="318"/>
        <v>20212</v>
      </c>
      <c r="AI1135" s="6">
        <f t="shared" ca="1" si="319"/>
        <v>2021</v>
      </c>
      <c r="AJ1135" s="6">
        <f t="shared" ca="1" si="320"/>
        <v>2</v>
      </c>
      <c r="AK1135" s="68">
        <f ca="1">IFERROR(__xludf.DUMMYFUNCTION("""COMPUTED_VALUE"""),44228.9986111111)</f>
        <v>44228.998611111099</v>
      </c>
      <c r="AL1135" s="6">
        <f ca="1">IFERROR(__xludf.DUMMYFUNCTION("""COMPUTED_VALUE"""),33538.11)</f>
        <v>33538.11</v>
      </c>
      <c r="AP1135" s="6" t="str">
        <f t="shared" ca="1" si="321"/>
        <v>20227</v>
      </c>
      <c r="AQ1135" s="6">
        <f t="shared" ca="1" si="322"/>
        <v>2022</v>
      </c>
      <c r="AR1135" s="6">
        <f t="shared" ca="1" si="323"/>
        <v>7</v>
      </c>
      <c r="AS1135" s="68">
        <f ca="1">IFERROR(__xludf.DUMMYFUNCTION("""COMPUTED_VALUE"""),44754.9986111111)</f>
        <v>44754.998611111099</v>
      </c>
      <c r="AT1135" s="6">
        <f ca="1">IFERROR(__xludf.DUMMYFUNCTION("""COMPUTED_VALUE"""),1724.8)</f>
        <v>1724.8</v>
      </c>
    </row>
    <row r="1136" spans="2:46" x14ac:dyDescent="0.35">
      <c r="B1136" s="6" t="str">
        <f t="shared" ca="1" si="306"/>
        <v>20227</v>
      </c>
      <c r="C1136" s="6">
        <f t="shared" ca="1" si="307"/>
        <v>2022</v>
      </c>
      <c r="D1136" s="6">
        <f t="shared" ca="1" si="308"/>
        <v>7</v>
      </c>
      <c r="E1136" s="68">
        <f ca="1">IFERROR(__xludf.DUMMYFUNCTION("""COMPUTED_VALUE"""),44747.6666666666)</f>
        <v>44747.666666666599</v>
      </c>
      <c r="F1136" s="6">
        <f ca="1">IFERROR(__xludf.DUMMYFUNCTION("""COMPUTED_VALUE"""),3831.39)</f>
        <v>3831.39</v>
      </c>
      <c r="J1136" s="6" t="str">
        <f t="shared" ca="1" si="309"/>
        <v>20226</v>
      </c>
      <c r="K1136" s="6">
        <f t="shared" ca="1" si="310"/>
        <v>2022</v>
      </c>
      <c r="L1136" s="6">
        <f t="shared" ca="1" si="311"/>
        <v>6</v>
      </c>
      <c r="M1136" s="68">
        <f ca="1">IFERROR(__xludf.DUMMYFUNCTION("""COMPUTED_VALUE"""),44739.6666666666)</f>
        <v>44739.666666666599</v>
      </c>
      <c r="N1136" s="6">
        <f ca="1">IFERROR(__xludf.DUMMYFUNCTION("""COMPUTED_VALUE"""),11524.55)</f>
        <v>11524.55</v>
      </c>
      <c r="R1136" s="6" t="str">
        <f t="shared" ca="1" si="312"/>
        <v>20228</v>
      </c>
      <c r="S1136" s="6">
        <f t="shared" ca="1" si="313"/>
        <v>2022</v>
      </c>
      <c r="T1136" s="6">
        <f t="shared" ca="1" si="314"/>
        <v>8</v>
      </c>
      <c r="U1136" s="68">
        <f ca="1">IFERROR(__xludf.DUMMYFUNCTION("""COMPUTED_VALUE"""),44785.6458333333)</f>
        <v>44785.645833333299</v>
      </c>
      <c r="V1136" s="6">
        <f ca="1">IFERROR(__xludf.DUMMYFUNCTION("""COMPUTED_VALUE"""),2527.94)</f>
        <v>2527.94</v>
      </c>
      <c r="Z1136" s="6" t="str">
        <f t="shared" ca="1" si="315"/>
        <v>20213</v>
      </c>
      <c r="AA1136" s="6">
        <f t="shared" ca="1" si="316"/>
        <v>2021</v>
      </c>
      <c r="AB1136" s="6">
        <f t="shared" ca="1" si="317"/>
        <v>3</v>
      </c>
      <c r="AC1136" s="68">
        <f ca="1">IFERROR(__xludf.DUMMYFUNCTION("""COMPUTED_VALUE"""),44281.9986111111)</f>
        <v>44281.998611111099</v>
      </c>
      <c r="AD1136" s="6">
        <f ca="1">IFERROR(__xludf.DUMMYFUNCTION("""COMPUTED_VALUE"""),1127.96)</f>
        <v>1127.96</v>
      </c>
      <c r="AH1136" s="6" t="str">
        <f t="shared" ca="1" si="318"/>
        <v>20212</v>
      </c>
      <c r="AI1136" s="6">
        <f t="shared" ca="1" si="319"/>
        <v>2021</v>
      </c>
      <c r="AJ1136" s="6">
        <f t="shared" ca="1" si="320"/>
        <v>2</v>
      </c>
      <c r="AK1136" s="68">
        <f ca="1">IFERROR(__xludf.DUMMYFUNCTION("""COMPUTED_VALUE"""),44229.9986111111)</f>
        <v>44229.998611111099</v>
      </c>
      <c r="AL1136" s="6">
        <f ca="1">IFERROR(__xludf.DUMMYFUNCTION("""COMPUTED_VALUE"""),35497.71)</f>
        <v>35497.71</v>
      </c>
      <c r="AP1136" s="6" t="str">
        <f t="shared" ca="1" si="321"/>
        <v>20227</v>
      </c>
      <c r="AQ1136" s="6">
        <f t="shared" ca="1" si="322"/>
        <v>2022</v>
      </c>
      <c r="AR1136" s="6">
        <f t="shared" ca="1" si="323"/>
        <v>7</v>
      </c>
      <c r="AS1136" s="68">
        <f ca="1">IFERROR(__xludf.DUMMYFUNCTION("""COMPUTED_VALUE"""),44755.9986111111)</f>
        <v>44755.998611111099</v>
      </c>
      <c r="AT1136" s="6">
        <f ca="1">IFERROR(__xludf.DUMMYFUNCTION("""COMPUTED_VALUE"""),1735.5)</f>
        <v>1735.5</v>
      </c>
    </row>
    <row r="1137" spans="2:46" x14ac:dyDescent="0.35">
      <c r="B1137" s="6" t="str">
        <f t="shared" ca="1" si="306"/>
        <v>20227</v>
      </c>
      <c r="C1137" s="6">
        <f t="shared" ca="1" si="307"/>
        <v>2022</v>
      </c>
      <c r="D1137" s="6">
        <f t="shared" ca="1" si="308"/>
        <v>7</v>
      </c>
      <c r="E1137" s="68">
        <f ca="1">IFERROR(__xludf.DUMMYFUNCTION("""COMPUTED_VALUE"""),44748.6666666666)</f>
        <v>44748.666666666599</v>
      </c>
      <c r="F1137" s="6">
        <f ca="1">IFERROR(__xludf.DUMMYFUNCTION("""COMPUTED_VALUE"""),3845.08)</f>
        <v>3845.08</v>
      </c>
      <c r="J1137" s="6" t="str">
        <f t="shared" ca="1" si="309"/>
        <v>20226</v>
      </c>
      <c r="K1137" s="6">
        <f t="shared" ca="1" si="310"/>
        <v>2022</v>
      </c>
      <c r="L1137" s="6">
        <f t="shared" ca="1" si="311"/>
        <v>6</v>
      </c>
      <c r="M1137" s="68">
        <f ca="1">IFERROR(__xludf.DUMMYFUNCTION("""COMPUTED_VALUE"""),44740.6666666666)</f>
        <v>44740.666666666599</v>
      </c>
      <c r="N1137" s="6">
        <f ca="1">IFERROR(__xludf.DUMMYFUNCTION("""COMPUTED_VALUE"""),11181.54)</f>
        <v>11181.54</v>
      </c>
      <c r="R1137" s="6" t="str">
        <f t="shared" ca="1" si="312"/>
        <v>20228</v>
      </c>
      <c r="S1137" s="6">
        <f t="shared" ca="1" si="313"/>
        <v>2022</v>
      </c>
      <c r="T1137" s="6">
        <f t="shared" ca="1" si="314"/>
        <v>8</v>
      </c>
      <c r="U1137" s="68">
        <f ca="1">IFERROR(__xludf.DUMMYFUNCTION("""COMPUTED_VALUE"""),44789.6458333333)</f>
        <v>44789.645833333299</v>
      </c>
      <c r="V1137" s="6">
        <f ca="1">IFERROR(__xludf.DUMMYFUNCTION("""COMPUTED_VALUE"""),2533.52)</f>
        <v>2533.52</v>
      </c>
      <c r="Z1137" s="6" t="str">
        <f t="shared" ca="1" si="315"/>
        <v>20213</v>
      </c>
      <c r="AA1137" s="6">
        <f t="shared" ca="1" si="316"/>
        <v>2021</v>
      </c>
      <c r="AB1137" s="6">
        <f t="shared" ca="1" si="317"/>
        <v>3</v>
      </c>
      <c r="AC1137" s="68">
        <f ca="1">IFERROR(__xludf.DUMMYFUNCTION("""COMPUTED_VALUE"""),44282.9986111111)</f>
        <v>44282.998611111099</v>
      </c>
      <c r="AD1137" s="6">
        <f ca="1">IFERROR(__xludf.DUMMYFUNCTION("""COMPUTED_VALUE"""),1127.96)</f>
        <v>1127.96</v>
      </c>
      <c r="AH1137" s="6" t="str">
        <f t="shared" ca="1" si="318"/>
        <v>20212</v>
      </c>
      <c r="AI1137" s="6">
        <f t="shared" ca="1" si="319"/>
        <v>2021</v>
      </c>
      <c r="AJ1137" s="6">
        <f t="shared" ca="1" si="320"/>
        <v>2</v>
      </c>
      <c r="AK1137" s="68">
        <f ca="1">IFERROR(__xludf.DUMMYFUNCTION("""COMPUTED_VALUE"""),44230.9986111111)</f>
        <v>44230.998611111099</v>
      </c>
      <c r="AL1137" s="6">
        <f ca="1">IFERROR(__xludf.DUMMYFUNCTION("""COMPUTED_VALUE"""),37664.11)</f>
        <v>37664.11</v>
      </c>
      <c r="AP1137" s="6" t="str">
        <f t="shared" ca="1" si="321"/>
        <v>20227</v>
      </c>
      <c r="AQ1137" s="6">
        <f t="shared" ca="1" si="322"/>
        <v>2022</v>
      </c>
      <c r="AR1137" s="6">
        <f t="shared" ca="1" si="323"/>
        <v>7</v>
      </c>
      <c r="AS1137" s="68">
        <f ca="1">IFERROR(__xludf.DUMMYFUNCTION("""COMPUTED_VALUE"""),44756.9986111111)</f>
        <v>44756.998611111099</v>
      </c>
      <c r="AT1137" s="6">
        <f ca="1">IFERROR(__xludf.DUMMYFUNCTION("""COMPUTED_VALUE"""),1705.8)</f>
        <v>1705.8</v>
      </c>
    </row>
    <row r="1138" spans="2:46" x14ac:dyDescent="0.35">
      <c r="B1138" s="6" t="str">
        <f t="shared" ca="1" si="306"/>
        <v>20227</v>
      </c>
      <c r="C1138" s="6">
        <f t="shared" ca="1" si="307"/>
        <v>2022</v>
      </c>
      <c r="D1138" s="6">
        <f t="shared" ca="1" si="308"/>
        <v>7</v>
      </c>
      <c r="E1138" s="68">
        <f ca="1">IFERROR(__xludf.DUMMYFUNCTION("""COMPUTED_VALUE"""),44749.6666666666)</f>
        <v>44749.666666666599</v>
      </c>
      <c r="F1138" s="6">
        <f ca="1">IFERROR(__xludf.DUMMYFUNCTION("""COMPUTED_VALUE"""),3902.62)</f>
        <v>3902.62</v>
      </c>
      <c r="J1138" s="6" t="str">
        <f t="shared" ca="1" si="309"/>
        <v>20226</v>
      </c>
      <c r="K1138" s="6">
        <f t="shared" ca="1" si="310"/>
        <v>2022</v>
      </c>
      <c r="L1138" s="6">
        <f t="shared" ca="1" si="311"/>
        <v>6</v>
      </c>
      <c r="M1138" s="68">
        <f ca="1">IFERROR(__xludf.DUMMYFUNCTION("""COMPUTED_VALUE"""),44741.6666666666)</f>
        <v>44741.666666666599</v>
      </c>
      <c r="N1138" s="6">
        <f ca="1">IFERROR(__xludf.DUMMYFUNCTION("""COMPUTED_VALUE"""),11177.89)</f>
        <v>11177.89</v>
      </c>
      <c r="R1138" s="6" t="str">
        <f t="shared" ca="1" si="312"/>
        <v>20228</v>
      </c>
      <c r="S1138" s="6">
        <f t="shared" ca="1" si="313"/>
        <v>2022</v>
      </c>
      <c r="T1138" s="6">
        <f t="shared" ca="1" si="314"/>
        <v>8</v>
      </c>
      <c r="U1138" s="68">
        <f ca="1">IFERROR(__xludf.DUMMYFUNCTION("""COMPUTED_VALUE"""),44790.6458333333)</f>
        <v>44790.645833333299</v>
      </c>
      <c r="V1138" s="6">
        <f ca="1">IFERROR(__xludf.DUMMYFUNCTION("""COMPUTED_VALUE"""),2516.47)</f>
        <v>2516.4699999999998</v>
      </c>
      <c r="Z1138" s="6" t="str">
        <f t="shared" ca="1" si="315"/>
        <v>20213</v>
      </c>
      <c r="AA1138" s="6">
        <f t="shared" ca="1" si="316"/>
        <v>2021</v>
      </c>
      <c r="AB1138" s="6">
        <f t="shared" ca="1" si="317"/>
        <v>3</v>
      </c>
      <c r="AC1138" s="68">
        <f ca="1">IFERROR(__xludf.DUMMYFUNCTION("""COMPUTED_VALUE"""),44283.9986111111)</f>
        <v>44283.998611111099</v>
      </c>
      <c r="AD1138" s="6">
        <f ca="1">IFERROR(__xludf.DUMMYFUNCTION("""COMPUTED_VALUE"""),1127.96)</f>
        <v>1127.96</v>
      </c>
      <c r="AH1138" s="6" t="str">
        <f t="shared" ca="1" si="318"/>
        <v>20212</v>
      </c>
      <c r="AI1138" s="6">
        <f t="shared" ca="1" si="319"/>
        <v>2021</v>
      </c>
      <c r="AJ1138" s="6">
        <f t="shared" ca="1" si="320"/>
        <v>2</v>
      </c>
      <c r="AK1138" s="68">
        <f ca="1">IFERROR(__xludf.DUMMYFUNCTION("""COMPUTED_VALUE"""),44231.9986111111)</f>
        <v>44231.998611111099</v>
      </c>
      <c r="AL1138" s="6">
        <f ca="1">IFERROR(__xludf.DUMMYFUNCTION("""COMPUTED_VALUE"""),36974.69)</f>
        <v>36974.69</v>
      </c>
      <c r="AP1138" s="6" t="str">
        <f t="shared" ca="1" si="321"/>
        <v>20227</v>
      </c>
      <c r="AQ1138" s="6">
        <f t="shared" ca="1" si="322"/>
        <v>2022</v>
      </c>
      <c r="AR1138" s="6">
        <f t="shared" ca="1" si="323"/>
        <v>7</v>
      </c>
      <c r="AS1138" s="68">
        <f ca="1">IFERROR(__xludf.DUMMYFUNCTION("""COMPUTED_VALUE"""),44757.9986111111)</f>
        <v>44757.998611111099</v>
      </c>
      <c r="AT1138" s="6">
        <f ca="1">IFERROR(__xludf.DUMMYFUNCTION("""COMPUTED_VALUE"""),1703.6)</f>
        <v>1703.6</v>
      </c>
    </row>
    <row r="1139" spans="2:46" x14ac:dyDescent="0.35">
      <c r="B1139" s="6" t="str">
        <f t="shared" ca="1" si="306"/>
        <v>20227</v>
      </c>
      <c r="C1139" s="6">
        <f t="shared" ca="1" si="307"/>
        <v>2022</v>
      </c>
      <c r="D1139" s="6">
        <f t="shared" ca="1" si="308"/>
        <v>7</v>
      </c>
      <c r="E1139" s="68">
        <f ca="1">IFERROR(__xludf.DUMMYFUNCTION("""COMPUTED_VALUE"""),44750.6666666666)</f>
        <v>44750.666666666599</v>
      </c>
      <c r="F1139" s="6">
        <f ca="1">IFERROR(__xludf.DUMMYFUNCTION("""COMPUTED_VALUE"""),3899.38)</f>
        <v>3899.38</v>
      </c>
      <c r="J1139" s="6" t="str">
        <f t="shared" ca="1" si="309"/>
        <v>20226</v>
      </c>
      <c r="K1139" s="6">
        <f t="shared" ca="1" si="310"/>
        <v>2022</v>
      </c>
      <c r="L1139" s="6">
        <f t="shared" ca="1" si="311"/>
        <v>6</v>
      </c>
      <c r="M1139" s="68">
        <f ca="1">IFERROR(__xludf.DUMMYFUNCTION("""COMPUTED_VALUE"""),44742.6666666666)</f>
        <v>44742.666666666599</v>
      </c>
      <c r="N1139" s="6">
        <f ca="1">IFERROR(__xludf.DUMMYFUNCTION("""COMPUTED_VALUE"""),11028.74)</f>
        <v>11028.74</v>
      </c>
      <c r="R1139" s="6" t="str">
        <f t="shared" ca="1" si="312"/>
        <v>20228</v>
      </c>
      <c r="S1139" s="6">
        <f t="shared" ca="1" si="313"/>
        <v>2022</v>
      </c>
      <c r="T1139" s="6">
        <f t="shared" ca="1" si="314"/>
        <v>8</v>
      </c>
      <c r="U1139" s="68">
        <f ca="1">IFERROR(__xludf.DUMMYFUNCTION("""COMPUTED_VALUE"""),44791.6458333333)</f>
        <v>44791.645833333299</v>
      </c>
      <c r="V1139" s="6">
        <f ca="1">IFERROR(__xludf.DUMMYFUNCTION("""COMPUTED_VALUE"""),2508.05)</f>
        <v>2508.0500000000002</v>
      </c>
      <c r="Z1139" s="6" t="str">
        <f t="shared" ca="1" si="315"/>
        <v>20213</v>
      </c>
      <c r="AA1139" s="6">
        <f t="shared" ca="1" si="316"/>
        <v>2021</v>
      </c>
      <c r="AB1139" s="6">
        <f t="shared" ca="1" si="317"/>
        <v>3</v>
      </c>
      <c r="AC1139" s="68">
        <f ca="1">IFERROR(__xludf.DUMMYFUNCTION("""COMPUTED_VALUE"""),44284.9986111111)</f>
        <v>44284.998611111099</v>
      </c>
      <c r="AD1139" s="6">
        <f ca="1">IFERROR(__xludf.DUMMYFUNCTION("""COMPUTED_VALUE"""),1131.65)</f>
        <v>1131.6500000000001</v>
      </c>
      <c r="AH1139" s="6" t="str">
        <f t="shared" ca="1" si="318"/>
        <v>20212</v>
      </c>
      <c r="AI1139" s="6">
        <f t="shared" ca="1" si="319"/>
        <v>2021</v>
      </c>
      <c r="AJ1139" s="6">
        <f t="shared" ca="1" si="320"/>
        <v>2</v>
      </c>
      <c r="AK1139" s="68">
        <f ca="1">IFERROR(__xludf.DUMMYFUNCTION("""COMPUTED_VALUE"""),44232.9986111111)</f>
        <v>44232.998611111099</v>
      </c>
      <c r="AL1139" s="6">
        <f ca="1">IFERROR(__xludf.DUMMYFUNCTION("""COMPUTED_VALUE"""),38277.3)</f>
        <v>38277.300000000003</v>
      </c>
      <c r="AP1139" s="6" t="str">
        <f t="shared" ca="1" si="321"/>
        <v>20227</v>
      </c>
      <c r="AQ1139" s="6">
        <f t="shared" ca="1" si="322"/>
        <v>2022</v>
      </c>
      <c r="AR1139" s="6">
        <f t="shared" ca="1" si="323"/>
        <v>7</v>
      </c>
      <c r="AS1139" s="68">
        <f ca="1">IFERROR(__xludf.DUMMYFUNCTION("""COMPUTED_VALUE"""),44760.9986111111)</f>
        <v>44760.998611111099</v>
      </c>
      <c r="AT1139" s="6">
        <f ca="1">IFERROR(__xludf.DUMMYFUNCTION("""COMPUTED_VALUE"""),1710.2)</f>
        <v>1710.2</v>
      </c>
    </row>
    <row r="1140" spans="2:46" x14ac:dyDescent="0.35">
      <c r="B1140" s="6" t="str">
        <f t="shared" ca="1" si="306"/>
        <v>20227</v>
      </c>
      <c r="C1140" s="6">
        <f t="shared" ca="1" si="307"/>
        <v>2022</v>
      </c>
      <c r="D1140" s="6">
        <f t="shared" ca="1" si="308"/>
        <v>7</v>
      </c>
      <c r="E1140" s="68">
        <f ca="1">IFERROR(__xludf.DUMMYFUNCTION("""COMPUTED_VALUE"""),44753.6666666666)</f>
        <v>44753.666666666599</v>
      </c>
      <c r="F1140" s="6">
        <f ca="1">IFERROR(__xludf.DUMMYFUNCTION("""COMPUTED_VALUE"""),3854.43)</f>
        <v>3854.43</v>
      </c>
      <c r="J1140" s="6" t="str">
        <f t="shared" ca="1" si="309"/>
        <v>20227</v>
      </c>
      <c r="K1140" s="6">
        <f t="shared" ca="1" si="310"/>
        <v>2022</v>
      </c>
      <c r="L1140" s="6">
        <f t="shared" ca="1" si="311"/>
        <v>7</v>
      </c>
      <c r="M1140" s="68">
        <f ca="1">IFERROR(__xludf.DUMMYFUNCTION("""COMPUTED_VALUE"""),44743.6666666666)</f>
        <v>44743.666666666599</v>
      </c>
      <c r="N1140" s="6">
        <f ca="1">IFERROR(__xludf.DUMMYFUNCTION("""COMPUTED_VALUE"""),11127.85)</f>
        <v>11127.85</v>
      </c>
      <c r="R1140" s="6" t="str">
        <f t="shared" ca="1" si="312"/>
        <v>20228</v>
      </c>
      <c r="S1140" s="6">
        <f t="shared" ca="1" si="313"/>
        <v>2022</v>
      </c>
      <c r="T1140" s="6">
        <f t="shared" ca="1" si="314"/>
        <v>8</v>
      </c>
      <c r="U1140" s="68">
        <f ca="1">IFERROR(__xludf.DUMMYFUNCTION("""COMPUTED_VALUE"""),44792.6458333333)</f>
        <v>44792.645833333299</v>
      </c>
      <c r="V1140" s="6">
        <f ca="1">IFERROR(__xludf.DUMMYFUNCTION("""COMPUTED_VALUE"""),2492.69)</f>
        <v>2492.69</v>
      </c>
      <c r="Z1140" s="6" t="str">
        <f t="shared" ca="1" si="315"/>
        <v>20213</v>
      </c>
      <c r="AA1140" s="6">
        <f t="shared" ca="1" si="316"/>
        <v>2021</v>
      </c>
      <c r="AB1140" s="6">
        <f t="shared" ca="1" si="317"/>
        <v>3</v>
      </c>
      <c r="AC1140" s="68">
        <f ca="1">IFERROR(__xludf.DUMMYFUNCTION("""COMPUTED_VALUE"""),44285.9986111111)</f>
        <v>44285.998611111099</v>
      </c>
      <c r="AD1140" s="6">
        <f ca="1">IFERROR(__xludf.DUMMYFUNCTION("""COMPUTED_VALUE"""),1132.32)</f>
        <v>1132.32</v>
      </c>
      <c r="AH1140" s="6" t="str">
        <f t="shared" ca="1" si="318"/>
        <v>20212</v>
      </c>
      <c r="AI1140" s="6">
        <f t="shared" ca="1" si="319"/>
        <v>2021</v>
      </c>
      <c r="AJ1140" s="6">
        <f t="shared" ca="1" si="320"/>
        <v>2</v>
      </c>
      <c r="AK1140" s="68">
        <f ca="1">IFERROR(__xludf.DUMMYFUNCTION("""COMPUTED_VALUE"""),44233.9986111111)</f>
        <v>44233.998611111099</v>
      </c>
      <c r="AL1140" s="6">
        <f ca="1">IFERROR(__xludf.DUMMYFUNCTION("""COMPUTED_VALUE"""),39255.36)</f>
        <v>39255.360000000001</v>
      </c>
      <c r="AP1140" s="6" t="str">
        <f t="shared" ca="1" si="321"/>
        <v>20227</v>
      </c>
      <c r="AQ1140" s="6">
        <f t="shared" ca="1" si="322"/>
        <v>2022</v>
      </c>
      <c r="AR1140" s="6">
        <f t="shared" ca="1" si="323"/>
        <v>7</v>
      </c>
      <c r="AS1140" s="68">
        <f ca="1">IFERROR(__xludf.DUMMYFUNCTION("""COMPUTED_VALUE"""),44761.9986111111)</f>
        <v>44761.998611111099</v>
      </c>
      <c r="AT1140" s="6">
        <f ca="1">IFERROR(__xludf.DUMMYFUNCTION("""COMPUTED_VALUE"""),1728.1)</f>
        <v>1728.1</v>
      </c>
    </row>
    <row r="1141" spans="2:46" x14ac:dyDescent="0.35">
      <c r="B1141" s="6" t="str">
        <f t="shared" ca="1" si="306"/>
        <v>20227</v>
      </c>
      <c r="C1141" s="6">
        <f t="shared" ca="1" si="307"/>
        <v>2022</v>
      </c>
      <c r="D1141" s="6">
        <f t="shared" ca="1" si="308"/>
        <v>7</v>
      </c>
      <c r="E1141" s="68">
        <f ca="1">IFERROR(__xludf.DUMMYFUNCTION("""COMPUTED_VALUE"""),44754.6666666666)</f>
        <v>44754.666666666599</v>
      </c>
      <c r="F1141" s="6">
        <f ca="1">IFERROR(__xludf.DUMMYFUNCTION("""COMPUTED_VALUE"""),3818.8)</f>
        <v>3818.8</v>
      </c>
      <c r="J1141" s="6" t="str">
        <f t="shared" ca="1" si="309"/>
        <v>20227</v>
      </c>
      <c r="K1141" s="6">
        <f t="shared" ca="1" si="310"/>
        <v>2022</v>
      </c>
      <c r="L1141" s="6">
        <f t="shared" ca="1" si="311"/>
        <v>7</v>
      </c>
      <c r="M1141" s="68">
        <f ca="1">IFERROR(__xludf.DUMMYFUNCTION("""COMPUTED_VALUE"""),44747.6666666666)</f>
        <v>44747.666666666599</v>
      </c>
      <c r="N1141" s="6">
        <f ca="1">IFERROR(__xludf.DUMMYFUNCTION("""COMPUTED_VALUE"""),11322.24)</f>
        <v>11322.24</v>
      </c>
      <c r="R1141" s="6" t="str">
        <f t="shared" ca="1" si="312"/>
        <v>20228</v>
      </c>
      <c r="S1141" s="6">
        <f t="shared" ca="1" si="313"/>
        <v>2022</v>
      </c>
      <c r="T1141" s="6">
        <f t="shared" ca="1" si="314"/>
        <v>8</v>
      </c>
      <c r="U1141" s="68">
        <f ca="1">IFERROR(__xludf.DUMMYFUNCTION("""COMPUTED_VALUE"""),44795.6458333333)</f>
        <v>44795.645833333299</v>
      </c>
      <c r="V1141" s="6">
        <f ca="1">IFERROR(__xludf.DUMMYFUNCTION("""COMPUTED_VALUE"""),2462.5)</f>
        <v>2462.5</v>
      </c>
      <c r="Z1141" s="6" t="str">
        <f t="shared" ca="1" si="315"/>
        <v>20213</v>
      </c>
      <c r="AA1141" s="6">
        <f t="shared" ca="1" si="316"/>
        <v>2021</v>
      </c>
      <c r="AB1141" s="6">
        <f t="shared" ca="1" si="317"/>
        <v>3</v>
      </c>
      <c r="AC1141" s="68">
        <f ca="1">IFERROR(__xludf.DUMMYFUNCTION("""COMPUTED_VALUE"""),44286.9986111111)</f>
        <v>44286.998611111099</v>
      </c>
      <c r="AD1141" s="6">
        <f ca="1">IFERROR(__xludf.DUMMYFUNCTION("""COMPUTED_VALUE"""),1127.2)</f>
        <v>1127.2</v>
      </c>
      <c r="AH1141" s="6" t="str">
        <f t="shared" ca="1" si="318"/>
        <v>20212</v>
      </c>
      <c r="AI1141" s="6">
        <f t="shared" ca="1" si="319"/>
        <v>2021</v>
      </c>
      <c r="AJ1141" s="6">
        <f t="shared" ca="1" si="320"/>
        <v>2</v>
      </c>
      <c r="AK1141" s="68">
        <f ca="1">IFERROR(__xludf.DUMMYFUNCTION("""COMPUTED_VALUE"""),44234.9986111111)</f>
        <v>44234.998611111099</v>
      </c>
      <c r="AL1141" s="6">
        <f ca="1">IFERROR(__xludf.DUMMYFUNCTION("""COMPUTED_VALUE"""),38840.28)</f>
        <v>38840.28</v>
      </c>
      <c r="AP1141" s="6" t="str">
        <f t="shared" ca="1" si="321"/>
        <v>20227</v>
      </c>
      <c r="AQ1141" s="6">
        <f t="shared" ca="1" si="322"/>
        <v>2022</v>
      </c>
      <c r="AR1141" s="6">
        <f t="shared" ca="1" si="323"/>
        <v>7</v>
      </c>
      <c r="AS1141" s="68">
        <f ca="1">IFERROR(__xludf.DUMMYFUNCTION("""COMPUTED_VALUE"""),44762.9986111111)</f>
        <v>44762.998611111099</v>
      </c>
      <c r="AT1141" s="6">
        <f ca="1">IFERROR(__xludf.DUMMYFUNCTION("""COMPUTED_VALUE"""),1717.7)</f>
        <v>1717.7</v>
      </c>
    </row>
    <row r="1142" spans="2:46" x14ac:dyDescent="0.35">
      <c r="B1142" s="6" t="str">
        <f t="shared" ca="1" si="306"/>
        <v>20227</v>
      </c>
      <c r="C1142" s="6">
        <f t="shared" ca="1" si="307"/>
        <v>2022</v>
      </c>
      <c r="D1142" s="6">
        <f t="shared" ca="1" si="308"/>
        <v>7</v>
      </c>
      <c r="E1142" s="68">
        <f ca="1">IFERROR(__xludf.DUMMYFUNCTION("""COMPUTED_VALUE"""),44755.6666666666)</f>
        <v>44755.666666666599</v>
      </c>
      <c r="F1142" s="6">
        <f ca="1">IFERROR(__xludf.DUMMYFUNCTION("""COMPUTED_VALUE"""),3801.78)</f>
        <v>3801.78</v>
      </c>
      <c r="J1142" s="6" t="str">
        <f t="shared" ca="1" si="309"/>
        <v>20227</v>
      </c>
      <c r="K1142" s="6">
        <f t="shared" ca="1" si="310"/>
        <v>2022</v>
      </c>
      <c r="L1142" s="6">
        <f t="shared" ca="1" si="311"/>
        <v>7</v>
      </c>
      <c r="M1142" s="68">
        <f ca="1">IFERROR(__xludf.DUMMYFUNCTION("""COMPUTED_VALUE"""),44748.6666666666)</f>
        <v>44748.666666666599</v>
      </c>
      <c r="N1142" s="6">
        <f ca="1">IFERROR(__xludf.DUMMYFUNCTION("""COMPUTED_VALUE"""),11361.85)</f>
        <v>11361.85</v>
      </c>
      <c r="R1142" s="6" t="str">
        <f t="shared" ca="1" si="312"/>
        <v>20228</v>
      </c>
      <c r="S1142" s="6">
        <f t="shared" ca="1" si="313"/>
        <v>2022</v>
      </c>
      <c r="T1142" s="6">
        <f t="shared" ca="1" si="314"/>
        <v>8</v>
      </c>
      <c r="U1142" s="68">
        <f ca="1">IFERROR(__xludf.DUMMYFUNCTION("""COMPUTED_VALUE"""),44796.6458333333)</f>
        <v>44796.645833333299</v>
      </c>
      <c r="V1142" s="6">
        <f ca="1">IFERROR(__xludf.DUMMYFUNCTION("""COMPUTED_VALUE"""),2435.34)</f>
        <v>2435.34</v>
      </c>
      <c r="Z1142" s="6" t="str">
        <f t="shared" ca="1" si="315"/>
        <v>20214</v>
      </c>
      <c r="AA1142" s="6">
        <f t="shared" ca="1" si="316"/>
        <v>2021</v>
      </c>
      <c r="AB1142" s="6">
        <f t="shared" ca="1" si="317"/>
        <v>4</v>
      </c>
      <c r="AC1142" s="68">
        <f ca="1">IFERROR(__xludf.DUMMYFUNCTION("""COMPUTED_VALUE"""),44287.9986111111)</f>
        <v>44287.998611111099</v>
      </c>
      <c r="AD1142" s="6">
        <f ca="1">IFERROR(__xludf.DUMMYFUNCTION("""COMPUTED_VALUE"""),1128.06)</f>
        <v>1128.06</v>
      </c>
      <c r="AH1142" s="6" t="str">
        <f t="shared" ca="1" si="318"/>
        <v>20212</v>
      </c>
      <c r="AI1142" s="6">
        <f t="shared" ca="1" si="319"/>
        <v>2021</v>
      </c>
      <c r="AJ1142" s="6">
        <f t="shared" ca="1" si="320"/>
        <v>2</v>
      </c>
      <c r="AK1142" s="68">
        <f ca="1">IFERROR(__xludf.DUMMYFUNCTION("""COMPUTED_VALUE"""),44235.9986111111)</f>
        <v>44235.998611111099</v>
      </c>
      <c r="AL1142" s="6">
        <f ca="1">IFERROR(__xludf.DUMMYFUNCTION("""COMPUTED_VALUE"""),46430.89)</f>
        <v>46430.89</v>
      </c>
      <c r="AP1142" s="6" t="str">
        <f t="shared" ca="1" si="321"/>
        <v>20227</v>
      </c>
      <c r="AQ1142" s="6">
        <f t="shared" ca="1" si="322"/>
        <v>2022</v>
      </c>
      <c r="AR1142" s="6">
        <f t="shared" ca="1" si="323"/>
        <v>7</v>
      </c>
      <c r="AS1142" s="68">
        <f ca="1">IFERROR(__xludf.DUMMYFUNCTION("""COMPUTED_VALUE"""),44763.9986111111)</f>
        <v>44763.998611111099</v>
      </c>
      <c r="AT1142" s="6">
        <f ca="1">IFERROR(__xludf.DUMMYFUNCTION("""COMPUTED_VALUE"""),1731.3)</f>
        <v>1731.3</v>
      </c>
    </row>
    <row r="1143" spans="2:46" x14ac:dyDescent="0.35">
      <c r="B1143" s="6" t="str">
        <f t="shared" ca="1" si="306"/>
        <v>20227</v>
      </c>
      <c r="C1143" s="6">
        <f t="shared" ca="1" si="307"/>
        <v>2022</v>
      </c>
      <c r="D1143" s="6">
        <f t="shared" ca="1" si="308"/>
        <v>7</v>
      </c>
      <c r="E1143" s="68">
        <f ca="1">IFERROR(__xludf.DUMMYFUNCTION("""COMPUTED_VALUE"""),44756.6666666666)</f>
        <v>44756.666666666599</v>
      </c>
      <c r="F1143" s="6">
        <f ca="1">IFERROR(__xludf.DUMMYFUNCTION("""COMPUTED_VALUE"""),3790.38)</f>
        <v>3790.38</v>
      </c>
      <c r="J1143" s="6" t="str">
        <f t="shared" ca="1" si="309"/>
        <v>20227</v>
      </c>
      <c r="K1143" s="6">
        <f t="shared" ca="1" si="310"/>
        <v>2022</v>
      </c>
      <c r="L1143" s="6">
        <f t="shared" ca="1" si="311"/>
        <v>7</v>
      </c>
      <c r="M1143" s="68">
        <f ca="1">IFERROR(__xludf.DUMMYFUNCTION("""COMPUTED_VALUE"""),44749.6666666666)</f>
        <v>44749.666666666599</v>
      </c>
      <c r="N1143" s="6">
        <f ca="1">IFERROR(__xludf.DUMMYFUNCTION("""COMPUTED_VALUE"""),11621.35)</f>
        <v>11621.35</v>
      </c>
      <c r="R1143" s="6" t="str">
        <f t="shared" ca="1" si="312"/>
        <v>20228</v>
      </c>
      <c r="S1143" s="6">
        <f t="shared" ca="1" si="313"/>
        <v>2022</v>
      </c>
      <c r="T1143" s="6">
        <f t="shared" ca="1" si="314"/>
        <v>8</v>
      </c>
      <c r="U1143" s="68">
        <f ca="1">IFERROR(__xludf.DUMMYFUNCTION("""COMPUTED_VALUE"""),44797.6458333333)</f>
        <v>44797.645833333299</v>
      </c>
      <c r="V1143" s="6">
        <f ca="1">IFERROR(__xludf.DUMMYFUNCTION("""COMPUTED_VALUE"""),2447.45)</f>
        <v>2447.4499999999998</v>
      </c>
      <c r="Z1143" s="6" t="str">
        <f t="shared" ca="1" si="315"/>
        <v>20214</v>
      </c>
      <c r="AA1143" s="6">
        <f t="shared" ca="1" si="316"/>
        <v>2021</v>
      </c>
      <c r="AB1143" s="6">
        <f t="shared" ca="1" si="317"/>
        <v>4</v>
      </c>
      <c r="AC1143" s="68">
        <f ca="1">IFERROR(__xludf.DUMMYFUNCTION("""COMPUTED_VALUE"""),44288.9986111111)</f>
        <v>44288.998611111099</v>
      </c>
      <c r="AD1143" s="6">
        <f ca="1">IFERROR(__xludf.DUMMYFUNCTION("""COMPUTED_VALUE"""),1128.97)</f>
        <v>1128.97</v>
      </c>
      <c r="AH1143" s="6" t="str">
        <f t="shared" ca="1" si="318"/>
        <v>20212</v>
      </c>
      <c r="AI1143" s="6">
        <f t="shared" ca="1" si="319"/>
        <v>2021</v>
      </c>
      <c r="AJ1143" s="6">
        <f t="shared" ca="1" si="320"/>
        <v>2</v>
      </c>
      <c r="AK1143" s="68">
        <f ca="1">IFERROR(__xludf.DUMMYFUNCTION("""COMPUTED_VALUE"""),44236.9986111111)</f>
        <v>44236.998611111099</v>
      </c>
      <c r="AL1143" s="6">
        <f ca="1">IFERROR(__xludf.DUMMYFUNCTION("""COMPUTED_VALUE"""),46533.69)</f>
        <v>46533.69</v>
      </c>
      <c r="AP1143" s="6" t="str">
        <f t="shared" ca="1" si="321"/>
        <v>20227</v>
      </c>
      <c r="AQ1143" s="6">
        <f t="shared" ca="1" si="322"/>
        <v>2022</v>
      </c>
      <c r="AR1143" s="6">
        <f t="shared" ca="1" si="323"/>
        <v>7</v>
      </c>
      <c r="AS1143" s="68">
        <f ca="1">IFERROR(__xludf.DUMMYFUNCTION("""COMPUTED_VALUE"""),44764.9986111111)</f>
        <v>44764.998611111099</v>
      </c>
      <c r="AT1143" s="6">
        <f ca="1">IFERROR(__xludf.DUMMYFUNCTION("""COMPUTED_VALUE"""),1745.3)</f>
        <v>1745.3</v>
      </c>
    </row>
    <row r="1144" spans="2:46" x14ac:dyDescent="0.35">
      <c r="B1144" s="6" t="str">
        <f t="shared" ca="1" si="306"/>
        <v>20227</v>
      </c>
      <c r="C1144" s="6">
        <f t="shared" ca="1" si="307"/>
        <v>2022</v>
      </c>
      <c r="D1144" s="6">
        <f t="shared" ca="1" si="308"/>
        <v>7</v>
      </c>
      <c r="E1144" s="68">
        <f ca="1">IFERROR(__xludf.DUMMYFUNCTION("""COMPUTED_VALUE"""),44757.6666666666)</f>
        <v>44757.666666666599</v>
      </c>
      <c r="F1144" s="6">
        <f ca="1">IFERROR(__xludf.DUMMYFUNCTION("""COMPUTED_VALUE"""),3863.16)</f>
        <v>3863.16</v>
      </c>
      <c r="J1144" s="6" t="str">
        <f t="shared" ca="1" si="309"/>
        <v>20227</v>
      </c>
      <c r="K1144" s="6">
        <f t="shared" ca="1" si="310"/>
        <v>2022</v>
      </c>
      <c r="L1144" s="6">
        <f t="shared" ca="1" si="311"/>
        <v>7</v>
      </c>
      <c r="M1144" s="68">
        <f ca="1">IFERROR(__xludf.DUMMYFUNCTION("""COMPUTED_VALUE"""),44750.6666666666)</f>
        <v>44750.666666666599</v>
      </c>
      <c r="N1144" s="6">
        <f ca="1">IFERROR(__xludf.DUMMYFUNCTION("""COMPUTED_VALUE"""),11635.31)</f>
        <v>11635.31</v>
      </c>
      <c r="R1144" s="6" t="str">
        <f t="shared" ca="1" si="312"/>
        <v>20228</v>
      </c>
      <c r="S1144" s="6">
        <f t="shared" ca="1" si="313"/>
        <v>2022</v>
      </c>
      <c r="T1144" s="6">
        <f t="shared" ca="1" si="314"/>
        <v>8</v>
      </c>
      <c r="U1144" s="68">
        <f ca="1">IFERROR(__xludf.DUMMYFUNCTION("""COMPUTED_VALUE"""),44798.6458333333)</f>
        <v>44798.645833333299</v>
      </c>
      <c r="V1144" s="6">
        <f ca="1">IFERROR(__xludf.DUMMYFUNCTION("""COMPUTED_VALUE"""),2477.26)</f>
        <v>2477.2600000000002</v>
      </c>
      <c r="Z1144" s="6" t="str">
        <f t="shared" ca="1" si="315"/>
        <v>20214</v>
      </c>
      <c r="AA1144" s="6">
        <f t="shared" ca="1" si="316"/>
        <v>2021</v>
      </c>
      <c r="AB1144" s="6">
        <f t="shared" ca="1" si="317"/>
        <v>4</v>
      </c>
      <c r="AC1144" s="68">
        <f ca="1">IFERROR(__xludf.DUMMYFUNCTION("""COMPUTED_VALUE"""),44289.9986111111)</f>
        <v>44289.998611111099</v>
      </c>
      <c r="AD1144" s="6">
        <f ca="1">IFERROR(__xludf.DUMMYFUNCTION("""COMPUTED_VALUE"""),1128.97)</f>
        <v>1128.97</v>
      </c>
      <c r="AH1144" s="6" t="str">
        <f t="shared" ca="1" si="318"/>
        <v>20212</v>
      </c>
      <c r="AI1144" s="6">
        <f t="shared" ca="1" si="319"/>
        <v>2021</v>
      </c>
      <c r="AJ1144" s="6">
        <f t="shared" ca="1" si="320"/>
        <v>2</v>
      </c>
      <c r="AK1144" s="68">
        <f ca="1">IFERROR(__xludf.DUMMYFUNCTION("""COMPUTED_VALUE"""),44237.9986111111)</f>
        <v>44237.998611111099</v>
      </c>
      <c r="AL1144" s="6">
        <f ca="1">IFERROR(__xludf.DUMMYFUNCTION("""COMPUTED_VALUE"""),44835.64)</f>
        <v>44835.64</v>
      </c>
      <c r="AP1144" s="6" t="str">
        <f t="shared" ca="1" si="321"/>
        <v>20227</v>
      </c>
      <c r="AQ1144" s="6">
        <f t="shared" ca="1" si="322"/>
        <v>2022</v>
      </c>
      <c r="AR1144" s="6">
        <f t="shared" ca="1" si="323"/>
        <v>7</v>
      </c>
      <c r="AS1144" s="68">
        <f ca="1">IFERROR(__xludf.DUMMYFUNCTION("""COMPUTED_VALUE"""),44767.9986111111)</f>
        <v>44767.998611111099</v>
      </c>
      <c r="AT1144" s="6">
        <f ca="1">IFERROR(__xludf.DUMMYFUNCTION("""COMPUTED_VALUE"""),1737.1)</f>
        <v>1737.1</v>
      </c>
    </row>
    <row r="1145" spans="2:46" x14ac:dyDescent="0.35">
      <c r="B1145" s="6" t="str">
        <f t="shared" ca="1" si="306"/>
        <v>20227</v>
      </c>
      <c r="C1145" s="6">
        <f t="shared" ca="1" si="307"/>
        <v>2022</v>
      </c>
      <c r="D1145" s="6">
        <f t="shared" ca="1" si="308"/>
        <v>7</v>
      </c>
      <c r="E1145" s="68">
        <f ca="1">IFERROR(__xludf.DUMMYFUNCTION("""COMPUTED_VALUE"""),44760.6666666666)</f>
        <v>44760.666666666599</v>
      </c>
      <c r="F1145" s="6">
        <f ca="1">IFERROR(__xludf.DUMMYFUNCTION("""COMPUTED_VALUE"""),3830.85)</f>
        <v>3830.85</v>
      </c>
      <c r="J1145" s="6" t="str">
        <f t="shared" ca="1" si="309"/>
        <v>20227</v>
      </c>
      <c r="K1145" s="6">
        <f t="shared" ca="1" si="310"/>
        <v>2022</v>
      </c>
      <c r="L1145" s="6">
        <f t="shared" ca="1" si="311"/>
        <v>7</v>
      </c>
      <c r="M1145" s="68">
        <f ca="1">IFERROR(__xludf.DUMMYFUNCTION("""COMPUTED_VALUE"""),44753.6666666666)</f>
        <v>44753.666666666599</v>
      </c>
      <c r="N1145" s="6">
        <f ca="1">IFERROR(__xludf.DUMMYFUNCTION("""COMPUTED_VALUE"""),11372.6)</f>
        <v>11372.6</v>
      </c>
      <c r="R1145" s="6" t="str">
        <f t="shared" ca="1" si="312"/>
        <v>20228</v>
      </c>
      <c r="S1145" s="6">
        <f t="shared" ca="1" si="313"/>
        <v>2022</v>
      </c>
      <c r="T1145" s="6">
        <f t="shared" ca="1" si="314"/>
        <v>8</v>
      </c>
      <c r="U1145" s="68">
        <f ca="1">IFERROR(__xludf.DUMMYFUNCTION("""COMPUTED_VALUE"""),44799.6458333333)</f>
        <v>44799.645833333299</v>
      </c>
      <c r="V1145" s="6">
        <f ca="1">IFERROR(__xludf.DUMMYFUNCTION("""COMPUTED_VALUE"""),2481.03)</f>
        <v>2481.0300000000002</v>
      </c>
      <c r="Z1145" s="6" t="str">
        <f t="shared" ca="1" si="315"/>
        <v>20214</v>
      </c>
      <c r="AA1145" s="6">
        <f t="shared" ca="1" si="316"/>
        <v>2021</v>
      </c>
      <c r="AB1145" s="6">
        <f t="shared" ca="1" si="317"/>
        <v>4</v>
      </c>
      <c r="AC1145" s="68">
        <f ca="1">IFERROR(__xludf.DUMMYFUNCTION("""COMPUTED_VALUE"""),44290.9986111111)</f>
        <v>44290.998611111099</v>
      </c>
      <c r="AD1145" s="6">
        <f ca="1">IFERROR(__xludf.DUMMYFUNCTION("""COMPUTED_VALUE"""),1128.79)</f>
        <v>1128.79</v>
      </c>
      <c r="AH1145" s="6" t="str">
        <f t="shared" ca="1" si="318"/>
        <v>20212</v>
      </c>
      <c r="AI1145" s="6">
        <f t="shared" ca="1" si="319"/>
        <v>2021</v>
      </c>
      <c r="AJ1145" s="6">
        <f t="shared" ca="1" si="320"/>
        <v>2</v>
      </c>
      <c r="AK1145" s="68">
        <f ca="1">IFERROR(__xludf.DUMMYFUNCTION("""COMPUTED_VALUE"""),44238.9986111111)</f>
        <v>44238.998611111099</v>
      </c>
      <c r="AL1145" s="6">
        <f ca="1">IFERROR(__xludf.DUMMYFUNCTION("""COMPUTED_VALUE"""),47987.46)</f>
        <v>47987.46</v>
      </c>
      <c r="AP1145" s="6" t="str">
        <f t="shared" ca="1" si="321"/>
        <v>20227</v>
      </c>
      <c r="AQ1145" s="6">
        <f t="shared" ca="1" si="322"/>
        <v>2022</v>
      </c>
      <c r="AR1145" s="6">
        <f t="shared" ca="1" si="323"/>
        <v>7</v>
      </c>
      <c r="AS1145" s="68">
        <f ca="1">IFERROR(__xludf.DUMMYFUNCTION("""COMPUTED_VALUE"""),44768.9986111111)</f>
        <v>44768.998611111099</v>
      </c>
      <c r="AT1145" s="6">
        <f ca="1">IFERROR(__xludf.DUMMYFUNCTION("""COMPUTED_VALUE"""),1735.7)</f>
        <v>1735.7</v>
      </c>
    </row>
    <row r="1146" spans="2:46" x14ac:dyDescent="0.35">
      <c r="B1146" s="6" t="str">
        <f t="shared" ca="1" si="306"/>
        <v>20227</v>
      </c>
      <c r="C1146" s="6">
        <f t="shared" ca="1" si="307"/>
        <v>2022</v>
      </c>
      <c r="D1146" s="6">
        <f t="shared" ca="1" si="308"/>
        <v>7</v>
      </c>
      <c r="E1146" s="68">
        <f ca="1">IFERROR(__xludf.DUMMYFUNCTION("""COMPUTED_VALUE"""),44761.6666666666)</f>
        <v>44761.666666666599</v>
      </c>
      <c r="F1146" s="6">
        <f ca="1">IFERROR(__xludf.DUMMYFUNCTION("""COMPUTED_VALUE"""),3936.69)</f>
        <v>3936.69</v>
      </c>
      <c r="J1146" s="6" t="str">
        <f t="shared" ca="1" si="309"/>
        <v>20227</v>
      </c>
      <c r="K1146" s="6">
        <f t="shared" ca="1" si="310"/>
        <v>2022</v>
      </c>
      <c r="L1146" s="6">
        <f t="shared" ca="1" si="311"/>
        <v>7</v>
      </c>
      <c r="M1146" s="68">
        <f ca="1">IFERROR(__xludf.DUMMYFUNCTION("""COMPUTED_VALUE"""),44754.6666666666)</f>
        <v>44754.666666666599</v>
      </c>
      <c r="N1146" s="6">
        <f ca="1">IFERROR(__xludf.DUMMYFUNCTION("""COMPUTED_VALUE"""),11264.73)</f>
        <v>11264.73</v>
      </c>
      <c r="R1146" s="6" t="str">
        <f t="shared" ca="1" si="312"/>
        <v>20228</v>
      </c>
      <c r="S1146" s="6">
        <f t="shared" ca="1" si="313"/>
        <v>2022</v>
      </c>
      <c r="T1146" s="6">
        <f t="shared" ca="1" si="314"/>
        <v>8</v>
      </c>
      <c r="U1146" s="68">
        <f ca="1">IFERROR(__xludf.DUMMYFUNCTION("""COMPUTED_VALUE"""),44802.6458333333)</f>
        <v>44802.645833333299</v>
      </c>
      <c r="V1146" s="6">
        <f ca="1">IFERROR(__xludf.DUMMYFUNCTION("""COMPUTED_VALUE"""),2426.89)</f>
        <v>2426.89</v>
      </c>
      <c r="Z1146" s="6" t="str">
        <f t="shared" ca="1" si="315"/>
        <v>20214</v>
      </c>
      <c r="AA1146" s="6">
        <f t="shared" ca="1" si="316"/>
        <v>2021</v>
      </c>
      <c r="AB1146" s="6">
        <f t="shared" ca="1" si="317"/>
        <v>4</v>
      </c>
      <c r="AC1146" s="68">
        <f ca="1">IFERROR(__xludf.DUMMYFUNCTION("""COMPUTED_VALUE"""),44291.9986111111)</f>
        <v>44291.998611111099</v>
      </c>
      <c r="AD1146" s="6">
        <f ca="1">IFERROR(__xludf.DUMMYFUNCTION("""COMPUTED_VALUE"""),1124.11)</f>
        <v>1124.1099999999999</v>
      </c>
      <c r="AH1146" s="6" t="str">
        <f t="shared" ca="1" si="318"/>
        <v>20212</v>
      </c>
      <c r="AI1146" s="6">
        <f t="shared" ca="1" si="319"/>
        <v>2021</v>
      </c>
      <c r="AJ1146" s="6">
        <f t="shared" ca="1" si="320"/>
        <v>2</v>
      </c>
      <c r="AK1146" s="68">
        <f ca="1">IFERROR(__xludf.DUMMYFUNCTION("""COMPUTED_VALUE"""),44239.9986111111)</f>
        <v>44239.998611111099</v>
      </c>
      <c r="AL1146" s="6">
        <f ca="1">IFERROR(__xludf.DUMMYFUNCTION("""COMPUTED_VALUE"""),47394.65)</f>
        <v>47394.65</v>
      </c>
      <c r="AP1146" s="6" t="str">
        <f t="shared" ca="1" si="321"/>
        <v>20227</v>
      </c>
      <c r="AQ1146" s="6">
        <f t="shared" ca="1" si="322"/>
        <v>2022</v>
      </c>
      <c r="AR1146" s="6">
        <f t="shared" ca="1" si="323"/>
        <v>7</v>
      </c>
      <c r="AS1146" s="68">
        <f ca="1">IFERROR(__xludf.DUMMYFUNCTION("""COMPUTED_VALUE"""),44769.9986111111)</f>
        <v>44769.998611111099</v>
      </c>
      <c r="AT1146" s="6">
        <f ca="1">IFERROR(__xludf.DUMMYFUNCTION("""COMPUTED_VALUE"""),1737.5)</f>
        <v>1737.5</v>
      </c>
    </row>
    <row r="1147" spans="2:46" x14ac:dyDescent="0.35">
      <c r="B1147" s="6" t="str">
        <f t="shared" ca="1" si="306"/>
        <v>20227</v>
      </c>
      <c r="C1147" s="6">
        <f t="shared" ca="1" si="307"/>
        <v>2022</v>
      </c>
      <c r="D1147" s="6">
        <f t="shared" ca="1" si="308"/>
        <v>7</v>
      </c>
      <c r="E1147" s="68">
        <f ca="1">IFERROR(__xludf.DUMMYFUNCTION("""COMPUTED_VALUE"""),44762.6666666666)</f>
        <v>44762.666666666599</v>
      </c>
      <c r="F1147" s="6">
        <f ca="1">IFERROR(__xludf.DUMMYFUNCTION("""COMPUTED_VALUE"""),3959.9)</f>
        <v>3959.9</v>
      </c>
      <c r="J1147" s="6" t="str">
        <f t="shared" ca="1" si="309"/>
        <v>20227</v>
      </c>
      <c r="K1147" s="6">
        <f t="shared" ca="1" si="310"/>
        <v>2022</v>
      </c>
      <c r="L1147" s="6">
        <f t="shared" ca="1" si="311"/>
        <v>7</v>
      </c>
      <c r="M1147" s="68">
        <f ca="1">IFERROR(__xludf.DUMMYFUNCTION("""COMPUTED_VALUE"""),44755.6666666666)</f>
        <v>44755.666666666599</v>
      </c>
      <c r="N1147" s="6">
        <f ca="1">IFERROR(__xludf.DUMMYFUNCTION("""COMPUTED_VALUE"""),11247.58)</f>
        <v>11247.58</v>
      </c>
      <c r="R1147" s="6" t="str">
        <f t="shared" ca="1" si="312"/>
        <v>20228</v>
      </c>
      <c r="S1147" s="6">
        <f t="shared" ca="1" si="313"/>
        <v>2022</v>
      </c>
      <c r="T1147" s="6">
        <f t="shared" ca="1" si="314"/>
        <v>8</v>
      </c>
      <c r="U1147" s="68">
        <f ca="1">IFERROR(__xludf.DUMMYFUNCTION("""COMPUTED_VALUE"""),44803.6458333333)</f>
        <v>44803.645833333299</v>
      </c>
      <c r="V1147" s="6">
        <f ca="1">IFERROR(__xludf.DUMMYFUNCTION("""COMPUTED_VALUE"""),2450.93)</f>
        <v>2450.9299999999998</v>
      </c>
      <c r="Z1147" s="6" t="str">
        <f t="shared" ca="1" si="315"/>
        <v>20214</v>
      </c>
      <c r="AA1147" s="6">
        <f t="shared" ca="1" si="316"/>
        <v>2021</v>
      </c>
      <c r="AB1147" s="6">
        <f t="shared" ca="1" si="317"/>
        <v>4</v>
      </c>
      <c r="AC1147" s="68">
        <f ca="1">IFERROR(__xludf.DUMMYFUNCTION("""COMPUTED_VALUE"""),44292.9986111111)</f>
        <v>44292.998611111099</v>
      </c>
      <c r="AD1147" s="6">
        <f ca="1">IFERROR(__xludf.DUMMYFUNCTION("""COMPUTED_VALUE"""),1117.5)</f>
        <v>1117.5</v>
      </c>
      <c r="AH1147" s="6" t="str">
        <f t="shared" ca="1" si="318"/>
        <v>20212</v>
      </c>
      <c r="AI1147" s="6">
        <f t="shared" ca="1" si="319"/>
        <v>2021</v>
      </c>
      <c r="AJ1147" s="6">
        <f t="shared" ca="1" si="320"/>
        <v>2</v>
      </c>
      <c r="AK1147" s="68">
        <f ca="1">IFERROR(__xludf.DUMMYFUNCTION("""COMPUTED_VALUE"""),44240.9986111111)</f>
        <v>44240.998611111099</v>
      </c>
      <c r="AL1147" s="6">
        <f ca="1">IFERROR(__xludf.DUMMYFUNCTION("""COMPUTED_VALUE"""),47169.87)</f>
        <v>47169.87</v>
      </c>
      <c r="AP1147" s="6" t="str">
        <f t="shared" ca="1" si="321"/>
        <v>20227</v>
      </c>
      <c r="AQ1147" s="6">
        <f t="shared" ca="1" si="322"/>
        <v>2022</v>
      </c>
      <c r="AR1147" s="6">
        <f t="shared" ca="1" si="323"/>
        <v>7</v>
      </c>
      <c r="AS1147" s="68">
        <f ca="1">IFERROR(__xludf.DUMMYFUNCTION("""COMPUTED_VALUE"""),44770.9986111111)</f>
        <v>44770.998611111099</v>
      </c>
      <c r="AT1147" s="6">
        <f ca="1">IFERROR(__xludf.DUMMYFUNCTION("""COMPUTED_VALUE"""),1769.2)</f>
        <v>1769.2</v>
      </c>
    </row>
    <row r="1148" spans="2:46" x14ac:dyDescent="0.35">
      <c r="B1148" s="6" t="str">
        <f t="shared" ca="1" si="306"/>
        <v>20227</v>
      </c>
      <c r="C1148" s="6">
        <f t="shared" ca="1" si="307"/>
        <v>2022</v>
      </c>
      <c r="D1148" s="6">
        <f t="shared" ca="1" si="308"/>
        <v>7</v>
      </c>
      <c r="E1148" s="68">
        <f ca="1">IFERROR(__xludf.DUMMYFUNCTION("""COMPUTED_VALUE"""),44763.6666666666)</f>
        <v>44763.666666666599</v>
      </c>
      <c r="F1148" s="6">
        <f ca="1">IFERROR(__xludf.DUMMYFUNCTION("""COMPUTED_VALUE"""),3998.95)</f>
        <v>3998.95</v>
      </c>
      <c r="J1148" s="6" t="str">
        <f t="shared" ca="1" si="309"/>
        <v>20227</v>
      </c>
      <c r="K1148" s="6">
        <f t="shared" ca="1" si="310"/>
        <v>2022</v>
      </c>
      <c r="L1148" s="6">
        <f t="shared" ca="1" si="311"/>
        <v>7</v>
      </c>
      <c r="M1148" s="68">
        <f ca="1">IFERROR(__xludf.DUMMYFUNCTION("""COMPUTED_VALUE"""),44756.6666666666)</f>
        <v>44756.666666666599</v>
      </c>
      <c r="N1148" s="6">
        <f ca="1">IFERROR(__xludf.DUMMYFUNCTION("""COMPUTED_VALUE"""),11251.19)</f>
        <v>11251.19</v>
      </c>
      <c r="R1148" s="6" t="str">
        <f t="shared" ca="1" si="312"/>
        <v>20228</v>
      </c>
      <c r="S1148" s="6">
        <f t="shared" ca="1" si="313"/>
        <v>2022</v>
      </c>
      <c r="T1148" s="6">
        <f t="shared" ca="1" si="314"/>
        <v>8</v>
      </c>
      <c r="U1148" s="68">
        <f ca="1">IFERROR(__xludf.DUMMYFUNCTION("""COMPUTED_VALUE"""),44804.6458333333)</f>
        <v>44804.645833333299</v>
      </c>
      <c r="V1148" s="6">
        <f ca="1">IFERROR(__xludf.DUMMYFUNCTION("""COMPUTED_VALUE"""),2472.05)</f>
        <v>2472.0500000000002</v>
      </c>
      <c r="Z1148" s="6" t="str">
        <f t="shared" ca="1" si="315"/>
        <v>20214</v>
      </c>
      <c r="AA1148" s="6">
        <f t="shared" ca="1" si="316"/>
        <v>2021</v>
      </c>
      <c r="AB1148" s="6">
        <f t="shared" ca="1" si="317"/>
        <v>4</v>
      </c>
      <c r="AC1148" s="68">
        <f ca="1">IFERROR(__xludf.DUMMYFUNCTION("""COMPUTED_VALUE"""),44293.9986111111)</f>
        <v>44293.998611111099</v>
      </c>
      <c r="AD1148" s="6">
        <f ca="1">IFERROR(__xludf.DUMMYFUNCTION("""COMPUTED_VALUE"""),1117.86)</f>
        <v>1117.8599999999999</v>
      </c>
      <c r="AH1148" s="6" t="str">
        <f t="shared" ca="1" si="318"/>
        <v>20212</v>
      </c>
      <c r="AI1148" s="6">
        <f t="shared" ca="1" si="319"/>
        <v>2021</v>
      </c>
      <c r="AJ1148" s="6">
        <f t="shared" ca="1" si="320"/>
        <v>2</v>
      </c>
      <c r="AK1148" s="68">
        <f ca="1">IFERROR(__xludf.DUMMYFUNCTION("""COMPUTED_VALUE"""),44241.9986111111)</f>
        <v>44241.998611111099</v>
      </c>
      <c r="AL1148" s="6">
        <f ca="1">IFERROR(__xludf.DUMMYFUNCTION("""COMPUTED_VALUE"""),48662.91)</f>
        <v>48662.91</v>
      </c>
      <c r="AP1148" s="6" t="str">
        <f t="shared" ca="1" si="321"/>
        <v>20227</v>
      </c>
      <c r="AQ1148" s="6">
        <f t="shared" ca="1" si="322"/>
        <v>2022</v>
      </c>
      <c r="AR1148" s="6">
        <f t="shared" ca="1" si="323"/>
        <v>7</v>
      </c>
      <c r="AS1148" s="68">
        <f ca="1">IFERROR(__xludf.DUMMYFUNCTION("""COMPUTED_VALUE"""),44771.9986111111)</f>
        <v>44771.998611111099</v>
      </c>
      <c r="AT1148" s="6">
        <f ca="1">IFERROR(__xludf.DUMMYFUNCTION("""COMPUTED_VALUE"""),1781.8)</f>
        <v>1781.8</v>
      </c>
    </row>
    <row r="1149" spans="2:46" x14ac:dyDescent="0.35">
      <c r="B1149" s="6" t="str">
        <f t="shared" ca="1" si="306"/>
        <v>20227</v>
      </c>
      <c r="C1149" s="6">
        <f t="shared" ca="1" si="307"/>
        <v>2022</v>
      </c>
      <c r="D1149" s="6">
        <f t="shared" ca="1" si="308"/>
        <v>7</v>
      </c>
      <c r="E1149" s="68">
        <f ca="1">IFERROR(__xludf.DUMMYFUNCTION("""COMPUTED_VALUE"""),44764.6666666666)</f>
        <v>44764.666666666599</v>
      </c>
      <c r="F1149" s="6">
        <f ca="1">IFERROR(__xludf.DUMMYFUNCTION("""COMPUTED_VALUE"""),3961.63)</f>
        <v>3961.63</v>
      </c>
      <c r="J1149" s="6" t="str">
        <f t="shared" ca="1" si="309"/>
        <v>20227</v>
      </c>
      <c r="K1149" s="6">
        <f t="shared" ca="1" si="310"/>
        <v>2022</v>
      </c>
      <c r="L1149" s="6">
        <f t="shared" ca="1" si="311"/>
        <v>7</v>
      </c>
      <c r="M1149" s="68">
        <f ca="1">IFERROR(__xludf.DUMMYFUNCTION("""COMPUTED_VALUE"""),44757.6666666666)</f>
        <v>44757.666666666599</v>
      </c>
      <c r="N1149" s="6">
        <f ca="1">IFERROR(__xludf.DUMMYFUNCTION("""COMPUTED_VALUE"""),11452.42)</f>
        <v>11452.42</v>
      </c>
      <c r="R1149" s="6" t="str">
        <f t="shared" ca="1" si="312"/>
        <v>20229</v>
      </c>
      <c r="S1149" s="6">
        <f t="shared" ca="1" si="313"/>
        <v>2022</v>
      </c>
      <c r="T1149" s="6">
        <f t="shared" ca="1" si="314"/>
        <v>9</v>
      </c>
      <c r="U1149" s="68">
        <f ca="1">IFERROR(__xludf.DUMMYFUNCTION("""COMPUTED_VALUE"""),44805.6458333333)</f>
        <v>44805.645833333299</v>
      </c>
      <c r="V1149" s="6">
        <f ca="1">IFERROR(__xludf.DUMMYFUNCTION("""COMPUTED_VALUE"""),2415.61)</f>
        <v>2415.61</v>
      </c>
      <c r="Z1149" s="6" t="str">
        <f t="shared" ca="1" si="315"/>
        <v>20214</v>
      </c>
      <c r="AA1149" s="6">
        <f t="shared" ca="1" si="316"/>
        <v>2021</v>
      </c>
      <c r="AB1149" s="6">
        <f t="shared" ca="1" si="317"/>
        <v>4</v>
      </c>
      <c r="AC1149" s="68">
        <f ca="1">IFERROR(__xludf.DUMMYFUNCTION("""COMPUTED_VALUE"""),44294.9986111111)</f>
        <v>44294.998611111099</v>
      </c>
      <c r="AD1149" s="6">
        <f ca="1">IFERROR(__xludf.DUMMYFUNCTION("""COMPUTED_VALUE"""),1115.84)</f>
        <v>1115.8399999999999</v>
      </c>
      <c r="AH1149" s="6" t="str">
        <f t="shared" ca="1" si="318"/>
        <v>20212</v>
      </c>
      <c r="AI1149" s="6">
        <f t="shared" ca="1" si="319"/>
        <v>2021</v>
      </c>
      <c r="AJ1149" s="6">
        <f t="shared" ca="1" si="320"/>
        <v>2</v>
      </c>
      <c r="AK1149" s="68">
        <f ca="1">IFERROR(__xludf.DUMMYFUNCTION("""COMPUTED_VALUE"""),44242.9986111111)</f>
        <v>44242.998611111099</v>
      </c>
      <c r="AL1149" s="6">
        <f ca="1">IFERROR(__xludf.DUMMYFUNCTION("""COMPUTED_VALUE"""),47924.53)</f>
        <v>47924.53</v>
      </c>
      <c r="AP1149" s="6" t="str">
        <f t="shared" ca="1" si="321"/>
        <v>20228</v>
      </c>
      <c r="AQ1149" s="6">
        <f t="shared" ca="1" si="322"/>
        <v>2022</v>
      </c>
      <c r="AR1149" s="6">
        <f t="shared" ca="1" si="323"/>
        <v>8</v>
      </c>
      <c r="AS1149" s="68">
        <f ca="1">IFERROR(__xludf.DUMMYFUNCTION("""COMPUTED_VALUE"""),44774.9986111111)</f>
        <v>44774.998611111099</v>
      </c>
      <c r="AT1149" s="6">
        <f ca="1">IFERROR(__xludf.DUMMYFUNCTION("""COMPUTED_VALUE"""),1787.7)</f>
        <v>1787.7</v>
      </c>
    </row>
    <row r="1150" spans="2:46" x14ac:dyDescent="0.35">
      <c r="B1150" s="6" t="str">
        <f t="shared" ca="1" si="306"/>
        <v>20227</v>
      </c>
      <c r="C1150" s="6">
        <f t="shared" ca="1" si="307"/>
        <v>2022</v>
      </c>
      <c r="D1150" s="6">
        <f t="shared" ca="1" si="308"/>
        <v>7</v>
      </c>
      <c r="E1150" s="68">
        <f ca="1">IFERROR(__xludf.DUMMYFUNCTION("""COMPUTED_VALUE"""),44767.6666666666)</f>
        <v>44767.666666666599</v>
      </c>
      <c r="F1150" s="6">
        <f ca="1">IFERROR(__xludf.DUMMYFUNCTION("""COMPUTED_VALUE"""),3966.84)</f>
        <v>3966.84</v>
      </c>
      <c r="J1150" s="6" t="str">
        <f t="shared" ca="1" si="309"/>
        <v>20227</v>
      </c>
      <c r="K1150" s="6">
        <f t="shared" ca="1" si="310"/>
        <v>2022</v>
      </c>
      <c r="L1150" s="6">
        <f t="shared" ca="1" si="311"/>
        <v>7</v>
      </c>
      <c r="M1150" s="68">
        <f ca="1">IFERROR(__xludf.DUMMYFUNCTION("""COMPUTED_VALUE"""),44760.6666666666)</f>
        <v>44760.666666666599</v>
      </c>
      <c r="N1150" s="6">
        <f ca="1">IFERROR(__xludf.DUMMYFUNCTION("""COMPUTED_VALUE"""),11360.05)</f>
        <v>11360.05</v>
      </c>
      <c r="R1150" s="6" t="str">
        <f t="shared" ca="1" si="312"/>
        <v>20229</v>
      </c>
      <c r="S1150" s="6">
        <f t="shared" ca="1" si="313"/>
        <v>2022</v>
      </c>
      <c r="T1150" s="6">
        <f t="shared" ca="1" si="314"/>
        <v>9</v>
      </c>
      <c r="U1150" s="68">
        <f ca="1">IFERROR(__xludf.DUMMYFUNCTION("""COMPUTED_VALUE"""),44806.6458333333)</f>
        <v>44806.645833333299</v>
      </c>
      <c r="V1150" s="6">
        <f ca="1">IFERROR(__xludf.DUMMYFUNCTION("""COMPUTED_VALUE"""),2409.41)</f>
        <v>2409.41</v>
      </c>
      <c r="Z1150" s="6" t="str">
        <f t="shared" ca="1" si="315"/>
        <v>20214</v>
      </c>
      <c r="AA1150" s="6">
        <f t="shared" ca="1" si="316"/>
        <v>2021</v>
      </c>
      <c r="AB1150" s="6">
        <f t="shared" ca="1" si="317"/>
        <v>4</v>
      </c>
      <c r="AC1150" s="68">
        <f ca="1">IFERROR(__xludf.DUMMYFUNCTION("""COMPUTED_VALUE"""),44295.9986111111)</f>
        <v>44295.998611111099</v>
      </c>
      <c r="AD1150" s="6">
        <f ca="1">IFERROR(__xludf.DUMMYFUNCTION("""COMPUTED_VALUE"""),1120.02)</f>
        <v>1120.02</v>
      </c>
      <c r="AH1150" s="6" t="str">
        <f t="shared" ca="1" si="318"/>
        <v>20212</v>
      </c>
      <c r="AI1150" s="6">
        <f t="shared" ca="1" si="319"/>
        <v>2021</v>
      </c>
      <c r="AJ1150" s="6">
        <f t="shared" ca="1" si="320"/>
        <v>2</v>
      </c>
      <c r="AK1150" s="68">
        <f ca="1">IFERROR(__xludf.DUMMYFUNCTION("""COMPUTED_VALUE"""),44243.9986111111)</f>
        <v>44243.998611111099</v>
      </c>
      <c r="AL1150" s="6">
        <f ca="1">IFERROR(__xludf.DUMMYFUNCTION("""COMPUTED_VALUE"""),49154.03)</f>
        <v>49154.03</v>
      </c>
      <c r="AP1150" s="6" t="str">
        <f t="shared" ca="1" si="321"/>
        <v>20228</v>
      </c>
      <c r="AQ1150" s="6">
        <f t="shared" ca="1" si="322"/>
        <v>2022</v>
      </c>
      <c r="AR1150" s="6">
        <f t="shared" ca="1" si="323"/>
        <v>8</v>
      </c>
      <c r="AS1150" s="68">
        <f ca="1">IFERROR(__xludf.DUMMYFUNCTION("""COMPUTED_VALUE"""),44775.9986111111)</f>
        <v>44775.998611111099</v>
      </c>
      <c r="AT1150" s="6">
        <f ca="1">IFERROR(__xludf.DUMMYFUNCTION("""COMPUTED_VALUE"""),1789.7)</f>
        <v>1789.7</v>
      </c>
    </row>
    <row r="1151" spans="2:46" x14ac:dyDescent="0.35">
      <c r="B1151" s="6" t="str">
        <f t="shared" ca="1" si="306"/>
        <v>20227</v>
      </c>
      <c r="C1151" s="6">
        <f t="shared" ca="1" si="307"/>
        <v>2022</v>
      </c>
      <c r="D1151" s="6">
        <f t="shared" ca="1" si="308"/>
        <v>7</v>
      </c>
      <c r="E1151" s="68">
        <f ca="1">IFERROR(__xludf.DUMMYFUNCTION("""COMPUTED_VALUE"""),44768.6666666666)</f>
        <v>44768.666666666599</v>
      </c>
      <c r="F1151" s="6">
        <f ca="1">IFERROR(__xludf.DUMMYFUNCTION("""COMPUTED_VALUE"""),3921.05)</f>
        <v>3921.05</v>
      </c>
      <c r="J1151" s="6" t="str">
        <f t="shared" ca="1" si="309"/>
        <v>20227</v>
      </c>
      <c r="K1151" s="6">
        <f t="shared" ca="1" si="310"/>
        <v>2022</v>
      </c>
      <c r="L1151" s="6">
        <f t="shared" ca="1" si="311"/>
        <v>7</v>
      </c>
      <c r="M1151" s="68">
        <f ca="1">IFERROR(__xludf.DUMMYFUNCTION("""COMPUTED_VALUE"""),44761.6666666666)</f>
        <v>44761.666666666599</v>
      </c>
      <c r="N1151" s="6">
        <f ca="1">IFERROR(__xludf.DUMMYFUNCTION("""COMPUTED_VALUE"""),11713.15)</f>
        <v>11713.15</v>
      </c>
      <c r="R1151" s="6" t="str">
        <f t="shared" ca="1" si="312"/>
        <v>20229</v>
      </c>
      <c r="S1151" s="6">
        <f t="shared" ca="1" si="313"/>
        <v>2022</v>
      </c>
      <c r="T1151" s="6">
        <f t="shared" ca="1" si="314"/>
        <v>9</v>
      </c>
      <c r="U1151" s="68">
        <f ca="1">IFERROR(__xludf.DUMMYFUNCTION("""COMPUTED_VALUE"""),44809.6458333333)</f>
        <v>44809.645833333299</v>
      </c>
      <c r="V1151" s="6">
        <f ca="1">IFERROR(__xludf.DUMMYFUNCTION("""COMPUTED_VALUE"""),2403.68)</f>
        <v>2403.6799999999998</v>
      </c>
      <c r="Z1151" s="6" t="str">
        <f t="shared" ca="1" si="315"/>
        <v>20214</v>
      </c>
      <c r="AA1151" s="6">
        <f t="shared" ca="1" si="316"/>
        <v>2021</v>
      </c>
      <c r="AB1151" s="6">
        <f t="shared" ca="1" si="317"/>
        <v>4</v>
      </c>
      <c r="AC1151" s="68">
        <f ca="1">IFERROR(__xludf.DUMMYFUNCTION("""COMPUTED_VALUE"""),44296.9986111111)</f>
        <v>44296.998611111099</v>
      </c>
      <c r="AD1151" s="6">
        <f ca="1">IFERROR(__xludf.DUMMYFUNCTION("""COMPUTED_VALUE"""),1120)</f>
        <v>1120</v>
      </c>
      <c r="AH1151" s="6" t="str">
        <f t="shared" ca="1" si="318"/>
        <v>20212</v>
      </c>
      <c r="AI1151" s="6">
        <f t="shared" ca="1" si="319"/>
        <v>2021</v>
      </c>
      <c r="AJ1151" s="6">
        <f t="shared" ca="1" si="320"/>
        <v>2</v>
      </c>
      <c r="AK1151" s="68">
        <f ca="1">IFERROR(__xludf.DUMMYFUNCTION("""COMPUTED_VALUE"""),44244.9986111111)</f>
        <v>44244.998611111099</v>
      </c>
      <c r="AL1151" s="6">
        <f ca="1">IFERROR(__xludf.DUMMYFUNCTION("""COMPUTED_VALUE"""),52115.98)</f>
        <v>52115.98</v>
      </c>
      <c r="AP1151" s="6" t="str">
        <f t="shared" ca="1" si="321"/>
        <v>20228</v>
      </c>
      <c r="AQ1151" s="6">
        <f t="shared" ca="1" si="322"/>
        <v>2022</v>
      </c>
      <c r="AR1151" s="6">
        <f t="shared" ca="1" si="323"/>
        <v>8</v>
      </c>
      <c r="AS1151" s="68">
        <f ca="1">IFERROR(__xludf.DUMMYFUNCTION("""COMPUTED_VALUE"""),44776.9986111111)</f>
        <v>44776.998611111099</v>
      </c>
      <c r="AT1151" s="6">
        <f ca="1">IFERROR(__xludf.DUMMYFUNCTION("""COMPUTED_VALUE"""),1776.4)</f>
        <v>1776.4</v>
      </c>
    </row>
    <row r="1152" spans="2:46" x14ac:dyDescent="0.35">
      <c r="B1152" s="6" t="str">
        <f t="shared" ca="1" si="306"/>
        <v>20227</v>
      </c>
      <c r="C1152" s="6">
        <f t="shared" ca="1" si="307"/>
        <v>2022</v>
      </c>
      <c r="D1152" s="6">
        <f t="shared" ca="1" si="308"/>
        <v>7</v>
      </c>
      <c r="E1152" s="68">
        <f ca="1">IFERROR(__xludf.DUMMYFUNCTION("""COMPUTED_VALUE"""),44769.6666666666)</f>
        <v>44769.666666666599</v>
      </c>
      <c r="F1152" s="6">
        <f ca="1">IFERROR(__xludf.DUMMYFUNCTION("""COMPUTED_VALUE"""),4023.61)</f>
        <v>4023.61</v>
      </c>
      <c r="J1152" s="6" t="str">
        <f t="shared" ca="1" si="309"/>
        <v>20227</v>
      </c>
      <c r="K1152" s="6">
        <f t="shared" ca="1" si="310"/>
        <v>2022</v>
      </c>
      <c r="L1152" s="6">
        <f t="shared" ca="1" si="311"/>
        <v>7</v>
      </c>
      <c r="M1152" s="68">
        <f ca="1">IFERROR(__xludf.DUMMYFUNCTION("""COMPUTED_VALUE"""),44762.6666666666)</f>
        <v>44762.666666666599</v>
      </c>
      <c r="N1152" s="6">
        <f ca="1">IFERROR(__xludf.DUMMYFUNCTION("""COMPUTED_VALUE"""),11897.65)</f>
        <v>11897.65</v>
      </c>
      <c r="R1152" s="6" t="str">
        <f t="shared" ca="1" si="312"/>
        <v>20229</v>
      </c>
      <c r="S1152" s="6">
        <f t="shared" ca="1" si="313"/>
        <v>2022</v>
      </c>
      <c r="T1152" s="6">
        <f t="shared" ca="1" si="314"/>
        <v>9</v>
      </c>
      <c r="U1152" s="68">
        <f ca="1">IFERROR(__xludf.DUMMYFUNCTION("""COMPUTED_VALUE"""),44810.6458333333)</f>
        <v>44810.645833333299</v>
      </c>
      <c r="V1152" s="6">
        <f ca="1">IFERROR(__xludf.DUMMYFUNCTION("""COMPUTED_VALUE"""),2410.02)</f>
        <v>2410.02</v>
      </c>
      <c r="Z1152" s="6" t="str">
        <f t="shared" ca="1" si="315"/>
        <v>20214</v>
      </c>
      <c r="AA1152" s="6">
        <f t="shared" ca="1" si="316"/>
        <v>2021</v>
      </c>
      <c r="AB1152" s="6">
        <f t="shared" ca="1" si="317"/>
        <v>4</v>
      </c>
      <c r="AC1152" s="68">
        <f ca="1">IFERROR(__xludf.DUMMYFUNCTION("""COMPUTED_VALUE"""),44297.9986111111)</f>
        <v>44297.998611111099</v>
      </c>
      <c r="AD1152" s="6">
        <f ca="1">IFERROR(__xludf.DUMMYFUNCTION("""COMPUTED_VALUE"""),1122.06)</f>
        <v>1122.06</v>
      </c>
      <c r="AH1152" s="6" t="str">
        <f t="shared" ca="1" si="318"/>
        <v>20212</v>
      </c>
      <c r="AI1152" s="6">
        <f t="shared" ca="1" si="319"/>
        <v>2021</v>
      </c>
      <c r="AJ1152" s="6">
        <f t="shared" ca="1" si="320"/>
        <v>2</v>
      </c>
      <c r="AK1152" s="68">
        <f ca="1">IFERROR(__xludf.DUMMYFUNCTION("""COMPUTED_VALUE"""),44245.9986111111)</f>
        <v>44245.998611111099</v>
      </c>
      <c r="AL1152" s="6">
        <f ca="1">IFERROR(__xludf.DUMMYFUNCTION("""COMPUTED_VALUE"""),51604.23)</f>
        <v>51604.23</v>
      </c>
      <c r="AP1152" s="6" t="str">
        <f t="shared" ca="1" si="321"/>
        <v>20228</v>
      </c>
      <c r="AQ1152" s="6">
        <f t="shared" ca="1" si="322"/>
        <v>2022</v>
      </c>
      <c r="AR1152" s="6">
        <f t="shared" ca="1" si="323"/>
        <v>8</v>
      </c>
      <c r="AS1152" s="68">
        <f ca="1">IFERROR(__xludf.DUMMYFUNCTION("""COMPUTED_VALUE"""),44777.9986111111)</f>
        <v>44777.998611111099</v>
      </c>
      <c r="AT1152" s="6">
        <f ca="1">IFERROR(__xludf.DUMMYFUNCTION("""COMPUTED_VALUE"""),1806.9)</f>
        <v>1806.9</v>
      </c>
    </row>
    <row r="1153" spans="2:46" x14ac:dyDescent="0.35">
      <c r="B1153" s="6" t="str">
        <f t="shared" ca="1" si="306"/>
        <v>20227</v>
      </c>
      <c r="C1153" s="6">
        <f t="shared" ca="1" si="307"/>
        <v>2022</v>
      </c>
      <c r="D1153" s="6">
        <f t="shared" ca="1" si="308"/>
        <v>7</v>
      </c>
      <c r="E1153" s="68">
        <f ca="1">IFERROR(__xludf.DUMMYFUNCTION("""COMPUTED_VALUE"""),44770.6666666666)</f>
        <v>44770.666666666599</v>
      </c>
      <c r="F1153" s="6">
        <f ca="1">IFERROR(__xludf.DUMMYFUNCTION("""COMPUTED_VALUE"""),4072.43)</f>
        <v>4072.43</v>
      </c>
      <c r="J1153" s="6" t="str">
        <f t="shared" ca="1" si="309"/>
        <v>20227</v>
      </c>
      <c r="K1153" s="6">
        <f t="shared" ca="1" si="310"/>
        <v>2022</v>
      </c>
      <c r="L1153" s="6">
        <f t="shared" ca="1" si="311"/>
        <v>7</v>
      </c>
      <c r="M1153" s="68">
        <f ca="1">IFERROR(__xludf.DUMMYFUNCTION("""COMPUTED_VALUE"""),44763.6666666666)</f>
        <v>44763.666666666599</v>
      </c>
      <c r="N1153" s="6">
        <f ca="1">IFERROR(__xludf.DUMMYFUNCTION("""COMPUTED_VALUE"""),12059.61)</f>
        <v>12059.61</v>
      </c>
      <c r="R1153" s="6" t="str">
        <f t="shared" ca="1" si="312"/>
        <v>20229</v>
      </c>
      <c r="S1153" s="6">
        <f t="shared" ca="1" si="313"/>
        <v>2022</v>
      </c>
      <c r="T1153" s="6">
        <f t="shared" ca="1" si="314"/>
        <v>9</v>
      </c>
      <c r="U1153" s="68">
        <f ca="1">IFERROR(__xludf.DUMMYFUNCTION("""COMPUTED_VALUE"""),44811.6458333333)</f>
        <v>44811.645833333299</v>
      </c>
      <c r="V1153" s="6">
        <f ca="1">IFERROR(__xludf.DUMMYFUNCTION("""COMPUTED_VALUE"""),2376.46)</f>
        <v>2376.46</v>
      </c>
      <c r="Z1153" s="6" t="str">
        <f t="shared" ca="1" si="315"/>
        <v>20214</v>
      </c>
      <c r="AA1153" s="6">
        <f t="shared" ca="1" si="316"/>
        <v>2021</v>
      </c>
      <c r="AB1153" s="6">
        <f t="shared" ca="1" si="317"/>
        <v>4</v>
      </c>
      <c r="AC1153" s="68">
        <f ca="1">IFERROR(__xludf.DUMMYFUNCTION("""COMPUTED_VALUE"""),44298.9986111111)</f>
        <v>44298.998611111099</v>
      </c>
      <c r="AD1153" s="6">
        <f ca="1">IFERROR(__xludf.DUMMYFUNCTION("""COMPUTED_VALUE"""),1124.45)</f>
        <v>1124.45</v>
      </c>
      <c r="AH1153" s="6" t="str">
        <f t="shared" ca="1" si="318"/>
        <v>20212</v>
      </c>
      <c r="AI1153" s="6">
        <f t="shared" ca="1" si="319"/>
        <v>2021</v>
      </c>
      <c r="AJ1153" s="6">
        <f t="shared" ca="1" si="320"/>
        <v>2</v>
      </c>
      <c r="AK1153" s="68">
        <f ca="1">IFERROR(__xludf.DUMMYFUNCTION("""COMPUTED_VALUE"""),44246.9986111111)</f>
        <v>44246.998611111099</v>
      </c>
      <c r="AL1153" s="6">
        <f ca="1">IFERROR(__xludf.DUMMYFUNCTION("""COMPUTED_VALUE"""),55905.4)</f>
        <v>55905.4</v>
      </c>
      <c r="AP1153" s="6" t="str">
        <f t="shared" ca="1" si="321"/>
        <v>20228</v>
      </c>
      <c r="AQ1153" s="6">
        <f t="shared" ca="1" si="322"/>
        <v>2022</v>
      </c>
      <c r="AR1153" s="6">
        <f t="shared" ca="1" si="323"/>
        <v>8</v>
      </c>
      <c r="AS1153" s="68">
        <f ca="1">IFERROR(__xludf.DUMMYFUNCTION("""COMPUTED_VALUE"""),44778.9986111111)</f>
        <v>44778.998611111099</v>
      </c>
      <c r="AT1153" s="6">
        <f ca="1">IFERROR(__xludf.DUMMYFUNCTION("""COMPUTED_VALUE"""),1791.2)</f>
        <v>1791.2</v>
      </c>
    </row>
    <row r="1154" spans="2:46" x14ac:dyDescent="0.35">
      <c r="B1154" s="6" t="str">
        <f t="shared" ca="1" si="306"/>
        <v>20227</v>
      </c>
      <c r="C1154" s="6">
        <f t="shared" ca="1" si="307"/>
        <v>2022</v>
      </c>
      <c r="D1154" s="6">
        <f t="shared" ca="1" si="308"/>
        <v>7</v>
      </c>
      <c r="E1154" s="68">
        <f ca="1">IFERROR(__xludf.DUMMYFUNCTION("""COMPUTED_VALUE"""),44771.6666666666)</f>
        <v>44771.666666666599</v>
      </c>
      <c r="F1154" s="6">
        <f ca="1">IFERROR(__xludf.DUMMYFUNCTION("""COMPUTED_VALUE"""),4130.29)</f>
        <v>4130.29</v>
      </c>
      <c r="J1154" s="6" t="str">
        <f t="shared" ca="1" si="309"/>
        <v>20227</v>
      </c>
      <c r="K1154" s="6">
        <f t="shared" ca="1" si="310"/>
        <v>2022</v>
      </c>
      <c r="L1154" s="6">
        <f t="shared" ca="1" si="311"/>
        <v>7</v>
      </c>
      <c r="M1154" s="68">
        <f ca="1">IFERROR(__xludf.DUMMYFUNCTION("""COMPUTED_VALUE"""),44764.6666666666)</f>
        <v>44764.666666666599</v>
      </c>
      <c r="N1154" s="6">
        <f ca="1">IFERROR(__xludf.DUMMYFUNCTION("""COMPUTED_VALUE"""),11834.11)</f>
        <v>11834.11</v>
      </c>
      <c r="R1154" s="6" t="str">
        <f t="shared" ca="1" si="312"/>
        <v>20229</v>
      </c>
      <c r="S1154" s="6">
        <f t="shared" ca="1" si="313"/>
        <v>2022</v>
      </c>
      <c r="T1154" s="6">
        <f t="shared" ca="1" si="314"/>
        <v>9</v>
      </c>
      <c r="U1154" s="68">
        <f ca="1">IFERROR(__xludf.DUMMYFUNCTION("""COMPUTED_VALUE"""),44812.6458333333)</f>
        <v>44812.645833333299</v>
      </c>
      <c r="V1154" s="6">
        <f ca="1">IFERROR(__xludf.DUMMYFUNCTION("""COMPUTED_VALUE"""),2384.28)</f>
        <v>2384.2800000000002</v>
      </c>
      <c r="Z1154" s="6" t="str">
        <f t="shared" ca="1" si="315"/>
        <v>20214</v>
      </c>
      <c r="AA1154" s="6">
        <f t="shared" ca="1" si="316"/>
        <v>2021</v>
      </c>
      <c r="AB1154" s="6">
        <f t="shared" ca="1" si="317"/>
        <v>4</v>
      </c>
      <c r="AC1154" s="68">
        <f ca="1">IFERROR(__xludf.DUMMYFUNCTION("""COMPUTED_VALUE"""),44299.9986111111)</f>
        <v>44299.998611111099</v>
      </c>
      <c r="AD1154" s="6">
        <f ca="1">IFERROR(__xludf.DUMMYFUNCTION("""COMPUTED_VALUE"""),1120.69)</f>
        <v>1120.69</v>
      </c>
      <c r="AH1154" s="6" t="str">
        <f t="shared" ca="1" si="318"/>
        <v>20212</v>
      </c>
      <c r="AI1154" s="6">
        <f t="shared" ca="1" si="319"/>
        <v>2021</v>
      </c>
      <c r="AJ1154" s="6">
        <f t="shared" ca="1" si="320"/>
        <v>2</v>
      </c>
      <c r="AK1154" s="68">
        <f ca="1">IFERROR(__xludf.DUMMYFUNCTION("""COMPUTED_VALUE"""),44247.9986111111)</f>
        <v>44247.998611111099</v>
      </c>
      <c r="AL1154" s="6">
        <f ca="1">IFERROR(__xludf.DUMMYFUNCTION("""COMPUTED_VALUE"""),55936.8)</f>
        <v>55936.800000000003</v>
      </c>
      <c r="AP1154" s="6" t="str">
        <f t="shared" ca="1" si="321"/>
        <v>20228</v>
      </c>
      <c r="AQ1154" s="6">
        <f t="shared" ca="1" si="322"/>
        <v>2022</v>
      </c>
      <c r="AR1154" s="6">
        <f t="shared" ca="1" si="323"/>
        <v>8</v>
      </c>
      <c r="AS1154" s="68">
        <f ca="1">IFERROR(__xludf.DUMMYFUNCTION("""COMPUTED_VALUE"""),44781.9986111111)</f>
        <v>44781.998611111099</v>
      </c>
      <c r="AT1154" s="6">
        <f ca="1">IFERROR(__xludf.DUMMYFUNCTION("""COMPUTED_VALUE"""),1805.2)</f>
        <v>1805.2</v>
      </c>
    </row>
    <row r="1155" spans="2:46" x14ac:dyDescent="0.35">
      <c r="B1155" s="6" t="str">
        <f t="shared" ca="1" si="306"/>
        <v>20228</v>
      </c>
      <c r="C1155" s="6">
        <f t="shared" ca="1" si="307"/>
        <v>2022</v>
      </c>
      <c r="D1155" s="6">
        <f t="shared" ca="1" si="308"/>
        <v>8</v>
      </c>
      <c r="E1155" s="68">
        <f ca="1">IFERROR(__xludf.DUMMYFUNCTION("""COMPUTED_VALUE"""),44774.6666666666)</f>
        <v>44774.666666666599</v>
      </c>
      <c r="F1155" s="6">
        <f ca="1">IFERROR(__xludf.DUMMYFUNCTION("""COMPUTED_VALUE"""),4118.63)</f>
        <v>4118.63</v>
      </c>
      <c r="J1155" s="6" t="str">
        <f t="shared" ca="1" si="309"/>
        <v>20227</v>
      </c>
      <c r="K1155" s="6">
        <f t="shared" ca="1" si="310"/>
        <v>2022</v>
      </c>
      <c r="L1155" s="6">
        <f t="shared" ca="1" si="311"/>
        <v>7</v>
      </c>
      <c r="M1155" s="68">
        <f ca="1">IFERROR(__xludf.DUMMYFUNCTION("""COMPUTED_VALUE"""),44767.6666666666)</f>
        <v>44767.666666666599</v>
      </c>
      <c r="N1155" s="6">
        <f ca="1">IFERROR(__xludf.DUMMYFUNCTION("""COMPUTED_VALUE"""),11782.67)</f>
        <v>11782.67</v>
      </c>
      <c r="R1155" s="6" t="str">
        <f t="shared" ca="1" si="312"/>
        <v>20229</v>
      </c>
      <c r="S1155" s="6">
        <f t="shared" ca="1" si="313"/>
        <v>2022</v>
      </c>
      <c r="T1155" s="6">
        <f t="shared" ca="1" si="314"/>
        <v>9</v>
      </c>
      <c r="U1155" s="68">
        <f ca="1">IFERROR(__xludf.DUMMYFUNCTION("""COMPUTED_VALUE"""),44817.6458333333)</f>
        <v>44817.645833333299</v>
      </c>
      <c r="V1155" s="6">
        <f ca="1">IFERROR(__xludf.DUMMYFUNCTION("""COMPUTED_VALUE"""),2449.54)</f>
        <v>2449.54</v>
      </c>
      <c r="Z1155" s="6" t="str">
        <f t="shared" ca="1" si="315"/>
        <v>20214</v>
      </c>
      <c r="AA1155" s="6">
        <f t="shared" ca="1" si="316"/>
        <v>2021</v>
      </c>
      <c r="AB1155" s="6">
        <f t="shared" ca="1" si="317"/>
        <v>4</v>
      </c>
      <c r="AC1155" s="68">
        <f ca="1">IFERROR(__xludf.DUMMYFUNCTION("""COMPUTED_VALUE"""),44300.9986111111)</f>
        <v>44300.998611111099</v>
      </c>
      <c r="AD1155" s="6">
        <f ca="1">IFERROR(__xludf.DUMMYFUNCTION("""COMPUTED_VALUE"""),1116.11)</f>
        <v>1116.1099999999999</v>
      </c>
      <c r="AH1155" s="6" t="str">
        <f t="shared" ca="1" si="318"/>
        <v>20212</v>
      </c>
      <c r="AI1155" s="6">
        <f t="shared" ca="1" si="319"/>
        <v>2021</v>
      </c>
      <c r="AJ1155" s="6">
        <f t="shared" ca="1" si="320"/>
        <v>2</v>
      </c>
      <c r="AK1155" s="68">
        <f ca="1">IFERROR(__xludf.DUMMYFUNCTION("""COMPUTED_VALUE"""),44248.9986111111)</f>
        <v>44248.998611111099</v>
      </c>
      <c r="AL1155" s="6">
        <f ca="1">IFERROR(__xludf.DUMMYFUNCTION("""COMPUTED_VALUE"""),57443.79)</f>
        <v>57443.79</v>
      </c>
      <c r="AP1155" s="6" t="str">
        <f t="shared" ca="1" si="321"/>
        <v>20228</v>
      </c>
      <c r="AQ1155" s="6">
        <f t="shared" ca="1" si="322"/>
        <v>2022</v>
      </c>
      <c r="AR1155" s="6">
        <f t="shared" ca="1" si="323"/>
        <v>8</v>
      </c>
      <c r="AS1155" s="68">
        <f ca="1">IFERROR(__xludf.DUMMYFUNCTION("""COMPUTED_VALUE"""),44782.9986111111)</f>
        <v>44782.998611111099</v>
      </c>
      <c r="AT1155" s="6">
        <f ca="1">IFERROR(__xludf.DUMMYFUNCTION("""COMPUTED_VALUE"""),1812.3)</f>
        <v>1812.3</v>
      </c>
    </row>
    <row r="1156" spans="2:46" x14ac:dyDescent="0.35">
      <c r="B1156" s="6" t="str">
        <f t="shared" ca="1" si="306"/>
        <v>20228</v>
      </c>
      <c r="C1156" s="6">
        <f t="shared" ca="1" si="307"/>
        <v>2022</v>
      </c>
      <c r="D1156" s="6">
        <f t="shared" ca="1" si="308"/>
        <v>8</v>
      </c>
      <c r="E1156" s="68">
        <f ca="1">IFERROR(__xludf.DUMMYFUNCTION("""COMPUTED_VALUE"""),44775.6666666666)</f>
        <v>44775.666666666599</v>
      </c>
      <c r="F1156" s="6">
        <f ca="1">IFERROR(__xludf.DUMMYFUNCTION("""COMPUTED_VALUE"""),4091.19)</f>
        <v>4091.19</v>
      </c>
      <c r="J1156" s="6" t="str">
        <f t="shared" ca="1" si="309"/>
        <v>20227</v>
      </c>
      <c r="K1156" s="6">
        <f t="shared" ca="1" si="310"/>
        <v>2022</v>
      </c>
      <c r="L1156" s="6">
        <f t="shared" ca="1" si="311"/>
        <v>7</v>
      </c>
      <c r="M1156" s="68">
        <f ca="1">IFERROR(__xludf.DUMMYFUNCTION("""COMPUTED_VALUE"""),44768.6666666666)</f>
        <v>44768.666666666599</v>
      </c>
      <c r="N1156" s="6">
        <f ca="1">IFERROR(__xludf.DUMMYFUNCTION("""COMPUTED_VALUE"""),11562.58)</f>
        <v>11562.58</v>
      </c>
      <c r="R1156" s="6" t="str">
        <f t="shared" ca="1" si="312"/>
        <v>20229</v>
      </c>
      <c r="S1156" s="6">
        <f t="shared" ca="1" si="313"/>
        <v>2022</v>
      </c>
      <c r="T1156" s="6">
        <f t="shared" ca="1" si="314"/>
        <v>9</v>
      </c>
      <c r="U1156" s="68">
        <f ca="1">IFERROR(__xludf.DUMMYFUNCTION("""COMPUTED_VALUE"""),44818.6458333333)</f>
        <v>44818.645833333299</v>
      </c>
      <c r="V1156" s="6">
        <f ca="1">IFERROR(__xludf.DUMMYFUNCTION("""COMPUTED_VALUE"""),2411.42)</f>
        <v>2411.42</v>
      </c>
      <c r="Z1156" s="6" t="str">
        <f t="shared" ca="1" si="315"/>
        <v>20214</v>
      </c>
      <c r="AA1156" s="6">
        <f t="shared" ca="1" si="316"/>
        <v>2021</v>
      </c>
      <c r="AB1156" s="6">
        <f t="shared" ca="1" si="317"/>
        <v>4</v>
      </c>
      <c r="AC1156" s="68">
        <f ca="1">IFERROR(__xludf.DUMMYFUNCTION("""COMPUTED_VALUE"""),44301.9986111111)</f>
        <v>44301.998611111099</v>
      </c>
      <c r="AD1156" s="6">
        <f ca="1">IFERROR(__xludf.DUMMYFUNCTION("""COMPUTED_VALUE"""),1115.67)</f>
        <v>1115.67</v>
      </c>
      <c r="AH1156" s="6" t="str">
        <f t="shared" ca="1" si="318"/>
        <v>20212</v>
      </c>
      <c r="AI1156" s="6">
        <f t="shared" ca="1" si="319"/>
        <v>2021</v>
      </c>
      <c r="AJ1156" s="6">
        <f t="shared" ca="1" si="320"/>
        <v>2</v>
      </c>
      <c r="AK1156" s="68">
        <f ca="1">IFERROR(__xludf.DUMMYFUNCTION("""COMPUTED_VALUE"""),44249.9986111111)</f>
        <v>44249.998611111099</v>
      </c>
      <c r="AL1156" s="6">
        <f ca="1">IFERROR(__xludf.DUMMYFUNCTION("""COMPUTED_VALUE"""),54104.16)</f>
        <v>54104.160000000003</v>
      </c>
      <c r="AP1156" s="6" t="str">
        <f t="shared" ca="1" si="321"/>
        <v>20228</v>
      </c>
      <c r="AQ1156" s="6">
        <f t="shared" ca="1" si="322"/>
        <v>2022</v>
      </c>
      <c r="AR1156" s="6">
        <f t="shared" ca="1" si="323"/>
        <v>8</v>
      </c>
      <c r="AS1156" s="68">
        <f ca="1">IFERROR(__xludf.DUMMYFUNCTION("""COMPUTED_VALUE"""),44783.9986111111)</f>
        <v>44783.998611111099</v>
      </c>
      <c r="AT1156" s="6">
        <f ca="1">IFERROR(__xludf.DUMMYFUNCTION("""COMPUTED_VALUE"""),1813.7)</f>
        <v>1813.7</v>
      </c>
    </row>
    <row r="1157" spans="2:46" x14ac:dyDescent="0.35">
      <c r="B1157" s="6" t="str">
        <f t="shared" ca="1" si="306"/>
        <v>20228</v>
      </c>
      <c r="C1157" s="6">
        <f t="shared" ca="1" si="307"/>
        <v>2022</v>
      </c>
      <c r="D1157" s="6">
        <f t="shared" ca="1" si="308"/>
        <v>8</v>
      </c>
      <c r="E1157" s="68">
        <f ca="1">IFERROR(__xludf.DUMMYFUNCTION("""COMPUTED_VALUE"""),44776.6666666666)</f>
        <v>44776.666666666599</v>
      </c>
      <c r="F1157" s="6">
        <f ca="1">IFERROR(__xludf.DUMMYFUNCTION("""COMPUTED_VALUE"""),4155.17)</f>
        <v>4155.17</v>
      </c>
      <c r="J1157" s="6" t="str">
        <f t="shared" ca="1" si="309"/>
        <v>20227</v>
      </c>
      <c r="K1157" s="6">
        <f t="shared" ca="1" si="310"/>
        <v>2022</v>
      </c>
      <c r="L1157" s="6">
        <f t="shared" ca="1" si="311"/>
        <v>7</v>
      </c>
      <c r="M1157" s="68">
        <f ca="1">IFERROR(__xludf.DUMMYFUNCTION("""COMPUTED_VALUE"""),44769.6666666666)</f>
        <v>44769.666666666599</v>
      </c>
      <c r="N1157" s="6">
        <f ca="1">IFERROR(__xludf.DUMMYFUNCTION("""COMPUTED_VALUE"""),12032.42)</f>
        <v>12032.42</v>
      </c>
      <c r="R1157" s="6" t="str">
        <f t="shared" ca="1" si="312"/>
        <v>20229</v>
      </c>
      <c r="S1157" s="6">
        <f t="shared" ca="1" si="313"/>
        <v>2022</v>
      </c>
      <c r="T1157" s="6">
        <f t="shared" ca="1" si="314"/>
        <v>9</v>
      </c>
      <c r="U1157" s="68">
        <f ca="1">IFERROR(__xludf.DUMMYFUNCTION("""COMPUTED_VALUE"""),44819.6458333333)</f>
        <v>44819.645833333299</v>
      </c>
      <c r="V1157" s="6">
        <f ca="1">IFERROR(__xludf.DUMMYFUNCTION("""COMPUTED_VALUE"""),2401.83)</f>
        <v>2401.83</v>
      </c>
      <c r="Z1157" s="6" t="str">
        <f t="shared" ca="1" si="315"/>
        <v>20214</v>
      </c>
      <c r="AA1157" s="6">
        <f t="shared" ca="1" si="316"/>
        <v>2021</v>
      </c>
      <c r="AB1157" s="6">
        <f t="shared" ca="1" si="317"/>
        <v>4</v>
      </c>
      <c r="AC1157" s="68">
        <f ca="1">IFERROR(__xludf.DUMMYFUNCTION("""COMPUTED_VALUE"""),44302.9986111111)</f>
        <v>44302.998611111099</v>
      </c>
      <c r="AD1157" s="6">
        <f ca="1">IFERROR(__xludf.DUMMYFUNCTION("""COMPUTED_VALUE"""),1115.34)</f>
        <v>1115.3399999999999</v>
      </c>
      <c r="AH1157" s="6" t="str">
        <f t="shared" ca="1" si="318"/>
        <v>20212</v>
      </c>
      <c r="AI1157" s="6">
        <f t="shared" ca="1" si="319"/>
        <v>2021</v>
      </c>
      <c r="AJ1157" s="6">
        <f t="shared" ca="1" si="320"/>
        <v>2</v>
      </c>
      <c r="AK1157" s="68">
        <f ca="1">IFERROR(__xludf.DUMMYFUNCTION("""COMPUTED_VALUE"""),44250.9986111111)</f>
        <v>44250.998611111099</v>
      </c>
      <c r="AL1157" s="6">
        <f ca="1">IFERROR(__xludf.DUMMYFUNCTION("""COMPUTED_VALUE"""),48894.62)</f>
        <v>48894.62</v>
      </c>
      <c r="AP1157" s="6" t="str">
        <f t="shared" ca="1" si="321"/>
        <v>20228</v>
      </c>
      <c r="AQ1157" s="6">
        <f t="shared" ca="1" si="322"/>
        <v>2022</v>
      </c>
      <c r="AR1157" s="6">
        <f t="shared" ca="1" si="323"/>
        <v>8</v>
      </c>
      <c r="AS1157" s="68">
        <f ca="1">IFERROR(__xludf.DUMMYFUNCTION("""COMPUTED_VALUE"""),44784.9986111111)</f>
        <v>44784.998611111099</v>
      </c>
      <c r="AT1157" s="6">
        <f ca="1">IFERROR(__xludf.DUMMYFUNCTION("""COMPUTED_VALUE"""),1807.2)</f>
        <v>1807.2</v>
      </c>
    </row>
    <row r="1158" spans="2:46" x14ac:dyDescent="0.35">
      <c r="B1158" s="6" t="str">
        <f t="shared" ca="1" si="306"/>
        <v>20228</v>
      </c>
      <c r="C1158" s="6">
        <f t="shared" ca="1" si="307"/>
        <v>2022</v>
      </c>
      <c r="D1158" s="6">
        <f t="shared" ca="1" si="308"/>
        <v>8</v>
      </c>
      <c r="E1158" s="68">
        <f ca="1">IFERROR(__xludf.DUMMYFUNCTION("""COMPUTED_VALUE"""),44777.6666666666)</f>
        <v>44777.666666666599</v>
      </c>
      <c r="F1158" s="6">
        <f ca="1">IFERROR(__xludf.DUMMYFUNCTION("""COMPUTED_VALUE"""),4151.94)</f>
        <v>4151.9399999999996</v>
      </c>
      <c r="J1158" s="6" t="str">
        <f t="shared" ca="1" si="309"/>
        <v>20227</v>
      </c>
      <c r="K1158" s="6">
        <f t="shared" ca="1" si="310"/>
        <v>2022</v>
      </c>
      <c r="L1158" s="6">
        <f t="shared" ca="1" si="311"/>
        <v>7</v>
      </c>
      <c r="M1158" s="68">
        <f ca="1">IFERROR(__xludf.DUMMYFUNCTION("""COMPUTED_VALUE"""),44770.6666666666)</f>
        <v>44770.666666666599</v>
      </c>
      <c r="N1158" s="6">
        <f ca="1">IFERROR(__xludf.DUMMYFUNCTION("""COMPUTED_VALUE"""),12162.59)</f>
        <v>12162.59</v>
      </c>
      <c r="R1158" s="6" t="str">
        <f t="shared" ca="1" si="312"/>
        <v>20229</v>
      </c>
      <c r="S1158" s="6">
        <f t="shared" ca="1" si="313"/>
        <v>2022</v>
      </c>
      <c r="T1158" s="6">
        <f t="shared" ca="1" si="314"/>
        <v>9</v>
      </c>
      <c r="U1158" s="68">
        <f ca="1">IFERROR(__xludf.DUMMYFUNCTION("""COMPUTED_VALUE"""),44820.6458333333)</f>
        <v>44820.645833333299</v>
      </c>
      <c r="V1158" s="6">
        <f ca="1">IFERROR(__xludf.DUMMYFUNCTION("""COMPUTED_VALUE"""),2382.78)</f>
        <v>2382.7800000000002</v>
      </c>
      <c r="Z1158" s="6" t="str">
        <f t="shared" ca="1" si="315"/>
        <v>20214</v>
      </c>
      <c r="AA1158" s="6">
        <f t="shared" ca="1" si="316"/>
        <v>2021</v>
      </c>
      <c r="AB1158" s="6">
        <f t="shared" ca="1" si="317"/>
        <v>4</v>
      </c>
      <c r="AC1158" s="68">
        <f ca="1">IFERROR(__xludf.DUMMYFUNCTION("""COMPUTED_VALUE"""),44303.9986111111)</f>
        <v>44303.998611111099</v>
      </c>
      <c r="AD1158" s="6">
        <f ca="1">IFERROR(__xludf.DUMMYFUNCTION("""COMPUTED_VALUE"""),1114.65)</f>
        <v>1114.6500000000001</v>
      </c>
      <c r="AH1158" s="6" t="str">
        <f t="shared" ca="1" si="318"/>
        <v>20212</v>
      </c>
      <c r="AI1158" s="6">
        <f t="shared" ca="1" si="319"/>
        <v>2021</v>
      </c>
      <c r="AJ1158" s="6">
        <f t="shared" ca="1" si="320"/>
        <v>2</v>
      </c>
      <c r="AK1158" s="68">
        <f ca="1">IFERROR(__xludf.DUMMYFUNCTION("""COMPUTED_VALUE"""),44251.9986111111)</f>
        <v>44251.998611111099</v>
      </c>
      <c r="AL1158" s="6">
        <f ca="1">IFERROR(__xludf.DUMMYFUNCTION("""COMPUTED_VALUE"""),49699.13)</f>
        <v>49699.13</v>
      </c>
      <c r="AP1158" s="6" t="str">
        <f t="shared" ca="1" si="321"/>
        <v>20228</v>
      </c>
      <c r="AQ1158" s="6">
        <f t="shared" ca="1" si="322"/>
        <v>2022</v>
      </c>
      <c r="AR1158" s="6">
        <f t="shared" ca="1" si="323"/>
        <v>8</v>
      </c>
      <c r="AS1158" s="68">
        <f ca="1">IFERROR(__xludf.DUMMYFUNCTION("""COMPUTED_VALUE"""),44785.9986111111)</f>
        <v>44785.998611111099</v>
      </c>
      <c r="AT1158" s="6">
        <f ca="1">IFERROR(__xludf.DUMMYFUNCTION("""COMPUTED_VALUE"""),1815.5)</f>
        <v>1815.5</v>
      </c>
    </row>
    <row r="1159" spans="2:46" x14ac:dyDescent="0.35">
      <c r="B1159" s="6" t="str">
        <f t="shared" ref="B1159:B1222" ca="1" si="324">C1159&amp;D1159</f>
        <v>20228</v>
      </c>
      <c r="C1159" s="6">
        <f t="shared" ref="C1159:C1222" ca="1" si="325">YEAR(E1159)</f>
        <v>2022</v>
      </c>
      <c r="D1159" s="6">
        <f t="shared" ref="D1159:D1222" ca="1" si="326">MONTH(E1159)</f>
        <v>8</v>
      </c>
      <c r="E1159" s="68">
        <f ca="1">IFERROR(__xludf.DUMMYFUNCTION("""COMPUTED_VALUE"""),44778.6666666666)</f>
        <v>44778.666666666599</v>
      </c>
      <c r="F1159" s="6">
        <f ca="1">IFERROR(__xludf.DUMMYFUNCTION("""COMPUTED_VALUE"""),4145.19)</f>
        <v>4145.1899999999996</v>
      </c>
      <c r="J1159" s="6" t="str">
        <f t="shared" ref="J1159:J1222" ca="1" si="327">K1159&amp;L1159</f>
        <v>20227</v>
      </c>
      <c r="K1159" s="6">
        <f t="shared" ref="K1159:K1222" ca="1" si="328">YEAR(M1159)</f>
        <v>2022</v>
      </c>
      <c r="L1159" s="6">
        <f t="shared" ref="L1159:L1222" ca="1" si="329">MONTH(M1159)</f>
        <v>7</v>
      </c>
      <c r="M1159" s="68">
        <f ca="1">IFERROR(__xludf.DUMMYFUNCTION("""COMPUTED_VALUE"""),44771.6666666666)</f>
        <v>44771.666666666599</v>
      </c>
      <c r="N1159" s="6">
        <f ca="1">IFERROR(__xludf.DUMMYFUNCTION("""COMPUTED_VALUE"""),12390.69)</f>
        <v>12390.69</v>
      </c>
      <c r="R1159" s="6" t="str">
        <f t="shared" ref="R1159:R1222" ca="1" si="330">S1159&amp;T1159</f>
        <v>20229</v>
      </c>
      <c r="S1159" s="6">
        <f t="shared" ref="S1159:S1222" ca="1" si="331">YEAR(U1159)</f>
        <v>2022</v>
      </c>
      <c r="T1159" s="6">
        <f t="shared" ref="T1159:T1222" ca="1" si="332">MONTH(U1159)</f>
        <v>9</v>
      </c>
      <c r="U1159" s="68">
        <f ca="1">IFERROR(__xludf.DUMMYFUNCTION("""COMPUTED_VALUE"""),44823.6458333333)</f>
        <v>44823.645833333299</v>
      </c>
      <c r="V1159" s="6">
        <f ca="1">IFERROR(__xludf.DUMMYFUNCTION("""COMPUTED_VALUE"""),2355.66)</f>
        <v>2355.66</v>
      </c>
      <c r="Z1159" s="6" t="str">
        <f t="shared" ref="Z1159:Z1222" ca="1" si="333">AA1159&amp;AB1159</f>
        <v>20214</v>
      </c>
      <c r="AA1159" s="6">
        <f t="shared" ref="AA1159:AA1222" ca="1" si="334">YEAR(AC1159)</f>
        <v>2021</v>
      </c>
      <c r="AB1159" s="6">
        <f t="shared" ref="AB1159:AB1222" ca="1" si="335">MONTH(AC1159)</f>
        <v>4</v>
      </c>
      <c r="AC1159" s="68">
        <f ca="1">IFERROR(__xludf.DUMMYFUNCTION("""COMPUTED_VALUE"""),44304.9986111111)</f>
        <v>44304.998611111099</v>
      </c>
      <c r="AD1159" s="6">
        <f ca="1">IFERROR(__xludf.DUMMYFUNCTION("""COMPUTED_VALUE"""),1115.65)</f>
        <v>1115.6500000000001</v>
      </c>
      <c r="AH1159" s="6" t="str">
        <f t="shared" ref="AH1159:AH1222" ca="1" si="336">AI1159&amp;AJ1159</f>
        <v>20212</v>
      </c>
      <c r="AI1159" s="6">
        <f t="shared" ref="AI1159:AI1222" ca="1" si="337">YEAR(AK1159)</f>
        <v>2021</v>
      </c>
      <c r="AJ1159" s="6">
        <f t="shared" ref="AJ1159:AJ1222" ca="1" si="338">MONTH(AK1159)</f>
        <v>2</v>
      </c>
      <c r="AK1159" s="68">
        <f ca="1">IFERROR(__xludf.DUMMYFUNCTION("""COMPUTED_VALUE"""),44252.9986111111)</f>
        <v>44252.998611111099</v>
      </c>
      <c r="AL1159" s="6">
        <f ca="1">IFERROR(__xludf.DUMMYFUNCTION("""COMPUTED_VALUE"""),47045.93)</f>
        <v>47045.93</v>
      </c>
      <c r="AP1159" s="6" t="str">
        <f t="shared" ref="AP1159:AP1222" ca="1" si="339">AQ1159&amp;AR1159</f>
        <v>20228</v>
      </c>
      <c r="AQ1159" s="6">
        <f t="shared" ref="AQ1159:AQ1222" ca="1" si="340">YEAR(AS1159)</f>
        <v>2022</v>
      </c>
      <c r="AR1159" s="6">
        <f t="shared" ref="AR1159:AR1222" ca="1" si="341">MONTH(AS1159)</f>
        <v>8</v>
      </c>
      <c r="AS1159" s="68">
        <f ca="1">IFERROR(__xludf.DUMMYFUNCTION("""COMPUTED_VALUE"""),44788.9986111111)</f>
        <v>44788.998611111099</v>
      </c>
      <c r="AT1159" s="6">
        <f ca="1">IFERROR(__xludf.DUMMYFUNCTION("""COMPUTED_VALUE"""),1798.1)</f>
        <v>1798.1</v>
      </c>
    </row>
    <row r="1160" spans="2:46" x14ac:dyDescent="0.35">
      <c r="B1160" s="6" t="str">
        <f t="shared" ca="1" si="324"/>
        <v>20228</v>
      </c>
      <c r="C1160" s="6">
        <f t="shared" ca="1" si="325"/>
        <v>2022</v>
      </c>
      <c r="D1160" s="6">
        <f t="shared" ca="1" si="326"/>
        <v>8</v>
      </c>
      <c r="E1160" s="68">
        <f ca="1">IFERROR(__xludf.DUMMYFUNCTION("""COMPUTED_VALUE"""),44781.6666666666)</f>
        <v>44781.666666666599</v>
      </c>
      <c r="F1160" s="6">
        <f ca="1">IFERROR(__xludf.DUMMYFUNCTION("""COMPUTED_VALUE"""),4140.06)</f>
        <v>4140.0600000000004</v>
      </c>
      <c r="J1160" s="6" t="str">
        <f t="shared" ca="1" si="327"/>
        <v>20228</v>
      </c>
      <c r="K1160" s="6">
        <f t="shared" ca="1" si="328"/>
        <v>2022</v>
      </c>
      <c r="L1160" s="6">
        <f t="shared" ca="1" si="329"/>
        <v>8</v>
      </c>
      <c r="M1160" s="68">
        <f ca="1">IFERROR(__xludf.DUMMYFUNCTION("""COMPUTED_VALUE"""),44774.6666666666)</f>
        <v>44774.666666666599</v>
      </c>
      <c r="N1160" s="6">
        <f ca="1">IFERROR(__xludf.DUMMYFUNCTION("""COMPUTED_VALUE"""),12368.98)</f>
        <v>12368.98</v>
      </c>
      <c r="R1160" s="6" t="str">
        <f t="shared" ca="1" si="330"/>
        <v>20229</v>
      </c>
      <c r="S1160" s="6">
        <f t="shared" ca="1" si="331"/>
        <v>2022</v>
      </c>
      <c r="T1160" s="6">
        <f t="shared" ca="1" si="332"/>
        <v>9</v>
      </c>
      <c r="U1160" s="68">
        <f ca="1">IFERROR(__xludf.DUMMYFUNCTION("""COMPUTED_VALUE"""),44824.6458333333)</f>
        <v>44824.645833333299</v>
      </c>
      <c r="V1160" s="6">
        <f ca="1">IFERROR(__xludf.DUMMYFUNCTION("""COMPUTED_VALUE"""),2367.85)</f>
        <v>2367.85</v>
      </c>
      <c r="Z1160" s="6" t="str">
        <f t="shared" ca="1" si="333"/>
        <v>20214</v>
      </c>
      <c r="AA1160" s="6">
        <f t="shared" ca="1" si="334"/>
        <v>2021</v>
      </c>
      <c r="AB1160" s="6">
        <f t="shared" ca="1" si="335"/>
        <v>4</v>
      </c>
      <c r="AC1160" s="68">
        <f ca="1">IFERROR(__xludf.DUMMYFUNCTION("""COMPUTED_VALUE"""),44305.9986111111)</f>
        <v>44305.998611111099</v>
      </c>
      <c r="AD1160" s="6">
        <f ca="1">IFERROR(__xludf.DUMMYFUNCTION("""COMPUTED_VALUE"""),1114.47)</f>
        <v>1114.47</v>
      </c>
      <c r="AH1160" s="6" t="str">
        <f t="shared" ca="1" si="336"/>
        <v>20212</v>
      </c>
      <c r="AI1160" s="6">
        <f t="shared" ca="1" si="337"/>
        <v>2021</v>
      </c>
      <c r="AJ1160" s="6">
        <f t="shared" ca="1" si="338"/>
        <v>2</v>
      </c>
      <c r="AK1160" s="68">
        <f ca="1">IFERROR(__xludf.DUMMYFUNCTION("""COMPUTED_VALUE"""),44253.9986111111)</f>
        <v>44253.998611111099</v>
      </c>
      <c r="AL1160" s="6">
        <f ca="1">IFERROR(__xludf.DUMMYFUNCTION("""COMPUTED_VALUE"""),46324.21)</f>
        <v>46324.21</v>
      </c>
      <c r="AP1160" s="6" t="str">
        <f t="shared" ca="1" si="339"/>
        <v>20228</v>
      </c>
      <c r="AQ1160" s="6">
        <f t="shared" ca="1" si="340"/>
        <v>2022</v>
      </c>
      <c r="AR1160" s="6">
        <f t="shared" ca="1" si="341"/>
        <v>8</v>
      </c>
      <c r="AS1160" s="68">
        <f ca="1">IFERROR(__xludf.DUMMYFUNCTION("""COMPUTED_VALUE"""),44789.9986111111)</f>
        <v>44789.998611111099</v>
      </c>
      <c r="AT1160" s="6">
        <f ca="1">IFERROR(__xludf.DUMMYFUNCTION("""COMPUTED_VALUE"""),1789.7)</f>
        <v>1789.7</v>
      </c>
    </row>
    <row r="1161" spans="2:46" x14ac:dyDescent="0.35">
      <c r="B1161" s="6" t="str">
        <f t="shared" ca="1" si="324"/>
        <v>20228</v>
      </c>
      <c r="C1161" s="6">
        <f t="shared" ca="1" si="325"/>
        <v>2022</v>
      </c>
      <c r="D1161" s="6">
        <f t="shared" ca="1" si="326"/>
        <v>8</v>
      </c>
      <c r="E1161" s="68">
        <f ca="1">IFERROR(__xludf.DUMMYFUNCTION("""COMPUTED_VALUE"""),44782.6666666666)</f>
        <v>44782.666666666599</v>
      </c>
      <c r="F1161" s="6">
        <f ca="1">IFERROR(__xludf.DUMMYFUNCTION("""COMPUTED_VALUE"""),4122.47)</f>
        <v>4122.47</v>
      </c>
      <c r="J1161" s="6" t="str">
        <f t="shared" ca="1" si="327"/>
        <v>20228</v>
      </c>
      <c r="K1161" s="6">
        <f t="shared" ca="1" si="328"/>
        <v>2022</v>
      </c>
      <c r="L1161" s="6">
        <f t="shared" ca="1" si="329"/>
        <v>8</v>
      </c>
      <c r="M1161" s="68">
        <f ca="1">IFERROR(__xludf.DUMMYFUNCTION("""COMPUTED_VALUE"""),44775.6666666666)</f>
        <v>44775.666666666599</v>
      </c>
      <c r="N1161" s="6">
        <f ca="1">IFERROR(__xludf.DUMMYFUNCTION("""COMPUTED_VALUE"""),12348.76)</f>
        <v>12348.76</v>
      </c>
      <c r="R1161" s="6" t="str">
        <f t="shared" ca="1" si="330"/>
        <v>20229</v>
      </c>
      <c r="S1161" s="6">
        <f t="shared" ca="1" si="331"/>
        <v>2022</v>
      </c>
      <c r="T1161" s="6">
        <f t="shared" ca="1" si="332"/>
        <v>9</v>
      </c>
      <c r="U1161" s="68">
        <f ca="1">IFERROR(__xludf.DUMMYFUNCTION("""COMPUTED_VALUE"""),44825.6458333333)</f>
        <v>44825.645833333299</v>
      </c>
      <c r="V1161" s="6">
        <f ca="1">IFERROR(__xludf.DUMMYFUNCTION("""COMPUTED_VALUE"""),2347.21)</f>
        <v>2347.21</v>
      </c>
      <c r="Z1161" s="6" t="str">
        <f t="shared" ca="1" si="333"/>
        <v>20214</v>
      </c>
      <c r="AA1161" s="6">
        <f t="shared" ca="1" si="334"/>
        <v>2021</v>
      </c>
      <c r="AB1161" s="6">
        <f t="shared" ca="1" si="335"/>
        <v>4</v>
      </c>
      <c r="AC1161" s="68">
        <f ca="1">IFERROR(__xludf.DUMMYFUNCTION("""COMPUTED_VALUE"""),44306.9986111111)</f>
        <v>44306.998611111099</v>
      </c>
      <c r="AD1161" s="6">
        <f ca="1">IFERROR(__xludf.DUMMYFUNCTION("""COMPUTED_VALUE"""),1116.11)</f>
        <v>1116.1099999999999</v>
      </c>
      <c r="AH1161" s="6" t="str">
        <f t="shared" ca="1" si="336"/>
        <v>20212</v>
      </c>
      <c r="AI1161" s="6">
        <f t="shared" ca="1" si="337"/>
        <v>2021</v>
      </c>
      <c r="AJ1161" s="6">
        <f t="shared" ca="1" si="338"/>
        <v>2</v>
      </c>
      <c r="AK1161" s="68">
        <f ca="1">IFERROR(__xludf.DUMMYFUNCTION("""COMPUTED_VALUE"""),44254.9986111111)</f>
        <v>44254.998611111099</v>
      </c>
      <c r="AL1161" s="6">
        <f ca="1">IFERROR(__xludf.DUMMYFUNCTION("""COMPUTED_VALUE"""),46158.54)</f>
        <v>46158.54</v>
      </c>
      <c r="AP1161" s="6" t="str">
        <f t="shared" ca="1" si="339"/>
        <v>20228</v>
      </c>
      <c r="AQ1161" s="6">
        <f t="shared" ca="1" si="340"/>
        <v>2022</v>
      </c>
      <c r="AR1161" s="6">
        <f t="shared" ca="1" si="341"/>
        <v>8</v>
      </c>
      <c r="AS1161" s="68">
        <f ca="1">IFERROR(__xludf.DUMMYFUNCTION("""COMPUTED_VALUE"""),44790.9986111111)</f>
        <v>44790.998611111099</v>
      </c>
      <c r="AT1161" s="6">
        <f ca="1">IFERROR(__xludf.DUMMYFUNCTION("""COMPUTED_VALUE"""),1776.7)</f>
        <v>1776.7</v>
      </c>
    </row>
    <row r="1162" spans="2:46" x14ac:dyDescent="0.35">
      <c r="B1162" s="6" t="str">
        <f t="shared" ca="1" si="324"/>
        <v>20228</v>
      </c>
      <c r="C1162" s="6">
        <f t="shared" ca="1" si="325"/>
        <v>2022</v>
      </c>
      <c r="D1162" s="6">
        <f t="shared" ca="1" si="326"/>
        <v>8</v>
      </c>
      <c r="E1162" s="68">
        <f ca="1">IFERROR(__xludf.DUMMYFUNCTION("""COMPUTED_VALUE"""),44783.6666666666)</f>
        <v>44783.666666666599</v>
      </c>
      <c r="F1162" s="6">
        <f ca="1">IFERROR(__xludf.DUMMYFUNCTION("""COMPUTED_VALUE"""),4210.24)</f>
        <v>4210.24</v>
      </c>
      <c r="J1162" s="6" t="str">
        <f t="shared" ca="1" si="327"/>
        <v>20228</v>
      </c>
      <c r="K1162" s="6">
        <f t="shared" ca="1" si="328"/>
        <v>2022</v>
      </c>
      <c r="L1162" s="6">
        <f t="shared" ca="1" si="329"/>
        <v>8</v>
      </c>
      <c r="M1162" s="68">
        <f ca="1">IFERROR(__xludf.DUMMYFUNCTION("""COMPUTED_VALUE"""),44776.6666666666)</f>
        <v>44776.666666666599</v>
      </c>
      <c r="N1162" s="6">
        <f ca="1">IFERROR(__xludf.DUMMYFUNCTION("""COMPUTED_VALUE"""),12668.16)</f>
        <v>12668.16</v>
      </c>
      <c r="R1162" s="6" t="str">
        <f t="shared" ca="1" si="330"/>
        <v>20229</v>
      </c>
      <c r="S1162" s="6">
        <f t="shared" ca="1" si="331"/>
        <v>2022</v>
      </c>
      <c r="T1162" s="6">
        <f t="shared" ca="1" si="332"/>
        <v>9</v>
      </c>
      <c r="U1162" s="68">
        <f ca="1">IFERROR(__xludf.DUMMYFUNCTION("""COMPUTED_VALUE"""),44826.6458333333)</f>
        <v>44826.645833333299</v>
      </c>
      <c r="V1162" s="6">
        <f ca="1">IFERROR(__xludf.DUMMYFUNCTION("""COMPUTED_VALUE"""),2332.31)</f>
        <v>2332.31</v>
      </c>
      <c r="Z1162" s="6" t="str">
        <f t="shared" ca="1" si="333"/>
        <v>20214</v>
      </c>
      <c r="AA1162" s="6">
        <f t="shared" ca="1" si="334"/>
        <v>2021</v>
      </c>
      <c r="AB1162" s="6">
        <f t="shared" ca="1" si="335"/>
        <v>4</v>
      </c>
      <c r="AC1162" s="68">
        <f ca="1">IFERROR(__xludf.DUMMYFUNCTION("""COMPUTED_VALUE"""),44307.9986111111)</f>
        <v>44307.998611111099</v>
      </c>
      <c r="AD1162" s="6">
        <f ca="1">IFERROR(__xludf.DUMMYFUNCTION("""COMPUTED_VALUE"""),1115.66)</f>
        <v>1115.6600000000001</v>
      </c>
      <c r="AH1162" s="6" t="str">
        <f t="shared" ca="1" si="336"/>
        <v>20212</v>
      </c>
      <c r="AI1162" s="6">
        <f t="shared" ca="1" si="337"/>
        <v>2021</v>
      </c>
      <c r="AJ1162" s="6">
        <f t="shared" ca="1" si="338"/>
        <v>2</v>
      </c>
      <c r="AK1162" s="68">
        <f ca="1">IFERROR(__xludf.DUMMYFUNCTION("""COMPUTED_VALUE"""),44255.9986111111)</f>
        <v>44255.998611111099</v>
      </c>
      <c r="AL1162" s="6">
        <f ca="1">IFERROR(__xludf.DUMMYFUNCTION("""COMPUTED_VALUE"""),45203.05)</f>
        <v>45203.05</v>
      </c>
      <c r="AP1162" s="6" t="str">
        <f t="shared" ca="1" si="339"/>
        <v>20228</v>
      </c>
      <c r="AQ1162" s="6">
        <f t="shared" ca="1" si="340"/>
        <v>2022</v>
      </c>
      <c r="AR1162" s="6">
        <f t="shared" ca="1" si="341"/>
        <v>8</v>
      </c>
      <c r="AS1162" s="68">
        <f ca="1">IFERROR(__xludf.DUMMYFUNCTION("""COMPUTED_VALUE"""),44791.9986111111)</f>
        <v>44791.998611111099</v>
      </c>
      <c r="AT1162" s="6">
        <f ca="1">IFERROR(__xludf.DUMMYFUNCTION("""COMPUTED_VALUE"""),1771.2)</f>
        <v>1771.2</v>
      </c>
    </row>
    <row r="1163" spans="2:46" x14ac:dyDescent="0.35">
      <c r="B1163" s="6" t="str">
        <f t="shared" ca="1" si="324"/>
        <v>20228</v>
      </c>
      <c r="C1163" s="6">
        <f t="shared" ca="1" si="325"/>
        <v>2022</v>
      </c>
      <c r="D1163" s="6">
        <f t="shared" ca="1" si="326"/>
        <v>8</v>
      </c>
      <c r="E1163" s="68">
        <f ca="1">IFERROR(__xludf.DUMMYFUNCTION("""COMPUTED_VALUE"""),44784.6666666666)</f>
        <v>44784.666666666599</v>
      </c>
      <c r="F1163" s="6">
        <f ca="1">IFERROR(__xludf.DUMMYFUNCTION("""COMPUTED_VALUE"""),4207.27)</f>
        <v>4207.2700000000004</v>
      </c>
      <c r="J1163" s="6" t="str">
        <f t="shared" ca="1" si="327"/>
        <v>20228</v>
      </c>
      <c r="K1163" s="6">
        <f t="shared" ca="1" si="328"/>
        <v>2022</v>
      </c>
      <c r="L1163" s="6">
        <f t="shared" ca="1" si="329"/>
        <v>8</v>
      </c>
      <c r="M1163" s="68">
        <f ca="1">IFERROR(__xludf.DUMMYFUNCTION("""COMPUTED_VALUE"""),44777.6666666666)</f>
        <v>44777.666666666599</v>
      </c>
      <c r="N1163" s="6">
        <f ca="1">IFERROR(__xludf.DUMMYFUNCTION("""COMPUTED_VALUE"""),12720.58)</f>
        <v>12720.58</v>
      </c>
      <c r="R1163" s="6" t="str">
        <f t="shared" ca="1" si="330"/>
        <v>20229</v>
      </c>
      <c r="S1163" s="6">
        <f t="shared" ca="1" si="331"/>
        <v>2022</v>
      </c>
      <c r="T1163" s="6">
        <f t="shared" ca="1" si="332"/>
        <v>9</v>
      </c>
      <c r="U1163" s="68">
        <f ca="1">IFERROR(__xludf.DUMMYFUNCTION("""COMPUTED_VALUE"""),44827.6458333333)</f>
        <v>44827.645833333299</v>
      </c>
      <c r="V1163" s="6">
        <f ca="1">IFERROR(__xludf.DUMMYFUNCTION("""COMPUTED_VALUE"""),2290)</f>
        <v>2290</v>
      </c>
      <c r="Z1163" s="6" t="str">
        <f t="shared" ca="1" si="333"/>
        <v>20214</v>
      </c>
      <c r="AA1163" s="6">
        <f t="shared" ca="1" si="334"/>
        <v>2021</v>
      </c>
      <c r="AB1163" s="6">
        <f t="shared" ca="1" si="335"/>
        <v>4</v>
      </c>
      <c r="AC1163" s="68">
        <f ca="1">IFERROR(__xludf.DUMMYFUNCTION("""COMPUTED_VALUE"""),44308.9986111111)</f>
        <v>44308.998611111099</v>
      </c>
      <c r="AD1163" s="6">
        <f ca="1">IFERROR(__xludf.DUMMYFUNCTION("""COMPUTED_VALUE"""),1118.59)</f>
        <v>1118.5899999999999</v>
      </c>
      <c r="AH1163" s="6" t="str">
        <f t="shared" ca="1" si="336"/>
        <v>20213</v>
      </c>
      <c r="AI1163" s="6">
        <f t="shared" ca="1" si="337"/>
        <v>2021</v>
      </c>
      <c r="AJ1163" s="6">
        <f t="shared" ca="1" si="338"/>
        <v>3</v>
      </c>
      <c r="AK1163" s="68">
        <f ca="1">IFERROR(__xludf.DUMMYFUNCTION("""COMPUTED_VALUE"""),44256.9986111111)</f>
        <v>44256.998611111099</v>
      </c>
      <c r="AL1163" s="6">
        <f ca="1">IFERROR(__xludf.DUMMYFUNCTION("""COMPUTED_VALUE"""),49612.21)</f>
        <v>49612.21</v>
      </c>
      <c r="AP1163" s="6" t="str">
        <f t="shared" ca="1" si="339"/>
        <v>20228</v>
      </c>
      <c r="AQ1163" s="6">
        <f t="shared" ca="1" si="340"/>
        <v>2022</v>
      </c>
      <c r="AR1163" s="6">
        <f t="shared" ca="1" si="341"/>
        <v>8</v>
      </c>
      <c r="AS1163" s="68">
        <f ca="1">IFERROR(__xludf.DUMMYFUNCTION("""COMPUTED_VALUE"""),44792.9986111111)</f>
        <v>44792.998611111099</v>
      </c>
      <c r="AT1163" s="6">
        <f ca="1">IFERROR(__xludf.DUMMYFUNCTION("""COMPUTED_VALUE"""),1762.9)</f>
        <v>1762.9</v>
      </c>
    </row>
    <row r="1164" spans="2:46" x14ac:dyDescent="0.35">
      <c r="B1164" s="6" t="str">
        <f t="shared" ca="1" si="324"/>
        <v>20228</v>
      </c>
      <c r="C1164" s="6">
        <f t="shared" ca="1" si="325"/>
        <v>2022</v>
      </c>
      <c r="D1164" s="6">
        <f t="shared" ca="1" si="326"/>
        <v>8</v>
      </c>
      <c r="E1164" s="68">
        <f ca="1">IFERROR(__xludf.DUMMYFUNCTION("""COMPUTED_VALUE"""),44785.6666666666)</f>
        <v>44785.666666666599</v>
      </c>
      <c r="F1164" s="6">
        <f ca="1">IFERROR(__xludf.DUMMYFUNCTION("""COMPUTED_VALUE"""),4280.15)</f>
        <v>4280.1499999999996</v>
      </c>
      <c r="J1164" s="6" t="str">
        <f t="shared" ca="1" si="327"/>
        <v>20228</v>
      </c>
      <c r="K1164" s="6">
        <f t="shared" ca="1" si="328"/>
        <v>2022</v>
      </c>
      <c r="L1164" s="6">
        <f t="shared" ca="1" si="329"/>
        <v>8</v>
      </c>
      <c r="M1164" s="68">
        <f ca="1">IFERROR(__xludf.DUMMYFUNCTION("""COMPUTED_VALUE"""),44778.6666666666)</f>
        <v>44778.666666666599</v>
      </c>
      <c r="N1164" s="6">
        <f ca="1">IFERROR(__xludf.DUMMYFUNCTION("""COMPUTED_VALUE"""),12657.56)</f>
        <v>12657.56</v>
      </c>
      <c r="R1164" s="6" t="str">
        <f t="shared" ca="1" si="330"/>
        <v>20229</v>
      </c>
      <c r="S1164" s="6">
        <f t="shared" ca="1" si="331"/>
        <v>2022</v>
      </c>
      <c r="T1164" s="6">
        <f t="shared" ca="1" si="332"/>
        <v>9</v>
      </c>
      <c r="U1164" s="68">
        <f ca="1">IFERROR(__xludf.DUMMYFUNCTION("""COMPUTED_VALUE"""),44830.6458333333)</f>
        <v>44830.645833333299</v>
      </c>
      <c r="V1164" s="6">
        <f ca="1">IFERROR(__xludf.DUMMYFUNCTION("""COMPUTED_VALUE"""),2220.94)</f>
        <v>2220.94</v>
      </c>
      <c r="Z1164" s="6" t="str">
        <f t="shared" ca="1" si="333"/>
        <v>20214</v>
      </c>
      <c r="AA1164" s="6">
        <f t="shared" ca="1" si="334"/>
        <v>2021</v>
      </c>
      <c r="AB1164" s="6">
        <f t="shared" ca="1" si="335"/>
        <v>4</v>
      </c>
      <c r="AC1164" s="68">
        <f ca="1">IFERROR(__xludf.DUMMYFUNCTION("""COMPUTED_VALUE"""),44309.9986111111)</f>
        <v>44309.998611111099</v>
      </c>
      <c r="AD1164" s="6">
        <f ca="1">IFERROR(__xludf.DUMMYFUNCTION("""COMPUTED_VALUE"""),1113.83)</f>
        <v>1113.83</v>
      </c>
      <c r="AH1164" s="6" t="str">
        <f t="shared" ca="1" si="336"/>
        <v>20213</v>
      </c>
      <c r="AI1164" s="6">
        <f t="shared" ca="1" si="337"/>
        <v>2021</v>
      </c>
      <c r="AJ1164" s="6">
        <f t="shared" ca="1" si="338"/>
        <v>3</v>
      </c>
      <c r="AK1164" s="68">
        <f ca="1">IFERROR(__xludf.DUMMYFUNCTION("""COMPUTED_VALUE"""),44257.9986111111)</f>
        <v>44257.998611111099</v>
      </c>
      <c r="AL1164" s="6">
        <f ca="1">IFERROR(__xludf.DUMMYFUNCTION("""COMPUTED_VALUE"""),48461.85)</f>
        <v>48461.85</v>
      </c>
      <c r="AP1164" s="6" t="str">
        <f t="shared" ca="1" si="339"/>
        <v>20228</v>
      </c>
      <c r="AQ1164" s="6">
        <f t="shared" ca="1" si="340"/>
        <v>2022</v>
      </c>
      <c r="AR1164" s="6">
        <f t="shared" ca="1" si="341"/>
        <v>8</v>
      </c>
      <c r="AS1164" s="68">
        <f ca="1">IFERROR(__xludf.DUMMYFUNCTION("""COMPUTED_VALUE"""),44795.9986111111)</f>
        <v>44795.998611111099</v>
      </c>
      <c r="AT1164" s="6">
        <f ca="1">IFERROR(__xludf.DUMMYFUNCTION("""COMPUTED_VALUE"""),1748.4)</f>
        <v>1748.4</v>
      </c>
    </row>
    <row r="1165" spans="2:46" x14ac:dyDescent="0.35">
      <c r="B1165" s="6" t="str">
        <f t="shared" ca="1" si="324"/>
        <v>20228</v>
      </c>
      <c r="C1165" s="6">
        <f t="shared" ca="1" si="325"/>
        <v>2022</v>
      </c>
      <c r="D1165" s="6">
        <f t="shared" ca="1" si="326"/>
        <v>8</v>
      </c>
      <c r="E1165" s="68">
        <f ca="1">IFERROR(__xludf.DUMMYFUNCTION("""COMPUTED_VALUE"""),44788.6666666666)</f>
        <v>44788.666666666599</v>
      </c>
      <c r="F1165" s="6">
        <f ca="1">IFERROR(__xludf.DUMMYFUNCTION("""COMPUTED_VALUE"""),4297.14)</f>
        <v>4297.1400000000003</v>
      </c>
      <c r="J1165" s="6" t="str">
        <f t="shared" ca="1" si="327"/>
        <v>20228</v>
      </c>
      <c r="K1165" s="6">
        <f t="shared" ca="1" si="328"/>
        <v>2022</v>
      </c>
      <c r="L1165" s="6">
        <f t="shared" ca="1" si="329"/>
        <v>8</v>
      </c>
      <c r="M1165" s="68">
        <f ca="1">IFERROR(__xludf.DUMMYFUNCTION("""COMPUTED_VALUE"""),44781.6666666666)</f>
        <v>44781.666666666599</v>
      </c>
      <c r="N1165" s="6">
        <f ca="1">IFERROR(__xludf.DUMMYFUNCTION("""COMPUTED_VALUE"""),12644.46)</f>
        <v>12644.46</v>
      </c>
      <c r="R1165" s="6" t="str">
        <f t="shared" ca="1" si="330"/>
        <v>20229</v>
      </c>
      <c r="S1165" s="6">
        <f t="shared" ca="1" si="331"/>
        <v>2022</v>
      </c>
      <c r="T1165" s="6">
        <f t="shared" ca="1" si="332"/>
        <v>9</v>
      </c>
      <c r="U1165" s="68">
        <f ca="1">IFERROR(__xludf.DUMMYFUNCTION("""COMPUTED_VALUE"""),44831.6458333333)</f>
        <v>44831.645833333299</v>
      </c>
      <c r="V1165" s="6">
        <f ca="1">IFERROR(__xludf.DUMMYFUNCTION("""COMPUTED_VALUE"""),2223.86)</f>
        <v>2223.86</v>
      </c>
      <c r="Z1165" s="6" t="str">
        <f t="shared" ca="1" si="333"/>
        <v>20214</v>
      </c>
      <c r="AA1165" s="6">
        <f t="shared" ca="1" si="334"/>
        <v>2021</v>
      </c>
      <c r="AB1165" s="6">
        <f t="shared" ca="1" si="335"/>
        <v>4</v>
      </c>
      <c r="AC1165" s="68">
        <f ca="1">IFERROR(__xludf.DUMMYFUNCTION("""COMPUTED_VALUE"""),44310.9986111111)</f>
        <v>44310.998611111099</v>
      </c>
      <c r="AD1165" s="6">
        <f ca="1">IFERROR(__xludf.DUMMYFUNCTION("""COMPUTED_VALUE"""),1113.23)</f>
        <v>1113.23</v>
      </c>
      <c r="AH1165" s="6" t="str">
        <f t="shared" ca="1" si="336"/>
        <v>20213</v>
      </c>
      <c r="AI1165" s="6">
        <f t="shared" ca="1" si="337"/>
        <v>2021</v>
      </c>
      <c r="AJ1165" s="6">
        <f t="shared" ca="1" si="338"/>
        <v>3</v>
      </c>
      <c r="AK1165" s="68">
        <f ca="1">IFERROR(__xludf.DUMMYFUNCTION("""COMPUTED_VALUE"""),44258.9986111111)</f>
        <v>44258.998611111099</v>
      </c>
      <c r="AL1165" s="6">
        <f ca="1">IFERROR(__xludf.DUMMYFUNCTION("""COMPUTED_VALUE"""),50428.79)</f>
        <v>50428.79</v>
      </c>
      <c r="AP1165" s="6" t="str">
        <f t="shared" ca="1" si="339"/>
        <v>20228</v>
      </c>
      <c r="AQ1165" s="6">
        <f t="shared" ca="1" si="340"/>
        <v>2022</v>
      </c>
      <c r="AR1165" s="6">
        <f t="shared" ca="1" si="341"/>
        <v>8</v>
      </c>
      <c r="AS1165" s="68">
        <f ca="1">IFERROR(__xludf.DUMMYFUNCTION("""COMPUTED_VALUE"""),44796.9986111111)</f>
        <v>44796.998611111099</v>
      </c>
      <c r="AT1165" s="6">
        <f ca="1">IFERROR(__xludf.DUMMYFUNCTION("""COMPUTED_VALUE"""),1761.2)</f>
        <v>1761.2</v>
      </c>
    </row>
    <row r="1166" spans="2:46" x14ac:dyDescent="0.35">
      <c r="B1166" s="6" t="str">
        <f t="shared" ca="1" si="324"/>
        <v>20228</v>
      </c>
      <c r="C1166" s="6">
        <f t="shared" ca="1" si="325"/>
        <v>2022</v>
      </c>
      <c r="D1166" s="6">
        <f t="shared" ca="1" si="326"/>
        <v>8</v>
      </c>
      <c r="E1166" s="68">
        <f ca="1">IFERROR(__xludf.DUMMYFUNCTION("""COMPUTED_VALUE"""),44789.6666666666)</f>
        <v>44789.666666666599</v>
      </c>
      <c r="F1166" s="6">
        <f ca="1">IFERROR(__xludf.DUMMYFUNCTION("""COMPUTED_VALUE"""),4305.2)</f>
        <v>4305.2</v>
      </c>
      <c r="J1166" s="6" t="str">
        <f t="shared" ca="1" si="327"/>
        <v>20228</v>
      </c>
      <c r="K1166" s="6">
        <f t="shared" ca="1" si="328"/>
        <v>2022</v>
      </c>
      <c r="L1166" s="6">
        <f t="shared" ca="1" si="329"/>
        <v>8</v>
      </c>
      <c r="M1166" s="68">
        <f ca="1">IFERROR(__xludf.DUMMYFUNCTION("""COMPUTED_VALUE"""),44782.6666666666)</f>
        <v>44782.666666666599</v>
      </c>
      <c r="N1166" s="6">
        <f ca="1">IFERROR(__xludf.DUMMYFUNCTION("""COMPUTED_VALUE"""),12493.93)</f>
        <v>12493.93</v>
      </c>
      <c r="R1166" s="6" t="str">
        <f t="shared" ca="1" si="330"/>
        <v>20229</v>
      </c>
      <c r="S1166" s="6">
        <f t="shared" ca="1" si="331"/>
        <v>2022</v>
      </c>
      <c r="T1166" s="6">
        <f t="shared" ca="1" si="332"/>
        <v>9</v>
      </c>
      <c r="U1166" s="68">
        <f ca="1">IFERROR(__xludf.DUMMYFUNCTION("""COMPUTED_VALUE"""),44832.6458333333)</f>
        <v>44832.645833333299</v>
      </c>
      <c r="V1166" s="6">
        <f ca="1">IFERROR(__xludf.DUMMYFUNCTION("""COMPUTED_VALUE"""),2169.29)</f>
        <v>2169.29</v>
      </c>
      <c r="Z1166" s="6" t="str">
        <f t="shared" ca="1" si="333"/>
        <v>20214</v>
      </c>
      <c r="AA1166" s="6">
        <f t="shared" ca="1" si="334"/>
        <v>2021</v>
      </c>
      <c r="AB1166" s="6">
        <f t="shared" ca="1" si="335"/>
        <v>4</v>
      </c>
      <c r="AC1166" s="68">
        <f ca="1">IFERROR(__xludf.DUMMYFUNCTION("""COMPUTED_VALUE"""),44311.9986111111)</f>
        <v>44311.998611111099</v>
      </c>
      <c r="AD1166" s="6">
        <f ca="1">IFERROR(__xludf.DUMMYFUNCTION("""COMPUTED_VALUE"""),1114.13)</f>
        <v>1114.1300000000001</v>
      </c>
      <c r="AH1166" s="6" t="str">
        <f t="shared" ca="1" si="336"/>
        <v>20213</v>
      </c>
      <c r="AI1166" s="6">
        <f t="shared" ca="1" si="337"/>
        <v>2021</v>
      </c>
      <c r="AJ1166" s="6">
        <f t="shared" ca="1" si="338"/>
        <v>3</v>
      </c>
      <c r="AK1166" s="68">
        <f ca="1">IFERROR(__xludf.DUMMYFUNCTION("""COMPUTED_VALUE"""),44259.9986111111)</f>
        <v>44259.998611111099</v>
      </c>
      <c r="AL1166" s="6">
        <f ca="1">IFERROR(__xludf.DUMMYFUNCTION("""COMPUTED_VALUE"""),48357.46)</f>
        <v>48357.46</v>
      </c>
      <c r="AP1166" s="6" t="str">
        <f t="shared" ca="1" si="339"/>
        <v>20228</v>
      </c>
      <c r="AQ1166" s="6">
        <f t="shared" ca="1" si="340"/>
        <v>2022</v>
      </c>
      <c r="AR1166" s="6">
        <f t="shared" ca="1" si="341"/>
        <v>8</v>
      </c>
      <c r="AS1166" s="68">
        <f ca="1">IFERROR(__xludf.DUMMYFUNCTION("""COMPUTED_VALUE"""),44797.9986111111)</f>
        <v>44797.998611111099</v>
      </c>
      <c r="AT1166" s="6">
        <f ca="1">IFERROR(__xludf.DUMMYFUNCTION("""COMPUTED_VALUE"""),1761.5)</f>
        <v>1761.5</v>
      </c>
    </row>
    <row r="1167" spans="2:46" x14ac:dyDescent="0.35">
      <c r="B1167" s="6" t="str">
        <f t="shared" ca="1" si="324"/>
        <v>20228</v>
      </c>
      <c r="C1167" s="6">
        <f t="shared" ca="1" si="325"/>
        <v>2022</v>
      </c>
      <c r="D1167" s="6">
        <f t="shared" ca="1" si="326"/>
        <v>8</v>
      </c>
      <c r="E1167" s="68">
        <f ca="1">IFERROR(__xludf.DUMMYFUNCTION("""COMPUTED_VALUE"""),44790.6666666666)</f>
        <v>44790.666666666599</v>
      </c>
      <c r="F1167" s="6">
        <f ca="1">IFERROR(__xludf.DUMMYFUNCTION("""COMPUTED_VALUE"""),4274.04)</f>
        <v>4274.04</v>
      </c>
      <c r="J1167" s="6" t="str">
        <f t="shared" ca="1" si="327"/>
        <v>20228</v>
      </c>
      <c r="K1167" s="6">
        <f t="shared" ca="1" si="328"/>
        <v>2022</v>
      </c>
      <c r="L1167" s="6">
        <f t="shared" ca="1" si="329"/>
        <v>8</v>
      </c>
      <c r="M1167" s="68">
        <f ca="1">IFERROR(__xludf.DUMMYFUNCTION("""COMPUTED_VALUE"""),44783.6666666666)</f>
        <v>44783.666666666599</v>
      </c>
      <c r="N1167" s="6">
        <f ca="1">IFERROR(__xludf.DUMMYFUNCTION("""COMPUTED_VALUE"""),12854.81)</f>
        <v>12854.81</v>
      </c>
      <c r="R1167" s="6" t="str">
        <f t="shared" ca="1" si="330"/>
        <v>20229</v>
      </c>
      <c r="S1167" s="6">
        <f t="shared" ca="1" si="331"/>
        <v>2022</v>
      </c>
      <c r="T1167" s="6">
        <f t="shared" ca="1" si="332"/>
        <v>9</v>
      </c>
      <c r="U1167" s="68">
        <f ca="1">IFERROR(__xludf.DUMMYFUNCTION("""COMPUTED_VALUE"""),44833.6458333333)</f>
        <v>44833.645833333299</v>
      </c>
      <c r="V1167" s="6">
        <f ca="1">IFERROR(__xludf.DUMMYFUNCTION("""COMPUTED_VALUE"""),2170.93)</f>
        <v>2170.9299999999998</v>
      </c>
      <c r="Z1167" s="6" t="str">
        <f t="shared" ca="1" si="333"/>
        <v>20214</v>
      </c>
      <c r="AA1167" s="6">
        <f t="shared" ca="1" si="334"/>
        <v>2021</v>
      </c>
      <c r="AB1167" s="6">
        <f t="shared" ca="1" si="335"/>
        <v>4</v>
      </c>
      <c r="AC1167" s="68">
        <f ca="1">IFERROR(__xludf.DUMMYFUNCTION("""COMPUTED_VALUE"""),44312.9986111111)</f>
        <v>44312.998611111099</v>
      </c>
      <c r="AD1167" s="6">
        <f ca="1">IFERROR(__xludf.DUMMYFUNCTION("""COMPUTED_VALUE"""),1109.23)</f>
        <v>1109.23</v>
      </c>
      <c r="AH1167" s="6" t="str">
        <f t="shared" ca="1" si="336"/>
        <v>20213</v>
      </c>
      <c r="AI1167" s="6">
        <f t="shared" ca="1" si="337"/>
        <v>2021</v>
      </c>
      <c r="AJ1167" s="6">
        <f t="shared" ca="1" si="338"/>
        <v>3</v>
      </c>
      <c r="AK1167" s="68">
        <f ca="1">IFERROR(__xludf.DUMMYFUNCTION("""COMPUTED_VALUE"""),44260.9986111111)</f>
        <v>44260.998611111099</v>
      </c>
      <c r="AL1167" s="6">
        <f ca="1">IFERROR(__xludf.DUMMYFUNCTION("""COMPUTED_VALUE"""),48766.28)</f>
        <v>48766.28</v>
      </c>
      <c r="AP1167" s="6" t="str">
        <f t="shared" ca="1" si="339"/>
        <v>20228</v>
      </c>
      <c r="AQ1167" s="6">
        <f t="shared" ca="1" si="340"/>
        <v>2022</v>
      </c>
      <c r="AR1167" s="6">
        <f t="shared" ca="1" si="341"/>
        <v>8</v>
      </c>
      <c r="AS1167" s="68">
        <f ca="1">IFERROR(__xludf.DUMMYFUNCTION("""COMPUTED_VALUE"""),44798.9986111111)</f>
        <v>44798.998611111099</v>
      </c>
      <c r="AT1167" s="6">
        <f ca="1">IFERROR(__xludf.DUMMYFUNCTION("""COMPUTED_VALUE"""),1771.4)</f>
        <v>1771.4</v>
      </c>
    </row>
    <row r="1168" spans="2:46" x14ac:dyDescent="0.35">
      <c r="B1168" s="6" t="str">
        <f t="shared" ca="1" si="324"/>
        <v>20228</v>
      </c>
      <c r="C1168" s="6">
        <f t="shared" ca="1" si="325"/>
        <v>2022</v>
      </c>
      <c r="D1168" s="6">
        <f t="shared" ca="1" si="326"/>
        <v>8</v>
      </c>
      <c r="E1168" s="68">
        <f ca="1">IFERROR(__xludf.DUMMYFUNCTION("""COMPUTED_VALUE"""),44791.6666666666)</f>
        <v>44791.666666666599</v>
      </c>
      <c r="F1168" s="6">
        <f ca="1">IFERROR(__xludf.DUMMYFUNCTION("""COMPUTED_VALUE"""),4283.74)</f>
        <v>4283.74</v>
      </c>
      <c r="J1168" s="6" t="str">
        <f t="shared" ca="1" si="327"/>
        <v>20228</v>
      </c>
      <c r="K1168" s="6">
        <f t="shared" ca="1" si="328"/>
        <v>2022</v>
      </c>
      <c r="L1168" s="6">
        <f t="shared" ca="1" si="329"/>
        <v>8</v>
      </c>
      <c r="M1168" s="68">
        <f ca="1">IFERROR(__xludf.DUMMYFUNCTION("""COMPUTED_VALUE"""),44784.6666666666)</f>
        <v>44784.666666666599</v>
      </c>
      <c r="N1168" s="6">
        <f ca="1">IFERROR(__xludf.DUMMYFUNCTION("""COMPUTED_VALUE"""),12779.91)</f>
        <v>12779.91</v>
      </c>
      <c r="R1168" s="6" t="str">
        <f t="shared" ca="1" si="330"/>
        <v>20229</v>
      </c>
      <c r="S1168" s="6">
        <f t="shared" ca="1" si="331"/>
        <v>2022</v>
      </c>
      <c r="T1168" s="6">
        <f t="shared" ca="1" si="332"/>
        <v>9</v>
      </c>
      <c r="U1168" s="68">
        <f ca="1">IFERROR(__xludf.DUMMYFUNCTION("""COMPUTED_VALUE"""),44834.6458333333)</f>
        <v>44834.645833333299</v>
      </c>
      <c r="V1168" s="6">
        <f ca="1">IFERROR(__xludf.DUMMYFUNCTION("""COMPUTED_VALUE"""),2155.49)</f>
        <v>2155.4899999999998</v>
      </c>
      <c r="Z1168" s="6" t="str">
        <f t="shared" ca="1" si="333"/>
        <v>20214</v>
      </c>
      <c r="AA1168" s="6">
        <f t="shared" ca="1" si="334"/>
        <v>2021</v>
      </c>
      <c r="AB1168" s="6">
        <f t="shared" ca="1" si="335"/>
        <v>4</v>
      </c>
      <c r="AC1168" s="68">
        <f ca="1">IFERROR(__xludf.DUMMYFUNCTION("""COMPUTED_VALUE"""),44313.9986111111)</f>
        <v>44313.998611111099</v>
      </c>
      <c r="AD1168" s="6">
        <f ca="1">IFERROR(__xludf.DUMMYFUNCTION("""COMPUTED_VALUE"""),1112.15)</f>
        <v>1112.1500000000001</v>
      </c>
      <c r="AH1168" s="6" t="str">
        <f t="shared" ca="1" si="336"/>
        <v>20213</v>
      </c>
      <c r="AI1168" s="6">
        <f t="shared" ca="1" si="337"/>
        <v>2021</v>
      </c>
      <c r="AJ1168" s="6">
        <f t="shared" ca="1" si="338"/>
        <v>3</v>
      </c>
      <c r="AK1168" s="68">
        <f ca="1">IFERROR(__xludf.DUMMYFUNCTION("""COMPUTED_VALUE"""),44261.9986111111)</f>
        <v>44261.998611111099</v>
      </c>
      <c r="AL1168" s="6">
        <f ca="1">IFERROR(__xludf.DUMMYFUNCTION("""COMPUTED_VALUE"""),48883.48)</f>
        <v>48883.48</v>
      </c>
      <c r="AP1168" s="6" t="str">
        <f t="shared" ca="1" si="339"/>
        <v>20228</v>
      </c>
      <c r="AQ1168" s="6">
        <f t="shared" ca="1" si="340"/>
        <v>2022</v>
      </c>
      <c r="AR1168" s="6">
        <f t="shared" ca="1" si="341"/>
        <v>8</v>
      </c>
      <c r="AS1168" s="68">
        <f ca="1">IFERROR(__xludf.DUMMYFUNCTION("""COMPUTED_VALUE"""),44799.9986111111)</f>
        <v>44799.998611111099</v>
      </c>
      <c r="AT1168" s="6">
        <f ca="1">IFERROR(__xludf.DUMMYFUNCTION("""COMPUTED_VALUE"""),1749.8)</f>
        <v>1749.8</v>
      </c>
    </row>
    <row r="1169" spans="2:46" x14ac:dyDescent="0.35">
      <c r="B1169" s="6" t="str">
        <f t="shared" ca="1" si="324"/>
        <v>20228</v>
      </c>
      <c r="C1169" s="6">
        <f t="shared" ca="1" si="325"/>
        <v>2022</v>
      </c>
      <c r="D1169" s="6">
        <f t="shared" ca="1" si="326"/>
        <v>8</v>
      </c>
      <c r="E1169" s="68">
        <f ca="1">IFERROR(__xludf.DUMMYFUNCTION("""COMPUTED_VALUE"""),44792.6666666666)</f>
        <v>44792.666666666599</v>
      </c>
      <c r="F1169" s="6">
        <f ca="1">IFERROR(__xludf.DUMMYFUNCTION("""COMPUTED_VALUE"""),4228.48)</f>
        <v>4228.4799999999996</v>
      </c>
      <c r="J1169" s="6" t="str">
        <f t="shared" ca="1" si="327"/>
        <v>20228</v>
      </c>
      <c r="K1169" s="6">
        <f t="shared" ca="1" si="328"/>
        <v>2022</v>
      </c>
      <c r="L1169" s="6">
        <f t="shared" ca="1" si="329"/>
        <v>8</v>
      </c>
      <c r="M1169" s="68">
        <f ca="1">IFERROR(__xludf.DUMMYFUNCTION("""COMPUTED_VALUE"""),44785.6666666666)</f>
        <v>44785.666666666599</v>
      </c>
      <c r="N1169" s="6">
        <f ca="1">IFERROR(__xludf.DUMMYFUNCTION("""COMPUTED_VALUE"""),13047.19)</f>
        <v>13047.19</v>
      </c>
      <c r="R1169" s="6" t="str">
        <f t="shared" ca="1" si="330"/>
        <v>202210</v>
      </c>
      <c r="S1169" s="6">
        <f t="shared" ca="1" si="331"/>
        <v>2022</v>
      </c>
      <c r="T1169" s="6">
        <f t="shared" ca="1" si="332"/>
        <v>10</v>
      </c>
      <c r="U1169" s="68">
        <f ca="1">IFERROR(__xludf.DUMMYFUNCTION("""COMPUTED_VALUE"""),44838.6458333333)</f>
        <v>44838.645833333299</v>
      </c>
      <c r="V1169" s="6">
        <f ca="1">IFERROR(__xludf.DUMMYFUNCTION("""COMPUTED_VALUE"""),2209.38)</f>
        <v>2209.38</v>
      </c>
      <c r="Z1169" s="6" t="str">
        <f t="shared" ca="1" si="333"/>
        <v>20214</v>
      </c>
      <c r="AA1169" s="6">
        <f t="shared" ca="1" si="334"/>
        <v>2021</v>
      </c>
      <c r="AB1169" s="6">
        <f t="shared" ca="1" si="335"/>
        <v>4</v>
      </c>
      <c r="AC1169" s="68">
        <f ca="1">IFERROR(__xludf.DUMMYFUNCTION("""COMPUTED_VALUE"""),44314.9986111111)</f>
        <v>44314.998611111099</v>
      </c>
      <c r="AD1169" s="6">
        <f ca="1">IFERROR(__xludf.DUMMYFUNCTION("""COMPUTED_VALUE"""),1108.66)</f>
        <v>1108.6600000000001</v>
      </c>
      <c r="AH1169" s="6" t="str">
        <f t="shared" ca="1" si="336"/>
        <v>20213</v>
      </c>
      <c r="AI1169" s="6">
        <f t="shared" ca="1" si="337"/>
        <v>2021</v>
      </c>
      <c r="AJ1169" s="6">
        <f t="shared" ca="1" si="338"/>
        <v>3</v>
      </c>
      <c r="AK1169" s="68">
        <f ca="1">IFERROR(__xludf.DUMMYFUNCTION("""COMPUTED_VALUE"""),44262.9986111111)</f>
        <v>44262.998611111099</v>
      </c>
      <c r="AL1169" s="6">
        <f ca="1">IFERROR(__xludf.DUMMYFUNCTION("""COMPUTED_VALUE"""),50958.3)</f>
        <v>50958.3</v>
      </c>
      <c r="AP1169" s="6" t="str">
        <f t="shared" ca="1" si="339"/>
        <v>20228</v>
      </c>
      <c r="AQ1169" s="6">
        <f t="shared" ca="1" si="340"/>
        <v>2022</v>
      </c>
      <c r="AR1169" s="6">
        <f t="shared" ca="1" si="341"/>
        <v>8</v>
      </c>
      <c r="AS1169" s="68">
        <f ca="1">IFERROR(__xludf.DUMMYFUNCTION("""COMPUTED_VALUE"""),44802.9986111111)</f>
        <v>44802.998611111099</v>
      </c>
      <c r="AT1169" s="6">
        <f ca="1">IFERROR(__xludf.DUMMYFUNCTION("""COMPUTED_VALUE"""),1749.7)</f>
        <v>1749.7</v>
      </c>
    </row>
    <row r="1170" spans="2:46" x14ac:dyDescent="0.35">
      <c r="B1170" s="6" t="str">
        <f t="shared" ca="1" si="324"/>
        <v>20228</v>
      </c>
      <c r="C1170" s="6">
        <f t="shared" ca="1" si="325"/>
        <v>2022</v>
      </c>
      <c r="D1170" s="6">
        <f t="shared" ca="1" si="326"/>
        <v>8</v>
      </c>
      <c r="E1170" s="68">
        <f ca="1">IFERROR(__xludf.DUMMYFUNCTION("""COMPUTED_VALUE"""),44795.6666666666)</f>
        <v>44795.666666666599</v>
      </c>
      <c r="F1170" s="6">
        <f ca="1">IFERROR(__xludf.DUMMYFUNCTION("""COMPUTED_VALUE"""),4137.99)</f>
        <v>4137.99</v>
      </c>
      <c r="J1170" s="6" t="str">
        <f t="shared" ca="1" si="327"/>
        <v>20228</v>
      </c>
      <c r="K1170" s="6">
        <f t="shared" ca="1" si="328"/>
        <v>2022</v>
      </c>
      <c r="L1170" s="6">
        <f t="shared" ca="1" si="329"/>
        <v>8</v>
      </c>
      <c r="M1170" s="68">
        <f ca="1">IFERROR(__xludf.DUMMYFUNCTION("""COMPUTED_VALUE"""),44788.6666666666)</f>
        <v>44788.666666666599</v>
      </c>
      <c r="N1170" s="6">
        <f ca="1">IFERROR(__xludf.DUMMYFUNCTION("""COMPUTED_VALUE"""),13128.05)</f>
        <v>13128.05</v>
      </c>
      <c r="R1170" s="6" t="str">
        <f t="shared" ca="1" si="330"/>
        <v>202210</v>
      </c>
      <c r="S1170" s="6">
        <f t="shared" ca="1" si="331"/>
        <v>2022</v>
      </c>
      <c r="T1170" s="6">
        <f t="shared" ca="1" si="332"/>
        <v>10</v>
      </c>
      <c r="U1170" s="68">
        <f ca="1">IFERROR(__xludf.DUMMYFUNCTION("""COMPUTED_VALUE"""),44839.6458333333)</f>
        <v>44839.645833333299</v>
      </c>
      <c r="V1170" s="6">
        <f ca="1">IFERROR(__xludf.DUMMYFUNCTION("""COMPUTED_VALUE"""),2215.22)</f>
        <v>2215.2199999999998</v>
      </c>
      <c r="Z1170" s="6" t="str">
        <f t="shared" ca="1" si="333"/>
        <v>20214</v>
      </c>
      <c r="AA1170" s="6">
        <f t="shared" ca="1" si="334"/>
        <v>2021</v>
      </c>
      <c r="AB1170" s="6">
        <f t="shared" ca="1" si="335"/>
        <v>4</v>
      </c>
      <c r="AC1170" s="68">
        <f ca="1">IFERROR(__xludf.DUMMYFUNCTION("""COMPUTED_VALUE"""),44315.9986111111)</f>
        <v>44315.998611111099</v>
      </c>
      <c r="AD1170" s="6">
        <f ca="1">IFERROR(__xludf.DUMMYFUNCTION("""COMPUTED_VALUE"""),1106.63)</f>
        <v>1106.6300000000001</v>
      </c>
      <c r="AH1170" s="6" t="str">
        <f t="shared" ca="1" si="336"/>
        <v>20213</v>
      </c>
      <c r="AI1170" s="6">
        <f t="shared" ca="1" si="337"/>
        <v>2021</v>
      </c>
      <c r="AJ1170" s="6">
        <f t="shared" ca="1" si="338"/>
        <v>3</v>
      </c>
      <c r="AK1170" s="68">
        <f ca="1">IFERROR(__xludf.DUMMYFUNCTION("""COMPUTED_VALUE"""),44263.9986111111)</f>
        <v>44263.998611111099</v>
      </c>
      <c r="AL1170" s="6">
        <f ca="1">IFERROR(__xludf.DUMMYFUNCTION("""COMPUTED_VALUE"""),52317.55)</f>
        <v>52317.55</v>
      </c>
      <c r="AP1170" s="6" t="str">
        <f t="shared" ca="1" si="339"/>
        <v>20228</v>
      </c>
      <c r="AQ1170" s="6">
        <f t="shared" ca="1" si="340"/>
        <v>2022</v>
      </c>
      <c r="AR1170" s="6">
        <f t="shared" ca="1" si="341"/>
        <v>8</v>
      </c>
      <c r="AS1170" s="68">
        <f ca="1">IFERROR(__xludf.DUMMYFUNCTION("""COMPUTED_VALUE"""),44803.9986111111)</f>
        <v>44803.998611111099</v>
      </c>
      <c r="AT1170" s="6">
        <f ca="1">IFERROR(__xludf.DUMMYFUNCTION("""COMPUTED_VALUE"""),1736.3)</f>
        <v>1736.3</v>
      </c>
    </row>
    <row r="1171" spans="2:46" x14ac:dyDescent="0.35">
      <c r="B1171" s="6" t="str">
        <f t="shared" ca="1" si="324"/>
        <v>20228</v>
      </c>
      <c r="C1171" s="6">
        <f t="shared" ca="1" si="325"/>
        <v>2022</v>
      </c>
      <c r="D1171" s="6">
        <f t="shared" ca="1" si="326"/>
        <v>8</v>
      </c>
      <c r="E1171" s="68">
        <f ca="1">IFERROR(__xludf.DUMMYFUNCTION("""COMPUTED_VALUE"""),44796.6666666666)</f>
        <v>44796.666666666599</v>
      </c>
      <c r="F1171" s="6">
        <f ca="1">IFERROR(__xludf.DUMMYFUNCTION("""COMPUTED_VALUE"""),4128.73)</f>
        <v>4128.7299999999996</v>
      </c>
      <c r="J1171" s="6" t="str">
        <f t="shared" ca="1" si="327"/>
        <v>20228</v>
      </c>
      <c r="K1171" s="6">
        <f t="shared" ca="1" si="328"/>
        <v>2022</v>
      </c>
      <c r="L1171" s="6">
        <f t="shared" ca="1" si="329"/>
        <v>8</v>
      </c>
      <c r="M1171" s="68">
        <f ca="1">IFERROR(__xludf.DUMMYFUNCTION("""COMPUTED_VALUE"""),44789.6666666666)</f>
        <v>44789.666666666599</v>
      </c>
      <c r="N1171" s="6">
        <f ca="1">IFERROR(__xludf.DUMMYFUNCTION("""COMPUTED_VALUE"""),13102.55)</f>
        <v>13102.55</v>
      </c>
      <c r="R1171" s="6" t="str">
        <f t="shared" ca="1" si="330"/>
        <v>202210</v>
      </c>
      <c r="S1171" s="6">
        <f t="shared" ca="1" si="331"/>
        <v>2022</v>
      </c>
      <c r="T1171" s="6">
        <f t="shared" ca="1" si="332"/>
        <v>10</v>
      </c>
      <c r="U1171" s="68">
        <f ca="1">IFERROR(__xludf.DUMMYFUNCTION("""COMPUTED_VALUE"""),44840.6458333333)</f>
        <v>44840.645833333299</v>
      </c>
      <c r="V1171" s="6">
        <f ca="1">IFERROR(__xludf.DUMMYFUNCTION("""COMPUTED_VALUE"""),2237.86)</f>
        <v>2237.86</v>
      </c>
      <c r="Z1171" s="6" t="str">
        <f t="shared" ca="1" si="333"/>
        <v>20214</v>
      </c>
      <c r="AA1171" s="6">
        <f t="shared" ca="1" si="334"/>
        <v>2021</v>
      </c>
      <c r="AB1171" s="6">
        <f t="shared" ca="1" si="335"/>
        <v>4</v>
      </c>
      <c r="AC1171" s="68">
        <f ca="1">IFERROR(__xludf.DUMMYFUNCTION("""COMPUTED_VALUE"""),44316.9986111111)</f>
        <v>44316.998611111099</v>
      </c>
      <c r="AD1171" s="6">
        <f ca="1">IFERROR(__xludf.DUMMYFUNCTION("""COMPUTED_VALUE"""),1116.46)</f>
        <v>1116.46</v>
      </c>
      <c r="AH1171" s="6" t="str">
        <f t="shared" ca="1" si="336"/>
        <v>20213</v>
      </c>
      <c r="AI1171" s="6">
        <f t="shared" ca="1" si="337"/>
        <v>2021</v>
      </c>
      <c r="AJ1171" s="6">
        <f t="shared" ca="1" si="338"/>
        <v>3</v>
      </c>
      <c r="AK1171" s="68">
        <f ca="1">IFERROR(__xludf.DUMMYFUNCTION("""COMPUTED_VALUE"""),44264.9986111111)</f>
        <v>44264.998611111099</v>
      </c>
      <c r="AL1171" s="6">
        <f ca="1">IFERROR(__xludf.DUMMYFUNCTION("""COMPUTED_VALUE"""),54898.67)</f>
        <v>54898.67</v>
      </c>
      <c r="AP1171" s="6" t="str">
        <f t="shared" ca="1" si="339"/>
        <v>20228</v>
      </c>
      <c r="AQ1171" s="6">
        <f t="shared" ca="1" si="340"/>
        <v>2022</v>
      </c>
      <c r="AR1171" s="6">
        <f t="shared" ca="1" si="341"/>
        <v>8</v>
      </c>
      <c r="AS1171" s="68">
        <f ca="1">IFERROR(__xludf.DUMMYFUNCTION("""COMPUTED_VALUE"""),44804.9986111111)</f>
        <v>44804.998611111099</v>
      </c>
      <c r="AT1171" s="6">
        <f ca="1">IFERROR(__xludf.DUMMYFUNCTION("""COMPUTED_VALUE"""),1726.2)</f>
        <v>1726.2</v>
      </c>
    </row>
    <row r="1172" spans="2:46" x14ac:dyDescent="0.35">
      <c r="B1172" s="6" t="str">
        <f t="shared" ca="1" si="324"/>
        <v>20228</v>
      </c>
      <c r="C1172" s="6">
        <f t="shared" ca="1" si="325"/>
        <v>2022</v>
      </c>
      <c r="D1172" s="6">
        <f t="shared" ca="1" si="326"/>
        <v>8</v>
      </c>
      <c r="E1172" s="68">
        <f ca="1">IFERROR(__xludf.DUMMYFUNCTION("""COMPUTED_VALUE"""),44797.6666666666)</f>
        <v>44797.666666666599</v>
      </c>
      <c r="F1172" s="6">
        <f ca="1">IFERROR(__xludf.DUMMYFUNCTION("""COMPUTED_VALUE"""),4140.77)</f>
        <v>4140.7700000000004</v>
      </c>
      <c r="J1172" s="6" t="str">
        <f t="shared" ca="1" si="327"/>
        <v>20228</v>
      </c>
      <c r="K1172" s="6">
        <f t="shared" ca="1" si="328"/>
        <v>2022</v>
      </c>
      <c r="L1172" s="6">
        <f t="shared" ca="1" si="329"/>
        <v>8</v>
      </c>
      <c r="M1172" s="68">
        <f ca="1">IFERROR(__xludf.DUMMYFUNCTION("""COMPUTED_VALUE"""),44790.6666666666)</f>
        <v>44790.666666666599</v>
      </c>
      <c r="N1172" s="6">
        <f ca="1">IFERROR(__xludf.DUMMYFUNCTION("""COMPUTED_VALUE"""),12938.12)</f>
        <v>12938.12</v>
      </c>
      <c r="R1172" s="6" t="str">
        <f t="shared" ca="1" si="330"/>
        <v>202210</v>
      </c>
      <c r="S1172" s="6">
        <f t="shared" ca="1" si="331"/>
        <v>2022</v>
      </c>
      <c r="T1172" s="6">
        <f t="shared" ca="1" si="332"/>
        <v>10</v>
      </c>
      <c r="U1172" s="68">
        <f ca="1">IFERROR(__xludf.DUMMYFUNCTION("""COMPUTED_VALUE"""),44841.6458333333)</f>
        <v>44841.645833333299</v>
      </c>
      <c r="V1172" s="6">
        <f ca="1">IFERROR(__xludf.DUMMYFUNCTION("""COMPUTED_VALUE"""),2232.84)</f>
        <v>2232.84</v>
      </c>
      <c r="Z1172" s="6" t="str">
        <f t="shared" ca="1" si="333"/>
        <v>20215</v>
      </c>
      <c r="AA1172" s="6">
        <f t="shared" ca="1" si="334"/>
        <v>2021</v>
      </c>
      <c r="AB1172" s="6">
        <f t="shared" ca="1" si="335"/>
        <v>5</v>
      </c>
      <c r="AC1172" s="68">
        <f ca="1">IFERROR(__xludf.DUMMYFUNCTION("""COMPUTED_VALUE"""),44317.9986111111)</f>
        <v>44317.998611111099</v>
      </c>
      <c r="AD1172" s="6">
        <f ca="1">IFERROR(__xludf.DUMMYFUNCTION("""COMPUTED_VALUE"""),1115.86)</f>
        <v>1115.8599999999999</v>
      </c>
      <c r="AH1172" s="6" t="str">
        <f t="shared" ca="1" si="336"/>
        <v>20213</v>
      </c>
      <c r="AI1172" s="6">
        <f t="shared" ca="1" si="337"/>
        <v>2021</v>
      </c>
      <c r="AJ1172" s="6">
        <f t="shared" ca="1" si="338"/>
        <v>3</v>
      </c>
      <c r="AK1172" s="68">
        <f ca="1">IFERROR(__xludf.DUMMYFUNCTION("""COMPUTED_VALUE"""),44265.9986111111)</f>
        <v>44265.998611111099</v>
      </c>
      <c r="AL1172" s="6">
        <f ca="1">IFERROR(__xludf.DUMMYFUNCTION("""COMPUTED_VALUE"""),55901.2)</f>
        <v>55901.2</v>
      </c>
      <c r="AP1172" s="6" t="str">
        <f t="shared" ca="1" si="339"/>
        <v>20229</v>
      </c>
      <c r="AQ1172" s="6">
        <f t="shared" ca="1" si="340"/>
        <v>2022</v>
      </c>
      <c r="AR1172" s="6">
        <f t="shared" ca="1" si="341"/>
        <v>9</v>
      </c>
      <c r="AS1172" s="68">
        <f ca="1">IFERROR(__xludf.DUMMYFUNCTION("""COMPUTED_VALUE"""),44805.9986111111)</f>
        <v>44805.998611111099</v>
      </c>
      <c r="AT1172" s="6">
        <f ca="1">IFERROR(__xludf.DUMMYFUNCTION("""COMPUTED_VALUE"""),1709.3)</f>
        <v>1709.3</v>
      </c>
    </row>
    <row r="1173" spans="2:46" x14ac:dyDescent="0.35">
      <c r="B1173" s="6" t="str">
        <f t="shared" ca="1" si="324"/>
        <v>20228</v>
      </c>
      <c r="C1173" s="6">
        <f t="shared" ca="1" si="325"/>
        <v>2022</v>
      </c>
      <c r="D1173" s="6">
        <f t="shared" ca="1" si="326"/>
        <v>8</v>
      </c>
      <c r="E1173" s="68">
        <f ca="1">IFERROR(__xludf.DUMMYFUNCTION("""COMPUTED_VALUE"""),44798.6666666666)</f>
        <v>44798.666666666599</v>
      </c>
      <c r="F1173" s="6">
        <f ca="1">IFERROR(__xludf.DUMMYFUNCTION("""COMPUTED_VALUE"""),4199.12)</f>
        <v>4199.12</v>
      </c>
      <c r="J1173" s="6" t="str">
        <f t="shared" ca="1" si="327"/>
        <v>20228</v>
      </c>
      <c r="K1173" s="6">
        <f t="shared" ca="1" si="328"/>
        <v>2022</v>
      </c>
      <c r="L1173" s="6">
        <f t="shared" ca="1" si="329"/>
        <v>8</v>
      </c>
      <c r="M1173" s="68">
        <f ca="1">IFERROR(__xludf.DUMMYFUNCTION("""COMPUTED_VALUE"""),44791.6666666666)</f>
        <v>44791.666666666599</v>
      </c>
      <c r="N1173" s="6">
        <f ca="1">IFERROR(__xludf.DUMMYFUNCTION("""COMPUTED_VALUE"""),12965.34)</f>
        <v>12965.34</v>
      </c>
      <c r="R1173" s="6" t="str">
        <f t="shared" ca="1" si="330"/>
        <v>202210</v>
      </c>
      <c r="S1173" s="6">
        <f t="shared" ca="1" si="331"/>
        <v>2022</v>
      </c>
      <c r="T1173" s="6">
        <f t="shared" ca="1" si="332"/>
        <v>10</v>
      </c>
      <c r="U1173" s="68">
        <f ca="1">IFERROR(__xludf.DUMMYFUNCTION("""COMPUTED_VALUE"""),44845.6458333333)</f>
        <v>44845.645833333299</v>
      </c>
      <c r="V1173" s="6">
        <f ca="1">IFERROR(__xludf.DUMMYFUNCTION("""COMPUTED_VALUE"""),2192.07)</f>
        <v>2192.0700000000002</v>
      </c>
      <c r="Z1173" s="6" t="str">
        <f t="shared" ca="1" si="333"/>
        <v>20215</v>
      </c>
      <c r="AA1173" s="6">
        <f t="shared" ca="1" si="334"/>
        <v>2021</v>
      </c>
      <c r="AB1173" s="6">
        <f t="shared" ca="1" si="335"/>
        <v>5</v>
      </c>
      <c r="AC1173" s="68">
        <f ca="1">IFERROR(__xludf.DUMMYFUNCTION("""COMPUTED_VALUE"""),44318.9986111111)</f>
        <v>44318.998611111099</v>
      </c>
      <c r="AD1173" s="6">
        <f ca="1">IFERROR(__xludf.DUMMYFUNCTION("""COMPUTED_VALUE"""),1116.76)</f>
        <v>1116.76</v>
      </c>
      <c r="AH1173" s="6" t="str">
        <f t="shared" ca="1" si="336"/>
        <v>20213</v>
      </c>
      <c r="AI1173" s="6">
        <f t="shared" ca="1" si="337"/>
        <v>2021</v>
      </c>
      <c r="AJ1173" s="6">
        <f t="shared" ca="1" si="338"/>
        <v>3</v>
      </c>
      <c r="AK1173" s="68">
        <f ca="1">IFERROR(__xludf.DUMMYFUNCTION("""COMPUTED_VALUE"""),44266.9986111111)</f>
        <v>44266.998611111099</v>
      </c>
      <c r="AL1173" s="6">
        <f ca="1">IFERROR(__xludf.DUMMYFUNCTION("""COMPUTED_VALUE"""),57794.57)</f>
        <v>57794.57</v>
      </c>
      <c r="AP1173" s="6" t="str">
        <f t="shared" ca="1" si="339"/>
        <v>20229</v>
      </c>
      <c r="AQ1173" s="6">
        <f t="shared" ca="1" si="340"/>
        <v>2022</v>
      </c>
      <c r="AR1173" s="6">
        <f t="shared" ca="1" si="341"/>
        <v>9</v>
      </c>
      <c r="AS1173" s="68">
        <f ca="1">IFERROR(__xludf.DUMMYFUNCTION("""COMPUTED_VALUE"""),44806.9986111111)</f>
        <v>44806.998611111099</v>
      </c>
      <c r="AT1173" s="6">
        <f ca="1">IFERROR(__xludf.DUMMYFUNCTION("""COMPUTED_VALUE"""),1722.6)</f>
        <v>1722.6</v>
      </c>
    </row>
    <row r="1174" spans="2:46" x14ac:dyDescent="0.35">
      <c r="B1174" s="6" t="str">
        <f t="shared" ca="1" si="324"/>
        <v>20228</v>
      </c>
      <c r="C1174" s="6">
        <f t="shared" ca="1" si="325"/>
        <v>2022</v>
      </c>
      <c r="D1174" s="6">
        <f t="shared" ca="1" si="326"/>
        <v>8</v>
      </c>
      <c r="E1174" s="68">
        <f ca="1">IFERROR(__xludf.DUMMYFUNCTION("""COMPUTED_VALUE"""),44799.6666666666)</f>
        <v>44799.666666666599</v>
      </c>
      <c r="F1174" s="6">
        <f ca="1">IFERROR(__xludf.DUMMYFUNCTION("""COMPUTED_VALUE"""),4057.66)</f>
        <v>4057.66</v>
      </c>
      <c r="J1174" s="6" t="str">
        <f t="shared" ca="1" si="327"/>
        <v>20228</v>
      </c>
      <c r="K1174" s="6">
        <f t="shared" ca="1" si="328"/>
        <v>2022</v>
      </c>
      <c r="L1174" s="6">
        <f t="shared" ca="1" si="329"/>
        <v>8</v>
      </c>
      <c r="M1174" s="68">
        <f ca="1">IFERROR(__xludf.DUMMYFUNCTION("""COMPUTED_VALUE"""),44792.6666666666)</f>
        <v>44792.666666666599</v>
      </c>
      <c r="N1174" s="6">
        <f ca="1">IFERROR(__xludf.DUMMYFUNCTION("""COMPUTED_VALUE"""),12705.22)</f>
        <v>12705.22</v>
      </c>
      <c r="R1174" s="6" t="str">
        <f t="shared" ca="1" si="330"/>
        <v>202210</v>
      </c>
      <c r="S1174" s="6">
        <f t="shared" ca="1" si="331"/>
        <v>2022</v>
      </c>
      <c r="T1174" s="6">
        <f t="shared" ca="1" si="332"/>
        <v>10</v>
      </c>
      <c r="U1174" s="68">
        <f ca="1">IFERROR(__xludf.DUMMYFUNCTION("""COMPUTED_VALUE"""),44846.6458333333)</f>
        <v>44846.645833333299</v>
      </c>
      <c r="V1174" s="6">
        <f ca="1">IFERROR(__xludf.DUMMYFUNCTION("""COMPUTED_VALUE"""),2202.47)</f>
        <v>2202.4699999999998</v>
      </c>
      <c r="Z1174" s="6" t="str">
        <f t="shared" ca="1" si="333"/>
        <v>20215</v>
      </c>
      <c r="AA1174" s="6">
        <f t="shared" ca="1" si="334"/>
        <v>2021</v>
      </c>
      <c r="AB1174" s="6">
        <f t="shared" ca="1" si="335"/>
        <v>5</v>
      </c>
      <c r="AC1174" s="68">
        <f ca="1">IFERROR(__xludf.DUMMYFUNCTION("""COMPUTED_VALUE"""),44319.9986111111)</f>
        <v>44319.998611111099</v>
      </c>
      <c r="AD1174" s="6">
        <f ca="1">IFERROR(__xludf.DUMMYFUNCTION("""COMPUTED_VALUE"""),1120.4)</f>
        <v>1120.4000000000001</v>
      </c>
      <c r="AH1174" s="6" t="str">
        <f t="shared" ca="1" si="336"/>
        <v>20213</v>
      </c>
      <c r="AI1174" s="6">
        <f t="shared" ca="1" si="337"/>
        <v>2021</v>
      </c>
      <c r="AJ1174" s="6">
        <f t="shared" ca="1" si="338"/>
        <v>3</v>
      </c>
      <c r="AK1174" s="68">
        <f ca="1">IFERROR(__xludf.DUMMYFUNCTION("""COMPUTED_VALUE"""),44267.9986111111)</f>
        <v>44267.998611111099</v>
      </c>
      <c r="AL1174" s="6">
        <f ca="1">IFERROR(__xludf.DUMMYFUNCTION("""COMPUTED_VALUE"""),57229.31)</f>
        <v>57229.31</v>
      </c>
      <c r="AP1174" s="6" t="str">
        <f t="shared" ca="1" si="339"/>
        <v>20229</v>
      </c>
      <c r="AQ1174" s="6">
        <f t="shared" ca="1" si="340"/>
        <v>2022</v>
      </c>
      <c r="AR1174" s="6">
        <f t="shared" ca="1" si="341"/>
        <v>9</v>
      </c>
      <c r="AS1174" s="68">
        <f ca="1">IFERROR(__xludf.DUMMYFUNCTION("""COMPUTED_VALUE"""),44810.9986111111)</f>
        <v>44810.998611111099</v>
      </c>
      <c r="AT1174" s="6">
        <f ca="1">IFERROR(__xludf.DUMMYFUNCTION("""COMPUTED_VALUE"""),1712.9)</f>
        <v>1712.9</v>
      </c>
    </row>
    <row r="1175" spans="2:46" x14ac:dyDescent="0.35">
      <c r="B1175" s="6" t="str">
        <f t="shared" ca="1" si="324"/>
        <v>20228</v>
      </c>
      <c r="C1175" s="6">
        <f t="shared" ca="1" si="325"/>
        <v>2022</v>
      </c>
      <c r="D1175" s="6">
        <f t="shared" ca="1" si="326"/>
        <v>8</v>
      </c>
      <c r="E1175" s="68">
        <f ca="1">IFERROR(__xludf.DUMMYFUNCTION("""COMPUTED_VALUE"""),44802.6666666666)</f>
        <v>44802.666666666599</v>
      </c>
      <c r="F1175" s="6">
        <f ca="1">IFERROR(__xludf.DUMMYFUNCTION("""COMPUTED_VALUE"""),4030.61)</f>
        <v>4030.61</v>
      </c>
      <c r="J1175" s="6" t="str">
        <f t="shared" ca="1" si="327"/>
        <v>20228</v>
      </c>
      <c r="K1175" s="6">
        <f t="shared" ca="1" si="328"/>
        <v>2022</v>
      </c>
      <c r="L1175" s="6">
        <f t="shared" ca="1" si="329"/>
        <v>8</v>
      </c>
      <c r="M1175" s="68">
        <f ca="1">IFERROR(__xludf.DUMMYFUNCTION("""COMPUTED_VALUE"""),44795.6666666666)</f>
        <v>44795.666666666599</v>
      </c>
      <c r="N1175" s="6">
        <f ca="1">IFERROR(__xludf.DUMMYFUNCTION("""COMPUTED_VALUE"""),12381.57)</f>
        <v>12381.57</v>
      </c>
      <c r="R1175" s="6" t="str">
        <f t="shared" ca="1" si="330"/>
        <v>202210</v>
      </c>
      <c r="S1175" s="6">
        <f t="shared" ca="1" si="331"/>
        <v>2022</v>
      </c>
      <c r="T1175" s="6">
        <f t="shared" ca="1" si="332"/>
        <v>10</v>
      </c>
      <c r="U1175" s="68">
        <f ca="1">IFERROR(__xludf.DUMMYFUNCTION("""COMPUTED_VALUE"""),44847.6458333333)</f>
        <v>44847.645833333299</v>
      </c>
      <c r="V1175" s="6">
        <f ca="1">IFERROR(__xludf.DUMMYFUNCTION("""COMPUTED_VALUE"""),2162.87)</f>
        <v>2162.87</v>
      </c>
      <c r="Z1175" s="6" t="str">
        <f t="shared" ca="1" si="333"/>
        <v>20215</v>
      </c>
      <c r="AA1175" s="6">
        <f t="shared" ca="1" si="334"/>
        <v>2021</v>
      </c>
      <c r="AB1175" s="6">
        <f t="shared" ca="1" si="335"/>
        <v>5</v>
      </c>
      <c r="AC1175" s="68">
        <f ca="1">IFERROR(__xludf.DUMMYFUNCTION("""COMPUTED_VALUE"""),44320.9986111111)</f>
        <v>44320.998611111099</v>
      </c>
      <c r="AD1175" s="6">
        <f ca="1">IFERROR(__xludf.DUMMYFUNCTION("""COMPUTED_VALUE"""),1124.91)</f>
        <v>1124.9100000000001</v>
      </c>
      <c r="AH1175" s="6" t="str">
        <f t="shared" ca="1" si="336"/>
        <v>20213</v>
      </c>
      <c r="AI1175" s="6">
        <f t="shared" ca="1" si="337"/>
        <v>2021</v>
      </c>
      <c r="AJ1175" s="6">
        <f t="shared" ca="1" si="338"/>
        <v>3</v>
      </c>
      <c r="AK1175" s="68">
        <f ca="1">IFERROR(__xludf.DUMMYFUNCTION("""COMPUTED_VALUE"""),44268.9986111111)</f>
        <v>44268.998611111099</v>
      </c>
      <c r="AL1175" s="6">
        <f ca="1">IFERROR(__xludf.DUMMYFUNCTION("""COMPUTED_VALUE"""),61190.87)</f>
        <v>61190.87</v>
      </c>
      <c r="AP1175" s="6" t="str">
        <f t="shared" ca="1" si="339"/>
        <v>20229</v>
      </c>
      <c r="AQ1175" s="6">
        <f t="shared" ca="1" si="340"/>
        <v>2022</v>
      </c>
      <c r="AR1175" s="6">
        <f t="shared" ca="1" si="341"/>
        <v>9</v>
      </c>
      <c r="AS1175" s="68">
        <f ca="1">IFERROR(__xludf.DUMMYFUNCTION("""COMPUTED_VALUE"""),44811.9986111111)</f>
        <v>44811.998611111099</v>
      </c>
      <c r="AT1175" s="6">
        <f ca="1">IFERROR(__xludf.DUMMYFUNCTION("""COMPUTED_VALUE"""),1727.8)</f>
        <v>1727.8</v>
      </c>
    </row>
    <row r="1176" spans="2:46" x14ac:dyDescent="0.35">
      <c r="B1176" s="6" t="str">
        <f t="shared" ca="1" si="324"/>
        <v>20228</v>
      </c>
      <c r="C1176" s="6">
        <f t="shared" ca="1" si="325"/>
        <v>2022</v>
      </c>
      <c r="D1176" s="6">
        <f t="shared" ca="1" si="326"/>
        <v>8</v>
      </c>
      <c r="E1176" s="68">
        <f ca="1">IFERROR(__xludf.DUMMYFUNCTION("""COMPUTED_VALUE"""),44803.6666666666)</f>
        <v>44803.666666666599</v>
      </c>
      <c r="F1176" s="6">
        <f ca="1">IFERROR(__xludf.DUMMYFUNCTION("""COMPUTED_VALUE"""),3986.16)</f>
        <v>3986.16</v>
      </c>
      <c r="J1176" s="6" t="str">
        <f t="shared" ca="1" si="327"/>
        <v>20228</v>
      </c>
      <c r="K1176" s="6">
        <f t="shared" ca="1" si="328"/>
        <v>2022</v>
      </c>
      <c r="L1176" s="6">
        <f t="shared" ca="1" si="329"/>
        <v>8</v>
      </c>
      <c r="M1176" s="68">
        <f ca="1">IFERROR(__xludf.DUMMYFUNCTION("""COMPUTED_VALUE"""),44796.6666666666)</f>
        <v>44796.666666666599</v>
      </c>
      <c r="N1176" s="6">
        <f ca="1">IFERROR(__xludf.DUMMYFUNCTION("""COMPUTED_VALUE"""),12381.3)</f>
        <v>12381.3</v>
      </c>
      <c r="R1176" s="6" t="str">
        <f t="shared" ca="1" si="330"/>
        <v>202210</v>
      </c>
      <c r="S1176" s="6">
        <f t="shared" ca="1" si="331"/>
        <v>2022</v>
      </c>
      <c r="T1176" s="6">
        <f t="shared" ca="1" si="332"/>
        <v>10</v>
      </c>
      <c r="U1176" s="68">
        <f ca="1">IFERROR(__xludf.DUMMYFUNCTION("""COMPUTED_VALUE"""),44848.6458333333)</f>
        <v>44848.645833333299</v>
      </c>
      <c r="V1176" s="6">
        <f ca="1">IFERROR(__xludf.DUMMYFUNCTION("""COMPUTED_VALUE"""),2212.55)</f>
        <v>2212.5500000000002</v>
      </c>
      <c r="Z1176" s="6" t="str">
        <f t="shared" ca="1" si="333"/>
        <v>20215</v>
      </c>
      <c r="AA1176" s="6">
        <f t="shared" ca="1" si="334"/>
        <v>2021</v>
      </c>
      <c r="AB1176" s="6">
        <f t="shared" ca="1" si="335"/>
        <v>5</v>
      </c>
      <c r="AC1176" s="68">
        <f ca="1">IFERROR(__xludf.DUMMYFUNCTION("""COMPUTED_VALUE"""),44321.9986111111)</f>
        <v>44321.998611111099</v>
      </c>
      <c r="AD1176" s="6">
        <f ca="1">IFERROR(__xludf.DUMMYFUNCTION("""COMPUTED_VALUE"""),1123.99)</f>
        <v>1123.99</v>
      </c>
      <c r="AH1176" s="6" t="str">
        <f t="shared" ca="1" si="336"/>
        <v>20213</v>
      </c>
      <c r="AI1176" s="6">
        <f t="shared" ca="1" si="337"/>
        <v>2021</v>
      </c>
      <c r="AJ1176" s="6">
        <f t="shared" ca="1" si="338"/>
        <v>3</v>
      </c>
      <c r="AK1176" s="68">
        <f ca="1">IFERROR(__xludf.DUMMYFUNCTION("""COMPUTED_VALUE"""),44269.9986111111)</f>
        <v>44269.998611111099</v>
      </c>
      <c r="AL1176" s="6">
        <f ca="1">IFERROR(__xludf.DUMMYFUNCTION("""COMPUTED_VALUE"""),59014.37)</f>
        <v>59014.37</v>
      </c>
      <c r="AP1176" s="6" t="str">
        <f t="shared" ca="1" si="339"/>
        <v>20229</v>
      </c>
      <c r="AQ1176" s="6">
        <f t="shared" ca="1" si="340"/>
        <v>2022</v>
      </c>
      <c r="AR1176" s="6">
        <f t="shared" ca="1" si="341"/>
        <v>9</v>
      </c>
      <c r="AS1176" s="68">
        <f ca="1">IFERROR(__xludf.DUMMYFUNCTION("""COMPUTED_VALUE"""),44812.9986111111)</f>
        <v>44812.998611111099</v>
      </c>
      <c r="AT1176" s="6">
        <f ca="1">IFERROR(__xludf.DUMMYFUNCTION("""COMPUTED_VALUE"""),1720.2)</f>
        <v>1720.2</v>
      </c>
    </row>
    <row r="1177" spans="2:46" x14ac:dyDescent="0.35">
      <c r="B1177" s="6" t="str">
        <f t="shared" ca="1" si="324"/>
        <v>20228</v>
      </c>
      <c r="C1177" s="6">
        <f t="shared" ca="1" si="325"/>
        <v>2022</v>
      </c>
      <c r="D1177" s="6">
        <f t="shared" ca="1" si="326"/>
        <v>8</v>
      </c>
      <c r="E1177" s="68">
        <f ca="1">IFERROR(__xludf.DUMMYFUNCTION("""COMPUTED_VALUE"""),44804.6666666666)</f>
        <v>44804.666666666599</v>
      </c>
      <c r="F1177" s="6">
        <f ca="1">IFERROR(__xludf.DUMMYFUNCTION("""COMPUTED_VALUE"""),3955)</f>
        <v>3955</v>
      </c>
      <c r="J1177" s="6" t="str">
        <f t="shared" ca="1" si="327"/>
        <v>20228</v>
      </c>
      <c r="K1177" s="6">
        <f t="shared" ca="1" si="328"/>
        <v>2022</v>
      </c>
      <c r="L1177" s="6">
        <f t="shared" ca="1" si="329"/>
        <v>8</v>
      </c>
      <c r="M1177" s="68">
        <f ca="1">IFERROR(__xludf.DUMMYFUNCTION("""COMPUTED_VALUE"""),44797.6666666666)</f>
        <v>44797.666666666599</v>
      </c>
      <c r="N1177" s="6">
        <f ca="1">IFERROR(__xludf.DUMMYFUNCTION("""COMPUTED_VALUE"""),12431.53)</f>
        <v>12431.53</v>
      </c>
      <c r="R1177" s="6" t="str">
        <f t="shared" ca="1" si="330"/>
        <v>202210</v>
      </c>
      <c r="S1177" s="6">
        <f t="shared" ca="1" si="331"/>
        <v>2022</v>
      </c>
      <c r="T1177" s="6">
        <f t="shared" ca="1" si="332"/>
        <v>10</v>
      </c>
      <c r="U1177" s="68">
        <f ca="1">IFERROR(__xludf.DUMMYFUNCTION("""COMPUTED_VALUE"""),44851.6458333333)</f>
        <v>44851.645833333299</v>
      </c>
      <c r="V1177" s="6">
        <f ca="1">IFERROR(__xludf.DUMMYFUNCTION("""COMPUTED_VALUE"""),2219.71)</f>
        <v>2219.71</v>
      </c>
      <c r="Z1177" s="6" t="str">
        <f t="shared" ca="1" si="333"/>
        <v>20215</v>
      </c>
      <c r="AA1177" s="6">
        <f t="shared" ca="1" si="334"/>
        <v>2021</v>
      </c>
      <c r="AB1177" s="6">
        <f t="shared" ca="1" si="335"/>
        <v>5</v>
      </c>
      <c r="AC1177" s="68">
        <f ca="1">IFERROR(__xludf.DUMMYFUNCTION("""COMPUTED_VALUE"""),44322.9986111111)</f>
        <v>44322.998611111099</v>
      </c>
      <c r="AD1177" s="6">
        <f ca="1">IFERROR(__xludf.DUMMYFUNCTION("""COMPUTED_VALUE"""),1119.39)</f>
        <v>1119.3900000000001</v>
      </c>
      <c r="AH1177" s="6" t="str">
        <f t="shared" ca="1" si="336"/>
        <v>20213</v>
      </c>
      <c r="AI1177" s="6">
        <f t="shared" ca="1" si="337"/>
        <v>2021</v>
      </c>
      <c r="AJ1177" s="6">
        <f t="shared" ca="1" si="338"/>
        <v>3</v>
      </c>
      <c r="AK1177" s="68">
        <f ca="1">IFERROR(__xludf.DUMMYFUNCTION("""COMPUTED_VALUE"""),44270.9986111111)</f>
        <v>44270.998611111099</v>
      </c>
      <c r="AL1177" s="6">
        <f ca="1">IFERROR(__xludf.DUMMYFUNCTION("""COMPUTED_VALUE"""),55608.05)</f>
        <v>55608.05</v>
      </c>
      <c r="AP1177" s="6" t="str">
        <f t="shared" ca="1" si="339"/>
        <v>20229</v>
      </c>
      <c r="AQ1177" s="6">
        <f t="shared" ca="1" si="340"/>
        <v>2022</v>
      </c>
      <c r="AR1177" s="6">
        <f t="shared" ca="1" si="341"/>
        <v>9</v>
      </c>
      <c r="AS1177" s="68">
        <f ca="1">IFERROR(__xludf.DUMMYFUNCTION("""COMPUTED_VALUE"""),44813.9986111111)</f>
        <v>44813.998611111099</v>
      </c>
      <c r="AT1177" s="6">
        <f ca="1">IFERROR(__xludf.DUMMYFUNCTION("""COMPUTED_VALUE"""),1728.6)</f>
        <v>1728.6</v>
      </c>
    </row>
    <row r="1178" spans="2:46" x14ac:dyDescent="0.35">
      <c r="B1178" s="6" t="str">
        <f t="shared" ca="1" si="324"/>
        <v>20229</v>
      </c>
      <c r="C1178" s="6">
        <f t="shared" ca="1" si="325"/>
        <v>2022</v>
      </c>
      <c r="D1178" s="6">
        <f t="shared" ca="1" si="326"/>
        <v>9</v>
      </c>
      <c r="E1178" s="68">
        <f ca="1">IFERROR(__xludf.DUMMYFUNCTION("""COMPUTED_VALUE"""),44805.6666666666)</f>
        <v>44805.666666666599</v>
      </c>
      <c r="F1178" s="6">
        <f ca="1">IFERROR(__xludf.DUMMYFUNCTION("""COMPUTED_VALUE"""),3966.85)</f>
        <v>3966.85</v>
      </c>
      <c r="J1178" s="6" t="str">
        <f t="shared" ca="1" si="327"/>
        <v>20228</v>
      </c>
      <c r="K1178" s="6">
        <f t="shared" ca="1" si="328"/>
        <v>2022</v>
      </c>
      <c r="L1178" s="6">
        <f t="shared" ca="1" si="329"/>
        <v>8</v>
      </c>
      <c r="M1178" s="68">
        <f ca="1">IFERROR(__xludf.DUMMYFUNCTION("""COMPUTED_VALUE"""),44798.6666666666)</f>
        <v>44798.666666666599</v>
      </c>
      <c r="N1178" s="6">
        <f ca="1">IFERROR(__xludf.DUMMYFUNCTION("""COMPUTED_VALUE"""),12639.27)</f>
        <v>12639.27</v>
      </c>
      <c r="R1178" s="6" t="str">
        <f t="shared" ca="1" si="330"/>
        <v>202210</v>
      </c>
      <c r="S1178" s="6">
        <f t="shared" ca="1" si="331"/>
        <v>2022</v>
      </c>
      <c r="T1178" s="6">
        <f t="shared" ca="1" si="332"/>
        <v>10</v>
      </c>
      <c r="U1178" s="68">
        <f ca="1">IFERROR(__xludf.DUMMYFUNCTION("""COMPUTED_VALUE"""),44852.6458333333)</f>
        <v>44852.645833333299</v>
      </c>
      <c r="V1178" s="6">
        <f ca="1">IFERROR(__xludf.DUMMYFUNCTION("""COMPUTED_VALUE"""),2249.95)</f>
        <v>2249.9499999999998</v>
      </c>
      <c r="Z1178" s="6" t="str">
        <f t="shared" ca="1" si="333"/>
        <v>20215</v>
      </c>
      <c r="AA1178" s="6">
        <f t="shared" ca="1" si="334"/>
        <v>2021</v>
      </c>
      <c r="AB1178" s="6">
        <f t="shared" ca="1" si="335"/>
        <v>5</v>
      </c>
      <c r="AC1178" s="68">
        <f ca="1">IFERROR(__xludf.DUMMYFUNCTION("""COMPUTED_VALUE"""),44323.9986111111)</f>
        <v>44323.998611111099</v>
      </c>
      <c r="AD1178" s="6">
        <f ca="1">IFERROR(__xludf.DUMMYFUNCTION("""COMPUTED_VALUE"""),1111.87)</f>
        <v>1111.8699999999999</v>
      </c>
      <c r="AH1178" s="6" t="str">
        <f t="shared" ca="1" si="336"/>
        <v>20213</v>
      </c>
      <c r="AI1178" s="6">
        <f t="shared" ca="1" si="337"/>
        <v>2021</v>
      </c>
      <c r="AJ1178" s="6">
        <f t="shared" ca="1" si="338"/>
        <v>3</v>
      </c>
      <c r="AK1178" s="68">
        <f ca="1">IFERROR(__xludf.DUMMYFUNCTION("""COMPUTED_VALUE"""),44271.9986111111)</f>
        <v>44271.998611111099</v>
      </c>
      <c r="AL1178" s="6">
        <f ca="1">IFERROR(__xludf.DUMMYFUNCTION("""COMPUTED_VALUE"""),56904.06)</f>
        <v>56904.06</v>
      </c>
      <c r="AP1178" s="6" t="str">
        <f t="shared" ca="1" si="339"/>
        <v>20229</v>
      </c>
      <c r="AQ1178" s="6">
        <f t="shared" ca="1" si="340"/>
        <v>2022</v>
      </c>
      <c r="AR1178" s="6">
        <f t="shared" ca="1" si="341"/>
        <v>9</v>
      </c>
      <c r="AS1178" s="68">
        <f ca="1">IFERROR(__xludf.DUMMYFUNCTION("""COMPUTED_VALUE"""),44816.9986111111)</f>
        <v>44816.998611111099</v>
      </c>
      <c r="AT1178" s="6">
        <f ca="1">IFERROR(__xludf.DUMMYFUNCTION("""COMPUTED_VALUE"""),1740.6)</f>
        <v>1740.6</v>
      </c>
    </row>
    <row r="1179" spans="2:46" x14ac:dyDescent="0.35">
      <c r="B1179" s="6" t="str">
        <f t="shared" ca="1" si="324"/>
        <v>20229</v>
      </c>
      <c r="C1179" s="6">
        <f t="shared" ca="1" si="325"/>
        <v>2022</v>
      </c>
      <c r="D1179" s="6">
        <f t="shared" ca="1" si="326"/>
        <v>9</v>
      </c>
      <c r="E1179" s="68">
        <f ca="1">IFERROR(__xludf.DUMMYFUNCTION("""COMPUTED_VALUE"""),44806.6666666666)</f>
        <v>44806.666666666599</v>
      </c>
      <c r="F1179" s="6">
        <f ca="1">IFERROR(__xludf.DUMMYFUNCTION("""COMPUTED_VALUE"""),3924.26)</f>
        <v>3924.26</v>
      </c>
      <c r="J1179" s="6" t="str">
        <f t="shared" ca="1" si="327"/>
        <v>20228</v>
      </c>
      <c r="K1179" s="6">
        <f t="shared" ca="1" si="328"/>
        <v>2022</v>
      </c>
      <c r="L1179" s="6">
        <f t="shared" ca="1" si="329"/>
        <v>8</v>
      </c>
      <c r="M1179" s="68">
        <f ca="1">IFERROR(__xludf.DUMMYFUNCTION("""COMPUTED_VALUE"""),44799.6666666666)</f>
        <v>44799.666666666599</v>
      </c>
      <c r="N1179" s="6">
        <f ca="1">IFERROR(__xludf.DUMMYFUNCTION("""COMPUTED_VALUE"""),12141.71)</f>
        <v>12141.71</v>
      </c>
      <c r="R1179" s="6" t="str">
        <f t="shared" ca="1" si="330"/>
        <v>202210</v>
      </c>
      <c r="S1179" s="6">
        <f t="shared" ca="1" si="331"/>
        <v>2022</v>
      </c>
      <c r="T1179" s="6">
        <f t="shared" ca="1" si="332"/>
        <v>10</v>
      </c>
      <c r="U1179" s="68">
        <f ca="1">IFERROR(__xludf.DUMMYFUNCTION("""COMPUTED_VALUE"""),44853.6458333333)</f>
        <v>44853.645833333299</v>
      </c>
      <c r="V1179" s="6">
        <f ca="1">IFERROR(__xludf.DUMMYFUNCTION("""COMPUTED_VALUE"""),2237.44)</f>
        <v>2237.44</v>
      </c>
      <c r="Z1179" s="6" t="str">
        <f t="shared" ca="1" si="333"/>
        <v>20215</v>
      </c>
      <c r="AA1179" s="6">
        <f t="shared" ca="1" si="334"/>
        <v>2021</v>
      </c>
      <c r="AB1179" s="6">
        <f t="shared" ca="1" si="335"/>
        <v>5</v>
      </c>
      <c r="AC1179" s="68">
        <f ca="1">IFERROR(__xludf.DUMMYFUNCTION("""COMPUTED_VALUE"""),44324.9986111111)</f>
        <v>44324.998611111099</v>
      </c>
      <c r="AD1179" s="6">
        <f ca="1">IFERROR(__xludf.DUMMYFUNCTION("""COMPUTED_VALUE"""),1111.47)</f>
        <v>1111.47</v>
      </c>
      <c r="AH1179" s="6" t="str">
        <f t="shared" ca="1" si="336"/>
        <v>20213</v>
      </c>
      <c r="AI1179" s="6">
        <f t="shared" ca="1" si="337"/>
        <v>2021</v>
      </c>
      <c r="AJ1179" s="6">
        <f t="shared" ca="1" si="338"/>
        <v>3</v>
      </c>
      <c r="AK1179" s="68">
        <f ca="1">IFERROR(__xludf.DUMMYFUNCTION("""COMPUTED_VALUE"""),44272.9986111111)</f>
        <v>44272.998611111099</v>
      </c>
      <c r="AL1179" s="6">
        <f ca="1">IFERROR(__xludf.DUMMYFUNCTION("""COMPUTED_VALUE"""),58898.21)</f>
        <v>58898.21</v>
      </c>
      <c r="AP1179" s="6" t="str">
        <f t="shared" ca="1" si="339"/>
        <v>20229</v>
      </c>
      <c r="AQ1179" s="6">
        <f t="shared" ca="1" si="340"/>
        <v>2022</v>
      </c>
      <c r="AR1179" s="6">
        <f t="shared" ca="1" si="341"/>
        <v>9</v>
      </c>
      <c r="AS1179" s="68">
        <f ca="1">IFERROR(__xludf.DUMMYFUNCTION("""COMPUTED_VALUE"""),44817.9986111111)</f>
        <v>44817.998611111099</v>
      </c>
      <c r="AT1179" s="6">
        <f ca="1">IFERROR(__xludf.DUMMYFUNCTION("""COMPUTED_VALUE"""),1717.4)</f>
        <v>1717.4</v>
      </c>
    </row>
    <row r="1180" spans="2:46" x14ac:dyDescent="0.35">
      <c r="B1180" s="6" t="str">
        <f t="shared" ca="1" si="324"/>
        <v>20229</v>
      </c>
      <c r="C1180" s="6">
        <f t="shared" ca="1" si="325"/>
        <v>2022</v>
      </c>
      <c r="D1180" s="6">
        <f t="shared" ca="1" si="326"/>
        <v>9</v>
      </c>
      <c r="E1180" s="68">
        <f ca="1">IFERROR(__xludf.DUMMYFUNCTION("""COMPUTED_VALUE"""),44810.6666666666)</f>
        <v>44810.666666666599</v>
      </c>
      <c r="F1180" s="6">
        <f ca="1">IFERROR(__xludf.DUMMYFUNCTION("""COMPUTED_VALUE"""),3908.19)</f>
        <v>3908.19</v>
      </c>
      <c r="J1180" s="6" t="str">
        <f t="shared" ca="1" si="327"/>
        <v>20228</v>
      </c>
      <c r="K1180" s="6">
        <f t="shared" ca="1" si="328"/>
        <v>2022</v>
      </c>
      <c r="L1180" s="6">
        <f t="shared" ca="1" si="329"/>
        <v>8</v>
      </c>
      <c r="M1180" s="68">
        <f ca="1">IFERROR(__xludf.DUMMYFUNCTION("""COMPUTED_VALUE"""),44802.6666666666)</f>
        <v>44802.666666666599</v>
      </c>
      <c r="N1180" s="6">
        <f ca="1">IFERROR(__xludf.DUMMYFUNCTION("""COMPUTED_VALUE"""),12017.67)</f>
        <v>12017.67</v>
      </c>
      <c r="R1180" s="6" t="str">
        <f t="shared" ca="1" si="330"/>
        <v>202210</v>
      </c>
      <c r="S1180" s="6">
        <f t="shared" ca="1" si="331"/>
        <v>2022</v>
      </c>
      <c r="T1180" s="6">
        <f t="shared" ca="1" si="332"/>
        <v>10</v>
      </c>
      <c r="U1180" s="68">
        <f ca="1">IFERROR(__xludf.DUMMYFUNCTION("""COMPUTED_VALUE"""),44854.6458333333)</f>
        <v>44854.645833333299</v>
      </c>
      <c r="V1180" s="6">
        <f ca="1">IFERROR(__xludf.DUMMYFUNCTION("""COMPUTED_VALUE"""),2218.09)</f>
        <v>2218.09</v>
      </c>
      <c r="Z1180" s="6" t="str">
        <f t="shared" ca="1" si="333"/>
        <v>20215</v>
      </c>
      <c r="AA1180" s="6">
        <f t="shared" ca="1" si="334"/>
        <v>2021</v>
      </c>
      <c r="AB1180" s="6">
        <f t="shared" ca="1" si="335"/>
        <v>5</v>
      </c>
      <c r="AC1180" s="68">
        <f ca="1">IFERROR(__xludf.DUMMYFUNCTION("""COMPUTED_VALUE"""),44325.9986111111)</f>
        <v>44325.998611111099</v>
      </c>
      <c r="AD1180" s="6">
        <f ca="1">IFERROR(__xludf.DUMMYFUNCTION("""COMPUTED_VALUE"""),1111.97)</f>
        <v>1111.97</v>
      </c>
      <c r="AH1180" s="6" t="str">
        <f t="shared" ca="1" si="336"/>
        <v>20213</v>
      </c>
      <c r="AI1180" s="6">
        <f t="shared" ca="1" si="337"/>
        <v>2021</v>
      </c>
      <c r="AJ1180" s="6">
        <f t="shared" ca="1" si="338"/>
        <v>3</v>
      </c>
      <c r="AK1180" s="68">
        <f ca="1">IFERROR(__xludf.DUMMYFUNCTION("""COMPUTED_VALUE"""),44273.9986111111)</f>
        <v>44273.998611111099</v>
      </c>
      <c r="AL1180" s="6">
        <f ca="1">IFERROR(__xludf.DUMMYFUNCTION("""COMPUTED_VALUE"""),57647.56)</f>
        <v>57647.56</v>
      </c>
      <c r="AP1180" s="6" t="str">
        <f t="shared" ca="1" si="339"/>
        <v>20229</v>
      </c>
      <c r="AQ1180" s="6">
        <f t="shared" ca="1" si="340"/>
        <v>2022</v>
      </c>
      <c r="AR1180" s="6">
        <f t="shared" ca="1" si="341"/>
        <v>9</v>
      </c>
      <c r="AS1180" s="68">
        <f ca="1">IFERROR(__xludf.DUMMYFUNCTION("""COMPUTED_VALUE"""),44818.9986111111)</f>
        <v>44818.998611111099</v>
      </c>
      <c r="AT1180" s="6">
        <f ca="1">IFERROR(__xludf.DUMMYFUNCTION("""COMPUTED_VALUE"""),1709.1)</f>
        <v>1709.1</v>
      </c>
    </row>
    <row r="1181" spans="2:46" x14ac:dyDescent="0.35">
      <c r="B1181" s="6" t="str">
        <f t="shared" ca="1" si="324"/>
        <v>20229</v>
      </c>
      <c r="C1181" s="6">
        <f t="shared" ca="1" si="325"/>
        <v>2022</v>
      </c>
      <c r="D1181" s="6">
        <f t="shared" ca="1" si="326"/>
        <v>9</v>
      </c>
      <c r="E1181" s="68">
        <f ca="1">IFERROR(__xludf.DUMMYFUNCTION("""COMPUTED_VALUE"""),44811.6666666666)</f>
        <v>44811.666666666599</v>
      </c>
      <c r="F1181" s="6">
        <f ca="1">IFERROR(__xludf.DUMMYFUNCTION("""COMPUTED_VALUE"""),3979.87)</f>
        <v>3979.87</v>
      </c>
      <c r="J1181" s="6" t="str">
        <f t="shared" ca="1" si="327"/>
        <v>20228</v>
      </c>
      <c r="K1181" s="6">
        <f t="shared" ca="1" si="328"/>
        <v>2022</v>
      </c>
      <c r="L1181" s="6">
        <f t="shared" ca="1" si="329"/>
        <v>8</v>
      </c>
      <c r="M1181" s="68">
        <f ca="1">IFERROR(__xludf.DUMMYFUNCTION("""COMPUTED_VALUE"""),44803.6666666666)</f>
        <v>44803.666666666599</v>
      </c>
      <c r="N1181" s="6">
        <f ca="1">IFERROR(__xludf.DUMMYFUNCTION("""COMPUTED_VALUE"""),11883.14)</f>
        <v>11883.14</v>
      </c>
      <c r="R1181" s="6" t="str">
        <f t="shared" ca="1" si="330"/>
        <v>202210</v>
      </c>
      <c r="S1181" s="6">
        <f t="shared" ca="1" si="331"/>
        <v>2022</v>
      </c>
      <c r="T1181" s="6">
        <f t="shared" ca="1" si="332"/>
        <v>10</v>
      </c>
      <c r="U1181" s="68">
        <f ca="1">IFERROR(__xludf.DUMMYFUNCTION("""COMPUTED_VALUE"""),44855.6458333333)</f>
        <v>44855.645833333299</v>
      </c>
      <c r="V1181" s="6">
        <f ca="1">IFERROR(__xludf.DUMMYFUNCTION("""COMPUTED_VALUE"""),2213.12)</f>
        <v>2213.12</v>
      </c>
      <c r="Z1181" s="6" t="str">
        <f t="shared" ca="1" si="333"/>
        <v>20215</v>
      </c>
      <c r="AA1181" s="6">
        <f t="shared" ca="1" si="334"/>
        <v>2021</v>
      </c>
      <c r="AB1181" s="6">
        <f t="shared" ca="1" si="335"/>
        <v>5</v>
      </c>
      <c r="AC1181" s="68">
        <f ca="1">IFERROR(__xludf.DUMMYFUNCTION("""COMPUTED_VALUE"""),44326.9986111111)</f>
        <v>44326.998611111099</v>
      </c>
      <c r="AD1181" s="6">
        <f ca="1">IFERROR(__xludf.DUMMYFUNCTION("""COMPUTED_VALUE"""),1115.54)</f>
        <v>1115.54</v>
      </c>
      <c r="AH1181" s="6" t="str">
        <f t="shared" ca="1" si="336"/>
        <v>20213</v>
      </c>
      <c r="AI1181" s="6">
        <f t="shared" ca="1" si="337"/>
        <v>2021</v>
      </c>
      <c r="AJ1181" s="6">
        <f t="shared" ca="1" si="338"/>
        <v>3</v>
      </c>
      <c r="AK1181" s="68">
        <f ca="1">IFERROR(__xludf.DUMMYFUNCTION("""COMPUTED_VALUE"""),44274.9986111111)</f>
        <v>44274.998611111099</v>
      </c>
      <c r="AL1181" s="6">
        <f ca="1">IFERROR(__xludf.DUMMYFUNCTION("""COMPUTED_VALUE"""),58083.82)</f>
        <v>58083.82</v>
      </c>
      <c r="AP1181" s="6" t="str">
        <f t="shared" ca="1" si="339"/>
        <v>20229</v>
      </c>
      <c r="AQ1181" s="6">
        <f t="shared" ca="1" si="340"/>
        <v>2022</v>
      </c>
      <c r="AR1181" s="6">
        <f t="shared" ca="1" si="341"/>
        <v>9</v>
      </c>
      <c r="AS1181" s="68">
        <f ca="1">IFERROR(__xludf.DUMMYFUNCTION("""COMPUTED_VALUE"""),44819.9986111111)</f>
        <v>44819.998611111099</v>
      </c>
      <c r="AT1181" s="6">
        <f ca="1">IFERROR(__xludf.DUMMYFUNCTION("""COMPUTED_VALUE"""),1677.3)</f>
        <v>1677.3</v>
      </c>
    </row>
    <row r="1182" spans="2:46" x14ac:dyDescent="0.35">
      <c r="B1182" s="6" t="str">
        <f t="shared" ca="1" si="324"/>
        <v>20229</v>
      </c>
      <c r="C1182" s="6">
        <f t="shared" ca="1" si="325"/>
        <v>2022</v>
      </c>
      <c r="D1182" s="6">
        <f t="shared" ca="1" si="326"/>
        <v>9</v>
      </c>
      <c r="E1182" s="68">
        <f ca="1">IFERROR(__xludf.DUMMYFUNCTION("""COMPUTED_VALUE"""),44812.6666666666)</f>
        <v>44812.666666666599</v>
      </c>
      <c r="F1182" s="6">
        <f ca="1">IFERROR(__xludf.DUMMYFUNCTION("""COMPUTED_VALUE"""),4006.18)</f>
        <v>4006.18</v>
      </c>
      <c r="J1182" s="6" t="str">
        <f t="shared" ca="1" si="327"/>
        <v>20228</v>
      </c>
      <c r="K1182" s="6">
        <f t="shared" ca="1" si="328"/>
        <v>2022</v>
      </c>
      <c r="L1182" s="6">
        <f t="shared" ca="1" si="329"/>
        <v>8</v>
      </c>
      <c r="M1182" s="68">
        <f ca="1">IFERROR(__xludf.DUMMYFUNCTION("""COMPUTED_VALUE"""),44804.6666666666)</f>
        <v>44804.666666666599</v>
      </c>
      <c r="N1182" s="6">
        <f ca="1">IFERROR(__xludf.DUMMYFUNCTION("""COMPUTED_VALUE"""),11816.2)</f>
        <v>11816.2</v>
      </c>
      <c r="R1182" s="6" t="str">
        <f t="shared" ca="1" si="330"/>
        <v>202210</v>
      </c>
      <c r="S1182" s="6">
        <f t="shared" ca="1" si="331"/>
        <v>2022</v>
      </c>
      <c r="T1182" s="6">
        <f t="shared" ca="1" si="332"/>
        <v>10</v>
      </c>
      <c r="U1182" s="68">
        <f ca="1">IFERROR(__xludf.DUMMYFUNCTION("""COMPUTED_VALUE"""),44858.6458333333)</f>
        <v>44858.645833333299</v>
      </c>
      <c r="V1182" s="6">
        <f ca="1">IFERROR(__xludf.DUMMYFUNCTION("""COMPUTED_VALUE"""),2236.16)</f>
        <v>2236.16</v>
      </c>
      <c r="Z1182" s="6" t="str">
        <f t="shared" ca="1" si="333"/>
        <v>20215</v>
      </c>
      <c r="AA1182" s="6">
        <f t="shared" ca="1" si="334"/>
        <v>2021</v>
      </c>
      <c r="AB1182" s="6">
        <f t="shared" ca="1" si="335"/>
        <v>5</v>
      </c>
      <c r="AC1182" s="68">
        <f ca="1">IFERROR(__xludf.DUMMYFUNCTION("""COMPUTED_VALUE"""),44327.9986111111)</f>
        <v>44327.998611111099</v>
      </c>
      <c r="AD1182" s="6">
        <f ca="1">IFERROR(__xludf.DUMMYFUNCTION("""COMPUTED_VALUE"""),1118.23)</f>
        <v>1118.23</v>
      </c>
      <c r="AH1182" s="6" t="str">
        <f t="shared" ca="1" si="336"/>
        <v>20213</v>
      </c>
      <c r="AI1182" s="6">
        <f t="shared" ca="1" si="337"/>
        <v>2021</v>
      </c>
      <c r="AJ1182" s="6">
        <f t="shared" ca="1" si="338"/>
        <v>3</v>
      </c>
      <c r="AK1182" s="68">
        <f ca="1">IFERROR(__xludf.DUMMYFUNCTION("""COMPUTED_VALUE"""),44275.9986111111)</f>
        <v>44275.998611111099</v>
      </c>
      <c r="AL1182" s="6">
        <f ca="1">IFERROR(__xludf.DUMMYFUNCTION("""COMPUTED_VALUE"""),58081.93)</f>
        <v>58081.93</v>
      </c>
      <c r="AP1182" s="6" t="str">
        <f t="shared" ca="1" si="339"/>
        <v>20229</v>
      </c>
      <c r="AQ1182" s="6">
        <f t="shared" ca="1" si="340"/>
        <v>2022</v>
      </c>
      <c r="AR1182" s="6">
        <f t="shared" ca="1" si="341"/>
        <v>9</v>
      </c>
      <c r="AS1182" s="68">
        <f ca="1">IFERROR(__xludf.DUMMYFUNCTION("""COMPUTED_VALUE"""),44820.9986111111)</f>
        <v>44820.998611111099</v>
      </c>
      <c r="AT1182" s="6">
        <f ca="1">IFERROR(__xludf.DUMMYFUNCTION("""COMPUTED_VALUE"""),1683.5)</f>
        <v>1683.5</v>
      </c>
    </row>
    <row r="1183" spans="2:46" x14ac:dyDescent="0.35">
      <c r="B1183" s="6" t="str">
        <f t="shared" ca="1" si="324"/>
        <v>20229</v>
      </c>
      <c r="C1183" s="6">
        <f t="shared" ca="1" si="325"/>
        <v>2022</v>
      </c>
      <c r="D1183" s="6">
        <f t="shared" ca="1" si="326"/>
        <v>9</v>
      </c>
      <c r="E1183" s="68">
        <f ca="1">IFERROR(__xludf.DUMMYFUNCTION("""COMPUTED_VALUE"""),44813.6666666666)</f>
        <v>44813.666666666599</v>
      </c>
      <c r="F1183" s="6">
        <f ca="1">IFERROR(__xludf.DUMMYFUNCTION("""COMPUTED_VALUE"""),4067.36)</f>
        <v>4067.36</v>
      </c>
      <c r="J1183" s="6" t="str">
        <f t="shared" ca="1" si="327"/>
        <v>20229</v>
      </c>
      <c r="K1183" s="6">
        <f t="shared" ca="1" si="328"/>
        <v>2022</v>
      </c>
      <c r="L1183" s="6">
        <f t="shared" ca="1" si="329"/>
        <v>9</v>
      </c>
      <c r="M1183" s="68">
        <f ca="1">IFERROR(__xludf.DUMMYFUNCTION("""COMPUTED_VALUE"""),44805.6666666666)</f>
        <v>44805.666666666599</v>
      </c>
      <c r="N1183" s="6">
        <f ca="1">IFERROR(__xludf.DUMMYFUNCTION("""COMPUTED_VALUE"""),11785.13)</f>
        <v>11785.13</v>
      </c>
      <c r="R1183" s="6" t="str">
        <f t="shared" ca="1" si="330"/>
        <v>202210</v>
      </c>
      <c r="S1183" s="6">
        <f t="shared" ca="1" si="331"/>
        <v>2022</v>
      </c>
      <c r="T1183" s="6">
        <f t="shared" ca="1" si="332"/>
        <v>10</v>
      </c>
      <c r="U1183" s="68">
        <f ca="1">IFERROR(__xludf.DUMMYFUNCTION("""COMPUTED_VALUE"""),44859.6458333333)</f>
        <v>44859.645833333299</v>
      </c>
      <c r="V1183" s="6">
        <f ca="1">IFERROR(__xludf.DUMMYFUNCTION("""COMPUTED_VALUE"""),2235.07)</f>
        <v>2235.0700000000002</v>
      </c>
      <c r="Z1183" s="6" t="str">
        <f t="shared" ca="1" si="333"/>
        <v>20215</v>
      </c>
      <c r="AA1183" s="6">
        <f t="shared" ca="1" si="334"/>
        <v>2021</v>
      </c>
      <c r="AB1183" s="6">
        <f t="shared" ca="1" si="335"/>
        <v>5</v>
      </c>
      <c r="AC1183" s="68">
        <f ca="1">IFERROR(__xludf.DUMMYFUNCTION("""COMPUTED_VALUE"""),44328.9986111111)</f>
        <v>44328.998611111099</v>
      </c>
      <c r="AD1183" s="6">
        <f ca="1">IFERROR(__xludf.DUMMYFUNCTION("""COMPUTED_VALUE"""),1131.6)</f>
        <v>1131.5999999999999</v>
      </c>
      <c r="AH1183" s="6" t="str">
        <f t="shared" ca="1" si="336"/>
        <v>20213</v>
      </c>
      <c r="AI1183" s="6">
        <f t="shared" ca="1" si="337"/>
        <v>2021</v>
      </c>
      <c r="AJ1183" s="6">
        <f t="shared" ca="1" si="338"/>
        <v>3</v>
      </c>
      <c r="AK1183" s="68">
        <f ca="1">IFERROR(__xludf.DUMMYFUNCTION("""COMPUTED_VALUE"""),44276.9986111111)</f>
        <v>44276.998611111099</v>
      </c>
      <c r="AL1183" s="6">
        <f ca="1">IFERROR(__xludf.DUMMYFUNCTION("""COMPUTED_VALUE"""),57357.46)</f>
        <v>57357.46</v>
      </c>
      <c r="AP1183" s="6" t="str">
        <f t="shared" ca="1" si="339"/>
        <v>20229</v>
      </c>
      <c r="AQ1183" s="6">
        <f t="shared" ca="1" si="340"/>
        <v>2022</v>
      </c>
      <c r="AR1183" s="6">
        <f t="shared" ca="1" si="341"/>
        <v>9</v>
      </c>
      <c r="AS1183" s="68">
        <f ca="1">IFERROR(__xludf.DUMMYFUNCTION("""COMPUTED_VALUE"""),44823.9986111111)</f>
        <v>44823.998611111099</v>
      </c>
      <c r="AT1183" s="6">
        <f ca="1">IFERROR(__xludf.DUMMYFUNCTION("""COMPUTED_VALUE"""),1678.2)</f>
        <v>1678.2</v>
      </c>
    </row>
    <row r="1184" spans="2:46" x14ac:dyDescent="0.35">
      <c r="B1184" s="6" t="str">
        <f t="shared" ca="1" si="324"/>
        <v>20229</v>
      </c>
      <c r="C1184" s="6">
        <f t="shared" ca="1" si="325"/>
        <v>2022</v>
      </c>
      <c r="D1184" s="6">
        <f t="shared" ca="1" si="326"/>
        <v>9</v>
      </c>
      <c r="E1184" s="68">
        <f ca="1">IFERROR(__xludf.DUMMYFUNCTION("""COMPUTED_VALUE"""),44816.6666666666)</f>
        <v>44816.666666666599</v>
      </c>
      <c r="F1184" s="6">
        <f ca="1">IFERROR(__xludf.DUMMYFUNCTION("""COMPUTED_VALUE"""),4110.41)</f>
        <v>4110.41</v>
      </c>
      <c r="J1184" s="6" t="str">
        <f t="shared" ca="1" si="327"/>
        <v>20229</v>
      </c>
      <c r="K1184" s="6">
        <f t="shared" ca="1" si="328"/>
        <v>2022</v>
      </c>
      <c r="L1184" s="6">
        <f t="shared" ca="1" si="329"/>
        <v>9</v>
      </c>
      <c r="M1184" s="68">
        <f ca="1">IFERROR(__xludf.DUMMYFUNCTION("""COMPUTED_VALUE"""),44806.6666666666)</f>
        <v>44806.666666666599</v>
      </c>
      <c r="N1184" s="6">
        <f ca="1">IFERROR(__xludf.DUMMYFUNCTION("""COMPUTED_VALUE"""),11630.86)</f>
        <v>11630.86</v>
      </c>
      <c r="R1184" s="6" t="str">
        <f t="shared" ca="1" si="330"/>
        <v>202210</v>
      </c>
      <c r="S1184" s="6">
        <f t="shared" ca="1" si="331"/>
        <v>2022</v>
      </c>
      <c r="T1184" s="6">
        <f t="shared" ca="1" si="332"/>
        <v>10</v>
      </c>
      <c r="U1184" s="68">
        <f ca="1">IFERROR(__xludf.DUMMYFUNCTION("""COMPUTED_VALUE"""),44860.6458333333)</f>
        <v>44860.645833333299</v>
      </c>
      <c r="V1184" s="6">
        <f ca="1">IFERROR(__xludf.DUMMYFUNCTION("""COMPUTED_VALUE"""),2249.56)</f>
        <v>2249.56</v>
      </c>
      <c r="Z1184" s="6" t="str">
        <f t="shared" ca="1" si="333"/>
        <v>20215</v>
      </c>
      <c r="AA1184" s="6">
        <f t="shared" ca="1" si="334"/>
        <v>2021</v>
      </c>
      <c r="AB1184" s="6">
        <f t="shared" ca="1" si="335"/>
        <v>5</v>
      </c>
      <c r="AC1184" s="68">
        <f ca="1">IFERROR(__xludf.DUMMYFUNCTION("""COMPUTED_VALUE"""),44329.9986111111)</f>
        <v>44329.998611111099</v>
      </c>
      <c r="AD1184" s="6">
        <f ca="1">IFERROR(__xludf.DUMMYFUNCTION("""COMPUTED_VALUE"""),1125.7)</f>
        <v>1125.7</v>
      </c>
      <c r="AH1184" s="6" t="str">
        <f t="shared" ca="1" si="336"/>
        <v>20213</v>
      </c>
      <c r="AI1184" s="6">
        <f t="shared" ca="1" si="337"/>
        <v>2021</v>
      </c>
      <c r="AJ1184" s="6">
        <f t="shared" ca="1" si="338"/>
        <v>3</v>
      </c>
      <c r="AK1184" s="68">
        <f ca="1">IFERROR(__xludf.DUMMYFUNCTION("""COMPUTED_VALUE"""),44277.9986111111)</f>
        <v>44277.998611111099</v>
      </c>
      <c r="AL1184" s="6">
        <f ca="1">IFERROR(__xludf.DUMMYFUNCTION("""COMPUTED_VALUE"""),54137.09)</f>
        <v>54137.09</v>
      </c>
      <c r="AP1184" s="6" t="str">
        <f t="shared" ca="1" si="339"/>
        <v>20229</v>
      </c>
      <c r="AQ1184" s="6">
        <f t="shared" ca="1" si="340"/>
        <v>2022</v>
      </c>
      <c r="AR1184" s="6">
        <f t="shared" ca="1" si="341"/>
        <v>9</v>
      </c>
      <c r="AS1184" s="68">
        <f ca="1">IFERROR(__xludf.DUMMYFUNCTION("""COMPUTED_VALUE"""),44824.9986111111)</f>
        <v>44824.998611111099</v>
      </c>
      <c r="AT1184" s="6">
        <f ca="1">IFERROR(__xludf.DUMMYFUNCTION("""COMPUTED_VALUE"""),1671.1)</f>
        <v>1671.1</v>
      </c>
    </row>
    <row r="1185" spans="2:46" x14ac:dyDescent="0.35">
      <c r="B1185" s="6" t="str">
        <f t="shared" ca="1" si="324"/>
        <v>20229</v>
      </c>
      <c r="C1185" s="6">
        <f t="shared" ca="1" si="325"/>
        <v>2022</v>
      </c>
      <c r="D1185" s="6">
        <f t="shared" ca="1" si="326"/>
        <v>9</v>
      </c>
      <c r="E1185" s="68">
        <f ca="1">IFERROR(__xludf.DUMMYFUNCTION("""COMPUTED_VALUE"""),44817.6666666666)</f>
        <v>44817.666666666599</v>
      </c>
      <c r="F1185" s="6">
        <f ca="1">IFERROR(__xludf.DUMMYFUNCTION("""COMPUTED_VALUE"""),3932.69)</f>
        <v>3932.69</v>
      </c>
      <c r="J1185" s="6" t="str">
        <f t="shared" ca="1" si="327"/>
        <v>20229</v>
      </c>
      <c r="K1185" s="6">
        <f t="shared" ca="1" si="328"/>
        <v>2022</v>
      </c>
      <c r="L1185" s="6">
        <f t="shared" ca="1" si="329"/>
        <v>9</v>
      </c>
      <c r="M1185" s="68">
        <f ca="1">IFERROR(__xludf.DUMMYFUNCTION("""COMPUTED_VALUE"""),44810.6666666666)</f>
        <v>44810.666666666599</v>
      </c>
      <c r="N1185" s="6">
        <f ca="1">IFERROR(__xludf.DUMMYFUNCTION("""COMPUTED_VALUE"""),11544.91)</f>
        <v>11544.91</v>
      </c>
      <c r="R1185" s="6" t="str">
        <f t="shared" ca="1" si="330"/>
        <v>202210</v>
      </c>
      <c r="S1185" s="6">
        <f t="shared" ca="1" si="331"/>
        <v>2022</v>
      </c>
      <c r="T1185" s="6">
        <f t="shared" ca="1" si="332"/>
        <v>10</v>
      </c>
      <c r="U1185" s="68">
        <f ca="1">IFERROR(__xludf.DUMMYFUNCTION("""COMPUTED_VALUE"""),44861.6458333333)</f>
        <v>44861.645833333299</v>
      </c>
      <c r="V1185" s="6">
        <f ca="1">IFERROR(__xludf.DUMMYFUNCTION("""COMPUTED_VALUE"""),2288.78)</f>
        <v>2288.7800000000002</v>
      </c>
      <c r="Z1185" s="6" t="str">
        <f t="shared" ca="1" si="333"/>
        <v>20215</v>
      </c>
      <c r="AA1185" s="6">
        <f t="shared" ca="1" si="334"/>
        <v>2021</v>
      </c>
      <c r="AB1185" s="6">
        <f t="shared" ca="1" si="335"/>
        <v>5</v>
      </c>
      <c r="AC1185" s="68">
        <f ca="1">IFERROR(__xludf.DUMMYFUNCTION("""COMPUTED_VALUE"""),44330.9986111111)</f>
        <v>44330.998611111099</v>
      </c>
      <c r="AD1185" s="6">
        <f ca="1">IFERROR(__xludf.DUMMYFUNCTION("""COMPUTED_VALUE"""),1124.46)</f>
        <v>1124.46</v>
      </c>
      <c r="AH1185" s="6" t="str">
        <f t="shared" ca="1" si="336"/>
        <v>20213</v>
      </c>
      <c r="AI1185" s="6">
        <f t="shared" ca="1" si="337"/>
        <v>2021</v>
      </c>
      <c r="AJ1185" s="6">
        <f t="shared" ca="1" si="338"/>
        <v>3</v>
      </c>
      <c r="AK1185" s="68">
        <f ca="1">IFERROR(__xludf.DUMMYFUNCTION("""COMPUTED_VALUE"""),44278.9986111111)</f>
        <v>44278.998611111099</v>
      </c>
      <c r="AL1185" s="6">
        <f ca="1">IFERROR(__xludf.DUMMYFUNCTION("""COMPUTED_VALUE"""),54407.55)</f>
        <v>54407.55</v>
      </c>
      <c r="AP1185" s="6" t="str">
        <f t="shared" ca="1" si="339"/>
        <v>20229</v>
      </c>
      <c r="AQ1185" s="6">
        <f t="shared" ca="1" si="340"/>
        <v>2022</v>
      </c>
      <c r="AR1185" s="6">
        <f t="shared" ca="1" si="341"/>
        <v>9</v>
      </c>
      <c r="AS1185" s="68">
        <f ca="1">IFERROR(__xludf.DUMMYFUNCTION("""COMPUTED_VALUE"""),44825.9986111111)</f>
        <v>44825.998611111099</v>
      </c>
      <c r="AT1185" s="6">
        <f ca="1">IFERROR(__xludf.DUMMYFUNCTION("""COMPUTED_VALUE"""),1675.7)</f>
        <v>1675.7</v>
      </c>
    </row>
    <row r="1186" spans="2:46" x14ac:dyDescent="0.35">
      <c r="B1186" s="6" t="str">
        <f t="shared" ca="1" si="324"/>
        <v>20229</v>
      </c>
      <c r="C1186" s="6">
        <f t="shared" ca="1" si="325"/>
        <v>2022</v>
      </c>
      <c r="D1186" s="6">
        <f t="shared" ca="1" si="326"/>
        <v>9</v>
      </c>
      <c r="E1186" s="68">
        <f ca="1">IFERROR(__xludf.DUMMYFUNCTION("""COMPUTED_VALUE"""),44818.6666666666)</f>
        <v>44818.666666666599</v>
      </c>
      <c r="F1186" s="6">
        <f ca="1">IFERROR(__xludf.DUMMYFUNCTION("""COMPUTED_VALUE"""),3946.01)</f>
        <v>3946.01</v>
      </c>
      <c r="J1186" s="6" t="str">
        <f t="shared" ca="1" si="327"/>
        <v>20229</v>
      </c>
      <c r="K1186" s="6">
        <f t="shared" ca="1" si="328"/>
        <v>2022</v>
      </c>
      <c r="L1186" s="6">
        <f t="shared" ca="1" si="329"/>
        <v>9</v>
      </c>
      <c r="M1186" s="68">
        <f ca="1">IFERROR(__xludf.DUMMYFUNCTION("""COMPUTED_VALUE"""),44811.6666666666)</f>
        <v>44811.666666666599</v>
      </c>
      <c r="N1186" s="6">
        <f ca="1">IFERROR(__xludf.DUMMYFUNCTION("""COMPUTED_VALUE"""),11791.9)</f>
        <v>11791.9</v>
      </c>
      <c r="R1186" s="6" t="str">
        <f t="shared" ca="1" si="330"/>
        <v>202210</v>
      </c>
      <c r="S1186" s="6">
        <f t="shared" ca="1" si="331"/>
        <v>2022</v>
      </c>
      <c r="T1186" s="6">
        <f t="shared" ca="1" si="332"/>
        <v>10</v>
      </c>
      <c r="U1186" s="68">
        <f ca="1">IFERROR(__xludf.DUMMYFUNCTION("""COMPUTED_VALUE"""),44862.6458333333)</f>
        <v>44862.645833333299</v>
      </c>
      <c r="V1186" s="6">
        <f ca="1">IFERROR(__xludf.DUMMYFUNCTION("""COMPUTED_VALUE"""),2268.4)</f>
        <v>2268.4</v>
      </c>
      <c r="Z1186" s="6" t="str">
        <f t="shared" ca="1" si="333"/>
        <v>20215</v>
      </c>
      <c r="AA1186" s="6">
        <f t="shared" ca="1" si="334"/>
        <v>2021</v>
      </c>
      <c r="AB1186" s="6">
        <f t="shared" ca="1" si="335"/>
        <v>5</v>
      </c>
      <c r="AC1186" s="68">
        <f ca="1">IFERROR(__xludf.DUMMYFUNCTION("""COMPUTED_VALUE"""),44331.9986111111)</f>
        <v>44331.998611111099</v>
      </c>
      <c r="AD1186" s="6">
        <f ca="1">IFERROR(__xludf.DUMMYFUNCTION("""COMPUTED_VALUE"""),1124.46)</f>
        <v>1124.46</v>
      </c>
      <c r="AH1186" s="6" t="str">
        <f t="shared" ca="1" si="336"/>
        <v>20213</v>
      </c>
      <c r="AI1186" s="6">
        <f t="shared" ca="1" si="337"/>
        <v>2021</v>
      </c>
      <c r="AJ1186" s="6">
        <f t="shared" ca="1" si="338"/>
        <v>3</v>
      </c>
      <c r="AK1186" s="68">
        <f ca="1">IFERROR(__xludf.DUMMYFUNCTION("""COMPUTED_VALUE"""),44279.9986111111)</f>
        <v>44279.998611111099</v>
      </c>
      <c r="AL1186" s="6">
        <f ca="1">IFERROR(__xludf.DUMMYFUNCTION("""COMPUTED_VALUE"""),52335.62)</f>
        <v>52335.62</v>
      </c>
      <c r="AP1186" s="6" t="str">
        <f t="shared" ca="1" si="339"/>
        <v>20229</v>
      </c>
      <c r="AQ1186" s="6">
        <f t="shared" ca="1" si="340"/>
        <v>2022</v>
      </c>
      <c r="AR1186" s="6">
        <f t="shared" ca="1" si="341"/>
        <v>9</v>
      </c>
      <c r="AS1186" s="68">
        <f ca="1">IFERROR(__xludf.DUMMYFUNCTION("""COMPUTED_VALUE"""),44826.9986111111)</f>
        <v>44826.998611111099</v>
      </c>
      <c r="AT1186" s="6">
        <f ca="1">IFERROR(__xludf.DUMMYFUNCTION("""COMPUTED_VALUE"""),1681.1)</f>
        <v>1681.1</v>
      </c>
    </row>
    <row r="1187" spans="2:46" x14ac:dyDescent="0.35">
      <c r="B1187" s="6" t="str">
        <f t="shared" ca="1" si="324"/>
        <v>20229</v>
      </c>
      <c r="C1187" s="6">
        <f t="shared" ca="1" si="325"/>
        <v>2022</v>
      </c>
      <c r="D1187" s="6">
        <f t="shared" ca="1" si="326"/>
        <v>9</v>
      </c>
      <c r="E1187" s="68">
        <f ca="1">IFERROR(__xludf.DUMMYFUNCTION("""COMPUTED_VALUE"""),44819.6666666666)</f>
        <v>44819.666666666599</v>
      </c>
      <c r="F1187" s="6">
        <f ca="1">IFERROR(__xludf.DUMMYFUNCTION("""COMPUTED_VALUE"""),3901.35)</f>
        <v>3901.35</v>
      </c>
      <c r="J1187" s="6" t="str">
        <f t="shared" ca="1" si="327"/>
        <v>20229</v>
      </c>
      <c r="K1187" s="6">
        <f t="shared" ca="1" si="328"/>
        <v>2022</v>
      </c>
      <c r="L1187" s="6">
        <f t="shared" ca="1" si="329"/>
        <v>9</v>
      </c>
      <c r="M1187" s="68">
        <f ca="1">IFERROR(__xludf.DUMMYFUNCTION("""COMPUTED_VALUE"""),44812.6666666666)</f>
        <v>44812.666666666599</v>
      </c>
      <c r="N1187" s="6">
        <f ca="1">IFERROR(__xludf.DUMMYFUNCTION("""COMPUTED_VALUE"""),11862.13)</f>
        <v>11862.13</v>
      </c>
      <c r="R1187" s="6" t="str">
        <f t="shared" ca="1" si="330"/>
        <v>202210</v>
      </c>
      <c r="S1187" s="6">
        <f t="shared" ca="1" si="331"/>
        <v>2022</v>
      </c>
      <c r="T1187" s="6">
        <f t="shared" ca="1" si="332"/>
        <v>10</v>
      </c>
      <c r="U1187" s="68">
        <f ca="1">IFERROR(__xludf.DUMMYFUNCTION("""COMPUTED_VALUE"""),44865.6458333333)</f>
        <v>44865.645833333299</v>
      </c>
      <c r="V1187" s="6">
        <f ca="1">IFERROR(__xludf.DUMMYFUNCTION("""COMPUTED_VALUE"""),2293.61)</f>
        <v>2293.61</v>
      </c>
      <c r="Z1187" s="6" t="str">
        <f t="shared" ca="1" si="333"/>
        <v>20215</v>
      </c>
      <c r="AA1187" s="6">
        <f t="shared" ca="1" si="334"/>
        <v>2021</v>
      </c>
      <c r="AB1187" s="6">
        <f t="shared" ca="1" si="335"/>
        <v>5</v>
      </c>
      <c r="AC1187" s="68">
        <f ca="1">IFERROR(__xludf.DUMMYFUNCTION("""COMPUTED_VALUE"""),44332.9986111111)</f>
        <v>44332.998611111099</v>
      </c>
      <c r="AD1187" s="6">
        <f ca="1">IFERROR(__xludf.DUMMYFUNCTION("""COMPUTED_VALUE"""),1125.53)</f>
        <v>1125.53</v>
      </c>
      <c r="AH1187" s="6" t="str">
        <f t="shared" ca="1" si="336"/>
        <v>20213</v>
      </c>
      <c r="AI1187" s="6">
        <f t="shared" ca="1" si="337"/>
        <v>2021</v>
      </c>
      <c r="AJ1187" s="6">
        <f t="shared" ca="1" si="338"/>
        <v>3</v>
      </c>
      <c r="AK1187" s="68">
        <f ca="1">IFERROR(__xludf.DUMMYFUNCTION("""COMPUTED_VALUE"""),44280.9986111111)</f>
        <v>44280.998611111099</v>
      </c>
      <c r="AL1187" s="6">
        <f ca="1">IFERROR(__xludf.DUMMYFUNCTION("""COMPUTED_VALUE"""),51342.9)</f>
        <v>51342.9</v>
      </c>
      <c r="AP1187" s="6" t="str">
        <f t="shared" ca="1" si="339"/>
        <v>20229</v>
      </c>
      <c r="AQ1187" s="6">
        <f t="shared" ca="1" si="340"/>
        <v>2022</v>
      </c>
      <c r="AR1187" s="6">
        <f t="shared" ca="1" si="341"/>
        <v>9</v>
      </c>
      <c r="AS1187" s="68">
        <f ca="1">IFERROR(__xludf.DUMMYFUNCTION("""COMPUTED_VALUE"""),44827.9986111111)</f>
        <v>44827.998611111099</v>
      </c>
      <c r="AT1187" s="6">
        <f ca="1">IFERROR(__xludf.DUMMYFUNCTION("""COMPUTED_VALUE"""),1655.6)</f>
        <v>1655.6</v>
      </c>
    </row>
    <row r="1188" spans="2:46" x14ac:dyDescent="0.35">
      <c r="B1188" s="6" t="str">
        <f t="shared" ca="1" si="324"/>
        <v>20229</v>
      </c>
      <c r="C1188" s="6">
        <f t="shared" ca="1" si="325"/>
        <v>2022</v>
      </c>
      <c r="D1188" s="6">
        <f t="shared" ca="1" si="326"/>
        <v>9</v>
      </c>
      <c r="E1188" s="68">
        <f ca="1">IFERROR(__xludf.DUMMYFUNCTION("""COMPUTED_VALUE"""),44820.6666666666)</f>
        <v>44820.666666666599</v>
      </c>
      <c r="F1188" s="6">
        <f ca="1">IFERROR(__xludf.DUMMYFUNCTION("""COMPUTED_VALUE"""),3873.33)</f>
        <v>3873.33</v>
      </c>
      <c r="J1188" s="6" t="str">
        <f t="shared" ca="1" si="327"/>
        <v>20229</v>
      </c>
      <c r="K1188" s="6">
        <f t="shared" ca="1" si="328"/>
        <v>2022</v>
      </c>
      <c r="L1188" s="6">
        <f t="shared" ca="1" si="329"/>
        <v>9</v>
      </c>
      <c r="M1188" s="68">
        <f ca="1">IFERROR(__xludf.DUMMYFUNCTION("""COMPUTED_VALUE"""),44813.6666666666)</f>
        <v>44813.666666666599</v>
      </c>
      <c r="N1188" s="6">
        <f ca="1">IFERROR(__xludf.DUMMYFUNCTION("""COMPUTED_VALUE"""),12112.31)</f>
        <v>12112.31</v>
      </c>
      <c r="R1188" s="6" t="str">
        <f t="shared" ca="1" si="330"/>
        <v>202211</v>
      </c>
      <c r="S1188" s="6">
        <f t="shared" ca="1" si="331"/>
        <v>2022</v>
      </c>
      <c r="T1188" s="6">
        <f t="shared" ca="1" si="332"/>
        <v>11</v>
      </c>
      <c r="U1188" s="68">
        <f ca="1">IFERROR(__xludf.DUMMYFUNCTION("""COMPUTED_VALUE"""),44866.6458333333)</f>
        <v>44866.645833333299</v>
      </c>
      <c r="V1188" s="6">
        <f ca="1">IFERROR(__xludf.DUMMYFUNCTION("""COMPUTED_VALUE"""),2335.22)</f>
        <v>2335.2199999999998</v>
      </c>
      <c r="Z1188" s="6" t="str">
        <f t="shared" ca="1" si="333"/>
        <v>20215</v>
      </c>
      <c r="AA1188" s="6">
        <f t="shared" ca="1" si="334"/>
        <v>2021</v>
      </c>
      <c r="AB1188" s="6">
        <f t="shared" ca="1" si="335"/>
        <v>5</v>
      </c>
      <c r="AC1188" s="68">
        <f ca="1">IFERROR(__xludf.DUMMYFUNCTION("""COMPUTED_VALUE"""),44333.9986111111)</f>
        <v>44333.998611111099</v>
      </c>
      <c r="AD1188" s="6">
        <f ca="1">IFERROR(__xludf.DUMMYFUNCTION("""COMPUTED_VALUE"""),1135.51)</f>
        <v>1135.51</v>
      </c>
      <c r="AH1188" s="6" t="str">
        <f t="shared" ca="1" si="336"/>
        <v>20213</v>
      </c>
      <c r="AI1188" s="6">
        <f t="shared" ca="1" si="337"/>
        <v>2021</v>
      </c>
      <c r="AJ1188" s="6">
        <f t="shared" ca="1" si="338"/>
        <v>3</v>
      </c>
      <c r="AK1188" s="68">
        <f ca="1">IFERROR(__xludf.DUMMYFUNCTION("""COMPUTED_VALUE"""),44281.9986111111)</f>
        <v>44281.998611111099</v>
      </c>
      <c r="AL1188" s="6">
        <f ca="1">IFERROR(__xludf.DUMMYFUNCTION("""COMPUTED_VALUE"""),55041.62)</f>
        <v>55041.62</v>
      </c>
      <c r="AP1188" s="6" t="str">
        <f t="shared" ca="1" si="339"/>
        <v>20229</v>
      </c>
      <c r="AQ1188" s="6">
        <f t="shared" ca="1" si="340"/>
        <v>2022</v>
      </c>
      <c r="AR1188" s="6">
        <f t="shared" ca="1" si="341"/>
        <v>9</v>
      </c>
      <c r="AS1188" s="68">
        <f ca="1">IFERROR(__xludf.DUMMYFUNCTION("""COMPUTED_VALUE"""),44830.9986111111)</f>
        <v>44830.998611111099</v>
      </c>
      <c r="AT1188" s="6">
        <f ca="1">IFERROR(__xludf.DUMMYFUNCTION("""COMPUTED_VALUE"""),1633.4)</f>
        <v>1633.4</v>
      </c>
    </row>
    <row r="1189" spans="2:46" x14ac:dyDescent="0.35">
      <c r="B1189" s="6" t="str">
        <f t="shared" ca="1" si="324"/>
        <v>20229</v>
      </c>
      <c r="C1189" s="6">
        <f t="shared" ca="1" si="325"/>
        <v>2022</v>
      </c>
      <c r="D1189" s="6">
        <f t="shared" ca="1" si="326"/>
        <v>9</v>
      </c>
      <c r="E1189" s="68">
        <f ca="1">IFERROR(__xludf.DUMMYFUNCTION("""COMPUTED_VALUE"""),44823.6666666666)</f>
        <v>44823.666666666599</v>
      </c>
      <c r="F1189" s="6">
        <f ca="1">IFERROR(__xludf.DUMMYFUNCTION("""COMPUTED_VALUE"""),3899.89)</f>
        <v>3899.89</v>
      </c>
      <c r="J1189" s="6" t="str">
        <f t="shared" ca="1" si="327"/>
        <v>20229</v>
      </c>
      <c r="K1189" s="6">
        <f t="shared" ca="1" si="328"/>
        <v>2022</v>
      </c>
      <c r="L1189" s="6">
        <f t="shared" ca="1" si="329"/>
        <v>9</v>
      </c>
      <c r="M1189" s="68">
        <f ca="1">IFERROR(__xludf.DUMMYFUNCTION("""COMPUTED_VALUE"""),44816.6666666666)</f>
        <v>44816.666666666599</v>
      </c>
      <c r="N1189" s="6">
        <f ca="1">IFERROR(__xludf.DUMMYFUNCTION("""COMPUTED_VALUE"""),12266.41)</f>
        <v>12266.41</v>
      </c>
      <c r="R1189" s="6" t="str">
        <f t="shared" ca="1" si="330"/>
        <v>202211</v>
      </c>
      <c r="S1189" s="6">
        <f t="shared" ca="1" si="331"/>
        <v>2022</v>
      </c>
      <c r="T1189" s="6">
        <f t="shared" ca="1" si="332"/>
        <v>11</v>
      </c>
      <c r="U1189" s="68">
        <f ca="1">IFERROR(__xludf.DUMMYFUNCTION("""COMPUTED_VALUE"""),44867.6458333333)</f>
        <v>44867.645833333299</v>
      </c>
      <c r="V1189" s="6">
        <f ca="1">IFERROR(__xludf.DUMMYFUNCTION("""COMPUTED_VALUE"""),2336.87)</f>
        <v>2336.87</v>
      </c>
      <c r="Z1189" s="6" t="str">
        <f t="shared" ca="1" si="333"/>
        <v>20215</v>
      </c>
      <c r="AA1189" s="6">
        <f t="shared" ca="1" si="334"/>
        <v>2021</v>
      </c>
      <c r="AB1189" s="6">
        <f t="shared" ca="1" si="335"/>
        <v>5</v>
      </c>
      <c r="AC1189" s="68">
        <f ca="1">IFERROR(__xludf.DUMMYFUNCTION("""COMPUTED_VALUE"""),44334.9986111111)</f>
        <v>44334.998611111099</v>
      </c>
      <c r="AD1189" s="6">
        <f ca="1">IFERROR(__xludf.DUMMYFUNCTION("""COMPUTED_VALUE"""),1127.14)</f>
        <v>1127.1400000000001</v>
      </c>
      <c r="AH1189" s="6" t="str">
        <f t="shared" ca="1" si="336"/>
        <v>20213</v>
      </c>
      <c r="AI1189" s="6">
        <f t="shared" ca="1" si="337"/>
        <v>2021</v>
      </c>
      <c r="AJ1189" s="6">
        <f t="shared" ca="1" si="338"/>
        <v>3</v>
      </c>
      <c r="AK1189" s="68">
        <f ca="1">IFERROR(__xludf.DUMMYFUNCTION("""COMPUTED_VALUE"""),44282.9986111111)</f>
        <v>44282.998611111099</v>
      </c>
      <c r="AL1189" s="6">
        <f ca="1">IFERROR(__xludf.DUMMYFUNCTION("""COMPUTED_VALUE"""),55870.88)</f>
        <v>55870.879999999997</v>
      </c>
      <c r="AP1189" s="6" t="str">
        <f t="shared" ca="1" si="339"/>
        <v>20229</v>
      </c>
      <c r="AQ1189" s="6">
        <f t="shared" ca="1" si="340"/>
        <v>2022</v>
      </c>
      <c r="AR1189" s="6">
        <f t="shared" ca="1" si="341"/>
        <v>9</v>
      </c>
      <c r="AS1189" s="68">
        <f ca="1">IFERROR(__xludf.DUMMYFUNCTION("""COMPUTED_VALUE"""),44831.9986111111)</f>
        <v>44831.998611111099</v>
      </c>
      <c r="AT1189" s="6">
        <f ca="1">IFERROR(__xludf.DUMMYFUNCTION("""COMPUTED_VALUE"""),1636.2)</f>
        <v>1636.2</v>
      </c>
    </row>
    <row r="1190" spans="2:46" x14ac:dyDescent="0.35">
      <c r="B1190" s="6" t="str">
        <f t="shared" ca="1" si="324"/>
        <v>20229</v>
      </c>
      <c r="C1190" s="6">
        <f t="shared" ca="1" si="325"/>
        <v>2022</v>
      </c>
      <c r="D1190" s="6">
        <f t="shared" ca="1" si="326"/>
        <v>9</v>
      </c>
      <c r="E1190" s="68">
        <f ca="1">IFERROR(__xludf.DUMMYFUNCTION("""COMPUTED_VALUE"""),44824.6666666666)</f>
        <v>44824.666666666599</v>
      </c>
      <c r="F1190" s="6">
        <f ca="1">IFERROR(__xludf.DUMMYFUNCTION("""COMPUTED_VALUE"""),3855.93)</f>
        <v>3855.93</v>
      </c>
      <c r="J1190" s="6" t="str">
        <f t="shared" ca="1" si="327"/>
        <v>20229</v>
      </c>
      <c r="K1190" s="6">
        <f t="shared" ca="1" si="328"/>
        <v>2022</v>
      </c>
      <c r="L1190" s="6">
        <f t="shared" ca="1" si="329"/>
        <v>9</v>
      </c>
      <c r="M1190" s="68">
        <f ca="1">IFERROR(__xludf.DUMMYFUNCTION("""COMPUTED_VALUE"""),44817.6666666666)</f>
        <v>44817.666666666599</v>
      </c>
      <c r="N1190" s="6">
        <f ca="1">IFERROR(__xludf.DUMMYFUNCTION("""COMPUTED_VALUE"""),11633.57)</f>
        <v>11633.57</v>
      </c>
      <c r="R1190" s="6" t="str">
        <f t="shared" ca="1" si="330"/>
        <v>202211</v>
      </c>
      <c r="S1190" s="6">
        <f t="shared" ca="1" si="331"/>
        <v>2022</v>
      </c>
      <c r="T1190" s="6">
        <f t="shared" ca="1" si="332"/>
        <v>11</v>
      </c>
      <c r="U1190" s="68">
        <f ca="1">IFERROR(__xludf.DUMMYFUNCTION("""COMPUTED_VALUE"""),44868.6458333333)</f>
        <v>44868.645833333299</v>
      </c>
      <c r="V1190" s="6">
        <f ca="1">IFERROR(__xludf.DUMMYFUNCTION("""COMPUTED_VALUE"""),2329.17)</f>
        <v>2329.17</v>
      </c>
      <c r="Z1190" s="6" t="str">
        <f t="shared" ca="1" si="333"/>
        <v>20215</v>
      </c>
      <c r="AA1190" s="6">
        <f t="shared" ca="1" si="334"/>
        <v>2021</v>
      </c>
      <c r="AB1190" s="6">
        <f t="shared" ca="1" si="335"/>
        <v>5</v>
      </c>
      <c r="AC1190" s="68">
        <f ca="1">IFERROR(__xludf.DUMMYFUNCTION("""COMPUTED_VALUE"""),44335.9986111111)</f>
        <v>44335.998611111099</v>
      </c>
      <c r="AD1190" s="6">
        <f ca="1">IFERROR(__xludf.DUMMYFUNCTION("""COMPUTED_VALUE"""),1130.37)</f>
        <v>1130.3699999999999</v>
      </c>
      <c r="AH1190" s="6" t="str">
        <f t="shared" ca="1" si="336"/>
        <v>20213</v>
      </c>
      <c r="AI1190" s="6">
        <f t="shared" ca="1" si="337"/>
        <v>2021</v>
      </c>
      <c r="AJ1190" s="6">
        <f t="shared" ca="1" si="338"/>
        <v>3</v>
      </c>
      <c r="AK1190" s="68">
        <f ca="1">IFERROR(__xludf.DUMMYFUNCTION("""COMPUTED_VALUE"""),44283.9986111111)</f>
        <v>44283.998611111099</v>
      </c>
      <c r="AL1190" s="6">
        <f ca="1">IFERROR(__xludf.DUMMYFUNCTION("""COMPUTED_VALUE"""),55774.09)</f>
        <v>55774.09</v>
      </c>
      <c r="AP1190" s="6" t="str">
        <f t="shared" ca="1" si="339"/>
        <v>20229</v>
      </c>
      <c r="AQ1190" s="6">
        <f t="shared" ca="1" si="340"/>
        <v>2022</v>
      </c>
      <c r="AR1190" s="6">
        <f t="shared" ca="1" si="341"/>
        <v>9</v>
      </c>
      <c r="AS1190" s="68">
        <f ca="1">IFERROR(__xludf.DUMMYFUNCTION("""COMPUTED_VALUE"""),44832.9986111111)</f>
        <v>44832.998611111099</v>
      </c>
      <c r="AT1190" s="6">
        <f ca="1">IFERROR(__xludf.DUMMYFUNCTION("""COMPUTED_VALUE"""),1670)</f>
        <v>1670</v>
      </c>
    </row>
    <row r="1191" spans="2:46" x14ac:dyDescent="0.35">
      <c r="B1191" s="6" t="str">
        <f t="shared" ca="1" si="324"/>
        <v>20229</v>
      </c>
      <c r="C1191" s="6">
        <f t="shared" ca="1" si="325"/>
        <v>2022</v>
      </c>
      <c r="D1191" s="6">
        <f t="shared" ca="1" si="326"/>
        <v>9</v>
      </c>
      <c r="E1191" s="68">
        <f ca="1">IFERROR(__xludf.DUMMYFUNCTION("""COMPUTED_VALUE"""),44825.6666666666)</f>
        <v>44825.666666666599</v>
      </c>
      <c r="F1191" s="6">
        <f ca="1">IFERROR(__xludf.DUMMYFUNCTION("""COMPUTED_VALUE"""),3789.93)</f>
        <v>3789.93</v>
      </c>
      <c r="J1191" s="6" t="str">
        <f t="shared" ca="1" si="327"/>
        <v>20229</v>
      </c>
      <c r="K1191" s="6">
        <f t="shared" ca="1" si="328"/>
        <v>2022</v>
      </c>
      <c r="L1191" s="6">
        <f t="shared" ca="1" si="329"/>
        <v>9</v>
      </c>
      <c r="M1191" s="68">
        <f ca="1">IFERROR(__xludf.DUMMYFUNCTION("""COMPUTED_VALUE"""),44818.6666666666)</f>
        <v>44818.666666666599</v>
      </c>
      <c r="N1191" s="6">
        <f ca="1">IFERROR(__xludf.DUMMYFUNCTION("""COMPUTED_VALUE"""),11719.68)</f>
        <v>11719.68</v>
      </c>
      <c r="R1191" s="6" t="str">
        <f t="shared" ca="1" si="330"/>
        <v>202211</v>
      </c>
      <c r="S1191" s="6">
        <f t="shared" ca="1" si="331"/>
        <v>2022</v>
      </c>
      <c r="T1191" s="6">
        <f t="shared" ca="1" si="332"/>
        <v>11</v>
      </c>
      <c r="U1191" s="68">
        <f ca="1">IFERROR(__xludf.DUMMYFUNCTION("""COMPUTED_VALUE"""),44869.6458333333)</f>
        <v>44869.645833333299</v>
      </c>
      <c r="V1191" s="6">
        <f ca="1">IFERROR(__xludf.DUMMYFUNCTION("""COMPUTED_VALUE"""),2348.43)</f>
        <v>2348.4299999999998</v>
      </c>
      <c r="Z1191" s="6" t="str">
        <f t="shared" ca="1" si="333"/>
        <v>20215</v>
      </c>
      <c r="AA1191" s="6">
        <f t="shared" ca="1" si="334"/>
        <v>2021</v>
      </c>
      <c r="AB1191" s="6">
        <f t="shared" ca="1" si="335"/>
        <v>5</v>
      </c>
      <c r="AC1191" s="68">
        <f ca="1">IFERROR(__xludf.DUMMYFUNCTION("""COMPUTED_VALUE"""),44336.9986111111)</f>
        <v>44336.998611111099</v>
      </c>
      <c r="AD1191" s="6">
        <f ca="1">IFERROR(__xludf.DUMMYFUNCTION("""COMPUTED_VALUE"""),1127.05)</f>
        <v>1127.05</v>
      </c>
      <c r="AH1191" s="6" t="str">
        <f t="shared" ca="1" si="336"/>
        <v>20213</v>
      </c>
      <c r="AI1191" s="6">
        <f t="shared" ca="1" si="337"/>
        <v>2021</v>
      </c>
      <c r="AJ1191" s="6">
        <f t="shared" ca="1" si="338"/>
        <v>3</v>
      </c>
      <c r="AK1191" s="68">
        <f ca="1">IFERROR(__xludf.DUMMYFUNCTION("""COMPUTED_VALUE"""),44284.9986111111)</f>
        <v>44284.998611111099</v>
      </c>
      <c r="AL1191" s="6">
        <f ca="1">IFERROR(__xludf.DUMMYFUNCTION("""COMPUTED_VALUE"""),57611.63)</f>
        <v>57611.63</v>
      </c>
      <c r="AP1191" s="6" t="str">
        <f t="shared" ca="1" si="339"/>
        <v>20229</v>
      </c>
      <c r="AQ1191" s="6">
        <f t="shared" ca="1" si="340"/>
        <v>2022</v>
      </c>
      <c r="AR1191" s="6">
        <f t="shared" ca="1" si="341"/>
        <v>9</v>
      </c>
      <c r="AS1191" s="68">
        <f ca="1">IFERROR(__xludf.DUMMYFUNCTION("""COMPUTED_VALUE"""),44833.9986111111)</f>
        <v>44833.998611111099</v>
      </c>
      <c r="AT1191" s="6">
        <f ca="1">IFERROR(__xludf.DUMMYFUNCTION("""COMPUTED_VALUE"""),1668.6)</f>
        <v>1668.6</v>
      </c>
    </row>
    <row r="1192" spans="2:46" x14ac:dyDescent="0.35">
      <c r="B1192" s="6" t="str">
        <f t="shared" ca="1" si="324"/>
        <v>20229</v>
      </c>
      <c r="C1192" s="6">
        <f t="shared" ca="1" si="325"/>
        <v>2022</v>
      </c>
      <c r="D1192" s="6">
        <f t="shared" ca="1" si="326"/>
        <v>9</v>
      </c>
      <c r="E1192" s="68">
        <f ca="1">IFERROR(__xludf.DUMMYFUNCTION("""COMPUTED_VALUE"""),44826.6666666666)</f>
        <v>44826.666666666599</v>
      </c>
      <c r="F1192" s="6">
        <f ca="1">IFERROR(__xludf.DUMMYFUNCTION("""COMPUTED_VALUE"""),3757.99)</f>
        <v>3757.99</v>
      </c>
      <c r="J1192" s="6" t="str">
        <f t="shared" ca="1" si="327"/>
        <v>20229</v>
      </c>
      <c r="K1192" s="6">
        <f t="shared" ca="1" si="328"/>
        <v>2022</v>
      </c>
      <c r="L1192" s="6">
        <f t="shared" ca="1" si="329"/>
        <v>9</v>
      </c>
      <c r="M1192" s="68">
        <f ca="1">IFERROR(__xludf.DUMMYFUNCTION("""COMPUTED_VALUE"""),44819.6666666666)</f>
        <v>44819.666666666599</v>
      </c>
      <c r="N1192" s="6">
        <f ca="1">IFERROR(__xludf.DUMMYFUNCTION("""COMPUTED_VALUE"""),11552.36)</f>
        <v>11552.36</v>
      </c>
      <c r="R1192" s="6" t="str">
        <f t="shared" ca="1" si="330"/>
        <v>202211</v>
      </c>
      <c r="S1192" s="6">
        <f t="shared" ca="1" si="331"/>
        <v>2022</v>
      </c>
      <c r="T1192" s="6">
        <f t="shared" ca="1" si="332"/>
        <v>11</v>
      </c>
      <c r="U1192" s="68">
        <f ca="1">IFERROR(__xludf.DUMMYFUNCTION("""COMPUTED_VALUE"""),44872.6458333333)</f>
        <v>44872.645833333299</v>
      </c>
      <c r="V1192" s="6">
        <f ca="1">IFERROR(__xludf.DUMMYFUNCTION("""COMPUTED_VALUE"""),2371.79)</f>
        <v>2371.79</v>
      </c>
      <c r="Z1192" s="6" t="str">
        <f t="shared" ca="1" si="333"/>
        <v>20215</v>
      </c>
      <c r="AA1192" s="6">
        <f t="shared" ca="1" si="334"/>
        <v>2021</v>
      </c>
      <c r="AB1192" s="6">
        <f t="shared" ca="1" si="335"/>
        <v>5</v>
      </c>
      <c r="AC1192" s="68">
        <f ca="1">IFERROR(__xludf.DUMMYFUNCTION("""COMPUTED_VALUE"""),44337.9986111111)</f>
        <v>44337.998611111099</v>
      </c>
      <c r="AD1192" s="6">
        <f ca="1">IFERROR(__xludf.DUMMYFUNCTION("""COMPUTED_VALUE"""),1126.29)</f>
        <v>1126.29</v>
      </c>
      <c r="AH1192" s="6" t="str">
        <f t="shared" ca="1" si="336"/>
        <v>20213</v>
      </c>
      <c r="AI1192" s="6">
        <f t="shared" ca="1" si="337"/>
        <v>2021</v>
      </c>
      <c r="AJ1192" s="6">
        <f t="shared" ca="1" si="338"/>
        <v>3</v>
      </c>
      <c r="AK1192" s="68">
        <f ca="1">IFERROR(__xludf.DUMMYFUNCTION("""COMPUTED_VALUE"""),44285.9986111111)</f>
        <v>44285.998611111099</v>
      </c>
      <c r="AL1192" s="6">
        <f ca="1">IFERROR(__xludf.DUMMYFUNCTION("""COMPUTED_VALUE"""),58786.91)</f>
        <v>58786.91</v>
      </c>
      <c r="AP1192" s="6" t="str">
        <f t="shared" ca="1" si="339"/>
        <v>20229</v>
      </c>
      <c r="AQ1192" s="6">
        <f t="shared" ca="1" si="340"/>
        <v>2022</v>
      </c>
      <c r="AR1192" s="6">
        <f t="shared" ca="1" si="341"/>
        <v>9</v>
      </c>
      <c r="AS1192" s="68">
        <f ca="1">IFERROR(__xludf.DUMMYFUNCTION("""COMPUTED_VALUE"""),44834.9986111111)</f>
        <v>44834.998611111099</v>
      </c>
      <c r="AT1192" s="6">
        <f ca="1">IFERROR(__xludf.DUMMYFUNCTION("""COMPUTED_VALUE"""),1672)</f>
        <v>1672</v>
      </c>
    </row>
    <row r="1193" spans="2:46" x14ac:dyDescent="0.35">
      <c r="B1193" s="6" t="str">
        <f t="shared" ca="1" si="324"/>
        <v>20229</v>
      </c>
      <c r="C1193" s="6">
        <f t="shared" ca="1" si="325"/>
        <v>2022</v>
      </c>
      <c r="D1193" s="6">
        <f t="shared" ca="1" si="326"/>
        <v>9</v>
      </c>
      <c r="E1193" s="68">
        <f ca="1">IFERROR(__xludf.DUMMYFUNCTION("""COMPUTED_VALUE"""),44827.6666666666)</f>
        <v>44827.666666666599</v>
      </c>
      <c r="F1193" s="6">
        <f ca="1">IFERROR(__xludf.DUMMYFUNCTION("""COMPUTED_VALUE"""),3693.23)</f>
        <v>3693.23</v>
      </c>
      <c r="J1193" s="6" t="str">
        <f t="shared" ca="1" si="327"/>
        <v>20229</v>
      </c>
      <c r="K1193" s="6">
        <f t="shared" ca="1" si="328"/>
        <v>2022</v>
      </c>
      <c r="L1193" s="6">
        <f t="shared" ca="1" si="329"/>
        <v>9</v>
      </c>
      <c r="M1193" s="68">
        <f ca="1">IFERROR(__xludf.DUMMYFUNCTION("""COMPUTED_VALUE"""),44820.6666666666)</f>
        <v>44820.666666666599</v>
      </c>
      <c r="N1193" s="6">
        <f ca="1">IFERROR(__xludf.DUMMYFUNCTION("""COMPUTED_VALUE"""),11448.4)</f>
        <v>11448.4</v>
      </c>
      <c r="R1193" s="6" t="str">
        <f t="shared" ca="1" si="330"/>
        <v>202211</v>
      </c>
      <c r="S1193" s="6">
        <f t="shared" ca="1" si="331"/>
        <v>2022</v>
      </c>
      <c r="T1193" s="6">
        <f t="shared" ca="1" si="332"/>
        <v>11</v>
      </c>
      <c r="U1193" s="68">
        <f ca="1">IFERROR(__xludf.DUMMYFUNCTION("""COMPUTED_VALUE"""),44873.6458333333)</f>
        <v>44873.645833333299</v>
      </c>
      <c r="V1193" s="6">
        <f ca="1">IFERROR(__xludf.DUMMYFUNCTION("""COMPUTED_VALUE"""),2399.04)</f>
        <v>2399.04</v>
      </c>
      <c r="Z1193" s="6" t="str">
        <f t="shared" ca="1" si="333"/>
        <v>20215</v>
      </c>
      <c r="AA1193" s="6">
        <f t="shared" ca="1" si="334"/>
        <v>2021</v>
      </c>
      <c r="AB1193" s="6">
        <f t="shared" ca="1" si="335"/>
        <v>5</v>
      </c>
      <c r="AC1193" s="68">
        <f ca="1">IFERROR(__xludf.DUMMYFUNCTION("""COMPUTED_VALUE"""),44338.9986111111)</f>
        <v>44338.998611111099</v>
      </c>
      <c r="AD1193" s="6">
        <f ca="1">IFERROR(__xludf.DUMMYFUNCTION("""COMPUTED_VALUE"""),1126.29)</f>
        <v>1126.29</v>
      </c>
      <c r="AH1193" s="6" t="str">
        <f t="shared" ca="1" si="336"/>
        <v>20213</v>
      </c>
      <c r="AI1193" s="6">
        <f t="shared" ca="1" si="337"/>
        <v>2021</v>
      </c>
      <c r="AJ1193" s="6">
        <f t="shared" ca="1" si="338"/>
        <v>3</v>
      </c>
      <c r="AK1193" s="68">
        <f ca="1">IFERROR(__xludf.DUMMYFUNCTION("""COMPUTED_VALUE"""),44286.9986111111)</f>
        <v>44286.998611111099</v>
      </c>
      <c r="AL1193" s="6">
        <f ca="1">IFERROR(__xludf.DUMMYFUNCTION("""COMPUTED_VALUE"""),58794.94)</f>
        <v>58794.94</v>
      </c>
      <c r="AP1193" s="6" t="str">
        <f t="shared" ca="1" si="339"/>
        <v>202210</v>
      </c>
      <c r="AQ1193" s="6">
        <f t="shared" ca="1" si="340"/>
        <v>2022</v>
      </c>
      <c r="AR1193" s="6">
        <f t="shared" ca="1" si="341"/>
        <v>10</v>
      </c>
      <c r="AS1193" s="68">
        <f ca="1">IFERROR(__xludf.DUMMYFUNCTION("""COMPUTED_VALUE"""),44837.9986111111)</f>
        <v>44837.998611111099</v>
      </c>
      <c r="AT1193" s="6">
        <f ca="1">IFERROR(__xludf.DUMMYFUNCTION("""COMPUTED_VALUE"""),1702)</f>
        <v>1702</v>
      </c>
    </row>
    <row r="1194" spans="2:46" x14ac:dyDescent="0.35">
      <c r="B1194" s="6" t="str">
        <f t="shared" ca="1" si="324"/>
        <v>20229</v>
      </c>
      <c r="C1194" s="6">
        <f t="shared" ca="1" si="325"/>
        <v>2022</v>
      </c>
      <c r="D1194" s="6">
        <f t="shared" ca="1" si="326"/>
        <v>9</v>
      </c>
      <c r="E1194" s="68">
        <f ca="1">IFERROR(__xludf.DUMMYFUNCTION("""COMPUTED_VALUE"""),44830.6666666666)</f>
        <v>44830.666666666599</v>
      </c>
      <c r="F1194" s="6">
        <f ca="1">IFERROR(__xludf.DUMMYFUNCTION("""COMPUTED_VALUE"""),3655.04)</f>
        <v>3655.04</v>
      </c>
      <c r="J1194" s="6" t="str">
        <f t="shared" ca="1" si="327"/>
        <v>20229</v>
      </c>
      <c r="K1194" s="6">
        <f t="shared" ca="1" si="328"/>
        <v>2022</v>
      </c>
      <c r="L1194" s="6">
        <f t="shared" ca="1" si="329"/>
        <v>9</v>
      </c>
      <c r="M1194" s="68">
        <f ca="1">IFERROR(__xludf.DUMMYFUNCTION("""COMPUTED_VALUE"""),44823.6666666666)</f>
        <v>44823.666666666599</v>
      </c>
      <c r="N1194" s="6">
        <f ca="1">IFERROR(__xludf.DUMMYFUNCTION("""COMPUTED_VALUE"""),11535.02)</f>
        <v>11535.02</v>
      </c>
      <c r="R1194" s="6" t="str">
        <f t="shared" ca="1" si="330"/>
        <v>202211</v>
      </c>
      <c r="S1194" s="6">
        <f t="shared" ca="1" si="331"/>
        <v>2022</v>
      </c>
      <c r="T1194" s="6">
        <f t="shared" ca="1" si="332"/>
        <v>11</v>
      </c>
      <c r="U1194" s="68">
        <f ca="1">IFERROR(__xludf.DUMMYFUNCTION("""COMPUTED_VALUE"""),44874.6458333333)</f>
        <v>44874.645833333299</v>
      </c>
      <c r="V1194" s="6">
        <f ca="1">IFERROR(__xludf.DUMMYFUNCTION("""COMPUTED_VALUE"""),2424.41)</f>
        <v>2424.41</v>
      </c>
      <c r="Z1194" s="6" t="str">
        <f t="shared" ca="1" si="333"/>
        <v>20215</v>
      </c>
      <c r="AA1194" s="6">
        <f t="shared" ca="1" si="334"/>
        <v>2021</v>
      </c>
      <c r="AB1194" s="6">
        <f t="shared" ca="1" si="335"/>
        <v>5</v>
      </c>
      <c r="AC1194" s="68">
        <f ca="1">IFERROR(__xludf.DUMMYFUNCTION("""COMPUTED_VALUE"""),44339.9986111111)</f>
        <v>44339.998611111099</v>
      </c>
      <c r="AD1194" s="6">
        <f ca="1">IFERROR(__xludf.DUMMYFUNCTION("""COMPUTED_VALUE"""),1126.79)</f>
        <v>1126.79</v>
      </c>
      <c r="AH1194" s="6" t="str">
        <f t="shared" ca="1" si="336"/>
        <v>20214</v>
      </c>
      <c r="AI1194" s="6">
        <f t="shared" ca="1" si="337"/>
        <v>2021</v>
      </c>
      <c r="AJ1194" s="6">
        <f t="shared" ca="1" si="338"/>
        <v>4</v>
      </c>
      <c r="AK1194" s="68">
        <f ca="1">IFERROR(__xludf.DUMMYFUNCTION("""COMPUTED_VALUE"""),44287.9986111111)</f>
        <v>44287.998611111099</v>
      </c>
      <c r="AL1194" s="6">
        <f ca="1">IFERROR(__xludf.DUMMYFUNCTION("""COMPUTED_VALUE"""),58721.72)</f>
        <v>58721.72</v>
      </c>
      <c r="AP1194" s="6" t="str">
        <f t="shared" ca="1" si="339"/>
        <v>202210</v>
      </c>
      <c r="AQ1194" s="6">
        <f t="shared" ca="1" si="340"/>
        <v>2022</v>
      </c>
      <c r="AR1194" s="6">
        <f t="shared" ca="1" si="341"/>
        <v>10</v>
      </c>
      <c r="AS1194" s="68">
        <f ca="1">IFERROR(__xludf.DUMMYFUNCTION("""COMPUTED_VALUE"""),44838.9986111111)</f>
        <v>44838.998611111099</v>
      </c>
      <c r="AT1194" s="6">
        <f ca="1">IFERROR(__xludf.DUMMYFUNCTION("""COMPUTED_VALUE"""),1730.5)</f>
        <v>1730.5</v>
      </c>
    </row>
    <row r="1195" spans="2:46" x14ac:dyDescent="0.35">
      <c r="B1195" s="6" t="str">
        <f t="shared" ca="1" si="324"/>
        <v>20229</v>
      </c>
      <c r="C1195" s="6">
        <f t="shared" ca="1" si="325"/>
        <v>2022</v>
      </c>
      <c r="D1195" s="6">
        <f t="shared" ca="1" si="326"/>
        <v>9</v>
      </c>
      <c r="E1195" s="68">
        <f ca="1">IFERROR(__xludf.DUMMYFUNCTION("""COMPUTED_VALUE"""),44831.6666666666)</f>
        <v>44831.666666666599</v>
      </c>
      <c r="F1195" s="6">
        <f ca="1">IFERROR(__xludf.DUMMYFUNCTION("""COMPUTED_VALUE"""),3647.29)</f>
        <v>3647.29</v>
      </c>
      <c r="J1195" s="6" t="str">
        <f t="shared" ca="1" si="327"/>
        <v>20229</v>
      </c>
      <c r="K1195" s="6">
        <f t="shared" ca="1" si="328"/>
        <v>2022</v>
      </c>
      <c r="L1195" s="6">
        <f t="shared" ca="1" si="329"/>
        <v>9</v>
      </c>
      <c r="M1195" s="68">
        <f ca="1">IFERROR(__xludf.DUMMYFUNCTION("""COMPUTED_VALUE"""),44824.6666666666)</f>
        <v>44824.666666666599</v>
      </c>
      <c r="N1195" s="6">
        <f ca="1">IFERROR(__xludf.DUMMYFUNCTION("""COMPUTED_VALUE"""),11425.05)</f>
        <v>11425.05</v>
      </c>
      <c r="R1195" s="6" t="str">
        <f t="shared" ca="1" si="330"/>
        <v>202211</v>
      </c>
      <c r="S1195" s="6">
        <f t="shared" ca="1" si="331"/>
        <v>2022</v>
      </c>
      <c r="T1195" s="6">
        <f t="shared" ca="1" si="332"/>
        <v>11</v>
      </c>
      <c r="U1195" s="68">
        <f ca="1">IFERROR(__xludf.DUMMYFUNCTION("""COMPUTED_VALUE"""),44875.6458333333)</f>
        <v>44875.645833333299</v>
      </c>
      <c r="V1195" s="6">
        <f ca="1">IFERROR(__xludf.DUMMYFUNCTION("""COMPUTED_VALUE"""),2402.23)</f>
        <v>2402.23</v>
      </c>
      <c r="Z1195" s="6" t="str">
        <f t="shared" ca="1" si="333"/>
        <v>20215</v>
      </c>
      <c r="AA1195" s="6">
        <f t="shared" ca="1" si="334"/>
        <v>2021</v>
      </c>
      <c r="AB1195" s="6">
        <f t="shared" ca="1" si="335"/>
        <v>5</v>
      </c>
      <c r="AC1195" s="68">
        <f ca="1">IFERROR(__xludf.DUMMYFUNCTION("""COMPUTED_VALUE"""),44340.9986111111)</f>
        <v>44340.998611111099</v>
      </c>
      <c r="AD1195" s="6">
        <f ca="1">IFERROR(__xludf.DUMMYFUNCTION("""COMPUTED_VALUE"""),1122.19)</f>
        <v>1122.19</v>
      </c>
      <c r="AH1195" s="6" t="str">
        <f t="shared" ca="1" si="336"/>
        <v>20214</v>
      </c>
      <c r="AI1195" s="6">
        <f t="shared" ca="1" si="337"/>
        <v>2021</v>
      </c>
      <c r="AJ1195" s="6">
        <f t="shared" ca="1" si="338"/>
        <v>4</v>
      </c>
      <c r="AK1195" s="68">
        <f ca="1">IFERROR(__xludf.DUMMYFUNCTION("""COMPUTED_VALUE"""),44288.9986111111)</f>
        <v>44288.998611111099</v>
      </c>
      <c r="AL1195" s="6">
        <f ca="1">IFERROR(__xludf.DUMMYFUNCTION("""COMPUTED_VALUE"""),58987.56)</f>
        <v>58987.56</v>
      </c>
      <c r="AP1195" s="6" t="str">
        <f t="shared" ca="1" si="339"/>
        <v>202210</v>
      </c>
      <c r="AQ1195" s="6">
        <f t="shared" ca="1" si="340"/>
        <v>2022</v>
      </c>
      <c r="AR1195" s="6">
        <f t="shared" ca="1" si="341"/>
        <v>10</v>
      </c>
      <c r="AS1195" s="68">
        <f ca="1">IFERROR(__xludf.DUMMYFUNCTION("""COMPUTED_VALUE"""),44839.9986111111)</f>
        <v>44839.998611111099</v>
      </c>
      <c r="AT1195" s="6">
        <f ca="1">IFERROR(__xludf.DUMMYFUNCTION("""COMPUTED_VALUE"""),1720.8)</f>
        <v>1720.8</v>
      </c>
    </row>
    <row r="1196" spans="2:46" x14ac:dyDescent="0.35">
      <c r="B1196" s="6" t="str">
        <f t="shared" ca="1" si="324"/>
        <v>20229</v>
      </c>
      <c r="C1196" s="6">
        <f t="shared" ca="1" si="325"/>
        <v>2022</v>
      </c>
      <c r="D1196" s="6">
        <f t="shared" ca="1" si="326"/>
        <v>9</v>
      </c>
      <c r="E1196" s="68">
        <f ca="1">IFERROR(__xludf.DUMMYFUNCTION("""COMPUTED_VALUE"""),44832.6666666666)</f>
        <v>44832.666666666599</v>
      </c>
      <c r="F1196" s="6">
        <f ca="1">IFERROR(__xludf.DUMMYFUNCTION("""COMPUTED_VALUE"""),3719.04)</f>
        <v>3719.04</v>
      </c>
      <c r="J1196" s="6" t="str">
        <f t="shared" ca="1" si="327"/>
        <v>20229</v>
      </c>
      <c r="K1196" s="6">
        <f t="shared" ca="1" si="328"/>
        <v>2022</v>
      </c>
      <c r="L1196" s="6">
        <f t="shared" ca="1" si="329"/>
        <v>9</v>
      </c>
      <c r="M1196" s="68">
        <f ca="1">IFERROR(__xludf.DUMMYFUNCTION("""COMPUTED_VALUE"""),44825.6666666666)</f>
        <v>44825.666666666599</v>
      </c>
      <c r="N1196" s="6">
        <f ca="1">IFERROR(__xludf.DUMMYFUNCTION("""COMPUTED_VALUE"""),11220.19)</f>
        <v>11220.19</v>
      </c>
      <c r="R1196" s="6" t="str">
        <f t="shared" ca="1" si="330"/>
        <v>202211</v>
      </c>
      <c r="S1196" s="6">
        <f t="shared" ca="1" si="331"/>
        <v>2022</v>
      </c>
      <c r="T1196" s="6">
        <f t="shared" ca="1" si="332"/>
        <v>11</v>
      </c>
      <c r="U1196" s="68">
        <f ca="1">IFERROR(__xludf.DUMMYFUNCTION("""COMPUTED_VALUE"""),44876.6458333333)</f>
        <v>44876.645833333299</v>
      </c>
      <c r="V1196" s="6">
        <f ca="1">IFERROR(__xludf.DUMMYFUNCTION("""COMPUTED_VALUE"""),2483.16)</f>
        <v>2483.16</v>
      </c>
      <c r="Z1196" s="6" t="str">
        <f t="shared" ca="1" si="333"/>
        <v>20215</v>
      </c>
      <c r="AA1196" s="6">
        <f t="shared" ca="1" si="334"/>
        <v>2021</v>
      </c>
      <c r="AB1196" s="6">
        <f t="shared" ca="1" si="335"/>
        <v>5</v>
      </c>
      <c r="AC1196" s="68">
        <f ca="1">IFERROR(__xludf.DUMMYFUNCTION("""COMPUTED_VALUE"""),44341.9986111111)</f>
        <v>44341.998611111099</v>
      </c>
      <c r="AD1196" s="6">
        <f ca="1">IFERROR(__xludf.DUMMYFUNCTION("""COMPUTED_VALUE"""),1121.38)</f>
        <v>1121.3800000000001</v>
      </c>
      <c r="AH1196" s="6" t="str">
        <f t="shared" ca="1" si="336"/>
        <v>20214</v>
      </c>
      <c r="AI1196" s="6">
        <f t="shared" ca="1" si="337"/>
        <v>2021</v>
      </c>
      <c r="AJ1196" s="6">
        <f t="shared" ca="1" si="338"/>
        <v>4</v>
      </c>
      <c r="AK1196" s="68">
        <f ca="1">IFERROR(__xludf.DUMMYFUNCTION("""COMPUTED_VALUE"""),44289.9986111111)</f>
        <v>44289.998611111099</v>
      </c>
      <c r="AL1196" s="6">
        <f ca="1">IFERROR(__xludf.DUMMYFUNCTION("""COMPUTED_VALUE"""),57072.03)</f>
        <v>57072.03</v>
      </c>
      <c r="AP1196" s="6" t="str">
        <f t="shared" ca="1" si="339"/>
        <v>202210</v>
      </c>
      <c r="AQ1196" s="6">
        <f t="shared" ca="1" si="340"/>
        <v>2022</v>
      </c>
      <c r="AR1196" s="6">
        <f t="shared" ca="1" si="341"/>
        <v>10</v>
      </c>
      <c r="AS1196" s="68">
        <f ca="1">IFERROR(__xludf.DUMMYFUNCTION("""COMPUTED_VALUE"""),44840.9986111111)</f>
        <v>44840.998611111099</v>
      </c>
      <c r="AT1196" s="6">
        <f ca="1">IFERROR(__xludf.DUMMYFUNCTION("""COMPUTED_VALUE"""),1720.8)</f>
        <v>1720.8</v>
      </c>
    </row>
    <row r="1197" spans="2:46" x14ac:dyDescent="0.35">
      <c r="B1197" s="6" t="str">
        <f t="shared" ca="1" si="324"/>
        <v>20229</v>
      </c>
      <c r="C1197" s="6">
        <f t="shared" ca="1" si="325"/>
        <v>2022</v>
      </c>
      <c r="D1197" s="6">
        <f t="shared" ca="1" si="326"/>
        <v>9</v>
      </c>
      <c r="E1197" s="68">
        <f ca="1">IFERROR(__xludf.DUMMYFUNCTION("""COMPUTED_VALUE"""),44833.6666666666)</f>
        <v>44833.666666666599</v>
      </c>
      <c r="F1197" s="6">
        <f ca="1">IFERROR(__xludf.DUMMYFUNCTION("""COMPUTED_VALUE"""),3640.47)</f>
        <v>3640.47</v>
      </c>
      <c r="J1197" s="6" t="str">
        <f t="shared" ca="1" si="327"/>
        <v>20229</v>
      </c>
      <c r="K1197" s="6">
        <f t="shared" ca="1" si="328"/>
        <v>2022</v>
      </c>
      <c r="L1197" s="6">
        <f t="shared" ca="1" si="329"/>
        <v>9</v>
      </c>
      <c r="M1197" s="68">
        <f ca="1">IFERROR(__xludf.DUMMYFUNCTION("""COMPUTED_VALUE"""),44826.6666666666)</f>
        <v>44826.666666666599</v>
      </c>
      <c r="N1197" s="6">
        <f ca="1">IFERROR(__xludf.DUMMYFUNCTION("""COMPUTED_VALUE"""),11066.81)</f>
        <v>11066.81</v>
      </c>
      <c r="R1197" s="6" t="str">
        <f t="shared" ca="1" si="330"/>
        <v>202211</v>
      </c>
      <c r="S1197" s="6">
        <f t="shared" ca="1" si="331"/>
        <v>2022</v>
      </c>
      <c r="T1197" s="6">
        <f t="shared" ca="1" si="332"/>
        <v>11</v>
      </c>
      <c r="U1197" s="68">
        <f ca="1">IFERROR(__xludf.DUMMYFUNCTION("""COMPUTED_VALUE"""),44879.6458333333)</f>
        <v>44879.645833333299</v>
      </c>
      <c r="V1197" s="6">
        <f ca="1">IFERROR(__xludf.DUMMYFUNCTION("""COMPUTED_VALUE"""),2474.65)</f>
        <v>2474.65</v>
      </c>
      <c r="Z1197" s="6" t="str">
        <f t="shared" ca="1" si="333"/>
        <v>20215</v>
      </c>
      <c r="AA1197" s="6">
        <f t="shared" ca="1" si="334"/>
        <v>2021</v>
      </c>
      <c r="AB1197" s="6">
        <f t="shared" ca="1" si="335"/>
        <v>5</v>
      </c>
      <c r="AC1197" s="68">
        <f ca="1">IFERROR(__xludf.DUMMYFUNCTION("""COMPUTED_VALUE"""),44342.9986111111)</f>
        <v>44342.998611111099</v>
      </c>
      <c r="AD1197" s="6">
        <f ca="1">IFERROR(__xludf.DUMMYFUNCTION("""COMPUTED_VALUE"""),1115.52)</f>
        <v>1115.52</v>
      </c>
      <c r="AH1197" s="6" t="str">
        <f t="shared" ca="1" si="336"/>
        <v>20214</v>
      </c>
      <c r="AI1197" s="6">
        <f t="shared" ca="1" si="337"/>
        <v>2021</v>
      </c>
      <c r="AJ1197" s="6">
        <f t="shared" ca="1" si="338"/>
        <v>4</v>
      </c>
      <c r="AK1197" s="68">
        <f ca="1">IFERROR(__xludf.DUMMYFUNCTION("""COMPUTED_VALUE"""),44290.9986111111)</f>
        <v>44290.998611111099</v>
      </c>
      <c r="AL1197" s="6">
        <f ca="1">IFERROR(__xludf.DUMMYFUNCTION("""COMPUTED_VALUE"""),58218.89)</f>
        <v>58218.89</v>
      </c>
      <c r="AP1197" s="6" t="str">
        <f t="shared" ca="1" si="339"/>
        <v>202210</v>
      </c>
      <c r="AQ1197" s="6">
        <f t="shared" ca="1" si="340"/>
        <v>2022</v>
      </c>
      <c r="AR1197" s="6">
        <f t="shared" ca="1" si="341"/>
        <v>10</v>
      </c>
      <c r="AS1197" s="68">
        <f ca="1">IFERROR(__xludf.DUMMYFUNCTION("""COMPUTED_VALUE"""),44841.9986111111)</f>
        <v>44841.998611111099</v>
      </c>
      <c r="AT1197" s="6">
        <f ca="1">IFERROR(__xludf.DUMMYFUNCTION("""COMPUTED_VALUE"""),1709.3)</f>
        <v>1709.3</v>
      </c>
    </row>
    <row r="1198" spans="2:46" x14ac:dyDescent="0.35">
      <c r="B1198" s="6" t="str">
        <f t="shared" ca="1" si="324"/>
        <v>20229</v>
      </c>
      <c r="C1198" s="6">
        <f t="shared" ca="1" si="325"/>
        <v>2022</v>
      </c>
      <c r="D1198" s="6">
        <f t="shared" ca="1" si="326"/>
        <v>9</v>
      </c>
      <c r="E1198" s="68">
        <f ca="1">IFERROR(__xludf.DUMMYFUNCTION("""COMPUTED_VALUE"""),44834.6666666666)</f>
        <v>44834.666666666599</v>
      </c>
      <c r="F1198" s="6">
        <f ca="1">IFERROR(__xludf.DUMMYFUNCTION("""COMPUTED_VALUE"""),3585.62)</f>
        <v>3585.62</v>
      </c>
      <c r="J1198" s="6" t="str">
        <f t="shared" ca="1" si="327"/>
        <v>20229</v>
      </c>
      <c r="K1198" s="6">
        <f t="shared" ca="1" si="328"/>
        <v>2022</v>
      </c>
      <c r="L1198" s="6">
        <f t="shared" ca="1" si="329"/>
        <v>9</v>
      </c>
      <c r="M1198" s="68">
        <f ca="1">IFERROR(__xludf.DUMMYFUNCTION("""COMPUTED_VALUE"""),44827.6666666666)</f>
        <v>44827.666666666599</v>
      </c>
      <c r="N1198" s="6">
        <f ca="1">IFERROR(__xludf.DUMMYFUNCTION("""COMPUTED_VALUE"""),10867.93)</f>
        <v>10867.93</v>
      </c>
      <c r="R1198" s="6" t="str">
        <f t="shared" ca="1" si="330"/>
        <v>202211</v>
      </c>
      <c r="S1198" s="6">
        <f t="shared" ca="1" si="331"/>
        <v>2022</v>
      </c>
      <c r="T1198" s="6">
        <f t="shared" ca="1" si="332"/>
        <v>11</v>
      </c>
      <c r="U1198" s="68">
        <f ca="1">IFERROR(__xludf.DUMMYFUNCTION("""COMPUTED_VALUE"""),44880.6458333333)</f>
        <v>44880.645833333299</v>
      </c>
      <c r="V1198" s="6">
        <f ca="1">IFERROR(__xludf.DUMMYFUNCTION("""COMPUTED_VALUE"""),2480.33)</f>
        <v>2480.33</v>
      </c>
      <c r="Z1198" s="6" t="str">
        <f t="shared" ca="1" si="333"/>
        <v>20215</v>
      </c>
      <c r="AA1198" s="6">
        <f t="shared" ca="1" si="334"/>
        <v>2021</v>
      </c>
      <c r="AB1198" s="6">
        <f t="shared" ca="1" si="335"/>
        <v>5</v>
      </c>
      <c r="AC1198" s="68">
        <f ca="1">IFERROR(__xludf.DUMMYFUNCTION("""COMPUTED_VALUE"""),44343.9986111111)</f>
        <v>44343.998611111099</v>
      </c>
      <c r="AD1198" s="6">
        <f ca="1">IFERROR(__xludf.DUMMYFUNCTION("""COMPUTED_VALUE"""),1117.3)</f>
        <v>1117.3</v>
      </c>
      <c r="AH1198" s="6" t="str">
        <f t="shared" ca="1" si="336"/>
        <v>20214</v>
      </c>
      <c r="AI1198" s="6">
        <f t="shared" ca="1" si="337"/>
        <v>2021</v>
      </c>
      <c r="AJ1198" s="6">
        <f t="shared" ca="1" si="338"/>
        <v>4</v>
      </c>
      <c r="AK1198" s="68">
        <f ca="1">IFERROR(__xludf.DUMMYFUNCTION("""COMPUTED_VALUE"""),44291.9986111111)</f>
        <v>44291.998611111099</v>
      </c>
      <c r="AL1198" s="6">
        <f ca="1">IFERROR(__xludf.DUMMYFUNCTION("""COMPUTED_VALUE"""),59075.45)</f>
        <v>59075.45</v>
      </c>
      <c r="AP1198" s="6" t="str">
        <f t="shared" ca="1" si="339"/>
        <v>202210</v>
      </c>
      <c r="AQ1198" s="6">
        <f t="shared" ca="1" si="340"/>
        <v>2022</v>
      </c>
      <c r="AR1198" s="6">
        <f t="shared" ca="1" si="341"/>
        <v>10</v>
      </c>
      <c r="AS1198" s="68">
        <f ca="1">IFERROR(__xludf.DUMMYFUNCTION("""COMPUTED_VALUE"""),44844.9986111111)</f>
        <v>44844.998611111099</v>
      </c>
      <c r="AT1198" s="6">
        <f ca="1">IFERROR(__xludf.DUMMYFUNCTION("""COMPUTED_VALUE"""),1675.2)</f>
        <v>1675.2</v>
      </c>
    </row>
    <row r="1199" spans="2:46" x14ac:dyDescent="0.35">
      <c r="B1199" s="6" t="str">
        <f t="shared" ca="1" si="324"/>
        <v>202210</v>
      </c>
      <c r="C1199" s="6">
        <f t="shared" ca="1" si="325"/>
        <v>2022</v>
      </c>
      <c r="D1199" s="6">
        <f t="shared" ca="1" si="326"/>
        <v>10</v>
      </c>
      <c r="E1199" s="68">
        <f ca="1">IFERROR(__xludf.DUMMYFUNCTION("""COMPUTED_VALUE"""),44837.6666666666)</f>
        <v>44837.666666666599</v>
      </c>
      <c r="F1199" s="6">
        <f ca="1">IFERROR(__xludf.DUMMYFUNCTION("""COMPUTED_VALUE"""),3678.43)</f>
        <v>3678.43</v>
      </c>
      <c r="J1199" s="6" t="str">
        <f t="shared" ca="1" si="327"/>
        <v>20229</v>
      </c>
      <c r="K1199" s="6">
        <f t="shared" ca="1" si="328"/>
        <v>2022</v>
      </c>
      <c r="L1199" s="6">
        <f t="shared" ca="1" si="329"/>
        <v>9</v>
      </c>
      <c r="M1199" s="68">
        <f ca="1">IFERROR(__xludf.DUMMYFUNCTION("""COMPUTED_VALUE"""),44830.6666666666)</f>
        <v>44830.666666666599</v>
      </c>
      <c r="N1199" s="6">
        <f ca="1">IFERROR(__xludf.DUMMYFUNCTION("""COMPUTED_VALUE"""),10802.92)</f>
        <v>10802.92</v>
      </c>
      <c r="R1199" s="6" t="str">
        <f t="shared" ca="1" si="330"/>
        <v>202211</v>
      </c>
      <c r="S1199" s="6">
        <f t="shared" ca="1" si="331"/>
        <v>2022</v>
      </c>
      <c r="T1199" s="6">
        <f t="shared" ca="1" si="332"/>
        <v>11</v>
      </c>
      <c r="U1199" s="68">
        <f ca="1">IFERROR(__xludf.DUMMYFUNCTION("""COMPUTED_VALUE"""),44881.6458333333)</f>
        <v>44881.645833333299</v>
      </c>
      <c r="V1199" s="6">
        <f ca="1">IFERROR(__xludf.DUMMYFUNCTION("""COMPUTED_VALUE"""),2477.45)</f>
        <v>2477.4499999999998</v>
      </c>
      <c r="Z1199" s="6" t="str">
        <f t="shared" ca="1" si="333"/>
        <v>20215</v>
      </c>
      <c r="AA1199" s="6">
        <f t="shared" ca="1" si="334"/>
        <v>2021</v>
      </c>
      <c r="AB1199" s="6">
        <f t="shared" ca="1" si="335"/>
        <v>5</v>
      </c>
      <c r="AC1199" s="68">
        <f ca="1">IFERROR(__xludf.DUMMYFUNCTION("""COMPUTED_VALUE"""),44344.9986111111)</f>
        <v>44344.998611111099</v>
      </c>
      <c r="AD1199" s="6">
        <f ca="1">IFERROR(__xludf.DUMMYFUNCTION("""COMPUTED_VALUE"""),1112.75)</f>
        <v>1112.75</v>
      </c>
      <c r="AH1199" s="6" t="str">
        <f t="shared" ca="1" si="336"/>
        <v>20214</v>
      </c>
      <c r="AI1199" s="6">
        <f t="shared" ca="1" si="337"/>
        <v>2021</v>
      </c>
      <c r="AJ1199" s="6">
        <f t="shared" ca="1" si="338"/>
        <v>4</v>
      </c>
      <c r="AK1199" s="68">
        <f ca="1">IFERROR(__xludf.DUMMYFUNCTION("""COMPUTED_VALUE"""),44292.9986111111)</f>
        <v>44292.998611111099</v>
      </c>
      <c r="AL1199" s="6">
        <f ca="1">IFERROR(__xludf.DUMMYFUNCTION("""COMPUTED_VALUE"""),58005.9)</f>
        <v>58005.9</v>
      </c>
      <c r="AP1199" s="6" t="str">
        <f t="shared" ca="1" si="339"/>
        <v>202210</v>
      </c>
      <c r="AQ1199" s="6">
        <f t="shared" ca="1" si="340"/>
        <v>2022</v>
      </c>
      <c r="AR1199" s="6">
        <f t="shared" ca="1" si="341"/>
        <v>10</v>
      </c>
      <c r="AS1199" s="68">
        <f ca="1">IFERROR(__xludf.DUMMYFUNCTION("""COMPUTED_VALUE"""),44845.9986111111)</f>
        <v>44845.998611111099</v>
      </c>
      <c r="AT1199" s="6">
        <f ca="1">IFERROR(__xludf.DUMMYFUNCTION("""COMPUTED_VALUE"""),1686)</f>
        <v>1686</v>
      </c>
    </row>
    <row r="1200" spans="2:46" x14ac:dyDescent="0.35">
      <c r="B1200" s="6" t="str">
        <f t="shared" ca="1" si="324"/>
        <v>202210</v>
      </c>
      <c r="C1200" s="6">
        <f t="shared" ca="1" si="325"/>
        <v>2022</v>
      </c>
      <c r="D1200" s="6">
        <f t="shared" ca="1" si="326"/>
        <v>10</v>
      </c>
      <c r="E1200" s="68">
        <f ca="1">IFERROR(__xludf.DUMMYFUNCTION("""COMPUTED_VALUE"""),44838.6666666666)</f>
        <v>44838.666666666599</v>
      </c>
      <c r="F1200" s="6">
        <f ca="1">IFERROR(__xludf.DUMMYFUNCTION("""COMPUTED_VALUE"""),3790.93)</f>
        <v>3790.93</v>
      </c>
      <c r="J1200" s="6" t="str">
        <f t="shared" ca="1" si="327"/>
        <v>20229</v>
      </c>
      <c r="K1200" s="6">
        <f t="shared" ca="1" si="328"/>
        <v>2022</v>
      </c>
      <c r="L1200" s="6">
        <f t="shared" ca="1" si="329"/>
        <v>9</v>
      </c>
      <c r="M1200" s="68">
        <f ca="1">IFERROR(__xludf.DUMMYFUNCTION("""COMPUTED_VALUE"""),44831.6666666666)</f>
        <v>44831.666666666599</v>
      </c>
      <c r="N1200" s="6">
        <f ca="1">IFERROR(__xludf.DUMMYFUNCTION("""COMPUTED_VALUE"""),10829.5)</f>
        <v>10829.5</v>
      </c>
      <c r="R1200" s="6" t="str">
        <f t="shared" ca="1" si="330"/>
        <v>202211</v>
      </c>
      <c r="S1200" s="6">
        <f t="shared" ca="1" si="331"/>
        <v>2022</v>
      </c>
      <c r="T1200" s="6">
        <f t="shared" ca="1" si="332"/>
        <v>11</v>
      </c>
      <c r="U1200" s="68">
        <f ca="1">IFERROR(__xludf.DUMMYFUNCTION("""COMPUTED_VALUE"""),44882.6458333333)</f>
        <v>44882.645833333299</v>
      </c>
      <c r="V1200" s="6">
        <f ca="1">IFERROR(__xludf.DUMMYFUNCTION("""COMPUTED_VALUE"""),2442.9)</f>
        <v>2442.9</v>
      </c>
      <c r="Z1200" s="6" t="str">
        <f t="shared" ca="1" si="333"/>
        <v>20215</v>
      </c>
      <c r="AA1200" s="6">
        <f t="shared" ca="1" si="334"/>
        <v>2021</v>
      </c>
      <c r="AB1200" s="6">
        <f t="shared" ca="1" si="335"/>
        <v>5</v>
      </c>
      <c r="AC1200" s="68">
        <f ca="1">IFERROR(__xludf.DUMMYFUNCTION("""COMPUTED_VALUE"""),44345.9986111111)</f>
        <v>44345.998611111099</v>
      </c>
      <c r="AD1200" s="6">
        <f ca="1">IFERROR(__xludf.DUMMYFUNCTION("""COMPUTED_VALUE"""),1112.75)</f>
        <v>1112.75</v>
      </c>
      <c r="AH1200" s="6" t="str">
        <f t="shared" ca="1" si="336"/>
        <v>20214</v>
      </c>
      <c r="AI1200" s="6">
        <f t="shared" ca="1" si="337"/>
        <v>2021</v>
      </c>
      <c r="AJ1200" s="6">
        <f t="shared" ca="1" si="338"/>
        <v>4</v>
      </c>
      <c r="AK1200" s="68">
        <f ca="1">IFERROR(__xludf.DUMMYFUNCTION("""COMPUTED_VALUE"""),44293.9986111111)</f>
        <v>44293.998611111099</v>
      </c>
      <c r="AL1200" s="6">
        <f ca="1">IFERROR(__xludf.DUMMYFUNCTION("""COMPUTED_VALUE"""),55914.07)</f>
        <v>55914.07</v>
      </c>
      <c r="AP1200" s="6" t="str">
        <f t="shared" ca="1" si="339"/>
        <v>202210</v>
      </c>
      <c r="AQ1200" s="6">
        <f t="shared" ca="1" si="340"/>
        <v>2022</v>
      </c>
      <c r="AR1200" s="6">
        <f t="shared" ca="1" si="341"/>
        <v>10</v>
      </c>
      <c r="AS1200" s="68">
        <f ca="1">IFERROR(__xludf.DUMMYFUNCTION("""COMPUTED_VALUE"""),44846.9986111111)</f>
        <v>44846.998611111099</v>
      </c>
      <c r="AT1200" s="6">
        <f ca="1">IFERROR(__xludf.DUMMYFUNCTION("""COMPUTED_VALUE"""),1677.5)</f>
        <v>1677.5</v>
      </c>
    </row>
    <row r="1201" spans="2:46" x14ac:dyDescent="0.35">
      <c r="B1201" s="6" t="str">
        <f t="shared" ca="1" si="324"/>
        <v>202210</v>
      </c>
      <c r="C1201" s="6">
        <f t="shared" ca="1" si="325"/>
        <v>2022</v>
      </c>
      <c r="D1201" s="6">
        <f t="shared" ca="1" si="326"/>
        <v>10</v>
      </c>
      <c r="E1201" s="68">
        <f ca="1">IFERROR(__xludf.DUMMYFUNCTION("""COMPUTED_VALUE"""),44839.6666666666)</f>
        <v>44839.666666666599</v>
      </c>
      <c r="F1201" s="6">
        <f ca="1">IFERROR(__xludf.DUMMYFUNCTION("""COMPUTED_VALUE"""),3783.28)</f>
        <v>3783.28</v>
      </c>
      <c r="J1201" s="6" t="str">
        <f t="shared" ca="1" si="327"/>
        <v>20229</v>
      </c>
      <c r="K1201" s="6">
        <f t="shared" ca="1" si="328"/>
        <v>2022</v>
      </c>
      <c r="L1201" s="6">
        <f t="shared" ca="1" si="329"/>
        <v>9</v>
      </c>
      <c r="M1201" s="68">
        <f ca="1">IFERROR(__xludf.DUMMYFUNCTION("""COMPUTED_VALUE"""),44832.6666666666)</f>
        <v>44832.666666666599</v>
      </c>
      <c r="N1201" s="6">
        <f ca="1">IFERROR(__xludf.DUMMYFUNCTION("""COMPUTED_VALUE"""),11051.64)</f>
        <v>11051.64</v>
      </c>
      <c r="R1201" s="6" t="str">
        <f t="shared" ca="1" si="330"/>
        <v>202211</v>
      </c>
      <c r="S1201" s="6">
        <f t="shared" ca="1" si="331"/>
        <v>2022</v>
      </c>
      <c r="T1201" s="6">
        <f t="shared" ca="1" si="332"/>
        <v>11</v>
      </c>
      <c r="U1201" s="68">
        <f ca="1">IFERROR(__xludf.DUMMYFUNCTION("""COMPUTED_VALUE"""),44883.6458333333)</f>
        <v>44883.645833333299</v>
      </c>
      <c r="V1201" s="6">
        <f ca="1">IFERROR(__xludf.DUMMYFUNCTION("""COMPUTED_VALUE"""),2444.48)</f>
        <v>2444.48</v>
      </c>
      <c r="Z1201" s="6" t="str">
        <f t="shared" ca="1" si="333"/>
        <v>20215</v>
      </c>
      <c r="AA1201" s="6">
        <f t="shared" ca="1" si="334"/>
        <v>2021</v>
      </c>
      <c r="AB1201" s="6">
        <f t="shared" ca="1" si="335"/>
        <v>5</v>
      </c>
      <c r="AC1201" s="68">
        <f ca="1">IFERROR(__xludf.DUMMYFUNCTION("""COMPUTED_VALUE"""),44346.9986111111)</f>
        <v>44346.998611111099</v>
      </c>
      <c r="AD1201" s="6">
        <f ca="1">IFERROR(__xludf.DUMMYFUNCTION("""COMPUTED_VALUE"""),1112.85)</f>
        <v>1112.8499999999999</v>
      </c>
      <c r="AH1201" s="6" t="str">
        <f t="shared" ca="1" si="336"/>
        <v>20214</v>
      </c>
      <c r="AI1201" s="6">
        <f t="shared" ca="1" si="337"/>
        <v>2021</v>
      </c>
      <c r="AJ1201" s="6">
        <f t="shared" ca="1" si="338"/>
        <v>4</v>
      </c>
      <c r="AK1201" s="68">
        <f ca="1">IFERROR(__xludf.DUMMYFUNCTION("""COMPUTED_VALUE"""),44294.9986111111)</f>
        <v>44294.998611111099</v>
      </c>
      <c r="AL1201" s="6">
        <f ca="1">IFERROR(__xludf.DUMMYFUNCTION("""COMPUTED_VALUE"""),58063.47)</f>
        <v>58063.47</v>
      </c>
      <c r="AP1201" s="6" t="str">
        <f t="shared" ca="1" si="339"/>
        <v>202210</v>
      </c>
      <c r="AQ1201" s="6">
        <f t="shared" ca="1" si="340"/>
        <v>2022</v>
      </c>
      <c r="AR1201" s="6">
        <f t="shared" ca="1" si="341"/>
        <v>10</v>
      </c>
      <c r="AS1201" s="68">
        <f ca="1">IFERROR(__xludf.DUMMYFUNCTION("""COMPUTED_VALUE"""),44847.9986111111)</f>
        <v>44847.998611111099</v>
      </c>
      <c r="AT1201" s="6">
        <f ca="1">IFERROR(__xludf.DUMMYFUNCTION("""COMPUTED_VALUE"""),1677)</f>
        <v>1677</v>
      </c>
    </row>
    <row r="1202" spans="2:46" x14ac:dyDescent="0.35">
      <c r="B1202" s="6" t="str">
        <f t="shared" ca="1" si="324"/>
        <v>202210</v>
      </c>
      <c r="C1202" s="6">
        <f t="shared" ca="1" si="325"/>
        <v>2022</v>
      </c>
      <c r="D1202" s="6">
        <f t="shared" ca="1" si="326"/>
        <v>10</v>
      </c>
      <c r="E1202" s="68">
        <f ca="1">IFERROR(__xludf.DUMMYFUNCTION("""COMPUTED_VALUE"""),44840.6666666666)</f>
        <v>44840.666666666599</v>
      </c>
      <c r="F1202" s="6">
        <f ca="1">IFERROR(__xludf.DUMMYFUNCTION("""COMPUTED_VALUE"""),3744.52)</f>
        <v>3744.52</v>
      </c>
      <c r="J1202" s="6" t="str">
        <f t="shared" ca="1" si="327"/>
        <v>20229</v>
      </c>
      <c r="K1202" s="6">
        <f t="shared" ca="1" si="328"/>
        <v>2022</v>
      </c>
      <c r="L1202" s="6">
        <f t="shared" ca="1" si="329"/>
        <v>9</v>
      </c>
      <c r="M1202" s="68">
        <f ca="1">IFERROR(__xludf.DUMMYFUNCTION("""COMPUTED_VALUE"""),44833.6666666666)</f>
        <v>44833.666666666599</v>
      </c>
      <c r="N1202" s="6">
        <f ca="1">IFERROR(__xludf.DUMMYFUNCTION("""COMPUTED_VALUE"""),10737.51)</f>
        <v>10737.51</v>
      </c>
      <c r="R1202" s="6" t="str">
        <f t="shared" ca="1" si="330"/>
        <v>202211</v>
      </c>
      <c r="S1202" s="6">
        <f t="shared" ca="1" si="331"/>
        <v>2022</v>
      </c>
      <c r="T1202" s="6">
        <f t="shared" ca="1" si="332"/>
        <v>11</v>
      </c>
      <c r="U1202" s="68">
        <f ca="1">IFERROR(__xludf.DUMMYFUNCTION("""COMPUTED_VALUE"""),44886.6458333333)</f>
        <v>44886.645833333299</v>
      </c>
      <c r="V1202" s="6">
        <f ca="1">IFERROR(__xludf.DUMMYFUNCTION("""COMPUTED_VALUE"""),2419.5)</f>
        <v>2419.5</v>
      </c>
      <c r="Z1202" s="6" t="str">
        <f t="shared" ca="1" si="333"/>
        <v>20215</v>
      </c>
      <c r="AA1202" s="6">
        <f t="shared" ca="1" si="334"/>
        <v>2021</v>
      </c>
      <c r="AB1202" s="6">
        <f t="shared" ca="1" si="335"/>
        <v>5</v>
      </c>
      <c r="AC1202" s="68">
        <f ca="1">IFERROR(__xludf.DUMMYFUNCTION("""COMPUTED_VALUE"""),44347.9986111111)</f>
        <v>44347.998611111099</v>
      </c>
      <c r="AD1202" s="6">
        <f ca="1">IFERROR(__xludf.DUMMYFUNCTION("""COMPUTED_VALUE"""),1106.98)</f>
        <v>1106.98</v>
      </c>
      <c r="AH1202" s="6" t="str">
        <f t="shared" ca="1" si="336"/>
        <v>20214</v>
      </c>
      <c r="AI1202" s="6">
        <f t="shared" ca="1" si="337"/>
        <v>2021</v>
      </c>
      <c r="AJ1202" s="6">
        <f t="shared" ca="1" si="338"/>
        <v>4</v>
      </c>
      <c r="AK1202" s="68">
        <f ca="1">IFERROR(__xludf.DUMMYFUNCTION("""COMPUTED_VALUE"""),44295.9986111111)</f>
        <v>44295.998611111099</v>
      </c>
      <c r="AL1202" s="6">
        <f ca="1">IFERROR(__xludf.DUMMYFUNCTION("""COMPUTED_VALUE"""),58095.14)</f>
        <v>58095.14</v>
      </c>
      <c r="AP1202" s="6" t="str">
        <f t="shared" ca="1" si="339"/>
        <v>202210</v>
      </c>
      <c r="AQ1202" s="6">
        <f t="shared" ca="1" si="340"/>
        <v>2022</v>
      </c>
      <c r="AR1202" s="6">
        <f t="shared" ca="1" si="341"/>
        <v>10</v>
      </c>
      <c r="AS1202" s="68">
        <f ca="1">IFERROR(__xludf.DUMMYFUNCTION("""COMPUTED_VALUE"""),44848.9986111111)</f>
        <v>44848.998611111099</v>
      </c>
      <c r="AT1202" s="6">
        <f ca="1">IFERROR(__xludf.DUMMYFUNCTION("""COMPUTED_VALUE"""),1648.9)</f>
        <v>1648.9</v>
      </c>
    </row>
    <row r="1203" spans="2:46" x14ac:dyDescent="0.35">
      <c r="B1203" s="6" t="str">
        <f t="shared" ca="1" si="324"/>
        <v>202210</v>
      </c>
      <c r="C1203" s="6">
        <f t="shared" ca="1" si="325"/>
        <v>2022</v>
      </c>
      <c r="D1203" s="6">
        <f t="shared" ca="1" si="326"/>
        <v>10</v>
      </c>
      <c r="E1203" s="68">
        <f ca="1">IFERROR(__xludf.DUMMYFUNCTION("""COMPUTED_VALUE"""),44841.6666666666)</f>
        <v>44841.666666666599</v>
      </c>
      <c r="F1203" s="6">
        <f ca="1">IFERROR(__xludf.DUMMYFUNCTION("""COMPUTED_VALUE"""),3639.66)</f>
        <v>3639.66</v>
      </c>
      <c r="J1203" s="6" t="str">
        <f t="shared" ca="1" si="327"/>
        <v>20229</v>
      </c>
      <c r="K1203" s="6">
        <f t="shared" ca="1" si="328"/>
        <v>2022</v>
      </c>
      <c r="L1203" s="6">
        <f t="shared" ca="1" si="329"/>
        <v>9</v>
      </c>
      <c r="M1203" s="68">
        <f ca="1">IFERROR(__xludf.DUMMYFUNCTION("""COMPUTED_VALUE"""),44834.6666666666)</f>
        <v>44834.666666666599</v>
      </c>
      <c r="N1203" s="6">
        <f ca="1">IFERROR(__xludf.DUMMYFUNCTION("""COMPUTED_VALUE"""),10575.62)</f>
        <v>10575.62</v>
      </c>
      <c r="R1203" s="6" t="str">
        <f t="shared" ca="1" si="330"/>
        <v>202211</v>
      </c>
      <c r="S1203" s="6">
        <f t="shared" ca="1" si="331"/>
        <v>2022</v>
      </c>
      <c r="T1203" s="6">
        <f t="shared" ca="1" si="332"/>
        <v>11</v>
      </c>
      <c r="U1203" s="68">
        <f ca="1">IFERROR(__xludf.DUMMYFUNCTION("""COMPUTED_VALUE"""),44887.6458333333)</f>
        <v>44887.645833333299</v>
      </c>
      <c r="V1203" s="6">
        <f ca="1">IFERROR(__xludf.DUMMYFUNCTION("""COMPUTED_VALUE"""),2405.27)</f>
        <v>2405.27</v>
      </c>
      <c r="Z1203" s="6" t="str">
        <f t="shared" ca="1" si="333"/>
        <v>20216</v>
      </c>
      <c r="AA1203" s="6">
        <f t="shared" ca="1" si="334"/>
        <v>2021</v>
      </c>
      <c r="AB1203" s="6">
        <f t="shared" ca="1" si="335"/>
        <v>6</v>
      </c>
      <c r="AC1203" s="68">
        <f ca="1">IFERROR(__xludf.DUMMYFUNCTION("""COMPUTED_VALUE"""),44348.9986111111)</f>
        <v>44348.998611111099</v>
      </c>
      <c r="AD1203" s="6">
        <f ca="1">IFERROR(__xludf.DUMMYFUNCTION("""COMPUTED_VALUE"""),1107.21)</f>
        <v>1107.21</v>
      </c>
      <c r="AH1203" s="6" t="str">
        <f t="shared" ca="1" si="336"/>
        <v>20214</v>
      </c>
      <c r="AI1203" s="6">
        <f t="shared" ca="1" si="337"/>
        <v>2021</v>
      </c>
      <c r="AJ1203" s="6">
        <f t="shared" ca="1" si="338"/>
        <v>4</v>
      </c>
      <c r="AK1203" s="68">
        <f ca="1">IFERROR(__xludf.DUMMYFUNCTION("""COMPUTED_VALUE"""),44296.9986111111)</f>
        <v>44296.998611111099</v>
      </c>
      <c r="AL1203" s="6">
        <f ca="1">IFERROR(__xludf.DUMMYFUNCTION("""COMPUTED_VALUE"""),59778.52)</f>
        <v>59778.52</v>
      </c>
      <c r="AP1203" s="6" t="str">
        <f t="shared" ca="1" si="339"/>
        <v>202210</v>
      </c>
      <c r="AQ1203" s="6">
        <f t="shared" ca="1" si="340"/>
        <v>2022</v>
      </c>
      <c r="AR1203" s="6">
        <f t="shared" ca="1" si="341"/>
        <v>10</v>
      </c>
      <c r="AS1203" s="68">
        <f ca="1">IFERROR(__xludf.DUMMYFUNCTION("""COMPUTED_VALUE"""),44851.9986111111)</f>
        <v>44851.998611111099</v>
      </c>
      <c r="AT1203" s="6">
        <f ca="1">IFERROR(__xludf.DUMMYFUNCTION("""COMPUTED_VALUE"""),1664)</f>
        <v>1664</v>
      </c>
    </row>
    <row r="1204" spans="2:46" x14ac:dyDescent="0.35">
      <c r="B1204" s="6" t="str">
        <f t="shared" ca="1" si="324"/>
        <v>202210</v>
      </c>
      <c r="C1204" s="6">
        <f t="shared" ca="1" si="325"/>
        <v>2022</v>
      </c>
      <c r="D1204" s="6">
        <f t="shared" ca="1" si="326"/>
        <v>10</v>
      </c>
      <c r="E1204" s="68">
        <f ca="1">IFERROR(__xludf.DUMMYFUNCTION("""COMPUTED_VALUE"""),44844.6666666666)</f>
        <v>44844.666666666599</v>
      </c>
      <c r="F1204" s="6">
        <f ca="1">IFERROR(__xludf.DUMMYFUNCTION("""COMPUTED_VALUE"""),3612.39)</f>
        <v>3612.39</v>
      </c>
      <c r="J1204" s="6" t="str">
        <f t="shared" ca="1" si="327"/>
        <v>202210</v>
      </c>
      <c r="K1204" s="6">
        <f t="shared" ca="1" si="328"/>
        <v>2022</v>
      </c>
      <c r="L1204" s="6">
        <f t="shared" ca="1" si="329"/>
        <v>10</v>
      </c>
      <c r="M1204" s="68">
        <f ca="1">IFERROR(__xludf.DUMMYFUNCTION("""COMPUTED_VALUE"""),44837.6666666666)</f>
        <v>44837.666666666599</v>
      </c>
      <c r="N1204" s="6">
        <f ca="1">IFERROR(__xludf.DUMMYFUNCTION("""COMPUTED_VALUE"""),10815.44)</f>
        <v>10815.44</v>
      </c>
      <c r="R1204" s="6" t="str">
        <f t="shared" ca="1" si="330"/>
        <v>202211</v>
      </c>
      <c r="S1204" s="6">
        <f t="shared" ca="1" si="331"/>
        <v>2022</v>
      </c>
      <c r="T1204" s="6">
        <f t="shared" ca="1" si="332"/>
        <v>11</v>
      </c>
      <c r="U1204" s="68">
        <f ca="1">IFERROR(__xludf.DUMMYFUNCTION("""COMPUTED_VALUE"""),44888.6458333333)</f>
        <v>44888.645833333299</v>
      </c>
      <c r="V1204" s="6">
        <f ca="1">IFERROR(__xludf.DUMMYFUNCTION("""COMPUTED_VALUE"""),2418.01)</f>
        <v>2418.0100000000002</v>
      </c>
      <c r="Z1204" s="6" t="str">
        <f t="shared" ca="1" si="333"/>
        <v>20216</v>
      </c>
      <c r="AA1204" s="6">
        <f t="shared" ca="1" si="334"/>
        <v>2021</v>
      </c>
      <c r="AB1204" s="6">
        <f t="shared" ca="1" si="335"/>
        <v>6</v>
      </c>
      <c r="AC1204" s="68">
        <f ca="1">IFERROR(__xludf.DUMMYFUNCTION("""COMPUTED_VALUE"""),44349.9986111111)</f>
        <v>44349.998611111099</v>
      </c>
      <c r="AD1204" s="6">
        <f ca="1">IFERROR(__xludf.DUMMYFUNCTION("""COMPUTED_VALUE"""),1109.88)</f>
        <v>1109.8800000000001</v>
      </c>
      <c r="AH1204" s="6" t="str">
        <f t="shared" ca="1" si="336"/>
        <v>20214</v>
      </c>
      <c r="AI1204" s="6">
        <f t="shared" ca="1" si="337"/>
        <v>2021</v>
      </c>
      <c r="AJ1204" s="6">
        <f t="shared" ca="1" si="338"/>
        <v>4</v>
      </c>
      <c r="AK1204" s="68">
        <f ca="1">IFERROR(__xludf.DUMMYFUNCTION("""COMPUTED_VALUE"""),44297.9986111111)</f>
        <v>44297.998611111099</v>
      </c>
      <c r="AL1204" s="6">
        <f ca="1">IFERROR(__xludf.DUMMYFUNCTION("""COMPUTED_VALUE"""),59969.24)</f>
        <v>59969.24</v>
      </c>
      <c r="AP1204" s="6" t="str">
        <f t="shared" ca="1" si="339"/>
        <v>202210</v>
      </c>
      <c r="AQ1204" s="6">
        <f t="shared" ca="1" si="340"/>
        <v>2022</v>
      </c>
      <c r="AR1204" s="6">
        <f t="shared" ca="1" si="341"/>
        <v>10</v>
      </c>
      <c r="AS1204" s="68">
        <f ca="1">IFERROR(__xludf.DUMMYFUNCTION("""COMPUTED_VALUE"""),44852.9986111111)</f>
        <v>44852.998611111099</v>
      </c>
      <c r="AT1204" s="6">
        <f ca="1">IFERROR(__xludf.DUMMYFUNCTION("""COMPUTED_VALUE"""),1655.8)</f>
        <v>1655.8</v>
      </c>
    </row>
    <row r="1205" spans="2:46" x14ac:dyDescent="0.35">
      <c r="B1205" s="6" t="str">
        <f t="shared" ca="1" si="324"/>
        <v>202210</v>
      </c>
      <c r="C1205" s="6">
        <f t="shared" ca="1" si="325"/>
        <v>2022</v>
      </c>
      <c r="D1205" s="6">
        <f t="shared" ca="1" si="326"/>
        <v>10</v>
      </c>
      <c r="E1205" s="68">
        <f ca="1">IFERROR(__xludf.DUMMYFUNCTION("""COMPUTED_VALUE"""),44845.6666666666)</f>
        <v>44845.666666666599</v>
      </c>
      <c r="F1205" s="6">
        <f ca="1">IFERROR(__xludf.DUMMYFUNCTION("""COMPUTED_VALUE"""),3588.84)</f>
        <v>3588.84</v>
      </c>
      <c r="J1205" s="6" t="str">
        <f t="shared" ca="1" si="327"/>
        <v>202210</v>
      </c>
      <c r="K1205" s="6">
        <f t="shared" ca="1" si="328"/>
        <v>2022</v>
      </c>
      <c r="L1205" s="6">
        <f t="shared" ca="1" si="329"/>
        <v>10</v>
      </c>
      <c r="M1205" s="68">
        <f ca="1">IFERROR(__xludf.DUMMYFUNCTION("""COMPUTED_VALUE"""),44838.6666666666)</f>
        <v>44838.666666666599</v>
      </c>
      <c r="N1205" s="6">
        <f ca="1">IFERROR(__xludf.DUMMYFUNCTION("""COMPUTED_VALUE"""),11176.41)</f>
        <v>11176.41</v>
      </c>
      <c r="R1205" s="6" t="str">
        <f t="shared" ca="1" si="330"/>
        <v>202211</v>
      </c>
      <c r="S1205" s="6">
        <f t="shared" ca="1" si="331"/>
        <v>2022</v>
      </c>
      <c r="T1205" s="6">
        <f t="shared" ca="1" si="332"/>
        <v>11</v>
      </c>
      <c r="U1205" s="68">
        <f ca="1">IFERROR(__xludf.DUMMYFUNCTION("""COMPUTED_VALUE"""),44889.6458333333)</f>
        <v>44889.645833333299</v>
      </c>
      <c r="V1205" s="6">
        <f ca="1">IFERROR(__xludf.DUMMYFUNCTION("""COMPUTED_VALUE"""),2441.33)</f>
        <v>2441.33</v>
      </c>
      <c r="Z1205" s="6" t="str">
        <f t="shared" ca="1" si="333"/>
        <v>20216</v>
      </c>
      <c r="AA1205" s="6">
        <f t="shared" ca="1" si="334"/>
        <v>2021</v>
      </c>
      <c r="AB1205" s="6">
        <f t="shared" ca="1" si="335"/>
        <v>6</v>
      </c>
      <c r="AC1205" s="68">
        <f ca="1">IFERROR(__xludf.DUMMYFUNCTION("""COMPUTED_VALUE"""),44350.9986111111)</f>
        <v>44350.998611111099</v>
      </c>
      <c r="AD1205" s="6">
        <f ca="1">IFERROR(__xludf.DUMMYFUNCTION("""COMPUTED_VALUE"""),1115.44)</f>
        <v>1115.44</v>
      </c>
      <c r="AH1205" s="6" t="str">
        <f t="shared" ca="1" si="336"/>
        <v>20214</v>
      </c>
      <c r="AI1205" s="6">
        <f t="shared" ca="1" si="337"/>
        <v>2021</v>
      </c>
      <c r="AJ1205" s="6">
        <f t="shared" ca="1" si="338"/>
        <v>4</v>
      </c>
      <c r="AK1205" s="68">
        <f ca="1">IFERROR(__xludf.DUMMYFUNCTION("""COMPUTED_VALUE"""),44298.9986111111)</f>
        <v>44298.998611111099</v>
      </c>
      <c r="AL1205" s="6">
        <f ca="1">IFERROR(__xludf.DUMMYFUNCTION("""COMPUTED_VALUE"""),59855.68)</f>
        <v>59855.68</v>
      </c>
      <c r="AP1205" s="6" t="str">
        <f t="shared" ca="1" si="339"/>
        <v>202210</v>
      </c>
      <c r="AQ1205" s="6">
        <f t="shared" ca="1" si="340"/>
        <v>2022</v>
      </c>
      <c r="AR1205" s="6">
        <f t="shared" ca="1" si="341"/>
        <v>10</v>
      </c>
      <c r="AS1205" s="68">
        <f ca="1">IFERROR(__xludf.DUMMYFUNCTION("""COMPUTED_VALUE"""),44853.9986111111)</f>
        <v>44853.998611111099</v>
      </c>
      <c r="AT1205" s="6">
        <f ca="1">IFERROR(__xludf.DUMMYFUNCTION("""COMPUTED_VALUE"""),1634.2)</f>
        <v>1634.2</v>
      </c>
    </row>
    <row r="1206" spans="2:46" x14ac:dyDescent="0.35">
      <c r="B1206" s="6" t="str">
        <f t="shared" ca="1" si="324"/>
        <v>202210</v>
      </c>
      <c r="C1206" s="6">
        <f t="shared" ca="1" si="325"/>
        <v>2022</v>
      </c>
      <c r="D1206" s="6">
        <f t="shared" ca="1" si="326"/>
        <v>10</v>
      </c>
      <c r="E1206" s="68">
        <f ca="1">IFERROR(__xludf.DUMMYFUNCTION("""COMPUTED_VALUE"""),44846.6666666666)</f>
        <v>44846.666666666599</v>
      </c>
      <c r="F1206" s="6">
        <f ca="1">IFERROR(__xludf.DUMMYFUNCTION("""COMPUTED_VALUE"""),3577.03)</f>
        <v>3577.03</v>
      </c>
      <c r="J1206" s="6" t="str">
        <f t="shared" ca="1" si="327"/>
        <v>202210</v>
      </c>
      <c r="K1206" s="6">
        <f t="shared" ca="1" si="328"/>
        <v>2022</v>
      </c>
      <c r="L1206" s="6">
        <f t="shared" ca="1" si="329"/>
        <v>10</v>
      </c>
      <c r="M1206" s="68">
        <f ca="1">IFERROR(__xludf.DUMMYFUNCTION("""COMPUTED_VALUE"""),44839.6666666666)</f>
        <v>44839.666666666599</v>
      </c>
      <c r="N1206" s="6">
        <f ca="1">IFERROR(__xludf.DUMMYFUNCTION("""COMPUTED_VALUE"""),11148.64)</f>
        <v>11148.64</v>
      </c>
      <c r="R1206" s="6" t="str">
        <f t="shared" ca="1" si="330"/>
        <v>202211</v>
      </c>
      <c r="S1206" s="6">
        <f t="shared" ca="1" si="331"/>
        <v>2022</v>
      </c>
      <c r="T1206" s="6">
        <f t="shared" ca="1" si="332"/>
        <v>11</v>
      </c>
      <c r="U1206" s="68">
        <f ca="1">IFERROR(__xludf.DUMMYFUNCTION("""COMPUTED_VALUE"""),44890.6458333333)</f>
        <v>44890.645833333299</v>
      </c>
      <c r="V1206" s="6">
        <f ca="1">IFERROR(__xludf.DUMMYFUNCTION("""COMPUTED_VALUE"""),2437.86)</f>
        <v>2437.86</v>
      </c>
      <c r="Z1206" s="6" t="str">
        <f t="shared" ca="1" si="333"/>
        <v>20216</v>
      </c>
      <c r="AA1206" s="6">
        <f t="shared" ca="1" si="334"/>
        <v>2021</v>
      </c>
      <c r="AB1206" s="6">
        <f t="shared" ca="1" si="335"/>
        <v>6</v>
      </c>
      <c r="AC1206" s="68">
        <f ca="1">IFERROR(__xludf.DUMMYFUNCTION("""COMPUTED_VALUE"""),44351.9986111111)</f>
        <v>44351.998611111099</v>
      </c>
      <c r="AD1206" s="6">
        <f ca="1">IFERROR(__xludf.DUMMYFUNCTION("""COMPUTED_VALUE"""),1109.58)</f>
        <v>1109.58</v>
      </c>
      <c r="AH1206" s="6" t="str">
        <f t="shared" ca="1" si="336"/>
        <v>20214</v>
      </c>
      <c r="AI1206" s="6">
        <f t="shared" ca="1" si="337"/>
        <v>2021</v>
      </c>
      <c r="AJ1206" s="6">
        <f t="shared" ca="1" si="338"/>
        <v>4</v>
      </c>
      <c r="AK1206" s="68">
        <f ca="1">IFERROR(__xludf.DUMMYFUNCTION("""COMPUTED_VALUE"""),44299.9986111111)</f>
        <v>44299.998611111099</v>
      </c>
      <c r="AL1206" s="6">
        <f ca="1">IFERROR(__xludf.DUMMYFUNCTION("""COMPUTED_VALUE"""),63539.79)</f>
        <v>63539.79</v>
      </c>
      <c r="AP1206" s="6" t="str">
        <f t="shared" ca="1" si="339"/>
        <v>202210</v>
      </c>
      <c r="AQ1206" s="6">
        <f t="shared" ca="1" si="340"/>
        <v>2022</v>
      </c>
      <c r="AR1206" s="6">
        <f t="shared" ca="1" si="341"/>
        <v>10</v>
      </c>
      <c r="AS1206" s="68">
        <f ca="1">IFERROR(__xludf.DUMMYFUNCTION("""COMPUTED_VALUE"""),44854.9986111111)</f>
        <v>44854.998611111099</v>
      </c>
      <c r="AT1206" s="6">
        <f ca="1">IFERROR(__xludf.DUMMYFUNCTION("""COMPUTED_VALUE"""),1636.8)</f>
        <v>1636.8</v>
      </c>
    </row>
    <row r="1207" spans="2:46" x14ac:dyDescent="0.35">
      <c r="B1207" s="6" t="str">
        <f t="shared" ca="1" si="324"/>
        <v>202210</v>
      </c>
      <c r="C1207" s="6">
        <f t="shared" ca="1" si="325"/>
        <v>2022</v>
      </c>
      <c r="D1207" s="6">
        <f t="shared" ca="1" si="326"/>
        <v>10</v>
      </c>
      <c r="E1207" s="68">
        <f ca="1">IFERROR(__xludf.DUMMYFUNCTION("""COMPUTED_VALUE"""),44847.6666666666)</f>
        <v>44847.666666666599</v>
      </c>
      <c r="F1207" s="6">
        <f ca="1">IFERROR(__xludf.DUMMYFUNCTION("""COMPUTED_VALUE"""),3669.91)</f>
        <v>3669.91</v>
      </c>
      <c r="J1207" s="6" t="str">
        <f t="shared" ca="1" si="327"/>
        <v>202210</v>
      </c>
      <c r="K1207" s="6">
        <f t="shared" ca="1" si="328"/>
        <v>2022</v>
      </c>
      <c r="L1207" s="6">
        <f t="shared" ca="1" si="329"/>
        <v>10</v>
      </c>
      <c r="M1207" s="68">
        <f ca="1">IFERROR(__xludf.DUMMYFUNCTION("""COMPUTED_VALUE"""),44840.6666666666)</f>
        <v>44840.666666666599</v>
      </c>
      <c r="N1207" s="6">
        <f ca="1">IFERROR(__xludf.DUMMYFUNCTION("""COMPUTED_VALUE"""),11073.31)</f>
        <v>11073.31</v>
      </c>
      <c r="R1207" s="6" t="str">
        <f t="shared" ca="1" si="330"/>
        <v>202211</v>
      </c>
      <c r="S1207" s="6">
        <f t="shared" ca="1" si="331"/>
        <v>2022</v>
      </c>
      <c r="T1207" s="6">
        <f t="shared" ca="1" si="332"/>
        <v>11</v>
      </c>
      <c r="U1207" s="68">
        <f ca="1">IFERROR(__xludf.DUMMYFUNCTION("""COMPUTED_VALUE"""),44893.6458333333)</f>
        <v>44893.645833333299</v>
      </c>
      <c r="V1207" s="6">
        <f ca="1">IFERROR(__xludf.DUMMYFUNCTION("""COMPUTED_VALUE"""),2408.27)</f>
        <v>2408.27</v>
      </c>
      <c r="Z1207" s="6" t="str">
        <f t="shared" ca="1" si="333"/>
        <v>20216</v>
      </c>
      <c r="AA1207" s="6">
        <f t="shared" ca="1" si="334"/>
        <v>2021</v>
      </c>
      <c r="AB1207" s="6">
        <f t="shared" ca="1" si="335"/>
        <v>6</v>
      </c>
      <c r="AC1207" s="68">
        <f ca="1">IFERROR(__xludf.DUMMYFUNCTION("""COMPUTED_VALUE"""),44352.9986111111)</f>
        <v>44352.998611111099</v>
      </c>
      <c r="AD1207" s="6">
        <f ca="1">IFERROR(__xludf.DUMMYFUNCTION("""COMPUTED_VALUE"""),1109.58)</f>
        <v>1109.58</v>
      </c>
      <c r="AH1207" s="6" t="str">
        <f t="shared" ca="1" si="336"/>
        <v>20214</v>
      </c>
      <c r="AI1207" s="6">
        <f t="shared" ca="1" si="337"/>
        <v>2021</v>
      </c>
      <c r="AJ1207" s="6">
        <f t="shared" ca="1" si="338"/>
        <v>4</v>
      </c>
      <c r="AK1207" s="68">
        <f ca="1">IFERROR(__xludf.DUMMYFUNCTION("""COMPUTED_VALUE"""),44300.9986111111)</f>
        <v>44300.998611111099</v>
      </c>
      <c r="AL1207" s="6">
        <f ca="1">IFERROR(__xludf.DUMMYFUNCTION("""COMPUTED_VALUE"""),62990.01)</f>
        <v>62990.01</v>
      </c>
      <c r="AP1207" s="6" t="str">
        <f t="shared" ca="1" si="339"/>
        <v>202210</v>
      </c>
      <c r="AQ1207" s="6">
        <f t="shared" ca="1" si="340"/>
        <v>2022</v>
      </c>
      <c r="AR1207" s="6">
        <f t="shared" ca="1" si="341"/>
        <v>10</v>
      </c>
      <c r="AS1207" s="68">
        <f ca="1">IFERROR(__xludf.DUMMYFUNCTION("""COMPUTED_VALUE"""),44855.9986111111)</f>
        <v>44855.998611111099</v>
      </c>
      <c r="AT1207" s="6">
        <f ca="1">IFERROR(__xludf.DUMMYFUNCTION("""COMPUTED_VALUE"""),1656.3)</f>
        <v>1656.3</v>
      </c>
    </row>
    <row r="1208" spans="2:46" x14ac:dyDescent="0.35">
      <c r="B1208" s="6" t="str">
        <f t="shared" ca="1" si="324"/>
        <v>202210</v>
      </c>
      <c r="C1208" s="6">
        <f t="shared" ca="1" si="325"/>
        <v>2022</v>
      </c>
      <c r="D1208" s="6">
        <f t="shared" ca="1" si="326"/>
        <v>10</v>
      </c>
      <c r="E1208" s="68">
        <f ca="1">IFERROR(__xludf.DUMMYFUNCTION("""COMPUTED_VALUE"""),44848.6666666666)</f>
        <v>44848.666666666599</v>
      </c>
      <c r="F1208" s="6">
        <f ca="1">IFERROR(__xludf.DUMMYFUNCTION("""COMPUTED_VALUE"""),3583.07)</f>
        <v>3583.07</v>
      </c>
      <c r="J1208" s="6" t="str">
        <f t="shared" ca="1" si="327"/>
        <v>202210</v>
      </c>
      <c r="K1208" s="6">
        <f t="shared" ca="1" si="328"/>
        <v>2022</v>
      </c>
      <c r="L1208" s="6">
        <f t="shared" ca="1" si="329"/>
        <v>10</v>
      </c>
      <c r="M1208" s="68">
        <f ca="1">IFERROR(__xludf.DUMMYFUNCTION("""COMPUTED_VALUE"""),44841.6666666666)</f>
        <v>44841.666666666599</v>
      </c>
      <c r="N1208" s="6">
        <f ca="1">IFERROR(__xludf.DUMMYFUNCTION("""COMPUTED_VALUE"""),10652.41)</f>
        <v>10652.41</v>
      </c>
      <c r="R1208" s="6" t="str">
        <f t="shared" ca="1" si="330"/>
        <v>202211</v>
      </c>
      <c r="S1208" s="6">
        <f t="shared" ca="1" si="331"/>
        <v>2022</v>
      </c>
      <c r="T1208" s="6">
        <f t="shared" ca="1" si="332"/>
        <v>11</v>
      </c>
      <c r="U1208" s="68">
        <f ca="1">IFERROR(__xludf.DUMMYFUNCTION("""COMPUTED_VALUE"""),44894.6458333333)</f>
        <v>44894.645833333299</v>
      </c>
      <c r="V1208" s="6">
        <f ca="1">IFERROR(__xludf.DUMMYFUNCTION("""COMPUTED_VALUE"""),2433.39)</f>
        <v>2433.39</v>
      </c>
      <c r="Z1208" s="6" t="str">
        <f t="shared" ca="1" si="333"/>
        <v>20216</v>
      </c>
      <c r="AA1208" s="6">
        <f t="shared" ca="1" si="334"/>
        <v>2021</v>
      </c>
      <c r="AB1208" s="6">
        <f t="shared" ca="1" si="335"/>
        <v>6</v>
      </c>
      <c r="AC1208" s="68">
        <f ca="1">IFERROR(__xludf.DUMMYFUNCTION("""COMPUTED_VALUE"""),44353.9986111111)</f>
        <v>44353.998611111099</v>
      </c>
      <c r="AD1208" s="6">
        <f ca="1">IFERROR(__xludf.DUMMYFUNCTION("""COMPUTED_VALUE"""),1109.68)</f>
        <v>1109.68</v>
      </c>
      <c r="AH1208" s="6" t="str">
        <f t="shared" ca="1" si="336"/>
        <v>20214</v>
      </c>
      <c r="AI1208" s="6">
        <f t="shared" ca="1" si="337"/>
        <v>2021</v>
      </c>
      <c r="AJ1208" s="6">
        <f t="shared" ca="1" si="338"/>
        <v>4</v>
      </c>
      <c r="AK1208" s="68">
        <f ca="1">IFERROR(__xludf.DUMMYFUNCTION("""COMPUTED_VALUE"""),44301.9986111111)</f>
        <v>44301.998611111099</v>
      </c>
      <c r="AL1208" s="6">
        <f ca="1">IFERROR(__xludf.DUMMYFUNCTION("""COMPUTED_VALUE"""),63263.76)</f>
        <v>63263.76</v>
      </c>
      <c r="AP1208" s="6" t="str">
        <f t="shared" ca="1" si="339"/>
        <v>202210</v>
      </c>
      <c r="AQ1208" s="6">
        <f t="shared" ca="1" si="340"/>
        <v>2022</v>
      </c>
      <c r="AR1208" s="6">
        <f t="shared" ca="1" si="341"/>
        <v>10</v>
      </c>
      <c r="AS1208" s="68">
        <f ca="1">IFERROR(__xludf.DUMMYFUNCTION("""COMPUTED_VALUE"""),44858.9986111111)</f>
        <v>44858.998611111099</v>
      </c>
      <c r="AT1208" s="6">
        <f ca="1">IFERROR(__xludf.DUMMYFUNCTION("""COMPUTED_VALUE"""),1654.1)</f>
        <v>1654.1</v>
      </c>
    </row>
    <row r="1209" spans="2:46" x14ac:dyDescent="0.35">
      <c r="B1209" s="6" t="str">
        <f t="shared" ca="1" si="324"/>
        <v>202210</v>
      </c>
      <c r="C1209" s="6">
        <f t="shared" ca="1" si="325"/>
        <v>2022</v>
      </c>
      <c r="D1209" s="6">
        <f t="shared" ca="1" si="326"/>
        <v>10</v>
      </c>
      <c r="E1209" s="68">
        <f ca="1">IFERROR(__xludf.DUMMYFUNCTION("""COMPUTED_VALUE"""),44851.6666666666)</f>
        <v>44851.666666666599</v>
      </c>
      <c r="F1209" s="6">
        <f ca="1">IFERROR(__xludf.DUMMYFUNCTION("""COMPUTED_VALUE"""),3677.95)</f>
        <v>3677.95</v>
      </c>
      <c r="J1209" s="6" t="str">
        <f t="shared" ca="1" si="327"/>
        <v>202210</v>
      </c>
      <c r="K1209" s="6">
        <f t="shared" ca="1" si="328"/>
        <v>2022</v>
      </c>
      <c r="L1209" s="6">
        <f t="shared" ca="1" si="329"/>
        <v>10</v>
      </c>
      <c r="M1209" s="68">
        <f ca="1">IFERROR(__xludf.DUMMYFUNCTION("""COMPUTED_VALUE"""),44844.6666666666)</f>
        <v>44844.666666666599</v>
      </c>
      <c r="N1209" s="6">
        <f ca="1">IFERROR(__xludf.DUMMYFUNCTION("""COMPUTED_VALUE"""),10542.1)</f>
        <v>10542.1</v>
      </c>
      <c r="R1209" s="6" t="str">
        <f t="shared" ca="1" si="330"/>
        <v>202211</v>
      </c>
      <c r="S1209" s="6">
        <f t="shared" ca="1" si="331"/>
        <v>2022</v>
      </c>
      <c r="T1209" s="6">
        <f t="shared" ca="1" si="332"/>
        <v>11</v>
      </c>
      <c r="U1209" s="68">
        <f ca="1">IFERROR(__xludf.DUMMYFUNCTION("""COMPUTED_VALUE"""),44895.6458333333)</f>
        <v>44895.645833333299</v>
      </c>
      <c r="V1209" s="6">
        <f ca="1">IFERROR(__xludf.DUMMYFUNCTION("""COMPUTED_VALUE"""),2472.53)</f>
        <v>2472.5300000000002</v>
      </c>
      <c r="Z1209" s="6" t="str">
        <f t="shared" ca="1" si="333"/>
        <v>20216</v>
      </c>
      <c r="AA1209" s="6">
        <f t="shared" ca="1" si="334"/>
        <v>2021</v>
      </c>
      <c r="AB1209" s="6">
        <f t="shared" ca="1" si="335"/>
        <v>6</v>
      </c>
      <c r="AC1209" s="68">
        <f ca="1">IFERROR(__xludf.DUMMYFUNCTION("""COMPUTED_VALUE"""),44354.9986111111)</f>
        <v>44354.998611111099</v>
      </c>
      <c r="AD1209" s="6">
        <f ca="1">IFERROR(__xludf.DUMMYFUNCTION("""COMPUTED_VALUE"""),1109.32)</f>
        <v>1109.32</v>
      </c>
      <c r="AH1209" s="6" t="str">
        <f t="shared" ca="1" si="336"/>
        <v>20214</v>
      </c>
      <c r="AI1209" s="6">
        <f t="shared" ca="1" si="337"/>
        <v>2021</v>
      </c>
      <c r="AJ1209" s="6">
        <f t="shared" ca="1" si="338"/>
        <v>4</v>
      </c>
      <c r="AK1209" s="68">
        <f ca="1">IFERROR(__xludf.DUMMYFUNCTION("""COMPUTED_VALUE"""),44302.9986111111)</f>
        <v>44302.998611111099</v>
      </c>
      <c r="AL1209" s="6">
        <f ca="1">IFERROR(__xludf.DUMMYFUNCTION("""COMPUTED_VALUE"""),61404.21)</f>
        <v>61404.21</v>
      </c>
      <c r="AP1209" s="6" t="str">
        <f t="shared" ca="1" si="339"/>
        <v>202210</v>
      </c>
      <c r="AQ1209" s="6">
        <f t="shared" ca="1" si="340"/>
        <v>2022</v>
      </c>
      <c r="AR1209" s="6">
        <f t="shared" ca="1" si="341"/>
        <v>10</v>
      </c>
      <c r="AS1209" s="68">
        <f ca="1">IFERROR(__xludf.DUMMYFUNCTION("""COMPUTED_VALUE"""),44859.9986111111)</f>
        <v>44859.998611111099</v>
      </c>
      <c r="AT1209" s="6">
        <f ca="1">IFERROR(__xludf.DUMMYFUNCTION("""COMPUTED_VALUE"""),1658)</f>
        <v>1658</v>
      </c>
    </row>
    <row r="1210" spans="2:46" x14ac:dyDescent="0.35">
      <c r="B1210" s="6" t="str">
        <f t="shared" ca="1" si="324"/>
        <v>202210</v>
      </c>
      <c r="C1210" s="6">
        <f t="shared" ca="1" si="325"/>
        <v>2022</v>
      </c>
      <c r="D1210" s="6">
        <f t="shared" ca="1" si="326"/>
        <v>10</v>
      </c>
      <c r="E1210" s="68">
        <f ca="1">IFERROR(__xludf.DUMMYFUNCTION("""COMPUTED_VALUE"""),44852.6666666666)</f>
        <v>44852.666666666599</v>
      </c>
      <c r="F1210" s="6">
        <f ca="1">IFERROR(__xludf.DUMMYFUNCTION("""COMPUTED_VALUE"""),3719.98)</f>
        <v>3719.98</v>
      </c>
      <c r="J1210" s="6" t="str">
        <f t="shared" ca="1" si="327"/>
        <v>202210</v>
      </c>
      <c r="K1210" s="6">
        <f t="shared" ca="1" si="328"/>
        <v>2022</v>
      </c>
      <c r="L1210" s="6">
        <f t="shared" ca="1" si="329"/>
        <v>10</v>
      </c>
      <c r="M1210" s="68">
        <f ca="1">IFERROR(__xludf.DUMMYFUNCTION("""COMPUTED_VALUE"""),44845.6666666666)</f>
        <v>44845.666666666599</v>
      </c>
      <c r="N1210" s="6">
        <f ca="1">IFERROR(__xludf.DUMMYFUNCTION("""COMPUTED_VALUE"""),10426.19)</f>
        <v>10426.19</v>
      </c>
      <c r="R1210" s="6" t="str">
        <f t="shared" ca="1" si="330"/>
        <v>202212</v>
      </c>
      <c r="S1210" s="6">
        <f t="shared" ca="1" si="331"/>
        <v>2022</v>
      </c>
      <c r="T1210" s="6">
        <f t="shared" ca="1" si="332"/>
        <v>12</v>
      </c>
      <c r="U1210" s="68">
        <f ca="1">IFERROR(__xludf.DUMMYFUNCTION("""COMPUTED_VALUE"""),44896.6458333333)</f>
        <v>44896.645833333299</v>
      </c>
      <c r="V1210" s="6">
        <f ca="1">IFERROR(__xludf.DUMMYFUNCTION("""COMPUTED_VALUE"""),2479.84)</f>
        <v>2479.84</v>
      </c>
      <c r="Z1210" s="6" t="str">
        <f t="shared" ca="1" si="333"/>
        <v>20216</v>
      </c>
      <c r="AA1210" s="6">
        <f t="shared" ca="1" si="334"/>
        <v>2021</v>
      </c>
      <c r="AB1210" s="6">
        <f t="shared" ca="1" si="335"/>
        <v>6</v>
      </c>
      <c r="AC1210" s="68">
        <f ca="1">IFERROR(__xludf.DUMMYFUNCTION("""COMPUTED_VALUE"""),44355.9986111111)</f>
        <v>44355.998611111099</v>
      </c>
      <c r="AD1210" s="6">
        <f ca="1">IFERROR(__xludf.DUMMYFUNCTION("""COMPUTED_VALUE"""),1116.89)</f>
        <v>1116.8900000000001</v>
      </c>
      <c r="AH1210" s="6" t="str">
        <f t="shared" ca="1" si="336"/>
        <v>20214</v>
      </c>
      <c r="AI1210" s="6">
        <f t="shared" ca="1" si="337"/>
        <v>2021</v>
      </c>
      <c r="AJ1210" s="6">
        <f t="shared" ca="1" si="338"/>
        <v>4</v>
      </c>
      <c r="AK1210" s="68">
        <f ca="1">IFERROR(__xludf.DUMMYFUNCTION("""COMPUTED_VALUE"""),44303.9986111111)</f>
        <v>44303.998611111099</v>
      </c>
      <c r="AL1210" s="6">
        <f ca="1">IFERROR(__xludf.DUMMYFUNCTION("""COMPUTED_VALUE"""),60053.62)</f>
        <v>60053.62</v>
      </c>
      <c r="AP1210" s="6" t="str">
        <f t="shared" ca="1" si="339"/>
        <v>202210</v>
      </c>
      <c r="AQ1210" s="6">
        <f t="shared" ca="1" si="340"/>
        <v>2022</v>
      </c>
      <c r="AR1210" s="6">
        <f t="shared" ca="1" si="341"/>
        <v>10</v>
      </c>
      <c r="AS1210" s="68">
        <f ca="1">IFERROR(__xludf.DUMMYFUNCTION("""COMPUTED_VALUE"""),44860.9986111111)</f>
        <v>44860.998611111099</v>
      </c>
      <c r="AT1210" s="6">
        <f ca="1">IFERROR(__xludf.DUMMYFUNCTION("""COMPUTED_VALUE"""),1669.2)</f>
        <v>1669.2</v>
      </c>
    </row>
    <row r="1211" spans="2:46" x14ac:dyDescent="0.35">
      <c r="B1211" s="6" t="str">
        <f t="shared" ca="1" si="324"/>
        <v>202210</v>
      </c>
      <c r="C1211" s="6">
        <f t="shared" ca="1" si="325"/>
        <v>2022</v>
      </c>
      <c r="D1211" s="6">
        <f t="shared" ca="1" si="326"/>
        <v>10</v>
      </c>
      <c r="E1211" s="68">
        <f ca="1">IFERROR(__xludf.DUMMYFUNCTION("""COMPUTED_VALUE"""),44853.6666666666)</f>
        <v>44853.666666666599</v>
      </c>
      <c r="F1211" s="6">
        <f ca="1">IFERROR(__xludf.DUMMYFUNCTION("""COMPUTED_VALUE"""),3695.16)</f>
        <v>3695.16</v>
      </c>
      <c r="J1211" s="6" t="str">
        <f t="shared" ca="1" si="327"/>
        <v>202210</v>
      </c>
      <c r="K1211" s="6">
        <f t="shared" ca="1" si="328"/>
        <v>2022</v>
      </c>
      <c r="L1211" s="6">
        <f t="shared" ca="1" si="329"/>
        <v>10</v>
      </c>
      <c r="M1211" s="68">
        <f ca="1">IFERROR(__xludf.DUMMYFUNCTION("""COMPUTED_VALUE"""),44846.6666666666)</f>
        <v>44846.666666666599</v>
      </c>
      <c r="N1211" s="6">
        <f ca="1">IFERROR(__xludf.DUMMYFUNCTION("""COMPUTED_VALUE"""),10417.1)</f>
        <v>10417.1</v>
      </c>
      <c r="R1211" s="6" t="str">
        <f t="shared" ca="1" si="330"/>
        <v>202212</v>
      </c>
      <c r="S1211" s="6">
        <f t="shared" ca="1" si="331"/>
        <v>2022</v>
      </c>
      <c r="T1211" s="6">
        <f t="shared" ca="1" si="332"/>
        <v>12</v>
      </c>
      <c r="U1211" s="68">
        <f ca="1">IFERROR(__xludf.DUMMYFUNCTION("""COMPUTED_VALUE"""),44897.6458333333)</f>
        <v>44897.645833333299</v>
      </c>
      <c r="V1211" s="6">
        <f ca="1">IFERROR(__xludf.DUMMYFUNCTION("""COMPUTED_VALUE"""),2434.33)</f>
        <v>2434.33</v>
      </c>
      <c r="Z1211" s="6" t="str">
        <f t="shared" ca="1" si="333"/>
        <v>20216</v>
      </c>
      <c r="AA1211" s="6">
        <f t="shared" ca="1" si="334"/>
        <v>2021</v>
      </c>
      <c r="AB1211" s="6">
        <f t="shared" ca="1" si="335"/>
        <v>6</v>
      </c>
      <c r="AC1211" s="68">
        <f ca="1">IFERROR(__xludf.DUMMYFUNCTION("""COMPUTED_VALUE"""),44356.9986111111)</f>
        <v>44356.998611111099</v>
      </c>
      <c r="AD1211" s="6">
        <f ca="1">IFERROR(__xludf.DUMMYFUNCTION("""COMPUTED_VALUE"""),1116.41)</f>
        <v>1116.4100000000001</v>
      </c>
      <c r="AH1211" s="6" t="str">
        <f t="shared" ca="1" si="336"/>
        <v>20214</v>
      </c>
      <c r="AI1211" s="6">
        <f t="shared" ca="1" si="337"/>
        <v>2021</v>
      </c>
      <c r="AJ1211" s="6">
        <f t="shared" ca="1" si="338"/>
        <v>4</v>
      </c>
      <c r="AK1211" s="68">
        <f ca="1">IFERROR(__xludf.DUMMYFUNCTION("""COMPUTED_VALUE"""),44304.9986111111)</f>
        <v>44304.998611111099</v>
      </c>
      <c r="AL1211" s="6">
        <f ca="1">IFERROR(__xludf.DUMMYFUNCTION("""COMPUTED_VALUE"""),56245.47)</f>
        <v>56245.47</v>
      </c>
      <c r="AP1211" s="6" t="str">
        <f t="shared" ca="1" si="339"/>
        <v>202210</v>
      </c>
      <c r="AQ1211" s="6">
        <f t="shared" ca="1" si="340"/>
        <v>2022</v>
      </c>
      <c r="AR1211" s="6">
        <f t="shared" ca="1" si="341"/>
        <v>10</v>
      </c>
      <c r="AS1211" s="68">
        <f ca="1">IFERROR(__xludf.DUMMYFUNCTION("""COMPUTED_VALUE"""),44861.9986111111)</f>
        <v>44861.998611111099</v>
      </c>
      <c r="AT1211" s="6">
        <f ca="1">IFERROR(__xludf.DUMMYFUNCTION("""COMPUTED_VALUE"""),1665.6)</f>
        <v>1665.6</v>
      </c>
    </row>
    <row r="1212" spans="2:46" x14ac:dyDescent="0.35">
      <c r="B1212" s="6" t="str">
        <f t="shared" ca="1" si="324"/>
        <v>202210</v>
      </c>
      <c r="C1212" s="6">
        <f t="shared" ca="1" si="325"/>
        <v>2022</v>
      </c>
      <c r="D1212" s="6">
        <f t="shared" ca="1" si="326"/>
        <v>10</v>
      </c>
      <c r="E1212" s="68">
        <f ca="1">IFERROR(__xludf.DUMMYFUNCTION("""COMPUTED_VALUE"""),44854.6666666666)</f>
        <v>44854.666666666599</v>
      </c>
      <c r="F1212" s="6">
        <f ca="1">IFERROR(__xludf.DUMMYFUNCTION("""COMPUTED_VALUE"""),3665.78)</f>
        <v>3665.78</v>
      </c>
      <c r="J1212" s="6" t="str">
        <f t="shared" ca="1" si="327"/>
        <v>202210</v>
      </c>
      <c r="K1212" s="6">
        <f t="shared" ca="1" si="328"/>
        <v>2022</v>
      </c>
      <c r="L1212" s="6">
        <f t="shared" ca="1" si="329"/>
        <v>10</v>
      </c>
      <c r="M1212" s="68">
        <f ca="1">IFERROR(__xludf.DUMMYFUNCTION("""COMPUTED_VALUE"""),44847.6666666666)</f>
        <v>44847.666666666599</v>
      </c>
      <c r="N1212" s="6">
        <f ca="1">IFERROR(__xludf.DUMMYFUNCTION("""COMPUTED_VALUE"""),10649.15)</f>
        <v>10649.15</v>
      </c>
      <c r="R1212" s="6" t="str">
        <f t="shared" ca="1" si="330"/>
        <v>202212</v>
      </c>
      <c r="S1212" s="6">
        <f t="shared" ca="1" si="331"/>
        <v>2022</v>
      </c>
      <c r="T1212" s="6">
        <f t="shared" ca="1" si="332"/>
        <v>12</v>
      </c>
      <c r="U1212" s="68">
        <f ca="1">IFERROR(__xludf.DUMMYFUNCTION("""COMPUTED_VALUE"""),44900.6458333333)</f>
        <v>44900.645833333299</v>
      </c>
      <c r="V1212" s="6">
        <f ca="1">IFERROR(__xludf.DUMMYFUNCTION("""COMPUTED_VALUE"""),2419.32)</f>
        <v>2419.3200000000002</v>
      </c>
      <c r="Z1212" s="6" t="str">
        <f t="shared" ca="1" si="333"/>
        <v>20216</v>
      </c>
      <c r="AA1212" s="6">
        <f t="shared" ca="1" si="334"/>
        <v>2021</v>
      </c>
      <c r="AB1212" s="6">
        <f t="shared" ca="1" si="335"/>
        <v>6</v>
      </c>
      <c r="AC1212" s="68">
        <f ca="1">IFERROR(__xludf.DUMMYFUNCTION("""COMPUTED_VALUE"""),44357.9986111111)</f>
        <v>44357.998611111099</v>
      </c>
      <c r="AD1212" s="6">
        <f ca="1">IFERROR(__xludf.DUMMYFUNCTION("""COMPUTED_VALUE"""),1111.26)</f>
        <v>1111.26</v>
      </c>
      <c r="AH1212" s="6" t="str">
        <f t="shared" ca="1" si="336"/>
        <v>20214</v>
      </c>
      <c r="AI1212" s="6">
        <f t="shared" ca="1" si="337"/>
        <v>2021</v>
      </c>
      <c r="AJ1212" s="6">
        <f t="shared" ca="1" si="338"/>
        <v>4</v>
      </c>
      <c r="AK1212" s="68">
        <f ca="1">IFERROR(__xludf.DUMMYFUNCTION("""COMPUTED_VALUE"""),44305.9986111111)</f>
        <v>44305.998611111099</v>
      </c>
      <c r="AL1212" s="6">
        <f ca="1">IFERROR(__xludf.DUMMYFUNCTION("""COMPUTED_VALUE"""),55685.4)</f>
        <v>55685.4</v>
      </c>
      <c r="AP1212" s="6" t="str">
        <f t="shared" ca="1" si="339"/>
        <v>202210</v>
      </c>
      <c r="AQ1212" s="6">
        <f t="shared" ca="1" si="340"/>
        <v>2022</v>
      </c>
      <c r="AR1212" s="6">
        <f t="shared" ca="1" si="341"/>
        <v>10</v>
      </c>
      <c r="AS1212" s="68">
        <f ca="1">IFERROR(__xludf.DUMMYFUNCTION("""COMPUTED_VALUE"""),44862.9986111111)</f>
        <v>44862.998611111099</v>
      </c>
      <c r="AT1212" s="6">
        <f ca="1">IFERROR(__xludf.DUMMYFUNCTION("""COMPUTED_VALUE"""),1644.8)</f>
        <v>1644.8</v>
      </c>
    </row>
    <row r="1213" spans="2:46" x14ac:dyDescent="0.35">
      <c r="B1213" s="6" t="str">
        <f t="shared" ca="1" si="324"/>
        <v>202210</v>
      </c>
      <c r="C1213" s="6">
        <f t="shared" ca="1" si="325"/>
        <v>2022</v>
      </c>
      <c r="D1213" s="6">
        <f t="shared" ca="1" si="326"/>
        <v>10</v>
      </c>
      <c r="E1213" s="68">
        <f ca="1">IFERROR(__xludf.DUMMYFUNCTION("""COMPUTED_VALUE"""),44855.6666666666)</f>
        <v>44855.666666666599</v>
      </c>
      <c r="F1213" s="6">
        <f ca="1">IFERROR(__xludf.DUMMYFUNCTION("""COMPUTED_VALUE"""),3752.75)</f>
        <v>3752.75</v>
      </c>
      <c r="J1213" s="6" t="str">
        <f t="shared" ca="1" si="327"/>
        <v>202210</v>
      </c>
      <c r="K1213" s="6">
        <f t="shared" ca="1" si="328"/>
        <v>2022</v>
      </c>
      <c r="L1213" s="6">
        <f t="shared" ca="1" si="329"/>
        <v>10</v>
      </c>
      <c r="M1213" s="68">
        <f ca="1">IFERROR(__xludf.DUMMYFUNCTION("""COMPUTED_VALUE"""),44848.6666666666)</f>
        <v>44848.666666666599</v>
      </c>
      <c r="N1213" s="6">
        <f ca="1">IFERROR(__xludf.DUMMYFUNCTION("""COMPUTED_VALUE"""),10321.39)</f>
        <v>10321.39</v>
      </c>
      <c r="R1213" s="6" t="str">
        <f t="shared" ca="1" si="330"/>
        <v>202212</v>
      </c>
      <c r="S1213" s="6">
        <f t="shared" ca="1" si="331"/>
        <v>2022</v>
      </c>
      <c r="T1213" s="6">
        <f t="shared" ca="1" si="332"/>
        <v>12</v>
      </c>
      <c r="U1213" s="68">
        <f ca="1">IFERROR(__xludf.DUMMYFUNCTION("""COMPUTED_VALUE"""),44901.6458333333)</f>
        <v>44901.645833333299</v>
      </c>
      <c r="V1213" s="6">
        <f ca="1">IFERROR(__xludf.DUMMYFUNCTION("""COMPUTED_VALUE"""),2393.16)</f>
        <v>2393.16</v>
      </c>
      <c r="Z1213" s="6" t="str">
        <f t="shared" ca="1" si="333"/>
        <v>20216</v>
      </c>
      <c r="AA1213" s="6">
        <f t="shared" ca="1" si="334"/>
        <v>2021</v>
      </c>
      <c r="AB1213" s="6">
        <f t="shared" ca="1" si="335"/>
        <v>6</v>
      </c>
      <c r="AC1213" s="68">
        <f ca="1">IFERROR(__xludf.DUMMYFUNCTION("""COMPUTED_VALUE"""),44358.9986111111)</f>
        <v>44358.998611111099</v>
      </c>
      <c r="AD1213" s="6">
        <f ca="1">IFERROR(__xludf.DUMMYFUNCTION("""COMPUTED_VALUE"""),1115.65)</f>
        <v>1115.6500000000001</v>
      </c>
      <c r="AH1213" s="6" t="str">
        <f t="shared" ca="1" si="336"/>
        <v>20214</v>
      </c>
      <c r="AI1213" s="6">
        <f t="shared" ca="1" si="337"/>
        <v>2021</v>
      </c>
      <c r="AJ1213" s="6">
        <f t="shared" ca="1" si="338"/>
        <v>4</v>
      </c>
      <c r="AK1213" s="68">
        <f ca="1">IFERROR(__xludf.DUMMYFUNCTION("""COMPUTED_VALUE"""),44306.9986111111)</f>
        <v>44306.998611111099</v>
      </c>
      <c r="AL1213" s="6">
        <f ca="1">IFERROR(__xludf.DUMMYFUNCTION("""COMPUTED_VALUE"""),56481.9)</f>
        <v>56481.9</v>
      </c>
      <c r="AP1213" s="6" t="str">
        <f t="shared" ca="1" si="339"/>
        <v>202210</v>
      </c>
      <c r="AQ1213" s="6">
        <f t="shared" ca="1" si="340"/>
        <v>2022</v>
      </c>
      <c r="AR1213" s="6">
        <f t="shared" ca="1" si="341"/>
        <v>10</v>
      </c>
      <c r="AS1213" s="68">
        <f ca="1">IFERROR(__xludf.DUMMYFUNCTION("""COMPUTED_VALUE"""),44865.9986111111)</f>
        <v>44865.998611111099</v>
      </c>
      <c r="AT1213" s="6">
        <f ca="1">IFERROR(__xludf.DUMMYFUNCTION("""COMPUTED_VALUE"""),1640.7)</f>
        <v>1640.7</v>
      </c>
    </row>
    <row r="1214" spans="2:46" x14ac:dyDescent="0.35">
      <c r="B1214" s="6" t="str">
        <f t="shared" ca="1" si="324"/>
        <v>202210</v>
      </c>
      <c r="C1214" s="6">
        <f t="shared" ca="1" si="325"/>
        <v>2022</v>
      </c>
      <c r="D1214" s="6">
        <f t="shared" ca="1" si="326"/>
        <v>10</v>
      </c>
      <c r="E1214" s="68">
        <f ca="1">IFERROR(__xludf.DUMMYFUNCTION("""COMPUTED_VALUE"""),44858.6666666666)</f>
        <v>44858.666666666599</v>
      </c>
      <c r="F1214" s="6">
        <f ca="1">IFERROR(__xludf.DUMMYFUNCTION("""COMPUTED_VALUE"""),3797.34)</f>
        <v>3797.34</v>
      </c>
      <c r="J1214" s="6" t="str">
        <f t="shared" ca="1" si="327"/>
        <v>202210</v>
      </c>
      <c r="K1214" s="6">
        <f t="shared" ca="1" si="328"/>
        <v>2022</v>
      </c>
      <c r="L1214" s="6">
        <f t="shared" ca="1" si="329"/>
        <v>10</v>
      </c>
      <c r="M1214" s="68">
        <f ca="1">IFERROR(__xludf.DUMMYFUNCTION("""COMPUTED_VALUE"""),44851.6666666666)</f>
        <v>44851.666666666599</v>
      </c>
      <c r="N1214" s="6">
        <f ca="1">IFERROR(__xludf.DUMMYFUNCTION("""COMPUTED_VALUE"""),10675.8)</f>
        <v>10675.8</v>
      </c>
      <c r="R1214" s="6" t="str">
        <f t="shared" ca="1" si="330"/>
        <v>202212</v>
      </c>
      <c r="S1214" s="6">
        <f t="shared" ca="1" si="331"/>
        <v>2022</v>
      </c>
      <c r="T1214" s="6">
        <f t="shared" ca="1" si="332"/>
        <v>12</v>
      </c>
      <c r="U1214" s="68">
        <f ca="1">IFERROR(__xludf.DUMMYFUNCTION("""COMPUTED_VALUE"""),44902.6458333333)</f>
        <v>44902.645833333299</v>
      </c>
      <c r="V1214" s="6">
        <f ca="1">IFERROR(__xludf.DUMMYFUNCTION("""COMPUTED_VALUE"""),2382.81)</f>
        <v>2382.81</v>
      </c>
      <c r="Z1214" s="6" t="str">
        <f t="shared" ca="1" si="333"/>
        <v>20216</v>
      </c>
      <c r="AA1214" s="6">
        <f t="shared" ca="1" si="334"/>
        <v>2021</v>
      </c>
      <c r="AB1214" s="6">
        <f t="shared" ca="1" si="335"/>
        <v>6</v>
      </c>
      <c r="AC1214" s="68">
        <f ca="1">IFERROR(__xludf.DUMMYFUNCTION("""COMPUTED_VALUE"""),44359.9986111111)</f>
        <v>44359.998611111099</v>
      </c>
      <c r="AD1214" s="6">
        <f ca="1">IFERROR(__xludf.DUMMYFUNCTION("""COMPUTED_VALUE"""),1115.65)</f>
        <v>1115.6500000000001</v>
      </c>
      <c r="AH1214" s="6" t="str">
        <f t="shared" ca="1" si="336"/>
        <v>20214</v>
      </c>
      <c r="AI1214" s="6">
        <f t="shared" ca="1" si="337"/>
        <v>2021</v>
      </c>
      <c r="AJ1214" s="6">
        <f t="shared" ca="1" si="338"/>
        <v>4</v>
      </c>
      <c r="AK1214" s="68">
        <f ca="1">IFERROR(__xludf.DUMMYFUNCTION("""COMPUTED_VALUE"""),44307.9986111111)</f>
        <v>44307.998611111099</v>
      </c>
      <c r="AL1214" s="6">
        <f ca="1">IFERROR(__xludf.DUMMYFUNCTION("""COMPUTED_VALUE"""),53820.08)</f>
        <v>53820.08</v>
      </c>
      <c r="AP1214" s="6" t="str">
        <f t="shared" ca="1" si="339"/>
        <v>202211</v>
      </c>
      <c r="AQ1214" s="6">
        <f t="shared" ca="1" si="340"/>
        <v>2022</v>
      </c>
      <c r="AR1214" s="6">
        <f t="shared" ca="1" si="341"/>
        <v>11</v>
      </c>
      <c r="AS1214" s="68">
        <f ca="1">IFERROR(__xludf.DUMMYFUNCTION("""COMPUTED_VALUE"""),44866.9986111111)</f>
        <v>44866.998611111099</v>
      </c>
      <c r="AT1214" s="6">
        <f ca="1">IFERROR(__xludf.DUMMYFUNCTION("""COMPUTED_VALUE"""),1649.7)</f>
        <v>1649.7</v>
      </c>
    </row>
    <row r="1215" spans="2:46" x14ac:dyDescent="0.35">
      <c r="B1215" s="6" t="str">
        <f t="shared" ca="1" si="324"/>
        <v>202210</v>
      </c>
      <c r="C1215" s="6">
        <f t="shared" ca="1" si="325"/>
        <v>2022</v>
      </c>
      <c r="D1215" s="6">
        <f t="shared" ca="1" si="326"/>
        <v>10</v>
      </c>
      <c r="E1215" s="68">
        <f ca="1">IFERROR(__xludf.DUMMYFUNCTION("""COMPUTED_VALUE"""),44859.6666666666)</f>
        <v>44859.666666666599</v>
      </c>
      <c r="F1215" s="6">
        <f ca="1">IFERROR(__xludf.DUMMYFUNCTION("""COMPUTED_VALUE"""),3859.11)</f>
        <v>3859.11</v>
      </c>
      <c r="J1215" s="6" t="str">
        <f t="shared" ca="1" si="327"/>
        <v>202210</v>
      </c>
      <c r="K1215" s="6">
        <f t="shared" ca="1" si="328"/>
        <v>2022</v>
      </c>
      <c r="L1215" s="6">
        <f t="shared" ca="1" si="329"/>
        <v>10</v>
      </c>
      <c r="M1215" s="68">
        <f ca="1">IFERROR(__xludf.DUMMYFUNCTION("""COMPUTED_VALUE"""),44852.6666666666)</f>
        <v>44852.666666666599</v>
      </c>
      <c r="N1215" s="6">
        <f ca="1">IFERROR(__xludf.DUMMYFUNCTION("""COMPUTED_VALUE"""),10772.4)</f>
        <v>10772.4</v>
      </c>
      <c r="R1215" s="6" t="str">
        <f t="shared" ca="1" si="330"/>
        <v>202212</v>
      </c>
      <c r="S1215" s="6">
        <f t="shared" ca="1" si="331"/>
        <v>2022</v>
      </c>
      <c r="T1215" s="6">
        <f t="shared" ca="1" si="332"/>
        <v>12</v>
      </c>
      <c r="U1215" s="68">
        <f ca="1">IFERROR(__xludf.DUMMYFUNCTION("""COMPUTED_VALUE"""),44903.6458333333)</f>
        <v>44903.645833333299</v>
      </c>
      <c r="V1215" s="6">
        <f ca="1">IFERROR(__xludf.DUMMYFUNCTION("""COMPUTED_VALUE"""),2371.08)</f>
        <v>2371.08</v>
      </c>
      <c r="Z1215" s="6" t="str">
        <f t="shared" ca="1" si="333"/>
        <v>20216</v>
      </c>
      <c r="AA1215" s="6">
        <f t="shared" ca="1" si="334"/>
        <v>2021</v>
      </c>
      <c r="AB1215" s="6">
        <f t="shared" ca="1" si="335"/>
        <v>6</v>
      </c>
      <c r="AC1215" s="68">
        <f ca="1">IFERROR(__xludf.DUMMYFUNCTION("""COMPUTED_VALUE"""),44360.9986111111)</f>
        <v>44360.998611111099</v>
      </c>
      <c r="AD1215" s="6">
        <f ca="1">IFERROR(__xludf.DUMMYFUNCTION("""COMPUTED_VALUE"""),1115.55)</f>
        <v>1115.55</v>
      </c>
      <c r="AH1215" s="6" t="str">
        <f t="shared" ca="1" si="336"/>
        <v>20214</v>
      </c>
      <c r="AI1215" s="6">
        <f t="shared" ca="1" si="337"/>
        <v>2021</v>
      </c>
      <c r="AJ1215" s="6">
        <f t="shared" ca="1" si="338"/>
        <v>4</v>
      </c>
      <c r="AK1215" s="68">
        <f ca="1">IFERROR(__xludf.DUMMYFUNCTION("""COMPUTED_VALUE"""),44308.9986111111)</f>
        <v>44308.998611111099</v>
      </c>
      <c r="AL1215" s="6">
        <f ca="1">IFERROR(__xludf.DUMMYFUNCTION("""COMPUTED_VALUE"""),51774.63)</f>
        <v>51774.63</v>
      </c>
      <c r="AP1215" s="6" t="str">
        <f t="shared" ca="1" si="339"/>
        <v>202211</v>
      </c>
      <c r="AQ1215" s="6">
        <f t="shared" ca="1" si="340"/>
        <v>2022</v>
      </c>
      <c r="AR1215" s="6">
        <f t="shared" ca="1" si="341"/>
        <v>11</v>
      </c>
      <c r="AS1215" s="68">
        <f ca="1">IFERROR(__xludf.DUMMYFUNCTION("""COMPUTED_VALUE"""),44867.9986111111)</f>
        <v>44867.998611111099</v>
      </c>
      <c r="AT1215" s="6">
        <f ca="1">IFERROR(__xludf.DUMMYFUNCTION("""COMPUTED_VALUE"""),1650)</f>
        <v>1650</v>
      </c>
    </row>
    <row r="1216" spans="2:46" x14ac:dyDescent="0.35">
      <c r="B1216" s="6" t="str">
        <f t="shared" ca="1" si="324"/>
        <v>202210</v>
      </c>
      <c r="C1216" s="6">
        <f t="shared" ca="1" si="325"/>
        <v>2022</v>
      </c>
      <c r="D1216" s="6">
        <f t="shared" ca="1" si="326"/>
        <v>10</v>
      </c>
      <c r="E1216" s="68">
        <f ca="1">IFERROR(__xludf.DUMMYFUNCTION("""COMPUTED_VALUE"""),44860.6666666666)</f>
        <v>44860.666666666599</v>
      </c>
      <c r="F1216" s="6">
        <f ca="1">IFERROR(__xludf.DUMMYFUNCTION("""COMPUTED_VALUE"""),3830.6)</f>
        <v>3830.6</v>
      </c>
      <c r="J1216" s="6" t="str">
        <f t="shared" ca="1" si="327"/>
        <v>202210</v>
      </c>
      <c r="K1216" s="6">
        <f t="shared" ca="1" si="328"/>
        <v>2022</v>
      </c>
      <c r="L1216" s="6">
        <f t="shared" ca="1" si="329"/>
        <v>10</v>
      </c>
      <c r="M1216" s="68">
        <f ca="1">IFERROR(__xludf.DUMMYFUNCTION("""COMPUTED_VALUE"""),44853.6666666666)</f>
        <v>44853.666666666599</v>
      </c>
      <c r="N1216" s="6">
        <f ca="1">IFERROR(__xludf.DUMMYFUNCTION("""COMPUTED_VALUE"""),10680.51)</f>
        <v>10680.51</v>
      </c>
      <c r="R1216" s="6" t="str">
        <f t="shared" ca="1" si="330"/>
        <v>202212</v>
      </c>
      <c r="S1216" s="6">
        <f t="shared" ca="1" si="331"/>
        <v>2022</v>
      </c>
      <c r="T1216" s="6">
        <f t="shared" ca="1" si="332"/>
        <v>12</v>
      </c>
      <c r="U1216" s="68">
        <f ca="1">IFERROR(__xludf.DUMMYFUNCTION("""COMPUTED_VALUE"""),44904.6458333333)</f>
        <v>44904.645833333299</v>
      </c>
      <c r="V1216" s="6">
        <f ca="1">IFERROR(__xludf.DUMMYFUNCTION("""COMPUTED_VALUE"""),2389.04)</f>
        <v>2389.04</v>
      </c>
      <c r="Z1216" s="6" t="str">
        <f t="shared" ca="1" si="333"/>
        <v>20216</v>
      </c>
      <c r="AA1216" s="6">
        <f t="shared" ca="1" si="334"/>
        <v>2021</v>
      </c>
      <c r="AB1216" s="6">
        <f t="shared" ca="1" si="335"/>
        <v>6</v>
      </c>
      <c r="AC1216" s="68">
        <f ca="1">IFERROR(__xludf.DUMMYFUNCTION("""COMPUTED_VALUE"""),44361.9986111111)</f>
        <v>44361.998611111099</v>
      </c>
      <c r="AD1216" s="6">
        <f ca="1">IFERROR(__xludf.DUMMYFUNCTION("""COMPUTED_VALUE"""),1116.32)</f>
        <v>1116.32</v>
      </c>
      <c r="AH1216" s="6" t="str">
        <f t="shared" ca="1" si="336"/>
        <v>20214</v>
      </c>
      <c r="AI1216" s="6">
        <f t="shared" ca="1" si="337"/>
        <v>2021</v>
      </c>
      <c r="AJ1216" s="6">
        <f t="shared" ca="1" si="338"/>
        <v>4</v>
      </c>
      <c r="AK1216" s="68">
        <f ca="1">IFERROR(__xludf.DUMMYFUNCTION("""COMPUTED_VALUE"""),44309.9986111111)</f>
        <v>44309.998611111099</v>
      </c>
      <c r="AL1216" s="6">
        <f ca="1">IFERROR(__xludf.DUMMYFUNCTION("""COMPUTED_VALUE"""),51125.26)</f>
        <v>51125.26</v>
      </c>
      <c r="AP1216" s="6" t="str">
        <f t="shared" ca="1" si="339"/>
        <v>202211</v>
      </c>
      <c r="AQ1216" s="6">
        <f t="shared" ca="1" si="340"/>
        <v>2022</v>
      </c>
      <c r="AR1216" s="6">
        <f t="shared" ca="1" si="341"/>
        <v>11</v>
      </c>
      <c r="AS1216" s="68">
        <f ca="1">IFERROR(__xludf.DUMMYFUNCTION("""COMPUTED_VALUE"""),44868.9986111111)</f>
        <v>44868.998611111099</v>
      </c>
      <c r="AT1216" s="6">
        <f ca="1">IFERROR(__xludf.DUMMYFUNCTION("""COMPUTED_VALUE"""),1630.9)</f>
        <v>1630.9</v>
      </c>
    </row>
    <row r="1217" spans="2:46" x14ac:dyDescent="0.35">
      <c r="B1217" s="6" t="str">
        <f t="shared" ca="1" si="324"/>
        <v>202210</v>
      </c>
      <c r="C1217" s="6">
        <f t="shared" ca="1" si="325"/>
        <v>2022</v>
      </c>
      <c r="D1217" s="6">
        <f t="shared" ca="1" si="326"/>
        <v>10</v>
      </c>
      <c r="E1217" s="68">
        <f ca="1">IFERROR(__xludf.DUMMYFUNCTION("""COMPUTED_VALUE"""),44861.6666666666)</f>
        <v>44861.666666666599</v>
      </c>
      <c r="F1217" s="6">
        <f ca="1">IFERROR(__xludf.DUMMYFUNCTION("""COMPUTED_VALUE"""),3807.3)</f>
        <v>3807.3</v>
      </c>
      <c r="J1217" s="6" t="str">
        <f t="shared" ca="1" si="327"/>
        <v>202210</v>
      </c>
      <c r="K1217" s="6">
        <f t="shared" ca="1" si="328"/>
        <v>2022</v>
      </c>
      <c r="L1217" s="6">
        <f t="shared" ca="1" si="329"/>
        <v>10</v>
      </c>
      <c r="M1217" s="68">
        <f ca="1">IFERROR(__xludf.DUMMYFUNCTION("""COMPUTED_VALUE"""),44854.6666666666)</f>
        <v>44854.666666666599</v>
      </c>
      <c r="N1217" s="6">
        <f ca="1">IFERROR(__xludf.DUMMYFUNCTION("""COMPUTED_VALUE"""),10614.84)</f>
        <v>10614.84</v>
      </c>
      <c r="R1217" s="6" t="str">
        <f t="shared" ca="1" si="330"/>
        <v>202212</v>
      </c>
      <c r="S1217" s="6">
        <f t="shared" ca="1" si="331"/>
        <v>2022</v>
      </c>
      <c r="T1217" s="6">
        <f t="shared" ca="1" si="332"/>
        <v>12</v>
      </c>
      <c r="U1217" s="68">
        <f ca="1">IFERROR(__xludf.DUMMYFUNCTION("""COMPUTED_VALUE"""),44907.6458333333)</f>
        <v>44907.645833333299</v>
      </c>
      <c r="V1217" s="6">
        <f ca="1">IFERROR(__xludf.DUMMYFUNCTION("""COMPUTED_VALUE"""),2373.02)</f>
        <v>2373.02</v>
      </c>
      <c r="Z1217" s="6" t="str">
        <f t="shared" ca="1" si="333"/>
        <v>20216</v>
      </c>
      <c r="AA1217" s="6">
        <f t="shared" ca="1" si="334"/>
        <v>2021</v>
      </c>
      <c r="AB1217" s="6">
        <f t="shared" ca="1" si="335"/>
        <v>6</v>
      </c>
      <c r="AC1217" s="68">
        <f ca="1">IFERROR(__xludf.DUMMYFUNCTION("""COMPUTED_VALUE"""),44362.9986111111)</f>
        <v>44362.998611111099</v>
      </c>
      <c r="AD1217" s="6">
        <f ca="1">IFERROR(__xludf.DUMMYFUNCTION("""COMPUTED_VALUE"""),1116.03)</f>
        <v>1116.03</v>
      </c>
      <c r="AH1217" s="6" t="str">
        <f t="shared" ca="1" si="336"/>
        <v>20214</v>
      </c>
      <c r="AI1217" s="6">
        <f t="shared" ca="1" si="337"/>
        <v>2021</v>
      </c>
      <c r="AJ1217" s="6">
        <f t="shared" ca="1" si="338"/>
        <v>4</v>
      </c>
      <c r="AK1217" s="68">
        <f ca="1">IFERROR(__xludf.DUMMYFUNCTION("""COMPUTED_VALUE"""),44310.9986111111)</f>
        <v>44310.998611111099</v>
      </c>
      <c r="AL1217" s="6">
        <f ca="1">IFERROR(__xludf.DUMMYFUNCTION("""COMPUTED_VALUE"""),50102.7)</f>
        <v>50102.7</v>
      </c>
      <c r="AP1217" s="6" t="str">
        <f t="shared" ca="1" si="339"/>
        <v>202211</v>
      </c>
      <c r="AQ1217" s="6">
        <f t="shared" ca="1" si="340"/>
        <v>2022</v>
      </c>
      <c r="AR1217" s="6">
        <f t="shared" ca="1" si="341"/>
        <v>11</v>
      </c>
      <c r="AS1217" s="68">
        <f ca="1">IFERROR(__xludf.DUMMYFUNCTION("""COMPUTED_VALUE"""),44869.9986111111)</f>
        <v>44869.998611111099</v>
      </c>
      <c r="AT1217" s="6">
        <f ca="1">IFERROR(__xludf.DUMMYFUNCTION("""COMPUTED_VALUE"""),1676.6)</f>
        <v>1676.6</v>
      </c>
    </row>
    <row r="1218" spans="2:46" x14ac:dyDescent="0.35">
      <c r="B1218" s="6" t="str">
        <f t="shared" ca="1" si="324"/>
        <v>202210</v>
      </c>
      <c r="C1218" s="6">
        <f t="shared" ca="1" si="325"/>
        <v>2022</v>
      </c>
      <c r="D1218" s="6">
        <f t="shared" ca="1" si="326"/>
        <v>10</v>
      </c>
      <c r="E1218" s="68">
        <f ca="1">IFERROR(__xludf.DUMMYFUNCTION("""COMPUTED_VALUE"""),44862.6666666666)</f>
        <v>44862.666666666599</v>
      </c>
      <c r="F1218" s="6">
        <f ca="1">IFERROR(__xludf.DUMMYFUNCTION("""COMPUTED_VALUE"""),3901.06)</f>
        <v>3901.06</v>
      </c>
      <c r="J1218" s="6" t="str">
        <f t="shared" ca="1" si="327"/>
        <v>202210</v>
      </c>
      <c r="K1218" s="6">
        <f t="shared" ca="1" si="328"/>
        <v>2022</v>
      </c>
      <c r="L1218" s="6">
        <f t="shared" ca="1" si="329"/>
        <v>10</v>
      </c>
      <c r="M1218" s="68">
        <f ca="1">IFERROR(__xludf.DUMMYFUNCTION("""COMPUTED_VALUE"""),44855.6666666666)</f>
        <v>44855.666666666599</v>
      </c>
      <c r="N1218" s="6">
        <f ca="1">IFERROR(__xludf.DUMMYFUNCTION("""COMPUTED_VALUE"""),10859.72)</f>
        <v>10859.72</v>
      </c>
      <c r="R1218" s="6" t="str">
        <f t="shared" ca="1" si="330"/>
        <v>202212</v>
      </c>
      <c r="S1218" s="6">
        <f t="shared" ca="1" si="331"/>
        <v>2022</v>
      </c>
      <c r="T1218" s="6">
        <f t="shared" ca="1" si="332"/>
        <v>12</v>
      </c>
      <c r="U1218" s="68">
        <f ca="1">IFERROR(__xludf.DUMMYFUNCTION("""COMPUTED_VALUE"""),44908.6458333333)</f>
        <v>44908.645833333299</v>
      </c>
      <c r="V1218" s="6">
        <f ca="1">IFERROR(__xludf.DUMMYFUNCTION("""COMPUTED_VALUE"""),2372.4)</f>
        <v>2372.4</v>
      </c>
      <c r="Z1218" s="6" t="str">
        <f t="shared" ca="1" si="333"/>
        <v>20216</v>
      </c>
      <c r="AA1218" s="6">
        <f t="shared" ca="1" si="334"/>
        <v>2021</v>
      </c>
      <c r="AB1218" s="6">
        <f t="shared" ca="1" si="335"/>
        <v>6</v>
      </c>
      <c r="AC1218" s="68">
        <f ca="1">IFERROR(__xludf.DUMMYFUNCTION("""COMPUTED_VALUE"""),44363.9986111111)</f>
        <v>44363.998611111099</v>
      </c>
      <c r="AD1218" s="6">
        <f ca="1">IFERROR(__xludf.DUMMYFUNCTION("""COMPUTED_VALUE"""),1131.95)</f>
        <v>1131.95</v>
      </c>
      <c r="AH1218" s="6" t="str">
        <f t="shared" ca="1" si="336"/>
        <v>20214</v>
      </c>
      <c r="AI1218" s="6">
        <f t="shared" ca="1" si="337"/>
        <v>2021</v>
      </c>
      <c r="AJ1218" s="6">
        <f t="shared" ca="1" si="338"/>
        <v>4</v>
      </c>
      <c r="AK1218" s="68">
        <f ca="1">IFERROR(__xludf.DUMMYFUNCTION("""COMPUTED_VALUE"""),44311.9986111111)</f>
        <v>44311.998611111099</v>
      </c>
      <c r="AL1218" s="6">
        <f ca="1">IFERROR(__xludf.DUMMYFUNCTION("""COMPUTED_VALUE"""),49072.92)</f>
        <v>49072.92</v>
      </c>
      <c r="AP1218" s="6" t="str">
        <f t="shared" ca="1" si="339"/>
        <v>202211</v>
      </c>
      <c r="AQ1218" s="6">
        <f t="shared" ca="1" si="340"/>
        <v>2022</v>
      </c>
      <c r="AR1218" s="6">
        <f t="shared" ca="1" si="341"/>
        <v>11</v>
      </c>
      <c r="AS1218" s="68">
        <f ca="1">IFERROR(__xludf.DUMMYFUNCTION("""COMPUTED_VALUE"""),44872.9986111111)</f>
        <v>44872.998611111099</v>
      </c>
      <c r="AT1218" s="6">
        <f ca="1">IFERROR(__xludf.DUMMYFUNCTION("""COMPUTED_VALUE"""),1680.5)</f>
        <v>1680.5</v>
      </c>
    </row>
    <row r="1219" spans="2:46" x14ac:dyDescent="0.35">
      <c r="B1219" s="6" t="str">
        <f t="shared" ca="1" si="324"/>
        <v>202210</v>
      </c>
      <c r="C1219" s="6">
        <f t="shared" ca="1" si="325"/>
        <v>2022</v>
      </c>
      <c r="D1219" s="6">
        <f t="shared" ca="1" si="326"/>
        <v>10</v>
      </c>
      <c r="E1219" s="68">
        <f ca="1">IFERROR(__xludf.DUMMYFUNCTION("""COMPUTED_VALUE"""),44865.6666666666)</f>
        <v>44865.666666666599</v>
      </c>
      <c r="F1219" s="6">
        <f ca="1">IFERROR(__xludf.DUMMYFUNCTION("""COMPUTED_VALUE"""),3871.98)</f>
        <v>3871.98</v>
      </c>
      <c r="J1219" s="6" t="str">
        <f t="shared" ca="1" si="327"/>
        <v>202210</v>
      </c>
      <c r="K1219" s="6">
        <f t="shared" ca="1" si="328"/>
        <v>2022</v>
      </c>
      <c r="L1219" s="6">
        <f t="shared" ca="1" si="329"/>
        <v>10</v>
      </c>
      <c r="M1219" s="68">
        <f ca="1">IFERROR(__xludf.DUMMYFUNCTION("""COMPUTED_VALUE"""),44858.6666666666)</f>
        <v>44858.666666666599</v>
      </c>
      <c r="N1219" s="6">
        <f ca="1">IFERROR(__xludf.DUMMYFUNCTION("""COMPUTED_VALUE"""),10952.61)</f>
        <v>10952.61</v>
      </c>
      <c r="R1219" s="6" t="str">
        <f t="shared" ca="1" si="330"/>
        <v>202212</v>
      </c>
      <c r="S1219" s="6">
        <f t="shared" ca="1" si="331"/>
        <v>2022</v>
      </c>
      <c r="T1219" s="6">
        <f t="shared" ca="1" si="332"/>
        <v>12</v>
      </c>
      <c r="U1219" s="68">
        <f ca="1">IFERROR(__xludf.DUMMYFUNCTION("""COMPUTED_VALUE"""),44909.6458333333)</f>
        <v>44909.645833333299</v>
      </c>
      <c r="V1219" s="6">
        <f ca="1">IFERROR(__xludf.DUMMYFUNCTION("""COMPUTED_VALUE"""),2399.25)</f>
        <v>2399.25</v>
      </c>
      <c r="Z1219" s="6" t="str">
        <f t="shared" ca="1" si="333"/>
        <v>20216</v>
      </c>
      <c r="AA1219" s="6">
        <f t="shared" ca="1" si="334"/>
        <v>2021</v>
      </c>
      <c r="AB1219" s="6">
        <f t="shared" ca="1" si="335"/>
        <v>6</v>
      </c>
      <c r="AC1219" s="68">
        <f ca="1">IFERROR(__xludf.DUMMYFUNCTION("""COMPUTED_VALUE"""),44364.9986111111)</f>
        <v>44364.998611111099</v>
      </c>
      <c r="AD1219" s="6">
        <f ca="1">IFERROR(__xludf.DUMMYFUNCTION("""COMPUTED_VALUE"""),1133.54)</f>
        <v>1133.54</v>
      </c>
      <c r="AH1219" s="6" t="str">
        <f t="shared" ca="1" si="336"/>
        <v>20214</v>
      </c>
      <c r="AI1219" s="6">
        <f t="shared" ca="1" si="337"/>
        <v>2021</v>
      </c>
      <c r="AJ1219" s="6">
        <f t="shared" ca="1" si="338"/>
        <v>4</v>
      </c>
      <c r="AK1219" s="68">
        <f ca="1">IFERROR(__xludf.DUMMYFUNCTION("""COMPUTED_VALUE"""),44312.9986111111)</f>
        <v>44312.998611111099</v>
      </c>
      <c r="AL1219" s="6">
        <f ca="1">IFERROR(__xludf.DUMMYFUNCTION("""COMPUTED_VALUE"""),54037.3)</f>
        <v>54037.3</v>
      </c>
      <c r="AP1219" s="6" t="str">
        <f t="shared" ca="1" si="339"/>
        <v>202211</v>
      </c>
      <c r="AQ1219" s="6">
        <f t="shared" ca="1" si="340"/>
        <v>2022</v>
      </c>
      <c r="AR1219" s="6">
        <f t="shared" ca="1" si="341"/>
        <v>11</v>
      </c>
      <c r="AS1219" s="68">
        <f ca="1">IFERROR(__xludf.DUMMYFUNCTION("""COMPUTED_VALUE"""),44873.9986111111)</f>
        <v>44873.998611111099</v>
      </c>
      <c r="AT1219" s="6">
        <f ca="1">IFERROR(__xludf.DUMMYFUNCTION("""COMPUTED_VALUE"""),1716)</f>
        <v>1716</v>
      </c>
    </row>
    <row r="1220" spans="2:46" x14ac:dyDescent="0.35">
      <c r="B1220" s="6" t="str">
        <f t="shared" ca="1" si="324"/>
        <v>202211</v>
      </c>
      <c r="C1220" s="6">
        <f t="shared" ca="1" si="325"/>
        <v>2022</v>
      </c>
      <c r="D1220" s="6">
        <f t="shared" ca="1" si="326"/>
        <v>11</v>
      </c>
      <c r="E1220" s="68">
        <f ca="1">IFERROR(__xludf.DUMMYFUNCTION("""COMPUTED_VALUE"""),44866.6666666666)</f>
        <v>44866.666666666599</v>
      </c>
      <c r="F1220" s="6">
        <f ca="1">IFERROR(__xludf.DUMMYFUNCTION("""COMPUTED_VALUE"""),3856.1)</f>
        <v>3856.1</v>
      </c>
      <c r="J1220" s="6" t="str">
        <f t="shared" ca="1" si="327"/>
        <v>202210</v>
      </c>
      <c r="K1220" s="6">
        <f t="shared" ca="1" si="328"/>
        <v>2022</v>
      </c>
      <c r="L1220" s="6">
        <f t="shared" ca="1" si="329"/>
        <v>10</v>
      </c>
      <c r="M1220" s="68">
        <f ca="1">IFERROR(__xludf.DUMMYFUNCTION("""COMPUTED_VALUE"""),44859.6666666666)</f>
        <v>44859.666666666599</v>
      </c>
      <c r="N1220" s="6">
        <f ca="1">IFERROR(__xludf.DUMMYFUNCTION("""COMPUTED_VALUE"""),11199.12)</f>
        <v>11199.12</v>
      </c>
      <c r="R1220" s="6" t="str">
        <f t="shared" ca="1" si="330"/>
        <v>202212</v>
      </c>
      <c r="S1220" s="6">
        <f t="shared" ca="1" si="331"/>
        <v>2022</v>
      </c>
      <c r="T1220" s="6">
        <f t="shared" ca="1" si="332"/>
        <v>12</v>
      </c>
      <c r="U1220" s="68">
        <f ca="1">IFERROR(__xludf.DUMMYFUNCTION("""COMPUTED_VALUE"""),44910.6458333333)</f>
        <v>44910.645833333299</v>
      </c>
      <c r="V1220" s="6">
        <f ca="1">IFERROR(__xludf.DUMMYFUNCTION("""COMPUTED_VALUE"""),2360.97)</f>
        <v>2360.9699999999998</v>
      </c>
      <c r="Z1220" s="6" t="str">
        <f t="shared" ca="1" si="333"/>
        <v>20216</v>
      </c>
      <c r="AA1220" s="6">
        <f t="shared" ca="1" si="334"/>
        <v>2021</v>
      </c>
      <c r="AB1220" s="6">
        <f t="shared" ca="1" si="335"/>
        <v>6</v>
      </c>
      <c r="AC1220" s="68">
        <f ca="1">IFERROR(__xludf.DUMMYFUNCTION("""COMPUTED_VALUE"""),44365.9986111111)</f>
        <v>44365.998611111099</v>
      </c>
      <c r="AD1220" s="6">
        <f ca="1">IFERROR(__xludf.DUMMYFUNCTION("""COMPUTED_VALUE"""),1134.25)</f>
        <v>1134.25</v>
      </c>
      <c r="AH1220" s="6" t="str">
        <f t="shared" ca="1" si="336"/>
        <v>20214</v>
      </c>
      <c r="AI1220" s="6">
        <f t="shared" ca="1" si="337"/>
        <v>2021</v>
      </c>
      <c r="AJ1220" s="6">
        <f t="shared" ca="1" si="338"/>
        <v>4</v>
      </c>
      <c r="AK1220" s="68">
        <f ca="1">IFERROR(__xludf.DUMMYFUNCTION("""COMPUTED_VALUE"""),44313.9986111111)</f>
        <v>44313.998611111099</v>
      </c>
      <c r="AL1220" s="6">
        <f ca="1">IFERROR(__xludf.DUMMYFUNCTION("""COMPUTED_VALUE"""),55051.97)</f>
        <v>55051.97</v>
      </c>
      <c r="AP1220" s="6" t="str">
        <f t="shared" ca="1" si="339"/>
        <v>202211</v>
      </c>
      <c r="AQ1220" s="6">
        <f t="shared" ca="1" si="340"/>
        <v>2022</v>
      </c>
      <c r="AR1220" s="6">
        <f t="shared" ca="1" si="341"/>
        <v>11</v>
      </c>
      <c r="AS1220" s="68">
        <f ca="1">IFERROR(__xludf.DUMMYFUNCTION("""COMPUTED_VALUE"""),44874.9986111111)</f>
        <v>44874.998611111099</v>
      </c>
      <c r="AT1220" s="6">
        <f ca="1">IFERROR(__xludf.DUMMYFUNCTION("""COMPUTED_VALUE"""),1713.7)</f>
        <v>1713.7</v>
      </c>
    </row>
    <row r="1221" spans="2:46" x14ac:dyDescent="0.35">
      <c r="B1221" s="6" t="str">
        <f t="shared" ca="1" si="324"/>
        <v>202211</v>
      </c>
      <c r="C1221" s="6">
        <f t="shared" ca="1" si="325"/>
        <v>2022</v>
      </c>
      <c r="D1221" s="6">
        <f t="shared" ca="1" si="326"/>
        <v>11</v>
      </c>
      <c r="E1221" s="68">
        <f ca="1">IFERROR(__xludf.DUMMYFUNCTION("""COMPUTED_VALUE"""),44867.6666666666)</f>
        <v>44867.666666666599</v>
      </c>
      <c r="F1221" s="6">
        <f ca="1">IFERROR(__xludf.DUMMYFUNCTION("""COMPUTED_VALUE"""),3759.69)</f>
        <v>3759.69</v>
      </c>
      <c r="J1221" s="6" t="str">
        <f t="shared" ca="1" si="327"/>
        <v>202210</v>
      </c>
      <c r="K1221" s="6">
        <f t="shared" ca="1" si="328"/>
        <v>2022</v>
      </c>
      <c r="L1221" s="6">
        <f t="shared" ca="1" si="329"/>
        <v>10</v>
      </c>
      <c r="M1221" s="68">
        <f ca="1">IFERROR(__xludf.DUMMYFUNCTION("""COMPUTED_VALUE"""),44860.6666666666)</f>
        <v>44860.666666666599</v>
      </c>
      <c r="N1221" s="6">
        <f ca="1">IFERROR(__xludf.DUMMYFUNCTION("""COMPUTED_VALUE"""),10970.99)</f>
        <v>10970.99</v>
      </c>
      <c r="R1221" s="6" t="str">
        <f t="shared" ca="1" si="330"/>
        <v>202212</v>
      </c>
      <c r="S1221" s="6">
        <f t="shared" ca="1" si="331"/>
        <v>2022</v>
      </c>
      <c r="T1221" s="6">
        <f t="shared" ca="1" si="332"/>
        <v>12</v>
      </c>
      <c r="U1221" s="68">
        <f ca="1">IFERROR(__xludf.DUMMYFUNCTION("""COMPUTED_VALUE"""),44911.6458333333)</f>
        <v>44911.645833333299</v>
      </c>
      <c r="V1221" s="6">
        <f ca="1">IFERROR(__xludf.DUMMYFUNCTION("""COMPUTED_VALUE"""),2360.02)</f>
        <v>2360.02</v>
      </c>
      <c r="Z1221" s="6" t="str">
        <f t="shared" ca="1" si="333"/>
        <v>20216</v>
      </c>
      <c r="AA1221" s="6">
        <f t="shared" ca="1" si="334"/>
        <v>2021</v>
      </c>
      <c r="AB1221" s="6">
        <f t="shared" ca="1" si="335"/>
        <v>6</v>
      </c>
      <c r="AC1221" s="68">
        <f ca="1">IFERROR(__xludf.DUMMYFUNCTION("""COMPUTED_VALUE"""),44366.9986111111)</f>
        <v>44366.998611111099</v>
      </c>
      <c r="AD1221" s="6">
        <f ca="1">IFERROR(__xludf.DUMMYFUNCTION("""COMPUTED_VALUE"""),1134.25)</f>
        <v>1134.25</v>
      </c>
      <c r="AH1221" s="6" t="str">
        <f t="shared" ca="1" si="336"/>
        <v>20214</v>
      </c>
      <c r="AI1221" s="6">
        <f t="shared" ca="1" si="337"/>
        <v>2021</v>
      </c>
      <c r="AJ1221" s="6">
        <f t="shared" ca="1" si="338"/>
        <v>4</v>
      </c>
      <c r="AK1221" s="68">
        <f ca="1">IFERROR(__xludf.DUMMYFUNCTION("""COMPUTED_VALUE"""),44314.9986111111)</f>
        <v>44314.998611111099</v>
      </c>
      <c r="AL1221" s="6">
        <f ca="1">IFERROR(__xludf.DUMMYFUNCTION("""COMPUTED_VALUE"""),54856.06)</f>
        <v>54856.06</v>
      </c>
      <c r="AP1221" s="6" t="str">
        <f t="shared" ca="1" si="339"/>
        <v>202211</v>
      </c>
      <c r="AQ1221" s="6">
        <f t="shared" ca="1" si="340"/>
        <v>2022</v>
      </c>
      <c r="AR1221" s="6">
        <f t="shared" ca="1" si="341"/>
        <v>11</v>
      </c>
      <c r="AS1221" s="68">
        <f ca="1">IFERROR(__xludf.DUMMYFUNCTION("""COMPUTED_VALUE"""),44875.9986111111)</f>
        <v>44875.998611111099</v>
      </c>
      <c r="AT1221" s="6">
        <f ca="1">IFERROR(__xludf.DUMMYFUNCTION("""COMPUTED_VALUE"""),1753.7)</f>
        <v>1753.7</v>
      </c>
    </row>
    <row r="1222" spans="2:46" x14ac:dyDescent="0.35">
      <c r="B1222" s="6" t="str">
        <f t="shared" ca="1" si="324"/>
        <v>202211</v>
      </c>
      <c r="C1222" s="6">
        <f t="shared" ca="1" si="325"/>
        <v>2022</v>
      </c>
      <c r="D1222" s="6">
        <f t="shared" ca="1" si="326"/>
        <v>11</v>
      </c>
      <c r="E1222" s="68">
        <f ca="1">IFERROR(__xludf.DUMMYFUNCTION("""COMPUTED_VALUE"""),44868.6666666666)</f>
        <v>44868.666666666599</v>
      </c>
      <c r="F1222" s="6">
        <f ca="1">IFERROR(__xludf.DUMMYFUNCTION("""COMPUTED_VALUE"""),3719.89)</f>
        <v>3719.89</v>
      </c>
      <c r="J1222" s="6" t="str">
        <f t="shared" ca="1" si="327"/>
        <v>202210</v>
      </c>
      <c r="K1222" s="6">
        <f t="shared" ca="1" si="328"/>
        <v>2022</v>
      </c>
      <c r="L1222" s="6">
        <f t="shared" ca="1" si="329"/>
        <v>10</v>
      </c>
      <c r="M1222" s="68">
        <f ca="1">IFERROR(__xludf.DUMMYFUNCTION("""COMPUTED_VALUE"""),44861.6666666666)</f>
        <v>44861.666666666599</v>
      </c>
      <c r="N1222" s="6">
        <f ca="1">IFERROR(__xludf.DUMMYFUNCTION("""COMPUTED_VALUE"""),10792.68)</f>
        <v>10792.68</v>
      </c>
      <c r="R1222" s="6" t="str">
        <f t="shared" ca="1" si="330"/>
        <v>202212</v>
      </c>
      <c r="S1222" s="6">
        <f t="shared" ca="1" si="331"/>
        <v>2022</v>
      </c>
      <c r="T1222" s="6">
        <f t="shared" ca="1" si="332"/>
        <v>12</v>
      </c>
      <c r="U1222" s="68">
        <f ca="1">IFERROR(__xludf.DUMMYFUNCTION("""COMPUTED_VALUE"""),44914.6458333333)</f>
        <v>44914.645833333299</v>
      </c>
      <c r="V1222" s="6">
        <f ca="1">IFERROR(__xludf.DUMMYFUNCTION("""COMPUTED_VALUE"""),2352.17)</f>
        <v>2352.17</v>
      </c>
      <c r="Z1222" s="6" t="str">
        <f t="shared" ca="1" si="333"/>
        <v>20216</v>
      </c>
      <c r="AA1222" s="6">
        <f t="shared" ca="1" si="334"/>
        <v>2021</v>
      </c>
      <c r="AB1222" s="6">
        <f t="shared" ca="1" si="335"/>
        <v>6</v>
      </c>
      <c r="AC1222" s="68">
        <f ca="1">IFERROR(__xludf.DUMMYFUNCTION("""COMPUTED_VALUE"""),44367.9986111111)</f>
        <v>44367.998611111099</v>
      </c>
      <c r="AD1222" s="6">
        <f ca="1">IFERROR(__xludf.DUMMYFUNCTION("""COMPUTED_VALUE"""),1134.25)</f>
        <v>1134.25</v>
      </c>
      <c r="AH1222" s="6" t="str">
        <f t="shared" ca="1" si="336"/>
        <v>20214</v>
      </c>
      <c r="AI1222" s="6">
        <f t="shared" ca="1" si="337"/>
        <v>2021</v>
      </c>
      <c r="AJ1222" s="6">
        <f t="shared" ca="1" si="338"/>
        <v>4</v>
      </c>
      <c r="AK1222" s="68">
        <f ca="1">IFERROR(__xludf.DUMMYFUNCTION("""COMPUTED_VALUE"""),44315.9986111111)</f>
        <v>44315.998611111099</v>
      </c>
      <c r="AL1222" s="6">
        <f ca="1">IFERROR(__xludf.DUMMYFUNCTION("""COMPUTED_VALUE"""),53569.29)</f>
        <v>53569.29</v>
      </c>
      <c r="AP1222" s="6" t="str">
        <f t="shared" ca="1" si="339"/>
        <v>202211</v>
      </c>
      <c r="AQ1222" s="6">
        <f t="shared" ca="1" si="340"/>
        <v>2022</v>
      </c>
      <c r="AR1222" s="6">
        <f t="shared" ca="1" si="341"/>
        <v>11</v>
      </c>
      <c r="AS1222" s="68">
        <f ca="1">IFERROR(__xludf.DUMMYFUNCTION("""COMPUTED_VALUE"""),44876.9986111111)</f>
        <v>44876.998611111099</v>
      </c>
      <c r="AT1222" s="6">
        <f ca="1">IFERROR(__xludf.DUMMYFUNCTION("""COMPUTED_VALUE"""),1769.4)</f>
        <v>1769.4</v>
      </c>
    </row>
    <row r="1223" spans="2:46" x14ac:dyDescent="0.35">
      <c r="B1223" s="6" t="str">
        <f t="shared" ref="B1223:B1286" ca="1" si="342">C1223&amp;D1223</f>
        <v>202211</v>
      </c>
      <c r="C1223" s="6">
        <f t="shared" ref="C1223:C1286" ca="1" si="343">YEAR(E1223)</f>
        <v>2022</v>
      </c>
      <c r="D1223" s="6">
        <f t="shared" ref="D1223:D1286" ca="1" si="344">MONTH(E1223)</f>
        <v>11</v>
      </c>
      <c r="E1223" s="68">
        <f ca="1">IFERROR(__xludf.DUMMYFUNCTION("""COMPUTED_VALUE"""),44869.6666666666)</f>
        <v>44869.666666666599</v>
      </c>
      <c r="F1223" s="6">
        <f ca="1">IFERROR(__xludf.DUMMYFUNCTION("""COMPUTED_VALUE"""),3770.55)</f>
        <v>3770.55</v>
      </c>
      <c r="J1223" s="6" t="str">
        <f t="shared" ref="J1223:J1286" ca="1" si="345">K1223&amp;L1223</f>
        <v>202210</v>
      </c>
      <c r="K1223" s="6">
        <f t="shared" ref="K1223:K1286" ca="1" si="346">YEAR(M1223)</f>
        <v>2022</v>
      </c>
      <c r="L1223" s="6">
        <f t="shared" ref="L1223:L1286" ca="1" si="347">MONTH(M1223)</f>
        <v>10</v>
      </c>
      <c r="M1223" s="68">
        <f ca="1">IFERROR(__xludf.DUMMYFUNCTION("""COMPUTED_VALUE"""),44862.6666666666)</f>
        <v>44862.666666666599</v>
      </c>
      <c r="N1223" s="6">
        <f ca="1">IFERROR(__xludf.DUMMYFUNCTION("""COMPUTED_VALUE"""),11102.45)</f>
        <v>11102.45</v>
      </c>
      <c r="R1223" s="6" t="str">
        <f t="shared" ref="R1223:R1286" ca="1" si="348">S1223&amp;T1223</f>
        <v>202212</v>
      </c>
      <c r="S1223" s="6">
        <f t="shared" ref="S1223:S1286" ca="1" si="349">YEAR(U1223)</f>
        <v>2022</v>
      </c>
      <c r="T1223" s="6">
        <f t="shared" ref="T1223:T1286" ca="1" si="350">MONTH(U1223)</f>
        <v>12</v>
      </c>
      <c r="U1223" s="68">
        <f ca="1">IFERROR(__xludf.DUMMYFUNCTION("""COMPUTED_VALUE"""),44915.6458333333)</f>
        <v>44915.645833333299</v>
      </c>
      <c r="V1223" s="6">
        <f ca="1">IFERROR(__xludf.DUMMYFUNCTION("""COMPUTED_VALUE"""),2333.29)</f>
        <v>2333.29</v>
      </c>
      <c r="Z1223" s="6" t="str">
        <f t="shared" ref="Z1223:Z1286" ca="1" si="351">AA1223&amp;AB1223</f>
        <v>20216</v>
      </c>
      <c r="AA1223" s="6">
        <f t="shared" ref="AA1223:AA1286" ca="1" si="352">YEAR(AC1223)</f>
        <v>2021</v>
      </c>
      <c r="AB1223" s="6">
        <f t="shared" ref="AB1223:AB1286" ca="1" si="353">MONTH(AC1223)</f>
        <v>6</v>
      </c>
      <c r="AC1223" s="68">
        <f ca="1">IFERROR(__xludf.DUMMYFUNCTION("""COMPUTED_VALUE"""),44368.9986111111)</f>
        <v>44368.998611111099</v>
      </c>
      <c r="AD1223" s="6">
        <f ca="1">IFERROR(__xludf.DUMMYFUNCTION("""COMPUTED_VALUE"""),1130.34)</f>
        <v>1130.3399999999999</v>
      </c>
      <c r="AH1223" s="6" t="str">
        <f t="shared" ref="AH1223:AH1286" ca="1" si="354">AI1223&amp;AJ1223</f>
        <v>20214</v>
      </c>
      <c r="AI1223" s="6">
        <f t="shared" ref="AI1223:AI1286" ca="1" si="355">YEAR(AK1223)</f>
        <v>2021</v>
      </c>
      <c r="AJ1223" s="6">
        <f t="shared" ref="AJ1223:AJ1286" ca="1" si="356">MONTH(AK1223)</f>
        <v>4</v>
      </c>
      <c r="AK1223" s="68">
        <f ca="1">IFERROR(__xludf.DUMMYFUNCTION("""COMPUTED_VALUE"""),44316.9986111111)</f>
        <v>44316.998611111099</v>
      </c>
      <c r="AL1223" s="6">
        <f ca="1">IFERROR(__xludf.DUMMYFUNCTION("""COMPUTED_VALUE"""),57766.05)</f>
        <v>57766.05</v>
      </c>
      <c r="AP1223" s="6" t="str">
        <f t="shared" ref="AP1223:AP1286" ca="1" si="357">AQ1223&amp;AR1223</f>
        <v>202211</v>
      </c>
      <c r="AQ1223" s="6">
        <f t="shared" ref="AQ1223:AQ1286" ca="1" si="358">YEAR(AS1223)</f>
        <v>2022</v>
      </c>
      <c r="AR1223" s="6">
        <f t="shared" ref="AR1223:AR1286" ca="1" si="359">MONTH(AS1223)</f>
        <v>11</v>
      </c>
      <c r="AS1223" s="68">
        <f ca="1">IFERROR(__xludf.DUMMYFUNCTION("""COMPUTED_VALUE"""),44879.9986111111)</f>
        <v>44879.998611111099</v>
      </c>
      <c r="AT1223" s="6">
        <f ca="1">IFERROR(__xludf.DUMMYFUNCTION("""COMPUTED_VALUE"""),1776.9)</f>
        <v>1776.9</v>
      </c>
    </row>
    <row r="1224" spans="2:46" x14ac:dyDescent="0.35">
      <c r="B1224" s="6" t="str">
        <f t="shared" ca="1" si="342"/>
        <v>202211</v>
      </c>
      <c r="C1224" s="6">
        <f t="shared" ca="1" si="343"/>
        <v>2022</v>
      </c>
      <c r="D1224" s="6">
        <f t="shared" ca="1" si="344"/>
        <v>11</v>
      </c>
      <c r="E1224" s="68">
        <f ca="1">IFERROR(__xludf.DUMMYFUNCTION("""COMPUTED_VALUE"""),44872.6666666666)</f>
        <v>44872.666666666599</v>
      </c>
      <c r="F1224" s="6">
        <f ca="1">IFERROR(__xludf.DUMMYFUNCTION("""COMPUTED_VALUE"""),3806.8)</f>
        <v>3806.8</v>
      </c>
      <c r="J1224" s="6" t="str">
        <f t="shared" ca="1" si="345"/>
        <v>202210</v>
      </c>
      <c r="K1224" s="6">
        <f t="shared" ca="1" si="346"/>
        <v>2022</v>
      </c>
      <c r="L1224" s="6">
        <f t="shared" ca="1" si="347"/>
        <v>10</v>
      </c>
      <c r="M1224" s="68">
        <f ca="1">IFERROR(__xludf.DUMMYFUNCTION("""COMPUTED_VALUE"""),44865.6666666666)</f>
        <v>44865.666666666599</v>
      </c>
      <c r="N1224" s="6">
        <f ca="1">IFERROR(__xludf.DUMMYFUNCTION("""COMPUTED_VALUE"""),10988.15)</f>
        <v>10988.15</v>
      </c>
      <c r="R1224" s="6" t="str">
        <f t="shared" ca="1" si="348"/>
        <v>202212</v>
      </c>
      <c r="S1224" s="6">
        <f t="shared" ca="1" si="349"/>
        <v>2022</v>
      </c>
      <c r="T1224" s="6">
        <f t="shared" ca="1" si="350"/>
        <v>12</v>
      </c>
      <c r="U1224" s="68">
        <f ca="1">IFERROR(__xludf.DUMMYFUNCTION("""COMPUTED_VALUE"""),44916.6458333333)</f>
        <v>44916.645833333299</v>
      </c>
      <c r="V1224" s="6">
        <f ca="1">IFERROR(__xludf.DUMMYFUNCTION("""COMPUTED_VALUE"""),2328.95)</f>
        <v>2328.9499999999998</v>
      </c>
      <c r="Z1224" s="6" t="str">
        <f t="shared" ca="1" si="351"/>
        <v>20216</v>
      </c>
      <c r="AA1224" s="6">
        <f t="shared" ca="1" si="352"/>
        <v>2021</v>
      </c>
      <c r="AB1224" s="6">
        <f t="shared" ca="1" si="353"/>
        <v>6</v>
      </c>
      <c r="AC1224" s="68">
        <f ca="1">IFERROR(__xludf.DUMMYFUNCTION("""COMPUTED_VALUE"""),44369.9986111111)</f>
        <v>44369.998611111099</v>
      </c>
      <c r="AD1224" s="6">
        <f ca="1">IFERROR(__xludf.DUMMYFUNCTION("""COMPUTED_VALUE"""),1132.51)</f>
        <v>1132.51</v>
      </c>
      <c r="AH1224" s="6" t="str">
        <f t="shared" ca="1" si="354"/>
        <v>20215</v>
      </c>
      <c r="AI1224" s="6">
        <f t="shared" ca="1" si="355"/>
        <v>2021</v>
      </c>
      <c r="AJ1224" s="6">
        <f t="shared" ca="1" si="356"/>
        <v>5</v>
      </c>
      <c r="AK1224" s="68">
        <f ca="1">IFERROR(__xludf.DUMMYFUNCTION("""COMPUTED_VALUE"""),44317.9986111111)</f>
        <v>44317.998611111099</v>
      </c>
      <c r="AL1224" s="6">
        <f ca="1">IFERROR(__xludf.DUMMYFUNCTION("""COMPUTED_VALUE"""),57831.06)</f>
        <v>57831.06</v>
      </c>
      <c r="AP1224" s="6" t="str">
        <f t="shared" ca="1" si="357"/>
        <v>202211</v>
      </c>
      <c r="AQ1224" s="6">
        <f t="shared" ca="1" si="358"/>
        <v>2022</v>
      </c>
      <c r="AR1224" s="6">
        <f t="shared" ca="1" si="359"/>
        <v>11</v>
      </c>
      <c r="AS1224" s="68">
        <f ca="1">IFERROR(__xludf.DUMMYFUNCTION("""COMPUTED_VALUE"""),44880.9986111111)</f>
        <v>44880.998611111099</v>
      </c>
      <c r="AT1224" s="6">
        <f ca="1">IFERROR(__xludf.DUMMYFUNCTION("""COMPUTED_VALUE"""),1776.8)</f>
        <v>1776.8</v>
      </c>
    </row>
    <row r="1225" spans="2:46" x14ac:dyDescent="0.35">
      <c r="B1225" s="6" t="str">
        <f t="shared" ca="1" si="342"/>
        <v>202211</v>
      </c>
      <c r="C1225" s="6">
        <f t="shared" ca="1" si="343"/>
        <v>2022</v>
      </c>
      <c r="D1225" s="6">
        <f t="shared" ca="1" si="344"/>
        <v>11</v>
      </c>
      <c r="E1225" s="68">
        <f ca="1">IFERROR(__xludf.DUMMYFUNCTION("""COMPUTED_VALUE"""),44873.6666666666)</f>
        <v>44873.666666666599</v>
      </c>
      <c r="F1225" s="6">
        <f ca="1">IFERROR(__xludf.DUMMYFUNCTION("""COMPUTED_VALUE"""),3828.11)</f>
        <v>3828.11</v>
      </c>
      <c r="J1225" s="6" t="str">
        <f t="shared" ca="1" si="345"/>
        <v>202211</v>
      </c>
      <c r="K1225" s="6">
        <f t="shared" ca="1" si="346"/>
        <v>2022</v>
      </c>
      <c r="L1225" s="6">
        <f t="shared" ca="1" si="347"/>
        <v>11</v>
      </c>
      <c r="M1225" s="68">
        <f ca="1">IFERROR(__xludf.DUMMYFUNCTION("""COMPUTED_VALUE"""),44866.6666666666)</f>
        <v>44866.666666666599</v>
      </c>
      <c r="N1225" s="6">
        <f ca="1">IFERROR(__xludf.DUMMYFUNCTION("""COMPUTED_VALUE"""),10890.85)</f>
        <v>10890.85</v>
      </c>
      <c r="R1225" s="6" t="str">
        <f t="shared" ca="1" si="348"/>
        <v>202212</v>
      </c>
      <c r="S1225" s="6">
        <f t="shared" ca="1" si="349"/>
        <v>2022</v>
      </c>
      <c r="T1225" s="6">
        <f t="shared" ca="1" si="350"/>
        <v>12</v>
      </c>
      <c r="U1225" s="68">
        <f ca="1">IFERROR(__xludf.DUMMYFUNCTION("""COMPUTED_VALUE"""),44917.6458333333)</f>
        <v>44917.645833333299</v>
      </c>
      <c r="V1225" s="6">
        <f ca="1">IFERROR(__xludf.DUMMYFUNCTION("""COMPUTED_VALUE"""),2356.73)</f>
        <v>2356.73</v>
      </c>
      <c r="Z1225" s="6" t="str">
        <f t="shared" ca="1" si="351"/>
        <v>20216</v>
      </c>
      <c r="AA1225" s="6">
        <f t="shared" ca="1" si="352"/>
        <v>2021</v>
      </c>
      <c r="AB1225" s="6">
        <f t="shared" ca="1" si="353"/>
        <v>6</v>
      </c>
      <c r="AC1225" s="68">
        <f ca="1">IFERROR(__xludf.DUMMYFUNCTION("""COMPUTED_VALUE"""),44370.9986111111)</f>
        <v>44370.998611111099</v>
      </c>
      <c r="AD1225" s="6">
        <f ca="1">IFERROR(__xludf.DUMMYFUNCTION("""COMPUTED_VALUE"""),1132.61)</f>
        <v>1132.6099999999999</v>
      </c>
      <c r="AH1225" s="6" t="str">
        <f t="shared" ca="1" si="354"/>
        <v>20215</v>
      </c>
      <c r="AI1225" s="6">
        <f t="shared" ca="1" si="355"/>
        <v>2021</v>
      </c>
      <c r="AJ1225" s="6">
        <f t="shared" ca="1" si="356"/>
        <v>5</v>
      </c>
      <c r="AK1225" s="68">
        <f ca="1">IFERROR(__xludf.DUMMYFUNCTION("""COMPUTED_VALUE"""),44318.9986111111)</f>
        <v>44318.998611111099</v>
      </c>
      <c r="AL1225" s="6">
        <f ca="1">IFERROR(__xludf.DUMMYFUNCTION("""COMPUTED_VALUE"""),56613.92)</f>
        <v>56613.919999999998</v>
      </c>
      <c r="AP1225" s="6" t="str">
        <f t="shared" ca="1" si="357"/>
        <v>202211</v>
      </c>
      <c r="AQ1225" s="6">
        <f t="shared" ca="1" si="358"/>
        <v>2022</v>
      </c>
      <c r="AR1225" s="6">
        <f t="shared" ca="1" si="359"/>
        <v>11</v>
      </c>
      <c r="AS1225" s="68">
        <f ca="1">IFERROR(__xludf.DUMMYFUNCTION("""COMPUTED_VALUE"""),44881.9986111111)</f>
        <v>44881.998611111099</v>
      </c>
      <c r="AT1225" s="6">
        <f ca="1">IFERROR(__xludf.DUMMYFUNCTION("""COMPUTED_VALUE"""),1775.8)</f>
        <v>1775.8</v>
      </c>
    </row>
    <row r="1226" spans="2:46" x14ac:dyDescent="0.35">
      <c r="B1226" s="6" t="str">
        <f t="shared" ca="1" si="342"/>
        <v>202211</v>
      </c>
      <c r="C1226" s="6">
        <f t="shared" ca="1" si="343"/>
        <v>2022</v>
      </c>
      <c r="D1226" s="6">
        <f t="shared" ca="1" si="344"/>
        <v>11</v>
      </c>
      <c r="E1226" s="68">
        <f ca="1">IFERROR(__xludf.DUMMYFUNCTION("""COMPUTED_VALUE"""),44874.6666666666)</f>
        <v>44874.666666666599</v>
      </c>
      <c r="F1226" s="6">
        <f ca="1">IFERROR(__xludf.DUMMYFUNCTION("""COMPUTED_VALUE"""),3748.57)</f>
        <v>3748.57</v>
      </c>
      <c r="J1226" s="6" t="str">
        <f t="shared" ca="1" si="345"/>
        <v>202211</v>
      </c>
      <c r="K1226" s="6">
        <f t="shared" ca="1" si="346"/>
        <v>2022</v>
      </c>
      <c r="L1226" s="6">
        <f t="shared" ca="1" si="347"/>
        <v>11</v>
      </c>
      <c r="M1226" s="68">
        <f ca="1">IFERROR(__xludf.DUMMYFUNCTION("""COMPUTED_VALUE"""),44867.6666666666)</f>
        <v>44867.666666666599</v>
      </c>
      <c r="N1226" s="6">
        <f ca="1">IFERROR(__xludf.DUMMYFUNCTION("""COMPUTED_VALUE"""),10524.8)</f>
        <v>10524.8</v>
      </c>
      <c r="R1226" s="6" t="str">
        <f t="shared" ca="1" si="348"/>
        <v>202212</v>
      </c>
      <c r="S1226" s="6">
        <f t="shared" ca="1" si="349"/>
        <v>2022</v>
      </c>
      <c r="T1226" s="6">
        <f t="shared" ca="1" si="350"/>
        <v>12</v>
      </c>
      <c r="U1226" s="68">
        <f ca="1">IFERROR(__xludf.DUMMYFUNCTION("""COMPUTED_VALUE"""),44918.6458333333)</f>
        <v>44918.645833333299</v>
      </c>
      <c r="V1226" s="6">
        <f ca="1">IFERROR(__xludf.DUMMYFUNCTION("""COMPUTED_VALUE"""),2313.69)</f>
        <v>2313.69</v>
      </c>
      <c r="Z1226" s="6" t="str">
        <f t="shared" ca="1" si="351"/>
        <v>20216</v>
      </c>
      <c r="AA1226" s="6">
        <f t="shared" ca="1" si="352"/>
        <v>2021</v>
      </c>
      <c r="AB1226" s="6">
        <f t="shared" ca="1" si="353"/>
        <v>6</v>
      </c>
      <c r="AC1226" s="68">
        <f ca="1">IFERROR(__xludf.DUMMYFUNCTION("""COMPUTED_VALUE"""),44371.9986111111)</f>
        <v>44371.998611111099</v>
      </c>
      <c r="AD1226" s="6">
        <f ca="1">IFERROR(__xludf.DUMMYFUNCTION("""COMPUTED_VALUE"""),1130.8)</f>
        <v>1130.8</v>
      </c>
      <c r="AH1226" s="6" t="str">
        <f t="shared" ca="1" si="354"/>
        <v>20215</v>
      </c>
      <c r="AI1226" s="6">
        <f t="shared" ca="1" si="355"/>
        <v>2021</v>
      </c>
      <c r="AJ1226" s="6">
        <f t="shared" ca="1" si="356"/>
        <v>5</v>
      </c>
      <c r="AK1226" s="68">
        <f ca="1">IFERROR(__xludf.DUMMYFUNCTION("""COMPUTED_VALUE"""),44319.9986111111)</f>
        <v>44319.998611111099</v>
      </c>
      <c r="AL1226" s="6">
        <f ca="1">IFERROR(__xludf.DUMMYFUNCTION("""COMPUTED_VALUE"""),57167.1)</f>
        <v>57167.1</v>
      </c>
      <c r="AP1226" s="6" t="str">
        <f t="shared" ca="1" si="357"/>
        <v>202211</v>
      </c>
      <c r="AQ1226" s="6">
        <f t="shared" ca="1" si="358"/>
        <v>2022</v>
      </c>
      <c r="AR1226" s="6">
        <f t="shared" ca="1" si="359"/>
        <v>11</v>
      </c>
      <c r="AS1226" s="68">
        <f ca="1">IFERROR(__xludf.DUMMYFUNCTION("""COMPUTED_VALUE"""),44882.9986111111)</f>
        <v>44882.998611111099</v>
      </c>
      <c r="AT1226" s="6">
        <f ca="1">IFERROR(__xludf.DUMMYFUNCTION("""COMPUTED_VALUE"""),1777.8)</f>
        <v>1777.8</v>
      </c>
    </row>
    <row r="1227" spans="2:46" x14ac:dyDescent="0.35">
      <c r="B1227" s="6" t="str">
        <f t="shared" ca="1" si="342"/>
        <v>202211</v>
      </c>
      <c r="C1227" s="6">
        <f t="shared" ca="1" si="343"/>
        <v>2022</v>
      </c>
      <c r="D1227" s="6">
        <f t="shared" ca="1" si="344"/>
        <v>11</v>
      </c>
      <c r="E1227" s="68">
        <f ca="1">IFERROR(__xludf.DUMMYFUNCTION("""COMPUTED_VALUE"""),44875.6666666666)</f>
        <v>44875.666666666599</v>
      </c>
      <c r="F1227" s="6">
        <f ca="1">IFERROR(__xludf.DUMMYFUNCTION("""COMPUTED_VALUE"""),3956.37)</f>
        <v>3956.37</v>
      </c>
      <c r="J1227" s="6" t="str">
        <f t="shared" ca="1" si="345"/>
        <v>202211</v>
      </c>
      <c r="K1227" s="6">
        <f t="shared" ca="1" si="346"/>
        <v>2022</v>
      </c>
      <c r="L1227" s="6">
        <f t="shared" ca="1" si="347"/>
        <v>11</v>
      </c>
      <c r="M1227" s="68">
        <f ca="1">IFERROR(__xludf.DUMMYFUNCTION("""COMPUTED_VALUE"""),44868.6666666666)</f>
        <v>44868.666666666599</v>
      </c>
      <c r="N1227" s="6">
        <f ca="1">IFERROR(__xludf.DUMMYFUNCTION("""COMPUTED_VALUE"""),10342.94)</f>
        <v>10342.94</v>
      </c>
      <c r="R1227" s="6" t="str">
        <f t="shared" ca="1" si="348"/>
        <v>202212</v>
      </c>
      <c r="S1227" s="6">
        <f t="shared" ca="1" si="349"/>
        <v>2022</v>
      </c>
      <c r="T1227" s="6">
        <f t="shared" ca="1" si="350"/>
        <v>12</v>
      </c>
      <c r="U1227" s="68">
        <f ca="1">IFERROR(__xludf.DUMMYFUNCTION("""COMPUTED_VALUE"""),44921.6458333333)</f>
        <v>44921.645833333299</v>
      </c>
      <c r="V1227" s="6">
        <f ca="1">IFERROR(__xludf.DUMMYFUNCTION("""COMPUTED_VALUE"""),2317.14)</f>
        <v>2317.14</v>
      </c>
      <c r="Z1227" s="6" t="str">
        <f t="shared" ca="1" si="351"/>
        <v>20216</v>
      </c>
      <c r="AA1227" s="6">
        <f t="shared" ca="1" si="352"/>
        <v>2021</v>
      </c>
      <c r="AB1227" s="6">
        <f t="shared" ca="1" si="353"/>
        <v>6</v>
      </c>
      <c r="AC1227" s="68">
        <f ca="1">IFERROR(__xludf.DUMMYFUNCTION("""COMPUTED_VALUE"""),44372.9986111111)</f>
        <v>44372.998611111099</v>
      </c>
      <c r="AD1227" s="6">
        <f ca="1">IFERROR(__xludf.DUMMYFUNCTION("""COMPUTED_VALUE"""),1126.33)</f>
        <v>1126.33</v>
      </c>
      <c r="AH1227" s="6" t="str">
        <f t="shared" ca="1" si="354"/>
        <v>20215</v>
      </c>
      <c r="AI1227" s="6">
        <f t="shared" ca="1" si="355"/>
        <v>2021</v>
      </c>
      <c r="AJ1227" s="6">
        <f t="shared" ca="1" si="356"/>
        <v>5</v>
      </c>
      <c r="AK1227" s="68">
        <f ca="1">IFERROR(__xludf.DUMMYFUNCTION("""COMPUTED_VALUE"""),44320.9986111111)</f>
        <v>44320.998611111099</v>
      </c>
      <c r="AL1227" s="6">
        <f ca="1">IFERROR(__xludf.DUMMYFUNCTION("""COMPUTED_VALUE"""),53253.62)</f>
        <v>53253.62</v>
      </c>
      <c r="AP1227" s="6" t="str">
        <f t="shared" ca="1" si="357"/>
        <v>202211</v>
      </c>
      <c r="AQ1227" s="6">
        <f t="shared" ca="1" si="358"/>
        <v>2022</v>
      </c>
      <c r="AR1227" s="6">
        <f t="shared" ca="1" si="359"/>
        <v>11</v>
      </c>
      <c r="AS1227" s="68">
        <f ca="1">IFERROR(__xludf.DUMMYFUNCTION("""COMPUTED_VALUE"""),44883.9986111111)</f>
        <v>44883.998611111099</v>
      </c>
      <c r="AT1227" s="6">
        <f ca="1">IFERROR(__xludf.DUMMYFUNCTION("""COMPUTED_VALUE"""),1769)</f>
        <v>1769</v>
      </c>
    </row>
    <row r="1228" spans="2:46" x14ac:dyDescent="0.35">
      <c r="B1228" s="6" t="str">
        <f t="shared" ca="1" si="342"/>
        <v>202211</v>
      </c>
      <c r="C1228" s="6">
        <f t="shared" ca="1" si="343"/>
        <v>2022</v>
      </c>
      <c r="D1228" s="6">
        <f t="shared" ca="1" si="344"/>
        <v>11</v>
      </c>
      <c r="E1228" s="68">
        <f ca="1">IFERROR(__xludf.DUMMYFUNCTION("""COMPUTED_VALUE"""),44876.6666666666)</f>
        <v>44876.666666666599</v>
      </c>
      <c r="F1228" s="6">
        <f ca="1">IFERROR(__xludf.DUMMYFUNCTION("""COMPUTED_VALUE"""),3992.93)</f>
        <v>3992.93</v>
      </c>
      <c r="J1228" s="6" t="str">
        <f t="shared" ca="1" si="345"/>
        <v>202211</v>
      </c>
      <c r="K1228" s="6">
        <f t="shared" ca="1" si="346"/>
        <v>2022</v>
      </c>
      <c r="L1228" s="6">
        <f t="shared" ca="1" si="347"/>
        <v>11</v>
      </c>
      <c r="M1228" s="68">
        <f ca="1">IFERROR(__xludf.DUMMYFUNCTION("""COMPUTED_VALUE"""),44869.6666666666)</f>
        <v>44869.666666666599</v>
      </c>
      <c r="N1228" s="6">
        <f ca="1">IFERROR(__xludf.DUMMYFUNCTION("""COMPUTED_VALUE"""),10475.25)</f>
        <v>10475.25</v>
      </c>
      <c r="R1228" s="6" t="str">
        <f t="shared" ca="1" si="348"/>
        <v>202212</v>
      </c>
      <c r="S1228" s="6">
        <f t="shared" ca="1" si="349"/>
        <v>2022</v>
      </c>
      <c r="T1228" s="6">
        <f t="shared" ca="1" si="350"/>
        <v>12</v>
      </c>
      <c r="U1228" s="68">
        <f ca="1">IFERROR(__xludf.DUMMYFUNCTION("""COMPUTED_VALUE"""),44922.6458333333)</f>
        <v>44922.645833333299</v>
      </c>
      <c r="V1228" s="6">
        <f ca="1">IFERROR(__xludf.DUMMYFUNCTION("""COMPUTED_VALUE"""),2332.79)</f>
        <v>2332.79</v>
      </c>
      <c r="Z1228" s="6" t="str">
        <f t="shared" ca="1" si="351"/>
        <v>20216</v>
      </c>
      <c r="AA1228" s="6">
        <f t="shared" ca="1" si="352"/>
        <v>2021</v>
      </c>
      <c r="AB1228" s="6">
        <f t="shared" ca="1" si="353"/>
        <v>6</v>
      </c>
      <c r="AC1228" s="68">
        <f ca="1">IFERROR(__xludf.DUMMYFUNCTION("""COMPUTED_VALUE"""),44373.9986111111)</f>
        <v>44373.998611111099</v>
      </c>
      <c r="AD1228" s="6">
        <f ca="1">IFERROR(__xludf.DUMMYFUNCTION("""COMPUTED_VALUE"""),1126.33)</f>
        <v>1126.33</v>
      </c>
      <c r="AH1228" s="6" t="str">
        <f t="shared" ca="1" si="354"/>
        <v>20215</v>
      </c>
      <c r="AI1228" s="6">
        <f t="shared" ca="1" si="355"/>
        <v>2021</v>
      </c>
      <c r="AJ1228" s="6">
        <f t="shared" ca="1" si="356"/>
        <v>5</v>
      </c>
      <c r="AK1228" s="68">
        <f ca="1">IFERROR(__xludf.DUMMYFUNCTION("""COMPUTED_VALUE"""),44321.9986111111)</f>
        <v>44321.998611111099</v>
      </c>
      <c r="AL1228" s="6">
        <f ca="1">IFERROR(__xludf.DUMMYFUNCTION("""COMPUTED_VALUE"""),57487.13)</f>
        <v>57487.13</v>
      </c>
      <c r="AP1228" s="6" t="str">
        <f t="shared" ca="1" si="357"/>
        <v>202211</v>
      </c>
      <c r="AQ1228" s="6">
        <f t="shared" ca="1" si="358"/>
        <v>2022</v>
      </c>
      <c r="AR1228" s="6">
        <f t="shared" ca="1" si="359"/>
        <v>11</v>
      </c>
      <c r="AS1228" s="68">
        <f ca="1">IFERROR(__xludf.DUMMYFUNCTION("""COMPUTED_VALUE"""),44886.9986111111)</f>
        <v>44886.998611111099</v>
      </c>
      <c r="AT1228" s="6">
        <f ca="1">IFERROR(__xludf.DUMMYFUNCTION("""COMPUTED_VALUE"""),1754.6)</f>
        <v>1754.6</v>
      </c>
    </row>
    <row r="1229" spans="2:46" x14ac:dyDescent="0.35">
      <c r="B1229" s="6" t="str">
        <f t="shared" ca="1" si="342"/>
        <v>202211</v>
      </c>
      <c r="C1229" s="6">
        <f t="shared" ca="1" si="343"/>
        <v>2022</v>
      </c>
      <c r="D1229" s="6">
        <f t="shared" ca="1" si="344"/>
        <v>11</v>
      </c>
      <c r="E1229" s="68">
        <f ca="1">IFERROR(__xludf.DUMMYFUNCTION("""COMPUTED_VALUE"""),44879.6666666666)</f>
        <v>44879.666666666599</v>
      </c>
      <c r="F1229" s="6">
        <f ca="1">IFERROR(__xludf.DUMMYFUNCTION("""COMPUTED_VALUE"""),3957.25)</f>
        <v>3957.25</v>
      </c>
      <c r="J1229" s="6" t="str">
        <f t="shared" ca="1" si="345"/>
        <v>202211</v>
      </c>
      <c r="K1229" s="6">
        <f t="shared" ca="1" si="346"/>
        <v>2022</v>
      </c>
      <c r="L1229" s="6">
        <f t="shared" ca="1" si="347"/>
        <v>11</v>
      </c>
      <c r="M1229" s="68">
        <f ca="1">IFERROR(__xludf.DUMMYFUNCTION("""COMPUTED_VALUE"""),44872.6666666666)</f>
        <v>44872.666666666599</v>
      </c>
      <c r="N1229" s="6">
        <f ca="1">IFERROR(__xludf.DUMMYFUNCTION("""COMPUTED_VALUE"""),10564.52)</f>
        <v>10564.52</v>
      </c>
      <c r="R1229" s="6" t="str">
        <f t="shared" ca="1" si="348"/>
        <v>202212</v>
      </c>
      <c r="S1229" s="6">
        <f t="shared" ca="1" si="349"/>
        <v>2022</v>
      </c>
      <c r="T1229" s="6">
        <f t="shared" ca="1" si="350"/>
        <v>12</v>
      </c>
      <c r="U1229" s="68">
        <f ca="1">IFERROR(__xludf.DUMMYFUNCTION("""COMPUTED_VALUE"""),44923.6458333333)</f>
        <v>44923.645833333299</v>
      </c>
      <c r="V1229" s="6">
        <f ca="1">IFERROR(__xludf.DUMMYFUNCTION("""COMPUTED_VALUE"""),2280.45)</f>
        <v>2280.4499999999998</v>
      </c>
      <c r="Z1229" s="6" t="str">
        <f t="shared" ca="1" si="351"/>
        <v>20216</v>
      </c>
      <c r="AA1229" s="6">
        <f t="shared" ca="1" si="352"/>
        <v>2021</v>
      </c>
      <c r="AB1229" s="6">
        <f t="shared" ca="1" si="353"/>
        <v>6</v>
      </c>
      <c r="AC1229" s="68">
        <f ca="1">IFERROR(__xludf.DUMMYFUNCTION("""COMPUTED_VALUE"""),44374.9986111111)</f>
        <v>44374.998611111099</v>
      </c>
      <c r="AD1229" s="6">
        <f ca="1">IFERROR(__xludf.DUMMYFUNCTION("""COMPUTED_VALUE"""),1125.34)</f>
        <v>1125.3399999999999</v>
      </c>
      <c r="AH1229" s="6" t="str">
        <f t="shared" ca="1" si="354"/>
        <v>20215</v>
      </c>
      <c r="AI1229" s="6">
        <f t="shared" ca="1" si="355"/>
        <v>2021</v>
      </c>
      <c r="AJ1229" s="6">
        <f t="shared" ca="1" si="356"/>
        <v>5</v>
      </c>
      <c r="AK1229" s="68">
        <f ca="1">IFERROR(__xludf.DUMMYFUNCTION("""COMPUTED_VALUE"""),44322.9986111111)</f>
        <v>44322.998611111099</v>
      </c>
      <c r="AL1229" s="6">
        <f ca="1">IFERROR(__xludf.DUMMYFUNCTION("""COMPUTED_VALUE"""),56418.45)</f>
        <v>56418.45</v>
      </c>
      <c r="AP1229" s="6" t="str">
        <f t="shared" ca="1" si="357"/>
        <v>202211</v>
      </c>
      <c r="AQ1229" s="6">
        <f t="shared" ca="1" si="358"/>
        <v>2022</v>
      </c>
      <c r="AR1229" s="6">
        <f t="shared" ca="1" si="359"/>
        <v>11</v>
      </c>
      <c r="AS1229" s="68">
        <f ca="1">IFERROR(__xludf.DUMMYFUNCTION("""COMPUTED_VALUE"""),44887.9986111111)</f>
        <v>44887.998611111099</v>
      </c>
      <c r="AT1229" s="6">
        <f ca="1">IFERROR(__xludf.DUMMYFUNCTION("""COMPUTED_VALUE"""),1754.8)</f>
        <v>1754.8</v>
      </c>
    </row>
    <row r="1230" spans="2:46" x14ac:dyDescent="0.35">
      <c r="B1230" s="6" t="str">
        <f t="shared" ca="1" si="342"/>
        <v>202211</v>
      </c>
      <c r="C1230" s="6">
        <f t="shared" ca="1" si="343"/>
        <v>2022</v>
      </c>
      <c r="D1230" s="6">
        <f t="shared" ca="1" si="344"/>
        <v>11</v>
      </c>
      <c r="E1230" s="68">
        <f ca="1">IFERROR(__xludf.DUMMYFUNCTION("""COMPUTED_VALUE"""),44880.6666666666)</f>
        <v>44880.666666666599</v>
      </c>
      <c r="F1230" s="6">
        <f ca="1">IFERROR(__xludf.DUMMYFUNCTION("""COMPUTED_VALUE"""),3991.73)</f>
        <v>3991.73</v>
      </c>
      <c r="J1230" s="6" t="str">
        <f t="shared" ca="1" si="345"/>
        <v>202211</v>
      </c>
      <c r="K1230" s="6">
        <f t="shared" ca="1" si="346"/>
        <v>2022</v>
      </c>
      <c r="L1230" s="6">
        <f t="shared" ca="1" si="347"/>
        <v>11</v>
      </c>
      <c r="M1230" s="68">
        <f ca="1">IFERROR(__xludf.DUMMYFUNCTION("""COMPUTED_VALUE"""),44873.6666666666)</f>
        <v>44873.666666666599</v>
      </c>
      <c r="N1230" s="6">
        <f ca="1">IFERROR(__xludf.DUMMYFUNCTION("""COMPUTED_VALUE"""),10616.2)</f>
        <v>10616.2</v>
      </c>
      <c r="R1230" s="6" t="str">
        <f t="shared" ca="1" si="348"/>
        <v>202212</v>
      </c>
      <c r="S1230" s="6">
        <f t="shared" ca="1" si="349"/>
        <v>2022</v>
      </c>
      <c r="T1230" s="6">
        <f t="shared" ca="1" si="350"/>
        <v>12</v>
      </c>
      <c r="U1230" s="68">
        <f ca="1">IFERROR(__xludf.DUMMYFUNCTION("""COMPUTED_VALUE"""),44924.6458333333)</f>
        <v>44924.645833333299</v>
      </c>
      <c r="V1230" s="6">
        <f ca="1">IFERROR(__xludf.DUMMYFUNCTION("""COMPUTED_VALUE"""),2236.4)</f>
        <v>2236.4</v>
      </c>
      <c r="Z1230" s="6" t="str">
        <f t="shared" ca="1" si="351"/>
        <v>20216</v>
      </c>
      <c r="AA1230" s="6">
        <f t="shared" ca="1" si="352"/>
        <v>2021</v>
      </c>
      <c r="AB1230" s="6">
        <f t="shared" ca="1" si="353"/>
        <v>6</v>
      </c>
      <c r="AC1230" s="68">
        <f ca="1">IFERROR(__xludf.DUMMYFUNCTION("""COMPUTED_VALUE"""),44375.9986111111)</f>
        <v>44375.998611111099</v>
      </c>
      <c r="AD1230" s="6">
        <f ca="1">IFERROR(__xludf.DUMMYFUNCTION("""COMPUTED_VALUE"""),1129.04)</f>
        <v>1129.04</v>
      </c>
      <c r="AH1230" s="6" t="str">
        <f t="shared" ca="1" si="354"/>
        <v>20215</v>
      </c>
      <c r="AI1230" s="6">
        <f t="shared" ca="1" si="355"/>
        <v>2021</v>
      </c>
      <c r="AJ1230" s="6">
        <f t="shared" ca="1" si="356"/>
        <v>5</v>
      </c>
      <c r="AK1230" s="68">
        <f ca="1">IFERROR(__xludf.DUMMYFUNCTION("""COMPUTED_VALUE"""),44323.9986111111)</f>
        <v>44323.998611111099</v>
      </c>
      <c r="AL1230" s="6">
        <f ca="1">IFERROR(__xludf.DUMMYFUNCTION("""COMPUTED_VALUE"""),57374.92)</f>
        <v>57374.92</v>
      </c>
      <c r="AP1230" s="6" t="str">
        <f t="shared" ca="1" si="357"/>
        <v>202211</v>
      </c>
      <c r="AQ1230" s="6">
        <f t="shared" ca="1" si="358"/>
        <v>2022</v>
      </c>
      <c r="AR1230" s="6">
        <f t="shared" ca="1" si="359"/>
        <v>11</v>
      </c>
      <c r="AS1230" s="68">
        <f ca="1">IFERROR(__xludf.DUMMYFUNCTION("""COMPUTED_VALUE"""),44888.9986111111)</f>
        <v>44888.998611111099</v>
      </c>
      <c r="AT1230" s="6">
        <f ca="1">IFERROR(__xludf.DUMMYFUNCTION("""COMPUTED_VALUE"""),1760.4)</f>
        <v>1760.4</v>
      </c>
    </row>
    <row r="1231" spans="2:46" x14ac:dyDescent="0.35">
      <c r="B1231" s="6" t="str">
        <f t="shared" ca="1" si="342"/>
        <v>202211</v>
      </c>
      <c r="C1231" s="6">
        <f t="shared" ca="1" si="343"/>
        <v>2022</v>
      </c>
      <c r="D1231" s="6">
        <f t="shared" ca="1" si="344"/>
        <v>11</v>
      </c>
      <c r="E1231" s="68">
        <f ca="1">IFERROR(__xludf.DUMMYFUNCTION("""COMPUTED_VALUE"""),44881.6666666666)</f>
        <v>44881.666666666599</v>
      </c>
      <c r="F1231" s="6">
        <f ca="1">IFERROR(__xludf.DUMMYFUNCTION("""COMPUTED_VALUE"""),3958.79)</f>
        <v>3958.79</v>
      </c>
      <c r="J1231" s="6" t="str">
        <f t="shared" ca="1" si="345"/>
        <v>202211</v>
      </c>
      <c r="K1231" s="6">
        <f t="shared" ca="1" si="346"/>
        <v>2022</v>
      </c>
      <c r="L1231" s="6">
        <f t="shared" ca="1" si="347"/>
        <v>11</v>
      </c>
      <c r="M1231" s="68">
        <f ca="1">IFERROR(__xludf.DUMMYFUNCTION("""COMPUTED_VALUE"""),44874.6666666666)</f>
        <v>44874.666666666599</v>
      </c>
      <c r="N1231" s="6">
        <f ca="1">IFERROR(__xludf.DUMMYFUNCTION("""COMPUTED_VALUE"""),10353.17)</f>
        <v>10353.17</v>
      </c>
      <c r="R1231" s="6" t="str">
        <f t="shared" ca="1" si="348"/>
        <v>20231</v>
      </c>
      <c r="S1231" s="6">
        <f t="shared" ca="1" si="349"/>
        <v>2023</v>
      </c>
      <c r="T1231" s="6">
        <f t="shared" ca="1" si="350"/>
        <v>1</v>
      </c>
      <c r="U1231" s="68">
        <f ca="1">IFERROR(__xludf.DUMMYFUNCTION("""COMPUTED_VALUE"""),44928.6458333333)</f>
        <v>44928.645833333299</v>
      </c>
      <c r="V1231" s="6">
        <f ca="1">IFERROR(__xludf.DUMMYFUNCTION("""COMPUTED_VALUE"""),2225.67)</f>
        <v>2225.67</v>
      </c>
      <c r="Z1231" s="6" t="str">
        <f t="shared" ca="1" si="351"/>
        <v>20216</v>
      </c>
      <c r="AA1231" s="6">
        <f t="shared" ca="1" si="352"/>
        <v>2021</v>
      </c>
      <c r="AB1231" s="6">
        <f t="shared" ca="1" si="353"/>
        <v>6</v>
      </c>
      <c r="AC1231" s="68">
        <f ca="1">IFERROR(__xludf.DUMMYFUNCTION("""COMPUTED_VALUE"""),44376.9986111111)</f>
        <v>44376.998611111099</v>
      </c>
      <c r="AD1231" s="6">
        <f ca="1">IFERROR(__xludf.DUMMYFUNCTION("""COMPUTED_VALUE"""),1130.51)</f>
        <v>1130.51</v>
      </c>
      <c r="AH1231" s="6" t="str">
        <f t="shared" ca="1" si="354"/>
        <v>20215</v>
      </c>
      <c r="AI1231" s="6">
        <f t="shared" ca="1" si="355"/>
        <v>2021</v>
      </c>
      <c r="AJ1231" s="6">
        <f t="shared" ca="1" si="356"/>
        <v>5</v>
      </c>
      <c r="AK1231" s="68">
        <f ca="1">IFERROR(__xludf.DUMMYFUNCTION("""COMPUTED_VALUE"""),44324.9986111111)</f>
        <v>44324.998611111099</v>
      </c>
      <c r="AL1231" s="6">
        <f ca="1">IFERROR(__xludf.DUMMYFUNCTION("""COMPUTED_VALUE"""),58851.15)</f>
        <v>58851.15</v>
      </c>
      <c r="AP1231" s="6" t="str">
        <f t="shared" ca="1" si="357"/>
        <v>202211</v>
      </c>
      <c r="AQ1231" s="6">
        <f t="shared" ca="1" si="358"/>
        <v>2022</v>
      </c>
      <c r="AR1231" s="6">
        <f t="shared" ca="1" si="359"/>
        <v>11</v>
      </c>
      <c r="AS1231" s="68">
        <f ca="1">IFERROR(__xludf.DUMMYFUNCTION("""COMPUTED_VALUE"""),44890.5416666666)</f>
        <v>44890.541666666599</v>
      </c>
      <c r="AT1231" s="6">
        <f ca="1">IFERROR(__xludf.DUMMYFUNCTION("""COMPUTED_VALUE"""),1768.8)</f>
        <v>1768.8</v>
      </c>
    </row>
    <row r="1232" spans="2:46" x14ac:dyDescent="0.35">
      <c r="B1232" s="6" t="str">
        <f t="shared" ca="1" si="342"/>
        <v>202211</v>
      </c>
      <c r="C1232" s="6">
        <f t="shared" ca="1" si="343"/>
        <v>2022</v>
      </c>
      <c r="D1232" s="6">
        <f t="shared" ca="1" si="344"/>
        <v>11</v>
      </c>
      <c r="E1232" s="68">
        <f ca="1">IFERROR(__xludf.DUMMYFUNCTION("""COMPUTED_VALUE"""),44882.6666666666)</f>
        <v>44882.666666666599</v>
      </c>
      <c r="F1232" s="6">
        <f ca="1">IFERROR(__xludf.DUMMYFUNCTION("""COMPUTED_VALUE"""),3946.56)</f>
        <v>3946.56</v>
      </c>
      <c r="J1232" s="6" t="str">
        <f t="shared" ca="1" si="345"/>
        <v>202211</v>
      </c>
      <c r="K1232" s="6">
        <f t="shared" ca="1" si="346"/>
        <v>2022</v>
      </c>
      <c r="L1232" s="6">
        <f t="shared" ca="1" si="347"/>
        <v>11</v>
      </c>
      <c r="M1232" s="68">
        <f ca="1">IFERROR(__xludf.DUMMYFUNCTION("""COMPUTED_VALUE"""),44875.6666666666)</f>
        <v>44875.666666666599</v>
      </c>
      <c r="N1232" s="6">
        <f ca="1">IFERROR(__xludf.DUMMYFUNCTION("""COMPUTED_VALUE"""),11114.15)</f>
        <v>11114.15</v>
      </c>
      <c r="R1232" s="6" t="str">
        <f t="shared" ca="1" si="348"/>
        <v>20231</v>
      </c>
      <c r="S1232" s="6">
        <f t="shared" ca="1" si="349"/>
        <v>2023</v>
      </c>
      <c r="T1232" s="6">
        <f t="shared" ca="1" si="350"/>
        <v>1</v>
      </c>
      <c r="U1232" s="68">
        <f ca="1">IFERROR(__xludf.DUMMYFUNCTION("""COMPUTED_VALUE"""),44929.6458333333)</f>
        <v>44929.645833333299</v>
      </c>
      <c r="V1232" s="6">
        <f ca="1">IFERROR(__xludf.DUMMYFUNCTION("""COMPUTED_VALUE"""),2218.68)</f>
        <v>2218.6799999999998</v>
      </c>
      <c r="Z1232" s="6" t="str">
        <f t="shared" ca="1" si="351"/>
        <v>20216</v>
      </c>
      <c r="AA1232" s="6">
        <f t="shared" ca="1" si="352"/>
        <v>2021</v>
      </c>
      <c r="AB1232" s="6">
        <f t="shared" ca="1" si="353"/>
        <v>6</v>
      </c>
      <c r="AC1232" s="68">
        <f ca="1">IFERROR(__xludf.DUMMYFUNCTION("""COMPUTED_VALUE"""),44377.9986111111)</f>
        <v>44377.998611111099</v>
      </c>
      <c r="AD1232" s="6">
        <f ca="1">IFERROR(__xludf.DUMMYFUNCTION("""COMPUTED_VALUE"""),1129.6)</f>
        <v>1129.5999999999999</v>
      </c>
      <c r="AH1232" s="6" t="str">
        <f t="shared" ca="1" si="354"/>
        <v>20215</v>
      </c>
      <c r="AI1232" s="6">
        <f t="shared" ca="1" si="355"/>
        <v>2021</v>
      </c>
      <c r="AJ1232" s="6">
        <f t="shared" ca="1" si="356"/>
        <v>5</v>
      </c>
      <c r="AK1232" s="68">
        <f ca="1">IFERROR(__xludf.DUMMYFUNCTION("""COMPUTED_VALUE"""),44325.9986111111)</f>
        <v>44325.998611111099</v>
      </c>
      <c r="AL1232" s="6">
        <f ca="1">IFERROR(__xludf.DUMMYFUNCTION("""COMPUTED_VALUE"""),58249.91)</f>
        <v>58249.91</v>
      </c>
      <c r="AP1232" s="6" t="str">
        <f t="shared" ca="1" si="357"/>
        <v>202211</v>
      </c>
      <c r="AQ1232" s="6">
        <f t="shared" ca="1" si="358"/>
        <v>2022</v>
      </c>
      <c r="AR1232" s="6">
        <f t="shared" ca="1" si="359"/>
        <v>11</v>
      </c>
      <c r="AS1232" s="68">
        <f ca="1">IFERROR(__xludf.DUMMYFUNCTION("""COMPUTED_VALUE"""),44893.9986111111)</f>
        <v>44893.998611111099</v>
      </c>
      <c r="AT1232" s="6">
        <f ca="1">IFERROR(__xludf.DUMMYFUNCTION("""COMPUTED_VALUE"""),1755.3)</f>
        <v>1755.3</v>
      </c>
    </row>
    <row r="1233" spans="2:46" x14ac:dyDescent="0.35">
      <c r="B1233" s="6" t="str">
        <f t="shared" ca="1" si="342"/>
        <v>202211</v>
      </c>
      <c r="C1233" s="6">
        <f t="shared" ca="1" si="343"/>
        <v>2022</v>
      </c>
      <c r="D1233" s="6">
        <f t="shared" ca="1" si="344"/>
        <v>11</v>
      </c>
      <c r="E1233" s="68">
        <f ca="1">IFERROR(__xludf.DUMMYFUNCTION("""COMPUTED_VALUE"""),44883.6666666666)</f>
        <v>44883.666666666599</v>
      </c>
      <c r="F1233" s="6">
        <f ca="1">IFERROR(__xludf.DUMMYFUNCTION("""COMPUTED_VALUE"""),3965.34)</f>
        <v>3965.34</v>
      </c>
      <c r="J1233" s="6" t="str">
        <f t="shared" ca="1" si="345"/>
        <v>202211</v>
      </c>
      <c r="K1233" s="6">
        <f t="shared" ca="1" si="346"/>
        <v>2022</v>
      </c>
      <c r="L1233" s="6">
        <f t="shared" ca="1" si="347"/>
        <v>11</v>
      </c>
      <c r="M1233" s="68">
        <f ca="1">IFERROR(__xludf.DUMMYFUNCTION("""COMPUTED_VALUE"""),44876.6666666666)</f>
        <v>44876.666666666599</v>
      </c>
      <c r="N1233" s="6">
        <f ca="1">IFERROR(__xludf.DUMMYFUNCTION("""COMPUTED_VALUE"""),11323.33)</f>
        <v>11323.33</v>
      </c>
      <c r="R1233" s="6" t="str">
        <f t="shared" ca="1" si="348"/>
        <v>20231</v>
      </c>
      <c r="S1233" s="6">
        <f t="shared" ca="1" si="349"/>
        <v>2023</v>
      </c>
      <c r="T1233" s="6">
        <f t="shared" ca="1" si="350"/>
        <v>1</v>
      </c>
      <c r="U1233" s="68">
        <f ca="1">IFERROR(__xludf.DUMMYFUNCTION("""COMPUTED_VALUE"""),44930.6458333333)</f>
        <v>44930.645833333299</v>
      </c>
      <c r="V1233" s="6">
        <f ca="1">IFERROR(__xludf.DUMMYFUNCTION("""COMPUTED_VALUE"""),2255.98)</f>
        <v>2255.98</v>
      </c>
      <c r="Z1233" s="6" t="str">
        <f t="shared" ca="1" si="351"/>
        <v>20217</v>
      </c>
      <c r="AA1233" s="6">
        <f t="shared" ca="1" si="352"/>
        <v>2021</v>
      </c>
      <c r="AB1233" s="6">
        <f t="shared" ca="1" si="353"/>
        <v>7</v>
      </c>
      <c r="AC1233" s="68">
        <f ca="1">IFERROR(__xludf.DUMMYFUNCTION("""COMPUTED_VALUE"""),44378.9986111111)</f>
        <v>44378.998611111099</v>
      </c>
      <c r="AD1233" s="6">
        <f ca="1">IFERROR(__xludf.DUMMYFUNCTION("""COMPUTED_VALUE"""),1132.41)</f>
        <v>1132.4100000000001</v>
      </c>
      <c r="AH1233" s="6" t="str">
        <f t="shared" ca="1" si="354"/>
        <v>20215</v>
      </c>
      <c r="AI1233" s="6">
        <f t="shared" ca="1" si="355"/>
        <v>2021</v>
      </c>
      <c r="AJ1233" s="6">
        <f t="shared" ca="1" si="356"/>
        <v>5</v>
      </c>
      <c r="AK1233" s="68">
        <f ca="1">IFERROR(__xludf.DUMMYFUNCTION("""COMPUTED_VALUE"""),44326.9986111111)</f>
        <v>44326.998611111099</v>
      </c>
      <c r="AL1233" s="6">
        <f ca="1">IFERROR(__xludf.DUMMYFUNCTION("""COMPUTED_VALUE"""),55873.81)</f>
        <v>55873.81</v>
      </c>
      <c r="AP1233" s="6" t="str">
        <f t="shared" ca="1" si="357"/>
        <v>202211</v>
      </c>
      <c r="AQ1233" s="6">
        <f t="shared" ca="1" si="358"/>
        <v>2022</v>
      </c>
      <c r="AR1233" s="6">
        <f t="shared" ca="1" si="359"/>
        <v>11</v>
      </c>
      <c r="AS1233" s="68">
        <f ca="1">IFERROR(__xludf.DUMMYFUNCTION("""COMPUTED_VALUE"""),44894.9986111111)</f>
        <v>44894.998611111099</v>
      </c>
      <c r="AT1233" s="6">
        <f ca="1">IFERROR(__xludf.DUMMYFUNCTION("""COMPUTED_VALUE"""),1763.7)</f>
        <v>1763.7</v>
      </c>
    </row>
    <row r="1234" spans="2:46" x14ac:dyDescent="0.35">
      <c r="B1234" s="6" t="str">
        <f t="shared" ca="1" si="342"/>
        <v>202211</v>
      </c>
      <c r="C1234" s="6">
        <f t="shared" ca="1" si="343"/>
        <v>2022</v>
      </c>
      <c r="D1234" s="6">
        <f t="shared" ca="1" si="344"/>
        <v>11</v>
      </c>
      <c r="E1234" s="68">
        <f ca="1">IFERROR(__xludf.DUMMYFUNCTION("""COMPUTED_VALUE"""),44886.6666666666)</f>
        <v>44886.666666666599</v>
      </c>
      <c r="F1234" s="6">
        <f ca="1">IFERROR(__xludf.DUMMYFUNCTION("""COMPUTED_VALUE"""),3949.94)</f>
        <v>3949.94</v>
      </c>
      <c r="J1234" s="6" t="str">
        <f t="shared" ca="1" si="345"/>
        <v>202211</v>
      </c>
      <c r="K1234" s="6">
        <f t="shared" ca="1" si="346"/>
        <v>2022</v>
      </c>
      <c r="L1234" s="6">
        <f t="shared" ca="1" si="347"/>
        <v>11</v>
      </c>
      <c r="M1234" s="68">
        <f ca="1">IFERROR(__xludf.DUMMYFUNCTION("""COMPUTED_VALUE"""),44879.6666666666)</f>
        <v>44879.666666666599</v>
      </c>
      <c r="N1234" s="6">
        <f ca="1">IFERROR(__xludf.DUMMYFUNCTION("""COMPUTED_VALUE"""),11196.22)</f>
        <v>11196.22</v>
      </c>
      <c r="R1234" s="6" t="str">
        <f t="shared" ca="1" si="348"/>
        <v>20231</v>
      </c>
      <c r="S1234" s="6">
        <f t="shared" ca="1" si="349"/>
        <v>2023</v>
      </c>
      <c r="T1234" s="6">
        <f t="shared" ca="1" si="350"/>
        <v>1</v>
      </c>
      <c r="U1234" s="68">
        <f ca="1">IFERROR(__xludf.DUMMYFUNCTION("""COMPUTED_VALUE"""),44931.6458333333)</f>
        <v>44931.645833333299</v>
      </c>
      <c r="V1234" s="6">
        <f ca="1">IFERROR(__xludf.DUMMYFUNCTION("""COMPUTED_VALUE"""),2264.65)</f>
        <v>2264.65</v>
      </c>
      <c r="Z1234" s="6" t="str">
        <f t="shared" ca="1" si="351"/>
        <v>20217</v>
      </c>
      <c r="AA1234" s="6">
        <f t="shared" ca="1" si="352"/>
        <v>2021</v>
      </c>
      <c r="AB1234" s="6">
        <f t="shared" ca="1" si="353"/>
        <v>7</v>
      </c>
      <c r="AC1234" s="68">
        <f ca="1">IFERROR(__xludf.DUMMYFUNCTION("""COMPUTED_VALUE"""),44379.9986111111)</f>
        <v>44379.998611111099</v>
      </c>
      <c r="AD1234" s="6">
        <f ca="1">IFERROR(__xludf.DUMMYFUNCTION("""COMPUTED_VALUE"""),1129.67)</f>
        <v>1129.67</v>
      </c>
      <c r="AH1234" s="6" t="str">
        <f t="shared" ca="1" si="354"/>
        <v>20215</v>
      </c>
      <c r="AI1234" s="6">
        <f t="shared" ca="1" si="355"/>
        <v>2021</v>
      </c>
      <c r="AJ1234" s="6">
        <f t="shared" ca="1" si="356"/>
        <v>5</v>
      </c>
      <c r="AK1234" s="68">
        <f ca="1">IFERROR(__xludf.DUMMYFUNCTION("""COMPUTED_VALUE"""),44327.9986111111)</f>
        <v>44327.998611111099</v>
      </c>
      <c r="AL1234" s="6">
        <f ca="1">IFERROR(__xludf.DUMMYFUNCTION("""COMPUTED_VALUE"""),56727.85)</f>
        <v>56727.85</v>
      </c>
      <c r="AP1234" s="6" t="str">
        <f t="shared" ca="1" si="357"/>
        <v>202211</v>
      </c>
      <c r="AQ1234" s="6">
        <f t="shared" ca="1" si="358"/>
        <v>2022</v>
      </c>
      <c r="AR1234" s="6">
        <f t="shared" ca="1" si="359"/>
        <v>11</v>
      </c>
      <c r="AS1234" s="68">
        <f ca="1">IFERROR(__xludf.DUMMYFUNCTION("""COMPUTED_VALUE"""),44895.9986111111)</f>
        <v>44895.998611111099</v>
      </c>
      <c r="AT1234" s="6">
        <f ca="1">IFERROR(__xludf.DUMMYFUNCTION("""COMPUTED_VALUE"""),1759.9)</f>
        <v>1759.9</v>
      </c>
    </row>
    <row r="1235" spans="2:46" x14ac:dyDescent="0.35">
      <c r="B1235" s="6" t="str">
        <f t="shared" ca="1" si="342"/>
        <v>202211</v>
      </c>
      <c r="C1235" s="6">
        <f t="shared" ca="1" si="343"/>
        <v>2022</v>
      </c>
      <c r="D1235" s="6">
        <f t="shared" ca="1" si="344"/>
        <v>11</v>
      </c>
      <c r="E1235" s="68">
        <f ca="1">IFERROR(__xludf.DUMMYFUNCTION("""COMPUTED_VALUE"""),44887.6666666666)</f>
        <v>44887.666666666599</v>
      </c>
      <c r="F1235" s="6">
        <f ca="1">IFERROR(__xludf.DUMMYFUNCTION("""COMPUTED_VALUE"""),4003.58)</f>
        <v>4003.58</v>
      </c>
      <c r="J1235" s="6" t="str">
        <f t="shared" ca="1" si="345"/>
        <v>202211</v>
      </c>
      <c r="K1235" s="6">
        <f t="shared" ca="1" si="346"/>
        <v>2022</v>
      </c>
      <c r="L1235" s="6">
        <f t="shared" ca="1" si="347"/>
        <v>11</v>
      </c>
      <c r="M1235" s="68">
        <f ca="1">IFERROR(__xludf.DUMMYFUNCTION("""COMPUTED_VALUE"""),44880.6666666666)</f>
        <v>44880.666666666599</v>
      </c>
      <c r="N1235" s="6">
        <f ca="1">IFERROR(__xludf.DUMMYFUNCTION("""COMPUTED_VALUE"""),11358.41)</f>
        <v>11358.41</v>
      </c>
      <c r="R1235" s="6" t="str">
        <f t="shared" ca="1" si="348"/>
        <v>20231</v>
      </c>
      <c r="S1235" s="6">
        <f t="shared" ca="1" si="349"/>
        <v>2023</v>
      </c>
      <c r="T1235" s="6">
        <f t="shared" ca="1" si="350"/>
        <v>1</v>
      </c>
      <c r="U1235" s="68">
        <f ca="1">IFERROR(__xludf.DUMMYFUNCTION("""COMPUTED_VALUE"""),44932.6458333333)</f>
        <v>44932.645833333299</v>
      </c>
      <c r="V1235" s="6">
        <f ca="1">IFERROR(__xludf.DUMMYFUNCTION("""COMPUTED_VALUE"""),2289.97)</f>
        <v>2289.9699999999998</v>
      </c>
      <c r="Z1235" s="6" t="str">
        <f t="shared" ca="1" si="351"/>
        <v>20217</v>
      </c>
      <c r="AA1235" s="6">
        <f t="shared" ca="1" si="352"/>
        <v>2021</v>
      </c>
      <c r="AB1235" s="6">
        <f t="shared" ca="1" si="353"/>
        <v>7</v>
      </c>
      <c r="AC1235" s="68">
        <f ca="1">IFERROR(__xludf.DUMMYFUNCTION("""COMPUTED_VALUE"""),44380.9986111111)</f>
        <v>44380.998611111099</v>
      </c>
      <c r="AD1235" s="6">
        <f ca="1">IFERROR(__xludf.DUMMYFUNCTION("""COMPUTED_VALUE"""),1129.27)</f>
        <v>1129.27</v>
      </c>
      <c r="AH1235" s="6" t="str">
        <f t="shared" ca="1" si="354"/>
        <v>20215</v>
      </c>
      <c r="AI1235" s="6">
        <f t="shared" ca="1" si="355"/>
        <v>2021</v>
      </c>
      <c r="AJ1235" s="6">
        <f t="shared" ca="1" si="356"/>
        <v>5</v>
      </c>
      <c r="AK1235" s="68">
        <f ca="1">IFERROR(__xludf.DUMMYFUNCTION("""COMPUTED_VALUE"""),44328.9986111111)</f>
        <v>44328.998611111099</v>
      </c>
      <c r="AL1235" s="6">
        <f ca="1">IFERROR(__xludf.DUMMYFUNCTION("""COMPUTED_VALUE"""),49317.21)</f>
        <v>49317.21</v>
      </c>
      <c r="AP1235" s="6" t="str">
        <f t="shared" ca="1" si="357"/>
        <v>202212</v>
      </c>
      <c r="AQ1235" s="6">
        <f t="shared" ca="1" si="358"/>
        <v>2022</v>
      </c>
      <c r="AR1235" s="6">
        <f t="shared" ca="1" si="359"/>
        <v>12</v>
      </c>
      <c r="AS1235" s="68">
        <f ca="1">IFERROR(__xludf.DUMMYFUNCTION("""COMPUTED_VALUE"""),44896.9986111111)</f>
        <v>44896.998611111099</v>
      </c>
      <c r="AT1235" s="6">
        <f ca="1">IFERROR(__xludf.DUMMYFUNCTION("""COMPUTED_VALUE"""),1815.2)</f>
        <v>1815.2</v>
      </c>
    </row>
    <row r="1236" spans="2:46" x14ac:dyDescent="0.35">
      <c r="B1236" s="6" t="str">
        <f t="shared" ca="1" si="342"/>
        <v>202211</v>
      </c>
      <c r="C1236" s="6">
        <f t="shared" ca="1" si="343"/>
        <v>2022</v>
      </c>
      <c r="D1236" s="6">
        <f t="shared" ca="1" si="344"/>
        <v>11</v>
      </c>
      <c r="E1236" s="68">
        <f ca="1">IFERROR(__xludf.DUMMYFUNCTION("""COMPUTED_VALUE"""),44890.5416666666)</f>
        <v>44890.541666666599</v>
      </c>
      <c r="F1236" s="6">
        <f ca="1">IFERROR(__xludf.DUMMYFUNCTION("""COMPUTED_VALUE"""),4026.12)</f>
        <v>4026.12</v>
      </c>
      <c r="J1236" s="6" t="str">
        <f t="shared" ca="1" si="345"/>
        <v>202211</v>
      </c>
      <c r="K1236" s="6">
        <f t="shared" ca="1" si="346"/>
        <v>2022</v>
      </c>
      <c r="L1236" s="6">
        <f t="shared" ca="1" si="347"/>
        <v>11</v>
      </c>
      <c r="M1236" s="68">
        <f ca="1">IFERROR(__xludf.DUMMYFUNCTION("""COMPUTED_VALUE"""),44881.6666666666)</f>
        <v>44881.666666666599</v>
      </c>
      <c r="N1236" s="6">
        <f ca="1">IFERROR(__xludf.DUMMYFUNCTION("""COMPUTED_VALUE"""),11183.66)</f>
        <v>11183.66</v>
      </c>
      <c r="R1236" s="6" t="str">
        <f t="shared" ca="1" si="348"/>
        <v>20231</v>
      </c>
      <c r="S1236" s="6">
        <f t="shared" ca="1" si="349"/>
        <v>2023</v>
      </c>
      <c r="T1236" s="6">
        <f t="shared" ca="1" si="350"/>
        <v>1</v>
      </c>
      <c r="U1236" s="68">
        <f ca="1">IFERROR(__xludf.DUMMYFUNCTION("""COMPUTED_VALUE"""),44935.6458333333)</f>
        <v>44935.645833333299</v>
      </c>
      <c r="V1236" s="6">
        <f ca="1">IFERROR(__xludf.DUMMYFUNCTION("""COMPUTED_VALUE"""),2350.19)</f>
        <v>2350.19</v>
      </c>
      <c r="Z1236" s="6" t="str">
        <f t="shared" ca="1" si="351"/>
        <v>20217</v>
      </c>
      <c r="AA1236" s="6">
        <f t="shared" ca="1" si="352"/>
        <v>2021</v>
      </c>
      <c r="AB1236" s="6">
        <f t="shared" ca="1" si="353"/>
        <v>7</v>
      </c>
      <c r="AC1236" s="68">
        <f ca="1">IFERROR(__xludf.DUMMYFUNCTION("""COMPUTED_VALUE"""),44381.9986111111)</f>
        <v>44381.998611111099</v>
      </c>
      <c r="AD1236" s="6">
        <f ca="1">IFERROR(__xludf.DUMMYFUNCTION("""COMPUTED_VALUE"""),1129.77)</f>
        <v>1129.77</v>
      </c>
      <c r="AH1236" s="6" t="str">
        <f t="shared" ca="1" si="354"/>
        <v>20215</v>
      </c>
      <c r="AI1236" s="6">
        <f t="shared" ca="1" si="355"/>
        <v>2021</v>
      </c>
      <c r="AJ1236" s="6">
        <f t="shared" ca="1" si="356"/>
        <v>5</v>
      </c>
      <c r="AK1236" s="68">
        <f ca="1">IFERROR(__xludf.DUMMYFUNCTION("""COMPUTED_VALUE"""),44329.9986111111)</f>
        <v>44329.998611111099</v>
      </c>
      <c r="AL1236" s="6">
        <f ca="1">IFERROR(__xludf.DUMMYFUNCTION("""COMPUTED_VALUE"""),49707.58)</f>
        <v>49707.58</v>
      </c>
      <c r="AP1236" s="6" t="str">
        <f t="shared" ca="1" si="357"/>
        <v>202212</v>
      </c>
      <c r="AQ1236" s="6">
        <f t="shared" ca="1" si="358"/>
        <v>2022</v>
      </c>
      <c r="AR1236" s="6">
        <f t="shared" ca="1" si="359"/>
        <v>12</v>
      </c>
      <c r="AS1236" s="68">
        <f ca="1">IFERROR(__xludf.DUMMYFUNCTION("""COMPUTED_VALUE"""),44897.9986111111)</f>
        <v>44897.998611111099</v>
      </c>
      <c r="AT1236" s="6">
        <f ca="1">IFERROR(__xludf.DUMMYFUNCTION("""COMPUTED_VALUE"""),1809.6)</f>
        <v>1809.6</v>
      </c>
    </row>
    <row r="1237" spans="2:46" x14ac:dyDescent="0.35">
      <c r="B1237" s="6" t="str">
        <f t="shared" ca="1" si="342"/>
        <v>202211</v>
      </c>
      <c r="C1237" s="6">
        <f t="shared" ca="1" si="343"/>
        <v>2022</v>
      </c>
      <c r="D1237" s="6">
        <f t="shared" ca="1" si="344"/>
        <v>11</v>
      </c>
      <c r="E1237" s="68">
        <f ca="1">IFERROR(__xludf.DUMMYFUNCTION("""COMPUTED_VALUE"""),44893.6666666666)</f>
        <v>44893.666666666599</v>
      </c>
      <c r="F1237" s="6">
        <f ca="1">IFERROR(__xludf.DUMMYFUNCTION("""COMPUTED_VALUE"""),3963.94)</f>
        <v>3963.94</v>
      </c>
      <c r="J1237" s="6" t="str">
        <f t="shared" ca="1" si="345"/>
        <v>202211</v>
      </c>
      <c r="K1237" s="6">
        <f t="shared" ca="1" si="346"/>
        <v>2022</v>
      </c>
      <c r="L1237" s="6">
        <f t="shared" ca="1" si="347"/>
        <v>11</v>
      </c>
      <c r="M1237" s="68">
        <f ca="1">IFERROR(__xludf.DUMMYFUNCTION("""COMPUTED_VALUE"""),44882.6666666666)</f>
        <v>44882.666666666599</v>
      </c>
      <c r="N1237" s="6">
        <f ca="1">IFERROR(__xludf.DUMMYFUNCTION("""COMPUTED_VALUE"""),11144.96)</f>
        <v>11144.96</v>
      </c>
      <c r="R1237" s="6" t="str">
        <f t="shared" ca="1" si="348"/>
        <v>20231</v>
      </c>
      <c r="S1237" s="6">
        <f t="shared" ca="1" si="349"/>
        <v>2023</v>
      </c>
      <c r="T1237" s="6">
        <f t="shared" ca="1" si="350"/>
        <v>1</v>
      </c>
      <c r="U1237" s="68">
        <f ca="1">IFERROR(__xludf.DUMMYFUNCTION("""COMPUTED_VALUE"""),44936.6458333333)</f>
        <v>44936.645833333299</v>
      </c>
      <c r="V1237" s="6">
        <f ca="1">IFERROR(__xludf.DUMMYFUNCTION("""COMPUTED_VALUE"""),2351.31)</f>
        <v>2351.31</v>
      </c>
      <c r="Z1237" s="6" t="str">
        <f t="shared" ca="1" si="351"/>
        <v>20217</v>
      </c>
      <c r="AA1237" s="6">
        <f t="shared" ca="1" si="352"/>
        <v>2021</v>
      </c>
      <c r="AB1237" s="6">
        <f t="shared" ca="1" si="353"/>
        <v>7</v>
      </c>
      <c r="AC1237" s="68">
        <f ca="1">IFERROR(__xludf.DUMMYFUNCTION("""COMPUTED_VALUE"""),44382.9986111111)</f>
        <v>44382.998611111099</v>
      </c>
      <c r="AD1237" s="6">
        <f ca="1">IFERROR(__xludf.DUMMYFUNCTION("""COMPUTED_VALUE"""),1129.44)</f>
        <v>1129.44</v>
      </c>
      <c r="AH1237" s="6" t="str">
        <f t="shared" ca="1" si="354"/>
        <v>20215</v>
      </c>
      <c r="AI1237" s="6">
        <f t="shared" ca="1" si="355"/>
        <v>2021</v>
      </c>
      <c r="AJ1237" s="6">
        <f t="shared" ca="1" si="356"/>
        <v>5</v>
      </c>
      <c r="AK1237" s="68">
        <f ca="1">IFERROR(__xludf.DUMMYFUNCTION("""COMPUTED_VALUE"""),44330.9986111111)</f>
        <v>44330.998611111099</v>
      </c>
      <c r="AL1237" s="6">
        <f ca="1">IFERROR(__xludf.DUMMYFUNCTION("""COMPUTED_VALUE"""),49889.86)</f>
        <v>49889.86</v>
      </c>
      <c r="AP1237" s="6" t="str">
        <f t="shared" ca="1" si="357"/>
        <v>202212</v>
      </c>
      <c r="AQ1237" s="6">
        <f t="shared" ca="1" si="358"/>
        <v>2022</v>
      </c>
      <c r="AR1237" s="6">
        <f t="shared" ca="1" si="359"/>
        <v>12</v>
      </c>
      <c r="AS1237" s="68">
        <f ca="1">IFERROR(__xludf.DUMMYFUNCTION("""COMPUTED_VALUE"""),44900.9986111111)</f>
        <v>44900.998611111099</v>
      </c>
      <c r="AT1237" s="6">
        <f ca="1">IFERROR(__xludf.DUMMYFUNCTION("""COMPUTED_VALUE"""),1781.3)</f>
        <v>1781.3</v>
      </c>
    </row>
    <row r="1238" spans="2:46" x14ac:dyDescent="0.35">
      <c r="B1238" s="6" t="str">
        <f t="shared" ca="1" si="342"/>
        <v>202211</v>
      </c>
      <c r="C1238" s="6">
        <f t="shared" ca="1" si="343"/>
        <v>2022</v>
      </c>
      <c r="D1238" s="6">
        <f t="shared" ca="1" si="344"/>
        <v>11</v>
      </c>
      <c r="E1238" s="68">
        <f ca="1">IFERROR(__xludf.DUMMYFUNCTION("""COMPUTED_VALUE"""),44894.6666666666)</f>
        <v>44894.666666666599</v>
      </c>
      <c r="F1238" s="6">
        <f ca="1">IFERROR(__xludf.DUMMYFUNCTION("""COMPUTED_VALUE"""),3957.63)</f>
        <v>3957.63</v>
      </c>
      <c r="J1238" s="6" t="str">
        <f t="shared" ca="1" si="345"/>
        <v>202211</v>
      </c>
      <c r="K1238" s="6">
        <f t="shared" ca="1" si="346"/>
        <v>2022</v>
      </c>
      <c r="L1238" s="6">
        <f t="shared" ca="1" si="347"/>
        <v>11</v>
      </c>
      <c r="M1238" s="68">
        <f ca="1">IFERROR(__xludf.DUMMYFUNCTION("""COMPUTED_VALUE"""),44883.6666666666)</f>
        <v>44883.666666666599</v>
      </c>
      <c r="N1238" s="6">
        <f ca="1">IFERROR(__xludf.DUMMYFUNCTION("""COMPUTED_VALUE"""),11146.06)</f>
        <v>11146.06</v>
      </c>
      <c r="R1238" s="6" t="str">
        <f t="shared" ca="1" si="348"/>
        <v>20231</v>
      </c>
      <c r="S1238" s="6">
        <f t="shared" ca="1" si="349"/>
        <v>2023</v>
      </c>
      <c r="T1238" s="6">
        <f t="shared" ca="1" si="350"/>
        <v>1</v>
      </c>
      <c r="U1238" s="68">
        <f ca="1">IFERROR(__xludf.DUMMYFUNCTION("""COMPUTED_VALUE"""),44937.6458333333)</f>
        <v>44937.645833333299</v>
      </c>
      <c r="V1238" s="6">
        <f ca="1">IFERROR(__xludf.DUMMYFUNCTION("""COMPUTED_VALUE"""),2359.53)</f>
        <v>2359.5300000000002</v>
      </c>
      <c r="Z1238" s="6" t="str">
        <f t="shared" ca="1" si="351"/>
        <v>20217</v>
      </c>
      <c r="AA1238" s="6">
        <f t="shared" ca="1" si="352"/>
        <v>2021</v>
      </c>
      <c r="AB1238" s="6">
        <f t="shared" ca="1" si="353"/>
        <v>7</v>
      </c>
      <c r="AC1238" s="68">
        <f ca="1">IFERROR(__xludf.DUMMYFUNCTION("""COMPUTED_VALUE"""),44383.9986111111)</f>
        <v>44383.998611111099</v>
      </c>
      <c r="AD1238" s="6">
        <f ca="1">IFERROR(__xludf.DUMMYFUNCTION("""COMPUTED_VALUE"""),1135.48)</f>
        <v>1135.48</v>
      </c>
      <c r="AH1238" s="6" t="str">
        <f t="shared" ca="1" si="354"/>
        <v>20215</v>
      </c>
      <c r="AI1238" s="6">
        <f t="shared" ca="1" si="355"/>
        <v>2021</v>
      </c>
      <c r="AJ1238" s="6">
        <f t="shared" ca="1" si="356"/>
        <v>5</v>
      </c>
      <c r="AK1238" s="68">
        <f ca="1">IFERROR(__xludf.DUMMYFUNCTION("""COMPUTED_VALUE"""),44331.9986111111)</f>
        <v>44331.998611111099</v>
      </c>
      <c r="AL1238" s="6">
        <f ca="1">IFERROR(__xludf.DUMMYFUNCTION("""COMPUTED_VALUE"""),46725.23)</f>
        <v>46725.23</v>
      </c>
      <c r="AP1238" s="6" t="str">
        <f t="shared" ca="1" si="357"/>
        <v>202212</v>
      </c>
      <c r="AQ1238" s="6">
        <f t="shared" ca="1" si="358"/>
        <v>2022</v>
      </c>
      <c r="AR1238" s="6">
        <f t="shared" ca="1" si="359"/>
        <v>12</v>
      </c>
      <c r="AS1238" s="68">
        <f ca="1">IFERROR(__xludf.DUMMYFUNCTION("""COMPUTED_VALUE"""),44901.9986111111)</f>
        <v>44901.998611111099</v>
      </c>
      <c r="AT1238" s="6">
        <f ca="1">IFERROR(__xludf.DUMMYFUNCTION("""COMPUTED_VALUE"""),1782.4)</f>
        <v>1782.4</v>
      </c>
    </row>
    <row r="1239" spans="2:46" x14ac:dyDescent="0.35">
      <c r="B1239" s="6" t="str">
        <f t="shared" ca="1" si="342"/>
        <v>202211</v>
      </c>
      <c r="C1239" s="6">
        <f t="shared" ca="1" si="343"/>
        <v>2022</v>
      </c>
      <c r="D1239" s="6">
        <f t="shared" ca="1" si="344"/>
        <v>11</v>
      </c>
      <c r="E1239" s="68">
        <f ca="1">IFERROR(__xludf.DUMMYFUNCTION("""COMPUTED_VALUE"""),44895.6666666666)</f>
        <v>44895.666666666599</v>
      </c>
      <c r="F1239" s="6">
        <f ca="1">IFERROR(__xludf.DUMMYFUNCTION("""COMPUTED_VALUE"""),4080.11)</f>
        <v>4080.11</v>
      </c>
      <c r="J1239" s="6" t="str">
        <f t="shared" ca="1" si="345"/>
        <v>202211</v>
      </c>
      <c r="K1239" s="6">
        <f t="shared" ca="1" si="346"/>
        <v>2022</v>
      </c>
      <c r="L1239" s="6">
        <f t="shared" ca="1" si="347"/>
        <v>11</v>
      </c>
      <c r="M1239" s="68">
        <f ca="1">IFERROR(__xludf.DUMMYFUNCTION("""COMPUTED_VALUE"""),44886.6666666666)</f>
        <v>44886.666666666599</v>
      </c>
      <c r="N1239" s="6">
        <f ca="1">IFERROR(__xludf.DUMMYFUNCTION("""COMPUTED_VALUE"""),11024.51)</f>
        <v>11024.51</v>
      </c>
      <c r="R1239" s="6" t="str">
        <f t="shared" ca="1" si="348"/>
        <v>20231</v>
      </c>
      <c r="S1239" s="6">
        <f t="shared" ca="1" si="349"/>
        <v>2023</v>
      </c>
      <c r="T1239" s="6">
        <f t="shared" ca="1" si="350"/>
        <v>1</v>
      </c>
      <c r="U1239" s="68">
        <f ca="1">IFERROR(__xludf.DUMMYFUNCTION("""COMPUTED_VALUE"""),44938.6458333333)</f>
        <v>44938.645833333299</v>
      </c>
      <c r="V1239" s="6">
        <f ca="1">IFERROR(__xludf.DUMMYFUNCTION("""COMPUTED_VALUE"""),2365.1)</f>
        <v>2365.1</v>
      </c>
      <c r="Z1239" s="6" t="str">
        <f t="shared" ca="1" si="351"/>
        <v>20217</v>
      </c>
      <c r="AA1239" s="6">
        <f t="shared" ca="1" si="352"/>
        <v>2021</v>
      </c>
      <c r="AB1239" s="6">
        <f t="shared" ca="1" si="353"/>
        <v>7</v>
      </c>
      <c r="AC1239" s="68">
        <f ca="1">IFERROR(__xludf.DUMMYFUNCTION("""COMPUTED_VALUE"""),44384.9986111111)</f>
        <v>44384.998611111099</v>
      </c>
      <c r="AD1239" s="6">
        <f ca="1">IFERROR(__xludf.DUMMYFUNCTION("""COMPUTED_VALUE"""),1140.52)</f>
        <v>1140.52</v>
      </c>
      <c r="AH1239" s="6" t="str">
        <f t="shared" ca="1" si="354"/>
        <v>20215</v>
      </c>
      <c r="AI1239" s="6">
        <f t="shared" ca="1" si="355"/>
        <v>2021</v>
      </c>
      <c r="AJ1239" s="6">
        <f t="shared" ca="1" si="356"/>
        <v>5</v>
      </c>
      <c r="AK1239" s="68">
        <f ca="1">IFERROR(__xludf.DUMMYFUNCTION("""COMPUTED_VALUE"""),44332.9986111111)</f>
        <v>44332.998611111099</v>
      </c>
      <c r="AL1239" s="6">
        <f ca="1">IFERROR(__xludf.DUMMYFUNCTION("""COMPUTED_VALUE"""),46439.3)</f>
        <v>46439.3</v>
      </c>
      <c r="AP1239" s="6" t="str">
        <f t="shared" ca="1" si="357"/>
        <v>202212</v>
      </c>
      <c r="AQ1239" s="6">
        <f t="shared" ca="1" si="358"/>
        <v>2022</v>
      </c>
      <c r="AR1239" s="6">
        <f t="shared" ca="1" si="359"/>
        <v>12</v>
      </c>
      <c r="AS1239" s="68">
        <f ca="1">IFERROR(__xludf.DUMMYFUNCTION("""COMPUTED_VALUE"""),44902.9986111111)</f>
        <v>44902.998611111099</v>
      </c>
      <c r="AT1239" s="6">
        <f ca="1">IFERROR(__xludf.DUMMYFUNCTION("""COMPUTED_VALUE"""),1798)</f>
        <v>1798</v>
      </c>
    </row>
    <row r="1240" spans="2:46" x14ac:dyDescent="0.35">
      <c r="B1240" s="6" t="str">
        <f t="shared" ca="1" si="342"/>
        <v>202212</v>
      </c>
      <c r="C1240" s="6">
        <f t="shared" ca="1" si="343"/>
        <v>2022</v>
      </c>
      <c r="D1240" s="6">
        <f t="shared" ca="1" si="344"/>
        <v>12</v>
      </c>
      <c r="E1240" s="68">
        <f ca="1">IFERROR(__xludf.DUMMYFUNCTION("""COMPUTED_VALUE"""),44896.6666666666)</f>
        <v>44896.666666666599</v>
      </c>
      <c r="F1240" s="6">
        <f ca="1">IFERROR(__xludf.DUMMYFUNCTION("""COMPUTED_VALUE"""),4076.57)</f>
        <v>4076.57</v>
      </c>
      <c r="J1240" s="6" t="str">
        <f t="shared" ca="1" si="345"/>
        <v>202211</v>
      </c>
      <c r="K1240" s="6">
        <f t="shared" ca="1" si="346"/>
        <v>2022</v>
      </c>
      <c r="L1240" s="6">
        <f t="shared" ca="1" si="347"/>
        <v>11</v>
      </c>
      <c r="M1240" s="68">
        <f ca="1">IFERROR(__xludf.DUMMYFUNCTION("""COMPUTED_VALUE"""),44887.6666666666)</f>
        <v>44887.666666666599</v>
      </c>
      <c r="N1240" s="6">
        <f ca="1">IFERROR(__xludf.DUMMYFUNCTION("""COMPUTED_VALUE"""),11174.41)</f>
        <v>11174.41</v>
      </c>
      <c r="R1240" s="6" t="str">
        <f t="shared" ca="1" si="348"/>
        <v>20231</v>
      </c>
      <c r="S1240" s="6">
        <f t="shared" ca="1" si="349"/>
        <v>2023</v>
      </c>
      <c r="T1240" s="6">
        <f t="shared" ca="1" si="350"/>
        <v>1</v>
      </c>
      <c r="U1240" s="68">
        <f ca="1">IFERROR(__xludf.DUMMYFUNCTION("""COMPUTED_VALUE"""),44939.6458333333)</f>
        <v>44939.645833333299</v>
      </c>
      <c r="V1240" s="6">
        <f ca="1">IFERROR(__xludf.DUMMYFUNCTION("""COMPUTED_VALUE"""),2386.09)</f>
        <v>2386.09</v>
      </c>
      <c r="Z1240" s="6" t="str">
        <f t="shared" ca="1" si="351"/>
        <v>20217</v>
      </c>
      <c r="AA1240" s="6">
        <f t="shared" ca="1" si="352"/>
        <v>2021</v>
      </c>
      <c r="AB1240" s="6">
        <f t="shared" ca="1" si="353"/>
        <v>7</v>
      </c>
      <c r="AC1240" s="68">
        <f ca="1">IFERROR(__xludf.DUMMYFUNCTION("""COMPUTED_VALUE"""),44385.9986111111)</f>
        <v>44385.998611111099</v>
      </c>
      <c r="AD1240" s="6">
        <f ca="1">IFERROR(__xludf.DUMMYFUNCTION("""COMPUTED_VALUE"""),1146.28)</f>
        <v>1146.28</v>
      </c>
      <c r="AH1240" s="6" t="str">
        <f t="shared" ca="1" si="354"/>
        <v>20215</v>
      </c>
      <c r="AI1240" s="6">
        <f t="shared" ca="1" si="355"/>
        <v>2021</v>
      </c>
      <c r="AJ1240" s="6">
        <f t="shared" ca="1" si="356"/>
        <v>5</v>
      </c>
      <c r="AK1240" s="68">
        <f ca="1">IFERROR(__xludf.DUMMYFUNCTION("""COMPUTED_VALUE"""),44333.9986111111)</f>
        <v>44333.998611111099</v>
      </c>
      <c r="AL1240" s="6">
        <f ca="1">IFERROR(__xludf.DUMMYFUNCTION("""COMPUTED_VALUE"""),43558.86)</f>
        <v>43558.86</v>
      </c>
      <c r="AP1240" s="6" t="str">
        <f t="shared" ca="1" si="357"/>
        <v>202212</v>
      </c>
      <c r="AQ1240" s="6">
        <f t="shared" ca="1" si="358"/>
        <v>2022</v>
      </c>
      <c r="AR1240" s="6">
        <f t="shared" ca="1" si="359"/>
        <v>12</v>
      </c>
      <c r="AS1240" s="68">
        <f ca="1">IFERROR(__xludf.DUMMYFUNCTION("""COMPUTED_VALUE"""),44903.9986111111)</f>
        <v>44903.998611111099</v>
      </c>
      <c r="AT1240" s="6">
        <f ca="1">IFERROR(__xludf.DUMMYFUNCTION("""COMPUTED_VALUE"""),1801.5)</f>
        <v>1801.5</v>
      </c>
    </row>
    <row r="1241" spans="2:46" x14ac:dyDescent="0.35">
      <c r="B1241" s="6" t="str">
        <f t="shared" ca="1" si="342"/>
        <v>202212</v>
      </c>
      <c r="C1241" s="6">
        <f t="shared" ca="1" si="343"/>
        <v>2022</v>
      </c>
      <c r="D1241" s="6">
        <f t="shared" ca="1" si="344"/>
        <v>12</v>
      </c>
      <c r="E1241" s="68">
        <f ca="1">IFERROR(__xludf.DUMMYFUNCTION("""COMPUTED_VALUE"""),44897.6666666666)</f>
        <v>44897.666666666599</v>
      </c>
      <c r="F1241" s="6">
        <f ca="1">IFERROR(__xludf.DUMMYFUNCTION("""COMPUTED_VALUE"""),4071.7)</f>
        <v>4071.7</v>
      </c>
      <c r="J1241" s="6" t="str">
        <f t="shared" ca="1" si="345"/>
        <v>202211</v>
      </c>
      <c r="K1241" s="6">
        <f t="shared" ca="1" si="346"/>
        <v>2022</v>
      </c>
      <c r="L1241" s="6">
        <f t="shared" ca="1" si="347"/>
        <v>11</v>
      </c>
      <c r="M1241" s="68">
        <f ca="1">IFERROR(__xludf.DUMMYFUNCTION("""COMPUTED_VALUE"""),44888.6666666666)</f>
        <v>44888.666666666599</v>
      </c>
      <c r="N1241" s="6">
        <f ca="1">IFERROR(__xludf.DUMMYFUNCTION("""COMPUTED_VALUE"""),11285.32)</f>
        <v>11285.32</v>
      </c>
      <c r="R1241" s="6" t="str">
        <f t="shared" ca="1" si="348"/>
        <v>20231</v>
      </c>
      <c r="S1241" s="6">
        <f t="shared" ca="1" si="349"/>
        <v>2023</v>
      </c>
      <c r="T1241" s="6">
        <f t="shared" ca="1" si="350"/>
        <v>1</v>
      </c>
      <c r="U1241" s="68">
        <f ca="1">IFERROR(__xludf.DUMMYFUNCTION("""COMPUTED_VALUE"""),44942.6458333333)</f>
        <v>44942.645833333299</v>
      </c>
      <c r="V1241" s="6">
        <f ca="1">IFERROR(__xludf.DUMMYFUNCTION("""COMPUTED_VALUE"""),2399.86)</f>
        <v>2399.86</v>
      </c>
      <c r="Z1241" s="6" t="str">
        <f t="shared" ca="1" si="351"/>
        <v>20217</v>
      </c>
      <c r="AA1241" s="6">
        <f t="shared" ca="1" si="352"/>
        <v>2021</v>
      </c>
      <c r="AB1241" s="6">
        <f t="shared" ca="1" si="353"/>
        <v>7</v>
      </c>
      <c r="AC1241" s="68">
        <f ca="1">IFERROR(__xludf.DUMMYFUNCTION("""COMPUTED_VALUE"""),44386.9986111111)</f>
        <v>44386.998611111099</v>
      </c>
      <c r="AD1241" s="6">
        <f ca="1">IFERROR(__xludf.DUMMYFUNCTION("""COMPUTED_VALUE"""),1144.21)</f>
        <v>1144.21</v>
      </c>
      <c r="AH1241" s="6" t="str">
        <f t="shared" ca="1" si="354"/>
        <v>20215</v>
      </c>
      <c r="AI1241" s="6">
        <f t="shared" ca="1" si="355"/>
        <v>2021</v>
      </c>
      <c r="AJ1241" s="6">
        <f t="shared" ca="1" si="356"/>
        <v>5</v>
      </c>
      <c r="AK1241" s="68">
        <f ca="1">IFERROR(__xludf.DUMMYFUNCTION("""COMPUTED_VALUE"""),44334.9986111111)</f>
        <v>44334.998611111099</v>
      </c>
      <c r="AL1241" s="6">
        <f ca="1">IFERROR(__xludf.DUMMYFUNCTION("""COMPUTED_VALUE"""),42901.26)</f>
        <v>42901.26</v>
      </c>
      <c r="AP1241" s="6" t="str">
        <f t="shared" ca="1" si="357"/>
        <v>202212</v>
      </c>
      <c r="AQ1241" s="6">
        <f t="shared" ca="1" si="358"/>
        <v>2022</v>
      </c>
      <c r="AR1241" s="6">
        <f t="shared" ca="1" si="359"/>
        <v>12</v>
      </c>
      <c r="AS1241" s="68">
        <f ca="1">IFERROR(__xludf.DUMMYFUNCTION("""COMPUTED_VALUE"""),44904.9986111111)</f>
        <v>44904.998611111099</v>
      </c>
      <c r="AT1241" s="6">
        <f ca="1">IFERROR(__xludf.DUMMYFUNCTION("""COMPUTED_VALUE"""),1810.7)</f>
        <v>1810.7</v>
      </c>
    </row>
    <row r="1242" spans="2:46" x14ac:dyDescent="0.35">
      <c r="B1242" s="6" t="str">
        <f t="shared" ca="1" si="342"/>
        <v>202212</v>
      </c>
      <c r="C1242" s="6">
        <f t="shared" ca="1" si="343"/>
        <v>2022</v>
      </c>
      <c r="D1242" s="6">
        <f t="shared" ca="1" si="344"/>
        <v>12</v>
      </c>
      <c r="E1242" s="68">
        <f ca="1">IFERROR(__xludf.DUMMYFUNCTION("""COMPUTED_VALUE"""),44900.6666666666)</f>
        <v>44900.666666666599</v>
      </c>
      <c r="F1242" s="6">
        <f ca="1">IFERROR(__xludf.DUMMYFUNCTION("""COMPUTED_VALUE"""),3998.84)</f>
        <v>3998.84</v>
      </c>
      <c r="J1242" s="6" t="str">
        <f t="shared" ca="1" si="345"/>
        <v>202211</v>
      </c>
      <c r="K1242" s="6">
        <f t="shared" ca="1" si="346"/>
        <v>2022</v>
      </c>
      <c r="L1242" s="6">
        <f t="shared" ca="1" si="347"/>
        <v>11</v>
      </c>
      <c r="M1242" s="68">
        <f ca="1">IFERROR(__xludf.DUMMYFUNCTION("""COMPUTED_VALUE"""),44890.5451388888)</f>
        <v>44890.545138888803</v>
      </c>
      <c r="N1242" s="6">
        <f ca="1">IFERROR(__xludf.DUMMYFUNCTION("""COMPUTED_VALUE"""),11226.36)</f>
        <v>11226.36</v>
      </c>
      <c r="R1242" s="6" t="str">
        <f t="shared" ca="1" si="348"/>
        <v>20231</v>
      </c>
      <c r="S1242" s="6">
        <f t="shared" ca="1" si="349"/>
        <v>2023</v>
      </c>
      <c r="T1242" s="6">
        <f t="shared" ca="1" si="350"/>
        <v>1</v>
      </c>
      <c r="U1242" s="68">
        <f ca="1">IFERROR(__xludf.DUMMYFUNCTION("""COMPUTED_VALUE"""),44943.6458333333)</f>
        <v>44943.645833333299</v>
      </c>
      <c r="V1242" s="6">
        <f ca="1">IFERROR(__xludf.DUMMYFUNCTION("""COMPUTED_VALUE"""),2379.39)</f>
        <v>2379.39</v>
      </c>
      <c r="Z1242" s="6" t="str">
        <f t="shared" ca="1" si="351"/>
        <v>20217</v>
      </c>
      <c r="AA1242" s="6">
        <f t="shared" ca="1" si="352"/>
        <v>2021</v>
      </c>
      <c r="AB1242" s="6">
        <f t="shared" ca="1" si="353"/>
        <v>7</v>
      </c>
      <c r="AC1242" s="68">
        <f ca="1">IFERROR(__xludf.DUMMYFUNCTION("""COMPUTED_VALUE"""),44387.9986111111)</f>
        <v>44387.998611111099</v>
      </c>
      <c r="AD1242" s="6">
        <f ca="1">IFERROR(__xludf.DUMMYFUNCTION("""COMPUTED_VALUE"""),1143.81)</f>
        <v>1143.81</v>
      </c>
      <c r="AH1242" s="6" t="str">
        <f t="shared" ca="1" si="354"/>
        <v>20215</v>
      </c>
      <c r="AI1242" s="6">
        <f t="shared" ca="1" si="355"/>
        <v>2021</v>
      </c>
      <c r="AJ1242" s="6">
        <f t="shared" ca="1" si="356"/>
        <v>5</v>
      </c>
      <c r="AK1242" s="68">
        <f ca="1">IFERROR(__xludf.DUMMYFUNCTION("""COMPUTED_VALUE"""),44335.9986111111)</f>
        <v>44335.998611111099</v>
      </c>
      <c r="AL1242" s="6">
        <f ca="1">IFERROR(__xludf.DUMMYFUNCTION("""COMPUTED_VALUE"""),36877.26)</f>
        <v>36877.26</v>
      </c>
      <c r="AP1242" s="6" t="str">
        <f t="shared" ca="1" si="357"/>
        <v>202212</v>
      </c>
      <c r="AQ1242" s="6">
        <f t="shared" ca="1" si="358"/>
        <v>2022</v>
      </c>
      <c r="AR1242" s="6">
        <f t="shared" ca="1" si="359"/>
        <v>12</v>
      </c>
      <c r="AS1242" s="68">
        <f ca="1">IFERROR(__xludf.DUMMYFUNCTION("""COMPUTED_VALUE"""),44907.9986111111)</f>
        <v>44907.998611111099</v>
      </c>
      <c r="AT1242" s="6">
        <f ca="1">IFERROR(__xludf.DUMMYFUNCTION("""COMPUTED_VALUE"""),1792.3)</f>
        <v>1792.3</v>
      </c>
    </row>
    <row r="1243" spans="2:46" x14ac:dyDescent="0.35">
      <c r="B1243" s="6" t="str">
        <f t="shared" ca="1" si="342"/>
        <v>202212</v>
      </c>
      <c r="C1243" s="6">
        <f t="shared" ca="1" si="343"/>
        <v>2022</v>
      </c>
      <c r="D1243" s="6">
        <f t="shared" ca="1" si="344"/>
        <v>12</v>
      </c>
      <c r="E1243" s="68">
        <f ca="1">IFERROR(__xludf.DUMMYFUNCTION("""COMPUTED_VALUE"""),44901.6666666666)</f>
        <v>44901.666666666599</v>
      </c>
      <c r="F1243" s="6">
        <f ca="1">IFERROR(__xludf.DUMMYFUNCTION("""COMPUTED_VALUE"""),3941.26)</f>
        <v>3941.26</v>
      </c>
      <c r="J1243" s="6" t="str">
        <f t="shared" ca="1" si="345"/>
        <v>202211</v>
      </c>
      <c r="K1243" s="6">
        <f t="shared" ca="1" si="346"/>
        <v>2022</v>
      </c>
      <c r="L1243" s="6">
        <f t="shared" ca="1" si="347"/>
        <v>11</v>
      </c>
      <c r="M1243" s="68">
        <f ca="1">IFERROR(__xludf.DUMMYFUNCTION("""COMPUTED_VALUE"""),44893.6666666666)</f>
        <v>44893.666666666599</v>
      </c>
      <c r="N1243" s="6">
        <f ca="1">IFERROR(__xludf.DUMMYFUNCTION("""COMPUTED_VALUE"""),11049.5)</f>
        <v>11049.5</v>
      </c>
      <c r="R1243" s="6" t="str">
        <f t="shared" ca="1" si="348"/>
        <v>20231</v>
      </c>
      <c r="S1243" s="6">
        <f t="shared" ca="1" si="349"/>
        <v>2023</v>
      </c>
      <c r="T1243" s="6">
        <f t="shared" ca="1" si="350"/>
        <v>1</v>
      </c>
      <c r="U1243" s="68">
        <f ca="1">IFERROR(__xludf.DUMMYFUNCTION("""COMPUTED_VALUE"""),44944.6458333333)</f>
        <v>44944.645833333299</v>
      </c>
      <c r="V1243" s="6">
        <f ca="1">IFERROR(__xludf.DUMMYFUNCTION("""COMPUTED_VALUE"""),2368.32)</f>
        <v>2368.3200000000002</v>
      </c>
      <c r="Z1243" s="6" t="str">
        <f t="shared" ca="1" si="351"/>
        <v>20217</v>
      </c>
      <c r="AA1243" s="6">
        <f t="shared" ca="1" si="352"/>
        <v>2021</v>
      </c>
      <c r="AB1243" s="6">
        <f t="shared" ca="1" si="353"/>
        <v>7</v>
      </c>
      <c r="AC1243" s="68">
        <f ca="1">IFERROR(__xludf.DUMMYFUNCTION("""COMPUTED_VALUE"""),44388.9986111111)</f>
        <v>44388.998611111099</v>
      </c>
      <c r="AD1243" s="6">
        <f ca="1">IFERROR(__xludf.DUMMYFUNCTION("""COMPUTED_VALUE"""),1144.31)</f>
        <v>1144.31</v>
      </c>
      <c r="AH1243" s="6" t="str">
        <f t="shared" ca="1" si="354"/>
        <v>20215</v>
      </c>
      <c r="AI1243" s="6">
        <f t="shared" ca="1" si="355"/>
        <v>2021</v>
      </c>
      <c r="AJ1243" s="6">
        <f t="shared" ca="1" si="356"/>
        <v>5</v>
      </c>
      <c r="AK1243" s="68">
        <f ca="1">IFERROR(__xludf.DUMMYFUNCTION("""COMPUTED_VALUE"""),44336.9986111111)</f>
        <v>44336.998611111099</v>
      </c>
      <c r="AL1243" s="6">
        <f ca="1">IFERROR(__xludf.DUMMYFUNCTION("""COMPUTED_VALUE"""),40743.69)</f>
        <v>40743.69</v>
      </c>
      <c r="AP1243" s="6" t="str">
        <f t="shared" ca="1" si="357"/>
        <v>202212</v>
      </c>
      <c r="AQ1243" s="6">
        <f t="shared" ca="1" si="358"/>
        <v>2022</v>
      </c>
      <c r="AR1243" s="6">
        <f t="shared" ca="1" si="359"/>
        <v>12</v>
      </c>
      <c r="AS1243" s="68">
        <f ca="1">IFERROR(__xludf.DUMMYFUNCTION("""COMPUTED_VALUE"""),44908.9986111111)</f>
        <v>44908.998611111099</v>
      </c>
      <c r="AT1243" s="6">
        <f ca="1">IFERROR(__xludf.DUMMYFUNCTION("""COMPUTED_VALUE"""),1825.5)</f>
        <v>1825.5</v>
      </c>
    </row>
    <row r="1244" spans="2:46" x14ac:dyDescent="0.35">
      <c r="B1244" s="6" t="str">
        <f t="shared" ca="1" si="342"/>
        <v>202212</v>
      </c>
      <c r="C1244" s="6">
        <f t="shared" ca="1" si="343"/>
        <v>2022</v>
      </c>
      <c r="D1244" s="6">
        <f t="shared" ca="1" si="344"/>
        <v>12</v>
      </c>
      <c r="E1244" s="68">
        <f ca="1">IFERROR(__xludf.DUMMYFUNCTION("""COMPUTED_VALUE"""),44902.6666666666)</f>
        <v>44902.666666666599</v>
      </c>
      <c r="F1244" s="6">
        <f ca="1">IFERROR(__xludf.DUMMYFUNCTION("""COMPUTED_VALUE"""),3933.92)</f>
        <v>3933.92</v>
      </c>
      <c r="J1244" s="6" t="str">
        <f t="shared" ca="1" si="345"/>
        <v>202211</v>
      </c>
      <c r="K1244" s="6">
        <f t="shared" ca="1" si="346"/>
        <v>2022</v>
      </c>
      <c r="L1244" s="6">
        <f t="shared" ca="1" si="347"/>
        <v>11</v>
      </c>
      <c r="M1244" s="68">
        <f ca="1">IFERROR(__xludf.DUMMYFUNCTION("""COMPUTED_VALUE"""),44894.6666666666)</f>
        <v>44894.666666666599</v>
      </c>
      <c r="N1244" s="6">
        <f ca="1">IFERROR(__xludf.DUMMYFUNCTION("""COMPUTED_VALUE"""),10983.78)</f>
        <v>10983.78</v>
      </c>
      <c r="R1244" s="6" t="str">
        <f t="shared" ca="1" si="348"/>
        <v>20231</v>
      </c>
      <c r="S1244" s="6">
        <f t="shared" ca="1" si="349"/>
        <v>2023</v>
      </c>
      <c r="T1244" s="6">
        <f t="shared" ca="1" si="350"/>
        <v>1</v>
      </c>
      <c r="U1244" s="68">
        <f ca="1">IFERROR(__xludf.DUMMYFUNCTION("""COMPUTED_VALUE"""),44945.6458333333)</f>
        <v>44945.645833333299</v>
      </c>
      <c r="V1244" s="6">
        <f ca="1">IFERROR(__xludf.DUMMYFUNCTION("""COMPUTED_VALUE"""),2380.34)</f>
        <v>2380.34</v>
      </c>
      <c r="Z1244" s="6" t="str">
        <f t="shared" ca="1" si="351"/>
        <v>20217</v>
      </c>
      <c r="AA1244" s="6">
        <f t="shared" ca="1" si="352"/>
        <v>2021</v>
      </c>
      <c r="AB1244" s="6">
        <f t="shared" ca="1" si="353"/>
        <v>7</v>
      </c>
      <c r="AC1244" s="68">
        <f ca="1">IFERROR(__xludf.DUMMYFUNCTION("""COMPUTED_VALUE"""),44389.9986111111)</f>
        <v>44389.998611111099</v>
      </c>
      <c r="AD1244" s="6">
        <f ca="1">IFERROR(__xludf.DUMMYFUNCTION("""COMPUTED_VALUE"""),1141.1)</f>
        <v>1141.0999999999999</v>
      </c>
      <c r="AH1244" s="6" t="str">
        <f t="shared" ca="1" si="354"/>
        <v>20215</v>
      </c>
      <c r="AI1244" s="6">
        <f t="shared" ca="1" si="355"/>
        <v>2021</v>
      </c>
      <c r="AJ1244" s="6">
        <f t="shared" ca="1" si="356"/>
        <v>5</v>
      </c>
      <c r="AK1244" s="68">
        <f ca="1">IFERROR(__xludf.DUMMYFUNCTION("""COMPUTED_VALUE"""),44337.9986111111)</f>
        <v>44337.998611111099</v>
      </c>
      <c r="AL1244" s="6">
        <f ca="1">IFERROR(__xludf.DUMMYFUNCTION("""COMPUTED_VALUE"""),37342.56)</f>
        <v>37342.559999999998</v>
      </c>
      <c r="AP1244" s="6" t="str">
        <f t="shared" ca="1" si="357"/>
        <v>202212</v>
      </c>
      <c r="AQ1244" s="6">
        <f t="shared" ca="1" si="358"/>
        <v>2022</v>
      </c>
      <c r="AR1244" s="6">
        <f t="shared" ca="1" si="359"/>
        <v>12</v>
      </c>
      <c r="AS1244" s="68">
        <f ca="1">IFERROR(__xludf.DUMMYFUNCTION("""COMPUTED_VALUE"""),44909.9986111111)</f>
        <v>44909.998611111099</v>
      </c>
      <c r="AT1244" s="6">
        <f ca="1">IFERROR(__xludf.DUMMYFUNCTION("""COMPUTED_VALUE"""),1818.7)</f>
        <v>1818.7</v>
      </c>
    </row>
    <row r="1245" spans="2:46" x14ac:dyDescent="0.35">
      <c r="B1245" s="6" t="str">
        <f t="shared" ca="1" si="342"/>
        <v>202212</v>
      </c>
      <c r="C1245" s="6">
        <f t="shared" ca="1" si="343"/>
        <v>2022</v>
      </c>
      <c r="D1245" s="6">
        <f t="shared" ca="1" si="344"/>
        <v>12</v>
      </c>
      <c r="E1245" s="68">
        <f ca="1">IFERROR(__xludf.DUMMYFUNCTION("""COMPUTED_VALUE"""),44903.6666666666)</f>
        <v>44903.666666666599</v>
      </c>
      <c r="F1245" s="6">
        <f ca="1">IFERROR(__xludf.DUMMYFUNCTION("""COMPUTED_VALUE"""),3963.51)</f>
        <v>3963.51</v>
      </c>
      <c r="J1245" s="6" t="str">
        <f t="shared" ca="1" si="345"/>
        <v>202211</v>
      </c>
      <c r="K1245" s="6">
        <f t="shared" ca="1" si="346"/>
        <v>2022</v>
      </c>
      <c r="L1245" s="6">
        <f t="shared" ca="1" si="347"/>
        <v>11</v>
      </c>
      <c r="M1245" s="68">
        <f ca="1">IFERROR(__xludf.DUMMYFUNCTION("""COMPUTED_VALUE"""),44895.6666666666)</f>
        <v>44895.666666666599</v>
      </c>
      <c r="N1245" s="6">
        <f ca="1">IFERROR(__xludf.DUMMYFUNCTION("""COMPUTED_VALUE"""),11468)</f>
        <v>11468</v>
      </c>
      <c r="R1245" s="6" t="str">
        <f t="shared" ca="1" si="348"/>
        <v>20231</v>
      </c>
      <c r="S1245" s="6">
        <f t="shared" ca="1" si="349"/>
        <v>2023</v>
      </c>
      <c r="T1245" s="6">
        <f t="shared" ca="1" si="350"/>
        <v>1</v>
      </c>
      <c r="U1245" s="68">
        <f ca="1">IFERROR(__xludf.DUMMYFUNCTION("""COMPUTED_VALUE"""),44946.6458333333)</f>
        <v>44946.645833333299</v>
      </c>
      <c r="V1245" s="6">
        <f ca="1">IFERROR(__xludf.DUMMYFUNCTION("""COMPUTED_VALUE"""),2395.26)</f>
        <v>2395.2600000000002</v>
      </c>
      <c r="Z1245" s="6" t="str">
        <f t="shared" ca="1" si="351"/>
        <v>20217</v>
      </c>
      <c r="AA1245" s="6">
        <f t="shared" ca="1" si="352"/>
        <v>2021</v>
      </c>
      <c r="AB1245" s="6">
        <f t="shared" ca="1" si="353"/>
        <v>7</v>
      </c>
      <c r="AC1245" s="68">
        <f ca="1">IFERROR(__xludf.DUMMYFUNCTION("""COMPUTED_VALUE"""),44390.9986111111)</f>
        <v>44390.998611111099</v>
      </c>
      <c r="AD1245" s="6">
        <f ca="1">IFERROR(__xludf.DUMMYFUNCTION("""COMPUTED_VALUE"""),1148.7)</f>
        <v>1148.7</v>
      </c>
      <c r="AH1245" s="6" t="str">
        <f t="shared" ca="1" si="354"/>
        <v>20215</v>
      </c>
      <c r="AI1245" s="6">
        <f t="shared" ca="1" si="355"/>
        <v>2021</v>
      </c>
      <c r="AJ1245" s="6">
        <f t="shared" ca="1" si="356"/>
        <v>5</v>
      </c>
      <c r="AK1245" s="68">
        <f ca="1">IFERROR(__xludf.DUMMYFUNCTION("""COMPUTED_VALUE"""),44338.9986111111)</f>
        <v>44338.998611111099</v>
      </c>
      <c r="AL1245" s="6">
        <f ca="1">IFERROR(__xludf.DUMMYFUNCTION("""COMPUTED_VALUE"""),37482.21)</f>
        <v>37482.21</v>
      </c>
      <c r="AP1245" s="6" t="str">
        <f t="shared" ca="1" si="357"/>
        <v>202212</v>
      </c>
      <c r="AQ1245" s="6">
        <f t="shared" ca="1" si="358"/>
        <v>2022</v>
      </c>
      <c r="AR1245" s="6">
        <f t="shared" ca="1" si="359"/>
        <v>12</v>
      </c>
      <c r="AS1245" s="68">
        <f ca="1">IFERROR(__xludf.DUMMYFUNCTION("""COMPUTED_VALUE"""),44910.9986111111)</f>
        <v>44910.998611111099</v>
      </c>
      <c r="AT1245" s="6">
        <f ca="1">IFERROR(__xludf.DUMMYFUNCTION("""COMPUTED_VALUE"""),1787.8)</f>
        <v>1787.8</v>
      </c>
    </row>
    <row r="1246" spans="2:46" x14ac:dyDescent="0.35">
      <c r="B1246" s="6" t="str">
        <f t="shared" ca="1" si="342"/>
        <v>202212</v>
      </c>
      <c r="C1246" s="6">
        <f t="shared" ca="1" si="343"/>
        <v>2022</v>
      </c>
      <c r="D1246" s="6">
        <f t="shared" ca="1" si="344"/>
        <v>12</v>
      </c>
      <c r="E1246" s="68">
        <f ca="1">IFERROR(__xludf.DUMMYFUNCTION("""COMPUTED_VALUE"""),44904.6666666666)</f>
        <v>44904.666666666599</v>
      </c>
      <c r="F1246" s="6">
        <f ca="1">IFERROR(__xludf.DUMMYFUNCTION("""COMPUTED_VALUE"""),3934.38)</f>
        <v>3934.38</v>
      </c>
      <c r="J1246" s="6" t="str">
        <f t="shared" ca="1" si="345"/>
        <v>202212</v>
      </c>
      <c r="K1246" s="6">
        <f t="shared" ca="1" si="346"/>
        <v>2022</v>
      </c>
      <c r="L1246" s="6">
        <f t="shared" ca="1" si="347"/>
        <v>12</v>
      </c>
      <c r="M1246" s="68">
        <f ca="1">IFERROR(__xludf.DUMMYFUNCTION("""COMPUTED_VALUE"""),44896.6666666666)</f>
        <v>44896.666666666599</v>
      </c>
      <c r="N1246" s="6">
        <f ca="1">IFERROR(__xludf.DUMMYFUNCTION("""COMPUTED_VALUE"""),11482.45)</f>
        <v>11482.45</v>
      </c>
      <c r="R1246" s="6" t="str">
        <f t="shared" ca="1" si="348"/>
        <v>20231</v>
      </c>
      <c r="S1246" s="6">
        <f t="shared" ca="1" si="349"/>
        <v>2023</v>
      </c>
      <c r="T1246" s="6">
        <f t="shared" ca="1" si="350"/>
        <v>1</v>
      </c>
      <c r="U1246" s="68">
        <f ca="1">IFERROR(__xludf.DUMMYFUNCTION("""COMPUTED_VALUE"""),44951.6458333333)</f>
        <v>44951.645833333299</v>
      </c>
      <c r="V1246" s="6">
        <f ca="1">IFERROR(__xludf.DUMMYFUNCTION("""COMPUTED_VALUE"""),2428.57)</f>
        <v>2428.5700000000002</v>
      </c>
      <c r="Z1246" s="6" t="str">
        <f t="shared" ca="1" si="351"/>
        <v>20217</v>
      </c>
      <c r="AA1246" s="6">
        <f t="shared" ca="1" si="352"/>
        <v>2021</v>
      </c>
      <c r="AB1246" s="6">
        <f t="shared" ca="1" si="353"/>
        <v>7</v>
      </c>
      <c r="AC1246" s="68">
        <f ca="1">IFERROR(__xludf.DUMMYFUNCTION("""COMPUTED_VALUE"""),44391.9986111111)</f>
        <v>44391.998611111099</v>
      </c>
      <c r="AD1246" s="6">
        <f ca="1">IFERROR(__xludf.DUMMYFUNCTION("""COMPUTED_VALUE"""),1143.41)</f>
        <v>1143.4100000000001</v>
      </c>
      <c r="AH1246" s="6" t="str">
        <f t="shared" ca="1" si="354"/>
        <v>20215</v>
      </c>
      <c r="AI1246" s="6">
        <f t="shared" ca="1" si="355"/>
        <v>2021</v>
      </c>
      <c r="AJ1246" s="6">
        <f t="shared" ca="1" si="356"/>
        <v>5</v>
      </c>
      <c r="AK1246" s="68">
        <f ca="1">IFERROR(__xludf.DUMMYFUNCTION("""COMPUTED_VALUE"""),44339.9986111111)</f>
        <v>44339.998611111099</v>
      </c>
      <c r="AL1246" s="6">
        <f ca="1">IFERROR(__xludf.DUMMYFUNCTION("""COMPUTED_VALUE"""),34707.16)</f>
        <v>34707.160000000003</v>
      </c>
      <c r="AP1246" s="6" t="str">
        <f t="shared" ca="1" si="357"/>
        <v>202212</v>
      </c>
      <c r="AQ1246" s="6">
        <f t="shared" ca="1" si="358"/>
        <v>2022</v>
      </c>
      <c r="AR1246" s="6">
        <f t="shared" ca="1" si="359"/>
        <v>12</v>
      </c>
      <c r="AS1246" s="68">
        <f ca="1">IFERROR(__xludf.DUMMYFUNCTION("""COMPUTED_VALUE"""),44911.9986111111)</f>
        <v>44911.998611111099</v>
      </c>
      <c r="AT1246" s="6">
        <f ca="1">IFERROR(__xludf.DUMMYFUNCTION("""COMPUTED_VALUE"""),1800.2)</f>
        <v>1800.2</v>
      </c>
    </row>
    <row r="1247" spans="2:46" x14ac:dyDescent="0.35">
      <c r="B1247" s="6" t="str">
        <f t="shared" ca="1" si="342"/>
        <v>202212</v>
      </c>
      <c r="C1247" s="6">
        <f t="shared" ca="1" si="343"/>
        <v>2022</v>
      </c>
      <c r="D1247" s="6">
        <f t="shared" ca="1" si="344"/>
        <v>12</v>
      </c>
      <c r="E1247" s="68">
        <f ca="1">IFERROR(__xludf.DUMMYFUNCTION("""COMPUTED_VALUE"""),44907.6666666666)</f>
        <v>44907.666666666599</v>
      </c>
      <c r="F1247" s="6">
        <f ca="1">IFERROR(__xludf.DUMMYFUNCTION("""COMPUTED_VALUE"""),3990.56)</f>
        <v>3990.56</v>
      </c>
      <c r="J1247" s="6" t="str">
        <f t="shared" ca="1" si="345"/>
        <v>202212</v>
      </c>
      <c r="K1247" s="6">
        <f t="shared" ca="1" si="346"/>
        <v>2022</v>
      </c>
      <c r="L1247" s="6">
        <f t="shared" ca="1" si="347"/>
        <v>12</v>
      </c>
      <c r="M1247" s="68">
        <f ca="1">IFERROR(__xludf.DUMMYFUNCTION("""COMPUTED_VALUE"""),44897.6666666666)</f>
        <v>44897.666666666599</v>
      </c>
      <c r="N1247" s="6">
        <f ca="1">IFERROR(__xludf.DUMMYFUNCTION("""COMPUTED_VALUE"""),11461.5)</f>
        <v>11461.5</v>
      </c>
      <c r="R1247" s="6" t="str">
        <f t="shared" ca="1" si="348"/>
        <v>20231</v>
      </c>
      <c r="S1247" s="6">
        <f t="shared" ca="1" si="349"/>
        <v>2023</v>
      </c>
      <c r="T1247" s="6">
        <f t="shared" ca="1" si="350"/>
        <v>1</v>
      </c>
      <c r="U1247" s="68">
        <f ca="1">IFERROR(__xludf.DUMMYFUNCTION("""COMPUTED_VALUE"""),44952.6458333333)</f>
        <v>44952.645833333299</v>
      </c>
      <c r="V1247" s="6">
        <f ca="1">IFERROR(__xludf.DUMMYFUNCTION("""COMPUTED_VALUE"""),2468.65)</f>
        <v>2468.65</v>
      </c>
      <c r="Z1247" s="6" t="str">
        <f t="shared" ca="1" si="351"/>
        <v>20217</v>
      </c>
      <c r="AA1247" s="6">
        <f t="shared" ca="1" si="352"/>
        <v>2021</v>
      </c>
      <c r="AB1247" s="6">
        <f t="shared" ca="1" si="353"/>
        <v>7</v>
      </c>
      <c r="AC1247" s="68">
        <f ca="1">IFERROR(__xludf.DUMMYFUNCTION("""COMPUTED_VALUE"""),44392.9986111111)</f>
        <v>44392.998611111099</v>
      </c>
      <c r="AD1247" s="6">
        <f ca="1">IFERROR(__xludf.DUMMYFUNCTION("""COMPUTED_VALUE"""),1140.12)</f>
        <v>1140.1199999999999</v>
      </c>
      <c r="AH1247" s="6" t="str">
        <f t="shared" ca="1" si="354"/>
        <v>20215</v>
      </c>
      <c r="AI1247" s="6">
        <f t="shared" ca="1" si="355"/>
        <v>2021</v>
      </c>
      <c r="AJ1247" s="6">
        <f t="shared" ca="1" si="356"/>
        <v>5</v>
      </c>
      <c r="AK1247" s="68">
        <f ca="1">IFERROR(__xludf.DUMMYFUNCTION("""COMPUTED_VALUE"""),44340.9986111111)</f>
        <v>44340.998611111099</v>
      </c>
      <c r="AL1247" s="6">
        <f ca="1">IFERROR(__xludf.DUMMYFUNCTION("""COMPUTED_VALUE"""),38751.12)</f>
        <v>38751.120000000003</v>
      </c>
      <c r="AP1247" s="6" t="str">
        <f t="shared" ca="1" si="357"/>
        <v>202212</v>
      </c>
      <c r="AQ1247" s="6">
        <f t="shared" ca="1" si="358"/>
        <v>2022</v>
      </c>
      <c r="AR1247" s="6">
        <f t="shared" ca="1" si="359"/>
        <v>12</v>
      </c>
      <c r="AS1247" s="68">
        <f ca="1">IFERROR(__xludf.DUMMYFUNCTION("""COMPUTED_VALUE"""),44914.9986111111)</f>
        <v>44914.998611111099</v>
      </c>
      <c r="AT1247" s="6">
        <f ca="1">IFERROR(__xludf.DUMMYFUNCTION("""COMPUTED_VALUE"""),1797.7)</f>
        <v>1797.7</v>
      </c>
    </row>
    <row r="1248" spans="2:46" x14ac:dyDescent="0.35">
      <c r="B1248" s="6" t="str">
        <f t="shared" ca="1" si="342"/>
        <v>202212</v>
      </c>
      <c r="C1248" s="6">
        <f t="shared" ca="1" si="343"/>
        <v>2022</v>
      </c>
      <c r="D1248" s="6">
        <f t="shared" ca="1" si="344"/>
        <v>12</v>
      </c>
      <c r="E1248" s="68">
        <f ca="1">IFERROR(__xludf.DUMMYFUNCTION("""COMPUTED_VALUE"""),44908.6666666666)</f>
        <v>44908.666666666599</v>
      </c>
      <c r="F1248" s="6">
        <f ca="1">IFERROR(__xludf.DUMMYFUNCTION("""COMPUTED_VALUE"""),4019.65)</f>
        <v>4019.65</v>
      </c>
      <c r="J1248" s="6" t="str">
        <f t="shared" ca="1" si="345"/>
        <v>202212</v>
      </c>
      <c r="K1248" s="6">
        <f t="shared" ca="1" si="346"/>
        <v>2022</v>
      </c>
      <c r="L1248" s="6">
        <f t="shared" ca="1" si="347"/>
        <v>12</v>
      </c>
      <c r="M1248" s="68">
        <f ca="1">IFERROR(__xludf.DUMMYFUNCTION("""COMPUTED_VALUE"""),44900.6666666666)</f>
        <v>44900.666666666599</v>
      </c>
      <c r="N1248" s="6">
        <f ca="1">IFERROR(__xludf.DUMMYFUNCTION("""COMPUTED_VALUE"""),11239.94)</f>
        <v>11239.94</v>
      </c>
      <c r="R1248" s="6" t="str">
        <f t="shared" ca="1" si="348"/>
        <v>20231</v>
      </c>
      <c r="S1248" s="6">
        <f t="shared" ca="1" si="349"/>
        <v>2023</v>
      </c>
      <c r="T1248" s="6">
        <f t="shared" ca="1" si="350"/>
        <v>1</v>
      </c>
      <c r="U1248" s="68">
        <f ca="1">IFERROR(__xludf.DUMMYFUNCTION("""COMPUTED_VALUE"""),44953.6458333333)</f>
        <v>44953.645833333299</v>
      </c>
      <c r="V1248" s="6">
        <f ca="1">IFERROR(__xludf.DUMMYFUNCTION("""COMPUTED_VALUE"""),2484.02)</f>
        <v>2484.02</v>
      </c>
      <c r="Z1248" s="6" t="str">
        <f t="shared" ca="1" si="351"/>
        <v>20217</v>
      </c>
      <c r="AA1248" s="6">
        <f t="shared" ca="1" si="352"/>
        <v>2021</v>
      </c>
      <c r="AB1248" s="6">
        <f t="shared" ca="1" si="353"/>
        <v>7</v>
      </c>
      <c r="AC1248" s="68">
        <f ca="1">IFERROR(__xludf.DUMMYFUNCTION("""COMPUTED_VALUE"""),44393.9986111111)</f>
        <v>44393.998611111099</v>
      </c>
      <c r="AD1248" s="6">
        <f ca="1">IFERROR(__xludf.DUMMYFUNCTION("""COMPUTED_VALUE"""),1141.4)</f>
        <v>1141.4000000000001</v>
      </c>
      <c r="AH1248" s="6" t="str">
        <f t="shared" ca="1" si="354"/>
        <v>20215</v>
      </c>
      <c r="AI1248" s="6">
        <f t="shared" ca="1" si="355"/>
        <v>2021</v>
      </c>
      <c r="AJ1248" s="6">
        <f t="shared" ca="1" si="356"/>
        <v>5</v>
      </c>
      <c r="AK1248" s="68">
        <f ca="1">IFERROR(__xludf.DUMMYFUNCTION("""COMPUTED_VALUE"""),44341.9986111111)</f>
        <v>44341.998611111099</v>
      </c>
      <c r="AL1248" s="6">
        <f ca="1">IFERROR(__xludf.DUMMYFUNCTION("""COMPUTED_VALUE"""),38373.69)</f>
        <v>38373.69</v>
      </c>
      <c r="AP1248" s="6" t="str">
        <f t="shared" ca="1" si="357"/>
        <v>202212</v>
      </c>
      <c r="AQ1248" s="6">
        <f t="shared" ca="1" si="358"/>
        <v>2022</v>
      </c>
      <c r="AR1248" s="6">
        <f t="shared" ca="1" si="359"/>
        <v>12</v>
      </c>
      <c r="AS1248" s="68">
        <f ca="1">IFERROR(__xludf.DUMMYFUNCTION("""COMPUTED_VALUE"""),44915.9986111111)</f>
        <v>44915.998611111099</v>
      </c>
      <c r="AT1248" s="6">
        <f ca="1">IFERROR(__xludf.DUMMYFUNCTION("""COMPUTED_VALUE"""),1825.4)</f>
        <v>1825.4</v>
      </c>
    </row>
    <row r="1249" spans="2:46" x14ac:dyDescent="0.35">
      <c r="B1249" s="6" t="str">
        <f t="shared" ca="1" si="342"/>
        <v>202212</v>
      </c>
      <c r="C1249" s="6">
        <f t="shared" ca="1" si="343"/>
        <v>2022</v>
      </c>
      <c r="D1249" s="6">
        <f t="shared" ca="1" si="344"/>
        <v>12</v>
      </c>
      <c r="E1249" s="68">
        <f ca="1">IFERROR(__xludf.DUMMYFUNCTION("""COMPUTED_VALUE"""),44909.6666666666)</f>
        <v>44909.666666666599</v>
      </c>
      <c r="F1249" s="6">
        <f ca="1">IFERROR(__xludf.DUMMYFUNCTION("""COMPUTED_VALUE"""),3995.32)</f>
        <v>3995.32</v>
      </c>
      <c r="J1249" s="6" t="str">
        <f t="shared" ca="1" si="345"/>
        <v>202212</v>
      </c>
      <c r="K1249" s="6">
        <f t="shared" ca="1" si="346"/>
        <v>2022</v>
      </c>
      <c r="L1249" s="6">
        <f t="shared" ca="1" si="347"/>
        <v>12</v>
      </c>
      <c r="M1249" s="68">
        <f ca="1">IFERROR(__xludf.DUMMYFUNCTION("""COMPUTED_VALUE"""),44901.6666666666)</f>
        <v>44901.666666666599</v>
      </c>
      <c r="N1249" s="6">
        <f ca="1">IFERROR(__xludf.DUMMYFUNCTION("""COMPUTED_VALUE"""),11014.89)</f>
        <v>11014.89</v>
      </c>
      <c r="R1249" s="6" t="str">
        <f t="shared" ca="1" si="348"/>
        <v>20231</v>
      </c>
      <c r="S1249" s="6">
        <f t="shared" ca="1" si="349"/>
        <v>2023</v>
      </c>
      <c r="T1249" s="6">
        <f t="shared" ca="1" si="350"/>
        <v>1</v>
      </c>
      <c r="U1249" s="68">
        <f ca="1">IFERROR(__xludf.DUMMYFUNCTION("""COMPUTED_VALUE"""),44956.6458333333)</f>
        <v>44956.645833333299</v>
      </c>
      <c r="V1249" s="6">
        <f ca="1">IFERROR(__xludf.DUMMYFUNCTION("""COMPUTED_VALUE"""),2450.47)</f>
        <v>2450.4699999999998</v>
      </c>
      <c r="Z1249" s="6" t="str">
        <f t="shared" ca="1" si="351"/>
        <v>20217</v>
      </c>
      <c r="AA1249" s="6">
        <f t="shared" ca="1" si="352"/>
        <v>2021</v>
      </c>
      <c r="AB1249" s="6">
        <f t="shared" ca="1" si="353"/>
        <v>7</v>
      </c>
      <c r="AC1249" s="68">
        <f ca="1">IFERROR(__xludf.DUMMYFUNCTION("""COMPUTED_VALUE"""),44394.9986111111)</f>
        <v>44394.998611111099</v>
      </c>
      <c r="AD1249" s="6">
        <f ca="1">IFERROR(__xludf.DUMMYFUNCTION("""COMPUTED_VALUE"""),1141)</f>
        <v>1141</v>
      </c>
      <c r="AH1249" s="6" t="str">
        <f t="shared" ca="1" si="354"/>
        <v>20215</v>
      </c>
      <c r="AI1249" s="6">
        <f t="shared" ca="1" si="355"/>
        <v>2021</v>
      </c>
      <c r="AJ1249" s="6">
        <f t="shared" ca="1" si="356"/>
        <v>5</v>
      </c>
      <c r="AK1249" s="68">
        <f ca="1">IFERROR(__xludf.DUMMYFUNCTION("""COMPUTED_VALUE"""),44342.9986111111)</f>
        <v>44342.998611111099</v>
      </c>
      <c r="AL1249" s="6">
        <f ca="1">IFERROR(__xludf.DUMMYFUNCTION("""COMPUTED_VALUE"""),39259.6)</f>
        <v>39259.599999999999</v>
      </c>
      <c r="AP1249" s="6" t="str">
        <f t="shared" ca="1" si="357"/>
        <v>202212</v>
      </c>
      <c r="AQ1249" s="6">
        <f t="shared" ca="1" si="358"/>
        <v>2022</v>
      </c>
      <c r="AR1249" s="6">
        <f t="shared" ca="1" si="359"/>
        <v>12</v>
      </c>
      <c r="AS1249" s="68">
        <f ca="1">IFERROR(__xludf.DUMMYFUNCTION("""COMPUTED_VALUE"""),44916.9986111111)</f>
        <v>44916.998611111099</v>
      </c>
      <c r="AT1249" s="6">
        <f ca="1">IFERROR(__xludf.DUMMYFUNCTION("""COMPUTED_VALUE"""),1825.4)</f>
        <v>1825.4</v>
      </c>
    </row>
    <row r="1250" spans="2:46" x14ac:dyDescent="0.35">
      <c r="B1250" s="6" t="str">
        <f t="shared" ca="1" si="342"/>
        <v>202212</v>
      </c>
      <c r="C1250" s="6">
        <f t="shared" ca="1" si="343"/>
        <v>2022</v>
      </c>
      <c r="D1250" s="6">
        <f t="shared" ca="1" si="344"/>
        <v>12</v>
      </c>
      <c r="E1250" s="68">
        <f ca="1">IFERROR(__xludf.DUMMYFUNCTION("""COMPUTED_VALUE"""),44910.6666666666)</f>
        <v>44910.666666666599</v>
      </c>
      <c r="F1250" s="6">
        <f ca="1">IFERROR(__xludf.DUMMYFUNCTION("""COMPUTED_VALUE"""),3895.75)</f>
        <v>3895.75</v>
      </c>
      <c r="J1250" s="6" t="str">
        <f t="shared" ca="1" si="345"/>
        <v>202212</v>
      </c>
      <c r="K1250" s="6">
        <f t="shared" ca="1" si="346"/>
        <v>2022</v>
      </c>
      <c r="L1250" s="6">
        <f t="shared" ca="1" si="347"/>
        <v>12</v>
      </c>
      <c r="M1250" s="68">
        <f ca="1">IFERROR(__xludf.DUMMYFUNCTION("""COMPUTED_VALUE"""),44902.6666666666)</f>
        <v>44902.666666666599</v>
      </c>
      <c r="N1250" s="6">
        <f ca="1">IFERROR(__xludf.DUMMYFUNCTION("""COMPUTED_VALUE"""),10958.55)</f>
        <v>10958.55</v>
      </c>
      <c r="R1250" s="6" t="str">
        <f t="shared" ca="1" si="348"/>
        <v>20231</v>
      </c>
      <c r="S1250" s="6">
        <f t="shared" ca="1" si="349"/>
        <v>2023</v>
      </c>
      <c r="T1250" s="6">
        <f t="shared" ca="1" si="350"/>
        <v>1</v>
      </c>
      <c r="U1250" s="68">
        <f ca="1">IFERROR(__xludf.DUMMYFUNCTION("""COMPUTED_VALUE"""),44957.6458333333)</f>
        <v>44957.645833333299</v>
      </c>
      <c r="V1250" s="6">
        <f ca="1">IFERROR(__xludf.DUMMYFUNCTION("""COMPUTED_VALUE"""),2425.08)</f>
        <v>2425.08</v>
      </c>
      <c r="Z1250" s="6" t="str">
        <f t="shared" ca="1" si="351"/>
        <v>20217</v>
      </c>
      <c r="AA1250" s="6">
        <f t="shared" ca="1" si="352"/>
        <v>2021</v>
      </c>
      <c r="AB1250" s="6">
        <f t="shared" ca="1" si="353"/>
        <v>7</v>
      </c>
      <c r="AC1250" s="68">
        <f ca="1">IFERROR(__xludf.DUMMYFUNCTION("""COMPUTED_VALUE"""),44395.9986111111)</f>
        <v>44395.998611111099</v>
      </c>
      <c r="AD1250" s="6">
        <f ca="1">IFERROR(__xludf.DUMMYFUNCTION("""COMPUTED_VALUE"""),1141.5)</f>
        <v>1141.5</v>
      </c>
      <c r="AH1250" s="6" t="str">
        <f t="shared" ca="1" si="354"/>
        <v>20215</v>
      </c>
      <c r="AI1250" s="6">
        <f t="shared" ca="1" si="355"/>
        <v>2021</v>
      </c>
      <c r="AJ1250" s="6">
        <f t="shared" ca="1" si="356"/>
        <v>5</v>
      </c>
      <c r="AK1250" s="68">
        <f ca="1">IFERROR(__xludf.DUMMYFUNCTION("""COMPUTED_VALUE"""),44343.9986111111)</f>
        <v>44343.998611111099</v>
      </c>
      <c r="AL1250" s="6">
        <f ca="1">IFERROR(__xludf.DUMMYFUNCTION("""COMPUTED_VALUE"""),38423.84)</f>
        <v>38423.839999999997</v>
      </c>
      <c r="AP1250" s="6" t="str">
        <f t="shared" ca="1" si="357"/>
        <v>202212</v>
      </c>
      <c r="AQ1250" s="6">
        <f t="shared" ca="1" si="358"/>
        <v>2022</v>
      </c>
      <c r="AR1250" s="6">
        <f t="shared" ca="1" si="359"/>
        <v>12</v>
      </c>
      <c r="AS1250" s="68">
        <f ca="1">IFERROR(__xludf.DUMMYFUNCTION("""COMPUTED_VALUE"""),44917.9986111111)</f>
        <v>44917.998611111099</v>
      </c>
      <c r="AT1250" s="6">
        <f ca="1">IFERROR(__xludf.DUMMYFUNCTION("""COMPUTED_VALUE"""),1795.3)</f>
        <v>1795.3</v>
      </c>
    </row>
    <row r="1251" spans="2:46" x14ac:dyDescent="0.35">
      <c r="B1251" s="6" t="str">
        <f t="shared" ca="1" si="342"/>
        <v>202212</v>
      </c>
      <c r="C1251" s="6">
        <f t="shared" ca="1" si="343"/>
        <v>2022</v>
      </c>
      <c r="D1251" s="6">
        <f t="shared" ca="1" si="344"/>
        <v>12</v>
      </c>
      <c r="E1251" s="68">
        <f ca="1">IFERROR(__xludf.DUMMYFUNCTION("""COMPUTED_VALUE"""),44911.6666666666)</f>
        <v>44911.666666666599</v>
      </c>
      <c r="F1251" s="6">
        <f ca="1">IFERROR(__xludf.DUMMYFUNCTION("""COMPUTED_VALUE"""),3852.36)</f>
        <v>3852.36</v>
      </c>
      <c r="J1251" s="6" t="str">
        <f t="shared" ca="1" si="345"/>
        <v>202212</v>
      </c>
      <c r="K1251" s="6">
        <f t="shared" ca="1" si="346"/>
        <v>2022</v>
      </c>
      <c r="L1251" s="6">
        <f t="shared" ca="1" si="347"/>
        <v>12</v>
      </c>
      <c r="M1251" s="68">
        <f ca="1">IFERROR(__xludf.DUMMYFUNCTION("""COMPUTED_VALUE"""),44903.6666666666)</f>
        <v>44903.666666666599</v>
      </c>
      <c r="N1251" s="6">
        <f ca="1">IFERROR(__xludf.DUMMYFUNCTION("""COMPUTED_VALUE"""),11082)</f>
        <v>11082</v>
      </c>
      <c r="R1251" s="6" t="str">
        <f t="shared" ca="1" si="348"/>
        <v>20232</v>
      </c>
      <c r="S1251" s="6">
        <f t="shared" ca="1" si="349"/>
        <v>2023</v>
      </c>
      <c r="T1251" s="6">
        <f t="shared" ca="1" si="350"/>
        <v>2</v>
      </c>
      <c r="U1251" s="68">
        <f ca="1">IFERROR(__xludf.DUMMYFUNCTION("""COMPUTED_VALUE"""),44958.6458333333)</f>
        <v>44958.645833333299</v>
      </c>
      <c r="V1251" s="6">
        <f ca="1">IFERROR(__xludf.DUMMYFUNCTION("""COMPUTED_VALUE"""),2449.8)</f>
        <v>2449.8000000000002</v>
      </c>
      <c r="Z1251" s="6" t="str">
        <f t="shared" ca="1" si="351"/>
        <v>20217</v>
      </c>
      <c r="AA1251" s="6">
        <f t="shared" ca="1" si="352"/>
        <v>2021</v>
      </c>
      <c r="AB1251" s="6">
        <f t="shared" ca="1" si="353"/>
        <v>7</v>
      </c>
      <c r="AC1251" s="68">
        <f ca="1">IFERROR(__xludf.DUMMYFUNCTION("""COMPUTED_VALUE"""),44396.9986111111)</f>
        <v>44396.998611111099</v>
      </c>
      <c r="AD1251" s="6">
        <f ca="1">IFERROR(__xludf.DUMMYFUNCTION("""COMPUTED_VALUE"""),1150.07)</f>
        <v>1150.07</v>
      </c>
      <c r="AH1251" s="6" t="str">
        <f t="shared" ca="1" si="354"/>
        <v>20215</v>
      </c>
      <c r="AI1251" s="6">
        <f t="shared" ca="1" si="355"/>
        <v>2021</v>
      </c>
      <c r="AJ1251" s="6">
        <f t="shared" ca="1" si="356"/>
        <v>5</v>
      </c>
      <c r="AK1251" s="68">
        <f ca="1">IFERROR(__xludf.DUMMYFUNCTION("""COMPUTED_VALUE"""),44344.9986111111)</f>
        <v>44344.998611111099</v>
      </c>
      <c r="AL1251" s="6">
        <f ca="1">IFERROR(__xludf.DUMMYFUNCTION("""COMPUTED_VALUE"""),35671.04)</f>
        <v>35671.040000000001</v>
      </c>
      <c r="AP1251" s="6" t="str">
        <f t="shared" ca="1" si="357"/>
        <v>202212</v>
      </c>
      <c r="AQ1251" s="6">
        <f t="shared" ca="1" si="358"/>
        <v>2022</v>
      </c>
      <c r="AR1251" s="6">
        <f t="shared" ca="1" si="359"/>
        <v>12</v>
      </c>
      <c r="AS1251" s="68">
        <f ca="1">IFERROR(__xludf.DUMMYFUNCTION("""COMPUTED_VALUE"""),44918.9986111111)</f>
        <v>44918.998611111099</v>
      </c>
      <c r="AT1251" s="6">
        <f ca="1">IFERROR(__xludf.DUMMYFUNCTION("""COMPUTED_VALUE"""),1804.2)</f>
        <v>1804.2</v>
      </c>
    </row>
    <row r="1252" spans="2:46" x14ac:dyDescent="0.35">
      <c r="B1252" s="6" t="str">
        <f t="shared" ca="1" si="342"/>
        <v>202212</v>
      </c>
      <c r="C1252" s="6">
        <f t="shared" ca="1" si="343"/>
        <v>2022</v>
      </c>
      <c r="D1252" s="6">
        <f t="shared" ca="1" si="344"/>
        <v>12</v>
      </c>
      <c r="E1252" s="68">
        <f ca="1">IFERROR(__xludf.DUMMYFUNCTION("""COMPUTED_VALUE"""),44914.6666666666)</f>
        <v>44914.666666666599</v>
      </c>
      <c r="F1252" s="6">
        <f ca="1">IFERROR(__xludf.DUMMYFUNCTION("""COMPUTED_VALUE"""),3817.66)</f>
        <v>3817.66</v>
      </c>
      <c r="J1252" s="6" t="str">
        <f t="shared" ca="1" si="345"/>
        <v>202212</v>
      </c>
      <c r="K1252" s="6">
        <f t="shared" ca="1" si="346"/>
        <v>2022</v>
      </c>
      <c r="L1252" s="6">
        <f t="shared" ca="1" si="347"/>
        <v>12</v>
      </c>
      <c r="M1252" s="68">
        <f ca="1">IFERROR(__xludf.DUMMYFUNCTION("""COMPUTED_VALUE"""),44904.6666666666)</f>
        <v>44904.666666666599</v>
      </c>
      <c r="N1252" s="6">
        <f ca="1">IFERROR(__xludf.DUMMYFUNCTION("""COMPUTED_VALUE"""),11004.62)</f>
        <v>11004.62</v>
      </c>
      <c r="R1252" s="6" t="str">
        <f t="shared" ca="1" si="348"/>
        <v>20232</v>
      </c>
      <c r="S1252" s="6">
        <f t="shared" ca="1" si="349"/>
        <v>2023</v>
      </c>
      <c r="T1252" s="6">
        <f t="shared" ca="1" si="350"/>
        <v>2</v>
      </c>
      <c r="U1252" s="68">
        <f ca="1">IFERROR(__xludf.DUMMYFUNCTION("""COMPUTED_VALUE"""),44959.6458333333)</f>
        <v>44959.645833333299</v>
      </c>
      <c r="V1252" s="6">
        <f ca="1">IFERROR(__xludf.DUMMYFUNCTION("""COMPUTED_VALUE"""),2468.88)</f>
        <v>2468.88</v>
      </c>
      <c r="Z1252" s="6" t="str">
        <f t="shared" ca="1" si="351"/>
        <v>20217</v>
      </c>
      <c r="AA1252" s="6">
        <f t="shared" ca="1" si="352"/>
        <v>2021</v>
      </c>
      <c r="AB1252" s="6">
        <f t="shared" ca="1" si="353"/>
        <v>7</v>
      </c>
      <c r="AC1252" s="68">
        <f ca="1">IFERROR(__xludf.DUMMYFUNCTION("""COMPUTED_VALUE"""),44397.9986111111)</f>
        <v>44397.998611111099</v>
      </c>
      <c r="AD1252" s="6">
        <f ca="1">IFERROR(__xludf.DUMMYFUNCTION("""COMPUTED_VALUE"""),1147.48)</f>
        <v>1147.48</v>
      </c>
      <c r="AH1252" s="6" t="str">
        <f t="shared" ca="1" si="354"/>
        <v>20215</v>
      </c>
      <c r="AI1252" s="6">
        <f t="shared" ca="1" si="355"/>
        <v>2021</v>
      </c>
      <c r="AJ1252" s="6">
        <f t="shared" ca="1" si="356"/>
        <v>5</v>
      </c>
      <c r="AK1252" s="68">
        <f ca="1">IFERROR(__xludf.DUMMYFUNCTION("""COMPUTED_VALUE"""),44345.9986111111)</f>
        <v>44345.998611111099</v>
      </c>
      <c r="AL1252" s="6">
        <f ca="1">IFERROR(__xludf.DUMMYFUNCTION("""COMPUTED_VALUE"""),34592.16)</f>
        <v>34592.160000000003</v>
      </c>
      <c r="AP1252" s="6" t="str">
        <f t="shared" ca="1" si="357"/>
        <v>202212</v>
      </c>
      <c r="AQ1252" s="6">
        <f t="shared" ca="1" si="358"/>
        <v>2022</v>
      </c>
      <c r="AR1252" s="6">
        <f t="shared" ca="1" si="359"/>
        <v>12</v>
      </c>
      <c r="AS1252" s="68">
        <f ca="1">IFERROR(__xludf.DUMMYFUNCTION("""COMPUTED_VALUE"""),44922.9986111111)</f>
        <v>44922.998611111099</v>
      </c>
      <c r="AT1252" s="6">
        <f ca="1">IFERROR(__xludf.DUMMYFUNCTION("""COMPUTED_VALUE"""),1823.1)</f>
        <v>1823.1</v>
      </c>
    </row>
    <row r="1253" spans="2:46" x14ac:dyDescent="0.35">
      <c r="B1253" s="6" t="str">
        <f t="shared" ca="1" si="342"/>
        <v>202212</v>
      </c>
      <c r="C1253" s="6">
        <f t="shared" ca="1" si="343"/>
        <v>2022</v>
      </c>
      <c r="D1253" s="6">
        <f t="shared" ca="1" si="344"/>
        <v>12</v>
      </c>
      <c r="E1253" s="68">
        <f ca="1">IFERROR(__xludf.DUMMYFUNCTION("""COMPUTED_VALUE"""),44915.6666666666)</f>
        <v>44915.666666666599</v>
      </c>
      <c r="F1253" s="6">
        <f ca="1">IFERROR(__xludf.DUMMYFUNCTION("""COMPUTED_VALUE"""),3821.62)</f>
        <v>3821.62</v>
      </c>
      <c r="J1253" s="6" t="str">
        <f t="shared" ca="1" si="345"/>
        <v>202212</v>
      </c>
      <c r="K1253" s="6">
        <f t="shared" ca="1" si="346"/>
        <v>2022</v>
      </c>
      <c r="L1253" s="6">
        <f t="shared" ca="1" si="347"/>
        <v>12</v>
      </c>
      <c r="M1253" s="68">
        <f ca="1">IFERROR(__xludf.DUMMYFUNCTION("""COMPUTED_VALUE"""),44907.6666666666)</f>
        <v>44907.666666666599</v>
      </c>
      <c r="N1253" s="6">
        <f ca="1">IFERROR(__xludf.DUMMYFUNCTION("""COMPUTED_VALUE"""),11143.74)</f>
        <v>11143.74</v>
      </c>
      <c r="R1253" s="6" t="str">
        <f t="shared" ca="1" si="348"/>
        <v>20232</v>
      </c>
      <c r="S1253" s="6">
        <f t="shared" ca="1" si="349"/>
        <v>2023</v>
      </c>
      <c r="T1253" s="6">
        <f t="shared" ca="1" si="350"/>
        <v>2</v>
      </c>
      <c r="U1253" s="68">
        <f ca="1">IFERROR(__xludf.DUMMYFUNCTION("""COMPUTED_VALUE"""),44960.6458333333)</f>
        <v>44960.645833333299</v>
      </c>
      <c r="V1253" s="6">
        <f ca="1">IFERROR(__xludf.DUMMYFUNCTION("""COMPUTED_VALUE"""),2480.4)</f>
        <v>2480.4</v>
      </c>
      <c r="Z1253" s="6" t="str">
        <f t="shared" ca="1" si="351"/>
        <v>20217</v>
      </c>
      <c r="AA1253" s="6">
        <f t="shared" ca="1" si="352"/>
        <v>2021</v>
      </c>
      <c r="AB1253" s="6">
        <f t="shared" ca="1" si="353"/>
        <v>7</v>
      </c>
      <c r="AC1253" s="68">
        <f ca="1">IFERROR(__xludf.DUMMYFUNCTION("""COMPUTED_VALUE"""),44398.9986111111)</f>
        <v>44398.998611111099</v>
      </c>
      <c r="AD1253" s="6">
        <f ca="1">IFERROR(__xludf.DUMMYFUNCTION("""COMPUTED_VALUE"""),1148.69)</f>
        <v>1148.69</v>
      </c>
      <c r="AH1253" s="6" t="str">
        <f t="shared" ca="1" si="354"/>
        <v>20215</v>
      </c>
      <c r="AI1253" s="6">
        <f t="shared" ca="1" si="355"/>
        <v>2021</v>
      </c>
      <c r="AJ1253" s="6">
        <f t="shared" ca="1" si="356"/>
        <v>5</v>
      </c>
      <c r="AK1253" s="68">
        <f ca="1">IFERROR(__xludf.DUMMYFUNCTION("""COMPUTED_VALUE"""),44346.9986111111)</f>
        <v>44346.998611111099</v>
      </c>
      <c r="AL1253" s="6">
        <f ca="1">IFERROR(__xludf.DUMMYFUNCTION("""COMPUTED_VALUE"""),35654.29)</f>
        <v>35654.29</v>
      </c>
      <c r="AP1253" s="6" t="str">
        <f t="shared" ca="1" si="357"/>
        <v>202212</v>
      </c>
      <c r="AQ1253" s="6">
        <f t="shared" ca="1" si="358"/>
        <v>2022</v>
      </c>
      <c r="AR1253" s="6">
        <f t="shared" ca="1" si="359"/>
        <v>12</v>
      </c>
      <c r="AS1253" s="68">
        <f ca="1">IFERROR(__xludf.DUMMYFUNCTION("""COMPUTED_VALUE"""),44923.9986111111)</f>
        <v>44923.998611111099</v>
      </c>
      <c r="AT1253" s="6">
        <f ca="1">IFERROR(__xludf.DUMMYFUNCTION("""COMPUTED_VALUE"""),1815.8)</f>
        <v>1815.8</v>
      </c>
    </row>
    <row r="1254" spans="2:46" x14ac:dyDescent="0.35">
      <c r="B1254" s="6" t="str">
        <f t="shared" ca="1" si="342"/>
        <v>202212</v>
      </c>
      <c r="C1254" s="6">
        <f t="shared" ca="1" si="343"/>
        <v>2022</v>
      </c>
      <c r="D1254" s="6">
        <f t="shared" ca="1" si="344"/>
        <v>12</v>
      </c>
      <c r="E1254" s="68">
        <f ca="1">IFERROR(__xludf.DUMMYFUNCTION("""COMPUTED_VALUE"""),44916.6666666666)</f>
        <v>44916.666666666599</v>
      </c>
      <c r="F1254" s="6">
        <f ca="1">IFERROR(__xludf.DUMMYFUNCTION("""COMPUTED_VALUE"""),3878.44)</f>
        <v>3878.44</v>
      </c>
      <c r="J1254" s="6" t="str">
        <f t="shared" ca="1" si="345"/>
        <v>202212</v>
      </c>
      <c r="K1254" s="6">
        <f t="shared" ca="1" si="346"/>
        <v>2022</v>
      </c>
      <c r="L1254" s="6">
        <f t="shared" ca="1" si="347"/>
        <v>12</v>
      </c>
      <c r="M1254" s="68">
        <f ca="1">IFERROR(__xludf.DUMMYFUNCTION("""COMPUTED_VALUE"""),44908.6666666666)</f>
        <v>44908.666666666599</v>
      </c>
      <c r="N1254" s="6">
        <f ca="1">IFERROR(__xludf.DUMMYFUNCTION("""COMPUTED_VALUE"""),11256.81)</f>
        <v>11256.81</v>
      </c>
      <c r="R1254" s="6" t="str">
        <f t="shared" ca="1" si="348"/>
        <v>20232</v>
      </c>
      <c r="S1254" s="6">
        <f t="shared" ca="1" si="349"/>
        <v>2023</v>
      </c>
      <c r="T1254" s="6">
        <f t="shared" ca="1" si="350"/>
        <v>2</v>
      </c>
      <c r="U1254" s="68">
        <f ca="1">IFERROR(__xludf.DUMMYFUNCTION("""COMPUTED_VALUE"""),44963.6458333333)</f>
        <v>44963.645833333299</v>
      </c>
      <c r="V1254" s="6">
        <f ca="1">IFERROR(__xludf.DUMMYFUNCTION("""COMPUTED_VALUE"""),2438.19)</f>
        <v>2438.19</v>
      </c>
      <c r="Z1254" s="6" t="str">
        <f t="shared" ca="1" si="351"/>
        <v>20217</v>
      </c>
      <c r="AA1254" s="6">
        <f t="shared" ca="1" si="352"/>
        <v>2021</v>
      </c>
      <c r="AB1254" s="6">
        <f t="shared" ca="1" si="353"/>
        <v>7</v>
      </c>
      <c r="AC1254" s="68">
        <f ca="1">IFERROR(__xludf.DUMMYFUNCTION("""COMPUTED_VALUE"""),44399.9986111111)</f>
        <v>44399.998611111099</v>
      </c>
      <c r="AD1254" s="6">
        <f ca="1">IFERROR(__xludf.DUMMYFUNCTION("""COMPUTED_VALUE"""),1149.91)</f>
        <v>1149.9100000000001</v>
      </c>
      <c r="AH1254" s="6" t="str">
        <f t="shared" ca="1" si="354"/>
        <v>20215</v>
      </c>
      <c r="AI1254" s="6">
        <f t="shared" ca="1" si="355"/>
        <v>2021</v>
      </c>
      <c r="AJ1254" s="6">
        <f t="shared" ca="1" si="356"/>
        <v>5</v>
      </c>
      <c r="AK1254" s="68">
        <f ca="1">IFERROR(__xludf.DUMMYFUNCTION("""COMPUTED_VALUE"""),44347.9986111111)</f>
        <v>44347.998611111099</v>
      </c>
      <c r="AL1254" s="6">
        <f ca="1">IFERROR(__xludf.DUMMYFUNCTION("""COMPUTED_VALUE"""),37309.36)</f>
        <v>37309.360000000001</v>
      </c>
      <c r="AP1254" s="6" t="str">
        <f t="shared" ca="1" si="357"/>
        <v>202212</v>
      </c>
      <c r="AQ1254" s="6">
        <f t="shared" ca="1" si="358"/>
        <v>2022</v>
      </c>
      <c r="AR1254" s="6">
        <f t="shared" ca="1" si="359"/>
        <v>12</v>
      </c>
      <c r="AS1254" s="68">
        <f ca="1">IFERROR(__xludf.DUMMYFUNCTION("""COMPUTED_VALUE"""),44924.9986111111)</f>
        <v>44924.998611111099</v>
      </c>
      <c r="AT1254" s="6">
        <f ca="1">IFERROR(__xludf.DUMMYFUNCTION("""COMPUTED_VALUE"""),1826)</f>
        <v>1826</v>
      </c>
    </row>
    <row r="1255" spans="2:46" x14ac:dyDescent="0.35">
      <c r="B1255" s="6" t="str">
        <f t="shared" ca="1" si="342"/>
        <v>202212</v>
      </c>
      <c r="C1255" s="6">
        <f t="shared" ca="1" si="343"/>
        <v>2022</v>
      </c>
      <c r="D1255" s="6">
        <f t="shared" ca="1" si="344"/>
        <v>12</v>
      </c>
      <c r="E1255" s="68">
        <f ca="1">IFERROR(__xludf.DUMMYFUNCTION("""COMPUTED_VALUE"""),44917.6666666666)</f>
        <v>44917.666666666599</v>
      </c>
      <c r="F1255" s="6">
        <f ca="1">IFERROR(__xludf.DUMMYFUNCTION("""COMPUTED_VALUE"""),3822.39)</f>
        <v>3822.39</v>
      </c>
      <c r="J1255" s="6" t="str">
        <f t="shared" ca="1" si="345"/>
        <v>202212</v>
      </c>
      <c r="K1255" s="6">
        <f t="shared" ca="1" si="346"/>
        <v>2022</v>
      </c>
      <c r="L1255" s="6">
        <f t="shared" ca="1" si="347"/>
        <v>12</v>
      </c>
      <c r="M1255" s="68">
        <f ca="1">IFERROR(__xludf.DUMMYFUNCTION("""COMPUTED_VALUE"""),44909.6666666666)</f>
        <v>44909.666666666599</v>
      </c>
      <c r="N1255" s="6">
        <f ca="1">IFERROR(__xludf.DUMMYFUNCTION("""COMPUTED_VALUE"""),11170.89)</f>
        <v>11170.89</v>
      </c>
      <c r="R1255" s="6" t="str">
        <f t="shared" ca="1" si="348"/>
        <v>20232</v>
      </c>
      <c r="S1255" s="6">
        <f t="shared" ca="1" si="349"/>
        <v>2023</v>
      </c>
      <c r="T1255" s="6">
        <f t="shared" ca="1" si="350"/>
        <v>2</v>
      </c>
      <c r="U1255" s="68">
        <f ca="1">IFERROR(__xludf.DUMMYFUNCTION("""COMPUTED_VALUE"""),44964.6458333333)</f>
        <v>44964.645833333299</v>
      </c>
      <c r="V1255" s="6">
        <f ca="1">IFERROR(__xludf.DUMMYFUNCTION("""COMPUTED_VALUE"""),2451.71)</f>
        <v>2451.71</v>
      </c>
      <c r="Z1255" s="6" t="str">
        <f t="shared" ca="1" si="351"/>
        <v>20217</v>
      </c>
      <c r="AA1255" s="6">
        <f t="shared" ca="1" si="352"/>
        <v>2021</v>
      </c>
      <c r="AB1255" s="6">
        <f t="shared" ca="1" si="353"/>
        <v>7</v>
      </c>
      <c r="AC1255" s="68">
        <f ca="1">IFERROR(__xludf.DUMMYFUNCTION("""COMPUTED_VALUE"""),44400.9986111111)</f>
        <v>44400.998611111099</v>
      </c>
      <c r="AD1255" s="6">
        <f ca="1">IFERROR(__xludf.DUMMYFUNCTION("""COMPUTED_VALUE"""),1150.82)</f>
        <v>1150.82</v>
      </c>
      <c r="AH1255" s="6" t="str">
        <f t="shared" ca="1" si="354"/>
        <v>20216</v>
      </c>
      <c r="AI1255" s="6">
        <f t="shared" ca="1" si="355"/>
        <v>2021</v>
      </c>
      <c r="AJ1255" s="6">
        <f t="shared" ca="1" si="356"/>
        <v>6</v>
      </c>
      <c r="AK1255" s="68">
        <f ca="1">IFERROR(__xludf.DUMMYFUNCTION("""COMPUTED_VALUE"""),44348.9986111111)</f>
        <v>44348.998611111099</v>
      </c>
      <c r="AL1255" s="6">
        <f ca="1">IFERROR(__xludf.DUMMYFUNCTION("""COMPUTED_VALUE"""),36682.96)</f>
        <v>36682.959999999999</v>
      </c>
      <c r="AP1255" s="6" t="str">
        <f t="shared" ca="1" si="357"/>
        <v>202212</v>
      </c>
      <c r="AQ1255" s="6">
        <f t="shared" ca="1" si="358"/>
        <v>2022</v>
      </c>
      <c r="AR1255" s="6">
        <f t="shared" ca="1" si="359"/>
        <v>12</v>
      </c>
      <c r="AS1255" s="68">
        <f ca="1">IFERROR(__xludf.DUMMYFUNCTION("""COMPUTED_VALUE"""),44925.9986111111)</f>
        <v>44925.998611111099</v>
      </c>
      <c r="AT1255" s="6">
        <f ca="1">IFERROR(__xludf.DUMMYFUNCTION("""COMPUTED_VALUE"""),1826.2)</f>
        <v>1826.2</v>
      </c>
    </row>
    <row r="1256" spans="2:46" x14ac:dyDescent="0.35">
      <c r="B1256" s="6" t="str">
        <f t="shared" ca="1" si="342"/>
        <v>202212</v>
      </c>
      <c r="C1256" s="6">
        <f t="shared" ca="1" si="343"/>
        <v>2022</v>
      </c>
      <c r="D1256" s="6">
        <f t="shared" ca="1" si="344"/>
        <v>12</v>
      </c>
      <c r="E1256" s="68">
        <f ca="1">IFERROR(__xludf.DUMMYFUNCTION("""COMPUTED_VALUE"""),44918.6666666666)</f>
        <v>44918.666666666599</v>
      </c>
      <c r="F1256" s="6">
        <f ca="1">IFERROR(__xludf.DUMMYFUNCTION("""COMPUTED_VALUE"""),3844.82)</f>
        <v>3844.82</v>
      </c>
      <c r="J1256" s="6" t="str">
        <f t="shared" ca="1" si="345"/>
        <v>202212</v>
      </c>
      <c r="K1256" s="6">
        <f t="shared" ca="1" si="346"/>
        <v>2022</v>
      </c>
      <c r="L1256" s="6">
        <f t="shared" ca="1" si="347"/>
        <v>12</v>
      </c>
      <c r="M1256" s="68">
        <f ca="1">IFERROR(__xludf.DUMMYFUNCTION("""COMPUTED_VALUE"""),44910.6666666666)</f>
        <v>44910.666666666599</v>
      </c>
      <c r="N1256" s="6">
        <f ca="1">IFERROR(__xludf.DUMMYFUNCTION("""COMPUTED_VALUE"""),10810.53)</f>
        <v>10810.53</v>
      </c>
      <c r="R1256" s="6" t="str">
        <f t="shared" ca="1" si="348"/>
        <v>20232</v>
      </c>
      <c r="S1256" s="6">
        <f t="shared" ca="1" si="349"/>
        <v>2023</v>
      </c>
      <c r="T1256" s="6">
        <f t="shared" ca="1" si="350"/>
        <v>2</v>
      </c>
      <c r="U1256" s="68">
        <f ca="1">IFERROR(__xludf.DUMMYFUNCTION("""COMPUTED_VALUE"""),44965.6458333333)</f>
        <v>44965.645833333299</v>
      </c>
      <c r="V1256" s="6">
        <f ca="1">IFERROR(__xludf.DUMMYFUNCTION("""COMPUTED_VALUE"""),2483.64)</f>
        <v>2483.64</v>
      </c>
      <c r="Z1256" s="6" t="str">
        <f t="shared" ca="1" si="351"/>
        <v>20217</v>
      </c>
      <c r="AA1256" s="6">
        <f t="shared" ca="1" si="352"/>
        <v>2021</v>
      </c>
      <c r="AB1256" s="6">
        <f t="shared" ca="1" si="353"/>
        <v>7</v>
      </c>
      <c r="AC1256" s="68">
        <f ca="1">IFERROR(__xludf.DUMMYFUNCTION("""COMPUTED_VALUE"""),44401.9986111111)</f>
        <v>44401.998611111099</v>
      </c>
      <c r="AD1256" s="6">
        <f ca="1">IFERROR(__xludf.DUMMYFUNCTION("""COMPUTED_VALUE"""),1150.22)</f>
        <v>1150.22</v>
      </c>
      <c r="AH1256" s="6" t="str">
        <f t="shared" ca="1" si="354"/>
        <v>20216</v>
      </c>
      <c r="AI1256" s="6">
        <f t="shared" ca="1" si="355"/>
        <v>2021</v>
      </c>
      <c r="AJ1256" s="6">
        <f t="shared" ca="1" si="356"/>
        <v>6</v>
      </c>
      <c r="AK1256" s="68">
        <f ca="1">IFERROR(__xludf.DUMMYFUNCTION("""COMPUTED_VALUE"""),44349.9986111111)</f>
        <v>44349.998611111099</v>
      </c>
      <c r="AL1256" s="6">
        <f ca="1">IFERROR(__xludf.DUMMYFUNCTION("""COMPUTED_VALUE"""),37572.28)</f>
        <v>37572.28</v>
      </c>
      <c r="AP1256" s="6" t="str">
        <f t="shared" ca="1" si="357"/>
        <v>20231</v>
      </c>
      <c r="AQ1256" s="6">
        <f t="shared" ca="1" si="358"/>
        <v>2023</v>
      </c>
      <c r="AR1256" s="6">
        <f t="shared" ca="1" si="359"/>
        <v>1</v>
      </c>
      <c r="AS1256" s="68">
        <f ca="1">IFERROR(__xludf.DUMMYFUNCTION("""COMPUTED_VALUE"""),44929.9986111111)</f>
        <v>44929.998611111099</v>
      </c>
      <c r="AT1256" s="6">
        <f ca="1">IFERROR(__xludf.DUMMYFUNCTION("""COMPUTED_VALUE"""),1846.1)</f>
        <v>1846.1</v>
      </c>
    </row>
    <row r="1257" spans="2:46" x14ac:dyDescent="0.35">
      <c r="B1257" s="6" t="str">
        <f t="shared" ca="1" si="342"/>
        <v>202212</v>
      </c>
      <c r="C1257" s="6">
        <f t="shared" ca="1" si="343"/>
        <v>2022</v>
      </c>
      <c r="D1257" s="6">
        <f t="shared" ca="1" si="344"/>
        <v>12</v>
      </c>
      <c r="E1257" s="68">
        <f ca="1">IFERROR(__xludf.DUMMYFUNCTION("""COMPUTED_VALUE"""),44922.6666666666)</f>
        <v>44922.666666666599</v>
      </c>
      <c r="F1257" s="6">
        <f ca="1">IFERROR(__xludf.DUMMYFUNCTION("""COMPUTED_VALUE"""),3829.25)</f>
        <v>3829.25</v>
      </c>
      <c r="J1257" s="6" t="str">
        <f t="shared" ca="1" si="345"/>
        <v>202212</v>
      </c>
      <c r="K1257" s="6">
        <f t="shared" ca="1" si="346"/>
        <v>2022</v>
      </c>
      <c r="L1257" s="6">
        <f t="shared" ca="1" si="347"/>
        <v>12</v>
      </c>
      <c r="M1257" s="68">
        <f ca="1">IFERROR(__xludf.DUMMYFUNCTION("""COMPUTED_VALUE"""),44911.6666666666)</f>
        <v>44911.666666666599</v>
      </c>
      <c r="N1257" s="6">
        <f ca="1">IFERROR(__xludf.DUMMYFUNCTION("""COMPUTED_VALUE"""),10705.41)</f>
        <v>10705.41</v>
      </c>
      <c r="R1257" s="6" t="str">
        <f t="shared" ca="1" si="348"/>
        <v>20232</v>
      </c>
      <c r="S1257" s="6">
        <f t="shared" ca="1" si="349"/>
        <v>2023</v>
      </c>
      <c r="T1257" s="6">
        <f t="shared" ca="1" si="350"/>
        <v>2</v>
      </c>
      <c r="U1257" s="68">
        <f ca="1">IFERROR(__xludf.DUMMYFUNCTION("""COMPUTED_VALUE"""),44966.6458333333)</f>
        <v>44966.645833333299</v>
      </c>
      <c r="V1257" s="6">
        <f ca="1">IFERROR(__xludf.DUMMYFUNCTION("""COMPUTED_VALUE"""),2481.52)</f>
        <v>2481.52</v>
      </c>
      <c r="Z1257" s="6" t="str">
        <f t="shared" ca="1" si="351"/>
        <v>20217</v>
      </c>
      <c r="AA1257" s="6">
        <f t="shared" ca="1" si="352"/>
        <v>2021</v>
      </c>
      <c r="AB1257" s="6">
        <f t="shared" ca="1" si="353"/>
        <v>7</v>
      </c>
      <c r="AC1257" s="68">
        <f ca="1">IFERROR(__xludf.DUMMYFUNCTION("""COMPUTED_VALUE"""),44402.9986111111)</f>
        <v>44402.998611111099</v>
      </c>
      <c r="AD1257" s="6">
        <f ca="1">IFERROR(__xludf.DUMMYFUNCTION("""COMPUTED_VALUE"""),1151.12)</f>
        <v>1151.1199999999999</v>
      </c>
      <c r="AH1257" s="6" t="str">
        <f t="shared" ca="1" si="354"/>
        <v>20216</v>
      </c>
      <c r="AI1257" s="6">
        <f t="shared" ca="1" si="355"/>
        <v>2021</v>
      </c>
      <c r="AJ1257" s="6">
        <f t="shared" ca="1" si="356"/>
        <v>6</v>
      </c>
      <c r="AK1257" s="68">
        <f ca="1">IFERROR(__xludf.DUMMYFUNCTION("""COMPUTED_VALUE"""),44350.9986111111)</f>
        <v>44350.998611111099</v>
      </c>
      <c r="AL1257" s="6">
        <f ca="1">IFERROR(__xludf.DUMMYFUNCTION("""COMPUTED_VALUE"""),39184.57)</f>
        <v>39184.57</v>
      </c>
      <c r="AP1257" s="6" t="str">
        <f t="shared" ca="1" si="357"/>
        <v>20231</v>
      </c>
      <c r="AQ1257" s="6">
        <f t="shared" ca="1" si="358"/>
        <v>2023</v>
      </c>
      <c r="AR1257" s="6">
        <f t="shared" ca="1" si="359"/>
        <v>1</v>
      </c>
      <c r="AS1257" s="68">
        <f ca="1">IFERROR(__xludf.DUMMYFUNCTION("""COMPUTED_VALUE"""),44930.9986111111)</f>
        <v>44930.998611111099</v>
      </c>
      <c r="AT1257" s="6">
        <f ca="1">IFERROR(__xludf.DUMMYFUNCTION("""COMPUTED_VALUE"""),1859)</f>
        <v>1859</v>
      </c>
    </row>
    <row r="1258" spans="2:46" x14ac:dyDescent="0.35">
      <c r="B1258" s="6" t="str">
        <f t="shared" ca="1" si="342"/>
        <v>202212</v>
      </c>
      <c r="C1258" s="6">
        <f t="shared" ca="1" si="343"/>
        <v>2022</v>
      </c>
      <c r="D1258" s="6">
        <f t="shared" ca="1" si="344"/>
        <v>12</v>
      </c>
      <c r="E1258" s="68">
        <f ca="1">IFERROR(__xludf.DUMMYFUNCTION("""COMPUTED_VALUE"""),44923.6666666666)</f>
        <v>44923.666666666599</v>
      </c>
      <c r="F1258" s="6">
        <f ca="1">IFERROR(__xludf.DUMMYFUNCTION("""COMPUTED_VALUE"""),3783.22)</f>
        <v>3783.22</v>
      </c>
      <c r="J1258" s="6" t="str">
        <f t="shared" ca="1" si="345"/>
        <v>202212</v>
      </c>
      <c r="K1258" s="6">
        <f t="shared" ca="1" si="346"/>
        <v>2022</v>
      </c>
      <c r="L1258" s="6">
        <f t="shared" ca="1" si="347"/>
        <v>12</v>
      </c>
      <c r="M1258" s="68">
        <f ca="1">IFERROR(__xludf.DUMMYFUNCTION("""COMPUTED_VALUE"""),44914.6666666666)</f>
        <v>44914.666666666599</v>
      </c>
      <c r="N1258" s="6">
        <f ca="1">IFERROR(__xludf.DUMMYFUNCTION("""COMPUTED_VALUE"""),10546.03)</f>
        <v>10546.03</v>
      </c>
      <c r="R1258" s="6" t="str">
        <f t="shared" ca="1" si="348"/>
        <v>20232</v>
      </c>
      <c r="S1258" s="6">
        <f t="shared" ca="1" si="349"/>
        <v>2023</v>
      </c>
      <c r="T1258" s="6">
        <f t="shared" ca="1" si="350"/>
        <v>2</v>
      </c>
      <c r="U1258" s="68">
        <f ca="1">IFERROR(__xludf.DUMMYFUNCTION("""COMPUTED_VALUE"""),44967.6458333333)</f>
        <v>44967.645833333299</v>
      </c>
      <c r="V1258" s="6">
        <f ca="1">IFERROR(__xludf.DUMMYFUNCTION("""COMPUTED_VALUE"""),2469.73)</f>
        <v>2469.73</v>
      </c>
      <c r="Z1258" s="6" t="str">
        <f t="shared" ca="1" si="351"/>
        <v>20217</v>
      </c>
      <c r="AA1258" s="6">
        <f t="shared" ca="1" si="352"/>
        <v>2021</v>
      </c>
      <c r="AB1258" s="6">
        <f t="shared" ca="1" si="353"/>
        <v>7</v>
      </c>
      <c r="AC1258" s="68">
        <f ca="1">IFERROR(__xludf.DUMMYFUNCTION("""COMPUTED_VALUE"""),44403.9986111111)</f>
        <v>44403.998611111099</v>
      </c>
      <c r="AD1258" s="6">
        <f ca="1">IFERROR(__xludf.DUMMYFUNCTION("""COMPUTED_VALUE"""),1151.76)</f>
        <v>1151.76</v>
      </c>
      <c r="AH1258" s="6" t="str">
        <f t="shared" ca="1" si="354"/>
        <v>20216</v>
      </c>
      <c r="AI1258" s="6">
        <f t="shared" ca="1" si="355"/>
        <v>2021</v>
      </c>
      <c r="AJ1258" s="6">
        <f t="shared" ca="1" si="356"/>
        <v>6</v>
      </c>
      <c r="AK1258" s="68">
        <f ca="1">IFERROR(__xludf.DUMMYFUNCTION("""COMPUTED_VALUE"""),44351.9986111111)</f>
        <v>44351.998611111099</v>
      </c>
      <c r="AL1258" s="6">
        <f ca="1">IFERROR(__xludf.DUMMYFUNCTION("""COMPUTED_VALUE"""),36849.84)</f>
        <v>36849.839999999997</v>
      </c>
      <c r="AP1258" s="6" t="str">
        <f t="shared" ca="1" si="357"/>
        <v>20231</v>
      </c>
      <c r="AQ1258" s="6">
        <f t="shared" ca="1" si="358"/>
        <v>2023</v>
      </c>
      <c r="AR1258" s="6">
        <f t="shared" ca="1" si="359"/>
        <v>1</v>
      </c>
      <c r="AS1258" s="68">
        <f ca="1">IFERROR(__xludf.DUMMYFUNCTION("""COMPUTED_VALUE"""),44931.9986111111)</f>
        <v>44931.998611111099</v>
      </c>
      <c r="AT1258" s="6">
        <f ca="1">IFERROR(__xludf.DUMMYFUNCTION("""COMPUTED_VALUE"""),1840.6)</f>
        <v>1840.6</v>
      </c>
    </row>
    <row r="1259" spans="2:46" x14ac:dyDescent="0.35">
      <c r="B1259" s="6" t="str">
        <f t="shared" ca="1" si="342"/>
        <v>202212</v>
      </c>
      <c r="C1259" s="6">
        <f t="shared" ca="1" si="343"/>
        <v>2022</v>
      </c>
      <c r="D1259" s="6">
        <f t="shared" ca="1" si="344"/>
        <v>12</v>
      </c>
      <c r="E1259" s="68">
        <f ca="1">IFERROR(__xludf.DUMMYFUNCTION("""COMPUTED_VALUE"""),44924.6666666666)</f>
        <v>44924.666666666599</v>
      </c>
      <c r="F1259" s="6">
        <f ca="1">IFERROR(__xludf.DUMMYFUNCTION("""COMPUTED_VALUE"""),3849.28)</f>
        <v>3849.28</v>
      </c>
      <c r="J1259" s="6" t="str">
        <f t="shared" ca="1" si="345"/>
        <v>202212</v>
      </c>
      <c r="K1259" s="6">
        <f t="shared" ca="1" si="346"/>
        <v>2022</v>
      </c>
      <c r="L1259" s="6">
        <f t="shared" ca="1" si="347"/>
        <v>12</v>
      </c>
      <c r="M1259" s="68">
        <f ca="1">IFERROR(__xludf.DUMMYFUNCTION("""COMPUTED_VALUE"""),44915.6666666666)</f>
        <v>44915.666666666599</v>
      </c>
      <c r="N1259" s="6">
        <f ca="1">IFERROR(__xludf.DUMMYFUNCTION("""COMPUTED_VALUE"""),10547.11)</f>
        <v>10547.11</v>
      </c>
      <c r="R1259" s="6" t="str">
        <f t="shared" ca="1" si="348"/>
        <v>20232</v>
      </c>
      <c r="S1259" s="6">
        <f t="shared" ca="1" si="349"/>
        <v>2023</v>
      </c>
      <c r="T1259" s="6">
        <f t="shared" ca="1" si="350"/>
        <v>2</v>
      </c>
      <c r="U1259" s="68">
        <f ca="1">IFERROR(__xludf.DUMMYFUNCTION("""COMPUTED_VALUE"""),44970.6458333333)</f>
        <v>44970.645833333299</v>
      </c>
      <c r="V1259" s="6">
        <f ca="1">IFERROR(__xludf.DUMMYFUNCTION("""COMPUTED_VALUE"""),2452.7)</f>
        <v>2452.6999999999998</v>
      </c>
      <c r="Z1259" s="6" t="str">
        <f t="shared" ca="1" si="351"/>
        <v>20217</v>
      </c>
      <c r="AA1259" s="6">
        <f t="shared" ca="1" si="352"/>
        <v>2021</v>
      </c>
      <c r="AB1259" s="6">
        <f t="shared" ca="1" si="353"/>
        <v>7</v>
      </c>
      <c r="AC1259" s="68">
        <f ca="1">IFERROR(__xludf.DUMMYFUNCTION("""COMPUTED_VALUE"""),44404.9986111111)</f>
        <v>44404.998611111099</v>
      </c>
      <c r="AD1259" s="6">
        <f ca="1">IFERROR(__xludf.DUMMYFUNCTION("""COMPUTED_VALUE"""),1153.56)</f>
        <v>1153.56</v>
      </c>
      <c r="AH1259" s="6" t="str">
        <f t="shared" ca="1" si="354"/>
        <v>20216</v>
      </c>
      <c r="AI1259" s="6">
        <f t="shared" ca="1" si="355"/>
        <v>2021</v>
      </c>
      <c r="AJ1259" s="6">
        <f t="shared" ca="1" si="356"/>
        <v>6</v>
      </c>
      <c r="AK1259" s="68">
        <f ca="1">IFERROR(__xludf.DUMMYFUNCTION("""COMPUTED_VALUE"""),44352.9986111111)</f>
        <v>44352.998611111099</v>
      </c>
      <c r="AL1259" s="6">
        <f ca="1">IFERROR(__xludf.DUMMYFUNCTION("""COMPUTED_VALUE"""),35522.9)</f>
        <v>35522.9</v>
      </c>
      <c r="AP1259" s="6" t="str">
        <f t="shared" ca="1" si="357"/>
        <v>20231</v>
      </c>
      <c r="AQ1259" s="6">
        <f t="shared" ca="1" si="358"/>
        <v>2023</v>
      </c>
      <c r="AR1259" s="6">
        <f t="shared" ca="1" si="359"/>
        <v>1</v>
      </c>
      <c r="AS1259" s="68">
        <f ca="1">IFERROR(__xludf.DUMMYFUNCTION("""COMPUTED_VALUE"""),44932.9986111111)</f>
        <v>44932.998611111099</v>
      </c>
      <c r="AT1259" s="6">
        <f ca="1">IFERROR(__xludf.DUMMYFUNCTION("""COMPUTED_VALUE"""),1869.7)</f>
        <v>1869.7</v>
      </c>
    </row>
    <row r="1260" spans="2:46" x14ac:dyDescent="0.35">
      <c r="B1260" s="6" t="str">
        <f t="shared" ca="1" si="342"/>
        <v>202212</v>
      </c>
      <c r="C1260" s="6">
        <f t="shared" ca="1" si="343"/>
        <v>2022</v>
      </c>
      <c r="D1260" s="6">
        <f t="shared" ca="1" si="344"/>
        <v>12</v>
      </c>
      <c r="E1260" s="68">
        <f ca="1">IFERROR(__xludf.DUMMYFUNCTION("""COMPUTED_VALUE"""),44925.6666666666)</f>
        <v>44925.666666666599</v>
      </c>
      <c r="F1260" s="6">
        <f ca="1">IFERROR(__xludf.DUMMYFUNCTION("""COMPUTED_VALUE"""),3839.5)</f>
        <v>3839.5</v>
      </c>
      <c r="J1260" s="6" t="str">
        <f t="shared" ca="1" si="345"/>
        <v>202212</v>
      </c>
      <c r="K1260" s="6">
        <f t="shared" ca="1" si="346"/>
        <v>2022</v>
      </c>
      <c r="L1260" s="6">
        <f t="shared" ca="1" si="347"/>
        <v>12</v>
      </c>
      <c r="M1260" s="68">
        <f ca="1">IFERROR(__xludf.DUMMYFUNCTION("""COMPUTED_VALUE"""),44916.6666666666)</f>
        <v>44916.666666666599</v>
      </c>
      <c r="N1260" s="6">
        <f ca="1">IFERROR(__xludf.DUMMYFUNCTION("""COMPUTED_VALUE"""),10709.37)</f>
        <v>10709.37</v>
      </c>
      <c r="R1260" s="6" t="str">
        <f t="shared" ca="1" si="348"/>
        <v>20232</v>
      </c>
      <c r="S1260" s="6">
        <f t="shared" ca="1" si="349"/>
        <v>2023</v>
      </c>
      <c r="T1260" s="6">
        <f t="shared" ca="1" si="350"/>
        <v>2</v>
      </c>
      <c r="U1260" s="68">
        <f ca="1">IFERROR(__xludf.DUMMYFUNCTION("""COMPUTED_VALUE"""),44971.6458333333)</f>
        <v>44971.645833333299</v>
      </c>
      <c r="V1260" s="6">
        <f ca="1">IFERROR(__xludf.DUMMYFUNCTION("""COMPUTED_VALUE"""),2465.64)</f>
        <v>2465.64</v>
      </c>
      <c r="Z1260" s="6" t="str">
        <f t="shared" ca="1" si="351"/>
        <v>20217</v>
      </c>
      <c r="AA1260" s="6">
        <f t="shared" ca="1" si="352"/>
        <v>2021</v>
      </c>
      <c r="AB1260" s="6">
        <f t="shared" ca="1" si="353"/>
        <v>7</v>
      </c>
      <c r="AC1260" s="68">
        <f ca="1">IFERROR(__xludf.DUMMYFUNCTION("""COMPUTED_VALUE"""),44405.9986111111)</f>
        <v>44405.998611111099</v>
      </c>
      <c r="AD1260" s="6">
        <f ca="1">IFERROR(__xludf.DUMMYFUNCTION("""COMPUTED_VALUE"""),1149.41)</f>
        <v>1149.4100000000001</v>
      </c>
      <c r="AH1260" s="6" t="str">
        <f t="shared" ca="1" si="354"/>
        <v>20216</v>
      </c>
      <c r="AI1260" s="6">
        <f t="shared" ca="1" si="355"/>
        <v>2021</v>
      </c>
      <c r="AJ1260" s="6">
        <f t="shared" ca="1" si="356"/>
        <v>6</v>
      </c>
      <c r="AK1260" s="68">
        <f ca="1">IFERROR(__xludf.DUMMYFUNCTION("""COMPUTED_VALUE"""),44353.9986111111)</f>
        <v>44353.998611111099</v>
      </c>
      <c r="AL1260" s="6">
        <f ca="1">IFERROR(__xludf.DUMMYFUNCTION("""COMPUTED_VALUE"""),35799.29)</f>
        <v>35799.29</v>
      </c>
      <c r="AP1260" s="6" t="str">
        <f t="shared" ca="1" si="357"/>
        <v>20231</v>
      </c>
      <c r="AQ1260" s="6">
        <f t="shared" ca="1" si="358"/>
        <v>2023</v>
      </c>
      <c r="AR1260" s="6">
        <f t="shared" ca="1" si="359"/>
        <v>1</v>
      </c>
      <c r="AS1260" s="68">
        <f ca="1">IFERROR(__xludf.DUMMYFUNCTION("""COMPUTED_VALUE"""),44935.9986111111)</f>
        <v>44935.998611111099</v>
      </c>
      <c r="AT1260" s="6">
        <f ca="1">IFERROR(__xludf.DUMMYFUNCTION("""COMPUTED_VALUE"""),1877.8)</f>
        <v>1877.8</v>
      </c>
    </row>
    <row r="1261" spans="2:46" x14ac:dyDescent="0.35">
      <c r="B1261" s="6" t="str">
        <f t="shared" ca="1" si="342"/>
        <v>20231</v>
      </c>
      <c r="C1261" s="6">
        <f t="shared" ca="1" si="343"/>
        <v>2023</v>
      </c>
      <c r="D1261" s="6">
        <f t="shared" ca="1" si="344"/>
        <v>1</v>
      </c>
      <c r="E1261" s="68">
        <f ca="1">IFERROR(__xludf.DUMMYFUNCTION("""COMPUTED_VALUE"""),44929.6666666666)</f>
        <v>44929.666666666599</v>
      </c>
      <c r="F1261" s="6">
        <f ca="1">IFERROR(__xludf.DUMMYFUNCTION("""COMPUTED_VALUE"""),3824.14)</f>
        <v>3824.14</v>
      </c>
      <c r="J1261" s="6" t="str">
        <f t="shared" ca="1" si="345"/>
        <v>202212</v>
      </c>
      <c r="K1261" s="6">
        <f t="shared" ca="1" si="346"/>
        <v>2022</v>
      </c>
      <c r="L1261" s="6">
        <f t="shared" ca="1" si="347"/>
        <v>12</v>
      </c>
      <c r="M1261" s="68">
        <f ca="1">IFERROR(__xludf.DUMMYFUNCTION("""COMPUTED_VALUE"""),44917.6666666666)</f>
        <v>44917.666666666599</v>
      </c>
      <c r="N1261" s="6">
        <f ca="1">IFERROR(__xludf.DUMMYFUNCTION("""COMPUTED_VALUE"""),10476.12)</f>
        <v>10476.120000000001</v>
      </c>
      <c r="R1261" s="6" t="str">
        <f t="shared" ca="1" si="348"/>
        <v>20232</v>
      </c>
      <c r="S1261" s="6">
        <f t="shared" ca="1" si="349"/>
        <v>2023</v>
      </c>
      <c r="T1261" s="6">
        <f t="shared" ca="1" si="350"/>
        <v>2</v>
      </c>
      <c r="U1261" s="68">
        <f ca="1">IFERROR(__xludf.DUMMYFUNCTION("""COMPUTED_VALUE"""),44972.6458333333)</f>
        <v>44972.645833333299</v>
      </c>
      <c r="V1261" s="6">
        <f ca="1">IFERROR(__xludf.DUMMYFUNCTION("""COMPUTED_VALUE"""),2427.9)</f>
        <v>2427.9</v>
      </c>
      <c r="Z1261" s="6" t="str">
        <f t="shared" ca="1" si="351"/>
        <v>20217</v>
      </c>
      <c r="AA1261" s="6">
        <f t="shared" ca="1" si="352"/>
        <v>2021</v>
      </c>
      <c r="AB1261" s="6">
        <f t="shared" ca="1" si="353"/>
        <v>7</v>
      </c>
      <c r="AC1261" s="68">
        <f ca="1">IFERROR(__xludf.DUMMYFUNCTION("""COMPUTED_VALUE"""),44406.9986111111)</f>
        <v>44406.998611111099</v>
      </c>
      <c r="AD1261" s="6">
        <f ca="1">IFERROR(__xludf.DUMMYFUNCTION("""COMPUTED_VALUE"""),1142.12)</f>
        <v>1142.1199999999999</v>
      </c>
      <c r="AH1261" s="6" t="str">
        <f t="shared" ca="1" si="354"/>
        <v>20216</v>
      </c>
      <c r="AI1261" s="6">
        <f t="shared" ca="1" si="355"/>
        <v>2021</v>
      </c>
      <c r="AJ1261" s="6">
        <f t="shared" ca="1" si="356"/>
        <v>6</v>
      </c>
      <c r="AK1261" s="68">
        <f ca="1">IFERROR(__xludf.DUMMYFUNCTION("""COMPUTED_VALUE"""),44354.9986111111)</f>
        <v>44354.998611111099</v>
      </c>
      <c r="AL1261" s="6">
        <f ca="1">IFERROR(__xludf.DUMMYFUNCTION("""COMPUTED_VALUE"""),33577.22)</f>
        <v>33577.22</v>
      </c>
      <c r="AP1261" s="6" t="str">
        <f t="shared" ca="1" si="357"/>
        <v>20231</v>
      </c>
      <c r="AQ1261" s="6">
        <f t="shared" ca="1" si="358"/>
        <v>2023</v>
      </c>
      <c r="AR1261" s="6">
        <f t="shared" ca="1" si="359"/>
        <v>1</v>
      </c>
      <c r="AS1261" s="68">
        <f ca="1">IFERROR(__xludf.DUMMYFUNCTION("""COMPUTED_VALUE"""),44936.9986111111)</f>
        <v>44936.998611111099</v>
      </c>
      <c r="AT1261" s="6">
        <f ca="1">IFERROR(__xludf.DUMMYFUNCTION("""COMPUTED_VALUE"""),1876.5)</f>
        <v>1876.5</v>
      </c>
    </row>
    <row r="1262" spans="2:46" x14ac:dyDescent="0.35">
      <c r="B1262" s="6" t="str">
        <f t="shared" ca="1" si="342"/>
        <v>20231</v>
      </c>
      <c r="C1262" s="6">
        <f t="shared" ca="1" si="343"/>
        <v>2023</v>
      </c>
      <c r="D1262" s="6">
        <f t="shared" ca="1" si="344"/>
        <v>1</v>
      </c>
      <c r="E1262" s="68">
        <f ca="1">IFERROR(__xludf.DUMMYFUNCTION("""COMPUTED_VALUE"""),44930.6666666666)</f>
        <v>44930.666666666599</v>
      </c>
      <c r="F1262" s="6">
        <f ca="1">IFERROR(__xludf.DUMMYFUNCTION("""COMPUTED_VALUE"""),3852.97)</f>
        <v>3852.97</v>
      </c>
      <c r="J1262" s="6" t="str">
        <f t="shared" ca="1" si="345"/>
        <v>202212</v>
      </c>
      <c r="K1262" s="6">
        <f t="shared" ca="1" si="346"/>
        <v>2022</v>
      </c>
      <c r="L1262" s="6">
        <f t="shared" ca="1" si="347"/>
        <v>12</v>
      </c>
      <c r="M1262" s="68">
        <f ca="1">IFERROR(__xludf.DUMMYFUNCTION("""COMPUTED_VALUE"""),44918.6666666666)</f>
        <v>44918.666666666599</v>
      </c>
      <c r="N1262" s="6">
        <f ca="1">IFERROR(__xludf.DUMMYFUNCTION("""COMPUTED_VALUE"""),10497.86)</f>
        <v>10497.86</v>
      </c>
      <c r="R1262" s="6" t="str">
        <f t="shared" ca="1" si="348"/>
        <v>20232</v>
      </c>
      <c r="S1262" s="6">
        <f t="shared" ca="1" si="349"/>
        <v>2023</v>
      </c>
      <c r="T1262" s="6">
        <f t="shared" ca="1" si="350"/>
        <v>2</v>
      </c>
      <c r="U1262" s="68">
        <f ca="1">IFERROR(__xludf.DUMMYFUNCTION("""COMPUTED_VALUE"""),44973.6458333333)</f>
        <v>44973.645833333299</v>
      </c>
      <c r="V1262" s="6">
        <f ca="1">IFERROR(__xludf.DUMMYFUNCTION("""COMPUTED_VALUE"""),2475.48)</f>
        <v>2475.48</v>
      </c>
      <c r="Z1262" s="6" t="str">
        <f t="shared" ca="1" si="351"/>
        <v>20217</v>
      </c>
      <c r="AA1262" s="6">
        <f t="shared" ca="1" si="352"/>
        <v>2021</v>
      </c>
      <c r="AB1262" s="6">
        <f t="shared" ca="1" si="353"/>
        <v>7</v>
      </c>
      <c r="AC1262" s="68">
        <f ca="1">IFERROR(__xludf.DUMMYFUNCTION("""COMPUTED_VALUE"""),44407.9986111111)</f>
        <v>44407.998611111099</v>
      </c>
      <c r="AD1262" s="6">
        <f ca="1">IFERROR(__xludf.DUMMYFUNCTION("""COMPUTED_VALUE"""),1150.63)</f>
        <v>1150.6300000000001</v>
      </c>
      <c r="AH1262" s="6" t="str">
        <f t="shared" ca="1" si="354"/>
        <v>20216</v>
      </c>
      <c r="AI1262" s="6">
        <f t="shared" ca="1" si="355"/>
        <v>2021</v>
      </c>
      <c r="AJ1262" s="6">
        <f t="shared" ca="1" si="356"/>
        <v>6</v>
      </c>
      <c r="AK1262" s="68">
        <f ca="1">IFERROR(__xludf.DUMMYFUNCTION("""COMPUTED_VALUE"""),44355.9986111111)</f>
        <v>44355.998611111099</v>
      </c>
      <c r="AL1262" s="6">
        <f ca="1">IFERROR(__xludf.DUMMYFUNCTION("""COMPUTED_VALUE"""),33407.84)</f>
        <v>33407.839999999997</v>
      </c>
      <c r="AP1262" s="6" t="str">
        <f t="shared" ca="1" si="357"/>
        <v>20231</v>
      </c>
      <c r="AQ1262" s="6">
        <f t="shared" ca="1" si="358"/>
        <v>2023</v>
      </c>
      <c r="AR1262" s="6">
        <f t="shared" ca="1" si="359"/>
        <v>1</v>
      </c>
      <c r="AS1262" s="68">
        <f ca="1">IFERROR(__xludf.DUMMYFUNCTION("""COMPUTED_VALUE"""),44937.9986111111)</f>
        <v>44937.998611111099</v>
      </c>
      <c r="AT1262" s="6">
        <f ca="1">IFERROR(__xludf.DUMMYFUNCTION("""COMPUTED_VALUE"""),1878.9)</f>
        <v>1878.9</v>
      </c>
    </row>
    <row r="1263" spans="2:46" x14ac:dyDescent="0.35">
      <c r="B1263" s="6" t="str">
        <f t="shared" ca="1" si="342"/>
        <v>20231</v>
      </c>
      <c r="C1263" s="6">
        <f t="shared" ca="1" si="343"/>
        <v>2023</v>
      </c>
      <c r="D1263" s="6">
        <f t="shared" ca="1" si="344"/>
        <v>1</v>
      </c>
      <c r="E1263" s="68">
        <f ca="1">IFERROR(__xludf.DUMMYFUNCTION("""COMPUTED_VALUE"""),44931.6666666666)</f>
        <v>44931.666666666599</v>
      </c>
      <c r="F1263" s="6">
        <f ca="1">IFERROR(__xludf.DUMMYFUNCTION("""COMPUTED_VALUE"""),3808.1)</f>
        <v>3808.1</v>
      </c>
      <c r="J1263" s="6" t="str">
        <f t="shared" ca="1" si="345"/>
        <v>202212</v>
      </c>
      <c r="K1263" s="6">
        <f t="shared" ca="1" si="346"/>
        <v>2022</v>
      </c>
      <c r="L1263" s="6">
        <f t="shared" ca="1" si="347"/>
        <v>12</v>
      </c>
      <c r="M1263" s="68">
        <f ca="1">IFERROR(__xludf.DUMMYFUNCTION("""COMPUTED_VALUE"""),44922.6666666666)</f>
        <v>44922.666666666599</v>
      </c>
      <c r="N1263" s="6">
        <f ca="1">IFERROR(__xludf.DUMMYFUNCTION("""COMPUTED_VALUE"""),10353.23)</f>
        <v>10353.23</v>
      </c>
      <c r="R1263" s="6" t="str">
        <f t="shared" ca="1" si="348"/>
        <v>20232</v>
      </c>
      <c r="S1263" s="6">
        <f t="shared" ca="1" si="349"/>
        <v>2023</v>
      </c>
      <c r="T1263" s="6">
        <f t="shared" ca="1" si="350"/>
        <v>2</v>
      </c>
      <c r="U1263" s="68">
        <f ca="1">IFERROR(__xludf.DUMMYFUNCTION("""COMPUTED_VALUE"""),44974.6458333333)</f>
        <v>44974.645833333299</v>
      </c>
      <c r="V1263" s="6">
        <f ca="1">IFERROR(__xludf.DUMMYFUNCTION("""COMPUTED_VALUE"""),2451.21)</f>
        <v>2451.21</v>
      </c>
      <c r="Z1263" s="6" t="str">
        <f t="shared" ca="1" si="351"/>
        <v>20217</v>
      </c>
      <c r="AA1263" s="6">
        <f t="shared" ca="1" si="352"/>
        <v>2021</v>
      </c>
      <c r="AB1263" s="6">
        <f t="shared" ca="1" si="353"/>
        <v>7</v>
      </c>
      <c r="AC1263" s="68">
        <f ca="1">IFERROR(__xludf.DUMMYFUNCTION("""COMPUTED_VALUE"""),44408.9986111111)</f>
        <v>44408.998611111099</v>
      </c>
      <c r="AD1263" s="6">
        <f ca="1">IFERROR(__xludf.DUMMYFUNCTION("""COMPUTED_VALUE"""),1150.63)</f>
        <v>1150.6300000000001</v>
      </c>
      <c r="AH1263" s="6" t="str">
        <f t="shared" ca="1" si="354"/>
        <v>20216</v>
      </c>
      <c r="AI1263" s="6">
        <f t="shared" ca="1" si="355"/>
        <v>2021</v>
      </c>
      <c r="AJ1263" s="6">
        <f t="shared" ca="1" si="356"/>
        <v>6</v>
      </c>
      <c r="AK1263" s="68">
        <f ca="1">IFERROR(__xludf.DUMMYFUNCTION("""COMPUTED_VALUE"""),44356.9986111111)</f>
        <v>44356.998611111099</v>
      </c>
      <c r="AL1263" s="6">
        <f ca="1">IFERROR(__xludf.DUMMYFUNCTION("""COMPUTED_VALUE"""),37341.97)</f>
        <v>37341.97</v>
      </c>
      <c r="AP1263" s="6" t="str">
        <f t="shared" ca="1" si="357"/>
        <v>20231</v>
      </c>
      <c r="AQ1263" s="6">
        <f t="shared" ca="1" si="358"/>
        <v>2023</v>
      </c>
      <c r="AR1263" s="6">
        <f t="shared" ca="1" si="359"/>
        <v>1</v>
      </c>
      <c r="AS1263" s="68">
        <f ca="1">IFERROR(__xludf.DUMMYFUNCTION("""COMPUTED_VALUE"""),44938.9986111111)</f>
        <v>44938.998611111099</v>
      </c>
      <c r="AT1263" s="6">
        <f ca="1">IFERROR(__xludf.DUMMYFUNCTION("""COMPUTED_VALUE"""),1898.8)</f>
        <v>1898.8</v>
      </c>
    </row>
    <row r="1264" spans="2:46" x14ac:dyDescent="0.35">
      <c r="B1264" s="6" t="str">
        <f t="shared" ca="1" si="342"/>
        <v>20231</v>
      </c>
      <c r="C1264" s="6">
        <f t="shared" ca="1" si="343"/>
        <v>2023</v>
      </c>
      <c r="D1264" s="6">
        <f t="shared" ca="1" si="344"/>
        <v>1</v>
      </c>
      <c r="E1264" s="68">
        <f ca="1">IFERROR(__xludf.DUMMYFUNCTION("""COMPUTED_VALUE"""),44932.6666666666)</f>
        <v>44932.666666666599</v>
      </c>
      <c r="F1264" s="6">
        <f ca="1">IFERROR(__xludf.DUMMYFUNCTION("""COMPUTED_VALUE"""),3895.08)</f>
        <v>3895.08</v>
      </c>
      <c r="J1264" s="6" t="str">
        <f t="shared" ca="1" si="345"/>
        <v>202212</v>
      </c>
      <c r="K1264" s="6">
        <f t="shared" ca="1" si="346"/>
        <v>2022</v>
      </c>
      <c r="L1264" s="6">
        <f t="shared" ca="1" si="347"/>
        <v>12</v>
      </c>
      <c r="M1264" s="68">
        <f ca="1">IFERROR(__xludf.DUMMYFUNCTION("""COMPUTED_VALUE"""),44923.6666666666)</f>
        <v>44923.666666666599</v>
      </c>
      <c r="N1264" s="6">
        <f ca="1">IFERROR(__xludf.DUMMYFUNCTION("""COMPUTED_VALUE"""),10213.29)</f>
        <v>10213.290000000001</v>
      </c>
      <c r="R1264" s="6" t="str">
        <f t="shared" ca="1" si="348"/>
        <v>20232</v>
      </c>
      <c r="S1264" s="6">
        <f t="shared" ca="1" si="349"/>
        <v>2023</v>
      </c>
      <c r="T1264" s="6">
        <f t="shared" ca="1" si="350"/>
        <v>2</v>
      </c>
      <c r="U1264" s="68">
        <f ca="1">IFERROR(__xludf.DUMMYFUNCTION("""COMPUTED_VALUE"""),44977.6458333333)</f>
        <v>44977.645833333299</v>
      </c>
      <c r="V1264" s="6">
        <f ca="1">IFERROR(__xludf.DUMMYFUNCTION("""COMPUTED_VALUE"""),2455.12)</f>
        <v>2455.12</v>
      </c>
      <c r="Z1264" s="6" t="str">
        <f t="shared" ca="1" si="351"/>
        <v>20218</v>
      </c>
      <c r="AA1264" s="6">
        <f t="shared" ca="1" si="352"/>
        <v>2021</v>
      </c>
      <c r="AB1264" s="6">
        <f t="shared" ca="1" si="353"/>
        <v>8</v>
      </c>
      <c r="AC1264" s="68">
        <f ca="1">IFERROR(__xludf.DUMMYFUNCTION("""COMPUTED_VALUE"""),44409.9986111111)</f>
        <v>44409.998611111099</v>
      </c>
      <c r="AD1264" s="6">
        <f ca="1">IFERROR(__xludf.DUMMYFUNCTION("""COMPUTED_VALUE"""),1150.93)</f>
        <v>1150.93</v>
      </c>
      <c r="AH1264" s="6" t="str">
        <f t="shared" ca="1" si="354"/>
        <v>20216</v>
      </c>
      <c r="AI1264" s="6">
        <f t="shared" ca="1" si="355"/>
        <v>2021</v>
      </c>
      <c r="AJ1264" s="6">
        <f t="shared" ca="1" si="356"/>
        <v>6</v>
      </c>
      <c r="AK1264" s="68">
        <f ca="1">IFERROR(__xludf.DUMMYFUNCTION("""COMPUTED_VALUE"""),44357.9986111111)</f>
        <v>44357.998611111099</v>
      </c>
      <c r="AL1264" s="6">
        <f ca="1">IFERROR(__xludf.DUMMYFUNCTION("""COMPUTED_VALUE"""),36641.08)</f>
        <v>36641.08</v>
      </c>
      <c r="AP1264" s="6" t="str">
        <f t="shared" ca="1" si="357"/>
        <v>20231</v>
      </c>
      <c r="AQ1264" s="6">
        <f t="shared" ca="1" si="358"/>
        <v>2023</v>
      </c>
      <c r="AR1264" s="6">
        <f t="shared" ca="1" si="359"/>
        <v>1</v>
      </c>
      <c r="AS1264" s="68">
        <f ca="1">IFERROR(__xludf.DUMMYFUNCTION("""COMPUTED_VALUE"""),44939.9986111111)</f>
        <v>44939.998611111099</v>
      </c>
      <c r="AT1264" s="6">
        <f ca="1">IFERROR(__xludf.DUMMYFUNCTION("""COMPUTED_VALUE"""),1921.7)</f>
        <v>1921.7</v>
      </c>
    </row>
    <row r="1265" spans="2:46" x14ac:dyDescent="0.35">
      <c r="B1265" s="6" t="str">
        <f t="shared" ca="1" si="342"/>
        <v>20231</v>
      </c>
      <c r="C1265" s="6">
        <f t="shared" ca="1" si="343"/>
        <v>2023</v>
      </c>
      <c r="D1265" s="6">
        <f t="shared" ca="1" si="344"/>
        <v>1</v>
      </c>
      <c r="E1265" s="68">
        <f ca="1">IFERROR(__xludf.DUMMYFUNCTION("""COMPUTED_VALUE"""),44935.6666666666)</f>
        <v>44935.666666666599</v>
      </c>
      <c r="F1265" s="6">
        <f ca="1">IFERROR(__xludf.DUMMYFUNCTION("""COMPUTED_VALUE"""),3892.09)</f>
        <v>3892.09</v>
      </c>
      <c r="J1265" s="6" t="str">
        <f t="shared" ca="1" si="345"/>
        <v>202212</v>
      </c>
      <c r="K1265" s="6">
        <f t="shared" ca="1" si="346"/>
        <v>2022</v>
      </c>
      <c r="L1265" s="6">
        <f t="shared" ca="1" si="347"/>
        <v>12</v>
      </c>
      <c r="M1265" s="68">
        <f ca="1">IFERROR(__xludf.DUMMYFUNCTION("""COMPUTED_VALUE"""),44924.6666666666)</f>
        <v>44924.666666666599</v>
      </c>
      <c r="N1265" s="6">
        <f ca="1">IFERROR(__xludf.DUMMYFUNCTION("""COMPUTED_VALUE"""),10478.09)</f>
        <v>10478.09</v>
      </c>
      <c r="R1265" s="6" t="str">
        <f t="shared" ca="1" si="348"/>
        <v>20232</v>
      </c>
      <c r="S1265" s="6">
        <f t="shared" ca="1" si="349"/>
        <v>2023</v>
      </c>
      <c r="T1265" s="6">
        <f t="shared" ca="1" si="350"/>
        <v>2</v>
      </c>
      <c r="U1265" s="68">
        <f ca="1">IFERROR(__xludf.DUMMYFUNCTION("""COMPUTED_VALUE"""),44978.6458333333)</f>
        <v>44978.645833333299</v>
      </c>
      <c r="V1265" s="6">
        <f ca="1">IFERROR(__xludf.DUMMYFUNCTION("""COMPUTED_VALUE"""),2458.96)</f>
        <v>2458.96</v>
      </c>
      <c r="Z1265" s="6" t="str">
        <f t="shared" ca="1" si="351"/>
        <v>20218</v>
      </c>
      <c r="AA1265" s="6">
        <f t="shared" ca="1" si="352"/>
        <v>2021</v>
      </c>
      <c r="AB1265" s="6">
        <f t="shared" ca="1" si="353"/>
        <v>8</v>
      </c>
      <c r="AC1265" s="68">
        <f ca="1">IFERROR(__xludf.DUMMYFUNCTION("""COMPUTED_VALUE"""),44410.9986111111)</f>
        <v>44410.998611111099</v>
      </c>
      <c r="AD1265" s="6">
        <f ca="1">IFERROR(__xludf.DUMMYFUNCTION("""COMPUTED_VALUE"""),1149.56)</f>
        <v>1149.56</v>
      </c>
      <c r="AH1265" s="6" t="str">
        <f t="shared" ca="1" si="354"/>
        <v>20216</v>
      </c>
      <c r="AI1265" s="6">
        <f t="shared" ca="1" si="355"/>
        <v>2021</v>
      </c>
      <c r="AJ1265" s="6">
        <f t="shared" ca="1" si="356"/>
        <v>6</v>
      </c>
      <c r="AK1265" s="68">
        <f ca="1">IFERROR(__xludf.DUMMYFUNCTION("""COMPUTED_VALUE"""),44358.9986111111)</f>
        <v>44358.998611111099</v>
      </c>
      <c r="AL1265" s="6">
        <f ca="1">IFERROR(__xludf.DUMMYFUNCTION("""COMPUTED_VALUE"""),37333.82)</f>
        <v>37333.82</v>
      </c>
      <c r="AP1265" s="6" t="str">
        <f t="shared" ca="1" si="357"/>
        <v>20231</v>
      </c>
      <c r="AQ1265" s="6">
        <f t="shared" ca="1" si="358"/>
        <v>2023</v>
      </c>
      <c r="AR1265" s="6">
        <f t="shared" ca="1" si="359"/>
        <v>1</v>
      </c>
      <c r="AS1265" s="68">
        <f ca="1">IFERROR(__xludf.DUMMYFUNCTION("""COMPUTED_VALUE"""),44943.9986111111)</f>
        <v>44943.998611111099</v>
      </c>
      <c r="AT1265" s="6">
        <f ca="1">IFERROR(__xludf.DUMMYFUNCTION("""COMPUTED_VALUE"""),1909.9)</f>
        <v>1909.9</v>
      </c>
    </row>
    <row r="1266" spans="2:46" x14ac:dyDescent="0.35">
      <c r="B1266" s="6" t="str">
        <f t="shared" ca="1" si="342"/>
        <v>20231</v>
      </c>
      <c r="C1266" s="6">
        <f t="shared" ca="1" si="343"/>
        <v>2023</v>
      </c>
      <c r="D1266" s="6">
        <f t="shared" ca="1" si="344"/>
        <v>1</v>
      </c>
      <c r="E1266" s="68">
        <f ca="1">IFERROR(__xludf.DUMMYFUNCTION("""COMPUTED_VALUE"""),44936.6666666666)</f>
        <v>44936.666666666599</v>
      </c>
      <c r="F1266" s="6">
        <f ca="1">IFERROR(__xludf.DUMMYFUNCTION("""COMPUTED_VALUE"""),3919.25)</f>
        <v>3919.25</v>
      </c>
      <c r="J1266" s="6" t="str">
        <f t="shared" ca="1" si="345"/>
        <v>202212</v>
      </c>
      <c r="K1266" s="6">
        <f t="shared" ca="1" si="346"/>
        <v>2022</v>
      </c>
      <c r="L1266" s="6">
        <f t="shared" ca="1" si="347"/>
        <v>12</v>
      </c>
      <c r="M1266" s="68">
        <f ca="1">IFERROR(__xludf.DUMMYFUNCTION("""COMPUTED_VALUE"""),44925.6666666666)</f>
        <v>44925.666666666599</v>
      </c>
      <c r="N1266" s="6">
        <f ca="1">IFERROR(__xludf.DUMMYFUNCTION("""COMPUTED_VALUE"""),10466.48)</f>
        <v>10466.48</v>
      </c>
      <c r="R1266" s="6" t="str">
        <f t="shared" ca="1" si="348"/>
        <v>20232</v>
      </c>
      <c r="S1266" s="6">
        <f t="shared" ca="1" si="349"/>
        <v>2023</v>
      </c>
      <c r="T1266" s="6">
        <f t="shared" ca="1" si="350"/>
        <v>2</v>
      </c>
      <c r="U1266" s="68">
        <f ca="1">IFERROR(__xludf.DUMMYFUNCTION("""COMPUTED_VALUE"""),44979.6458333333)</f>
        <v>44979.645833333299</v>
      </c>
      <c r="V1266" s="6">
        <f ca="1">IFERROR(__xludf.DUMMYFUNCTION("""COMPUTED_VALUE"""),2417.68)</f>
        <v>2417.6799999999998</v>
      </c>
      <c r="Z1266" s="6" t="str">
        <f t="shared" ca="1" si="351"/>
        <v>20218</v>
      </c>
      <c r="AA1266" s="6">
        <f t="shared" ca="1" si="352"/>
        <v>2021</v>
      </c>
      <c r="AB1266" s="6">
        <f t="shared" ca="1" si="353"/>
        <v>8</v>
      </c>
      <c r="AC1266" s="68">
        <f ca="1">IFERROR(__xludf.DUMMYFUNCTION("""COMPUTED_VALUE"""),44411.9986111111)</f>
        <v>44411.998611111099</v>
      </c>
      <c r="AD1266" s="6">
        <f ca="1">IFERROR(__xludf.DUMMYFUNCTION("""COMPUTED_VALUE"""),1148.58)</f>
        <v>1148.58</v>
      </c>
      <c r="AH1266" s="6" t="str">
        <f t="shared" ca="1" si="354"/>
        <v>20216</v>
      </c>
      <c r="AI1266" s="6">
        <f t="shared" ca="1" si="355"/>
        <v>2021</v>
      </c>
      <c r="AJ1266" s="6">
        <f t="shared" ca="1" si="356"/>
        <v>6</v>
      </c>
      <c r="AK1266" s="68">
        <f ca="1">IFERROR(__xludf.DUMMYFUNCTION("""COMPUTED_VALUE"""),44359.9986111111)</f>
        <v>44359.998611111099</v>
      </c>
      <c r="AL1266" s="6">
        <f ca="1">IFERROR(__xludf.DUMMYFUNCTION("""COMPUTED_VALUE"""),35479.57)</f>
        <v>35479.57</v>
      </c>
      <c r="AP1266" s="6" t="str">
        <f t="shared" ca="1" si="357"/>
        <v>20231</v>
      </c>
      <c r="AQ1266" s="6">
        <f t="shared" ca="1" si="358"/>
        <v>2023</v>
      </c>
      <c r="AR1266" s="6">
        <f t="shared" ca="1" si="359"/>
        <v>1</v>
      </c>
      <c r="AS1266" s="68">
        <f ca="1">IFERROR(__xludf.DUMMYFUNCTION("""COMPUTED_VALUE"""),44944.9986111111)</f>
        <v>44944.998611111099</v>
      </c>
      <c r="AT1266" s="6">
        <f ca="1">IFERROR(__xludf.DUMMYFUNCTION("""COMPUTED_VALUE"""),1907)</f>
        <v>1907</v>
      </c>
    </row>
    <row r="1267" spans="2:46" x14ac:dyDescent="0.35">
      <c r="B1267" s="6" t="str">
        <f t="shared" ca="1" si="342"/>
        <v>20231</v>
      </c>
      <c r="C1267" s="6">
        <f t="shared" ca="1" si="343"/>
        <v>2023</v>
      </c>
      <c r="D1267" s="6">
        <f t="shared" ca="1" si="344"/>
        <v>1</v>
      </c>
      <c r="E1267" s="68">
        <f ca="1">IFERROR(__xludf.DUMMYFUNCTION("""COMPUTED_VALUE"""),44937.6666666666)</f>
        <v>44937.666666666599</v>
      </c>
      <c r="F1267" s="6">
        <f ca="1">IFERROR(__xludf.DUMMYFUNCTION("""COMPUTED_VALUE"""),3969.61)</f>
        <v>3969.61</v>
      </c>
      <c r="J1267" s="6" t="str">
        <f t="shared" ca="1" si="345"/>
        <v>20231</v>
      </c>
      <c r="K1267" s="6">
        <f t="shared" ca="1" si="346"/>
        <v>2023</v>
      </c>
      <c r="L1267" s="6">
        <f t="shared" ca="1" si="347"/>
        <v>1</v>
      </c>
      <c r="M1267" s="68">
        <f ca="1">IFERROR(__xludf.DUMMYFUNCTION("""COMPUTED_VALUE"""),44929.6666666666)</f>
        <v>44929.666666666599</v>
      </c>
      <c r="N1267" s="6">
        <f ca="1">IFERROR(__xludf.DUMMYFUNCTION("""COMPUTED_VALUE"""),10386.99)</f>
        <v>10386.99</v>
      </c>
      <c r="R1267" s="6" t="str">
        <f t="shared" ca="1" si="348"/>
        <v>20232</v>
      </c>
      <c r="S1267" s="6">
        <f t="shared" ca="1" si="349"/>
        <v>2023</v>
      </c>
      <c r="T1267" s="6">
        <f t="shared" ca="1" si="350"/>
        <v>2</v>
      </c>
      <c r="U1267" s="68">
        <f ca="1">IFERROR(__xludf.DUMMYFUNCTION("""COMPUTED_VALUE"""),44980.6458333333)</f>
        <v>44980.645833333299</v>
      </c>
      <c r="V1267" s="6">
        <f ca="1">IFERROR(__xludf.DUMMYFUNCTION("""COMPUTED_VALUE"""),2439.09)</f>
        <v>2439.09</v>
      </c>
      <c r="Z1267" s="6" t="str">
        <f t="shared" ca="1" si="351"/>
        <v>20218</v>
      </c>
      <c r="AA1267" s="6">
        <f t="shared" ca="1" si="352"/>
        <v>2021</v>
      </c>
      <c r="AB1267" s="6">
        <f t="shared" ca="1" si="353"/>
        <v>8</v>
      </c>
      <c r="AC1267" s="68">
        <f ca="1">IFERROR(__xludf.DUMMYFUNCTION("""COMPUTED_VALUE"""),44412.9986111111)</f>
        <v>44412.998611111099</v>
      </c>
      <c r="AD1267" s="6">
        <f ca="1">IFERROR(__xludf.DUMMYFUNCTION("""COMPUTED_VALUE"""),1144.06)</f>
        <v>1144.06</v>
      </c>
      <c r="AH1267" s="6" t="str">
        <f t="shared" ca="1" si="354"/>
        <v>20216</v>
      </c>
      <c r="AI1267" s="6">
        <f t="shared" ca="1" si="355"/>
        <v>2021</v>
      </c>
      <c r="AJ1267" s="6">
        <f t="shared" ca="1" si="356"/>
        <v>6</v>
      </c>
      <c r="AK1267" s="68">
        <f ca="1">IFERROR(__xludf.DUMMYFUNCTION("""COMPUTED_VALUE"""),44360.9986111111)</f>
        <v>44360.998611111099</v>
      </c>
      <c r="AL1267" s="6">
        <f ca="1">IFERROR(__xludf.DUMMYFUNCTION("""COMPUTED_VALUE"""),39038.67)</f>
        <v>39038.67</v>
      </c>
      <c r="AP1267" s="6" t="str">
        <f t="shared" ca="1" si="357"/>
        <v>20231</v>
      </c>
      <c r="AQ1267" s="6">
        <f t="shared" ca="1" si="358"/>
        <v>2023</v>
      </c>
      <c r="AR1267" s="6">
        <f t="shared" ca="1" si="359"/>
        <v>1</v>
      </c>
      <c r="AS1267" s="68">
        <f ca="1">IFERROR(__xludf.DUMMYFUNCTION("""COMPUTED_VALUE"""),44945.9986111111)</f>
        <v>44945.998611111099</v>
      </c>
      <c r="AT1267" s="6">
        <f ca="1">IFERROR(__xludf.DUMMYFUNCTION("""COMPUTED_VALUE"""),1923.9)</f>
        <v>1923.9</v>
      </c>
    </row>
    <row r="1268" spans="2:46" x14ac:dyDescent="0.35">
      <c r="B1268" s="6" t="str">
        <f t="shared" ca="1" si="342"/>
        <v>20231</v>
      </c>
      <c r="C1268" s="6">
        <f t="shared" ca="1" si="343"/>
        <v>2023</v>
      </c>
      <c r="D1268" s="6">
        <f t="shared" ca="1" si="344"/>
        <v>1</v>
      </c>
      <c r="E1268" s="68">
        <f ca="1">IFERROR(__xludf.DUMMYFUNCTION("""COMPUTED_VALUE"""),44938.6666666666)</f>
        <v>44938.666666666599</v>
      </c>
      <c r="F1268" s="6">
        <f ca="1">IFERROR(__xludf.DUMMYFUNCTION("""COMPUTED_VALUE"""),3983.17)</f>
        <v>3983.17</v>
      </c>
      <c r="J1268" s="6" t="str">
        <f t="shared" ca="1" si="345"/>
        <v>20231</v>
      </c>
      <c r="K1268" s="6">
        <f t="shared" ca="1" si="346"/>
        <v>2023</v>
      </c>
      <c r="L1268" s="6">
        <f t="shared" ca="1" si="347"/>
        <v>1</v>
      </c>
      <c r="M1268" s="68">
        <f ca="1">IFERROR(__xludf.DUMMYFUNCTION("""COMPUTED_VALUE"""),44930.6666666666)</f>
        <v>44930.666666666599</v>
      </c>
      <c r="N1268" s="6">
        <f ca="1">IFERROR(__xludf.DUMMYFUNCTION("""COMPUTED_VALUE"""),10458.76)</f>
        <v>10458.76</v>
      </c>
      <c r="R1268" s="6" t="str">
        <f t="shared" ca="1" si="348"/>
        <v>20232</v>
      </c>
      <c r="S1268" s="6">
        <f t="shared" ca="1" si="349"/>
        <v>2023</v>
      </c>
      <c r="T1268" s="6">
        <f t="shared" ca="1" si="350"/>
        <v>2</v>
      </c>
      <c r="U1268" s="68">
        <f ca="1">IFERROR(__xludf.DUMMYFUNCTION("""COMPUTED_VALUE"""),44981.6458333333)</f>
        <v>44981.645833333299</v>
      </c>
      <c r="V1268" s="6">
        <f ca="1">IFERROR(__xludf.DUMMYFUNCTION("""COMPUTED_VALUE"""),2423.61)</f>
        <v>2423.61</v>
      </c>
      <c r="Z1268" s="6" t="str">
        <f t="shared" ca="1" si="351"/>
        <v>20218</v>
      </c>
      <c r="AA1268" s="6">
        <f t="shared" ca="1" si="352"/>
        <v>2021</v>
      </c>
      <c r="AB1268" s="6">
        <f t="shared" ca="1" si="353"/>
        <v>8</v>
      </c>
      <c r="AC1268" s="68">
        <f ca="1">IFERROR(__xludf.DUMMYFUNCTION("""COMPUTED_VALUE"""),44413.9986111111)</f>
        <v>44413.998611111099</v>
      </c>
      <c r="AD1268" s="6">
        <f ca="1">IFERROR(__xludf.DUMMYFUNCTION("""COMPUTED_VALUE"""),1143.12)</f>
        <v>1143.1199999999999</v>
      </c>
      <c r="AH1268" s="6" t="str">
        <f t="shared" ca="1" si="354"/>
        <v>20216</v>
      </c>
      <c r="AI1268" s="6">
        <f t="shared" ca="1" si="355"/>
        <v>2021</v>
      </c>
      <c r="AJ1268" s="6">
        <f t="shared" ca="1" si="356"/>
        <v>6</v>
      </c>
      <c r="AK1268" s="68">
        <f ca="1">IFERROR(__xludf.DUMMYFUNCTION("""COMPUTED_VALUE"""),44361.9986111111)</f>
        <v>44361.998611111099</v>
      </c>
      <c r="AL1268" s="6">
        <f ca="1">IFERROR(__xludf.DUMMYFUNCTION("""COMPUTED_VALUE"""),40526.54)</f>
        <v>40526.54</v>
      </c>
      <c r="AP1268" s="6" t="str">
        <f t="shared" ca="1" si="357"/>
        <v>20231</v>
      </c>
      <c r="AQ1268" s="6">
        <f t="shared" ca="1" si="358"/>
        <v>2023</v>
      </c>
      <c r="AR1268" s="6">
        <f t="shared" ca="1" si="359"/>
        <v>1</v>
      </c>
      <c r="AS1268" s="68">
        <f ca="1">IFERROR(__xludf.DUMMYFUNCTION("""COMPUTED_VALUE"""),44946.9986111111)</f>
        <v>44946.998611111099</v>
      </c>
      <c r="AT1268" s="6">
        <f ca="1">IFERROR(__xludf.DUMMYFUNCTION("""COMPUTED_VALUE"""),1944.9)</f>
        <v>1944.9</v>
      </c>
    </row>
    <row r="1269" spans="2:46" x14ac:dyDescent="0.35">
      <c r="B1269" s="6" t="str">
        <f t="shared" ca="1" si="342"/>
        <v>20231</v>
      </c>
      <c r="C1269" s="6">
        <f t="shared" ca="1" si="343"/>
        <v>2023</v>
      </c>
      <c r="D1269" s="6">
        <f t="shared" ca="1" si="344"/>
        <v>1</v>
      </c>
      <c r="E1269" s="68">
        <f ca="1">IFERROR(__xludf.DUMMYFUNCTION("""COMPUTED_VALUE"""),44939.6666666666)</f>
        <v>44939.666666666599</v>
      </c>
      <c r="F1269" s="6">
        <f ca="1">IFERROR(__xludf.DUMMYFUNCTION("""COMPUTED_VALUE"""),3999.09)</f>
        <v>3999.09</v>
      </c>
      <c r="J1269" s="6" t="str">
        <f t="shared" ca="1" si="345"/>
        <v>20231</v>
      </c>
      <c r="K1269" s="6">
        <f t="shared" ca="1" si="346"/>
        <v>2023</v>
      </c>
      <c r="L1269" s="6">
        <f t="shared" ca="1" si="347"/>
        <v>1</v>
      </c>
      <c r="M1269" s="68">
        <f ca="1">IFERROR(__xludf.DUMMYFUNCTION("""COMPUTED_VALUE"""),44931.6666666666)</f>
        <v>44931.666666666599</v>
      </c>
      <c r="N1269" s="6">
        <f ca="1">IFERROR(__xludf.DUMMYFUNCTION("""COMPUTED_VALUE"""),10305.24)</f>
        <v>10305.24</v>
      </c>
      <c r="R1269" s="6" t="str">
        <f t="shared" ca="1" si="348"/>
        <v>20232</v>
      </c>
      <c r="S1269" s="6">
        <f t="shared" ca="1" si="349"/>
        <v>2023</v>
      </c>
      <c r="T1269" s="6">
        <f t="shared" ca="1" si="350"/>
        <v>2</v>
      </c>
      <c r="U1269" s="68">
        <f ca="1">IFERROR(__xludf.DUMMYFUNCTION("""COMPUTED_VALUE"""),44984.6458333333)</f>
        <v>44984.645833333299</v>
      </c>
      <c r="V1269" s="6">
        <f ca="1">IFERROR(__xludf.DUMMYFUNCTION("""COMPUTED_VALUE"""),2402.64)</f>
        <v>2402.64</v>
      </c>
      <c r="Z1269" s="6" t="str">
        <f t="shared" ca="1" si="351"/>
        <v>20218</v>
      </c>
      <c r="AA1269" s="6">
        <f t="shared" ca="1" si="352"/>
        <v>2021</v>
      </c>
      <c r="AB1269" s="6">
        <f t="shared" ca="1" si="353"/>
        <v>8</v>
      </c>
      <c r="AC1269" s="68">
        <f ca="1">IFERROR(__xludf.DUMMYFUNCTION("""COMPUTED_VALUE"""),44414.9986111111)</f>
        <v>44414.998611111099</v>
      </c>
      <c r="AD1269" s="6">
        <f ca="1">IFERROR(__xludf.DUMMYFUNCTION("""COMPUTED_VALUE"""),1144.92)</f>
        <v>1144.92</v>
      </c>
      <c r="AH1269" s="6" t="str">
        <f t="shared" ca="1" si="354"/>
        <v>20216</v>
      </c>
      <c r="AI1269" s="6">
        <f t="shared" ca="1" si="355"/>
        <v>2021</v>
      </c>
      <c r="AJ1269" s="6">
        <f t="shared" ca="1" si="356"/>
        <v>6</v>
      </c>
      <c r="AK1269" s="68">
        <f ca="1">IFERROR(__xludf.DUMMYFUNCTION("""COMPUTED_VALUE"""),44362.9986111111)</f>
        <v>44362.998611111099</v>
      </c>
      <c r="AL1269" s="6">
        <f ca="1">IFERROR(__xludf.DUMMYFUNCTION("""COMPUTED_VALUE"""),40152.96)</f>
        <v>40152.959999999999</v>
      </c>
      <c r="AP1269" s="6" t="str">
        <f t="shared" ca="1" si="357"/>
        <v>20231</v>
      </c>
      <c r="AQ1269" s="6">
        <f t="shared" ca="1" si="358"/>
        <v>2023</v>
      </c>
      <c r="AR1269" s="6">
        <f t="shared" ca="1" si="359"/>
        <v>1</v>
      </c>
      <c r="AS1269" s="68">
        <f ca="1">IFERROR(__xludf.DUMMYFUNCTION("""COMPUTED_VALUE"""),44949.9986111111)</f>
        <v>44949.998611111099</v>
      </c>
      <c r="AT1269" s="6">
        <f ca="1">IFERROR(__xludf.DUMMYFUNCTION("""COMPUTED_VALUE"""),1945.4)</f>
        <v>1945.4</v>
      </c>
    </row>
    <row r="1270" spans="2:46" x14ac:dyDescent="0.35">
      <c r="B1270" s="6" t="str">
        <f t="shared" ca="1" si="342"/>
        <v>20231</v>
      </c>
      <c r="C1270" s="6">
        <f t="shared" ca="1" si="343"/>
        <v>2023</v>
      </c>
      <c r="D1270" s="6">
        <f t="shared" ca="1" si="344"/>
        <v>1</v>
      </c>
      <c r="E1270" s="68">
        <f ca="1">IFERROR(__xludf.DUMMYFUNCTION("""COMPUTED_VALUE"""),44943.6666666666)</f>
        <v>44943.666666666599</v>
      </c>
      <c r="F1270" s="6">
        <f ca="1">IFERROR(__xludf.DUMMYFUNCTION("""COMPUTED_VALUE"""),3990.97)</f>
        <v>3990.97</v>
      </c>
      <c r="J1270" s="6" t="str">
        <f t="shared" ca="1" si="345"/>
        <v>20231</v>
      </c>
      <c r="K1270" s="6">
        <f t="shared" ca="1" si="346"/>
        <v>2023</v>
      </c>
      <c r="L1270" s="6">
        <f t="shared" ca="1" si="347"/>
        <v>1</v>
      </c>
      <c r="M1270" s="68">
        <f ca="1">IFERROR(__xludf.DUMMYFUNCTION("""COMPUTED_VALUE"""),44932.6666666666)</f>
        <v>44932.666666666599</v>
      </c>
      <c r="N1270" s="6">
        <f ca="1">IFERROR(__xludf.DUMMYFUNCTION("""COMPUTED_VALUE"""),10569.29)</f>
        <v>10569.29</v>
      </c>
      <c r="R1270" s="6" t="str">
        <f t="shared" ca="1" si="348"/>
        <v>20232</v>
      </c>
      <c r="S1270" s="6">
        <f t="shared" ca="1" si="349"/>
        <v>2023</v>
      </c>
      <c r="T1270" s="6">
        <f t="shared" ca="1" si="350"/>
        <v>2</v>
      </c>
      <c r="U1270" s="68">
        <f ca="1">IFERROR(__xludf.DUMMYFUNCTION("""COMPUTED_VALUE"""),44985.6458333333)</f>
        <v>44985.645833333299</v>
      </c>
      <c r="V1270" s="6">
        <f ca="1">IFERROR(__xludf.DUMMYFUNCTION("""COMPUTED_VALUE"""),2412.85)</f>
        <v>2412.85</v>
      </c>
      <c r="Z1270" s="6" t="str">
        <f t="shared" ca="1" si="351"/>
        <v>20218</v>
      </c>
      <c r="AA1270" s="6">
        <f t="shared" ca="1" si="352"/>
        <v>2021</v>
      </c>
      <c r="AB1270" s="6">
        <f t="shared" ca="1" si="353"/>
        <v>8</v>
      </c>
      <c r="AC1270" s="68">
        <f ca="1">IFERROR(__xludf.DUMMYFUNCTION("""COMPUTED_VALUE"""),44415.9986111111)</f>
        <v>44415.998611111099</v>
      </c>
      <c r="AD1270" s="6">
        <f ca="1">IFERROR(__xludf.DUMMYFUNCTION("""COMPUTED_VALUE"""),1144.14)</f>
        <v>1144.1400000000001</v>
      </c>
      <c r="AH1270" s="6" t="str">
        <f t="shared" ca="1" si="354"/>
        <v>20216</v>
      </c>
      <c r="AI1270" s="6">
        <f t="shared" ca="1" si="355"/>
        <v>2021</v>
      </c>
      <c r="AJ1270" s="6">
        <f t="shared" ca="1" si="356"/>
        <v>6</v>
      </c>
      <c r="AK1270" s="68">
        <f ca="1">IFERROR(__xludf.DUMMYFUNCTION("""COMPUTED_VALUE"""),44363.9986111111)</f>
        <v>44363.998611111099</v>
      </c>
      <c r="AL1270" s="6">
        <f ca="1">IFERROR(__xludf.DUMMYFUNCTION("""COMPUTED_VALUE"""),38344.25)</f>
        <v>38344.25</v>
      </c>
      <c r="AP1270" s="6" t="str">
        <f t="shared" ca="1" si="357"/>
        <v>20231</v>
      </c>
      <c r="AQ1270" s="6">
        <f t="shared" ca="1" si="358"/>
        <v>2023</v>
      </c>
      <c r="AR1270" s="6">
        <f t="shared" ca="1" si="359"/>
        <v>1</v>
      </c>
      <c r="AS1270" s="68">
        <f ca="1">IFERROR(__xludf.DUMMYFUNCTION("""COMPUTED_VALUE"""),44950.9986111111)</f>
        <v>44950.998611111099</v>
      </c>
      <c r="AT1270" s="6">
        <f ca="1">IFERROR(__xludf.DUMMYFUNCTION("""COMPUTED_VALUE"""),1952.2)</f>
        <v>1952.2</v>
      </c>
    </row>
    <row r="1271" spans="2:46" x14ac:dyDescent="0.35">
      <c r="B1271" s="6" t="str">
        <f t="shared" ca="1" si="342"/>
        <v>20231</v>
      </c>
      <c r="C1271" s="6">
        <f t="shared" ca="1" si="343"/>
        <v>2023</v>
      </c>
      <c r="D1271" s="6">
        <f t="shared" ca="1" si="344"/>
        <v>1</v>
      </c>
      <c r="E1271" s="68">
        <f ca="1">IFERROR(__xludf.DUMMYFUNCTION("""COMPUTED_VALUE"""),44944.6666666666)</f>
        <v>44944.666666666599</v>
      </c>
      <c r="F1271" s="6">
        <f ca="1">IFERROR(__xludf.DUMMYFUNCTION("""COMPUTED_VALUE"""),3928.86)</f>
        <v>3928.86</v>
      </c>
      <c r="J1271" s="6" t="str">
        <f t="shared" ca="1" si="345"/>
        <v>20231</v>
      </c>
      <c r="K1271" s="6">
        <f t="shared" ca="1" si="346"/>
        <v>2023</v>
      </c>
      <c r="L1271" s="6">
        <f t="shared" ca="1" si="347"/>
        <v>1</v>
      </c>
      <c r="M1271" s="68">
        <f ca="1">IFERROR(__xludf.DUMMYFUNCTION("""COMPUTED_VALUE"""),44935.6666666666)</f>
        <v>44935.666666666599</v>
      </c>
      <c r="N1271" s="6">
        <f ca="1">IFERROR(__xludf.DUMMYFUNCTION("""COMPUTED_VALUE"""),10635.65)</f>
        <v>10635.65</v>
      </c>
      <c r="R1271" s="6" t="str">
        <f t="shared" ca="1" si="348"/>
        <v>20233</v>
      </c>
      <c r="S1271" s="6">
        <f t="shared" ca="1" si="349"/>
        <v>2023</v>
      </c>
      <c r="T1271" s="6">
        <f t="shared" ca="1" si="350"/>
        <v>3</v>
      </c>
      <c r="U1271" s="68">
        <f ca="1">IFERROR(__xludf.DUMMYFUNCTION("""COMPUTED_VALUE"""),44987.6458333333)</f>
        <v>44987.645833333299</v>
      </c>
      <c r="V1271" s="6">
        <f ca="1">IFERROR(__xludf.DUMMYFUNCTION("""COMPUTED_VALUE"""),2427.85)</f>
        <v>2427.85</v>
      </c>
      <c r="Z1271" s="6" t="str">
        <f t="shared" ca="1" si="351"/>
        <v>20218</v>
      </c>
      <c r="AA1271" s="6">
        <f t="shared" ca="1" si="352"/>
        <v>2021</v>
      </c>
      <c r="AB1271" s="6">
        <f t="shared" ca="1" si="353"/>
        <v>8</v>
      </c>
      <c r="AC1271" s="68">
        <f ca="1">IFERROR(__xludf.DUMMYFUNCTION("""COMPUTED_VALUE"""),44416.9986111111)</f>
        <v>44416.998611111099</v>
      </c>
      <c r="AD1271" s="6">
        <f ca="1">IFERROR(__xludf.DUMMYFUNCTION("""COMPUTED_VALUE"""),1144.92)</f>
        <v>1144.92</v>
      </c>
      <c r="AH1271" s="6" t="str">
        <f t="shared" ca="1" si="354"/>
        <v>20216</v>
      </c>
      <c r="AI1271" s="6">
        <f t="shared" ca="1" si="355"/>
        <v>2021</v>
      </c>
      <c r="AJ1271" s="6">
        <f t="shared" ca="1" si="356"/>
        <v>6</v>
      </c>
      <c r="AK1271" s="68">
        <f ca="1">IFERROR(__xludf.DUMMYFUNCTION("""COMPUTED_VALUE"""),44364.9986111111)</f>
        <v>44364.998611111099</v>
      </c>
      <c r="AL1271" s="6">
        <f ca="1">IFERROR(__xludf.DUMMYFUNCTION("""COMPUTED_VALUE"""),38065.94)</f>
        <v>38065.94</v>
      </c>
      <c r="AP1271" s="6" t="str">
        <f t="shared" ca="1" si="357"/>
        <v>20231</v>
      </c>
      <c r="AQ1271" s="6">
        <f t="shared" ca="1" si="358"/>
        <v>2023</v>
      </c>
      <c r="AR1271" s="6">
        <f t="shared" ca="1" si="359"/>
        <v>1</v>
      </c>
      <c r="AS1271" s="68">
        <f ca="1">IFERROR(__xludf.DUMMYFUNCTION("""COMPUTED_VALUE"""),44951.9986111111)</f>
        <v>44951.998611111099</v>
      </c>
      <c r="AT1271" s="6">
        <f ca="1">IFERROR(__xludf.DUMMYFUNCTION("""COMPUTED_VALUE"""),1959.4)</f>
        <v>1959.4</v>
      </c>
    </row>
    <row r="1272" spans="2:46" x14ac:dyDescent="0.35">
      <c r="B1272" s="6" t="str">
        <f t="shared" ca="1" si="342"/>
        <v>20231</v>
      </c>
      <c r="C1272" s="6">
        <f t="shared" ca="1" si="343"/>
        <v>2023</v>
      </c>
      <c r="D1272" s="6">
        <f t="shared" ca="1" si="344"/>
        <v>1</v>
      </c>
      <c r="E1272" s="68">
        <f ca="1">IFERROR(__xludf.DUMMYFUNCTION("""COMPUTED_VALUE"""),44945.6666666666)</f>
        <v>44945.666666666599</v>
      </c>
      <c r="F1272" s="6">
        <f ca="1">IFERROR(__xludf.DUMMYFUNCTION("""COMPUTED_VALUE"""),3898.85)</f>
        <v>3898.85</v>
      </c>
      <c r="J1272" s="6" t="str">
        <f t="shared" ca="1" si="345"/>
        <v>20231</v>
      </c>
      <c r="K1272" s="6">
        <f t="shared" ca="1" si="346"/>
        <v>2023</v>
      </c>
      <c r="L1272" s="6">
        <f t="shared" ca="1" si="347"/>
        <v>1</v>
      </c>
      <c r="M1272" s="68">
        <f ca="1">IFERROR(__xludf.DUMMYFUNCTION("""COMPUTED_VALUE"""),44936.6666666666)</f>
        <v>44936.666666666599</v>
      </c>
      <c r="N1272" s="6">
        <f ca="1">IFERROR(__xludf.DUMMYFUNCTION("""COMPUTED_VALUE"""),10742.63)</f>
        <v>10742.63</v>
      </c>
      <c r="R1272" s="6" t="str">
        <f t="shared" ca="1" si="348"/>
        <v>20233</v>
      </c>
      <c r="S1272" s="6">
        <f t="shared" ca="1" si="349"/>
        <v>2023</v>
      </c>
      <c r="T1272" s="6">
        <f t="shared" ca="1" si="350"/>
        <v>3</v>
      </c>
      <c r="U1272" s="68">
        <f ca="1">IFERROR(__xludf.DUMMYFUNCTION("""COMPUTED_VALUE"""),44988.6458333333)</f>
        <v>44988.645833333299</v>
      </c>
      <c r="V1272" s="6">
        <f ca="1">IFERROR(__xludf.DUMMYFUNCTION("""COMPUTED_VALUE"""),2432.07)</f>
        <v>2432.0700000000002</v>
      </c>
      <c r="Z1272" s="6" t="str">
        <f t="shared" ca="1" si="351"/>
        <v>20218</v>
      </c>
      <c r="AA1272" s="6">
        <f t="shared" ca="1" si="352"/>
        <v>2021</v>
      </c>
      <c r="AB1272" s="6">
        <f t="shared" ca="1" si="353"/>
        <v>8</v>
      </c>
      <c r="AC1272" s="68">
        <f ca="1">IFERROR(__xludf.DUMMYFUNCTION("""COMPUTED_VALUE"""),44417.9986111111)</f>
        <v>44417.998611111099</v>
      </c>
      <c r="AD1272" s="6">
        <f ca="1">IFERROR(__xludf.DUMMYFUNCTION("""COMPUTED_VALUE"""),1145.89)</f>
        <v>1145.8900000000001</v>
      </c>
      <c r="AH1272" s="6" t="str">
        <f t="shared" ca="1" si="354"/>
        <v>20216</v>
      </c>
      <c r="AI1272" s="6">
        <f t="shared" ca="1" si="355"/>
        <v>2021</v>
      </c>
      <c r="AJ1272" s="6">
        <f t="shared" ca="1" si="356"/>
        <v>6</v>
      </c>
      <c r="AK1272" s="68">
        <f ca="1">IFERROR(__xludf.DUMMYFUNCTION("""COMPUTED_VALUE"""),44365.9986111111)</f>
        <v>44365.998611111099</v>
      </c>
      <c r="AL1272" s="6">
        <f ca="1">IFERROR(__xludf.DUMMYFUNCTION("""COMPUTED_VALUE"""),35734.51)</f>
        <v>35734.51</v>
      </c>
      <c r="AP1272" s="6" t="str">
        <f t="shared" ca="1" si="357"/>
        <v>20231</v>
      </c>
      <c r="AQ1272" s="6">
        <f t="shared" ca="1" si="358"/>
        <v>2023</v>
      </c>
      <c r="AR1272" s="6">
        <f t="shared" ca="1" si="359"/>
        <v>1</v>
      </c>
      <c r="AS1272" s="68">
        <f ca="1">IFERROR(__xludf.DUMMYFUNCTION("""COMPUTED_VALUE"""),44952.9986111111)</f>
        <v>44952.998611111099</v>
      </c>
      <c r="AT1272" s="6">
        <f ca="1">IFERROR(__xludf.DUMMYFUNCTION("""COMPUTED_VALUE"""),1946.7)</f>
        <v>1946.7</v>
      </c>
    </row>
    <row r="1273" spans="2:46" x14ac:dyDescent="0.35">
      <c r="B1273" s="6" t="str">
        <f t="shared" ca="1" si="342"/>
        <v>20231</v>
      </c>
      <c r="C1273" s="6">
        <f t="shared" ca="1" si="343"/>
        <v>2023</v>
      </c>
      <c r="D1273" s="6">
        <f t="shared" ca="1" si="344"/>
        <v>1</v>
      </c>
      <c r="E1273" s="68">
        <f ca="1">IFERROR(__xludf.DUMMYFUNCTION("""COMPUTED_VALUE"""),44946.6666666666)</f>
        <v>44946.666666666599</v>
      </c>
      <c r="F1273" s="6">
        <f ca="1">IFERROR(__xludf.DUMMYFUNCTION("""COMPUTED_VALUE"""),3972.61)</f>
        <v>3972.61</v>
      </c>
      <c r="J1273" s="6" t="str">
        <f t="shared" ca="1" si="345"/>
        <v>20231</v>
      </c>
      <c r="K1273" s="6">
        <f t="shared" ca="1" si="346"/>
        <v>2023</v>
      </c>
      <c r="L1273" s="6">
        <f t="shared" ca="1" si="347"/>
        <v>1</v>
      </c>
      <c r="M1273" s="68">
        <f ca="1">IFERROR(__xludf.DUMMYFUNCTION("""COMPUTED_VALUE"""),44937.6666666666)</f>
        <v>44937.666666666599</v>
      </c>
      <c r="N1273" s="6">
        <f ca="1">IFERROR(__xludf.DUMMYFUNCTION("""COMPUTED_VALUE"""),10931.67)</f>
        <v>10931.67</v>
      </c>
      <c r="R1273" s="6" t="str">
        <f t="shared" ca="1" si="348"/>
        <v>20233</v>
      </c>
      <c r="S1273" s="6">
        <f t="shared" ca="1" si="349"/>
        <v>2023</v>
      </c>
      <c r="T1273" s="6">
        <f t="shared" ca="1" si="350"/>
        <v>3</v>
      </c>
      <c r="U1273" s="68">
        <f ca="1">IFERROR(__xludf.DUMMYFUNCTION("""COMPUTED_VALUE"""),44991.6458333333)</f>
        <v>44991.645833333299</v>
      </c>
      <c r="V1273" s="6">
        <f ca="1">IFERROR(__xludf.DUMMYFUNCTION("""COMPUTED_VALUE"""),2462.62)</f>
        <v>2462.62</v>
      </c>
      <c r="Z1273" s="6" t="str">
        <f t="shared" ca="1" si="351"/>
        <v>20218</v>
      </c>
      <c r="AA1273" s="6">
        <f t="shared" ca="1" si="352"/>
        <v>2021</v>
      </c>
      <c r="AB1273" s="6">
        <f t="shared" ca="1" si="353"/>
        <v>8</v>
      </c>
      <c r="AC1273" s="68">
        <f ca="1">IFERROR(__xludf.DUMMYFUNCTION("""COMPUTED_VALUE"""),44418.9986111111)</f>
        <v>44418.998611111099</v>
      </c>
      <c r="AD1273" s="6">
        <f ca="1">IFERROR(__xludf.DUMMYFUNCTION("""COMPUTED_VALUE"""),1152.48)</f>
        <v>1152.48</v>
      </c>
      <c r="AH1273" s="6" t="str">
        <f t="shared" ca="1" si="354"/>
        <v>20216</v>
      </c>
      <c r="AI1273" s="6">
        <f t="shared" ca="1" si="355"/>
        <v>2021</v>
      </c>
      <c r="AJ1273" s="6">
        <f t="shared" ca="1" si="356"/>
        <v>6</v>
      </c>
      <c r="AK1273" s="68">
        <f ca="1">IFERROR(__xludf.DUMMYFUNCTION("""COMPUTED_VALUE"""),44366.9986111111)</f>
        <v>44366.998611111099</v>
      </c>
      <c r="AL1273" s="6">
        <f ca="1">IFERROR(__xludf.DUMMYFUNCTION("""COMPUTED_VALUE"""),35525.93)</f>
        <v>35525.93</v>
      </c>
      <c r="AP1273" s="6" t="str">
        <f t="shared" ca="1" si="357"/>
        <v>20231</v>
      </c>
      <c r="AQ1273" s="6">
        <f t="shared" ca="1" si="358"/>
        <v>2023</v>
      </c>
      <c r="AR1273" s="6">
        <f t="shared" ca="1" si="359"/>
        <v>1</v>
      </c>
      <c r="AS1273" s="68">
        <f ca="1">IFERROR(__xludf.DUMMYFUNCTION("""COMPUTED_VALUE"""),44953.9986111111)</f>
        <v>44953.998611111099</v>
      </c>
      <c r="AT1273" s="6">
        <f ca="1">IFERROR(__xludf.DUMMYFUNCTION("""COMPUTED_VALUE"""),1945.6)</f>
        <v>1945.6</v>
      </c>
    </row>
    <row r="1274" spans="2:46" x14ac:dyDescent="0.35">
      <c r="B1274" s="6" t="str">
        <f t="shared" ca="1" si="342"/>
        <v>20231</v>
      </c>
      <c r="C1274" s="6">
        <f t="shared" ca="1" si="343"/>
        <v>2023</v>
      </c>
      <c r="D1274" s="6">
        <f t="shared" ca="1" si="344"/>
        <v>1</v>
      </c>
      <c r="E1274" s="68">
        <f ca="1">IFERROR(__xludf.DUMMYFUNCTION("""COMPUTED_VALUE"""),44949.6666666666)</f>
        <v>44949.666666666599</v>
      </c>
      <c r="F1274" s="6">
        <f ca="1">IFERROR(__xludf.DUMMYFUNCTION("""COMPUTED_VALUE"""),4019.81)</f>
        <v>4019.81</v>
      </c>
      <c r="J1274" s="6" t="str">
        <f t="shared" ca="1" si="345"/>
        <v>20231</v>
      </c>
      <c r="K1274" s="6">
        <f t="shared" ca="1" si="346"/>
        <v>2023</v>
      </c>
      <c r="L1274" s="6">
        <f t="shared" ca="1" si="347"/>
        <v>1</v>
      </c>
      <c r="M1274" s="68">
        <f ca="1">IFERROR(__xludf.DUMMYFUNCTION("""COMPUTED_VALUE"""),44938.6666666666)</f>
        <v>44938.666666666599</v>
      </c>
      <c r="N1274" s="6">
        <f ca="1">IFERROR(__xludf.DUMMYFUNCTION("""COMPUTED_VALUE"""),11001.11)</f>
        <v>11001.11</v>
      </c>
      <c r="R1274" s="6" t="str">
        <f t="shared" ca="1" si="348"/>
        <v>20233</v>
      </c>
      <c r="S1274" s="6">
        <f t="shared" ca="1" si="349"/>
        <v>2023</v>
      </c>
      <c r="T1274" s="6">
        <f t="shared" ca="1" si="350"/>
        <v>3</v>
      </c>
      <c r="U1274" s="68">
        <f ca="1">IFERROR(__xludf.DUMMYFUNCTION("""COMPUTED_VALUE"""),44992.6458333333)</f>
        <v>44992.645833333299</v>
      </c>
      <c r="V1274" s="6">
        <f ca="1">IFERROR(__xludf.DUMMYFUNCTION("""COMPUTED_VALUE"""),2463.35)</f>
        <v>2463.35</v>
      </c>
      <c r="Z1274" s="6" t="str">
        <f t="shared" ca="1" si="351"/>
        <v>20218</v>
      </c>
      <c r="AA1274" s="6">
        <f t="shared" ca="1" si="352"/>
        <v>2021</v>
      </c>
      <c r="AB1274" s="6">
        <f t="shared" ca="1" si="353"/>
        <v>8</v>
      </c>
      <c r="AC1274" s="68">
        <f ca="1">IFERROR(__xludf.DUMMYFUNCTION("""COMPUTED_VALUE"""),44419.9986111111)</f>
        <v>44419.998611111099</v>
      </c>
      <c r="AD1274" s="6">
        <f ca="1">IFERROR(__xludf.DUMMYFUNCTION("""COMPUTED_VALUE"""),1152.85)</f>
        <v>1152.8499999999999</v>
      </c>
      <c r="AH1274" s="6" t="str">
        <f t="shared" ca="1" si="354"/>
        <v>20216</v>
      </c>
      <c r="AI1274" s="6">
        <f t="shared" ca="1" si="355"/>
        <v>2021</v>
      </c>
      <c r="AJ1274" s="6">
        <f t="shared" ca="1" si="356"/>
        <v>6</v>
      </c>
      <c r="AK1274" s="68">
        <f ca="1">IFERROR(__xludf.DUMMYFUNCTION("""COMPUTED_VALUE"""),44367.9986111111)</f>
        <v>44367.998611111099</v>
      </c>
      <c r="AL1274" s="6">
        <f ca="1">IFERROR(__xludf.DUMMYFUNCTION("""COMPUTED_VALUE"""),35619.15)</f>
        <v>35619.15</v>
      </c>
      <c r="AP1274" s="6" t="str">
        <f t="shared" ca="1" si="357"/>
        <v>20231</v>
      </c>
      <c r="AQ1274" s="6">
        <f t="shared" ca="1" si="358"/>
        <v>2023</v>
      </c>
      <c r="AR1274" s="6">
        <f t="shared" ca="1" si="359"/>
        <v>1</v>
      </c>
      <c r="AS1274" s="68">
        <f ca="1">IFERROR(__xludf.DUMMYFUNCTION("""COMPUTED_VALUE"""),44956.9986111111)</f>
        <v>44956.998611111099</v>
      </c>
      <c r="AT1274" s="6">
        <f ca="1">IFERROR(__xludf.DUMMYFUNCTION("""COMPUTED_VALUE"""),1939.2)</f>
        <v>1939.2</v>
      </c>
    </row>
    <row r="1275" spans="2:46" x14ac:dyDescent="0.35">
      <c r="B1275" s="6" t="str">
        <f t="shared" ca="1" si="342"/>
        <v>20231</v>
      </c>
      <c r="C1275" s="6">
        <f t="shared" ca="1" si="343"/>
        <v>2023</v>
      </c>
      <c r="D1275" s="6">
        <f t="shared" ca="1" si="344"/>
        <v>1</v>
      </c>
      <c r="E1275" s="68">
        <f ca="1">IFERROR(__xludf.DUMMYFUNCTION("""COMPUTED_VALUE"""),44950.6666666666)</f>
        <v>44950.666666666599</v>
      </c>
      <c r="F1275" s="6">
        <f ca="1">IFERROR(__xludf.DUMMYFUNCTION("""COMPUTED_VALUE"""),4016.95)</f>
        <v>4016.95</v>
      </c>
      <c r="J1275" s="6" t="str">
        <f t="shared" ca="1" si="345"/>
        <v>20231</v>
      </c>
      <c r="K1275" s="6">
        <f t="shared" ca="1" si="346"/>
        <v>2023</v>
      </c>
      <c r="L1275" s="6">
        <f t="shared" ca="1" si="347"/>
        <v>1</v>
      </c>
      <c r="M1275" s="68">
        <f ca="1">IFERROR(__xludf.DUMMYFUNCTION("""COMPUTED_VALUE"""),44939.6666666666)</f>
        <v>44939.666666666599</v>
      </c>
      <c r="N1275" s="6">
        <f ca="1">IFERROR(__xludf.DUMMYFUNCTION("""COMPUTED_VALUE"""),11079.16)</f>
        <v>11079.16</v>
      </c>
      <c r="R1275" s="6" t="str">
        <f t="shared" ca="1" si="348"/>
        <v>20233</v>
      </c>
      <c r="S1275" s="6">
        <f t="shared" ca="1" si="349"/>
        <v>2023</v>
      </c>
      <c r="T1275" s="6">
        <f t="shared" ca="1" si="350"/>
        <v>3</v>
      </c>
      <c r="U1275" s="68">
        <f ca="1">IFERROR(__xludf.DUMMYFUNCTION("""COMPUTED_VALUE"""),44993.6458333333)</f>
        <v>44993.645833333299</v>
      </c>
      <c r="V1275" s="6">
        <f ca="1">IFERROR(__xludf.DUMMYFUNCTION("""COMPUTED_VALUE"""),2431.91)</f>
        <v>2431.91</v>
      </c>
      <c r="Z1275" s="6" t="str">
        <f t="shared" ca="1" si="351"/>
        <v>20218</v>
      </c>
      <c r="AA1275" s="6">
        <f t="shared" ca="1" si="352"/>
        <v>2021</v>
      </c>
      <c r="AB1275" s="6">
        <f t="shared" ca="1" si="353"/>
        <v>8</v>
      </c>
      <c r="AC1275" s="68">
        <f ca="1">IFERROR(__xludf.DUMMYFUNCTION("""COMPUTED_VALUE"""),44420.9986111111)</f>
        <v>44420.998611111099</v>
      </c>
      <c r="AD1275" s="6">
        <f ca="1">IFERROR(__xludf.DUMMYFUNCTION("""COMPUTED_VALUE"""),1162.06)</f>
        <v>1162.06</v>
      </c>
      <c r="AH1275" s="6" t="str">
        <f t="shared" ca="1" si="354"/>
        <v>20216</v>
      </c>
      <c r="AI1275" s="6">
        <f t="shared" ca="1" si="355"/>
        <v>2021</v>
      </c>
      <c r="AJ1275" s="6">
        <f t="shared" ca="1" si="356"/>
        <v>6</v>
      </c>
      <c r="AK1275" s="68">
        <f ca="1">IFERROR(__xludf.DUMMYFUNCTION("""COMPUTED_VALUE"""),44368.9986111111)</f>
        <v>44368.998611111099</v>
      </c>
      <c r="AL1275" s="6">
        <f ca="1">IFERROR(__xludf.DUMMYFUNCTION("""COMPUTED_VALUE"""),31687.18)</f>
        <v>31687.18</v>
      </c>
      <c r="AP1275" s="6" t="str">
        <f t="shared" ca="1" si="357"/>
        <v>20231</v>
      </c>
      <c r="AQ1275" s="6">
        <f t="shared" ca="1" si="358"/>
        <v>2023</v>
      </c>
      <c r="AR1275" s="6">
        <f t="shared" ca="1" si="359"/>
        <v>1</v>
      </c>
      <c r="AS1275" s="68">
        <f ca="1">IFERROR(__xludf.DUMMYFUNCTION("""COMPUTED_VALUE"""),44957.9986111111)</f>
        <v>44957.998611111099</v>
      </c>
      <c r="AT1275" s="6">
        <f ca="1">IFERROR(__xludf.DUMMYFUNCTION("""COMPUTED_VALUE"""),1945.3)</f>
        <v>1945.3</v>
      </c>
    </row>
    <row r="1276" spans="2:46" x14ac:dyDescent="0.35">
      <c r="B1276" s="6" t="str">
        <f t="shared" ca="1" si="342"/>
        <v>20231</v>
      </c>
      <c r="C1276" s="6">
        <f t="shared" ca="1" si="343"/>
        <v>2023</v>
      </c>
      <c r="D1276" s="6">
        <f t="shared" ca="1" si="344"/>
        <v>1</v>
      </c>
      <c r="E1276" s="68">
        <f ca="1">IFERROR(__xludf.DUMMYFUNCTION("""COMPUTED_VALUE"""),44951.6666666666)</f>
        <v>44951.666666666599</v>
      </c>
      <c r="F1276" s="6">
        <f ca="1">IFERROR(__xludf.DUMMYFUNCTION("""COMPUTED_VALUE"""),4016.22)</f>
        <v>4016.22</v>
      </c>
      <c r="J1276" s="6" t="str">
        <f t="shared" ca="1" si="345"/>
        <v>20231</v>
      </c>
      <c r="K1276" s="6">
        <f t="shared" ca="1" si="346"/>
        <v>2023</v>
      </c>
      <c r="L1276" s="6">
        <f t="shared" ca="1" si="347"/>
        <v>1</v>
      </c>
      <c r="M1276" s="68">
        <f ca="1">IFERROR(__xludf.DUMMYFUNCTION("""COMPUTED_VALUE"""),44943.6666666666)</f>
        <v>44943.666666666599</v>
      </c>
      <c r="N1276" s="6">
        <f ca="1">IFERROR(__xludf.DUMMYFUNCTION("""COMPUTED_VALUE"""),11095.11)</f>
        <v>11095.11</v>
      </c>
      <c r="R1276" s="6" t="str">
        <f t="shared" ca="1" si="348"/>
        <v>20233</v>
      </c>
      <c r="S1276" s="6">
        <f t="shared" ca="1" si="349"/>
        <v>2023</v>
      </c>
      <c r="T1276" s="6">
        <f t="shared" ca="1" si="350"/>
        <v>3</v>
      </c>
      <c r="U1276" s="68">
        <f ca="1">IFERROR(__xludf.DUMMYFUNCTION("""COMPUTED_VALUE"""),44994.6458333333)</f>
        <v>44994.645833333299</v>
      </c>
      <c r="V1276" s="6">
        <f ca="1">IFERROR(__xludf.DUMMYFUNCTION("""COMPUTED_VALUE"""),2419.09)</f>
        <v>2419.09</v>
      </c>
      <c r="Z1276" s="6" t="str">
        <f t="shared" ca="1" si="351"/>
        <v>20218</v>
      </c>
      <c r="AA1276" s="6">
        <f t="shared" ca="1" si="352"/>
        <v>2021</v>
      </c>
      <c r="AB1276" s="6">
        <f t="shared" ca="1" si="353"/>
        <v>8</v>
      </c>
      <c r="AC1276" s="68">
        <f ca="1">IFERROR(__xludf.DUMMYFUNCTION("""COMPUTED_VALUE"""),44421.9986111111)</f>
        <v>44421.998611111099</v>
      </c>
      <c r="AD1276" s="6">
        <f ca="1">IFERROR(__xludf.DUMMYFUNCTION("""COMPUTED_VALUE"""),1161.08)</f>
        <v>1161.08</v>
      </c>
      <c r="AH1276" s="6" t="str">
        <f t="shared" ca="1" si="354"/>
        <v>20216</v>
      </c>
      <c r="AI1276" s="6">
        <f t="shared" ca="1" si="355"/>
        <v>2021</v>
      </c>
      <c r="AJ1276" s="6">
        <f t="shared" ca="1" si="356"/>
        <v>6</v>
      </c>
      <c r="AK1276" s="68">
        <f ca="1">IFERROR(__xludf.DUMMYFUNCTION("""COMPUTED_VALUE"""),44369.9986111111)</f>
        <v>44369.998611111099</v>
      </c>
      <c r="AL1276" s="6">
        <f ca="1">IFERROR(__xludf.DUMMYFUNCTION("""COMPUTED_VALUE"""),32488.3)</f>
        <v>32488.3</v>
      </c>
      <c r="AP1276" s="6" t="str">
        <f t="shared" ca="1" si="357"/>
        <v>20232</v>
      </c>
      <c r="AQ1276" s="6">
        <f t="shared" ca="1" si="358"/>
        <v>2023</v>
      </c>
      <c r="AR1276" s="6">
        <f t="shared" ca="1" si="359"/>
        <v>2</v>
      </c>
      <c r="AS1276" s="68">
        <f ca="1">IFERROR(__xludf.DUMMYFUNCTION("""COMPUTED_VALUE"""),44958.9986111111)</f>
        <v>44958.998611111099</v>
      </c>
      <c r="AT1276" s="6">
        <f ca="1">IFERROR(__xludf.DUMMYFUNCTION("""COMPUTED_VALUE"""),1942.8)</f>
        <v>1942.8</v>
      </c>
    </row>
    <row r="1277" spans="2:46" x14ac:dyDescent="0.35">
      <c r="B1277" s="6" t="str">
        <f t="shared" ca="1" si="342"/>
        <v>20231</v>
      </c>
      <c r="C1277" s="6">
        <f t="shared" ca="1" si="343"/>
        <v>2023</v>
      </c>
      <c r="D1277" s="6">
        <f t="shared" ca="1" si="344"/>
        <v>1</v>
      </c>
      <c r="E1277" s="68">
        <f ca="1">IFERROR(__xludf.DUMMYFUNCTION("""COMPUTED_VALUE"""),44952.6666666666)</f>
        <v>44952.666666666599</v>
      </c>
      <c r="F1277" s="6">
        <f ca="1">IFERROR(__xludf.DUMMYFUNCTION("""COMPUTED_VALUE"""),4060.43)</f>
        <v>4060.43</v>
      </c>
      <c r="J1277" s="6" t="str">
        <f t="shared" ca="1" si="345"/>
        <v>20231</v>
      </c>
      <c r="K1277" s="6">
        <f t="shared" ca="1" si="346"/>
        <v>2023</v>
      </c>
      <c r="L1277" s="6">
        <f t="shared" ca="1" si="347"/>
        <v>1</v>
      </c>
      <c r="M1277" s="68">
        <f ca="1">IFERROR(__xludf.DUMMYFUNCTION("""COMPUTED_VALUE"""),44944.6666666666)</f>
        <v>44944.666666666599</v>
      </c>
      <c r="N1277" s="6">
        <f ca="1">IFERROR(__xludf.DUMMYFUNCTION("""COMPUTED_VALUE"""),10957.01)</f>
        <v>10957.01</v>
      </c>
      <c r="R1277" s="6" t="str">
        <f t="shared" ca="1" si="348"/>
        <v>20233</v>
      </c>
      <c r="S1277" s="6">
        <f t="shared" ca="1" si="349"/>
        <v>2023</v>
      </c>
      <c r="T1277" s="6">
        <f t="shared" ca="1" si="350"/>
        <v>3</v>
      </c>
      <c r="U1277" s="68">
        <f ca="1">IFERROR(__xludf.DUMMYFUNCTION("""COMPUTED_VALUE"""),44995.6458333333)</f>
        <v>44995.645833333299</v>
      </c>
      <c r="V1277" s="6">
        <f ca="1">IFERROR(__xludf.DUMMYFUNCTION("""COMPUTED_VALUE"""),2394.59)</f>
        <v>2394.59</v>
      </c>
      <c r="Z1277" s="6" t="str">
        <f t="shared" ca="1" si="351"/>
        <v>20218</v>
      </c>
      <c r="AA1277" s="6">
        <f t="shared" ca="1" si="352"/>
        <v>2021</v>
      </c>
      <c r="AB1277" s="6">
        <f t="shared" ca="1" si="353"/>
        <v>8</v>
      </c>
      <c r="AC1277" s="68">
        <f ca="1">IFERROR(__xludf.DUMMYFUNCTION("""COMPUTED_VALUE"""),44422.9986111111)</f>
        <v>44422.998611111099</v>
      </c>
      <c r="AD1277" s="6">
        <f ca="1">IFERROR(__xludf.DUMMYFUNCTION("""COMPUTED_VALUE"""),1161.08)</f>
        <v>1161.08</v>
      </c>
      <c r="AH1277" s="6" t="str">
        <f t="shared" ca="1" si="354"/>
        <v>20216</v>
      </c>
      <c r="AI1277" s="6">
        <f t="shared" ca="1" si="355"/>
        <v>2021</v>
      </c>
      <c r="AJ1277" s="6">
        <f t="shared" ca="1" si="356"/>
        <v>6</v>
      </c>
      <c r="AK1277" s="68">
        <f ca="1">IFERROR(__xludf.DUMMYFUNCTION("""COMPUTED_VALUE"""),44370.9986111111)</f>
        <v>44370.998611111099</v>
      </c>
      <c r="AL1277" s="6">
        <f ca="1">IFERROR(__xludf.DUMMYFUNCTION("""COMPUTED_VALUE"""),33661.74)</f>
        <v>33661.74</v>
      </c>
      <c r="AP1277" s="6" t="str">
        <f t="shared" ca="1" si="357"/>
        <v>20232</v>
      </c>
      <c r="AQ1277" s="6">
        <f t="shared" ca="1" si="358"/>
        <v>2023</v>
      </c>
      <c r="AR1277" s="6">
        <f t="shared" ca="1" si="359"/>
        <v>2</v>
      </c>
      <c r="AS1277" s="68">
        <f ca="1">IFERROR(__xludf.DUMMYFUNCTION("""COMPUTED_VALUE"""),44959.9986111111)</f>
        <v>44959.998611111099</v>
      </c>
      <c r="AT1277" s="6">
        <f ca="1">IFERROR(__xludf.DUMMYFUNCTION("""COMPUTED_VALUE"""),1930.8)</f>
        <v>1930.8</v>
      </c>
    </row>
    <row r="1278" spans="2:46" x14ac:dyDescent="0.35">
      <c r="B1278" s="6" t="str">
        <f t="shared" ca="1" si="342"/>
        <v>20231</v>
      </c>
      <c r="C1278" s="6">
        <f t="shared" ca="1" si="343"/>
        <v>2023</v>
      </c>
      <c r="D1278" s="6">
        <f t="shared" ca="1" si="344"/>
        <v>1</v>
      </c>
      <c r="E1278" s="68">
        <f ca="1">IFERROR(__xludf.DUMMYFUNCTION("""COMPUTED_VALUE"""),44953.6666666666)</f>
        <v>44953.666666666599</v>
      </c>
      <c r="F1278" s="6">
        <f ca="1">IFERROR(__xludf.DUMMYFUNCTION("""COMPUTED_VALUE"""),4070.56)</f>
        <v>4070.56</v>
      </c>
      <c r="J1278" s="6" t="str">
        <f t="shared" ca="1" si="345"/>
        <v>20231</v>
      </c>
      <c r="K1278" s="6">
        <f t="shared" ca="1" si="346"/>
        <v>2023</v>
      </c>
      <c r="L1278" s="6">
        <f t="shared" ca="1" si="347"/>
        <v>1</v>
      </c>
      <c r="M1278" s="68">
        <f ca="1">IFERROR(__xludf.DUMMYFUNCTION("""COMPUTED_VALUE"""),44945.6666666666)</f>
        <v>44945.666666666599</v>
      </c>
      <c r="N1278" s="6">
        <f ca="1">IFERROR(__xludf.DUMMYFUNCTION("""COMPUTED_VALUE"""),10852.27)</f>
        <v>10852.27</v>
      </c>
      <c r="R1278" s="6" t="str">
        <f t="shared" ca="1" si="348"/>
        <v>20233</v>
      </c>
      <c r="S1278" s="6">
        <f t="shared" ca="1" si="349"/>
        <v>2023</v>
      </c>
      <c r="T1278" s="6">
        <f t="shared" ca="1" si="350"/>
        <v>3</v>
      </c>
      <c r="U1278" s="68">
        <f ca="1">IFERROR(__xludf.DUMMYFUNCTION("""COMPUTED_VALUE"""),44998.6458333333)</f>
        <v>44998.645833333299</v>
      </c>
      <c r="V1278" s="6">
        <f ca="1">IFERROR(__xludf.DUMMYFUNCTION("""COMPUTED_VALUE"""),2410.6)</f>
        <v>2410.6</v>
      </c>
      <c r="Z1278" s="6" t="str">
        <f t="shared" ca="1" si="351"/>
        <v>20218</v>
      </c>
      <c r="AA1278" s="6">
        <f t="shared" ca="1" si="352"/>
        <v>2021</v>
      </c>
      <c r="AB1278" s="6">
        <f t="shared" ca="1" si="353"/>
        <v>8</v>
      </c>
      <c r="AC1278" s="68">
        <f ca="1">IFERROR(__xludf.DUMMYFUNCTION("""COMPUTED_VALUE"""),44423.9986111111)</f>
        <v>44423.998611111099</v>
      </c>
      <c r="AD1278" s="6">
        <f ca="1">IFERROR(__xludf.DUMMYFUNCTION("""COMPUTED_VALUE"""),1161.38)</f>
        <v>1161.3800000000001</v>
      </c>
      <c r="AH1278" s="6" t="str">
        <f t="shared" ca="1" si="354"/>
        <v>20216</v>
      </c>
      <c r="AI1278" s="6">
        <f t="shared" ca="1" si="355"/>
        <v>2021</v>
      </c>
      <c r="AJ1278" s="6">
        <f t="shared" ca="1" si="356"/>
        <v>6</v>
      </c>
      <c r="AK1278" s="68">
        <f ca="1">IFERROR(__xludf.DUMMYFUNCTION("""COMPUTED_VALUE"""),44371.9986111111)</f>
        <v>44371.998611111099</v>
      </c>
      <c r="AL1278" s="6">
        <f ca="1">IFERROR(__xludf.DUMMYFUNCTION("""COMPUTED_VALUE"""),34649.07)</f>
        <v>34649.07</v>
      </c>
      <c r="AP1278" s="6" t="str">
        <f t="shared" ca="1" si="357"/>
        <v>20232</v>
      </c>
      <c r="AQ1278" s="6">
        <f t="shared" ca="1" si="358"/>
        <v>2023</v>
      </c>
      <c r="AR1278" s="6">
        <f t="shared" ca="1" si="359"/>
        <v>2</v>
      </c>
      <c r="AS1278" s="68">
        <f ca="1">IFERROR(__xludf.DUMMYFUNCTION("""COMPUTED_VALUE"""),44960.9986111111)</f>
        <v>44960.998611111099</v>
      </c>
      <c r="AT1278" s="6">
        <f ca="1">IFERROR(__xludf.DUMMYFUNCTION("""COMPUTED_VALUE"""),1876.6)</f>
        <v>1876.6</v>
      </c>
    </row>
    <row r="1279" spans="2:46" x14ac:dyDescent="0.35">
      <c r="B1279" s="6" t="str">
        <f t="shared" ca="1" si="342"/>
        <v>20231</v>
      </c>
      <c r="C1279" s="6">
        <f t="shared" ca="1" si="343"/>
        <v>2023</v>
      </c>
      <c r="D1279" s="6">
        <f t="shared" ca="1" si="344"/>
        <v>1</v>
      </c>
      <c r="E1279" s="68">
        <f ca="1">IFERROR(__xludf.DUMMYFUNCTION("""COMPUTED_VALUE"""),44956.6666666666)</f>
        <v>44956.666666666599</v>
      </c>
      <c r="F1279" s="6">
        <f ca="1">IFERROR(__xludf.DUMMYFUNCTION("""COMPUTED_VALUE"""),4017.77)</f>
        <v>4017.77</v>
      </c>
      <c r="J1279" s="6" t="str">
        <f t="shared" ca="1" si="345"/>
        <v>20231</v>
      </c>
      <c r="K1279" s="6">
        <f t="shared" ca="1" si="346"/>
        <v>2023</v>
      </c>
      <c r="L1279" s="6">
        <f t="shared" ca="1" si="347"/>
        <v>1</v>
      </c>
      <c r="M1279" s="68">
        <f ca="1">IFERROR(__xludf.DUMMYFUNCTION("""COMPUTED_VALUE"""),44946.6666666666)</f>
        <v>44946.666666666599</v>
      </c>
      <c r="N1279" s="6">
        <f ca="1">IFERROR(__xludf.DUMMYFUNCTION("""COMPUTED_VALUE"""),11140.43)</f>
        <v>11140.43</v>
      </c>
      <c r="R1279" s="6" t="str">
        <f t="shared" ca="1" si="348"/>
        <v>20233</v>
      </c>
      <c r="S1279" s="6">
        <f t="shared" ca="1" si="349"/>
        <v>2023</v>
      </c>
      <c r="T1279" s="6">
        <f t="shared" ca="1" si="350"/>
        <v>3</v>
      </c>
      <c r="U1279" s="68">
        <f ca="1">IFERROR(__xludf.DUMMYFUNCTION("""COMPUTED_VALUE"""),44999.6458333333)</f>
        <v>44999.645833333299</v>
      </c>
      <c r="V1279" s="6">
        <f ca="1">IFERROR(__xludf.DUMMYFUNCTION("""COMPUTED_VALUE"""),2348.97)</f>
        <v>2348.9699999999998</v>
      </c>
      <c r="Z1279" s="6" t="str">
        <f t="shared" ca="1" si="351"/>
        <v>20218</v>
      </c>
      <c r="AA1279" s="6">
        <f t="shared" ca="1" si="352"/>
        <v>2021</v>
      </c>
      <c r="AB1279" s="6">
        <f t="shared" ca="1" si="353"/>
        <v>8</v>
      </c>
      <c r="AC1279" s="68">
        <f ca="1">IFERROR(__xludf.DUMMYFUNCTION("""COMPUTED_VALUE"""),44424.9986111111)</f>
        <v>44424.998611111099</v>
      </c>
      <c r="AD1279" s="6">
        <f ca="1">IFERROR(__xludf.DUMMYFUNCTION("""COMPUTED_VALUE"""),1164.5)</f>
        <v>1164.5</v>
      </c>
      <c r="AH1279" s="6" t="str">
        <f t="shared" ca="1" si="354"/>
        <v>20216</v>
      </c>
      <c r="AI1279" s="6">
        <f t="shared" ca="1" si="355"/>
        <v>2021</v>
      </c>
      <c r="AJ1279" s="6">
        <f t="shared" ca="1" si="356"/>
        <v>6</v>
      </c>
      <c r="AK1279" s="68">
        <f ca="1">IFERROR(__xludf.DUMMYFUNCTION("""COMPUTED_VALUE"""),44372.9986111111)</f>
        <v>44372.998611111099</v>
      </c>
      <c r="AL1279" s="6">
        <f ca="1">IFERROR(__xludf.DUMMYFUNCTION("""COMPUTED_VALUE"""),31597.98)</f>
        <v>31597.98</v>
      </c>
      <c r="AP1279" s="6" t="str">
        <f t="shared" ca="1" si="357"/>
        <v>20232</v>
      </c>
      <c r="AQ1279" s="6">
        <f t="shared" ca="1" si="358"/>
        <v>2023</v>
      </c>
      <c r="AR1279" s="6">
        <f t="shared" ca="1" si="359"/>
        <v>2</v>
      </c>
      <c r="AS1279" s="68">
        <f ca="1">IFERROR(__xludf.DUMMYFUNCTION("""COMPUTED_VALUE"""),44963.9986111111)</f>
        <v>44963.998611111099</v>
      </c>
      <c r="AT1279" s="6">
        <f ca="1">IFERROR(__xludf.DUMMYFUNCTION("""COMPUTED_VALUE"""),1879.5)</f>
        <v>1879.5</v>
      </c>
    </row>
    <row r="1280" spans="2:46" x14ac:dyDescent="0.35">
      <c r="B1280" s="6" t="str">
        <f t="shared" ca="1" si="342"/>
        <v>20231</v>
      </c>
      <c r="C1280" s="6">
        <f t="shared" ca="1" si="343"/>
        <v>2023</v>
      </c>
      <c r="D1280" s="6">
        <f t="shared" ca="1" si="344"/>
        <v>1</v>
      </c>
      <c r="E1280" s="68">
        <f ca="1">IFERROR(__xludf.DUMMYFUNCTION("""COMPUTED_VALUE"""),44957.6666666666)</f>
        <v>44957.666666666599</v>
      </c>
      <c r="F1280" s="6">
        <f ca="1">IFERROR(__xludf.DUMMYFUNCTION("""COMPUTED_VALUE"""),4076.6)</f>
        <v>4076.6</v>
      </c>
      <c r="J1280" s="6" t="str">
        <f t="shared" ca="1" si="345"/>
        <v>20231</v>
      </c>
      <c r="K1280" s="6">
        <f t="shared" ca="1" si="346"/>
        <v>2023</v>
      </c>
      <c r="L1280" s="6">
        <f t="shared" ca="1" si="347"/>
        <v>1</v>
      </c>
      <c r="M1280" s="68">
        <f ca="1">IFERROR(__xludf.DUMMYFUNCTION("""COMPUTED_VALUE"""),44949.6666666666)</f>
        <v>44949.666666666599</v>
      </c>
      <c r="N1280" s="6">
        <f ca="1">IFERROR(__xludf.DUMMYFUNCTION("""COMPUTED_VALUE"""),11364.41)</f>
        <v>11364.41</v>
      </c>
      <c r="R1280" s="6" t="str">
        <f t="shared" ca="1" si="348"/>
        <v>20233</v>
      </c>
      <c r="S1280" s="6">
        <f t="shared" ca="1" si="349"/>
        <v>2023</v>
      </c>
      <c r="T1280" s="6">
        <f t="shared" ca="1" si="350"/>
        <v>3</v>
      </c>
      <c r="U1280" s="68">
        <f ca="1">IFERROR(__xludf.DUMMYFUNCTION("""COMPUTED_VALUE"""),45000.6458333333)</f>
        <v>45000.645833333299</v>
      </c>
      <c r="V1280" s="6">
        <f ca="1">IFERROR(__xludf.DUMMYFUNCTION("""COMPUTED_VALUE"""),2379.72)</f>
        <v>2379.7199999999998</v>
      </c>
      <c r="Z1280" s="6" t="str">
        <f t="shared" ca="1" si="351"/>
        <v>20218</v>
      </c>
      <c r="AA1280" s="6">
        <f t="shared" ca="1" si="352"/>
        <v>2021</v>
      </c>
      <c r="AB1280" s="6">
        <f t="shared" ca="1" si="353"/>
        <v>8</v>
      </c>
      <c r="AC1280" s="68">
        <f ca="1">IFERROR(__xludf.DUMMYFUNCTION("""COMPUTED_VALUE"""),44425.9986111111)</f>
        <v>44425.998611111099</v>
      </c>
      <c r="AD1280" s="6">
        <f ca="1">IFERROR(__xludf.DUMMYFUNCTION("""COMPUTED_VALUE"""),1176.45)</f>
        <v>1176.45</v>
      </c>
      <c r="AH1280" s="6" t="str">
        <f t="shared" ca="1" si="354"/>
        <v>20216</v>
      </c>
      <c r="AI1280" s="6">
        <f t="shared" ca="1" si="355"/>
        <v>2021</v>
      </c>
      <c r="AJ1280" s="6">
        <f t="shared" ca="1" si="356"/>
        <v>6</v>
      </c>
      <c r="AK1280" s="68">
        <f ca="1">IFERROR(__xludf.DUMMYFUNCTION("""COMPUTED_VALUE"""),44373.9986111111)</f>
        <v>44373.998611111099</v>
      </c>
      <c r="AL1280" s="6">
        <f ca="1">IFERROR(__xludf.DUMMYFUNCTION("""COMPUTED_VALUE"""),32214.82)</f>
        <v>32214.82</v>
      </c>
      <c r="AP1280" s="6" t="str">
        <f t="shared" ca="1" si="357"/>
        <v>20232</v>
      </c>
      <c r="AQ1280" s="6">
        <f t="shared" ca="1" si="358"/>
        <v>2023</v>
      </c>
      <c r="AR1280" s="6">
        <f t="shared" ca="1" si="359"/>
        <v>2</v>
      </c>
      <c r="AS1280" s="68">
        <f ca="1">IFERROR(__xludf.DUMMYFUNCTION("""COMPUTED_VALUE"""),44964.9986111111)</f>
        <v>44964.998611111099</v>
      </c>
      <c r="AT1280" s="6">
        <f ca="1">IFERROR(__xludf.DUMMYFUNCTION("""COMPUTED_VALUE"""),1884.8)</f>
        <v>1884.8</v>
      </c>
    </row>
    <row r="1281" spans="2:46" x14ac:dyDescent="0.35">
      <c r="B1281" s="6" t="str">
        <f t="shared" ca="1" si="342"/>
        <v>20232</v>
      </c>
      <c r="C1281" s="6">
        <f t="shared" ca="1" si="343"/>
        <v>2023</v>
      </c>
      <c r="D1281" s="6">
        <f t="shared" ca="1" si="344"/>
        <v>2</v>
      </c>
      <c r="E1281" s="68">
        <f ca="1">IFERROR(__xludf.DUMMYFUNCTION("""COMPUTED_VALUE"""),44958.6666666666)</f>
        <v>44958.666666666599</v>
      </c>
      <c r="F1281" s="6">
        <f ca="1">IFERROR(__xludf.DUMMYFUNCTION("""COMPUTED_VALUE"""),4119.21)</f>
        <v>4119.21</v>
      </c>
      <c r="J1281" s="6" t="str">
        <f t="shared" ca="1" si="345"/>
        <v>20231</v>
      </c>
      <c r="K1281" s="6">
        <f t="shared" ca="1" si="346"/>
        <v>2023</v>
      </c>
      <c r="L1281" s="6">
        <f t="shared" ca="1" si="347"/>
        <v>1</v>
      </c>
      <c r="M1281" s="68">
        <f ca="1">IFERROR(__xludf.DUMMYFUNCTION("""COMPUTED_VALUE"""),44950.6666666666)</f>
        <v>44950.666666666599</v>
      </c>
      <c r="N1281" s="6">
        <f ca="1">IFERROR(__xludf.DUMMYFUNCTION("""COMPUTED_VALUE"""),11334.27)</f>
        <v>11334.27</v>
      </c>
      <c r="R1281" s="6" t="str">
        <f t="shared" ca="1" si="348"/>
        <v>20233</v>
      </c>
      <c r="S1281" s="6">
        <f t="shared" ca="1" si="349"/>
        <v>2023</v>
      </c>
      <c r="T1281" s="6">
        <f t="shared" ca="1" si="350"/>
        <v>3</v>
      </c>
      <c r="U1281" s="68">
        <f ca="1">IFERROR(__xludf.DUMMYFUNCTION("""COMPUTED_VALUE"""),45001.6458333333)</f>
        <v>45001.645833333299</v>
      </c>
      <c r="V1281" s="6">
        <f ca="1">IFERROR(__xludf.DUMMYFUNCTION("""COMPUTED_VALUE"""),2377.91)</f>
        <v>2377.91</v>
      </c>
      <c r="Z1281" s="6" t="str">
        <f t="shared" ca="1" si="351"/>
        <v>20218</v>
      </c>
      <c r="AA1281" s="6">
        <f t="shared" ca="1" si="352"/>
        <v>2021</v>
      </c>
      <c r="AB1281" s="6">
        <f t="shared" ca="1" si="353"/>
        <v>8</v>
      </c>
      <c r="AC1281" s="68">
        <f ca="1">IFERROR(__xludf.DUMMYFUNCTION("""COMPUTED_VALUE"""),44426.9986111111)</f>
        <v>44426.998611111099</v>
      </c>
      <c r="AD1281" s="6">
        <f ca="1">IFERROR(__xludf.DUMMYFUNCTION("""COMPUTED_VALUE"""),1169.68)</f>
        <v>1169.68</v>
      </c>
      <c r="AH1281" s="6" t="str">
        <f t="shared" ca="1" si="354"/>
        <v>20216</v>
      </c>
      <c r="AI1281" s="6">
        <f t="shared" ca="1" si="355"/>
        <v>2021</v>
      </c>
      <c r="AJ1281" s="6">
        <f t="shared" ca="1" si="356"/>
        <v>6</v>
      </c>
      <c r="AK1281" s="68">
        <f ca="1">IFERROR(__xludf.DUMMYFUNCTION("""COMPUTED_VALUE"""),44374.9986111111)</f>
        <v>44374.998611111099</v>
      </c>
      <c r="AL1281" s="6">
        <f ca="1">IFERROR(__xludf.DUMMYFUNCTION("""COMPUTED_VALUE"""),34668.56)</f>
        <v>34668.559999999998</v>
      </c>
      <c r="AP1281" s="6" t="str">
        <f t="shared" ca="1" si="357"/>
        <v>20232</v>
      </c>
      <c r="AQ1281" s="6">
        <f t="shared" ca="1" si="358"/>
        <v>2023</v>
      </c>
      <c r="AR1281" s="6">
        <f t="shared" ca="1" si="359"/>
        <v>2</v>
      </c>
      <c r="AS1281" s="68">
        <f ca="1">IFERROR(__xludf.DUMMYFUNCTION("""COMPUTED_VALUE"""),44965.9986111111)</f>
        <v>44965.998611111099</v>
      </c>
      <c r="AT1281" s="6">
        <f ca="1">IFERROR(__xludf.DUMMYFUNCTION("""COMPUTED_VALUE"""),1890.7)</f>
        <v>1890.7</v>
      </c>
    </row>
    <row r="1282" spans="2:46" x14ac:dyDescent="0.35">
      <c r="B1282" s="6" t="str">
        <f t="shared" ca="1" si="342"/>
        <v>20232</v>
      </c>
      <c r="C1282" s="6">
        <f t="shared" ca="1" si="343"/>
        <v>2023</v>
      </c>
      <c r="D1282" s="6">
        <f t="shared" ca="1" si="344"/>
        <v>2</v>
      </c>
      <c r="E1282" s="68">
        <f ca="1">IFERROR(__xludf.DUMMYFUNCTION("""COMPUTED_VALUE"""),44959.6666666666)</f>
        <v>44959.666666666599</v>
      </c>
      <c r="F1282" s="6">
        <f ca="1">IFERROR(__xludf.DUMMYFUNCTION("""COMPUTED_VALUE"""),4179.76)</f>
        <v>4179.76</v>
      </c>
      <c r="J1282" s="6" t="str">
        <f t="shared" ca="1" si="345"/>
        <v>20231</v>
      </c>
      <c r="K1282" s="6">
        <f t="shared" ca="1" si="346"/>
        <v>2023</v>
      </c>
      <c r="L1282" s="6">
        <f t="shared" ca="1" si="347"/>
        <v>1</v>
      </c>
      <c r="M1282" s="68">
        <f ca="1">IFERROR(__xludf.DUMMYFUNCTION("""COMPUTED_VALUE"""),44951.6666666666)</f>
        <v>44951.666666666599</v>
      </c>
      <c r="N1282" s="6">
        <f ca="1">IFERROR(__xludf.DUMMYFUNCTION("""COMPUTED_VALUE"""),11313.36)</f>
        <v>11313.36</v>
      </c>
      <c r="R1282" s="6" t="str">
        <f t="shared" ca="1" si="348"/>
        <v>20233</v>
      </c>
      <c r="S1282" s="6">
        <f t="shared" ca="1" si="349"/>
        <v>2023</v>
      </c>
      <c r="T1282" s="6">
        <f t="shared" ca="1" si="350"/>
        <v>3</v>
      </c>
      <c r="U1282" s="68">
        <f ca="1">IFERROR(__xludf.DUMMYFUNCTION("""COMPUTED_VALUE"""),45002.6458333333)</f>
        <v>45002.645833333299</v>
      </c>
      <c r="V1282" s="6">
        <f ca="1">IFERROR(__xludf.DUMMYFUNCTION("""COMPUTED_VALUE"""),2395.69)</f>
        <v>2395.69</v>
      </c>
      <c r="Z1282" s="6" t="str">
        <f t="shared" ca="1" si="351"/>
        <v>20218</v>
      </c>
      <c r="AA1282" s="6">
        <f t="shared" ca="1" si="352"/>
        <v>2021</v>
      </c>
      <c r="AB1282" s="6">
        <f t="shared" ca="1" si="353"/>
        <v>8</v>
      </c>
      <c r="AC1282" s="68">
        <f ca="1">IFERROR(__xludf.DUMMYFUNCTION("""COMPUTED_VALUE"""),44427.9986111111)</f>
        <v>44427.998611111099</v>
      </c>
      <c r="AD1282" s="6">
        <f ca="1">IFERROR(__xludf.DUMMYFUNCTION("""COMPUTED_VALUE"""),1175.39)</f>
        <v>1175.3900000000001</v>
      </c>
      <c r="AH1282" s="6" t="str">
        <f t="shared" ca="1" si="354"/>
        <v>20216</v>
      </c>
      <c r="AI1282" s="6">
        <f t="shared" ca="1" si="355"/>
        <v>2021</v>
      </c>
      <c r="AJ1282" s="6">
        <f t="shared" ca="1" si="356"/>
        <v>6</v>
      </c>
      <c r="AK1282" s="68">
        <f ca="1">IFERROR(__xludf.DUMMYFUNCTION("""COMPUTED_VALUE"""),44375.9986111111)</f>
        <v>44375.998611111099</v>
      </c>
      <c r="AL1282" s="6">
        <f ca="1">IFERROR(__xludf.DUMMYFUNCTION("""COMPUTED_VALUE"""),34463.3)</f>
        <v>34463.300000000003</v>
      </c>
      <c r="AP1282" s="6" t="str">
        <f t="shared" ca="1" si="357"/>
        <v>20232</v>
      </c>
      <c r="AQ1282" s="6">
        <f t="shared" ca="1" si="358"/>
        <v>2023</v>
      </c>
      <c r="AR1282" s="6">
        <f t="shared" ca="1" si="359"/>
        <v>2</v>
      </c>
      <c r="AS1282" s="68">
        <f ca="1">IFERROR(__xludf.DUMMYFUNCTION("""COMPUTED_VALUE"""),44966.9986111111)</f>
        <v>44966.998611111099</v>
      </c>
      <c r="AT1282" s="6">
        <f ca="1">IFERROR(__xludf.DUMMYFUNCTION("""COMPUTED_VALUE"""),1878.5)</f>
        <v>1878.5</v>
      </c>
    </row>
    <row r="1283" spans="2:46" x14ac:dyDescent="0.35">
      <c r="B1283" s="6" t="str">
        <f t="shared" ca="1" si="342"/>
        <v>20232</v>
      </c>
      <c r="C1283" s="6">
        <f t="shared" ca="1" si="343"/>
        <v>2023</v>
      </c>
      <c r="D1283" s="6">
        <f t="shared" ca="1" si="344"/>
        <v>2</v>
      </c>
      <c r="E1283" s="68">
        <f ca="1">IFERROR(__xludf.DUMMYFUNCTION("""COMPUTED_VALUE"""),44960.6666666666)</f>
        <v>44960.666666666599</v>
      </c>
      <c r="F1283" s="6">
        <f ca="1">IFERROR(__xludf.DUMMYFUNCTION("""COMPUTED_VALUE"""),4136.48)</f>
        <v>4136.4799999999996</v>
      </c>
      <c r="J1283" s="6" t="str">
        <f t="shared" ca="1" si="345"/>
        <v>20231</v>
      </c>
      <c r="K1283" s="6">
        <f t="shared" ca="1" si="346"/>
        <v>2023</v>
      </c>
      <c r="L1283" s="6">
        <f t="shared" ca="1" si="347"/>
        <v>1</v>
      </c>
      <c r="M1283" s="68">
        <f ca="1">IFERROR(__xludf.DUMMYFUNCTION("""COMPUTED_VALUE"""),44952.6666666666)</f>
        <v>44952.666666666599</v>
      </c>
      <c r="N1283" s="6">
        <f ca="1">IFERROR(__xludf.DUMMYFUNCTION("""COMPUTED_VALUE"""),11512.41)</f>
        <v>11512.41</v>
      </c>
      <c r="R1283" s="6" t="str">
        <f t="shared" ca="1" si="348"/>
        <v>20233</v>
      </c>
      <c r="S1283" s="6">
        <f t="shared" ca="1" si="349"/>
        <v>2023</v>
      </c>
      <c r="T1283" s="6">
        <f t="shared" ca="1" si="350"/>
        <v>3</v>
      </c>
      <c r="U1283" s="68">
        <f ca="1">IFERROR(__xludf.DUMMYFUNCTION("""COMPUTED_VALUE"""),45005.6458333333)</f>
        <v>45005.645833333299</v>
      </c>
      <c r="V1283" s="6">
        <f ca="1">IFERROR(__xludf.DUMMYFUNCTION("""COMPUTED_VALUE"""),2379.2)</f>
        <v>2379.1999999999998</v>
      </c>
      <c r="Z1283" s="6" t="str">
        <f t="shared" ca="1" si="351"/>
        <v>20218</v>
      </c>
      <c r="AA1283" s="6">
        <f t="shared" ca="1" si="352"/>
        <v>2021</v>
      </c>
      <c r="AB1283" s="6">
        <f t="shared" ca="1" si="353"/>
        <v>8</v>
      </c>
      <c r="AC1283" s="68">
        <f ca="1">IFERROR(__xludf.DUMMYFUNCTION("""COMPUTED_VALUE"""),44428.9986111111)</f>
        <v>44428.998611111099</v>
      </c>
      <c r="AD1283" s="6">
        <f ca="1">IFERROR(__xludf.DUMMYFUNCTION("""COMPUTED_VALUE"""),1173.78)</f>
        <v>1173.78</v>
      </c>
      <c r="AH1283" s="6" t="str">
        <f t="shared" ca="1" si="354"/>
        <v>20216</v>
      </c>
      <c r="AI1283" s="6">
        <f t="shared" ca="1" si="355"/>
        <v>2021</v>
      </c>
      <c r="AJ1283" s="6">
        <f t="shared" ca="1" si="356"/>
        <v>6</v>
      </c>
      <c r="AK1283" s="68">
        <f ca="1">IFERROR(__xludf.DUMMYFUNCTION("""COMPUTED_VALUE"""),44376.9986111111)</f>
        <v>44376.998611111099</v>
      </c>
      <c r="AL1283" s="6">
        <f ca="1">IFERROR(__xludf.DUMMYFUNCTION("""COMPUTED_VALUE"""),35852.64)</f>
        <v>35852.639999999999</v>
      </c>
      <c r="AP1283" s="6" t="str">
        <f t="shared" ca="1" si="357"/>
        <v>20232</v>
      </c>
      <c r="AQ1283" s="6">
        <f t="shared" ca="1" si="358"/>
        <v>2023</v>
      </c>
      <c r="AR1283" s="6">
        <f t="shared" ca="1" si="359"/>
        <v>2</v>
      </c>
      <c r="AS1283" s="68">
        <f ca="1">IFERROR(__xludf.DUMMYFUNCTION("""COMPUTED_VALUE"""),44967.9986111111)</f>
        <v>44967.998611111099</v>
      </c>
      <c r="AT1283" s="6">
        <f ca="1">IFERROR(__xludf.DUMMYFUNCTION("""COMPUTED_VALUE"""),1874.5)</f>
        <v>1874.5</v>
      </c>
    </row>
    <row r="1284" spans="2:46" x14ac:dyDescent="0.35">
      <c r="B1284" s="6" t="str">
        <f t="shared" ca="1" si="342"/>
        <v>20232</v>
      </c>
      <c r="C1284" s="6">
        <f t="shared" ca="1" si="343"/>
        <v>2023</v>
      </c>
      <c r="D1284" s="6">
        <f t="shared" ca="1" si="344"/>
        <v>2</v>
      </c>
      <c r="E1284" s="68">
        <f ca="1">IFERROR(__xludf.DUMMYFUNCTION("""COMPUTED_VALUE"""),44963.6666666666)</f>
        <v>44963.666666666599</v>
      </c>
      <c r="F1284" s="6">
        <f ca="1">IFERROR(__xludf.DUMMYFUNCTION("""COMPUTED_VALUE"""),4111.08)</f>
        <v>4111.08</v>
      </c>
      <c r="J1284" s="6" t="str">
        <f t="shared" ca="1" si="345"/>
        <v>20231</v>
      </c>
      <c r="K1284" s="6">
        <f t="shared" ca="1" si="346"/>
        <v>2023</v>
      </c>
      <c r="L1284" s="6">
        <f t="shared" ca="1" si="347"/>
        <v>1</v>
      </c>
      <c r="M1284" s="68">
        <f ca="1">IFERROR(__xludf.DUMMYFUNCTION("""COMPUTED_VALUE"""),44953.6666666666)</f>
        <v>44953.666666666599</v>
      </c>
      <c r="N1284" s="6">
        <f ca="1">IFERROR(__xludf.DUMMYFUNCTION("""COMPUTED_VALUE"""),11621.71)</f>
        <v>11621.71</v>
      </c>
      <c r="R1284" s="6" t="str">
        <f t="shared" ca="1" si="348"/>
        <v>20233</v>
      </c>
      <c r="S1284" s="6">
        <f t="shared" ca="1" si="349"/>
        <v>2023</v>
      </c>
      <c r="T1284" s="6">
        <f t="shared" ca="1" si="350"/>
        <v>3</v>
      </c>
      <c r="U1284" s="68">
        <f ca="1">IFERROR(__xludf.DUMMYFUNCTION("""COMPUTED_VALUE"""),45006.6458333333)</f>
        <v>45006.645833333299</v>
      </c>
      <c r="V1284" s="6">
        <f ca="1">IFERROR(__xludf.DUMMYFUNCTION("""COMPUTED_VALUE"""),2388.35)</f>
        <v>2388.35</v>
      </c>
      <c r="Z1284" s="6" t="str">
        <f t="shared" ca="1" si="351"/>
        <v>20218</v>
      </c>
      <c r="AA1284" s="6">
        <f t="shared" ca="1" si="352"/>
        <v>2021</v>
      </c>
      <c r="AB1284" s="6">
        <f t="shared" ca="1" si="353"/>
        <v>8</v>
      </c>
      <c r="AC1284" s="68">
        <f ca="1">IFERROR(__xludf.DUMMYFUNCTION("""COMPUTED_VALUE"""),44429.9986111111)</f>
        <v>44429.998611111099</v>
      </c>
      <c r="AD1284" s="6">
        <f ca="1">IFERROR(__xludf.DUMMYFUNCTION("""COMPUTED_VALUE"""),1173.18)</f>
        <v>1173.18</v>
      </c>
      <c r="AH1284" s="6" t="str">
        <f t="shared" ca="1" si="354"/>
        <v>20216</v>
      </c>
      <c r="AI1284" s="6">
        <f t="shared" ca="1" si="355"/>
        <v>2021</v>
      </c>
      <c r="AJ1284" s="6">
        <f t="shared" ca="1" si="356"/>
        <v>6</v>
      </c>
      <c r="AK1284" s="68">
        <f ca="1">IFERROR(__xludf.DUMMYFUNCTION("""COMPUTED_VALUE"""),44377.9986111111)</f>
        <v>44377.998611111099</v>
      </c>
      <c r="AL1284" s="6">
        <f ca="1">IFERROR(__xludf.DUMMYFUNCTION("""COMPUTED_VALUE"""),35031.71)</f>
        <v>35031.71</v>
      </c>
      <c r="AP1284" s="6" t="str">
        <f t="shared" ca="1" si="357"/>
        <v>20232</v>
      </c>
      <c r="AQ1284" s="6">
        <f t="shared" ca="1" si="358"/>
        <v>2023</v>
      </c>
      <c r="AR1284" s="6">
        <f t="shared" ca="1" si="359"/>
        <v>2</v>
      </c>
      <c r="AS1284" s="68">
        <f ca="1">IFERROR(__xludf.DUMMYFUNCTION("""COMPUTED_VALUE"""),44970.9986111111)</f>
        <v>44970.998611111099</v>
      </c>
      <c r="AT1284" s="6">
        <f ca="1">IFERROR(__xludf.DUMMYFUNCTION("""COMPUTED_VALUE"""),1863.5)</f>
        <v>1863.5</v>
      </c>
    </row>
    <row r="1285" spans="2:46" x14ac:dyDescent="0.35">
      <c r="B1285" s="6" t="str">
        <f t="shared" ca="1" si="342"/>
        <v>20232</v>
      </c>
      <c r="C1285" s="6">
        <f t="shared" ca="1" si="343"/>
        <v>2023</v>
      </c>
      <c r="D1285" s="6">
        <f t="shared" ca="1" si="344"/>
        <v>2</v>
      </c>
      <c r="E1285" s="68">
        <f ca="1">IFERROR(__xludf.DUMMYFUNCTION("""COMPUTED_VALUE"""),44964.6666666666)</f>
        <v>44964.666666666599</v>
      </c>
      <c r="F1285" s="6">
        <f ca="1">IFERROR(__xludf.DUMMYFUNCTION("""COMPUTED_VALUE"""),4164)</f>
        <v>4164</v>
      </c>
      <c r="J1285" s="6" t="str">
        <f t="shared" ca="1" si="345"/>
        <v>20231</v>
      </c>
      <c r="K1285" s="6">
        <f t="shared" ca="1" si="346"/>
        <v>2023</v>
      </c>
      <c r="L1285" s="6">
        <f t="shared" ca="1" si="347"/>
        <v>1</v>
      </c>
      <c r="M1285" s="68">
        <f ca="1">IFERROR(__xludf.DUMMYFUNCTION("""COMPUTED_VALUE"""),44956.6666666666)</f>
        <v>44956.666666666599</v>
      </c>
      <c r="N1285" s="6">
        <f ca="1">IFERROR(__xludf.DUMMYFUNCTION("""COMPUTED_VALUE"""),11393.81)</f>
        <v>11393.81</v>
      </c>
      <c r="R1285" s="6" t="str">
        <f t="shared" ca="1" si="348"/>
        <v>20233</v>
      </c>
      <c r="S1285" s="6">
        <f t="shared" ca="1" si="349"/>
        <v>2023</v>
      </c>
      <c r="T1285" s="6">
        <f t="shared" ca="1" si="350"/>
        <v>3</v>
      </c>
      <c r="U1285" s="68">
        <f ca="1">IFERROR(__xludf.DUMMYFUNCTION("""COMPUTED_VALUE"""),45007.6458333333)</f>
        <v>45007.645833333299</v>
      </c>
      <c r="V1285" s="6">
        <f ca="1">IFERROR(__xludf.DUMMYFUNCTION("""COMPUTED_VALUE"""),2416.96)</f>
        <v>2416.96</v>
      </c>
      <c r="Z1285" s="6" t="str">
        <f t="shared" ca="1" si="351"/>
        <v>20218</v>
      </c>
      <c r="AA1285" s="6">
        <f t="shared" ca="1" si="352"/>
        <v>2021</v>
      </c>
      <c r="AB1285" s="6">
        <f t="shared" ca="1" si="353"/>
        <v>8</v>
      </c>
      <c r="AC1285" s="68">
        <f ca="1">IFERROR(__xludf.DUMMYFUNCTION("""COMPUTED_VALUE"""),44430.9986111111)</f>
        <v>44430.998611111099</v>
      </c>
      <c r="AD1285" s="6">
        <f ca="1">IFERROR(__xludf.DUMMYFUNCTION("""COMPUTED_VALUE"""),1174.24)</f>
        <v>1174.24</v>
      </c>
      <c r="AH1285" s="6" t="str">
        <f t="shared" ca="1" si="354"/>
        <v>20217</v>
      </c>
      <c r="AI1285" s="6">
        <f t="shared" ca="1" si="355"/>
        <v>2021</v>
      </c>
      <c r="AJ1285" s="6">
        <f t="shared" ca="1" si="356"/>
        <v>7</v>
      </c>
      <c r="AK1285" s="68">
        <f ca="1">IFERROR(__xludf.DUMMYFUNCTION("""COMPUTED_VALUE"""),44378.9986111111)</f>
        <v>44378.998611111099</v>
      </c>
      <c r="AL1285" s="6">
        <f ca="1">IFERROR(__xludf.DUMMYFUNCTION("""COMPUTED_VALUE"""),33548.11)</f>
        <v>33548.11</v>
      </c>
      <c r="AP1285" s="6" t="str">
        <f t="shared" ca="1" si="357"/>
        <v>20232</v>
      </c>
      <c r="AQ1285" s="6">
        <f t="shared" ca="1" si="358"/>
        <v>2023</v>
      </c>
      <c r="AR1285" s="6">
        <f t="shared" ca="1" si="359"/>
        <v>2</v>
      </c>
      <c r="AS1285" s="68">
        <f ca="1">IFERROR(__xludf.DUMMYFUNCTION("""COMPUTED_VALUE"""),44971.9986111111)</f>
        <v>44971.998611111099</v>
      </c>
      <c r="AT1285" s="6">
        <f ca="1">IFERROR(__xludf.DUMMYFUNCTION("""COMPUTED_VALUE"""),1865.4)</f>
        <v>1865.4</v>
      </c>
    </row>
    <row r="1286" spans="2:46" x14ac:dyDescent="0.35">
      <c r="B1286" s="6" t="str">
        <f t="shared" ca="1" si="342"/>
        <v>20232</v>
      </c>
      <c r="C1286" s="6">
        <f t="shared" ca="1" si="343"/>
        <v>2023</v>
      </c>
      <c r="D1286" s="6">
        <f t="shared" ca="1" si="344"/>
        <v>2</v>
      </c>
      <c r="E1286" s="68">
        <f ca="1">IFERROR(__xludf.DUMMYFUNCTION("""COMPUTED_VALUE"""),44965.6666666666)</f>
        <v>44965.666666666599</v>
      </c>
      <c r="F1286" s="6">
        <f ca="1">IFERROR(__xludf.DUMMYFUNCTION("""COMPUTED_VALUE"""),4117.86)</f>
        <v>4117.8599999999997</v>
      </c>
      <c r="J1286" s="6" t="str">
        <f t="shared" ca="1" si="345"/>
        <v>20231</v>
      </c>
      <c r="K1286" s="6">
        <f t="shared" ca="1" si="346"/>
        <v>2023</v>
      </c>
      <c r="L1286" s="6">
        <f t="shared" ca="1" si="347"/>
        <v>1</v>
      </c>
      <c r="M1286" s="68">
        <f ca="1">IFERROR(__xludf.DUMMYFUNCTION("""COMPUTED_VALUE"""),44957.6666666666)</f>
        <v>44957.666666666599</v>
      </c>
      <c r="N1286" s="6">
        <f ca="1">IFERROR(__xludf.DUMMYFUNCTION("""COMPUTED_VALUE"""),11584.55)</f>
        <v>11584.55</v>
      </c>
      <c r="R1286" s="6" t="str">
        <f t="shared" ca="1" si="348"/>
        <v>20233</v>
      </c>
      <c r="S1286" s="6">
        <f t="shared" ca="1" si="349"/>
        <v>2023</v>
      </c>
      <c r="T1286" s="6">
        <f t="shared" ca="1" si="350"/>
        <v>3</v>
      </c>
      <c r="U1286" s="68">
        <f ca="1">IFERROR(__xludf.DUMMYFUNCTION("""COMPUTED_VALUE"""),45008.6458333333)</f>
        <v>45008.645833333299</v>
      </c>
      <c r="V1286" s="6">
        <f ca="1">IFERROR(__xludf.DUMMYFUNCTION("""COMPUTED_VALUE"""),2424.48)</f>
        <v>2424.48</v>
      </c>
      <c r="Z1286" s="6" t="str">
        <f t="shared" ca="1" si="351"/>
        <v>20218</v>
      </c>
      <c r="AA1286" s="6">
        <f t="shared" ca="1" si="352"/>
        <v>2021</v>
      </c>
      <c r="AB1286" s="6">
        <f t="shared" ca="1" si="353"/>
        <v>8</v>
      </c>
      <c r="AC1286" s="68">
        <f ca="1">IFERROR(__xludf.DUMMYFUNCTION("""COMPUTED_VALUE"""),44431.9986111111)</f>
        <v>44431.998611111099</v>
      </c>
      <c r="AD1286" s="6">
        <f ca="1">IFERROR(__xludf.DUMMYFUNCTION("""COMPUTED_VALUE"""),1167.61)</f>
        <v>1167.6099999999999</v>
      </c>
      <c r="AH1286" s="6" t="str">
        <f t="shared" ca="1" si="354"/>
        <v>20217</v>
      </c>
      <c r="AI1286" s="6">
        <f t="shared" ca="1" si="355"/>
        <v>2021</v>
      </c>
      <c r="AJ1286" s="6">
        <f t="shared" ca="1" si="356"/>
        <v>7</v>
      </c>
      <c r="AK1286" s="68">
        <f ca="1">IFERROR(__xludf.DUMMYFUNCTION("""COMPUTED_VALUE"""),44379.9986111111)</f>
        <v>44379.998611111099</v>
      </c>
      <c r="AL1286" s="6">
        <f ca="1">IFERROR(__xludf.DUMMYFUNCTION("""COMPUTED_VALUE"""),33830.32)</f>
        <v>33830.32</v>
      </c>
      <c r="AP1286" s="6" t="str">
        <f t="shared" ca="1" si="357"/>
        <v>20232</v>
      </c>
      <c r="AQ1286" s="6">
        <f t="shared" ca="1" si="358"/>
        <v>2023</v>
      </c>
      <c r="AR1286" s="6">
        <f t="shared" ca="1" si="359"/>
        <v>2</v>
      </c>
      <c r="AS1286" s="68">
        <f ca="1">IFERROR(__xludf.DUMMYFUNCTION("""COMPUTED_VALUE"""),44972.9986111111)</f>
        <v>44972.998611111099</v>
      </c>
      <c r="AT1286" s="6">
        <f ca="1">IFERROR(__xludf.DUMMYFUNCTION("""COMPUTED_VALUE"""),1845.3)</f>
        <v>1845.3</v>
      </c>
    </row>
    <row r="1287" spans="2:46" x14ac:dyDescent="0.35">
      <c r="B1287" s="6" t="str">
        <f t="shared" ref="B1287:B1350" ca="1" si="360">C1287&amp;D1287</f>
        <v>20232</v>
      </c>
      <c r="C1287" s="6">
        <f t="shared" ref="C1287:C1350" ca="1" si="361">YEAR(E1287)</f>
        <v>2023</v>
      </c>
      <c r="D1287" s="6">
        <f t="shared" ref="D1287:D1350" ca="1" si="362">MONTH(E1287)</f>
        <v>2</v>
      </c>
      <c r="E1287" s="68">
        <f ca="1">IFERROR(__xludf.DUMMYFUNCTION("""COMPUTED_VALUE"""),44966.6666666666)</f>
        <v>44966.666666666599</v>
      </c>
      <c r="F1287" s="6">
        <f ca="1">IFERROR(__xludf.DUMMYFUNCTION("""COMPUTED_VALUE"""),4081.5)</f>
        <v>4081.5</v>
      </c>
      <c r="J1287" s="6" t="str">
        <f t="shared" ref="J1287:J1350" ca="1" si="363">K1287&amp;L1287</f>
        <v>20232</v>
      </c>
      <c r="K1287" s="6">
        <f t="shared" ref="K1287:K1350" ca="1" si="364">YEAR(M1287)</f>
        <v>2023</v>
      </c>
      <c r="L1287" s="6">
        <f t="shared" ref="L1287:L1350" ca="1" si="365">MONTH(M1287)</f>
        <v>2</v>
      </c>
      <c r="M1287" s="68">
        <f ca="1">IFERROR(__xludf.DUMMYFUNCTION("""COMPUTED_VALUE"""),44958.6666666666)</f>
        <v>44958.666666666599</v>
      </c>
      <c r="N1287" s="6">
        <f ca="1">IFERROR(__xludf.DUMMYFUNCTION("""COMPUTED_VALUE"""),11816.32)</f>
        <v>11816.32</v>
      </c>
      <c r="R1287" s="6" t="str">
        <f t="shared" ref="R1287:R1350" ca="1" si="366">S1287&amp;T1287</f>
        <v>20233</v>
      </c>
      <c r="S1287" s="6">
        <f t="shared" ref="S1287:S1350" ca="1" si="367">YEAR(U1287)</f>
        <v>2023</v>
      </c>
      <c r="T1287" s="6">
        <f t="shared" ref="T1287:T1350" ca="1" si="368">MONTH(U1287)</f>
        <v>3</v>
      </c>
      <c r="U1287" s="68">
        <f ca="1">IFERROR(__xludf.DUMMYFUNCTION("""COMPUTED_VALUE"""),45009.6458333333)</f>
        <v>45009.645833333299</v>
      </c>
      <c r="V1287" s="6">
        <f ca="1">IFERROR(__xludf.DUMMYFUNCTION("""COMPUTED_VALUE"""),2414.96)</f>
        <v>2414.96</v>
      </c>
      <c r="Z1287" s="6" t="str">
        <f t="shared" ref="Z1287:Z1350" ca="1" si="369">AA1287&amp;AB1287</f>
        <v>20218</v>
      </c>
      <c r="AA1287" s="6">
        <f t="shared" ref="AA1287:AA1350" ca="1" si="370">YEAR(AC1287)</f>
        <v>2021</v>
      </c>
      <c r="AB1287" s="6">
        <f t="shared" ref="AB1287:AB1350" ca="1" si="371">MONTH(AC1287)</f>
        <v>8</v>
      </c>
      <c r="AC1287" s="68">
        <f ca="1">IFERROR(__xludf.DUMMYFUNCTION("""COMPUTED_VALUE"""),44432.9986111111)</f>
        <v>44432.998611111099</v>
      </c>
      <c r="AD1287" s="6">
        <f ca="1">IFERROR(__xludf.DUMMYFUNCTION("""COMPUTED_VALUE"""),1163.47)</f>
        <v>1163.47</v>
      </c>
      <c r="AH1287" s="6" t="str">
        <f t="shared" ref="AH1287:AH1350" ca="1" si="372">AI1287&amp;AJ1287</f>
        <v>20217</v>
      </c>
      <c r="AI1287" s="6">
        <f t="shared" ref="AI1287:AI1350" ca="1" si="373">YEAR(AK1287)</f>
        <v>2021</v>
      </c>
      <c r="AJ1287" s="6">
        <f t="shared" ref="AJ1287:AJ1350" ca="1" si="374">MONTH(AK1287)</f>
        <v>7</v>
      </c>
      <c r="AK1287" s="68">
        <f ca="1">IFERROR(__xludf.DUMMYFUNCTION("""COMPUTED_VALUE"""),44380.9986111111)</f>
        <v>44380.998611111099</v>
      </c>
      <c r="AL1287" s="6">
        <f ca="1">IFERROR(__xludf.DUMMYFUNCTION("""COMPUTED_VALUE"""),34681.76)</f>
        <v>34681.760000000002</v>
      </c>
      <c r="AP1287" s="6" t="str">
        <f t="shared" ref="AP1287:AP1350" ca="1" si="375">AQ1287&amp;AR1287</f>
        <v>20232</v>
      </c>
      <c r="AQ1287" s="6">
        <f t="shared" ref="AQ1287:AQ1350" ca="1" si="376">YEAR(AS1287)</f>
        <v>2023</v>
      </c>
      <c r="AR1287" s="6">
        <f t="shared" ref="AR1287:AR1350" ca="1" si="377">MONTH(AS1287)</f>
        <v>2</v>
      </c>
      <c r="AS1287" s="68">
        <f ca="1">IFERROR(__xludf.DUMMYFUNCTION("""COMPUTED_VALUE"""),44973.9986111111)</f>
        <v>44973.998611111099</v>
      </c>
      <c r="AT1287" s="6">
        <f ca="1">IFERROR(__xludf.DUMMYFUNCTION("""COMPUTED_VALUE"""),1851.8)</f>
        <v>1851.8</v>
      </c>
    </row>
    <row r="1288" spans="2:46" x14ac:dyDescent="0.35">
      <c r="B1288" s="6" t="str">
        <f t="shared" ca="1" si="360"/>
        <v>20232</v>
      </c>
      <c r="C1288" s="6">
        <f t="shared" ca="1" si="361"/>
        <v>2023</v>
      </c>
      <c r="D1288" s="6">
        <f t="shared" ca="1" si="362"/>
        <v>2</v>
      </c>
      <c r="E1288" s="68">
        <f ca="1">IFERROR(__xludf.DUMMYFUNCTION("""COMPUTED_VALUE"""),44967.6666666666)</f>
        <v>44967.666666666599</v>
      </c>
      <c r="F1288" s="6">
        <f ca="1">IFERROR(__xludf.DUMMYFUNCTION("""COMPUTED_VALUE"""),4090.46)</f>
        <v>4090.46</v>
      </c>
      <c r="J1288" s="6" t="str">
        <f t="shared" ca="1" si="363"/>
        <v>20232</v>
      </c>
      <c r="K1288" s="6">
        <f t="shared" ca="1" si="364"/>
        <v>2023</v>
      </c>
      <c r="L1288" s="6">
        <f t="shared" ca="1" si="365"/>
        <v>2</v>
      </c>
      <c r="M1288" s="68">
        <f ca="1">IFERROR(__xludf.DUMMYFUNCTION("""COMPUTED_VALUE"""),44959.6666666666)</f>
        <v>44959.666666666599</v>
      </c>
      <c r="N1288" s="6">
        <f ca="1">IFERROR(__xludf.DUMMYFUNCTION("""COMPUTED_VALUE"""),12200.82)</f>
        <v>12200.82</v>
      </c>
      <c r="R1288" s="6" t="str">
        <f t="shared" ca="1" si="366"/>
        <v>20233</v>
      </c>
      <c r="S1288" s="6">
        <f t="shared" ca="1" si="367"/>
        <v>2023</v>
      </c>
      <c r="T1288" s="6">
        <f t="shared" ca="1" si="368"/>
        <v>3</v>
      </c>
      <c r="U1288" s="68">
        <f ca="1">IFERROR(__xludf.DUMMYFUNCTION("""COMPUTED_VALUE"""),45012.6458333333)</f>
        <v>45012.645833333299</v>
      </c>
      <c r="V1288" s="6">
        <f ca="1">IFERROR(__xludf.DUMMYFUNCTION("""COMPUTED_VALUE"""),2409.22)</f>
        <v>2409.2199999999998</v>
      </c>
      <c r="Z1288" s="6" t="str">
        <f t="shared" ca="1" si="369"/>
        <v>20218</v>
      </c>
      <c r="AA1288" s="6">
        <f t="shared" ca="1" si="370"/>
        <v>2021</v>
      </c>
      <c r="AB1288" s="6">
        <f t="shared" ca="1" si="371"/>
        <v>8</v>
      </c>
      <c r="AC1288" s="68">
        <f ca="1">IFERROR(__xludf.DUMMYFUNCTION("""COMPUTED_VALUE"""),44433.9986111111)</f>
        <v>44433.998611111099</v>
      </c>
      <c r="AD1288" s="6">
        <f ca="1">IFERROR(__xludf.DUMMYFUNCTION("""COMPUTED_VALUE"""),1163.33)</f>
        <v>1163.33</v>
      </c>
      <c r="AH1288" s="6" t="str">
        <f t="shared" ca="1" si="372"/>
        <v>20217</v>
      </c>
      <c r="AI1288" s="6">
        <f t="shared" ca="1" si="373"/>
        <v>2021</v>
      </c>
      <c r="AJ1288" s="6">
        <f t="shared" ca="1" si="374"/>
        <v>7</v>
      </c>
      <c r="AK1288" s="68">
        <f ca="1">IFERROR(__xludf.DUMMYFUNCTION("""COMPUTED_VALUE"""),44381.9986111111)</f>
        <v>44381.998611111099</v>
      </c>
      <c r="AL1288" s="6">
        <f ca="1">IFERROR(__xludf.DUMMYFUNCTION("""COMPUTED_VALUE"""),35302.52)</f>
        <v>35302.519999999997</v>
      </c>
      <c r="AP1288" s="6" t="str">
        <f t="shared" ca="1" si="375"/>
        <v>20232</v>
      </c>
      <c r="AQ1288" s="6">
        <f t="shared" ca="1" si="376"/>
        <v>2023</v>
      </c>
      <c r="AR1288" s="6">
        <f t="shared" ca="1" si="377"/>
        <v>2</v>
      </c>
      <c r="AS1288" s="68">
        <f ca="1">IFERROR(__xludf.DUMMYFUNCTION("""COMPUTED_VALUE"""),44974.9986111111)</f>
        <v>44974.998611111099</v>
      </c>
      <c r="AT1288" s="6">
        <f ca="1">IFERROR(__xludf.DUMMYFUNCTION("""COMPUTED_VALUE"""),1850.2)</f>
        <v>1850.2</v>
      </c>
    </row>
    <row r="1289" spans="2:46" x14ac:dyDescent="0.35">
      <c r="B1289" s="6" t="str">
        <f t="shared" ca="1" si="360"/>
        <v>20232</v>
      </c>
      <c r="C1289" s="6">
        <f t="shared" ca="1" si="361"/>
        <v>2023</v>
      </c>
      <c r="D1289" s="6">
        <f t="shared" ca="1" si="362"/>
        <v>2</v>
      </c>
      <c r="E1289" s="68">
        <f ca="1">IFERROR(__xludf.DUMMYFUNCTION("""COMPUTED_VALUE"""),44970.6666666666)</f>
        <v>44970.666666666599</v>
      </c>
      <c r="F1289" s="6">
        <f ca="1">IFERROR(__xludf.DUMMYFUNCTION("""COMPUTED_VALUE"""),4137.29)</f>
        <v>4137.29</v>
      </c>
      <c r="J1289" s="6" t="str">
        <f t="shared" ca="1" si="363"/>
        <v>20232</v>
      </c>
      <c r="K1289" s="6">
        <f t="shared" ca="1" si="364"/>
        <v>2023</v>
      </c>
      <c r="L1289" s="6">
        <f t="shared" ca="1" si="365"/>
        <v>2</v>
      </c>
      <c r="M1289" s="68">
        <f ca="1">IFERROR(__xludf.DUMMYFUNCTION("""COMPUTED_VALUE"""),44960.6666666666)</f>
        <v>44960.666666666599</v>
      </c>
      <c r="N1289" s="6">
        <f ca="1">IFERROR(__xludf.DUMMYFUNCTION("""COMPUTED_VALUE"""),12006.96)</f>
        <v>12006.96</v>
      </c>
      <c r="R1289" s="6" t="str">
        <f t="shared" ca="1" si="366"/>
        <v>20233</v>
      </c>
      <c r="S1289" s="6">
        <f t="shared" ca="1" si="367"/>
        <v>2023</v>
      </c>
      <c r="T1289" s="6">
        <f t="shared" ca="1" si="368"/>
        <v>3</v>
      </c>
      <c r="U1289" s="68">
        <f ca="1">IFERROR(__xludf.DUMMYFUNCTION("""COMPUTED_VALUE"""),45013.6458333333)</f>
        <v>45013.645833333299</v>
      </c>
      <c r="V1289" s="6">
        <f ca="1">IFERROR(__xludf.DUMMYFUNCTION("""COMPUTED_VALUE"""),2434.94)</f>
        <v>2434.94</v>
      </c>
      <c r="Z1289" s="6" t="str">
        <f t="shared" ca="1" si="369"/>
        <v>20218</v>
      </c>
      <c r="AA1289" s="6">
        <f t="shared" ca="1" si="370"/>
        <v>2021</v>
      </c>
      <c r="AB1289" s="6">
        <f t="shared" ca="1" si="371"/>
        <v>8</v>
      </c>
      <c r="AC1289" s="68">
        <f ca="1">IFERROR(__xludf.DUMMYFUNCTION("""COMPUTED_VALUE"""),44434.9986111111)</f>
        <v>44434.998611111099</v>
      </c>
      <c r="AD1289" s="6">
        <f ca="1">IFERROR(__xludf.DUMMYFUNCTION("""COMPUTED_VALUE"""),1170)</f>
        <v>1170</v>
      </c>
      <c r="AH1289" s="6" t="str">
        <f t="shared" ca="1" si="372"/>
        <v>20217</v>
      </c>
      <c r="AI1289" s="6">
        <f t="shared" ca="1" si="373"/>
        <v>2021</v>
      </c>
      <c r="AJ1289" s="6">
        <f t="shared" ca="1" si="374"/>
        <v>7</v>
      </c>
      <c r="AK1289" s="68">
        <f ca="1">IFERROR(__xludf.DUMMYFUNCTION("""COMPUTED_VALUE"""),44382.9986111111)</f>
        <v>44382.998611111099</v>
      </c>
      <c r="AL1289" s="6">
        <f ca="1">IFERROR(__xludf.DUMMYFUNCTION("""COMPUTED_VALUE"""),33707.41)</f>
        <v>33707.410000000003</v>
      </c>
      <c r="AP1289" s="6" t="str">
        <f t="shared" ca="1" si="375"/>
        <v>20232</v>
      </c>
      <c r="AQ1289" s="6">
        <f t="shared" ca="1" si="376"/>
        <v>2023</v>
      </c>
      <c r="AR1289" s="6">
        <f t="shared" ca="1" si="377"/>
        <v>2</v>
      </c>
      <c r="AS1289" s="68">
        <f ca="1">IFERROR(__xludf.DUMMYFUNCTION("""COMPUTED_VALUE"""),44978.9986111111)</f>
        <v>44978.998611111099</v>
      </c>
      <c r="AT1289" s="6">
        <f ca="1">IFERROR(__xludf.DUMMYFUNCTION("""COMPUTED_VALUE"""),1842.5)</f>
        <v>1842.5</v>
      </c>
    </row>
    <row r="1290" spans="2:46" x14ac:dyDescent="0.35">
      <c r="B1290" s="6" t="str">
        <f t="shared" ca="1" si="360"/>
        <v>20232</v>
      </c>
      <c r="C1290" s="6">
        <f t="shared" ca="1" si="361"/>
        <v>2023</v>
      </c>
      <c r="D1290" s="6">
        <f t="shared" ca="1" si="362"/>
        <v>2</v>
      </c>
      <c r="E1290" s="68">
        <f ca="1">IFERROR(__xludf.DUMMYFUNCTION("""COMPUTED_VALUE"""),44971.6666666666)</f>
        <v>44971.666666666599</v>
      </c>
      <c r="F1290" s="6">
        <f ca="1">IFERROR(__xludf.DUMMYFUNCTION("""COMPUTED_VALUE"""),4136.13)</f>
        <v>4136.13</v>
      </c>
      <c r="J1290" s="6" t="str">
        <f t="shared" ca="1" si="363"/>
        <v>20232</v>
      </c>
      <c r="K1290" s="6">
        <f t="shared" ca="1" si="364"/>
        <v>2023</v>
      </c>
      <c r="L1290" s="6">
        <f t="shared" ca="1" si="365"/>
        <v>2</v>
      </c>
      <c r="M1290" s="68">
        <f ca="1">IFERROR(__xludf.DUMMYFUNCTION("""COMPUTED_VALUE"""),44963.6666666666)</f>
        <v>44963.666666666599</v>
      </c>
      <c r="N1290" s="6">
        <f ca="1">IFERROR(__xludf.DUMMYFUNCTION("""COMPUTED_VALUE"""),11887.45)</f>
        <v>11887.45</v>
      </c>
      <c r="R1290" s="6" t="str">
        <f t="shared" ca="1" si="366"/>
        <v>20233</v>
      </c>
      <c r="S1290" s="6">
        <f t="shared" ca="1" si="367"/>
        <v>2023</v>
      </c>
      <c r="T1290" s="6">
        <f t="shared" ca="1" si="368"/>
        <v>3</v>
      </c>
      <c r="U1290" s="68">
        <f ca="1">IFERROR(__xludf.DUMMYFUNCTION("""COMPUTED_VALUE"""),45014.6458333333)</f>
        <v>45014.645833333299</v>
      </c>
      <c r="V1290" s="6">
        <f ca="1">IFERROR(__xludf.DUMMYFUNCTION("""COMPUTED_VALUE"""),2443.92)</f>
        <v>2443.92</v>
      </c>
      <c r="Z1290" s="6" t="str">
        <f t="shared" ca="1" si="369"/>
        <v>20218</v>
      </c>
      <c r="AA1290" s="6">
        <f t="shared" ca="1" si="370"/>
        <v>2021</v>
      </c>
      <c r="AB1290" s="6">
        <f t="shared" ca="1" si="371"/>
        <v>8</v>
      </c>
      <c r="AC1290" s="68">
        <f ca="1">IFERROR(__xludf.DUMMYFUNCTION("""COMPUTED_VALUE"""),44435.9986111111)</f>
        <v>44435.998611111099</v>
      </c>
      <c r="AD1290" s="6">
        <f ca="1">IFERROR(__xludf.DUMMYFUNCTION("""COMPUTED_VALUE"""),1161.4)</f>
        <v>1161.4000000000001</v>
      </c>
      <c r="AH1290" s="6" t="str">
        <f t="shared" ca="1" si="372"/>
        <v>20217</v>
      </c>
      <c r="AI1290" s="6">
        <f t="shared" ca="1" si="373"/>
        <v>2021</v>
      </c>
      <c r="AJ1290" s="6">
        <f t="shared" ca="1" si="374"/>
        <v>7</v>
      </c>
      <c r="AK1290" s="68">
        <f ca="1">IFERROR(__xludf.DUMMYFUNCTION("""COMPUTED_VALUE"""),44383.9986111111)</f>
        <v>44383.998611111099</v>
      </c>
      <c r="AL1290" s="6">
        <f ca="1">IFERROR(__xludf.DUMMYFUNCTION("""COMPUTED_VALUE"""),34224.65)</f>
        <v>34224.65</v>
      </c>
      <c r="AP1290" s="6" t="str">
        <f t="shared" ca="1" si="375"/>
        <v>20232</v>
      </c>
      <c r="AQ1290" s="6">
        <f t="shared" ca="1" si="376"/>
        <v>2023</v>
      </c>
      <c r="AR1290" s="6">
        <f t="shared" ca="1" si="377"/>
        <v>2</v>
      </c>
      <c r="AS1290" s="68">
        <f ca="1">IFERROR(__xludf.DUMMYFUNCTION("""COMPUTED_VALUE"""),44979.9986111111)</f>
        <v>44979.998611111099</v>
      </c>
      <c r="AT1290" s="6">
        <f ca="1">IFERROR(__xludf.DUMMYFUNCTION("""COMPUTED_VALUE"""),1841.5)</f>
        <v>1841.5</v>
      </c>
    </row>
    <row r="1291" spans="2:46" x14ac:dyDescent="0.35">
      <c r="B1291" s="6" t="str">
        <f t="shared" ca="1" si="360"/>
        <v>20232</v>
      </c>
      <c r="C1291" s="6">
        <f t="shared" ca="1" si="361"/>
        <v>2023</v>
      </c>
      <c r="D1291" s="6">
        <f t="shared" ca="1" si="362"/>
        <v>2</v>
      </c>
      <c r="E1291" s="68">
        <f ca="1">IFERROR(__xludf.DUMMYFUNCTION("""COMPUTED_VALUE"""),44972.6666666666)</f>
        <v>44972.666666666599</v>
      </c>
      <c r="F1291" s="6">
        <f ca="1">IFERROR(__xludf.DUMMYFUNCTION("""COMPUTED_VALUE"""),4147.6)</f>
        <v>4147.6000000000004</v>
      </c>
      <c r="J1291" s="6" t="str">
        <f t="shared" ca="1" si="363"/>
        <v>20232</v>
      </c>
      <c r="K1291" s="6">
        <f t="shared" ca="1" si="364"/>
        <v>2023</v>
      </c>
      <c r="L1291" s="6">
        <f t="shared" ca="1" si="365"/>
        <v>2</v>
      </c>
      <c r="M1291" s="68">
        <f ca="1">IFERROR(__xludf.DUMMYFUNCTION("""COMPUTED_VALUE"""),44964.6666666666)</f>
        <v>44964.666666666599</v>
      </c>
      <c r="N1291" s="6">
        <f ca="1">IFERROR(__xludf.DUMMYFUNCTION("""COMPUTED_VALUE"""),12113.79)</f>
        <v>12113.79</v>
      </c>
      <c r="R1291" s="6" t="str">
        <f t="shared" ca="1" si="366"/>
        <v>20233</v>
      </c>
      <c r="S1291" s="6">
        <f t="shared" ca="1" si="367"/>
        <v>2023</v>
      </c>
      <c r="T1291" s="6">
        <f t="shared" ca="1" si="368"/>
        <v>3</v>
      </c>
      <c r="U1291" s="68">
        <f ca="1">IFERROR(__xludf.DUMMYFUNCTION("""COMPUTED_VALUE"""),45015.6458333333)</f>
        <v>45015.645833333299</v>
      </c>
      <c r="V1291" s="6">
        <f ca="1">IFERROR(__xludf.DUMMYFUNCTION("""COMPUTED_VALUE"""),2453.16)</f>
        <v>2453.16</v>
      </c>
      <c r="Z1291" s="6" t="str">
        <f t="shared" ca="1" si="369"/>
        <v>20218</v>
      </c>
      <c r="AA1291" s="6">
        <f t="shared" ca="1" si="370"/>
        <v>2021</v>
      </c>
      <c r="AB1291" s="6">
        <f t="shared" ca="1" si="371"/>
        <v>8</v>
      </c>
      <c r="AC1291" s="68">
        <f ca="1">IFERROR(__xludf.DUMMYFUNCTION("""COMPUTED_VALUE"""),44436.9986111111)</f>
        <v>44436.998611111099</v>
      </c>
      <c r="AD1291" s="6">
        <f ca="1">IFERROR(__xludf.DUMMYFUNCTION("""COMPUTED_VALUE"""),1161.4)</f>
        <v>1161.4000000000001</v>
      </c>
      <c r="AH1291" s="6" t="str">
        <f t="shared" ca="1" si="372"/>
        <v>20217</v>
      </c>
      <c r="AI1291" s="6">
        <f t="shared" ca="1" si="373"/>
        <v>2021</v>
      </c>
      <c r="AJ1291" s="6">
        <f t="shared" ca="1" si="374"/>
        <v>7</v>
      </c>
      <c r="AK1291" s="68">
        <f ca="1">IFERROR(__xludf.DUMMYFUNCTION("""COMPUTED_VALUE"""),44384.9986111111)</f>
        <v>44384.998611111099</v>
      </c>
      <c r="AL1291" s="6">
        <f ca="1">IFERROR(__xludf.DUMMYFUNCTION("""COMPUTED_VALUE"""),33876.87)</f>
        <v>33876.870000000003</v>
      </c>
      <c r="AP1291" s="6" t="str">
        <f t="shared" ca="1" si="375"/>
        <v>20232</v>
      </c>
      <c r="AQ1291" s="6">
        <f t="shared" ca="1" si="376"/>
        <v>2023</v>
      </c>
      <c r="AR1291" s="6">
        <f t="shared" ca="1" si="377"/>
        <v>2</v>
      </c>
      <c r="AS1291" s="68">
        <f ca="1">IFERROR(__xludf.DUMMYFUNCTION("""COMPUTED_VALUE"""),44980.9986111111)</f>
        <v>44980.998611111099</v>
      </c>
      <c r="AT1291" s="6">
        <f ca="1">IFERROR(__xludf.DUMMYFUNCTION("""COMPUTED_VALUE"""),1826.8)</f>
        <v>1826.8</v>
      </c>
    </row>
    <row r="1292" spans="2:46" x14ac:dyDescent="0.35">
      <c r="B1292" s="6" t="str">
        <f t="shared" ca="1" si="360"/>
        <v>20232</v>
      </c>
      <c r="C1292" s="6">
        <f t="shared" ca="1" si="361"/>
        <v>2023</v>
      </c>
      <c r="D1292" s="6">
        <f t="shared" ca="1" si="362"/>
        <v>2</v>
      </c>
      <c r="E1292" s="68">
        <f ca="1">IFERROR(__xludf.DUMMYFUNCTION("""COMPUTED_VALUE"""),44973.6666666666)</f>
        <v>44973.666666666599</v>
      </c>
      <c r="F1292" s="6">
        <f ca="1">IFERROR(__xludf.DUMMYFUNCTION("""COMPUTED_VALUE"""),4090.41)</f>
        <v>4090.41</v>
      </c>
      <c r="J1292" s="6" t="str">
        <f t="shared" ca="1" si="363"/>
        <v>20232</v>
      </c>
      <c r="K1292" s="6">
        <f t="shared" ca="1" si="364"/>
        <v>2023</v>
      </c>
      <c r="L1292" s="6">
        <f t="shared" ca="1" si="365"/>
        <v>2</v>
      </c>
      <c r="M1292" s="68">
        <f ca="1">IFERROR(__xludf.DUMMYFUNCTION("""COMPUTED_VALUE"""),44965.6666666666)</f>
        <v>44965.666666666599</v>
      </c>
      <c r="N1292" s="6">
        <f ca="1">IFERROR(__xludf.DUMMYFUNCTION("""COMPUTED_VALUE"""),11910.52)</f>
        <v>11910.52</v>
      </c>
      <c r="R1292" s="6" t="str">
        <f t="shared" ca="1" si="366"/>
        <v>20233</v>
      </c>
      <c r="S1292" s="6">
        <f t="shared" ca="1" si="367"/>
        <v>2023</v>
      </c>
      <c r="T1292" s="6">
        <f t="shared" ca="1" si="368"/>
        <v>3</v>
      </c>
      <c r="U1292" s="68">
        <f ca="1">IFERROR(__xludf.DUMMYFUNCTION("""COMPUTED_VALUE"""),45016.6458333333)</f>
        <v>45016.645833333299</v>
      </c>
      <c r="V1292" s="6">
        <f ca="1">IFERROR(__xludf.DUMMYFUNCTION("""COMPUTED_VALUE"""),2476.86)</f>
        <v>2476.86</v>
      </c>
      <c r="Z1292" s="6" t="str">
        <f t="shared" ca="1" si="369"/>
        <v>20218</v>
      </c>
      <c r="AA1292" s="6">
        <f t="shared" ca="1" si="370"/>
        <v>2021</v>
      </c>
      <c r="AB1292" s="6">
        <f t="shared" ca="1" si="371"/>
        <v>8</v>
      </c>
      <c r="AC1292" s="68">
        <f ca="1">IFERROR(__xludf.DUMMYFUNCTION("""COMPUTED_VALUE"""),44437.9986111111)</f>
        <v>44437.998611111099</v>
      </c>
      <c r="AD1292" s="6">
        <f ca="1">IFERROR(__xludf.DUMMYFUNCTION("""COMPUTED_VALUE"""),1161.33)</f>
        <v>1161.33</v>
      </c>
      <c r="AH1292" s="6" t="str">
        <f t="shared" ca="1" si="372"/>
        <v>20217</v>
      </c>
      <c r="AI1292" s="6">
        <f t="shared" ca="1" si="373"/>
        <v>2021</v>
      </c>
      <c r="AJ1292" s="6">
        <f t="shared" ca="1" si="374"/>
        <v>7</v>
      </c>
      <c r="AK1292" s="68">
        <f ca="1">IFERROR(__xludf.DUMMYFUNCTION("""COMPUTED_VALUE"""),44385.9986111111)</f>
        <v>44385.998611111099</v>
      </c>
      <c r="AL1292" s="6">
        <f ca="1">IFERROR(__xludf.DUMMYFUNCTION("""COMPUTED_VALUE"""),32865.52)</f>
        <v>32865.519999999997</v>
      </c>
      <c r="AP1292" s="6" t="str">
        <f t="shared" ca="1" si="375"/>
        <v>20232</v>
      </c>
      <c r="AQ1292" s="6">
        <f t="shared" ca="1" si="376"/>
        <v>2023</v>
      </c>
      <c r="AR1292" s="6">
        <f t="shared" ca="1" si="377"/>
        <v>2</v>
      </c>
      <c r="AS1292" s="68">
        <f ca="1">IFERROR(__xludf.DUMMYFUNCTION("""COMPUTED_VALUE"""),44981.9986111111)</f>
        <v>44981.998611111099</v>
      </c>
      <c r="AT1292" s="6">
        <f ca="1">IFERROR(__xludf.DUMMYFUNCTION("""COMPUTED_VALUE"""),1817.1)</f>
        <v>1817.1</v>
      </c>
    </row>
    <row r="1293" spans="2:46" x14ac:dyDescent="0.35">
      <c r="B1293" s="6" t="str">
        <f t="shared" ca="1" si="360"/>
        <v>20232</v>
      </c>
      <c r="C1293" s="6">
        <f t="shared" ca="1" si="361"/>
        <v>2023</v>
      </c>
      <c r="D1293" s="6">
        <f t="shared" ca="1" si="362"/>
        <v>2</v>
      </c>
      <c r="E1293" s="68">
        <f ca="1">IFERROR(__xludf.DUMMYFUNCTION("""COMPUTED_VALUE"""),44974.6666666666)</f>
        <v>44974.666666666599</v>
      </c>
      <c r="F1293" s="6">
        <f ca="1">IFERROR(__xludf.DUMMYFUNCTION("""COMPUTED_VALUE"""),4079.09)</f>
        <v>4079.09</v>
      </c>
      <c r="J1293" s="6" t="str">
        <f t="shared" ca="1" si="363"/>
        <v>20232</v>
      </c>
      <c r="K1293" s="6">
        <f t="shared" ca="1" si="364"/>
        <v>2023</v>
      </c>
      <c r="L1293" s="6">
        <f t="shared" ca="1" si="365"/>
        <v>2</v>
      </c>
      <c r="M1293" s="68">
        <f ca="1">IFERROR(__xludf.DUMMYFUNCTION("""COMPUTED_VALUE"""),44966.6666666666)</f>
        <v>44966.666666666599</v>
      </c>
      <c r="N1293" s="6">
        <f ca="1">IFERROR(__xludf.DUMMYFUNCTION("""COMPUTED_VALUE"""),11789.58)</f>
        <v>11789.58</v>
      </c>
      <c r="R1293" s="6" t="str">
        <f t="shared" ca="1" si="366"/>
        <v>20234</v>
      </c>
      <c r="S1293" s="6">
        <f t="shared" ca="1" si="367"/>
        <v>2023</v>
      </c>
      <c r="T1293" s="6">
        <f t="shared" ca="1" si="368"/>
        <v>4</v>
      </c>
      <c r="U1293" s="68">
        <f ca="1">IFERROR(__xludf.DUMMYFUNCTION("""COMPUTED_VALUE"""),45019.6458333333)</f>
        <v>45019.645833333299</v>
      </c>
      <c r="V1293" s="6">
        <f ca="1">IFERROR(__xludf.DUMMYFUNCTION("""COMPUTED_VALUE"""),2472.34)</f>
        <v>2472.34</v>
      </c>
      <c r="Z1293" s="6" t="str">
        <f t="shared" ca="1" si="369"/>
        <v>20218</v>
      </c>
      <c r="AA1293" s="6">
        <f t="shared" ca="1" si="370"/>
        <v>2021</v>
      </c>
      <c r="AB1293" s="6">
        <f t="shared" ca="1" si="371"/>
        <v>8</v>
      </c>
      <c r="AC1293" s="68">
        <f ca="1">IFERROR(__xludf.DUMMYFUNCTION("""COMPUTED_VALUE"""),44438.9986111111)</f>
        <v>44438.998611111099</v>
      </c>
      <c r="AD1293" s="6">
        <f ca="1">IFERROR(__xludf.DUMMYFUNCTION("""COMPUTED_VALUE"""),1165.51)</f>
        <v>1165.51</v>
      </c>
      <c r="AH1293" s="6" t="str">
        <f t="shared" ca="1" si="372"/>
        <v>20217</v>
      </c>
      <c r="AI1293" s="6">
        <f t="shared" ca="1" si="373"/>
        <v>2021</v>
      </c>
      <c r="AJ1293" s="6">
        <f t="shared" ca="1" si="374"/>
        <v>7</v>
      </c>
      <c r="AK1293" s="68">
        <f ca="1">IFERROR(__xludf.DUMMYFUNCTION("""COMPUTED_VALUE"""),44386.9986111111)</f>
        <v>44386.998611111099</v>
      </c>
      <c r="AL1293" s="6">
        <f ca="1">IFERROR(__xludf.DUMMYFUNCTION("""COMPUTED_VALUE"""),33803.7)</f>
        <v>33803.699999999997</v>
      </c>
      <c r="AP1293" s="6" t="str">
        <f t="shared" ca="1" si="375"/>
        <v>20232</v>
      </c>
      <c r="AQ1293" s="6">
        <f t="shared" ca="1" si="376"/>
        <v>2023</v>
      </c>
      <c r="AR1293" s="6">
        <f t="shared" ca="1" si="377"/>
        <v>2</v>
      </c>
      <c r="AS1293" s="68">
        <f ca="1">IFERROR(__xludf.DUMMYFUNCTION("""COMPUTED_VALUE"""),44984.9986111111)</f>
        <v>44984.998611111099</v>
      </c>
      <c r="AT1293" s="6">
        <f ca="1">IFERROR(__xludf.DUMMYFUNCTION("""COMPUTED_VALUE"""),1824.9)</f>
        <v>1824.9</v>
      </c>
    </row>
    <row r="1294" spans="2:46" x14ac:dyDescent="0.35">
      <c r="B1294" s="6" t="str">
        <f t="shared" ca="1" si="360"/>
        <v>20232</v>
      </c>
      <c r="C1294" s="6">
        <f t="shared" ca="1" si="361"/>
        <v>2023</v>
      </c>
      <c r="D1294" s="6">
        <f t="shared" ca="1" si="362"/>
        <v>2</v>
      </c>
      <c r="E1294" s="68">
        <f ca="1">IFERROR(__xludf.DUMMYFUNCTION("""COMPUTED_VALUE"""),44978.6666666666)</f>
        <v>44978.666666666599</v>
      </c>
      <c r="F1294" s="6">
        <f ca="1">IFERROR(__xludf.DUMMYFUNCTION("""COMPUTED_VALUE"""),3997.34)</f>
        <v>3997.34</v>
      </c>
      <c r="J1294" s="6" t="str">
        <f t="shared" ca="1" si="363"/>
        <v>20232</v>
      </c>
      <c r="K1294" s="6">
        <f t="shared" ca="1" si="364"/>
        <v>2023</v>
      </c>
      <c r="L1294" s="6">
        <f t="shared" ca="1" si="365"/>
        <v>2</v>
      </c>
      <c r="M1294" s="68">
        <f ca="1">IFERROR(__xludf.DUMMYFUNCTION("""COMPUTED_VALUE"""),44967.6666666666)</f>
        <v>44967.666666666599</v>
      </c>
      <c r="N1294" s="6">
        <f ca="1">IFERROR(__xludf.DUMMYFUNCTION("""COMPUTED_VALUE"""),11718.12)</f>
        <v>11718.12</v>
      </c>
      <c r="R1294" s="6" t="str">
        <f t="shared" ca="1" si="366"/>
        <v>20234</v>
      </c>
      <c r="S1294" s="6">
        <f t="shared" ca="1" si="367"/>
        <v>2023</v>
      </c>
      <c r="T1294" s="6">
        <f t="shared" ca="1" si="368"/>
        <v>4</v>
      </c>
      <c r="U1294" s="68">
        <f ca="1">IFERROR(__xludf.DUMMYFUNCTION("""COMPUTED_VALUE"""),45020.6458333333)</f>
        <v>45020.645833333299</v>
      </c>
      <c r="V1294" s="6">
        <f ca="1">IFERROR(__xludf.DUMMYFUNCTION("""COMPUTED_VALUE"""),2480.51)</f>
        <v>2480.5100000000002</v>
      </c>
      <c r="Z1294" s="6" t="str">
        <f t="shared" ca="1" si="369"/>
        <v>20218</v>
      </c>
      <c r="AA1294" s="6">
        <f t="shared" ca="1" si="370"/>
        <v>2021</v>
      </c>
      <c r="AB1294" s="6">
        <f t="shared" ca="1" si="371"/>
        <v>8</v>
      </c>
      <c r="AC1294" s="68">
        <f ca="1">IFERROR(__xludf.DUMMYFUNCTION("""COMPUTED_VALUE"""),44439.9986111111)</f>
        <v>44439.998611111099</v>
      </c>
      <c r="AD1294" s="6">
        <f ca="1">IFERROR(__xludf.DUMMYFUNCTION("""COMPUTED_VALUE"""),1158.41)</f>
        <v>1158.4100000000001</v>
      </c>
      <c r="AH1294" s="6" t="str">
        <f t="shared" ca="1" si="372"/>
        <v>20217</v>
      </c>
      <c r="AI1294" s="6">
        <f t="shared" ca="1" si="373"/>
        <v>2021</v>
      </c>
      <c r="AJ1294" s="6">
        <f t="shared" ca="1" si="374"/>
        <v>7</v>
      </c>
      <c r="AK1294" s="68">
        <f ca="1">IFERROR(__xludf.DUMMYFUNCTION("""COMPUTED_VALUE"""),44387.9986111111)</f>
        <v>44387.998611111099</v>
      </c>
      <c r="AL1294" s="6">
        <f ca="1">IFERROR(__xludf.DUMMYFUNCTION("""COMPUTED_VALUE"""),33513.73)</f>
        <v>33513.730000000003</v>
      </c>
      <c r="AP1294" s="6" t="str">
        <f t="shared" ca="1" si="375"/>
        <v>20232</v>
      </c>
      <c r="AQ1294" s="6">
        <f t="shared" ca="1" si="376"/>
        <v>2023</v>
      </c>
      <c r="AR1294" s="6">
        <f t="shared" ca="1" si="377"/>
        <v>2</v>
      </c>
      <c r="AS1294" s="68">
        <f ca="1">IFERROR(__xludf.DUMMYFUNCTION("""COMPUTED_VALUE"""),44985.9986111111)</f>
        <v>44985.998611111099</v>
      </c>
      <c r="AT1294" s="6">
        <f ca="1">IFERROR(__xludf.DUMMYFUNCTION("""COMPUTED_VALUE"""),1836.7)</f>
        <v>1836.7</v>
      </c>
    </row>
    <row r="1295" spans="2:46" x14ac:dyDescent="0.35">
      <c r="B1295" s="6" t="str">
        <f t="shared" ca="1" si="360"/>
        <v>20232</v>
      </c>
      <c r="C1295" s="6">
        <f t="shared" ca="1" si="361"/>
        <v>2023</v>
      </c>
      <c r="D1295" s="6">
        <f t="shared" ca="1" si="362"/>
        <v>2</v>
      </c>
      <c r="E1295" s="68">
        <f ca="1">IFERROR(__xludf.DUMMYFUNCTION("""COMPUTED_VALUE"""),44979.6666666666)</f>
        <v>44979.666666666599</v>
      </c>
      <c r="F1295" s="6">
        <f ca="1">IFERROR(__xludf.DUMMYFUNCTION("""COMPUTED_VALUE"""),3991.05)</f>
        <v>3991.05</v>
      </c>
      <c r="J1295" s="6" t="str">
        <f t="shared" ca="1" si="363"/>
        <v>20232</v>
      </c>
      <c r="K1295" s="6">
        <f t="shared" ca="1" si="364"/>
        <v>2023</v>
      </c>
      <c r="L1295" s="6">
        <f t="shared" ca="1" si="365"/>
        <v>2</v>
      </c>
      <c r="M1295" s="68">
        <f ca="1">IFERROR(__xludf.DUMMYFUNCTION("""COMPUTED_VALUE"""),44970.6666666666)</f>
        <v>44970.666666666599</v>
      </c>
      <c r="N1295" s="6">
        <f ca="1">IFERROR(__xludf.DUMMYFUNCTION("""COMPUTED_VALUE"""),11891.79)</f>
        <v>11891.79</v>
      </c>
      <c r="R1295" s="6" t="str">
        <f t="shared" ca="1" si="366"/>
        <v>20234</v>
      </c>
      <c r="S1295" s="6">
        <f t="shared" ca="1" si="367"/>
        <v>2023</v>
      </c>
      <c r="T1295" s="6">
        <f t="shared" ca="1" si="368"/>
        <v>4</v>
      </c>
      <c r="U1295" s="68">
        <f ca="1">IFERROR(__xludf.DUMMYFUNCTION("""COMPUTED_VALUE"""),45021.6458333333)</f>
        <v>45021.645833333299</v>
      </c>
      <c r="V1295" s="6">
        <f ca="1">IFERROR(__xludf.DUMMYFUNCTION("""COMPUTED_VALUE"""),2495.21)</f>
        <v>2495.21</v>
      </c>
      <c r="Z1295" s="6" t="str">
        <f t="shared" ca="1" si="369"/>
        <v>20219</v>
      </c>
      <c r="AA1295" s="6">
        <f t="shared" ca="1" si="370"/>
        <v>2021</v>
      </c>
      <c r="AB1295" s="6">
        <f t="shared" ca="1" si="371"/>
        <v>9</v>
      </c>
      <c r="AC1295" s="68">
        <f ca="1">IFERROR(__xludf.DUMMYFUNCTION("""COMPUTED_VALUE"""),44440.9986111111)</f>
        <v>44440.998611111099</v>
      </c>
      <c r="AD1295" s="6">
        <f ca="1">IFERROR(__xludf.DUMMYFUNCTION("""COMPUTED_VALUE"""),1155.28)</f>
        <v>1155.28</v>
      </c>
      <c r="AH1295" s="6" t="str">
        <f t="shared" ca="1" si="372"/>
        <v>20217</v>
      </c>
      <c r="AI1295" s="6">
        <f t="shared" ca="1" si="373"/>
        <v>2021</v>
      </c>
      <c r="AJ1295" s="6">
        <f t="shared" ca="1" si="374"/>
        <v>7</v>
      </c>
      <c r="AK1295" s="68">
        <f ca="1">IFERROR(__xludf.DUMMYFUNCTION("""COMPUTED_VALUE"""),44388.9986111111)</f>
        <v>44388.998611111099</v>
      </c>
      <c r="AL1295" s="6">
        <f ca="1">IFERROR(__xludf.DUMMYFUNCTION("""COMPUTED_VALUE"""),34246.41)</f>
        <v>34246.410000000003</v>
      </c>
      <c r="AP1295" s="6" t="str">
        <f t="shared" ca="1" si="375"/>
        <v>20233</v>
      </c>
      <c r="AQ1295" s="6">
        <f t="shared" ca="1" si="376"/>
        <v>2023</v>
      </c>
      <c r="AR1295" s="6">
        <f t="shared" ca="1" si="377"/>
        <v>3</v>
      </c>
      <c r="AS1295" s="68">
        <f ca="1">IFERROR(__xludf.DUMMYFUNCTION("""COMPUTED_VALUE"""),44986.9986111111)</f>
        <v>44986.998611111099</v>
      </c>
      <c r="AT1295" s="6">
        <f ca="1">IFERROR(__xludf.DUMMYFUNCTION("""COMPUTED_VALUE"""),1845.4)</f>
        <v>1845.4</v>
      </c>
    </row>
    <row r="1296" spans="2:46" x14ac:dyDescent="0.35">
      <c r="B1296" s="6" t="str">
        <f t="shared" ca="1" si="360"/>
        <v>20232</v>
      </c>
      <c r="C1296" s="6">
        <f t="shared" ca="1" si="361"/>
        <v>2023</v>
      </c>
      <c r="D1296" s="6">
        <f t="shared" ca="1" si="362"/>
        <v>2</v>
      </c>
      <c r="E1296" s="68">
        <f ca="1">IFERROR(__xludf.DUMMYFUNCTION("""COMPUTED_VALUE"""),44980.6666666666)</f>
        <v>44980.666666666599</v>
      </c>
      <c r="F1296" s="6">
        <f ca="1">IFERROR(__xludf.DUMMYFUNCTION("""COMPUTED_VALUE"""),4012.32)</f>
        <v>4012.32</v>
      </c>
      <c r="J1296" s="6" t="str">
        <f t="shared" ca="1" si="363"/>
        <v>20232</v>
      </c>
      <c r="K1296" s="6">
        <f t="shared" ca="1" si="364"/>
        <v>2023</v>
      </c>
      <c r="L1296" s="6">
        <f t="shared" ca="1" si="365"/>
        <v>2</v>
      </c>
      <c r="M1296" s="68">
        <f ca="1">IFERROR(__xludf.DUMMYFUNCTION("""COMPUTED_VALUE"""),44971.6666666666)</f>
        <v>44971.666666666599</v>
      </c>
      <c r="N1296" s="6">
        <f ca="1">IFERROR(__xludf.DUMMYFUNCTION("""COMPUTED_VALUE"""),11960.15)</f>
        <v>11960.15</v>
      </c>
      <c r="R1296" s="6" t="str">
        <f t="shared" ca="1" si="366"/>
        <v>20234</v>
      </c>
      <c r="S1296" s="6">
        <f t="shared" ca="1" si="367"/>
        <v>2023</v>
      </c>
      <c r="T1296" s="6">
        <f t="shared" ca="1" si="368"/>
        <v>4</v>
      </c>
      <c r="U1296" s="68">
        <f ca="1">IFERROR(__xludf.DUMMYFUNCTION("""COMPUTED_VALUE"""),45022.6458333333)</f>
        <v>45022.645833333299</v>
      </c>
      <c r="V1296" s="6">
        <f ca="1">IFERROR(__xludf.DUMMYFUNCTION("""COMPUTED_VALUE"""),2459.23)</f>
        <v>2459.23</v>
      </c>
      <c r="Z1296" s="6" t="str">
        <f t="shared" ca="1" si="369"/>
        <v>20219</v>
      </c>
      <c r="AA1296" s="6">
        <f t="shared" ca="1" si="370"/>
        <v>2021</v>
      </c>
      <c r="AB1296" s="6">
        <f t="shared" ca="1" si="371"/>
        <v>9</v>
      </c>
      <c r="AC1296" s="68">
        <f ca="1">IFERROR(__xludf.DUMMYFUNCTION("""COMPUTED_VALUE"""),44441.9986111111)</f>
        <v>44441.998611111099</v>
      </c>
      <c r="AD1296" s="6">
        <f ca="1">IFERROR(__xludf.DUMMYFUNCTION("""COMPUTED_VALUE"""),1157.13)</f>
        <v>1157.1300000000001</v>
      </c>
      <c r="AH1296" s="6" t="str">
        <f t="shared" ca="1" si="372"/>
        <v>20217</v>
      </c>
      <c r="AI1296" s="6">
        <f t="shared" ca="1" si="373"/>
        <v>2021</v>
      </c>
      <c r="AJ1296" s="6">
        <f t="shared" ca="1" si="374"/>
        <v>7</v>
      </c>
      <c r="AK1296" s="68">
        <f ca="1">IFERROR(__xludf.DUMMYFUNCTION("""COMPUTED_VALUE"""),44389.9986111111)</f>
        <v>44389.998611111099</v>
      </c>
      <c r="AL1296" s="6">
        <f ca="1">IFERROR(__xludf.DUMMYFUNCTION("""COMPUTED_VALUE"""),33114.86)</f>
        <v>33114.86</v>
      </c>
      <c r="AP1296" s="6" t="str">
        <f t="shared" ca="1" si="375"/>
        <v>20233</v>
      </c>
      <c r="AQ1296" s="6">
        <f t="shared" ca="1" si="376"/>
        <v>2023</v>
      </c>
      <c r="AR1296" s="6">
        <f t="shared" ca="1" si="377"/>
        <v>3</v>
      </c>
      <c r="AS1296" s="68">
        <f ca="1">IFERROR(__xludf.DUMMYFUNCTION("""COMPUTED_VALUE"""),44987.9986111111)</f>
        <v>44987.998611111099</v>
      </c>
      <c r="AT1296" s="6">
        <f ca="1">IFERROR(__xludf.DUMMYFUNCTION("""COMPUTED_VALUE"""),1840.5)</f>
        <v>1840.5</v>
      </c>
    </row>
    <row r="1297" spans="2:46" x14ac:dyDescent="0.35">
      <c r="B1297" s="6" t="str">
        <f t="shared" ca="1" si="360"/>
        <v>20232</v>
      </c>
      <c r="C1297" s="6">
        <f t="shared" ca="1" si="361"/>
        <v>2023</v>
      </c>
      <c r="D1297" s="6">
        <f t="shared" ca="1" si="362"/>
        <v>2</v>
      </c>
      <c r="E1297" s="68">
        <f ca="1">IFERROR(__xludf.DUMMYFUNCTION("""COMPUTED_VALUE"""),44981.6666666666)</f>
        <v>44981.666666666599</v>
      </c>
      <c r="F1297" s="6">
        <f ca="1">IFERROR(__xludf.DUMMYFUNCTION("""COMPUTED_VALUE"""),3970.04)</f>
        <v>3970.04</v>
      </c>
      <c r="J1297" s="6" t="str">
        <f t="shared" ca="1" si="363"/>
        <v>20232</v>
      </c>
      <c r="K1297" s="6">
        <f t="shared" ca="1" si="364"/>
        <v>2023</v>
      </c>
      <c r="L1297" s="6">
        <f t="shared" ca="1" si="365"/>
        <v>2</v>
      </c>
      <c r="M1297" s="68">
        <f ca="1">IFERROR(__xludf.DUMMYFUNCTION("""COMPUTED_VALUE"""),44972.6666666666)</f>
        <v>44972.666666666599</v>
      </c>
      <c r="N1297" s="6">
        <f ca="1">IFERROR(__xludf.DUMMYFUNCTION("""COMPUTED_VALUE"""),12070.59)</f>
        <v>12070.59</v>
      </c>
      <c r="R1297" s="6" t="str">
        <f t="shared" ca="1" si="366"/>
        <v>20234</v>
      </c>
      <c r="S1297" s="6">
        <f t="shared" ca="1" si="367"/>
        <v>2023</v>
      </c>
      <c r="T1297" s="6">
        <f t="shared" ca="1" si="368"/>
        <v>4</v>
      </c>
      <c r="U1297" s="68">
        <f ca="1">IFERROR(__xludf.DUMMYFUNCTION("""COMPUTED_VALUE"""),45023.6458333333)</f>
        <v>45023.645833333299</v>
      </c>
      <c r="V1297" s="6">
        <f ca="1">IFERROR(__xludf.DUMMYFUNCTION("""COMPUTED_VALUE"""),2490.41)</f>
        <v>2490.41</v>
      </c>
      <c r="Z1297" s="6" t="str">
        <f t="shared" ca="1" si="369"/>
        <v>20219</v>
      </c>
      <c r="AA1297" s="6">
        <f t="shared" ca="1" si="370"/>
        <v>2021</v>
      </c>
      <c r="AB1297" s="6">
        <f t="shared" ca="1" si="371"/>
        <v>9</v>
      </c>
      <c r="AC1297" s="68">
        <f ca="1">IFERROR(__xludf.DUMMYFUNCTION("""COMPUTED_VALUE"""),44442.9986111111)</f>
        <v>44442.998611111099</v>
      </c>
      <c r="AD1297" s="6">
        <f ca="1">IFERROR(__xludf.DUMMYFUNCTION("""COMPUTED_VALUE"""),1154.65)</f>
        <v>1154.6500000000001</v>
      </c>
      <c r="AH1297" s="6" t="str">
        <f t="shared" ca="1" si="372"/>
        <v>20217</v>
      </c>
      <c r="AI1297" s="6">
        <f t="shared" ca="1" si="373"/>
        <v>2021</v>
      </c>
      <c r="AJ1297" s="6">
        <f t="shared" ca="1" si="374"/>
        <v>7</v>
      </c>
      <c r="AK1297" s="68">
        <f ca="1">IFERROR(__xludf.DUMMYFUNCTION("""COMPUTED_VALUE"""),44390.9986111111)</f>
        <v>44390.998611111099</v>
      </c>
      <c r="AL1297" s="6">
        <f ca="1">IFERROR(__xludf.DUMMYFUNCTION("""COMPUTED_VALUE"""),32724.95)</f>
        <v>32724.95</v>
      </c>
      <c r="AP1297" s="6" t="str">
        <f t="shared" ca="1" si="375"/>
        <v>20233</v>
      </c>
      <c r="AQ1297" s="6">
        <f t="shared" ca="1" si="376"/>
        <v>2023</v>
      </c>
      <c r="AR1297" s="6">
        <f t="shared" ca="1" si="377"/>
        <v>3</v>
      </c>
      <c r="AS1297" s="68">
        <f ca="1">IFERROR(__xludf.DUMMYFUNCTION("""COMPUTED_VALUE"""),44988.9986111111)</f>
        <v>44988.998611111099</v>
      </c>
      <c r="AT1297" s="6">
        <f ca="1">IFERROR(__xludf.DUMMYFUNCTION("""COMPUTED_VALUE"""),1854.6)</f>
        <v>1854.6</v>
      </c>
    </row>
    <row r="1298" spans="2:46" x14ac:dyDescent="0.35">
      <c r="B1298" s="6" t="str">
        <f t="shared" ca="1" si="360"/>
        <v>20232</v>
      </c>
      <c r="C1298" s="6">
        <f t="shared" ca="1" si="361"/>
        <v>2023</v>
      </c>
      <c r="D1298" s="6">
        <f t="shared" ca="1" si="362"/>
        <v>2</v>
      </c>
      <c r="E1298" s="68">
        <f ca="1">IFERROR(__xludf.DUMMYFUNCTION("""COMPUTED_VALUE"""),44984.6666666666)</f>
        <v>44984.666666666599</v>
      </c>
      <c r="F1298" s="6">
        <f ca="1">IFERROR(__xludf.DUMMYFUNCTION("""COMPUTED_VALUE"""),3982.24)</f>
        <v>3982.24</v>
      </c>
      <c r="J1298" s="6" t="str">
        <f t="shared" ca="1" si="363"/>
        <v>20232</v>
      </c>
      <c r="K1298" s="6">
        <f t="shared" ca="1" si="364"/>
        <v>2023</v>
      </c>
      <c r="L1298" s="6">
        <f t="shared" ca="1" si="365"/>
        <v>2</v>
      </c>
      <c r="M1298" s="68">
        <f ca="1">IFERROR(__xludf.DUMMYFUNCTION("""COMPUTED_VALUE"""),44973.6666666666)</f>
        <v>44973.666666666599</v>
      </c>
      <c r="N1298" s="6">
        <f ca="1">IFERROR(__xludf.DUMMYFUNCTION("""COMPUTED_VALUE"""),11855.83)</f>
        <v>11855.83</v>
      </c>
      <c r="R1298" s="6" t="str">
        <f t="shared" ca="1" si="366"/>
        <v>20234</v>
      </c>
      <c r="S1298" s="6">
        <f t="shared" ca="1" si="367"/>
        <v>2023</v>
      </c>
      <c r="T1298" s="6">
        <f t="shared" ca="1" si="368"/>
        <v>4</v>
      </c>
      <c r="U1298" s="68">
        <f ca="1">IFERROR(__xludf.DUMMYFUNCTION("""COMPUTED_VALUE"""),45026.6458333333)</f>
        <v>45026.645833333299</v>
      </c>
      <c r="V1298" s="6">
        <f ca="1">IFERROR(__xludf.DUMMYFUNCTION("""COMPUTED_VALUE"""),2512.08)</f>
        <v>2512.08</v>
      </c>
      <c r="Z1298" s="6" t="str">
        <f t="shared" ca="1" si="369"/>
        <v>20219</v>
      </c>
      <c r="AA1298" s="6">
        <f t="shared" ca="1" si="370"/>
        <v>2021</v>
      </c>
      <c r="AB1298" s="6">
        <f t="shared" ca="1" si="371"/>
        <v>9</v>
      </c>
      <c r="AC1298" s="68">
        <f ca="1">IFERROR(__xludf.DUMMYFUNCTION("""COMPUTED_VALUE"""),44443.9986111111)</f>
        <v>44443.998611111099</v>
      </c>
      <c r="AD1298" s="6">
        <f ca="1">IFERROR(__xludf.DUMMYFUNCTION("""COMPUTED_VALUE"""),1154.65)</f>
        <v>1154.6500000000001</v>
      </c>
      <c r="AH1298" s="6" t="str">
        <f t="shared" ca="1" si="372"/>
        <v>20217</v>
      </c>
      <c r="AI1298" s="6">
        <f t="shared" ca="1" si="373"/>
        <v>2021</v>
      </c>
      <c r="AJ1298" s="6">
        <f t="shared" ca="1" si="374"/>
        <v>7</v>
      </c>
      <c r="AK1298" s="68">
        <f ca="1">IFERROR(__xludf.DUMMYFUNCTION("""COMPUTED_VALUE"""),44391.9986111111)</f>
        <v>44391.998611111099</v>
      </c>
      <c r="AL1298" s="6">
        <f ca="1">IFERROR(__xludf.DUMMYFUNCTION("""COMPUTED_VALUE"""),32817.09)</f>
        <v>32817.089999999997</v>
      </c>
      <c r="AP1298" s="6" t="str">
        <f t="shared" ca="1" si="375"/>
        <v>20233</v>
      </c>
      <c r="AQ1298" s="6">
        <f t="shared" ca="1" si="376"/>
        <v>2023</v>
      </c>
      <c r="AR1298" s="6">
        <f t="shared" ca="1" si="377"/>
        <v>3</v>
      </c>
      <c r="AS1298" s="68">
        <f ca="1">IFERROR(__xludf.DUMMYFUNCTION("""COMPUTED_VALUE"""),44991.9986111111)</f>
        <v>44991.998611111099</v>
      </c>
      <c r="AT1298" s="6">
        <f ca="1">IFERROR(__xludf.DUMMYFUNCTION("""COMPUTED_VALUE"""),1854.6)</f>
        <v>1854.6</v>
      </c>
    </row>
    <row r="1299" spans="2:46" x14ac:dyDescent="0.35">
      <c r="B1299" s="6" t="str">
        <f t="shared" ca="1" si="360"/>
        <v>20232</v>
      </c>
      <c r="C1299" s="6">
        <f t="shared" ca="1" si="361"/>
        <v>2023</v>
      </c>
      <c r="D1299" s="6">
        <f t="shared" ca="1" si="362"/>
        <v>2</v>
      </c>
      <c r="E1299" s="68">
        <f ca="1">IFERROR(__xludf.DUMMYFUNCTION("""COMPUTED_VALUE"""),44985.6666666666)</f>
        <v>44985.666666666599</v>
      </c>
      <c r="F1299" s="6">
        <f ca="1">IFERROR(__xludf.DUMMYFUNCTION("""COMPUTED_VALUE"""),3970.15)</f>
        <v>3970.15</v>
      </c>
      <c r="J1299" s="6" t="str">
        <f t="shared" ca="1" si="363"/>
        <v>20232</v>
      </c>
      <c r="K1299" s="6">
        <f t="shared" ca="1" si="364"/>
        <v>2023</v>
      </c>
      <c r="L1299" s="6">
        <f t="shared" ca="1" si="365"/>
        <v>2</v>
      </c>
      <c r="M1299" s="68">
        <f ca="1">IFERROR(__xludf.DUMMYFUNCTION("""COMPUTED_VALUE"""),44974.6666666666)</f>
        <v>44974.666666666599</v>
      </c>
      <c r="N1299" s="6">
        <f ca="1">IFERROR(__xludf.DUMMYFUNCTION("""COMPUTED_VALUE"""),11787.27)</f>
        <v>11787.27</v>
      </c>
      <c r="R1299" s="6" t="str">
        <f t="shared" ca="1" si="366"/>
        <v>20234</v>
      </c>
      <c r="S1299" s="6">
        <f t="shared" ca="1" si="367"/>
        <v>2023</v>
      </c>
      <c r="T1299" s="6">
        <f t="shared" ca="1" si="368"/>
        <v>4</v>
      </c>
      <c r="U1299" s="68">
        <f ca="1">IFERROR(__xludf.DUMMYFUNCTION("""COMPUTED_VALUE"""),45027.6458333333)</f>
        <v>45027.645833333299</v>
      </c>
      <c r="V1299" s="6">
        <f ca="1">IFERROR(__xludf.DUMMYFUNCTION("""COMPUTED_VALUE"""),2547.86)</f>
        <v>2547.86</v>
      </c>
      <c r="Z1299" s="6" t="str">
        <f t="shared" ca="1" si="369"/>
        <v>20219</v>
      </c>
      <c r="AA1299" s="6">
        <f t="shared" ca="1" si="370"/>
        <v>2021</v>
      </c>
      <c r="AB1299" s="6">
        <f t="shared" ca="1" si="371"/>
        <v>9</v>
      </c>
      <c r="AC1299" s="68">
        <f ca="1">IFERROR(__xludf.DUMMYFUNCTION("""COMPUTED_VALUE"""),44444.9986111111)</f>
        <v>44444.998611111099</v>
      </c>
      <c r="AD1299" s="6">
        <f ca="1">IFERROR(__xludf.DUMMYFUNCTION("""COMPUTED_VALUE"""),1154.75)</f>
        <v>1154.75</v>
      </c>
      <c r="AH1299" s="6" t="str">
        <f t="shared" ca="1" si="372"/>
        <v>20217</v>
      </c>
      <c r="AI1299" s="6">
        <f t="shared" ca="1" si="373"/>
        <v>2021</v>
      </c>
      <c r="AJ1299" s="6">
        <f t="shared" ca="1" si="374"/>
        <v>7</v>
      </c>
      <c r="AK1299" s="68">
        <f ca="1">IFERROR(__xludf.DUMMYFUNCTION("""COMPUTED_VALUE"""),44392.9986111111)</f>
        <v>44392.998611111099</v>
      </c>
      <c r="AL1299" s="6">
        <f ca="1">IFERROR(__xludf.DUMMYFUNCTION("""COMPUTED_VALUE"""),31848.45)</f>
        <v>31848.45</v>
      </c>
      <c r="AP1299" s="6" t="str">
        <f t="shared" ca="1" si="375"/>
        <v>20233</v>
      </c>
      <c r="AQ1299" s="6">
        <f t="shared" ca="1" si="376"/>
        <v>2023</v>
      </c>
      <c r="AR1299" s="6">
        <f t="shared" ca="1" si="377"/>
        <v>3</v>
      </c>
      <c r="AS1299" s="68">
        <f ca="1">IFERROR(__xludf.DUMMYFUNCTION("""COMPUTED_VALUE"""),44992.9986111111)</f>
        <v>44992.998611111099</v>
      </c>
      <c r="AT1299" s="6">
        <f ca="1">IFERROR(__xludf.DUMMYFUNCTION("""COMPUTED_VALUE"""),1820)</f>
        <v>1820</v>
      </c>
    </row>
    <row r="1300" spans="2:46" x14ac:dyDescent="0.35">
      <c r="B1300" s="6" t="str">
        <f t="shared" ca="1" si="360"/>
        <v>20233</v>
      </c>
      <c r="C1300" s="6">
        <f t="shared" ca="1" si="361"/>
        <v>2023</v>
      </c>
      <c r="D1300" s="6">
        <f t="shared" ca="1" si="362"/>
        <v>3</v>
      </c>
      <c r="E1300" s="68">
        <f ca="1">IFERROR(__xludf.DUMMYFUNCTION("""COMPUTED_VALUE"""),44986.6666666666)</f>
        <v>44986.666666666599</v>
      </c>
      <c r="F1300" s="6">
        <f ca="1">IFERROR(__xludf.DUMMYFUNCTION("""COMPUTED_VALUE"""),3951.39)</f>
        <v>3951.39</v>
      </c>
      <c r="J1300" s="6" t="str">
        <f t="shared" ca="1" si="363"/>
        <v>20232</v>
      </c>
      <c r="K1300" s="6">
        <f t="shared" ca="1" si="364"/>
        <v>2023</v>
      </c>
      <c r="L1300" s="6">
        <f t="shared" ca="1" si="365"/>
        <v>2</v>
      </c>
      <c r="M1300" s="68">
        <f ca="1">IFERROR(__xludf.DUMMYFUNCTION("""COMPUTED_VALUE"""),44978.6666666666)</f>
        <v>44978.666666666599</v>
      </c>
      <c r="N1300" s="6">
        <f ca="1">IFERROR(__xludf.DUMMYFUNCTION("""COMPUTED_VALUE"""),11492.3)</f>
        <v>11492.3</v>
      </c>
      <c r="R1300" s="6" t="str">
        <f t="shared" ca="1" si="366"/>
        <v>20234</v>
      </c>
      <c r="S1300" s="6">
        <f t="shared" ca="1" si="367"/>
        <v>2023</v>
      </c>
      <c r="T1300" s="6">
        <f t="shared" ca="1" si="368"/>
        <v>4</v>
      </c>
      <c r="U1300" s="68">
        <f ca="1">IFERROR(__xludf.DUMMYFUNCTION("""COMPUTED_VALUE"""),45028.6458333333)</f>
        <v>45028.645833333299</v>
      </c>
      <c r="V1300" s="6">
        <f ca="1">IFERROR(__xludf.DUMMYFUNCTION("""COMPUTED_VALUE"""),2550.64)</f>
        <v>2550.64</v>
      </c>
      <c r="Z1300" s="6" t="str">
        <f t="shared" ca="1" si="369"/>
        <v>20219</v>
      </c>
      <c r="AA1300" s="6">
        <f t="shared" ca="1" si="370"/>
        <v>2021</v>
      </c>
      <c r="AB1300" s="6">
        <f t="shared" ca="1" si="371"/>
        <v>9</v>
      </c>
      <c r="AC1300" s="68">
        <f ca="1">IFERROR(__xludf.DUMMYFUNCTION("""COMPUTED_VALUE"""),44445.9986111111)</f>
        <v>44445.998611111099</v>
      </c>
      <c r="AD1300" s="6">
        <f ca="1">IFERROR(__xludf.DUMMYFUNCTION("""COMPUTED_VALUE"""),1155.54)</f>
        <v>1155.54</v>
      </c>
      <c r="AH1300" s="6" t="str">
        <f t="shared" ca="1" si="372"/>
        <v>20217</v>
      </c>
      <c r="AI1300" s="6">
        <f t="shared" ca="1" si="373"/>
        <v>2021</v>
      </c>
      <c r="AJ1300" s="6">
        <f t="shared" ca="1" si="374"/>
        <v>7</v>
      </c>
      <c r="AK1300" s="68">
        <f ca="1">IFERROR(__xludf.DUMMYFUNCTION("""COMPUTED_VALUE"""),44393.9986111111)</f>
        <v>44393.998611111099</v>
      </c>
      <c r="AL1300" s="6">
        <f ca="1">IFERROR(__xludf.DUMMYFUNCTION("""COMPUTED_VALUE"""),31401.63)</f>
        <v>31401.63</v>
      </c>
      <c r="AP1300" s="6" t="str">
        <f t="shared" ca="1" si="375"/>
        <v>20233</v>
      </c>
      <c r="AQ1300" s="6">
        <f t="shared" ca="1" si="376"/>
        <v>2023</v>
      </c>
      <c r="AR1300" s="6">
        <f t="shared" ca="1" si="377"/>
        <v>3</v>
      </c>
      <c r="AS1300" s="68">
        <f ca="1">IFERROR(__xludf.DUMMYFUNCTION("""COMPUTED_VALUE"""),44993.9986111111)</f>
        <v>44993.998611111099</v>
      </c>
      <c r="AT1300" s="6">
        <f ca="1">IFERROR(__xludf.DUMMYFUNCTION("""COMPUTED_VALUE"""),1818.6)</f>
        <v>1818.6</v>
      </c>
    </row>
    <row r="1301" spans="2:46" x14ac:dyDescent="0.35">
      <c r="B1301" s="6" t="str">
        <f t="shared" ca="1" si="360"/>
        <v>20233</v>
      </c>
      <c r="C1301" s="6">
        <f t="shared" ca="1" si="361"/>
        <v>2023</v>
      </c>
      <c r="D1301" s="6">
        <f t="shared" ca="1" si="362"/>
        <v>3</v>
      </c>
      <c r="E1301" s="68">
        <f ca="1">IFERROR(__xludf.DUMMYFUNCTION("""COMPUTED_VALUE"""),44987.6666666666)</f>
        <v>44987.666666666599</v>
      </c>
      <c r="F1301" s="6">
        <f ca="1">IFERROR(__xludf.DUMMYFUNCTION("""COMPUTED_VALUE"""),3981.35)</f>
        <v>3981.35</v>
      </c>
      <c r="J1301" s="6" t="str">
        <f t="shared" ca="1" si="363"/>
        <v>20232</v>
      </c>
      <c r="K1301" s="6">
        <f t="shared" ca="1" si="364"/>
        <v>2023</v>
      </c>
      <c r="L1301" s="6">
        <f t="shared" ca="1" si="365"/>
        <v>2</v>
      </c>
      <c r="M1301" s="68">
        <f ca="1">IFERROR(__xludf.DUMMYFUNCTION("""COMPUTED_VALUE"""),44979.6666666666)</f>
        <v>44979.666666666599</v>
      </c>
      <c r="N1301" s="6">
        <f ca="1">IFERROR(__xludf.DUMMYFUNCTION("""COMPUTED_VALUE"""),11507.07)</f>
        <v>11507.07</v>
      </c>
      <c r="R1301" s="6" t="str">
        <f t="shared" ca="1" si="366"/>
        <v>20234</v>
      </c>
      <c r="S1301" s="6">
        <f t="shared" ca="1" si="367"/>
        <v>2023</v>
      </c>
      <c r="T1301" s="6">
        <f t="shared" ca="1" si="368"/>
        <v>4</v>
      </c>
      <c r="U1301" s="68">
        <f ca="1">IFERROR(__xludf.DUMMYFUNCTION("""COMPUTED_VALUE"""),45029.6458333333)</f>
        <v>45029.645833333299</v>
      </c>
      <c r="V1301" s="6">
        <f ca="1">IFERROR(__xludf.DUMMYFUNCTION("""COMPUTED_VALUE"""),2561.66)</f>
        <v>2561.66</v>
      </c>
      <c r="Z1301" s="6" t="str">
        <f t="shared" ca="1" si="369"/>
        <v>20219</v>
      </c>
      <c r="AA1301" s="6">
        <f t="shared" ca="1" si="370"/>
        <v>2021</v>
      </c>
      <c r="AB1301" s="6">
        <f t="shared" ca="1" si="371"/>
        <v>9</v>
      </c>
      <c r="AC1301" s="68">
        <f ca="1">IFERROR(__xludf.DUMMYFUNCTION("""COMPUTED_VALUE"""),44446.9986111111)</f>
        <v>44446.998611111099</v>
      </c>
      <c r="AD1301" s="6">
        <f ca="1">IFERROR(__xludf.DUMMYFUNCTION("""COMPUTED_VALUE"""),1161)</f>
        <v>1161</v>
      </c>
      <c r="AH1301" s="6" t="str">
        <f t="shared" ca="1" si="372"/>
        <v>20217</v>
      </c>
      <c r="AI1301" s="6">
        <f t="shared" ca="1" si="373"/>
        <v>2021</v>
      </c>
      <c r="AJ1301" s="6">
        <f t="shared" ca="1" si="374"/>
        <v>7</v>
      </c>
      <c r="AK1301" s="68">
        <f ca="1">IFERROR(__xludf.DUMMYFUNCTION("""COMPUTED_VALUE"""),44394.9986111111)</f>
        <v>44394.998611111099</v>
      </c>
      <c r="AL1301" s="6">
        <f ca="1">IFERROR(__xludf.DUMMYFUNCTION("""COMPUTED_VALUE"""),31539.02)</f>
        <v>31539.02</v>
      </c>
      <c r="AP1301" s="6" t="str">
        <f t="shared" ca="1" si="375"/>
        <v>20233</v>
      </c>
      <c r="AQ1301" s="6">
        <f t="shared" ca="1" si="376"/>
        <v>2023</v>
      </c>
      <c r="AR1301" s="6">
        <f t="shared" ca="1" si="377"/>
        <v>3</v>
      </c>
      <c r="AS1301" s="68">
        <f ca="1">IFERROR(__xludf.DUMMYFUNCTION("""COMPUTED_VALUE"""),44994.9986111111)</f>
        <v>44994.998611111099</v>
      </c>
      <c r="AT1301" s="6">
        <f ca="1">IFERROR(__xludf.DUMMYFUNCTION("""COMPUTED_VALUE"""),1834.6)</f>
        <v>1834.6</v>
      </c>
    </row>
    <row r="1302" spans="2:46" x14ac:dyDescent="0.35">
      <c r="B1302" s="6" t="str">
        <f t="shared" ca="1" si="360"/>
        <v>20233</v>
      </c>
      <c r="C1302" s="6">
        <f t="shared" ca="1" si="361"/>
        <v>2023</v>
      </c>
      <c r="D1302" s="6">
        <f t="shared" ca="1" si="362"/>
        <v>3</v>
      </c>
      <c r="E1302" s="68">
        <f ca="1">IFERROR(__xludf.DUMMYFUNCTION("""COMPUTED_VALUE"""),44988.6666666666)</f>
        <v>44988.666666666599</v>
      </c>
      <c r="F1302" s="6">
        <f ca="1">IFERROR(__xludf.DUMMYFUNCTION("""COMPUTED_VALUE"""),4045.64)</f>
        <v>4045.64</v>
      </c>
      <c r="J1302" s="6" t="str">
        <f t="shared" ca="1" si="363"/>
        <v>20232</v>
      </c>
      <c r="K1302" s="6">
        <f t="shared" ca="1" si="364"/>
        <v>2023</v>
      </c>
      <c r="L1302" s="6">
        <f t="shared" ca="1" si="365"/>
        <v>2</v>
      </c>
      <c r="M1302" s="68">
        <f ca="1">IFERROR(__xludf.DUMMYFUNCTION("""COMPUTED_VALUE"""),44980.6666666666)</f>
        <v>44980.666666666599</v>
      </c>
      <c r="N1302" s="6">
        <f ca="1">IFERROR(__xludf.DUMMYFUNCTION("""COMPUTED_VALUE"""),11590.4)</f>
        <v>11590.4</v>
      </c>
      <c r="R1302" s="6" t="str">
        <f t="shared" ca="1" si="366"/>
        <v>20234</v>
      </c>
      <c r="S1302" s="6">
        <f t="shared" ca="1" si="367"/>
        <v>2023</v>
      </c>
      <c r="T1302" s="6">
        <f t="shared" ca="1" si="368"/>
        <v>4</v>
      </c>
      <c r="U1302" s="68">
        <f ca="1">IFERROR(__xludf.DUMMYFUNCTION("""COMPUTED_VALUE"""),45030.6458333333)</f>
        <v>45030.645833333299</v>
      </c>
      <c r="V1302" s="6">
        <f ca="1">IFERROR(__xludf.DUMMYFUNCTION("""COMPUTED_VALUE"""),2571.49)</f>
        <v>2571.4899999999998</v>
      </c>
      <c r="Z1302" s="6" t="str">
        <f t="shared" ca="1" si="369"/>
        <v>20219</v>
      </c>
      <c r="AA1302" s="6">
        <f t="shared" ca="1" si="370"/>
        <v>2021</v>
      </c>
      <c r="AB1302" s="6">
        <f t="shared" ca="1" si="371"/>
        <v>9</v>
      </c>
      <c r="AC1302" s="68">
        <f ca="1">IFERROR(__xludf.DUMMYFUNCTION("""COMPUTED_VALUE"""),44447.9986111111)</f>
        <v>44447.998611111099</v>
      </c>
      <c r="AD1302" s="6">
        <f ca="1">IFERROR(__xludf.DUMMYFUNCTION("""COMPUTED_VALUE"""),1166.49)</f>
        <v>1166.49</v>
      </c>
      <c r="AH1302" s="6" t="str">
        <f t="shared" ca="1" si="372"/>
        <v>20217</v>
      </c>
      <c r="AI1302" s="6">
        <f t="shared" ca="1" si="373"/>
        <v>2021</v>
      </c>
      <c r="AJ1302" s="6">
        <f t="shared" ca="1" si="374"/>
        <v>7</v>
      </c>
      <c r="AK1302" s="68">
        <f ca="1">IFERROR(__xludf.DUMMYFUNCTION("""COMPUTED_VALUE"""),44395.9986111111)</f>
        <v>44395.998611111099</v>
      </c>
      <c r="AL1302" s="6">
        <f ca="1">IFERROR(__xludf.DUMMYFUNCTION("""COMPUTED_VALUE"""),31802.68)</f>
        <v>31802.68</v>
      </c>
      <c r="AP1302" s="6" t="str">
        <f t="shared" ca="1" si="375"/>
        <v>20233</v>
      </c>
      <c r="AQ1302" s="6">
        <f t="shared" ca="1" si="376"/>
        <v>2023</v>
      </c>
      <c r="AR1302" s="6">
        <f t="shared" ca="1" si="377"/>
        <v>3</v>
      </c>
      <c r="AS1302" s="68">
        <f ca="1">IFERROR(__xludf.DUMMYFUNCTION("""COMPUTED_VALUE"""),44995.9986111111)</f>
        <v>44995.998611111099</v>
      </c>
      <c r="AT1302" s="6">
        <f ca="1">IFERROR(__xludf.DUMMYFUNCTION("""COMPUTED_VALUE"""),1867.2)</f>
        <v>1867.2</v>
      </c>
    </row>
    <row r="1303" spans="2:46" x14ac:dyDescent="0.35">
      <c r="B1303" s="6" t="str">
        <f t="shared" ca="1" si="360"/>
        <v>20233</v>
      </c>
      <c r="C1303" s="6">
        <f t="shared" ca="1" si="361"/>
        <v>2023</v>
      </c>
      <c r="D1303" s="6">
        <f t="shared" ca="1" si="362"/>
        <v>3</v>
      </c>
      <c r="E1303" s="68">
        <f ca="1">IFERROR(__xludf.DUMMYFUNCTION("""COMPUTED_VALUE"""),44991.6666666666)</f>
        <v>44991.666666666599</v>
      </c>
      <c r="F1303" s="6">
        <f ca="1">IFERROR(__xludf.DUMMYFUNCTION("""COMPUTED_VALUE"""),4048.42)</f>
        <v>4048.42</v>
      </c>
      <c r="J1303" s="6" t="str">
        <f t="shared" ca="1" si="363"/>
        <v>20232</v>
      </c>
      <c r="K1303" s="6">
        <f t="shared" ca="1" si="364"/>
        <v>2023</v>
      </c>
      <c r="L1303" s="6">
        <f t="shared" ca="1" si="365"/>
        <v>2</v>
      </c>
      <c r="M1303" s="68">
        <f ca="1">IFERROR(__xludf.DUMMYFUNCTION("""COMPUTED_VALUE"""),44981.6666666666)</f>
        <v>44981.666666666599</v>
      </c>
      <c r="N1303" s="6">
        <f ca="1">IFERROR(__xludf.DUMMYFUNCTION("""COMPUTED_VALUE"""),11394.94)</f>
        <v>11394.94</v>
      </c>
      <c r="R1303" s="6" t="str">
        <f t="shared" ca="1" si="366"/>
        <v>20234</v>
      </c>
      <c r="S1303" s="6">
        <f t="shared" ca="1" si="367"/>
        <v>2023</v>
      </c>
      <c r="T1303" s="6">
        <f t="shared" ca="1" si="368"/>
        <v>4</v>
      </c>
      <c r="U1303" s="68">
        <f ca="1">IFERROR(__xludf.DUMMYFUNCTION("""COMPUTED_VALUE"""),45033.6458333333)</f>
        <v>45033.645833333299</v>
      </c>
      <c r="V1303" s="6">
        <f ca="1">IFERROR(__xludf.DUMMYFUNCTION("""COMPUTED_VALUE"""),2575.91)</f>
        <v>2575.91</v>
      </c>
      <c r="Z1303" s="6" t="str">
        <f t="shared" ca="1" si="369"/>
        <v>20219</v>
      </c>
      <c r="AA1303" s="6">
        <f t="shared" ca="1" si="370"/>
        <v>2021</v>
      </c>
      <c r="AB1303" s="6">
        <f t="shared" ca="1" si="371"/>
        <v>9</v>
      </c>
      <c r="AC1303" s="68">
        <f ca="1">IFERROR(__xludf.DUMMYFUNCTION("""COMPUTED_VALUE"""),44448.9986111111)</f>
        <v>44448.998611111099</v>
      </c>
      <c r="AD1303" s="6">
        <f ca="1">IFERROR(__xludf.DUMMYFUNCTION("""COMPUTED_VALUE"""),1169.13)</f>
        <v>1169.1300000000001</v>
      </c>
      <c r="AH1303" s="6" t="str">
        <f t="shared" ca="1" si="372"/>
        <v>20217</v>
      </c>
      <c r="AI1303" s="6">
        <f t="shared" ca="1" si="373"/>
        <v>2021</v>
      </c>
      <c r="AJ1303" s="6">
        <f t="shared" ca="1" si="374"/>
        <v>7</v>
      </c>
      <c r="AK1303" s="68">
        <f ca="1">IFERROR(__xludf.DUMMYFUNCTION("""COMPUTED_VALUE"""),44396.9986111111)</f>
        <v>44396.998611111099</v>
      </c>
      <c r="AL1303" s="6">
        <f ca="1">IFERROR(__xludf.DUMMYFUNCTION("""COMPUTED_VALUE"""),30838.26)</f>
        <v>30838.26</v>
      </c>
      <c r="AP1303" s="6" t="str">
        <f t="shared" ca="1" si="375"/>
        <v>20233</v>
      </c>
      <c r="AQ1303" s="6">
        <f t="shared" ca="1" si="376"/>
        <v>2023</v>
      </c>
      <c r="AR1303" s="6">
        <f t="shared" ca="1" si="377"/>
        <v>3</v>
      </c>
      <c r="AS1303" s="68">
        <f ca="1">IFERROR(__xludf.DUMMYFUNCTION("""COMPUTED_VALUE"""),44998.9986111111)</f>
        <v>44998.998611111099</v>
      </c>
      <c r="AT1303" s="6">
        <f ca="1">IFERROR(__xludf.DUMMYFUNCTION("""COMPUTED_VALUE"""),1916.5)</f>
        <v>1916.5</v>
      </c>
    </row>
    <row r="1304" spans="2:46" x14ac:dyDescent="0.35">
      <c r="B1304" s="6" t="str">
        <f t="shared" ca="1" si="360"/>
        <v>20233</v>
      </c>
      <c r="C1304" s="6">
        <f t="shared" ca="1" si="361"/>
        <v>2023</v>
      </c>
      <c r="D1304" s="6">
        <f t="shared" ca="1" si="362"/>
        <v>3</v>
      </c>
      <c r="E1304" s="68">
        <f ca="1">IFERROR(__xludf.DUMMYFUNCTION("""COMPUTED_VALUE"""),44992.6666666666)</f>
        <v>44992.666666666599</v>
      </c>
      <c r="F1304" s="6">
        <f ca="1">IFERROR(__xludf.DUMMYFUNCTION("""COMPUTED_VALUE"""),3986.37)</f>
        <v>3986.37</v>
      </c>
      <c r="J1304" s="6" t="str">
        <f t="shared" ca="1" si="363"/>
        <v>20232</v>
      </c>
      <c r="K1304" s="6">
        <f t="shared" ca="1" si="364"/>
        <v>2023</v>
      </c>
      <c r="L1304" s="6">
        <f t="shared" ca="1" si="365"/>
        <v>2</v>
      </c>
      <c r="M1304" s="68">
        <f ca="1">IFERROR(__xludf.DUMMYFUNCTION("""COMPUTED_VALUE"""),44984.6666666666)</f>
        <v>44984.666666666599</v>
      </c>
      <c r="N1304" s="6">
        <f ca="1">IFERROR(__xludf.DUMMYFUNCTION("""COMPUTED_VALUE"""),11466.98)</f>
        <v>11466.98</v>
      </c>
      <c r="R1304" s="6" t="str">
        <f t="shared" ca="1" si="366"/>
        <v>20234</v>
      </c>
      <c r="S1304" s="6">
        <f t="shared" ca="1" si="367"/>
        <v>2023</v>
      </c>
      <c r="T1304" s="6">
        <f t="shared" ca="1" si="368"/>
        <v>4</v>
      </c>
      <c r="U1304" s="68">
        <f ca="1">IFERROR(__xludf.DUMMYFUNCTION("""COMPUTED_VALUE"""),45034.6458333333)</f>
        <v>45034.645833333299</v>
      </c>
      <c r="V1304" s="6">
        <f ca="1">IFERROR(__xludf.DUMMYFUNCTION("""COMPUTED_VALUE"""),2571.09)</f>
        <v>2571.09</v>
      </c>
      <c r="Z1304" s="6" t="str">
        <f t="shared" ca="1" si="369"/>
        <v>20219</v>
      </c>
      <c r="AA1304" s="6">
        <f t="shared" ca="1" si="370"/>
        <v>2021</v>
      </c>
      <c r="AB1304" s="6">
        <f t="shared" ca="1" si="371"/>
        <v>9</v>
      </c>
      <c r="AC1304" s="68">
        <f ca="1">IFERROR(__xludf.DUMMYFUNCTION("""COMPUTED_VALUE"""),44449.9986111111)</f>
        <v>44449.998611111099</v>
      </c>
      <c r="AD1304" s="6">
        <f ca="1">IFERROR(__xludf.DUMMYFUNCTION("""COMPUTED_VALUE"""),1169.88)</f>
        <v>1169.8800000000001</v>
      </c>
      <c r="AH1304" s="6" t="str">
        <f t="shared" ca="1" si="372"/>
        <v>20217</v>
      </c>
      <c r="AI1304" s="6">
        <f t="shared" ca="1" si="373"/>
        <v>2021</v>
      </c>
      <c r="AJ1304" s="6">
        <f t="shared" ca="1" si="374"/>
        <v>7</v>
      </c>
      <c r="AK1304" s="68">
        <f ca="1">IFERROR(__xludf.DUMMYFUNCTION("""COMPUTED_VALUE"""),44397.9986111111)</f>
        <v>44397.998611111099</v>
      </c>
      <c r="AL1304" s="6">
        <f ca="1">IFERROR(__xludf.DUMMYFUNCTION("""COMPUTED_VALUE"""),29790.22)</f>
        <v>29790.22</v>
      </c>
      <c r="AP1304" s="6" t="str">
        <f t="shared" ca="1" si="375"/>
        <v>20233</v>
      </c>
      <c r="AQ1304" s="6">
        <f t="shared" ca="1" si="376"/>
        <v>2023</v>
      </c>
      <c r="AR1304" s="6">
        <f t="shared" ca="1" si="377"/>
        <v>3</v>
      </c>
      <c r="AS1304" s="68">
        <f ca="1">IFERROR(__xludf.DUMMYFUNCTION("""COMPUTED_VALUE"""),44999.9986111111)</f>
        <v>44999.998611111099</v>
      </c>
      <c r="AT1304" s="6">
        <f ca="1">IFERROR(__xludf.DUMMYFUNCTION("""COMPUTED_VALUE"""),1910.9)</f>
        <v>1910.9</v>
      </c>
    </row>
    <row r="1305" spans="2:46" x14ac:dyDescent="0.35">
      <c r="B1305" s="6" t="str">
        <f t="shared" ca="1" si="360"/>
        <v>20233</v>
      </c>
      <c r="C1305" s="6">
        <f t="shared" ca="1" si="361"/>
        <v>2023</v>
      </c>
      <c r="D1305" s="6">
        <f t="shared" ca="1" si="362"/>
        <v>3</v>
      </c>
      <c r="E1305" s="68">
        <f ca="1">IFERROR(__xludf.DUMMYFUNCTION("""COMPUTED_VALUE"""),44993.6666666666)</f>
        <v>44993.666666666599</v>
      </c>
      <c r="F1305" s="6">
        <f ca="1">IFERROR(__xludf.DUMMYFUNCTION("""COMPUTED_VALUE"""),3992.01)</f>
        <v>3992.01</v>
      </c>
      <c r="J1305" s="6" t="str">
        <f t="shared" ca="1" si="363"/>
        <v>20232</v>
      </c>
      <c r="K1305" s="6">
        <f t="shared" ca="1" si="364"/>
        <v>2023</v>
      </c>
      <c r="L1305" s="6">
        <f t="shared" ca="1" si="365"/>
        <v>2</v>
      </c>
      <c r="M1305" s="68">
        <f ca="1">IFERROR(__xludf.DUMMYFUNCTION("""COMPUTED_VALUE"""),44985.6666666666)</f>
        <v>44985.666666666599</v>
      </c>
      <c r="N1305" s="6">
        <f ca="1">IFERROR(__xludf.DUMMYFUNCTION("""COMPUTED_VALUE"""),11455.54)</f>
        <v>11455.54</v>
      </c>
      <c r="R1305" s="6" t="str">
        <f t="shared" ca="1" si="366"/>
        <v>20234</v>
      </c>
      <c r="S1305" s="6">
        <f t="shared" ca="1" si="367"/>
        <v>2023</v>
      </c>
      <c r="T1305" s="6">
        <f t="shared" ca="1" si="368"/>
        <v>4</v>
      </c>
      <c r="U1305" s="68">
        <f ca="1">IFERROR(__xludf.DUMMYFUNCTION("""COMPUTED_VALUE"""),45035.6458333333)</f>
        <v>45035.645833333299</v>
      </c>
      <c r="V1305" s="6">
        <f ca="1">IFERROR(__xludf.DUMMYFUNCTION("""COMPUTED_VALUE"""),2575.08)</f>
        <v>2575.08</v>
      </c>
      <c r="Z1305" s="6" t="str">
        <f t="shared" ca="1" si="369"/>
        <v>20219</v>
      </c>
      <c r="AA1305" s="6">
        <f t="shared" ca="1" si="370"/>
        <v>2021</v>
      </c>
      <c r="AB1305" s="6">
        <f t="shared" ca="1" si="371"/>
        <v>9</v>
      </c>
      <c r="AC1305" s="68">
        <f ca="1">IFERROR(__xludf.DUMMYFUNCTION("""COMPUTED_VALUE"""),44450.9986111111)</f>
        <v>44450.998611111099</v>
      </c>
      <c r="AD1305" s="6">
        <f ca="1">IFERROR(__xludf.DUMMYFUNCTION("""COMPUTED_VALUE"""),1169.88)</f>
        <v>1169.8800000000001</v>
      </c>
      <c r="AH1305" s="6" t="str">
        <f t="shared" ca="1" si="372"/>
        <v>20217</v>
      </c>
      <c r="AI1305" s="6">
        <f t="shared" ca="1" si="373"/>
        <v>2021</v>
      </c>
      <c r="AJ1305" s="6">
        <f t="shared" ca="1" si="374"/>
        <v>7</v>
      </c>
      <c r="AK1305" s="68">
        <f ca="1">IFERROR(__xludf.DUMMYFUNCTION("""COMPUTED_VALUE"""),44398.9986111111)</f>
        <v>44398.998611111099</v>
      </c>
      <c r="AL1305" s="6">
        <f ca="1">IFERROR(__xludf.DUMMYFUNCTION("""COMPUTED_VALUE"""),32121.27)</f>
        <v>32121.27</v>
      </c>
      <c r="AP1305" s="6" t="str">
        <f t="shared" ca="1" si="375"/>
        <v>20233</v>
      </c>
      <c r="AQ1305" s="6">
        <f t="shared" ca="1" si="376"/>
        <v>2023</v>
      </c>
      <c r="AR1305" s="6">
        <f t="shared" ca="1" si="377"/>
        <v>3</v>
      </c>
      <c r="AS1305" s="68">
        <f ca="1">IFERROR(__xludf.DUMMYFUNCTION("""COMPUTED_VALUE"""),45000.9986111111)</f>
        <v>45000.998611111099</v>
      </c>
      <c r="AT1305" s="6">
        <f ca="1">IFERROR(__xludf.DUMMYFUNCTION("""COMPUTED_VALUE"""),1931.3)</f>
        <v>1931.3</v>
      </c>
    </row>
    <row r="1306" spans="2:46" x14ac:dyDescent="0.35">
      <c r="B1306" s="6" t="str">
        <f t="shared" ca="1" si="360"/>
        <v>20233</v>
      </c>
      <c r="C1306" s="6">
        <f t="shared" ca="1" si="361"/>
        <v>2023</v>
      </c>
      <c r="D1306" s="6">
        <f t="shared" ca="1" si="362"/>
        <v>3</v>
      </c>
      <c r="E1306" s="68">
        <f ca="1">IFERROR(__xludf.DUMMYFUNCTION("""COMPUTED_VALUE"""),44994.6666666666)</f>
        <v>44994.666666666599</v>
      </c>
      <c r="F1306" s="6">
        <f ca="1">IFERROR(__xludf.DUMMYFUNCTION("""COMPUTED_VALUE"""),3918.32)</f>
        <v>3918.32</v>
      </c>
      <c r="J1306" s="6" t="str">
        <f t="shared" ca="1" si="363"/>
        <v>20233</v>
      </c>
      <c r="K1306" s="6">
        <f t="shared" ca="1" si="364"/>
        <v>2023</v>
      </c>
      <c r="L1306" s="6">
        <f t="shared" ca="1" si="365"/>
        <v>3</v>
      </c>
      <c r="M1306" s="68">
        <f ca="1">IFERROR(__xludf.DUMMYFUNCTION("""COMPUTED_VALUE"""),44986.6666666666)</f>
        <v>44986.666666666599</v>
      </c>
      <c r="N1306" s="6">
        <f ca="1">IFERROR(__xludf.DUMMYFUNCTION("""COMPUTED_VALUE"""),11379.48)</f>
        <v>11379.48</v>
      </c>
      <c r="R1306" s="6" t="str">
        <f t="shared" ca="1" si="366"/>
        <v>20234</v>
      </c>
      <c r="S1306" s="6">
        <f t="shared" ca="1" si="367"/>
        <v>2023</v>
      </c>
      <c r="T1306" s="6">
        <f t="shared" ca="1" si="368"/>
        <v>4</v>
      </c>
      <c r="U1306" s="68">
        <f ca="1">IFERROR(__xludf.DUMMYFUNCTION("""COMPUTED_VALUE"""),45036.6458333333)</f>
        <v>45036.645833333299</v>
      </c>
      <c r="V1306" s="6">
        <f ca="1">IFERROR(__xludf.DUMMYFUNCTION("""COMPUTED_VALUE"""),2563.11)</f>
        <v>2563.11</v>
      </c>
      <c r="Z1306" s="6" t="str">
        <f t="shared" ca="1" si="369"/>
        <v>20219</v>
      </c>
      <c r="AA1306" s="6">
        <f t="shared" ca="1" si="370"/>
        <v>2021</v>
      </c>
      <c r="AB1306" s="6">
        <f t="shared" ca="1" si="371"/>
        <v>9</v>
      </c>
      <c r="AC1306" s="68">
        <f ca="1">IFERROR(__xludf.DUMMYFUNCTION("""COMPUTED_VALUE"""),44451.9986111111)</f>
        <v>44451.998611111099</v>
      </c>
      <c r="AD1306" s="6">
        <f ca="1">IFERROR(__xludf.DUMMYFUNCTION("""COMPUTED_VALUE"""),1169.38)</f>
        <v>1169.3800000000001</v>
      </c>
      <c r="AH1306" s="6" t="str">
        <f t="shared" ca="1" si="372"/>
        <v>20217</v>
      </c>
      <c r="AI1306" s="6">
        <f t="shared" ca="1" si="373"/>
        <v>2021</v>
      </c>
      <c r="AJ1306" s="6">
        <f t="shared" ca="1" si="374"/>
        <v>7</v>
      </c>
      <c r="AK1306" s="68">
        <f ca="1">IFERROR(__xludf.DUMMYFUNCTION("""COMPUTED_VALUE"""),44399.9986111111)</f>
        <v>44399.998611111099</v>
      </c>
      <c r="AL1306" s="6">
        <f ca="1">IFERROR(__xludf.DUMMYFUNCTION("""COMPUTED_VALUE"""),32303.9)</f>
        <v>32303.9</v>
      </c>
      <c r="AP1306" s="6" t="str">
        <f t="shared" ca="1" si="375"/>
        <v>20233</v>
      </c>
      <c r="AQ1306" s="6">
        <f t="shared" ca="1" si="376"/>
        <v>2023</v>
      </c>
      <c r="AR1306" s="6">
        <f t="shared" ca="1" si="377"/>
        <v>3</v>
      </c>
      <c r="AS1306" s="68">
        <f ca="1">IFERROR(__xludf.DUMMYFUNCTION("""COMPUTED_VALUE"""),45001.9986111111)</f>
        <v>45001.998611111099</v>
      </c>
      <c r="AT1306" s="6">
        <f ca="1">IFERROR(__xludf.DUMMYFUNCTION("""COMPUTED_VALUE"""),1939.7)</f>
        <v>1939.7</v>
      </c>
    </row>
    <row r="1307" spans="2:46" x14ac:dyDescent="0.35">
      <c r="B1307" s="6" t="str">
        <f t="shared" ca="1" si="360"/>
        <v>20233</v>
      </c>
      <c r="C1307" s="6">
        <f t="shared" ca="1" si="361"/>
        <v>2023</v>
      </c>
      <c r="D1307" s="6">
        <f t="shared" ca="1" si="362"/>
        <v>3</v>
      </c>
      <c r="E1307" s="68">
        <f ca="1">IFERROR(__xludf.DUMMYFUNCTION("""COMPUTED_VALUE"""),44995.6666666666)</f>
        <v>44995.666666666599</v>
      </c>
      <c r="F1307" s="6">
        <f ca="1">IFERROR(__xludf.DUMMYFUNCTION("""COMPUTED_VALUE"""),3861.59)</f>
        <v>3861.59</v>
      </c>
      <c r="J1307" s="6" t="str">
        <f t="shared" ca="1" si="363"/>
        <v>20233</v>
      </c>
      <c r="K1307" s="6">
        <f t="shared" ca="1" si="364"/>
        <v>2023</v>
      </c>
      <c r="L1307" s="6">
        <f t="shared" ca="1" si="365"/>
        <v>3</v>
      </c>
      <c r="M1307" s="68">
        <f ca="1">IFERROR(__xludf.DUMMYFUNCTION("""COMPUTED_VALUE"""),44987.6666666666)</f>
        <v>44987.666666666599</v>
      </c>
      <c r="N1307" s="6">
        <f ca="1">IFERROR(__xludf.DUMMYFUNCTION("""COMPUTED_VALUE"""),11462.98)</f>
        <v>11462.98</v>
      </c>
      <c r="R1307" s="6" t="str">
        <f t="shared" ca="1" si="366"/>
        <v>20234</v>
      </c>
      <c r="S1307" s="6">
        <f t="shared" ca="1" si="367"/>
        <v>2023</v>
      </c>
      <c r="T1307" s="6">
        <f t="shared" ca="1" si="368"/>
        <v>4</v>
      </c>
      <c r="U1307" s="68">
        <f ca="1">IFERROR(__xludf.DUMMYFUNCTION("""COMPUTED_VALUE"""),45037.6458333333)</f>
        <v>45037.645833333299</v>
      </c>
      <c r="V1307" s="6">
        <f ca="1">IFERROR(__xludf.DUMMYFUNCTION("""COMPUTED_VALUE"""),2544.4)</f>
        <v>2544.4</v>
      </c>
      <c r="Z1307" s="6" t="str">
        <f t="shared" ca="1" si="369"/>
        <v>20219</v>
      </c>
      <c r="AA1307" s="6">
        <f t="shared" ca="1" si="370"/>
        <v>2021</v>
      </c>
      <c r="AB1307" s="6">
        <f t="shared" ca="1" si="371"/>
        <v>9</v>
      </c>
      <c r="AC1307" s="68">
        <f ca="1">IFERROR(__xludf.DUMMYFUNCTION("""COMPUTED_VALUE"""),44452.9986111111)</f>
        <v>44452.998611111099</v>
      </c>
      <c r="AD1307" s="6">
        <f ca="1">IFERROR(__xludf.DUMMYFUNCTION("""COMPUTED_VALUE"""),1171.11)</f>
        <v>1171.1099999999999</v>
      </c>
      <c r="AH1307" s="6" t="str">
        <f t="shared" ca="1" si="372"/>
        <v>20217</v>
      </c>
      <c r="AI1307" s="6">
        <f t="shared" ca="1" si="373"/>
        <v>2021</v>
      </c>
      <c r="AJ1307" s="6">
        <f t="shared" ca="1" si="374"/>
        <v>7</v>
      </c>
      <c r="AK1307" s="68">
        <f ca="1">IFERROR(__xludf.DUMMYFUNCTION("""COMPUTED_VALUE"""),44400.9986111111)</f>
        <v>44400.998611111099</v>
      </c>
      <c r="AL1307" s="6">
        <f ca="1">IFERROR(__xludf.DUMMYFUNCTION("""COMPUTED_VALUE"""),33604.89)</f>
        <v>33604.89</v>
      </c>
      <c r="AP1307" s="6" t="str">
        <f t="shared" ca="1" si="375"/>
        <v>20233</v>
      </c>
      <c r="AQ1307" s="6">
        <f t="shared" ca="1" si="376"/>
        <v>2023</v>
      </c>
      <c r="AR1307" s="6">
        <f t="shared" ca="1" si="377"/>
        <v>3</v>
      </c>
      <c r="AS1307" s="68">
        <f ca="1">IFERROR(__xludf.DUMMYFUNCTION("""COMPUTED_VALUE"""),45002.9986111111)</f>
        <v>45002.998611111099</v>
      </c>
      <c r="AT1307" s="6">
        <f ca="1">IFERROR(__xludf.DUMMYFUNCTION("""COMPUTED_VALUE"""),1990.2)</f>
        <v>1990.2</v>
      </c>
    </row>
    <row r="1308" spans="2:46" x14ac:dyDescent="0.35">
      <c r="B1308" s="6" t="str">
        <f t="shared" ca="1" si="360"/>
        <v>20233</v>
      </c>
      <c r="C1308" s="6">
        <f t="shared" ca="1" si="361"/>
        <v>2023</v>
      </c>
      <c r="D1308" s="6">
        <f t="shared" ca="1" si="362"/>
        <v>3</v>
      </c>
      <c r="E1308" s="68">
        <f ca="1">IFERROR(__xludf.DUMMYFUNCTION("""COMPUTED_VALUE"""),44998.6666666666)</f>
        <v>44998.666666666599</v>
      </c>
      <c r="F1308" s="6">
        <f ca="1">IFERROR(__xludf.DUMMYFUNCTION("""COMPUTED_VALUE"""),3855.76)</f>
        <v>3855.76</v>
      </c>
      <c r="J1308" s="6" t="str">
        <f t="shared" ca="1" si="363"/>
        <v>20233</v>
      </c>
      <c r="K1308" s="6">
        <f t="shared" ca="1" si="364"/>
        <v>2023</v>
      </c>
      <c r="L1308" s="6">
        <f t="shared" ca="1" si="365"/>
        <v>3</v>
      </c>
      <c r="M1308" s="68">
        <f ca="1">IFERROR(__xludf.DUMMYFUNCTION("""COMPUTED_VALUE"""),44988.6666666666)</f>
        <v>44988.666666666599</v>
      </c>
      <c r="N1308" s="6">
        <f ca="1">IFERROR(__xludf.DUMMYFUNCTION("""COMPUTED_VALUE"""),11689.01)</f>
        <v>11689.01</v>
      </c>
      <c r="R1308" s="6" t="str">
        <f t="shared" ca="1" si="366"/>
        <v>20234</v>
      </c>
      <c r="S1308" s="6">
        <f t="shared" ca="1" si="367"/>
        <v>2023</v>
      </c>
      <c r="T1308" s="6">
        <f t="shared" ca="1" si="368"/>
        <v>4</v>
      </c>
      <c r="U1308" s="68">
        <f ca="1">IFERROR(__xludf.DUMMYFUNCTION("""COMPUTED_VALUE"""),45040.6458333333)</f>
        <v>45040.645833333299</v>
      </c>
      <c r="V1308" s="6">
        <f ca="1">IFERROR(__xludf.DUMMYFUNCTION("""COMPUTED_VALUE"""),2523.5)</f>
        <v>2523.5</v>
      </c>
      <c r="Z1308" s="6" t="str">
        <f t="shared" ca="1" si="369"/>
        <v>20219</v>
      </c>
      <c r="AA1308" s="6">
        <f t="shared" ca="1" si="370"/>
        <v>2021</v>
      </c>
      <c r="AB1308" s="6">
        <f t="shared" ca="1" si="371"/>
        <v>9</v>
      </c>
      <c r="AC1308" s="68">
        <f ca="1">IFERROR(__xludf.DUMMYFUNCTION("""COMPUTED_VALUE"""),44453.9986111111)</f>
        <v>44453.998611111099</v>
      </c>
      <c r="AD1308" s="6">
        <f ca="1">IFERROR(__xludf.DUMMYFUNCTION("""COMPUTED_VALUE"""),1170.8)</f>
        <v>1170.8</v>
      </c>
      <c r="AH1308" s="6" t="str">
        <f t="shared" ca="1" si="372"/>
        <v>20217</v>
      </c>
      <c r="AI1308" s="6">
        <f t="shared" ca="1" si="373"/>
        <v>2021</v>
      </c>
      <c r="AJ1308" s="6">
        <f t="shared" ca="1" si="374"/>
        <v>7</v>
      </c>
      <c r="AK1308" s="68">
        <f ca="1">IFERROR(__xludf.DUMMYFUNCTION("""COMPUTED_VALUE"""),44401.9986111111)</f>
        <v>44401.998611111099</v>
      </c>
      <c r="AL1308" s="6">
        <f ca="1">IFERROR(__xludf.DUMMYFUNCTION("""COMPUTED_VALUE"""),34280.88)</f>
        <v>34280.879999999997</v>
      </c>
      <c r="AP1308" s="6" t="str">
        <f t="shared" ca="1" si="375"/>
        <v>20233</v>
      </c>
      <c r="AQ1308" s="6">
        <f t="shared" ca="1" si="376"/>
        <v>2023</v>
      </c>
      <c r="AR1308" s="6">
        <f t="shared" ca="1" si="377"/>
        <v>3</v>
      </c>
      <c r="AS1308" s="68">
        <f ca="1">IFERROR(__xludf.DUMMYFUNCTION("""COMPUTED_VALUE"""),45005.9986111111)</f>
        <v>45005.998611111099</v>
      </c>
      <c r="AT1308" s="6">
        <f ca="1">IFERROR(__xludf.DUMMYFUNCTION("""COMPUTED_VALUE"""),1999.7)</f>
        <v>1999.7</v>
      </c>
    </row>
    <row r="1309" spans="2:46" x14ac:dyDescent="0.35">
      <c r="B1309" s="6" t="str">
        <f t="shared" ca="1" si="360"/>
        <v>20233</v>
      </c>
      <c r="C1309" s="6">
        <f t="shared" ca="1" si="361"/>
        <v>2023</v>
      </c>
      <c r="D1309" s="6">
        <f t="shared" ca="1" si="362"/>
        <v>3</v>
      </c>
      <c r="E1309" s="68">
        <f ca="1">IFERROR(__xludf.DUMMYFUNCTION("""COMPUTED_VALUE"""),44999.6666666666)</f>
        <v>44999.666666666599</v>
      </c>
      <c r="F1309" s="6">
        <f ca="1">IFERROR(__xludf.DUMMYFUNCTION("""COMPUTED_VALUE"""),3919.29)</f>
        <v>3919.29</v>
      </c>
      <c r="J1309" s="6" t="str">
        <f t="shared" ca="1" si="363"/>
        <v>20233</v>
      </c>
      <c r="K1309" s="6">
        <f t="shared" ca="1" si="364"/>
        <v>2023</v>
      </c>
      <c r="L1309" s="6">
        <f t="shared" ca="1" si="365"/>
        <v>3</v>
      </c>
      <c r="M1309" s="68">
        <f ca="1">IFERROR(__xludf.DUMMYFUNCTION("""COMPUTED_VALUE"""),44991.6666666666)</f>
        <v>44991.666666666599</v>
      </c>
      <c r="N1309" s="6">
        <f ca="1">IFERROR(__xludf.DUMMYFUNCTION("""COMPUTED_VALUE"""),11675.74)</f>
        <v>11675.74</v>
      </c>
      <c r="R1309" s="6" t="str">
        <f t="shared" ca="1" si="366"/>
        <v>20234</v>
      </c>
      <c r="S1309" s="6">
        <f t="shared" ca="1" si="367"/>
        <v>2023</v>
      </c>
      <c r="T1309" s="6">
        <f t="shared" ca="1" si="368"/>
        <v>4</v>
      </c>
      <c r="U1309" s="68">
        <f ca="1">IFERROR(__xludf.DUMMYFUNCTION("""COMPUTED_VALUE"""),45041.6458333333)</f>
        <v>45041.645833333299</v>
      </c>
      <c r="V1309" s="6">
        <f ca="1">IFERROR(__xludf.DUMMYFUNCTION("""COMPUTED_VALUE"""),2489.02)</f>
        <v>2489.02</v>
      </c>
      <c r="Z1309" s="6" t="str">
        <f t="shared" ca="1" si="369"/>
        <v>20219</v>
      </c>
      <c r="AA1309" s="6">
        <f t="shared" ca="1" si="370"/>
        <v>2021</v>
      </c>
      <c r="AB1309" s="6">
        <f t="shared" ca="1" si="371"/>
        <v>9</v>
      </c>
      <c r="AC1309" s="68">
        <f ca="1">IFERROR(__xludf.DUMMYFUNCTION("""COMPUTED_VALUE"""),44454.9986111111)</f>
        <v>44454.998611111099</v>
      </c>
      <c r="AD1309" s="6">
        <f ca="1">IFERROR(__xludf.DUMMYFUNCTION("""COMPUTED_VALUE"""),1165.22)</f>
        <v>1165.22</v>
      </c>
      <c r="AH1309" s="6" t="str">
        <f t="shared" ca="1" si="372"/>
        <v>20217</v>
      </c>
      <c r="AI1309" s="6">
        <f t="shared" ca="1" si="373"/>
        <v>2021</v>
      </c>
      <c r="AJ1309" s="6">
        <f t="shared" ca="1" si="374"/>
        <v>7</v>
      </c>
      <c r="AK1309" s="68">
        <f ca="1">IFERROR(__xludf.DUMMYFUNCTION("""COMPUTED_VALUE"""),44402.9986111111)</f>
        <v>44402.998611111099</v>
      </c>
      <c r="AL1309" s="6">
        <f ca="1">IFERROR(__xludf.DUMMYFUNCTION("""COMPUTED_VALUE"""),35412.74)</f>
        <v>35412.74</v>
      </c>
      <c r="AP1309" s="6" t="str">
        <f t="shared" ca="1" si="375"/>
        <v>20233</v>
      </c>
      <c r="AQ1309" s="6">
        <f t="shared" ca="1" si="376"/>
        <v>2023</v>
      </c>
      <c r="AR1309" s="6">
        <f t="shared" ca="1" si="377"/>
        <v>3</v>
      </c>
      <c r="AS1309" s="68">
        <f ca="1">IFERROR(__xludf.DUMMYFUNCTION("""COMPUTED_VALUE"""),45006.9986111111)</f>
        <v>45006.998611111099</v>
      </c>
      <c r="AT1309" s="6">
        <f ca="1">IFERROR(__xludf.DUMMYFUNCTION("""COMPUTED_VALUE"""),1958.3)</f>
        <v>1958.3</v>
      </c>
    </row>
    <row r="1310" spans="2:46" x14ac:dyDescent="0.35">
      <c r="B1310" s="6" t="str">
        <f t="shared" ca="1" si="360"/>
        <v>20233</v>
      </c>
      <c r="C1310" s="6">
        <f t="shared" ca="1" si="361"/>
        <v>2023</v>
      </c>
      <c r="D1310" s="6">
        <f t="shared" ca="1" si="362"/>
        <v>3</v>
      </c>
      <c r="E1310" s="68">
        <f ca="1">IFERROR(__xludf.DUMMYFUNCTION("""COMPUTED_VALUE"""),45000.6666666666)</f>
        <v>45000.666666666599</v>
      </c>
      <c r="F1310" s="6">
        <f ca="1">IFERROR(__xludf.DUMMYFUNCTION("""COMPUTED_VALUE"""),3891.93)</f>
        <v>3891.93</v>
      </c>
      <c r="J1310" s="6" t="str">
        <f t="shared" ca="1" si="363"/>
        <v>20233</v>
      </c>
      <c r="K1310" s="6">
        <f t="shared" ca="1" si="364"/>
        <v>2023</v>
      </c>
      <c r="L1310" s="6">
        <f t="shared" ca="1" si="365"/>
        <v>3</v>
      </c>
      <c r="M1310" s="68">
        <f ca="1">IFERROR(__xludf.DUMMYFUNCTION("""COMPUTED_VALUE"""),44992.6666666666)</f>
        <v>44992.666666666599</v>
      </c>
      <c r="N1310" s="6">
        <f ca="1">IFERROR(__xludf.DUMMYFUNCTION("""COMPUTED_VALUE"""),11530.33)</f>
        <v>11530.33</v>
      </c>
      <c r="R1310" s="6" t="str">
        <f t="shared" ca="1" si="366"/>
        <v>20234</v>
      </c>
      <c r="S1310" s="6">
        <f t="shared" ca="1" si="367"/>
        <v>2023</v>
      </c>
      <c r="T1310" s="6">
        <f t="shared" ca="1" si="368"/>
        <v>4</v>
      </c>
      <c r="U1310" s="68">
        <f ca="1">IFERROR(__xludf.DUMMYFUNCTION("""COMPUTED_VALUE"""),45042.6458333333)</f>
        <v>45042.645833333299</v>
      </c>
      <c r="V1310" s="6">
        <f ca="1">IFERROR(__xludf.DUMMYFUNCTION("""COMPUTED_VALUE"""),2484.83)</f>
        <v>2484.83</v>
      </c>
      <c r="Z1310" s="6" t="str">
        <f t="shared" ca="1" si="369"/>
        <v>20219</v>
      </c>
      <c r="AA1310" s="6">
        <f t="shared" ca="1" si="370"/>
        <v>2021</v>
      </c>
      <c r="AB1310" s="6">
        <f t="shared" ca="1" si="371"/>
        <v>9</v>
      </c>
      <c r="AC1310" s="68">
        <f ca="1">IFERROR(__xludf.DUMMYFUNCTION("""COMPUTED_VALUE"""),44455.9986111111)</f>
        <v>44455.998611111099</v>
      </c>
      <c r="AD1310" s="6">
        <f ca="1">IFERROR(__xludf.DUMMYFUNCTION("""COMPUTED_VALUE"""),1174.42)</f>
        <v>1174.42</v>
      </c>
      <c r="AH1310" s="6" t="str">
        <f t="shared" ca="1" si="372"/>
        <v>20217</v>
      </c>
      <c r="AI1310" s="6">
        <f t="shared" ca="1" si="373"/>
        <v>2021</v>
      </c>
      <c r="AJ1310" s="6">
        <f t="shared" ca="1" si="374"/>
        <v>7</v>
      </c>
      <c r="AK1310" s="68">
        <f ca="1">IFERROR(__xludf.DUMMYFUNCTION("""COMPUTED_VALUE"""),44403.9986111111)</f>
        <v>44403.998611111099</v>
      </c>
      <c r="AL1310" s="6">
        <f ca="1">IFERROR(__xludf.DUMMYFUNCTION("""COMPUTED_VALUE"""),37306.7)</f>
        <v>37306.699999999997</v>
      </c>
      <c r="AP1310" s="6" t="str">
        <f t="shared" ca="1" si="375"/>
        <v>20233</v>
      </c>
      <c r="AQ1310" s="6">
        <f t="shared" ca="1" si="376"/>
        <v>2023</v>
      </c>
      <c r="AR1310" s="6">
        <f t="shared" ca="1" si="377"/>
        <v>3</v>
      </c>
      <c r="AS1310" s="68">
        <f ca="1">IFERROR(__xludf.DUMMYFUNCTION("""COMPUTED_VALUE"""),45007.9986111111)</f>
        <v>45007.998611111099</v>
      </c>
      <c r="AT1310" s="6">
        <f ca="1">IFERROR(__xludf.DUMMYFUNCTION("""COMPUTED_VALUE"""),1966.6)</f>
        <v>1966.6</v>
      </c>
    </row>
    <row r="1311" spans="2:46" x14ac:dyDescent="0.35">
      <c r="B1311" s="6" t="str">
        <f t="shared" ca="1" si="360"/>
        <v>20233</v>
      </c>
      <c r="C1311" s="6">
        <f t="shared" ca="1" si="361"/>
        <v>2023</v>
      </c>
      <c r="D1311" s="6">
        <f t="shared" ca="1" si="362"/>
        <v>3</v>
      </c>
      <c r="E1311" s="68">
        <f ca="1">IFERROR(__xludf.DUMMYFUNCTION("""COMPUTED_VALUE"""),45001.6666666666)</f>
        <v>45001.666666666599</v>
      </c>
      <c r="F1311" s="6">
        <f ca="1">IFERROR(__xludf.DUMMYFUNCTION("""COMPUTED_VALUE"""),3960.28)</f>
        <v>3960.28</v>
      </c>
      <c r="J1311" s="6" t="str">
        <f t="shared" ca="1" si="363"/>
        <v>20233</v>
      </c>
      <c r="K1311" s="6">
        <f t="shared" ca="1" si="364"/>
        <v>2023</v>
      </c>
      <c r="L1311" s="6">
        <f t="shared" ca="1" si="365"/>
        <v>3</v>
      </c>
      <c r="M1311" s="68">
        <f ca="1">IFERROR(__xludf.DUMMYFUNCTION("""COMPUTED_VALUE"""),44993.6666666666)</f>
        <v>44993.666666666599</v>
      </c>
      <c r="N1311" s="6">
        <f ca="1">IFERROR(__xludf.DUMMYFUNCTION("""COMPUTED_VALUE"""),11576)</f>
        <v>11576</v>
      </c>
      <c r="R1311" s="6" t="str">
        <f t="shared" ca="1" si="366"/>
        <v>20234</v>
      </c>
      <c r="S1311" s="6">
        <f t="shared" ca="1" si="367"/>
        <v>2023</v>
      </c>
      <c r="T1311" s="6">
        <f t="shared" ca="1" si="368"/>
        <v>4</v>
      </c>
      <c r="U1311" s="68">
        <f ca="1">IFERROR(__xludf.DUMMYFUNCTION("""COMPUTED_VALUE"""),45043.6458333333)</f>
        <v>45043.645833333299</v>
      </c>
      <c r="V1311" s="6">
        <f ca="1">IFERROR(__xludf.DUMMYFUNCTION("""COMPUTED_VALUE"""),2495.81)</f>
        <v>2495.81</v>
      </c>
      <c r="Z1311" s="6" t="str">
        <f t="shared" ca="1" si="369"/>
        <v>20219</v>
      </c>
      <c r="AA1311" s="6">
        <f t="shared" ca="1" si="370"/>
        <v>2021</v>
      </c>
      <c r="AB1311" s="6">
        <f t="shared" ca="1" si="371"/>
        <v>9</v>
      </c>
      <c r="AC1311" s="68">
        <f ca="1">IFERROR(__xludf.DUMMYFUNCTION("""COMPUTED_VALUE"""),44456.9986111111)</f>
        <v>44456.998611111099</v>
      </c>
      <c r="AD1311" s="6">
        <f ca="1">IFERROR(__xludf.DUMMYFUNCTION("""COMPUTED_VALUE"""),1180.72)</f>
        <v>1180.72</v>
      </c>
      <c r="AH1311" s="6" t="str">
        <f t="shared" ca="1" si="372"/>
        <v>20217</v>
      </c>
      <c r="AI1311" s="6">
        <f t="shared" ca="1" si="373"/>
        <v>2021</v>
      </c>
      <c r="AJ1311" s="6">
        <f t="shared" ca="1" si="374"/>
        <v>7</v>
      </c>
      <c r="AK1311" s="68">
        <f ca="1">IFERROR(__xludf.DUMMYFUNCTION("""COMPUTED_VALUE"""),44404.9986111111)</f>
        <v>44404.998611111099</v>
      </c>
      <c r="AL1311" s="6">
        <f ca="1">IFERROR(__xludf.DUMMYFUNCTION("""COMPUTED_VALUE"""),39430.78)</f>
        <v>39430.78</v>
      </c>
      <c r="AP1311" s="6" t="str">
        <f t="shared" ca="1" si="375"/>
        <v>20233</v>
      </c>
      <c r="AQ1311" s="6">
        <f t="shared" ca="1" si="376"/>
        <v>2023</v>
      </c>
      <c r="AR1311" s="6">
        <f t="shared" ca="1" si="377"/>
        <v>3</v>
      </c>
      <c r="AS1311" s="68">
        <f ca="1">IFERROR(__xludf.DUMMYFUNCTION("""COMPUTED_VALUE"""),45008.9986111111)</f>
        <v>45008.998611111099</v>
      </c>
      <c r="AT1311" s="6">
        <f ca="1">IFERROR(__xludf.DUMMYFUNCTION("""COMPUTED_VALUE"""),2013.3)</f>
        <v>2013.3</v>
      </c>
    </row>
    <row r="1312" spans="2:46" x14ac:dyDescent="0.35">
      <c r="B1312" s="6" t="str">
        <f t="shared" ca="1" si="360"/>
        <v>20233</v>
      </c>
      <c r="C1312" s="6">
        <f t="shared" ca="1" si="361"/>
        <v>2023</v>
      </c>
      <c r="D1312" s="6">
        <f t="shared" ca="1" si="362"/>
        <v>3</v>
      </c>
      <c r="E1312" s="68">
        <f ca="1">IFERROR(__xludf.DUMMYFUNCTION("""COMPUTED_VALUE"""),45002.6666666666)</f>
        <v>45002.666666666599</v>
      </c>
      <c r="F1312" s="6">
        <f ca="1">IFERROR(__xludf.DUMMYFUNCTION("""COMPUTED_VALUE"""),3916.64)</f>
        <v>3916.64</v>
      </c>
      <c r="J1312" s="6" t="str">
        <f t="shared" ca="1" si="363"/>
        <v>20233</v>
      </c>
      <c r="K1312" s="6">
        <f t="shared" ca="1" si="364"/>
        <v>2023</v>
      </c>
      <c r="L1312" s="6">
        <f t="shared" ca="1" si="365"/>
        <v>3</v>
      </c>
      <c r="M1312" s="68">
        <f ca="1">IFERROR(__xludf.DUMMYFUNCTION("""COMPUTED_VALUE"""),44994.6666666666)</f>
        <v>44994.666666666599</v>
      </c>
      <c r="N1312" s="6">
        <f ca="1">IFERROR(__xludf.DUMMYFUNCTION("""COMPUTED_VALUE"""),11338.36)</f>
        <v>11338.36</v>
      </c>
      <c r="R1312" s="6" t="str">
        <f t="shared" ca="1" si="366"/>
        <v>20234</v>
      </c>
      <c r="S1312" s="6">
        <f t="shared" ca="1" si="367"/>
        <v>2023</v>
      </c>
      <c r="T1312" s="6">
        <f t="shared" ca="1" si="368"/>
        <v>4</v>
      </c>
      <c r="U1312" s="68">
        <f ca="1">IFERROR(__xludf.DUMMYFUNCTION("""COMPUTED_VALUE"""),45044.6458333333)</f>
        <v>45044.645833333299</v>
      </c>
      <c r="V1312" s="6">
        <f ca="1">IFERROR(__xludf.DUMMYFUNCTION("""COMPUTED_VALUE"""),2501.53)</f>
        <v>2501.5300000000002</v>
      </c>
      <c r="Z1312" s="6" t="str">
        <f t="shared" ca="1" si="369"/>
        <v>20219</v>
      </c>
      <c r="AA1312" s="6">
        <f t="shared" ca="1" si="370"/>
        <v>2021</v>
      </c>
      <c r="AB1312" s="6">
        <f t="shared" ca="1" si="371"/>
        <v>9</v>
      </c>
      <c r="AC1312" s="68">
        <f ca="1">IFERROR(__xludf.DUMMYFUNCTION("""COMPUTED_VALUE"""),44457.9986111111)</f>
        <v>44457.998611111099</v>
      </c>
      <c r="AD1312" s="6">
        <f ca="1">IFERROR(__xludf.DUMMYFUNCTION("""COMPUTED_VALUE"""),1180.72)</f>
        <v>1180.72</v>
      </c>
      <c r="AH1312" s="6" t="str">
        <f t="shared" ca="1" si="372"/>
        <v>20217</v>
      </c>
      <c r="AI1312" s="6">
        <f t="shared" ca="1" si="373"/>
        <v>2021</v>
      </c>
      <c r="AJ1312" s="6">
        <f t="shared" ca="1" si="374"/>
        <v>7</v>
      </c>
      <c r="AK1312" s="68">
        <f ca="1">IFERROR(__xludf.DUMMYFUNCTION("""COMPUTED_VALUE"""),44405.9986111111)</f>
        <v>44405.998611111099</v>
      </c>
      <c r="AL1312" s="6">
        <f ca="1">IFERROR(__xludf.DUMMYFUNCTION("""COMPUTED_VALUE"""),40005.39)</f>
        <v>40005.39</v>
      </c>
      <c r="AP1312" s="6" t="str">
        <f t="shared" ca="1" si="375"/>
        <v>20233</v>
      </c>
      <c r="AQ1312" s="6">
        <f t="shared" ca="1" si="376"/>
        <v>2023</v>
      </c>
      <c r="AR1312" s="6">
        <f t="shared" ca="1" si="377"/>
        <v>3</v>
      </c>
      <c r="AS1312" s="68">
        <f ca="1">IFERROR(__xludf.DUMMYFUNCTION("""COMPUTED_VALUE"""),45009.9986111111)</f>
        <v>45009.998611111099</v>
      </c>
      <c r="AT1312" s="6">
        <f ca="1">IFERROR(__xludf.DUMMYFUNCTION("""COMPUTED_VALUE"""),2001.7)</f>
        <v>2001.7</v>
      </c>
    </row>
    <row r="1313" spans="2:46" x14ac:dyDescent="0.35">
      <c r="B1313" s="6" t="str">
        <f t="shared" ca="1" si="360"/>
        <v>20233</v>
      </c>
      <c r="C1313" s="6">
        <f t="shared" ca="1" si="361"/>
        <v>2023</v>
      </c>
      <c r="D1313" s="6">
        <f t="shared" ca="1" si="362"/>
        <v>3</v>
      </c>
      <c r="E1313" s="68">
        <f ca="1">IFERROR(__xludf.DUMMYFUNCTION("""COMPUTED_VALUE"""),45005.6666666666)</f>
        <v>45005.666666666599</v>
      </c>
      <c r="F1313" s="6">
        <f ca="1">IFERROR(__xludf.DUMMYFUNCTION("""COMPUTED_VALUE"""),3951.57)</f>
        <v>3951.57</v>
      </c>
      <c r="J1313" s="6" t="str">
        <f t="shared" ca="1" si="363"/>
        <v>20233</v>
      </c>
      <c r="K1313" s="6">
        <f t="shared" ca="1" si="364"/>
        <v>2023</v>
      </c>
      <c r="L1313" s="6">
        <f t="shared" ca="1" si="365"/>
        <v>3</v>
      </c>
      <c r="M1313" s="68">
        <f ca="1">IFERROR(__xludf.DUMMYFUNCTION("""COMPUTED_VALUE"""),44995.6666666666)</f>
        <v>44995.666666666599</v>
      </c>
      <c r="N1313" s="6">
        <f ca="1">IFERROR(__xludf.DUMMYFUNCTION("""COMPUTED_VALUE"""),11138.89)</f>
        <v>11138.89</v>
      </c>
      <c r="R1313" s="6" t="str">
        <f t="shared" ca="1" si="366"/>
        <v>20235</v>
      </c>
      <c r="S1313" s="6">
        <f t="shared" ca="1" si="367"/>
        <v>2023</v>
      </c>
      <c r="T1313" s="6">
        <f t="shared" ca="1" si="368"/>
        <v>5</v>
      </c>
      <c r="U1313" s="68">
        <f ca="1">IFERROR(__xludf.DUMMYFUNCTION("""COMPUTED_VALUE"""),45048.6458333333)</f>
        <v>45048.645833333299</v>
      </c>
      <c r="V1313" s="6">
        <f ca="1">IFERROR(__xludf.DUMMYFUNCTION("""COMPUTED_VALUE"""),2524.39)</f>
        <v>2524.39</v>
      </c>
      <c r="Z1313" s="6" t="str">
        <f t="shared" ca="1" si="369"/>
        <v>20219</v>
      </c>
      <c r="AA1313" s="6">
        <f t="shared" ca="1" si="370"/>
        <v>2021</v>
      </c>
      <c r="AB1313" s="6">
        <f t="shared" ca="1" si="371"/>
        <v>9</v>
      </c>
      <c r="AC1313" s="68">
        <f ca="1">IFERROR(__xludf.DUMMYFUNCTION("""COMPUTED_VALUE"""),44458.9986111111)</f>
        <v>44458.998611111099</v>
      </c>
      <c r="AD1313" s="6">
        <f ca="1">IFERROR(__xludf.DUMMYFUNCTION("""COMPUTED_VALUE"""),1181.11)</f>
        <v>1181.1099999999999</v>
      </c>
      <c r="AH1313" s="6" t="str">
        <f t="shared" ca="1" si="372"/>
        <v>20217</v>
      </c>
      <c r="AI1313" s="6">
        <f t="shared" ca="1" si="373"/>
        <v>2021</v>
      </c>
      <c r="AJ1313" s="6">
        <f t="shared" ca="1" si="374"/>
        <v>7</v>
      </c>
      <c r="AK1313" s="68">
        <f ca="1">IFERROR(__xludf.DUMMYFUNCTION("""COMPUTED_VALUE"""),44406.9986111111)</f>
        <v>44406.998611111099</v>
      </c>
      <c r="AL1313" s="6">
        <f ca="1">IFERROR(__xludf.DUMMYFUNCTION("""COMPUTED_VALUE"""),40028.84)</f>
        <v>40028.839999999997</v>
      </c>
      <c r="AP1313" s="6" t="str">
        <f t="shared" ca="1" si="375"/>
        <v>20233</v>
      </c>
      <c r="AQ1313" s="6">
        <f t="shared" ca="1" si="376"/>
        <v>2023</v>
      </c>
      <c r="AR1313" s="6">
        <f t="shared" ca="1" si="377"/>
        <v>3</v>
      </c>
      <c r="AS1313" s="68">
        <f ca="1">IFERROR(__xludf.DUMMYFUNCTION("""COMPUTED_VALUE"""),45012.9986111111)</f>
        <v>45012.998611111099</v>
      </c>
      <c r="AT1313" s="6">
        <f ca="1">IFERROR(__xludf.DUMMYFUNCTION("""COMPUTED_VALUE"""),1971.5)</f>
        <v>1971.5</v>
      </c>
    </row>
    <row r="1314" spans="2:46" x14ac:dyDescent="0.35">
      <c r="B1314" s="6" t="str">
        <f t="shared" ca="1" si="360"/>
        <v>20233</v>
      </c>
      <c r="C1314" s="6">
        <f t="shared" ca="1" si="361"/>
        <v>2023</v>
      </c>
      <c r="D1314" s="6">
        <f t="shared" ca="1" si="362"/>
        <v>3</v>
      </c>
      <c r="E1314" s="68">
        <f ca="1">IFERROR(__xludf.DUMMYFUNCTION("""COMPUTED_VALUE"""),45006.6666666666)</f>
        <v>45006.666666666599</v>
      </c>
      <c r="F1314" s="6">
        <f ca="1">IFERROR(__xludf.DUMMYFUNCTION("""COMPUTED_VALUE"""),4002.87)</f>
        <v>4002.87</v>
      </c>
      <c r="J1314" s="6" t="str">
        <f t="shared" ca="1" si="363"/>
        <v>20233</v>
      </c>
      <c r="K1314" s="6">
        <f t="shared" ca="1" si="364"/>
        <v>2023</v>
      </c>
      <c r="L1314" s="6">
        <f t="shared" ca="1" si="365"/>
        <v>3</v>
      </c>
      <c r="M1314" s="68">
        <f ca="1">IFERROR(__xludf.DUMMYFUNCTION("""COMPUTED_VALUE"""),44998.6666666666)</f>
        <v>44998.666666666599</v>
      </c>
      <c r="N1314" s="6">
        <f ca="1">IFERROR(__xludf.DUMMYFUNCTION("""COMPUTED_VALUE"""),11188.84)</f>
        <v>11188.84</v>
      </c>
      <c r="R1314" s="6" t="str">
        <f t="shared" ca="1" si="366"/>
        <v>20235</v>
      </c>
      <c r="S1314" s="6">
        <f t="shared" ca="1" si="367"/>
        <v>2023</v>
      </c>
      <c r="T1314" s="6">
        <f t="shared" ca="1" si="368"/>
        <v>5</v>
      </c>
      <c r="U1314" s="68">
        <f ca="1">IFERROR(__xludf.DUMMYFUNCTION("""COMPUTED_VALUE"""),45049.6458333333)</f>
        <v>45049.645833333299</v>
      </c>
      <c r="V1314" s="6">
        <f ca="1">IFERROR(__xludf.DUMMYFUNCTION("""COMPUTED_VALUE"""),2501.4)</f>
        <v>2501.4</v>
      </c>
      <c r="Z1314" s="6" t="str">
        <f t="shared" ca="1" si="369"/>
        <v>20219</v>
      </c>
      <c r="AA1314" s="6">
        <f t="shared" ca="1" si="370"/>
        <v>2021</v>
      </c>
      <c r="AB1314" s="6">
        <f t="shared" ca="1" si="371"/>
        <v>9</v>
      </c>
      <c r="AC1314" s="68">
        <f ca="1">IFERROR(__xludf.DUMMYFUNCTION("""COMPUTED_VALUE"""),44459.9986111111)</f>
        <v>44459.998611111099</v>
      </c>
      <c r="AD1314" s="6">
        <f ca="1">IFERROR(__xludf.DUMMYFUNCTION("""COMPUTED_VALUE"""),1186.32)</f>
        <v>1186.32</v>
      </c>
      <c r="AH1314" s="6" t="str">
        <f t="shared" ca="1" si="372"/>
        <v>20217</v>
      </c>
      <c r="AI1314" s="6">
        <f t="shared" ca="1" si="373"/>
        <v>2021</v>
      </c>
      <c r="AJ1314" s="6">
        <f t="shared" ca="1" si="374"/>
        <v>7</v>
      </c>
      <c r="AK1314" s="68">
        <f ca="1">IFERROR(__xludf.DUMMYFUNCTION("""COMPUTED_VALUE"""),44407.9986111111)</f>
        <v>44407.998611111099</v>
      </c>
      <c r="AL1314" s="6">
        <f ca="1">IFERROR(__xludf.DUMMYFUNCTION("""COMPUTED_VALUE"""),42249.93)</f>
        <v>42249.93</v>
      </c>
      <c r="AP1314" s="6" t="str">
        <f t="shared" ca="1" si="375"/>
        <v>20233</v>
      </c>
      <c r="AQ1314" s="6">
        <f t="shared" ca="1" si="376"/>
        <v>2023</v>
      </c>
      <c r="AR1314" s="6">
        <f t="shared" ca="1" si="377"/>
        <v>3</v>
      </c>
      <c r="AS1314" s="68">
        <f ca="1">IFERROR(__xludf.DUMMYFUNCTION("""COMPUTED_VALUE"""),45013.9986111111)</f>
        <v>45013.998611111099</v>
      </c>
      <c r="AT1314" s="6">
        <f ca="1">IFERROR(__xludf.DUMMYFUNCTION("""COMPUTED_VALUE"""),1990.4)</f>
        <v>1990.4</v>
      </c>
    </row>
    <row r="1315" spans="2:46" x14ac:dyDescent="0.35">
      <c r="B1315" s="6" t="str">
        <f t="shared" ca="1" si="360"/>
        <v>20233</v>
      </c>
      <c r="C1315" s="6">
        <f t="shared" ca="1" si="361"/>
        <v>2023</v>
      </c>
      <c r="D1315" s="6">
        <f t="shared" ca="1" si="362"/>
        <v>3</v>
      </c>
      <c r="E1315" s="68">
        <f ca="1">IFERROR(__xludf.DUMMYFUNCTION("""COMPUTED_VALUE"""),45007.6666666666)</f>
        <v>45007.666666666599</v>
      </c>
      <c r="F1315" s="6">
        <f ca="1">IFERROR(__xludf.DUMMYFUNCTION("""COMPUTED_VALUE"""),3936.97)</f>
        <v>3936.97</v>
      </c>
      <c r="J1315" s="6" t="str">
        <f t="shared" ca="1" si="363"/>
        <v>20233</v>
      </c>
      <c r="K1315" s="6">
        <f t="shared" ca="1" si="364"/>
        <v>2023</v>
      </c>
      <c r="L1315" s="6">
        <f t="shared" ca="1" si="365"/>
        <v>3</v>
      </c>
      <c r="M1315" s="68">
        <f ca="1">IFERROR(__xludf.DUMMYFUNCTION("""COMPUTED_VALUE"""),44999.6666666666)</f>
        <v>44999.666666666599</v>
      </c>
      <c r="N1315" s="6">
        <f ca="1">IFERROR(__xludf.DUMMYFUNCTION("""COMPUTED_VALUE"""),11428.15)</f>
        <v>11428.15</v>
      </c>
      <c r="R1315" s="6" t="str">
        <f t="shared" ca="1" si="366"/>
        <v>20235</v>
      </c>
      <c r="S1315" s="6">
        <f t="shared" ca="1" si="367"/>
        <v>2023</v>
      </c>
      <c r="T1315" s="6">
        <f t="shared" ca="1" si="368"/>
        <v>5</v>
      </c>
      <c r="U1315" s="68">
        <f ca="1">IFERROR(__xludf.DUMMYFUNCTION("""COMPUTED_VALUE"""),45050.6458333333)</f>
        <v>45050.645833333299</v>
      </c>
      <c r="V1315" s="6">
        <f ca="1">IFERROR(__xludf.DUMMYFUNCTION("""COMPUTED_VALUE"""),2500.94)</f>
        <v>2500.94</v>
      </c>
      <c r="Z1315" s="6" t="str">
        <f t="shared" ca="1" si="369"/>
        <v>20219</v>
      </c>
      <c r="AA1315" s="6">
        <f t="shared" ca="1" si="370"/>
        <v>2021</v>
      </c>
      <c r="AB1315" s="6">
        <f t="shared" ca="1" si="371"/>
        <v>9</v>
      </c>
      <c r="AC1315" s="68">
        <f ca="1">IFERROR(__xludf.DUMMYFUNCTION("""COMPUTED_VALUE"""),44460.9986111111)</f>
        <v>44460.998611111099</v>
      </c>
      <c r="AD1315" s="6">
        <f ca="1">IFERROR(__xludf.DUMMYFUNCTION("""COMPUTED_VALUE"""),1182.92)</f>
        <v>1182.92</v>
      </c>
      <c r="AH1315" s="6" t="str">
        <f t="shared" ca="1" si="372"/>
        <v>20217</v>
      </c>
      <c r="AI1315" s="6">
        <f t="shared" ca="1" si="373"/>
        <v>2021</v>
      </c>
      <c r="AJ1315" s="6">
        <f t="shared" ca="1" si="374"/>
        <v>7</v>
      </c>
      <c r="AK1315" s="68">
        <f ca="1">IFERROR(__xludf.DUMMYFUNCTION("""COMPUTED_VALUE"""),44408.9986111111)</f>
        <v>44408.998611111099</v>
      </c>
      <c r="AL1315" s="6">
        <f ca="1">IFERROR(__xludf.DUMMYFUNCTION("""COMPUTED_VALUE"""),41538.9)</f>
        <v>41538.9</v>
      </c>
      <c r="AP1315" s="6" t="str">
        <f t="shared" ca="1" si="375"/>
        <v>20233</v>
      </c>
      <c r="AQ1315" s="6">
        <f t="shared" ca="1" si="376"/>
        <v>2023</v>
      </c>
      <c r="AR1315" s="6">
        <f t="shared" ca="1" si="377"/>
        <v>3</v>
      </c>
      <c r="AS1315" s="68">
        <f ca="1">IFERROR(__xludf.DUMMYFUNCTION("""COMPUTED_VALUE"""),45014.9986111111)</f>
        <v>45014.998611111099</v>
      </c>
      <c r="AT1315" s="6">
        <f ca="1">IFERROR(__xludf.DUMMYFUNCTION("""COMPUTED_VALUE"""),1984.5)</f>
        <v>1984.5</v>
      </c>
    </row>
    <row r="1316" spans="2:46" x14ac:dyDescent="0.35">
      <c r="B1316" s="6" t="str">
        <f t="shared" ca="1" si="360"/>
        <v>20233</v>
      </c>
      <c r="C1316" s="6">
        <f t="shared" ca="1" si="361"/>
        <v>2023</v>
      </c>
      <c r="D1316" s="6">
        <f t="shared" ca="1" si="362"/>
        <v>3</v>
      </c>
      <c r="E1316" s="68">
        <f ca="1">IFERROR(__xludf.DUMMYFUNCTION("""COMPUTED_VALUE"""),45008.6666666666)</f>
        <v>45008.666666666599</v>
      </c>
      <c r="F1316" s="6">
        <f ca="1">IFERROR(__xludf.DUMMYFUNCTION("""COMPUTED_VALUE"""),3948.72)</f>
        <v>3948.72</v>
      </c>
      <c r="J1316" s="6" t="str">
        <f t="shared" ca="1" si="363"/>
        <v>20233</v>
      </c>
      <c r="K1316" s="6">
        <f t="shared" ca="1" si="364"/>
        <v>2023</v>
      </c>
      <c r="L1316" s="6">
        <f t="shared" ca="1" si="365"/>
        <v>3</v>
      </c>
      <c r="M1316" s="68">
        <f ca="1">IFERROR(__xludf.DUMMYFUNCTION("""COMPUTED_VALUE"""),45000.6666666666)</f>
        <v>45000.666666666599</v>
      </c>
      <c r="N1316" s="6">
        <f ca="1">IFERROR(__xludf.DUMMYFUNCTION("""COMPUTED_VALUE"""),11434.05)</f>
        <v>11434.05</v>
      </c>
      <c r="R1316" s="6" t="str">
        <f t="shared" ca="1" si="366"/>
        <v>20235</v>
      </c>
      <c r="S1316" s="6">
        <f t="shared" ca="1" si="367"/>
        <v>2023</v>
      </c>
      <c r="T1316" s="6">
        <f t="shared" ca="1" si="368"/>
        <v>5</v>
      </c>
      <c r="U1316" s="68">
        <f ca="1">IFERROR(__xludf.DUMMYFUNCTION("""COMPUTED_VALUE"""),45054.6458333333)</f>
        <v>45054.645833333299</v>
      </c>
      <c r="V1316" s="6">
        <f ca="1">IFERROR(__xludf.DUMMYFUNCTION("""COMPUTED_VALUE"""),2513.21)</f>
        <v>2513.21</v>
      </c>
      <c r="Z1316" s="6" t="str">
        <f t="shared" ca="1" si="369"/>
        <v>20219</v>
      </c>
      <c r="AA1316" s="6">
        <f t="shared" ca="1" si="370"/>
        <v>2021</v>
      </c>
      <c r="AB1316" s="6">
        <f t="shared" ca="1" si="371"/>
        <v>9</v>
      </c>
      <c r="AC1316" s="68">
        <f ca="1">IFERROR(__xludf.DUMMYFUNCTION("""COMPUTED_VALUE"""),44461.9986111111)</f>
        <v>44461.998611111099</v>
      </c>
      <c r="AD1316" s="6">
        <f ca="1">IFERROR(__xludf.DUMMYFUNCTION("""COMPUTED_VALUE"""),1181.03)</f>
        <v>1181.03</v>
      </c>
      <c r="AH1316" s="6" t="str">
        <f t="shared" ca="1" si="372"/>
        <v>20218</v>
      </c>
      <c r="AI1316" s="6">
        <f t="shared" ca="1" si="373"/>
        <v>2021</v>
      </c>
      <c r="AJ1316" s="6">
        <f t="shared" ca="1" si="374"/>
        <v>8</v>
      </c>
      <c r="AK1316" s="68">
        <f ca="1">IFERROR(__xludf.DUMMYFUNCTION("""COMPUTED_VALUE"""),44409.9986111111)</f>
        <v>44409.998611111099</v>
      </c>
      <c r="AL1316" s="6">
        <f ca="1">IFERROR(__xludf.DUMMYFUNCTION("""COMPUTED_VALUE"""),39897.94)</f>
        <v>39897.94</v>
      </c>
      <c r="AP1316" s="6" t="str">
        <f t="shared" ca="1" si="375"/>
        <v>20233</v>
      </c>
      <c r="AQ1316" s="6">
        <f t="shared" ca="1" si="376"/>
        <v>2023</v>
      </c>
      <c r="AR1316" s="6">
        <f t="shared" ca="1" si="377"/>
        <v>3</v>
      </c>
      <c r="AS1316" s="68">
        <f ca="1">IFERROR(__xludf.DUMMYFUNCTION("""COMPUTED_VALUE"""),45015.9986111111)</f>
        <v>45015.998611111099</v>
      </c>
      <c r="AT1316" s="6">
        <f ca="1">IFERROR(__xludf.DUMMYFUNCTION("""COMPUTED_VALUE"""),1997.7)</f>
        <v>1997.7</v>
      </c>
    </row>
    <row r="1317" spans="2:46" x14ac:dyDescent="0.35">
      <c r="B1317" s="6" t="str">
        <f t="shared" ca="1" si="360"/>
        <v>20233</v>
      </c>
      <c r="C1317" s="6">
        <f t="shared" ca="1" si="361"/>
        <v>2023</v>
      </c>
      <c r="D1317" s="6">
        <f t="shared" ca="1" si="362"/>
        <v>3</v>
      </c>
      <c r="E1317" s="68">
        <f ca="1">IFERROR(__xludf.DUMMYFUNCTION("""COMPUTED_VALUE"""),45009.6666666666)</f>
        <v>45009.666666666599</v>
      </c>
      <c r="F1317" s="6">
        <f ca="1">IFERROR(__xludf.DUMMYFUNCTION("""COMPUTED_VALUE"""),3970.99)</f>
        <v>3970.99</v>
      </c>
      <c r="J1317" s="6" t="str">
        <f t="shared" ca="1" si="363"/>
        <v>20233</v>
      </c>
      <c r="K1317" s="6">
        <f t="shared" ca="1" si="364"/>
        <v>2023</v>
      </c>
      <c r="L1317" s="6">
        <f t="shared" ca="1" si="365"/>
        <v>3</v>
      </c>
      <c r="M1317" s="68">
        <f ca="1">IFERROR(__xludf.DUMMYFUNCTION("""COMPUTED_VALUE"""),45001.6666666666)</f>
        <v>45001.666666666599</v>
      </c>
      <c r="N1317" s="6">
        <f ca="1">IFERROR(__xludf.DUMMYFUNCTION("""COMPUTED_VALUE"""),11717.28)</f>
        <v>11717.28</v>
      </c>
      <c r="R1317" s="6" t="str">
        <f t="shared" ca="1" si="366"/>
        <v>20235</v>
      </c>
      <c r="S1317" s="6">
        <f t="shared" ca="1" si="367"/>
        <v>2023</v>
      </c>
      <c r="T1317" s="6">
        <f t="shared" ca="1" si="368"/>
        <v>5</v>
      </c>
      <c r="U1317" s="68">
        <f ca="1">IFERROR(__xludf.DUMMYFUNCTION("""COMPUTED_VALUE"""),45055.6458333333)</f>
        <v>45055.645833333299</v>
      </c>
      <c r="V1317" s="6">
        <f ca="1">IFERROR(__xludf.DUMMYFUNCTION("""COMPUTED_VALUE"""),2510.06)</f>
        <v>2510.06</v>
      </c>
      <c r="Z1317" s="6" t="str">
        <f t="shared" ca="1" si="369"/>
        <v>20219</v>
      </c>
      <c r="AA1317" s="6">
        <f t="shared" ca="1" si="370"/>
        <v>2021</v>
      </c>
      <c r="AB1317" s="6">
        <f t="shared" ca="1" si="371"/>
        <v>9</v>
      </c>
      <c r="AC1317" s="68">
        <f ca="1">IFERROR(__xludf.DUMMYFUNCTION("""COMPUTED_VALUE"""),44462.9986111111)</f>
        <v>44462.998611111099</v>
      </c>
      <c r="AD1317" s="6">
        <f ca="1">IFERROR(__xludf.DUMMYFUNCTION("""COMPUTED_VALUE"""),1174.7)</f>
        <v>1174.7</v>
      </c>
      <c r="AH1317" s="6" t="str">
        <f t="shared" ca="1" si="372"/>
        <v>20218</v>
      </c>
      <c r="AI1317" s="6">
        <f t="shared" ca="1" si="373"/>
        <v>2021</v>
      </c>
      <c r="AJ1317" s="6">
        <f t="shared" ca="1" si="374"/>
        <v>8</v>
      </c>
      <c r="AK1317" s="68">
        <f ca="1">IFERROR(__xludf.DUMMYFUNCTION("""COMPUTED_VALUE"""),44410.9986111111)</f>
        <v>44410.998611111099</v>
      </c>
      <c r="AL1317" s="6">
        <f ca="1">IFERROR(__xludf.DUMMYFUNCTION("""COMPUTED_VALUE"""),39179.12)</f>
        <v>39179.120000000003</v>
      </c>
      <c r="AP1317" s="6" t="str">
        <f t="shared" ca="1" si="375"/>
        <v>20233</v>
      </c>
      <c r="AQ1317" s="6">
        <f t="shared" ca="1" si="376"/>
        <v>2023</v>
      </c>
      <c r="AR1317" s="6">
        <f t="shared" ca="1" si="377"/>
        <v>3</v>
      </c>
      <c r="AS1317" s="68">
        <f ca="1">IFERROR(__xludf.DUMMYFUNCTION("""COMPUTED_VALUE"""),45016.9986111111)</f>
        <v>45016.998611111099</v>
      </c>
      <c r="AT1317" s="6">
        <f ca="1">IFERROR(__xludf.DUMMYFUNCTION("""COMPUTED_VALUE"""),1986.2)</f>
        <v>1986.2</v>
      </c>
    </row>
    <row r="1318" spans="2:46" x14ac:dyDescent="0.35">
      <c r="B1318" s="6" t="str">
        <f t="shared" ca="1" si="360"/>
        <v>20233</v>
      </c>
      <c r="C1318" s="6">
        <f t="shared" ca="1" si="361"/>
        <v>2023</v>
      </c>
      <c r="D1318" s="6">
        <f t="shared" ca="1" si="362"/>
        <v>3</v>
      </c>
      <c r="E1318" s="68">
        <f ca="1">IFERROR(__xludf.DUMMYFUNCTION("""COMPUTED_VALUE"""),45012.6666666666)</f>
        <v>45012.666666666599</v>
      </c>
      <c r="F1318" s="6">
        <f ca="1">IFERROR(__xludf.DUMMYFUNCTION("""COMPUTED_VALUE"""),3977.53)</f>
        <v>3977.53</v>
      </c>
      <c r="J1318" s="6" t="str">
        <f t="shared" ca="1" si="363"/>
        <v>20233</v>
      </c>
      <c r="K1318" s="6">
        <f t="shared" ca="1" si="364"/>
        <v>2023</v>
      </c>
      <c r="L1318" s="6">
        <f t="shared" ca="1" si="365"/>
        <v>3</v>
      </c>
      <c r="M1318" s="68">
        <f ca="1">IFERROR(__xludf.DUMMYFUNCTION("""COMPUTED_VALUE"""),45002.6666666666)</f>
        <v>45002.666666666599</v>
      </c>
      <c r="N1318" s="6">
        <f ca="1">IFERROR(__xludf.DUMMYFUNCTION("""COMPUTED_VALUE"""),11630.51)</f>
        <v>11630.51</v>
      </c>
      <c r="R1318" s="6" t="str">
        <f t="shared" ca="1" si="366"/>
        <v>20235</v>
      </c>
      <c r="S1318" s="6">
        <f t="shared" ca="1" si="367"/>
        <v>2023</v>
      </c>
      <c r="T1318" s="6">
        <f t="shared" ca="1" si="368"/>
        <v>5</v>
      </c>
      <c r="U1318" s="68">
        <f ca="1">IFERROR(__xludf.DUMMYFUNCTION("""COMPUTED_VALUE"""),45056.6458333333)</f>
        <v>45056.645833333299</v>
      </c>
      <c r="V1318" s="6">
        <f ca="1">IFERROR(__xludf.DUMMYFUNCTION("""COMPUTED_VALUE"""),2496.51)</f>
        <v>2496.5100000000002</v>
      </c>
      <c r="Z1318" s="6" t="str">
        <f t="shared" ca="1" si="369"/>
        <v>20219</v>
      </c>
      <c r="AA1318" s="6">
        <f t="shared" ca="1" si="370"/>
        <v>2021</v>
      </c>
      <c r="AB1318" s="6">
        <f t="shared" ca="1" si="371"/>
        <v>9</v>
      </c>
      <c r="AC1318" s="68">
        <f ca="1">IFERROR(__xludf.DUMMYFUNCTION("""COMPUTED_VALUE"""),44463.9986111111)</f>
        <v>44463.998611111099</v>
      </c>
      <c r="AD1318" s="6">
        <f ca="1">IFERROR(__xludf.DUMMYFUNCTION("""COMPUTED_VALUE"""),1179.16)</f>
        <v>1179.1600000000001</v>
      </c>
      <c r="AH1318" s="6" t="str">
        <f t="shared" ca="1" si="372"/>
        <v>20218</v>
      </c>
      <c r="AI1318" s="6">
        <f t="shared" ca="1" si="373"/>
        <v>2021</v>
      </c>
      <c r="AJ1318" s="6">
        <f t="shared" ca="1" si="374"/>
        <v>8</v>
      </c>
      <c r="AK1318" s="68">
        <f ca="1">IFERROR(__xludf.DUMMYFUNCTION("""COMPUTED_VALUE"""),44411.9986111111)</f>
        <v>44411.998611111099</v>
      </c>
      <c r="AL1318" s="6">
        <f ca="1">IFERROR(__xludf.DUMMYFUNCTION("""COMPUTED_VALUE"""),38138.75)</f>
        <v>38138.75</v>
      </c>
      <c r="AP1318" s="6" t="str">
        <f t="shared" ca="1" si="375"/>
        <v>20234</v>
      </c>
      <c r="AQ1318" s="6">
        <f t="shared" ca="1" si="376"/>
        <v>2023</v>
      </c>
      <c r="AR1318" s="6">
        <f t="shared" ca="1" si="377"/>
        <v>4</v>
      </c>
      <c r="AS1318" s="68">
        <f ca="1">IFERROR(__xludf.DUMMYFUNCTION("""COMPUTED_VALUE"""),45019.9986111111)</f>
        <v>45019.998611111099</v>
      </c>
      <c r="AT1318" s="6">
        <f ca="1">IFERROR(__xludf.DUMMYFUNCTION("""COMPUTED_VALUE"""),2000.4)</f>
        <v>2000.4</v>
      </c>
    </row>
    <row r="1319" spans="2:46" x14ac:dyDescent="0.35">
      <c r="B1319" s="6" t="str">
        <f t="shared" ca="1" si="360"/>
        <v>20233</v>
      </c>
      <c r="C1319" s="6">
        <f t="shared" ca="1" si="361"/>
        <v>2023</v>
      </c>
      <c r="D1319" s="6">
        <f t="shared" ca="1" si="362"/>
        <v>3</v>
      </c>
      <c r="E1319" s="68">
        <f ca="1">IFERROR(__xludf.DUMMYFUNCTION("""COMPUTED_VALUE"""),45013.6666666666)</f>
        <v>45013.666666666599</v>
      </c>
      <c r="F1319" s="6">
        <f ca="1">IFERROR(__xludf.DUMMYFUNCTION("""COMPUTED_VALUE"""),3971.27)</f>
        <v>3971.27</v>
      </c>
      <c r="J1319" s="6" t="str">
        <f t="shared" ca="1" si="363"/>
        <v>20233</v>
      </c>
      <c r="K1319" s="6">
        <f t="shared" ca="1" si="364"/>
        <v>2023</v>
      </c>
      <c r="L1319" s="6">
        <f t="shared" ca="1" si="365"/>
        <v>3</v>
      </c>
      <c r="M1319" s="68">
        <f ca="1">IFERROR(__xludf.DUMMYFUNCTION("""COMPUTED_VALUE"""),45005.6666666666)</f>
        <v>45005.666666666599</v>
      </c>
      <c r="N1319" s="6">
        <f ca="1">IFERROR(__xludf.DUMMYFUNCTION("""COMPUTED_VALUE"""),11675.54)</f>
        <v>11675.54</v>
      </c>
      <c r="R1319" s="6" t="str">
        <f t="shared" ca="1" si="366"/>
        <v>20235</v>
      </c>
      <c r="S1319" s="6">
        <f t="shared" ca="1" si="367"/>
        <v>2023</v>
      </c>
      <c r="T1319" s="6">
        <f t="shared" ca="1" si="368"/>
        <v>5</v>
      </c>
      <c r="U1319" s="68">
        <f ca="1">IFERROR(__xludf.DUMMYFUNCTION("""COMPUTED_VALUE"""),45057.6458333333)</f>
        <v>45057.645833333299</v>
      </c>
      <c r="V1319" s="6">
        <f ca="1">IFERROR(__xludf.DUMMYFUNCTION("""COMPUTED_VALUE"""),2491)</f>
        <v>2491</v>
      </c>
      <c r="Z1319" s="6" t="str">
        <f t="shared" ca="1" si="369"/>
        <v>20219</v>
      </c>
      <c r="AA1319" s="6">
        <f t="shared" ca="1" si="370"/>
        <v>2021</v>
      </c>
      <c r="AB1319" s="6">
        <f t="shared" ca="1" si="371"/>
        <v>9</v>
      </c>
      <c r="AC1319" s="68">
        <f ca="1">IFERROR(__xludf.DUMMYFUNCTION("""COMPUTED_VALUE"""),44465.9986111111)</f>
        <v>44465.998611111099</v>
      </c>
      <c r="AD1319" s="6">
        <f ca="1">IFERROR(__xludf.DUMMYFUNCTION("""COMPUTED_VALUE"""),1179.2)</f>
        <v>1179.2</v>
      </c>
      <c r="AH1319" s="6" t="str">
        <f t="shared" ca="1" si="372"/>
        <v>20218</v>
      </c>
      <c r="AI1319" s="6">
        <f t="shared" ca="1" si="373"/>
        <v>2021</v>
      </c>
      <c r="AJ1319" s="6">
        <f t="shared" ca="1" si="374"/>
        <v>8</v>
      </c>
      <c r="AK1319" s="68">
        <f ca="1">IFERROR(__xludf.DUMMYFUNCTION("""COMPUTED_VALUE"""),44412.9986111111)</f>
        <v>44412.998611111099</v>
      </c>
      <c r="AL1319" s="6">
        <f ca="1">IFERROR(__xludf.DUMMYFUNCTION("""COMPUTED_VALUE"""),39730.27)</f>
        <v>39730.269999999997</v>
      </c>
      <c r="AP1319" s="6" t="str">
        <f t="shared" ca="1" si="375"/>
        <v>20234</v>
      </c>
      <c r="AQ1319" s="6">
        <f t="shared" ca="1" si="376"/>
        <v>2023</v>
      </c>
      <c r="AR1319" s="6">
        <f t="shared" ca="1" si="377"/>
        <v>4</v>
      </c>
      <c r="AS1319" s="68">
        <f ca="1">IFERROR(__xludf.DUMMYFUNCTION("""COMPUTED_VALUE"""),45020.9986111111)</f>
        <v>45020.998611111099</v>
      </c>
      <c r="AT1319" s="6">
        <f ca="1">IFERROR(__xludf.DUMMYFUNCTION("""COMPUTED_VALUE"""),2038.2)</f>
        <v>2038.2</v>
      </c>
    </row>
    <row r="1320" spans="2:46" x14ac:dyDescent="0.35">
      <c r="B1320" s="6" t="str">
        <f t="shared" ca="1" si="360"/>
        <v>20233</v>
      </c>
      <c r="C1320" s="6">
        <f t="shared" ca="1" si="361"/>
        <v>2023</v>
      </c>
      <c r="D1320" s="6">
        <f t="shared" ca="1" si="362"/>
        <v>3</v>
      </c>
      <c r="E1320" s="68">
        <f ca="1">IFERROR(__xludf.DUMMYFUNCTION("""COMPUTED_VALUE"""),45014.6666666666)</f>
        <v>45014.666666666599</v>
      </c>
      <c r="F1320" s="6">
        <f ca="1">IFERROR(__xludf.DUMMYFUNCTION("""COMPUTED_VALUE"""),4027.81)</f>
        <v>4027.81</v>
      </c>
      <c r="J1320" s="6" t="str">
        <f t="shared" ca="1" si="363"/>
        <v>20233</v>
      </c>
      <c r="K1320" s="6">
        <f t="shared" ca="1" si="364"/>
        <v>2023</v>
      </c>
      <c r="L1320" s="6">
        <f t="shared" ca="1" si="365"/>
        <v>3</v>
      </c>
      <c r="M1320" s="68">
        <f ca="1">IFERROR(__xludf.DUMMYFUNCTION("""COMPUTED_VALUE"""),45006.6666666666)</f>
        <v>45006.666666666599</v>
      </c>
      <c r="N1320" s="6">
        <f ca="1">IFERROR(__xludf.DUMMYFUNCTION("""COMPUTED_VALUE"""),11860.11)</f>
        <v>11860.11</v>
      </c>
      <c r="R1320" s="6" t="str">
        <f t="shared" ca="1" si="366"/>
        <v>20235</v>
      </c>
      <c r="S1320" s="6">
        <f t="shared" ca="1" si="367"/>
        <v>2023</v>
      </c>
      <c r="T1320" s="6">
        <f t="shared" ca="1" si="368"/>
        <v>5</v>
      </c>
      <c r="U1320" s="68">
        <f ca="1">IFERROR(__xludf.DUMMYFUNCTION("""COMPUTED_VALUE"""),45058.6458333333)</f>
        <v>45058.645833333299</v>
      </c>
      <c r="V1320" s="6">
        <f ca="1">IFERROR(__xludf.DUMMYFUNCTION("""COMPUTED_VALUE"""),2475.42)</f>
        <v>2475.42</v>
      </c>
      <c r="Z1320" s="6" t="str">
        <f t="shared" ca="1" si="369"/>
        <v>20219</v>
      </c>
      <c r="AA1320" s="6">
        <f t="shared" ca="1" si="370"/>
        <v>2021</v>
      </c>
      <c r="AB1320" s="6">
        <f t="shared" ca="1" si="371"/>
        <v>9</v>
      </c>
      <c r="AC1320" s="68">
        <f ca="1">IFERROR(__xludf.DUMMYFUNCTION("""COMPUTED_VALUE"""),44466.9986111111)</f>
        <v>44466.998611111099</v>
      </c>
      <c r="AD1320" s="6">
        <f ca="1">IFERROR(__xludf.DUMMYFUNCTION("""COMPUTED_VALUE"""),1176.96)</f>
        <v>1176.96</v>
      </c>
      <c r="AH1320" s="6" t="str">
        <f t="shared" ca="1" si="372"/>
        <v>20218</v>
      </c>
      <c r="AI1320" s="6">
        <f t="shared" ca="1" si="373"/>
        <v>2021</v>
      </c>
      <c r="AJ1320" s="6">
        <f t="shared" ca="1" si="374"/>
        <v>8</v>
      </c>
      <c r="AK1320" s="68">
        <f ca="1">IFERROR(__xludf.DUMMYFUNCTION("""COMPUTED_VALUE"""),44413.9986111111)</f>
        <v>44413.998611111099</v>
      </c>
      <c r="AL1320" s="6">
        <f ca="1">IFERROR(__xludf.DUMMYFUNCTION("""COMPUTED_VALUE"""),40872.77)</f>
        <v>40872.769999999997</v>
      </c>
      <c r="AP1320" s="6" t="str">
        <f t="shared" ca="1" si="375"/>
        <v>20234</v>
      </c>
      <c r="AQ1320" s="6">
        <f t="shared" ca="1" si="376"/>
        <v>2023</v>
      </c>
      <c r="AR1320" s="6">
        <f t="shared" ca="1" si="377"/>
        <v>4</v>
      </c>
      <c r="AS1320" s="68">
        <f ca="1">IFERROR(__xludf.DUMMYFUNCTION("""COMPUTED_VALUE"""),45021.9986111111)</f>
        <v>45021.998611111099</v>
      </c>
      <c r="AT1320" s="6">
        <f ca="1">IFERROR(__xludf.DUMMYFUNCTION("""COMPUTED_VALUE"""),2035.6)</f>
        <v>2035.6</v>
      </c>
    </row>
    <row r="1321" spans="2:46" x14ac:dyDescent="0.35">
      <c r="B1321" s="6" t="str">
        <f t="shared" ca="1" si="360"/>
        <v>20233</v>
      </c>
      <c r="C1321" s="6">
        <f t="shared" ca="1" si="361"/>
        <v>2023</v>
      </c>
      <c r="D1321" s="6">
        <f t="shared" ca="1" si="362"/>
        <v>3</v>
      </c>
      <c r="E1321" s="68">
        <f ca="1">IFERROR(__xludf.DUMMYFUNCTION("""COMPUTED_VALUE"""),45015.6666666666)</f>
        <v>45015.666666666599</v>
      </c>
      <c r="F1321" s="6">
        <f ca="1">IFERROR(__xludf.DUMMYFUNCTION("""COMPUTED_VALUE"""),4050.83)</f>
        <v>4050.83</v>
      </c>
      <c r="J1321" s="6" t="str">
        <f t="shared" ca="1" si="363"/>
        <v>20233</v>
      </c>
      <c r="K1321" s="6">
        <f t="shared" ca="1" si="364"/>
        <v>2023</v>
      </c>
      <c r="L1321" s="6">
        <f t="shared" ca="1" si="365"/>
        <v>3</v>
      </c>
      <c r="M1321" s="68">
        <f ca="1">IFERROR(__xludf.DUMMYFUNCTION("""COMPUTED_VALUE"""),45007.6666666666)</f>
        <v>45007.666666666599</v>
      </c>
      <c r="N1321" s="6">
        <f ca="1">IFERROR(__xludf.DUMMYFUNCTION("""COMPUTED_VALUE"""),11669.96)</f>
        <v>11669.96</v>
      </c>
      <c r="R1321" s="6" t="str">
        <f t="shared" ca="1" si="366"/>
        <v>20235</v>
      </c>
      <c r="S1321" s="6">
        <f t="shared" ca="1" si="367"/>
        <v>2023</v>
      </c>
      <c r="T1321" s="6">
        <f t="shared" ca="1" si="368"/>
        <v>5</v>
      </c>
      <c r="U1321" s="68">
        <f ca="1">IFERROR(__xludf.DUMMYFUNCTION("""COMPUTED_VALUE"""),45061.6458333333)</f>
        <v>45061.645833333299</v>
      </c>
      <c r="V1321" s="6">
        <f ca="1">IFERROR(__xludf.DUMMYFUNCTION("""COMPUTED_VALUE"""),2479.35)</f>
        <v>2479.35</v>
      </c>
      <c r="Z1321" s="6" t="str">
        <f t="shared" ca="1" si="369"/>
        <v>20219</v>
      </c>
      <c r="AA1321" s="6">
        <f t="shared" ca="1" si="370"/>
        <v>2021</v>
      </c>
      <c r="AB1321" s="6">
        <f t="shared" ca="1" si="371"/>
        <v>9</v>
      </c>
      <c r="AC1321" s="68">
        <f ca="1">IFERROR(__xludf.DUMMYFUNCTION("""COMPUTED_VALUE"""),44467.9986111111)</f>
        <v>44467.998611111099</v>
      </c>
      <c r="AD1321" s="6">
        <f ca="1">IFERROR(__xludf.DUMMYFUNCTION("""COMPUTED_VALUE"""),1186.89)</f>
        <v>1186.8900000000001</v>
      </c>
      <c r="AH1321" s="6" t="str">
        <f t="shared" ca="1" si="372"/>
        <v>20218</v>
      </c>
      <c r="AI1321" s="6">
        <f t="shared" ca="1" si="373"/>
        <v>2021</v>
      </c>
      <c r="AJ1321" s="6">
        <f t="shared" ca="1" si="374"/>
        <v>8</v>
      </c>
      <c r="AK1321" s="68">
        <f ca="1">IFERROR(__xludf.DUMMYFUNCTION("""COMPUTED_VALUE"""),44414.9986111111)</f>
        <v>44414.998611111099</v>
      </c>
      <c r="AL1321" s="6">
        <f ca="1">IFERROR(__xludf.DUMMYFUNCTION("""COMPUTED_VALUE"""),42839.67)</f>
        <v>42839.67</v>
      </c>
      <c r="AP1321" s="6" t="str">
        <f t="shared" ca="1" si="375"/>
        <v>20234</v>
      </c>
      <c r="AQ1321" s="6">
        <f t="shared" ca="1" si="376"/>
        <v>2023</v>
      </c>
      <c r="AR1321" s="6">
        <f t="shared" ca="1" si="377"/>
        <v>4</v>
      </c>
      <c r="AS1321" s="68">
        <f ca="1">IFERROR(__xludf.DUMMYFUNCTION("""COMPUTED_VALUE"""),45022.9986111111)</f>
        <v>45022.998611111099</v>
      </c>
      <c r="AT1321" s="6">
        <f ca="1">IFERROR(__xludf.DUMMYFUNCTION("""COMPUTED_VALUE"""),2026.4)</f>
        <v>2026.4</v>
      </c>
    </row>
    <row r="1322" spans="2:46" x14ac:dyDescent="0.35">
      <c r="B1322" s="6" t="str">
        <f t="shared" ca="1" si="360"/>
        <v>20233</v>
      </c>
      <c r="C1322" s="6">
        <f t="shared" ca="1" si="361"/>
        <v>2023</v>
      </c>
      <c r="D1322" s="6">
        <f t="shared" ca="1" si="362"/>
        <v>3</v>
      </c>
      <c r="E1322" s="68">
        <f ca="1">IFERROR(__xludf.DUMMYFUNCTION("""COMPUTED_VALUE"""),45016.6666666666)</f>
        <v>45016.666666666599</v>
      </c>
      <c r="F1322" s="6">
        <f ca="1">IFERROR(__xludf.DUMMYFUNCTION("""COMPUTED_VALUE"""),4109.31)</f>
        <v>4109.3100000000004</v>
      </c>
      <c r="J1322" s="6" t="str">
        <f t="shared" ca="1" si="363"/>
        <v>20233</v>
      </c>
      <c r="K1322" s="6">
        <f t="shared" ca="1" si="364"/>
        <v>2023</v>
      </c>
      <c r="L1322" s="6">
        <f t="shared" ca="1" si="365"/>
        <v>3</v>
      </c>
      <c r="M1322" s="68">
        <f ca="1">IFERROR(__xludf.DUMMYFUNCTION("""COMPUTED_VALUE"""),45008.6666666666)</f>
        <v>45008.666666666599</v>
      </c>
      <c r="N1322" s="6">
        <f ca="1">IFERROR(__xludf.DUMMYFUNCTION("""COMPUTED_VALUE"""),11787.4)</f>
        <v>11787.4</v>
      </c>
      <c r="R1322" s="6" t="str">
        <f t="shared" ca="1" si="366"/>
        <v>20235</v>
      </c>
      <c r="S1322" s="6">
        <f t="shared" ca="1" si="367"/>
        <v>2023</v>
      </c>
      <c r="T1322" s="6">
        <f t="shared" ca="1" si="368"/>
        <v>5</v>
      </c>
      <c r="U1322" s="68">
        <f ca="1">IFERROR(__xludf.DUMMYFUNCTION("""COMPUTED_VALUE"""),45062.6458333333)</f>
        <v>45062.645833333299</v>
      </c>
      <c r="V1322" s="6">
        <f ca="1">IFERROR(__xludf.DUMMYFUNCTION("""COMPUTED_VALUE"""),2480.24)</f>
        <v>2480.2399999999998</v>
      </c>
      <c r="Z1322" s="6" t="str">
        <f t="shared" ca="1" si="369"/>
        <v>20219</v>
      </c>
      <c r="AA1322" s="6">
        <f t="shared" ca="1" si="370"/>
        <v>2021</v>
      </c>
      <c r="AB1322" s="6">
        <f t="shared" ca="1" si="371"/>
        <v>9</v>
      </c>
      <c r="AC1322" s="68">
        <f ca="1">IFERROR(__xludf.DUMMYFUNCTION("""COMPUTED_VALUE"""),44468.9986111111)</f>
        <v>44468.998611111099</v>
      </c>
      <c r="AD1322" s="6">
        <f ca="1">IFERROR(__xludf.DUMMYFUNCTION("""COMPUTED_VALUE"""),1187.43)</f>
        <v>1187.43</v>
      </c>
      <c r="AH1322" s="6" t="str">
        <f t="shared" ca="1" si="372"/>
        <v>20218</v>
      </c>
      <c r="AI1322" s="6">
        <f t="shared" ca="1" si="373"/>
        <v>2021</v>
      </c>
      <c r="AJ1322" s="6">
        <f t="shared" ca="1" si="374"/>
        <v>8</v>
      </c>
      <c r="AK1322" s="68">
        <f ca="1">IFERROR(__xludf.DUMMYFUNCTION("""COMPUTED_VALUE"""),44415.9986111111)</f>
        <v>44415.998611111099</v>
      </c>
      <c r="AL1322" s="6">
        <f ca="1">IFERROR(__xludf.DUMMYFUNCTION("""COMPUTED_VALUE"""),44596.43)</f>
        <v>44596.43</v>
      </c>
      <c r="AP1322" s="6" t="str">
        <f t="shared" ca="1" si="375"/>
        <v>20234</v>
      </c>
      <c r="AQ1322" s="6">
        <f t="shared" ca="1" si="376"/>
        <v>2023</v>
      </c>
      <c r="AR1322" s="6">
        <f t="shared" ca="1" si="377"/>
        <v>4</v>
      </c>
      <c r="AS1322" s="68">
        <f ca="1">IFERROR(__xludf.DUMMYFUNCTION("""COMPUTED_VALUE"""),45026.9986111111)</f>
        <v>45026.998611111099</v>
      </c>
      <c r="AT1322" s="6">
        <f ca="1">IFERROR(__xludf.DUMMYFUNCTION("""COMPUTED_VALUE"""),2003.8)</f>
        <v>2003.8</v>
      </c>
    </row>
    <row r="1323" spans="2:46" x14ac:dyDescent="0.35">
      <c r="B1323" s="6" t="str">
        <f t="shared" ca="1" si="360"/>
        <v>20234</v>
      </c>
      <c r="C1323" s="6">
        <f t="shared" ca="1" si="361"/>
        <v>2023</v>
      </c>
      <c r="D1323" s="6">
        <f t="shared" ca="1" si="362"/>
        <v>4</v>
      </c>
      <c r="E1323" s="68">
        <f ca="1">IFERROR(__xludf.DUMMYFUNCTION("""COMPUTED_VALUE"""),45019.6666666666)</f>
        <v>45019.666666666599</v>
      </c>
      <c r="F1323" s="6">
        <f ca="1">IFERROR(__xludf.DUMMYFUNCTION("""COMPUTED_VALUE"""),4124.51)</f>
        <v>4124.51</v>
      </c>
      <c r="J1323" s="6" t="str">
        <f t="shared" ca="1" si="363"/>
        <v>20233</v>
      </c>
      <c r="K1323" s="6">
        <f t="shared" ca="1" si="364"/>
        <v>2023</v>
      </c>
      <c r="L1323" s="6">
        <f t="shared" ca="1" si="365"/>
        <v>3</v>
      </c>
      <c r="M1323" s="68">
        <f ca="1">IFERROR(__xludf.DUMMYFUNCTION("""COMPUTED_VALUE"""),45009.6666666666)</f>
        <v>45009.666666666599</v>
      </c>
      <c r="N1323" s="6">
        <f ca="1">IFERROR(__xludf.DUMMYFUNCTION("""COMPUTED_VALUE"""),11823.96)</f>
        <v>11823.96</v>
      </c>
      <c r="R1323" s="6" t="str">
        <f t="shared" ca="1" si="366"/>
        <v>20235</v>
      </c>
      <c r="S1323" s="6">
        <f t="shared" ca="1" si="367"/>
        <v>2023</v>
      </c>
      <c r="T1323" s="6">
        <f t="shared" ca="1" si="368"/>
        <v>5</v>
      </c>
      <c r="U1323" s="68">
        <f ca="1">IFERROR(__xludf.DUMMYFUNCTION("""COMPUTED_VALUE"""),45063.6458333333)</f>
        <v>45063.645833333299</v>
      </c>
      <c r="V1323" s="6">
        <f ca="1">IFERROR(__xludf.DUMMYFUNCTION("""COMPUTED_VALUE"""),2494.66)</f>
        <v>2494.66</v>
      </c>
      <c r="Z1323" s="6" t="str">
        <f t="shared" ca="1" si="369"/>
        <v>20219</v>
      </c>
      <c r="AA1323" s="6">
        <f t="shared" ca="1" si="370"/>
        <v>2021</v>
      </c>
      <c r="AB1323" s="6">
        <f t="shared" ca="1" si="371"/>
        <v>9</v>
      </c>
      <c r="AC1323" s="68">
        <f ca="1">IFERROR(__xludf.DUMMYFUNCTION("""COMPUTED_VALUE"""),44469.9986111111)</f>
        <v>44469.998611111099</v>
      </c>
      <c r="AD1323" s="6">
        <f ca="1">IFERROR(__xludf.DUMMYFUNCTION("""COMPUTED_VALUE"""),1183.72)</f>
        <v>1183.72</v>
      </c>
      <c r="AH1323" s="6" t="str">
        <f t="shared" ca="1" si="372"/>
        <v>20218</v>
      </c>
      <c r="AI1323" s="6">
        <f t="shared" ca="1" si="373"/>
        <v>2021</v>
      </c>
      <c r="AJ1323" s="6">
        <f t="shared" ca="1" si="374"/>
        <v>8</v>
      </c>
      <c r="AK1323" s="68">
        <f ca="1">IFERROR(__xludf.DUMMYFUNCTION("""COMPUTED_VALUE"""),44416.9986111111)</f>
        <v>44416.998611111099</v>
      </c>
      <c r="AL1323" s="6">
        <f ca="1">IFERROR(__xludf.DUMMYFUNCTION("""COMPUTED_VALUE"""),43804.42)</f>
        <v>43804.42</v>
      </c>
      <c r="AP1323" s="6" t="str">
        <f t="shared" ca="1" si="375"/>
        <v>20234</v>
      </c>
      <c r="AQ1323" s="6">
        <f t="shared" ca="1" si="376"/>
        <v>2023</v>
      </c>
      <c r="AR1323" s="6">
        <f t="shared" ca="1" si="377"/>
        <v>4</v>
      </c>
      <c r="AS1323" s="68">
        <f ca="1">IFERROR(__xludf.DUMMYFUNCTION("""COMPUTED_VALUE"""),45027.9986111111)</f>
        <v>45027.998611111099</v>
      </c>
      <c r="AT1323" s="6">
        <f ca="1">IFERROR(__xludf.DUMMYFUNCTION("""COMPUTED_VALUE"""),2019)</f>
        <v>2019</v>
      </c>
    </row>
    <row r="1324" spans="2:46" x14ac:dyDescent="0.35">
      <c r="B1324" s="6" t="str">
        <f t="shared" ca="1" si="360"/>
        <v>20234</v>
      </c>
      <c r="C1324" s="6">
        <f t="shared" ca="1" si="361"/>
        <v>2023</v>
      </c>
      <c r="D1324" s="6">
        <f t="shared" ca="1" si="362"/>
        <v>4</v>
      </c>
      <c r="E1324" s="68">
        <f ca="1">IFERROR(__xludf.DUMMYFUNCTION("""COMPUTED_VALUE"""),45020.6666666666)</f>
        <v>45020.666666666599</v>
      </c>
      <c r="F1324" s="6">
        <f ca="1">IFERROR(__xludf.DUMMYFUNCTION("""COMPUTED_VALUE"""),4100.6)</f>
        <v>4100.6000000000004</v>
      </c>
      <c r="J1324" s="6" t="str">
        <f t="shared" ca="1" si="363"/>
        <v>20233</v>
      </c>
      <c r="K1324" s="6">
        <f t="shared" ca="1" si="364"/>
        <v>2023</v>
      </c>
      <c r="L1324" s="6">
        <f t="shared" ca="1" si="365"/>
        <v>3</v>
      </c>
      <c r="M1324" s="68">
        <f ca="1">IFERROR(__xludf.DUMMYFUNCTION("""COMPUTED_VALUE"""),45012.6666666666)</f>
        <v>45012.666666666599</v>
      </c>
      <c r="N1324" s="6">
        <f ca="1">IFERROR(__xludf.DUMMYFUNCTION("""COMPUTED_VALUE"""),11768.84)</f>
        <v>11768.84</v>
      </c>
      <c r="R1324" s="6" t="str">
        <f t="shared" ca="1" si="366"/>
        <v>20235</v>
      </c>
      <c r="S1324" s="6">
        <f t="shared" ca="1" si="367"/>
        <v>2023</v>
      </c>
      <c r="T1324" s="6">
        <f t="shared" ca="1" si="368"/>
        <v>5</v>
      </c>
      <c r="U1324" s="68">
        <f ca="1">IFERROR(__xludf.DUMMYFUNCTION("""COMPUTED_VALUE"""),45064.6458333333)</f>
        <v>45064.645833333299</v>
      </c>
      <c r="V1324" s="6">
        <f ca="1">IFERROR(__xludf.DUMMYFUNCTION("""COMPUTED_VALUE"""),2515.4)</f>
        <v>2515.4</v>
      </c>
      <c r="Z1324" s="6" t="str">
        <f t="shared" ca="1" si="369"/>
        <v>202110</v>
      </c>
      <c r="AA1324" s="6">
        <f t="shared" ca="1" si="370"/>
        <v>2021</v>
      </c>
      <c r="AB1324" s="6">
        <f t="shared" ca="1" si="371"/>
        <v>10</v>
      </c>
      <c r="AC1324" s="68">
        <f ca="1">IFERROR(__xludf.DUMMYFUNCTION("""COMPUTED_VALUE"""),44470.9986111111)</f>
        <v>44470.998611111099</v>
      </c>
      <c r="AD1324" s="6">
        <f ca="1">IFERROR(__xludf.DUMMYFUNCTION("""COMPUTED_VALUE"""),1183.45)</f>
        <v>1183.45</v>
      </c>
      <c r="AH1324" s="6" t="str">
        <f t="shared" ca="1" si="372"/>
        <v>20218</v>
      </c>
      <c r="AI1324" s="6">
        <f t="shared" ca="1" si="373"/>
        <v>2021</v>
      </c>
      <c r="AJ1324" s="6">
        <f t="shared" ca="1" si="374"/>
        <v>8</v>
      </c>
      <c r="AK1324" s="68">
        <f ca="1">IFERROR(__xludf.DUMMYFUNCTION("""COMPUTED_VALUE"""),44417.9986111111)</f>
        <v>44417.998611111099</v>
      </c>
      <c r="AL1324" s="6">
        <f ca="1">IFERROR(__xludf.DUMMYFUNCTION("""COMPUTED_VALUE"""),46302.42)</f>
        <v>46302.42</v>
      </c>
      <c r="AP1324" s="6" t="str">
        <f t="shared" ca="1" si="375"/>
        <v>20234</v>
      </c>
      <c r="AQ1324" s="6">
        <f t="shared" ca="1" si="376"/>
        <v>2023</v>
      </c>
      <c r="AR1324" s="6">
        <f t="shared" ca="1" si="377"/>
        <v>4</v>
      </c>
      <c r="AS1324" s="68">
        <f ca="1">IFERROR(__xludf.DUMMYFUNCTION("""COMPUTED_VALUE"""),45028.9986111111)</f>
        <v>45028.998611111099</v>
      </c>
      <c r="AT1324" s="6">
        <f ca="1">IFERROR(__xludf.DUMMYFUNCTION("""COMPUTED_VALUE"""),2024.9)</f>
        <v>2024.9</v>
      </c>
    </row>
    <row r="1325" spans="2:46" x14ac:dyDescent="0.35">
      <c r="B1325" s="6" t="str">
        <f t="shared" ca="1" si="360"/>
        <v>20234</v>
      </c>
      <c r="C1325" s="6">
        <f t="shared" ca="1" si="361"/>
        <v>2023</v>
      </c>
      <c r="D1325" s="6">
        <f t="shared" ca="1" si="362"/>
        <v>4</v>
      </c>
      <c r="E1325" s="68">
        <f ca="1">IFERROR(__xludf.DUMMYFUNCTION("""COMPUTED_VALUE"""),45021.6666666666)</f>
        <v>45021.666666666599</v>
      </c>
      <c r="F1325" s="6">
        <f ca="1">IFERROR(__xludf.DUMMYFUNCTION("""COMPUTED_VALUE"""),4090.38)</f>
        <v>4090.38</v>
      </c>
      <c r="J1325" s="6" t="str">
        <f t="shared" ca="1" si="363"/>
        <v>20233</v>
      </c>
      <c r="K1325" s="6">
        <f t="shared" ca="1" si="364"/>
        <v>2023</v>
      </c>
      <c r="L1325" s="6">
        <f t="shared" ca="1" si="365"/>
        <v>3</v>
      </c>
      <c r="M1325" s="68">
        <f ca="1">IFERROR(__xludf.DUMMYFUNCTION("""COMPUTED_VALUE"""),45013.6666666666)</f>
        <v>45013.666666666599</v>
      </c>
      <c r="N1325" s="6">
        <f ca="1">IFERROR(__xludf.DUMMYFUNCTION("""COMPUTED_VALUE"""),11716.08)</f>
        <v>11716.08</v>
      </c>
      <c r="R1325" s="6" t="str">
        <f t="shared" ca="1" si="366"/>
        <v>20235</v>
      </c>
      <c r="S1325" s="6">
        <f t="shared" ca="1" si="367"/>
        <v>2023</v>
      </c>
      <c r="T1325" s="6">
        <f t="shared" ca="1" si="368"/>
        <v>5</v>
      </c>
      <c r="U1325" s="68">
        <f ca="1">IFERROR(__xludf.DUMMYFUNCTION("""COMPUTED_VALUE"""),45065.6458333333)</f>
        <v>45065.645833333299</v>
      </c>
      <c r="V1325" s="6">
        <f ca="1">IFERROR(__xludf.DUMMYFUNCTION("""COMPUTED_VALUE"""),2537.79)</f>
        <v>2537.79</v>
      </c>
      <c r="Z1325" s="6" t="str">
        <f t="shared" ca="1" si="369"/>
        <v>202110</v>
      </c>
      <c r="AA1325" s="6">
        <f t="shared" ca="1" si="370"/>
        <v>2021</v>
      </c>
      <c r="AB1325" s="6">
        <f t="shared" ca="1" si="371"/>
        <v>10</v>
      </c>
      <c r="AC1325" s="68">
        <f ca="1">IFERROR(__xludf.DUMMYFUNCTION("""COMPUTED_VALUE"""),44471.9986111111)</f>
        <v>44471.998611111099</v>
      </c>
      <c r="AD1325" s="6">
        <f ca="1">IFERROR(__xludf.DUMMYFUNCTION("""COMPUTED_VALUE"""),1183.45)</f>
        <v>1183.45</v>
      </c>
      <c r="AH1325" s="6" t="str">
        <f t="shared" ca="1" si="372"/>
        <v>20218</v>
      </c>
      <c r="AI1325" s="6">
        <f t="shared" ca="1" si="373"/>
        <v>2021</v>
      </c>
      <c r="AJ1325" s="6">
        <f t="shared" ca="1" si="374"/>
        <v>8</v>
      </c>
      <c r="AK1325" s="68">
        <f ca="1">IFERROR(__xludf.DUMMYFUNCTION("""COMPUTED_VALUE"""),44418.9986111111)</f>
        <v>44418.998611111099</v>
      </c>
      <c r="AL1325" s="6">
        <f ca="1">IFERROR(__xludf.DUMMYFUNCTION("""COMPUTED_VALUE"""),45597.24)</f>
        <v>45597.24</v>
      </c>
      <c r="AP1325" s="6" t="str">
        <f t="shared" ca="1" si="375"/>
        <v>20234</v>
      </c>
      <c r="AQ1325" s="6">
        <f t="shared" ca="1" si="376"/>
        <v>2023</v>
      </c>
      <c r="AR1325" s="6">
        <f t="shared" ca="1" si="377"/>
        <v>4</v>
      </c>
      <c r="AS1325" s="68">
        <f ca="1">IFERROR(__xludf.DUMMYFUNCTION("""COMPUTED_VALUE"""),45029.9986111111)</f>
        <v>45029.998611111099</v>
      </c>
      <c r="AT1325" s="6">
        <f ca="1">IFERROR(__xludf.DUMMYFUNCTION("""COMPUTED_VALUE"""),2055.3)</f>
        <v>2055.3000000000002</v>
      </c>
    </row>
    <row r="1326" spans="2:46" x14ac:dyDescent="0.35">
      <c r="B1326" s="6" t="str">
        <f t="shared" ca="1" si="360"/>
        <v>20234</v>
      </c>
      <c r="C1326" s="6">
        <f t="shared" ca="1" si="361"/>
        <v>2023</v>
      </c>
      <c r="D1326" s="6">
        <f t="shared" ca="1" si="362"/>
        <v>4</v>
      </c>
      <c r="E1326" s="68">
        <f ca="1">IFERROR(__xludf.DUMMYFUNCTION("""COMPUTED_VALUE"""),45022.6666666666)</f>
        <v>45022.666666666599</v>
      </c>
      <c r="F1326" s="6">
        <f ca="1">IFERROR(__xludf.DUMMYFUNCTION("""COMPUTED_VALUE"""),4105.02)</f>
        <v>4105.0200000000004</v>
      </c>
      <c r="J1326" s="6" t="str">
        <f t="shared" ca="1" si="363"/>
        <v>20233</v>
      </c>
      <c r="K1326" s="6">
        <f t="shared" ca="1" si="364"/>
        <v>2023</v>
      </c>
      <c r="L1326" s="6">
        <f t="shared" ca="1" si="365"/>
        <v>3</v>
      </c>
      <c r="M1326" s="68">
        <f ca="1">IFERROR(__xludf.DUMMYFUNCTION("""COMPUTED_VALUE"""),45014.6666666666)</f>
        <v>45014.666666666599</v>
      </c>
      <c r="N1326" s="6">
        <f ca="1">IFERROR(__xludf.DUMMYFUNCTION("""COMPUTED_VALUE"""),11926.24)</f>
        <v>11926.24</v>
      </c>
      <c r="R1326" s="6" t="str">
        <f t="shared" ca="1" si="366"/>
        <v>20235</v>
      </c>
      <c r="S1326" s="6">
        <f t="shared" ca="1" si="367"/>
        <v>2023</v>
      </c>
      <c r="T1326" s="6">
        <f t="shared" ca="1" si="368"/>
        <v>5</v>
      </c>
      <c r="U1326" s="68">
        <f ca="1">IFERROR(__xludf.DUMMYFUNCTION("""COMPUTED_VALUE"""),45068.6458333333)</f>
        <v>45068.645833333299</v>
      </c>
      <c r="V1326" s="6">
        <f ca="1">IFERROR(__xludf.DUMMYFUNCTION("""COMPUTED_VALUE"""),2557.08)</f>
        <v>2557.08</v>
      </c>
      <c r="Z1326" s="6" t="str">
        <f t="shared" ca="1" si="369"/>
        <v>202110</v>
      </c>
      <c r="AA1326" s="6">
        <f t="shared" ca="1" si="370"/>
        <v>2021</v>
      </c>
      <c r="AB1326" s="6">
        <f t="shared" ca="1" si="371"/>
        <v>10</v>
      </c>
      <c r="AC1326" s="68">
        <f ca="1">IFERROR(__xludf.DUMMYFUNCTION("""COMPUTED_VALUE"""),44472.9986111111)</f>
        <v>44472.998611111099</v>
      </c>
      <c r="AD1326" s="6">
        <f ca="1">IFERROR(__xludf.DUMMYFUNCTION("""COMPUTED_VALUE"""),1180)</f>
        <v>1180</v>
      </c>
      <c r="AH1326" s="6" t="str">
        <f t="shared" ca="1" si="372"/>
        <v>20218</v>
      </c>
      <c r="AI1326" s="6">
        <f t="shared" ca="1" si="373"/>
        <v>2021</v>
      </c>
      <c r="AJ1326" s="6">
        <f t="shared" ca="1" si="374"/>
        <v>8</v>
      </c>
      <c r="AK1326" s="68">
        <f ca="1">IFERROR(__xludf.DUMMYFUNCTION("""COMPUTED_VALUE"""),44419.9986111111)</f>
        <v>44419.998611111099</v>
      </c>
      <c r="AL1326" s="6">
        <f ca="1">IFERROR(__xludf.DUMMYFUNCTION("""COMPUTED_VALUE"""),45580.62)</f>
        <v>45580.62</v>
      </c>
      <c r="AP1326" s="6" t="str">
        <f t="shared" ca="1" si="375"/>
        <v>20234</v>
      </c>
      <c r="AQ1326" s="6">
        <f t="shared" ca="1" si="376"/>
        <v>2023</v>
      </c>
      <c r="AR1326" s="6">
        <f t="shared" ca="1" si="377"/>
        <v>4</v>
      </c>
      <c r="AS1326" s="68">
        <f ca="1">IFERROR(__xludf.DUMMYFUNCTION("""COMPUTED_VALUE"""),45030.9986111111)</f>
        <v>45030.998611111099</v>
      </c>
      <c r="AT1326" s="6">
        <f ca="1">IFERROR(__xludf.DUMMYFUNCTION("""COMPUTED_VALUE"""),2015.8)</f>
        <v>2015.8</v>
      </c>
    </row>
    <row r="1327" spans="2:46" x14ac:dyDescent="0.35">
      <c r="B1327" s="6" t="str">
        <f t="shared" ca="1" si="360"/>
        <v>20234</v>
      </c>
      <c r="C1327" s="6">
        <f t="shared" ca="1" si="361"/>
        <v>2023</v>
      </c>
      <c r="D1327" s="6">
        <f t="shared" ca="1" si="362"/>
        <v>4</v>
      </c>
      <c r="E1327" s="68">
        <f ca="1">IFERROR(__xludf.DUMMYFUNCTION("""COMPUTED_VALUE"""),45026.6666666666)</f>
        <v>45026.666666666599</v>
      </c>
      <c r="F1327" s="6">
        <f ca="1">IFERROR(__xludf.DUMMYFUNCTION("""COMPUTED_VALUE"""),4109.11)</f>
        <v>4109.1099999999997</v>
      </c>
      <c r="J1327" s="6" t="str">
        <f t="shared" ca="1" si="363"/>
        <v>20233</v>
      </c>
      <c r="K1327" s="6">
        <f t="shared" ca="1" si="364"/>
        <v>2023</v>
      </c>
      <c r="L1327" s="6">
        <f t="shared" ca="1" si="365"/>
        <v>3</v>
      </c>
      <c r="M1327" s="68">
        <f ca="1">IFERROR(__xludf.DUMMYFUNCTION("""COMPUTED_VALUE"""),45015.6666666666)</f>
        <v>45015.666666666599</v>
      </c>
      <c r="N1327" s="6">
        <f ca="1">IFERROR(__xludf.DUMMYFUNCTION("""COMPUTED_VALUE"""),12013.47)</f>
        <v>12013.47</v>
      </c>
      <c r="R1327" s="6" t="str">
        <f t="shared" ca="1" si="366"/>
        <v>20235</v>
      </c>
      <c r="S1327" s="6">
        <f t="shared" ca="1" si="367"/>
        <v>2023</v>
      </c>
      <c r="T1327" s="6">
        <f t="shared" ca="1" si="368"/>
        <v>5</v>
      </c>
      <c r="U1327" s="68">
        <f ca="1">IFERROR(__xludf.DUMMYFUNCTION("""COMPUTED_VALUE"""),45069.6458333333)</f>
        <v>45069.645833333299</v>
      </c>
      <c r="V1327" s="6">
        <f ca="1">IFERROR(__xludf.DUMMYFUNCTION("""COMPUTED_VALUE"""),2567.55)</f>
        <v>2567.5500000000002</v>
      </c>
      <c r="Z1327" s="6" t="str">
        <f t="shared" ca="1" si="369"/>
        <v>202110</v>
      </c>
      <c r="AA1327" s="6">
        <f t="shared" ca="1" si="370"/>
        <v>2021</v>
      </c>
      <c r="AB1327" s="6">
        <f t="shared" ca="1" si="371"/>
        <v>10</v>
      </c>
      <c r="AC1327" s="68">
        <f ca="1">IFERROR(__xludf.DUMMYFUNCTION("""COMPUTED_VALUE"""),44473.9986111111)</f>
        <v>44473.998611111099</v>
      </c>
      <c r="AD1327" s="6">
        <f ca="1">IFERROR(__xludf.DUMMYFUNCTION("""COMPUTED_VALUE"""),1183.78)</f>
        <v>1183.78</v>
      </c>
      <c r="AH1327" s="6" t="str">
        <f t="shared" ca="1" si="372"/>
        <v>20218</v>
      </c>
      <c r="AI1327" s="6">
        <f t="shared" ca="1" si="373"/>
        <v>2021</v>
      </c>
      <c r="AJ1327" s="6">
        <f t="shared" ca="1" si="374"/>
        <v>8</v>
      </c>
      <c r="AK1327" s="68">
        <f ca="1">IFERROR(__xludf.DUMMYFUNCTION("""COMPUTED_VALUE"""),44420.9986111111)</f>
        <v>44420.998611111099</v>
      </c>
      <c r="AL1327" s="6">
        <f ca="1">IFERROR(__xludf.DUMMYFUNCTION("""COMPUTED_VALUE"""),44422.31)</f>
        <v>44422.31</v>
      </c>
      <c r="AP1327" s="6" t="str">
        <f t="shared" ca="1" si="375"/>
        <v>20234</v>
      </c>
      <c r="AQ1327" s="6">
        <f t="shared" ca="1" si="376"/>
        <v>2023</v>
      </c>
      <c r="AR1327" s="6">
        <f t="shared" ca="1" si="377"/>
        <v>4</v>
      </c>
      <c r="AS1327" s="68">
        <f ca="1">IFERROR(__xludf.DUMMYFUNCTION("""COMPUTED_VALUE"""),45033.9986111111)</f>
        <v>45033.998611111099</v>
      </c>
      <c r="AT1327" s="6">
        <f ca="1">IFERROR(__xludf.DUMMYFUNCTION("""COMPUTED_VALUE"""),2007)</f>
        <v>2007</v>
      </c>
    </row>
    <row r="1328" spans="2:46" x14ac:dyDescent="0.35">
      <c r="B1328" s="6" t="str">
        <f t="shared" ca="1" si="360"/>
        <v>20234</v>
      </c>
      <c r="C1328" s="6">
        <f t="shared" ca="1" si="361"/>
        <v>2023</v>
      </c>
      <c r="D1328" s="6">
        <f t="shared" ca="1" si="362"/>
        <v>4</v>
      </c>
      <c r="E1328" s="68">
        <f ca="1">IFERROR(__xludf.DUMMYFUNCTION("""COMPUTED_VALUE"""),45027.6666666666)</f>
        <v>45027.666666666599</v>
      </c>
      <c r="F1328" s="6">
        <f ca="1">IFERROR(__xludf.DUMMYFUNCTION("""COMPUTED_VALUE"""),4108.94)</f>
        <v>4108.9399999999996</v>
      </c>
      <c r="J1328" s="6" t="str">
        <f t="shared" ca="1" si="363"/>
        <v>20233</v>
      </c>
      <c r="K1328" s="6">
        <f t="shared" ca="1" si="364"/>
        <v>2023</v>
      </c>
      <c r="L1328" s="6">
        <f t="shared" ca="1" si="365"/>
        <v>3</v>
      </c>
      <c r="M1328" s="68">
        <f ca="1">IFERROR(__xludf.DUMMYFUNCTION("""COMPUTED_VALUE"""),45016.6666666666)</f>
        <v>45016.666666666599</v>
      </c>
      <c r="N1328" s="6">
        <f ca="1">IFERROR(__xludf.DUMMYFUNCTION("""COMPUTED_VALUE"""),12221.91)</f>
        <v>12221.91</v>
      </c>
      <c r="R1328" s="6" t="str">
        <f t="shared" ca="1" si="366"/>
        <v>20235</v>
      </c>
      <c r="S1328" s="6">
        <f t="shared" ca="1" si="367"/>
        <v>2023</v>
      </c>
      <c r="T1328" s="6">
        <f t="shared" ca="1" si="368"/>
        <v>5</v>
      </c>
      <c r="U1328" s="68">
        <f ca="1">IFERROR(__xludf.DUMMYFUNCTION("""COMPUTED_VALUE"""),45070.6458333333)</f>
        <v>45070.645833333299</v>
      </c>
      <c r="V1328" s="6">
        <f ca="1">IFERROR(__xludf.DUMMYFUNCTION("""COMPUTED_VALUE"""),2567.45)</f>
        <v>2567.4499999999998</v>
      </c>
      <c r="Z1328" s="6" t="str">
        <f t="shared" ca="1" si="369"/>
        <v>202110</v>
      </c>
      <c r="AA1328" s="6">
        <f t="shared" ca="1" si="370"/>
        <v>2021</v>
      </c>
      <c r="AB1328" s="6">
        <f t="shared" ca="1" si="371"/>
        <v>10</v>
      </c>
      <c r="AC1328" s="68">
        <f ca="1">IFERROR(__xludf.DUMMYFUNCTION("""COMPUTED_VALUE"""),44474.9986111111)</f>
        <v>44474.998611111099</v>
      </c>
      <c r="AD1328" s="6">
        <f ca="1">IFERROR(__xludf.DUMMYFUNCTION("""COMPUTED_VALUE"""),1187.17)</f>
        <v>1187.17</v>
      </c>
      <c r="AH1328" s="6" t="str">
        <f t="shared" ca="1" si="372"/>
        <v>20218</v>
      </c>
      <c r="AI1328" s="6">
        <f t="shared" ca="1" si="373"/>
        <v>2021</v>
      </c>
      <c r="AJ1328" s="6">
        <f t="shared" ca="1" si="374"/>
        <v>8</v>
      </c>
      <c r="AK1328" s="68">
        <f ca="1">IFERROR(__xludf.DUMMYFUNCTION("""COMPUTED_VALUE"""),44421.9986111111)</f>
        <v>44421.998611111099</v>
      </c>
      <c r="AL1328" s="6">
        <f ca="1">IFERROR(__xludf.DUMMYFUNCTION("""COMPUTED_VALUE"""),47832.95)</f>
        <v>47832.95</v>
      </c>
      <c r="AP1328" s="6" t="str">
        <f t="shared" ca="1" si="375"/>
        <v>20234</v>
      </c>
      <c r="AQ1328" s="6">
        <f t="shared" ca="1" si="376"/>
        <v>2023</v>
      </c>
      <c r="AR1328" s="6">
        <f t="shared" ca="1" si="377"/>
        <v>4</v>
      </c>
      <c r="AS1328" s="68">
        <f ca="1">IFERROR(__xludf.DUMMYFUNCTION("""COMPUTED_VALUE"""),45034.9986111111)</f>
        <v>45034.998611111099</v>
      </c>
      <c r="AT1328" s="6">
        <f ca="1">IFERROR(__xludf.DUMMYFUNCTION("""COMPUTED_VALUE"""),2019.7)</f>
        <v>2019.7</v>
      </c>
    </row>
    <row r="1329" spans="2:46" x14ac:dyDescent="0.35">
      <c r="B1329" s="6" t="str">
        <f t="shared" ca="1" si="360"/>
        <v>20234</v>
      </c>
      <c r="C1329" s="6">
        <f t="shared" ca="1" si="361"/>
        <v>2023</v>
      </c>
      <c r="D1329" s="6">
        <f t="shared" ca="1" si="362"/>
        <v>4</v>
      </c>
      <c r="E1329" s="68">
        <f ca="1">IFERROR(__xludf.DUMMYFUNCTION("""COMPUTED_VALUE"""),45028.6666666666)</f>
        <v>45028.666666666599</v>
      </c>
      <c r="F1329" s="6">
        <f ca="1">IFERROR(__xludf.DUMMYFUNCTION("""COMPUTED_VALUE"""),4091.95)</f>
        <v>4091.95</v>
      </c>
      <c r="J1329" s="6" t="str">
        <f t="shared" ca="1" si="363"/>
        <v>20234</v>
      </c>
      <c r="K1329" s="6">
        <f t="shared" ca="1" si="364"/>
        <v>2023</v>
      </c>
      <c r="L1329" s="6">
        <f t="shared" ca="1" si="365"/>
        <v>4</v>
      </c>
      <c r="M1329" s="68">
        <f ca="1">IFERROR(__xludf.DUMMYFUNCTION("""COMPUTED_VALUE"""),45019.6666666666)</f>
        <v>45019.666666666599</v>
      </c>
      <c r="N1329" s="6">
        <f ca="1">IFERROR(__xludf.DUMMYFUNCTION("""COMPUTED_VALUE"""),12189.45)</f>
        <v>12189.45</v>
      </c>
      <c r="R1329" s="6" t="str">
        <f t="shared" ca="1" si="366"/>
        <v>20235</v>
      </c>
      <c r="S1329" s="6">
        <f t="shared" ca="1" si="367"/>
        <v>2023</v>
      </c>
      <c r="T1329" s="6">
        <f t="shared" ca="1" si="368"/>
        <v>5</v>
      </c>
      <c r="U1329" s="68">
        <f ca="1">IFERROR(__xludf.DUMMYFUNCTION("""COMPUTED_VALUE"""),45071.6458333333)</f>
        <v>45071.645833333299</v>
      </c>
      <c r="V1329" s="6">
        <f ca="1">IFERROR(__xludf.DUMMYFUNCTION("""COMPUTED_VALUE"""),2554.69)</f>
        <v>2554.69</v>
      </c>
      <c r="Z1329" s="6" t="str">
        <f t="shared" ca="1" si="369"/>
        <v>202110</v>
      </c>
      <c r="AA1329" s="6">
        <f t="shared" ca="1" si="370"/>
        <v>2021</v>
      </c>
      <c r="AB1329" s="6">
        <f t="shared" ca="1" si="371"/>
        <v>10</v>
      </c>
      <c r="AC1329" s="68">
        <f ca="1">IFERROR(__xludf.DUMMYFUNCTION("""COMPUTED_VALUE"""),44475.9986111111)</f>
        <v>44475.998611111099</v>
      </c>
      <c r="AD1329" s="6">
        <f ca="1">IFERROR(__xludf.DUMMYFUNCTION("""COMPUTED_VALUE"""),1191.38)</f>
        <v>1191.3800000000001</v>
      </c>
      <c r="AH1329" s="6" t="str">
        <f t="shared" ca="1" si="372"/>
        <v>20218</v>
      </c>
      <c r="AI1329" s="6">
        <f t="shared" ca="1" si="373"/>
        <v>2021</v>
      </c>
      <c r="AJ1329" s="6">
        <f t="shared" ca="1" si="374"/>
        <v>8</v>
      </c>
      <c r="AK1329" s="68">
        <f ca="1">IFERROR(__xludf.DUMMYFUNCTION("""COMPUTED_VALUE"""),44422.9986111111)</f>
        <v>44422.998611111099</v>
      </c>
      <c r="AL1329" s="6">
        <f ca="1">IFERROR(__xludf.DUMMYFUNCTION("""COMPUTED_VALUE"""),47103.48)</f>
        <v>47103.48</v>
      </c>
      <c r="AP1329" s="6" t="str">
        <f t="shared" ca="1" si="375"/>
        <v>20234</v>
      </c>
      <c r="AQ1329" s="6">
        <f t="shared" ca="1" si="376"/>
        <v>2023</v>
      </c>
      <c r="AR1329" s="6">
        <f t="shared" ca="1" si="377"/>
        <v>4</v>
      </c>
      <c r="AS1329" s="68">
        <f ca="1">IFERROR(__xludf.DUMMYFUNCTION("""COMPUTED_VALUE"""),45035.9986111111)</f>
        <v>45035.998611111099</v>
      </c>
      <c r="AT1329" s="6">
        <f ca="1">IFERROR(__xludf.DUMMYFUNCTION("""COMPUTED_VALUE"""),2007.3)</f>
        <v>2007.3</v>
      </c>
    </row>
    <row r="1330" spans="2:46" x14ac:dyDescent="0.35">
      <c r="B1330" s="6" t="str">
        <f t="shared" ca="1" si="360"/>
        <v>20234</v>
      </c>
      <c r="C1330" s="6">
        <f t="shared" ca="1" si="361"/>
        <v>2023</v>
      </c>
      <c r="D1330" s="6">
        <f t="shared" ca="1" si="362"/>
        <v>4</v>
      </c>
      <c r="E1330" s="68">
        <f ca="1">IFERROR(__xludf.DUMMYFUNCTION("""COMPUTED_VALUE"""),45029.6666666666)</f>
        <v>45029.666666666599</v>
      </c>
      <c r="F1330" s="6">
        <f ca="1">IFERROR(__xludf.DUMMYFUNCTION("""COMPUTED_VALUE"""),4146.22)</f>
        <v>4146.22</v>
      </c>
      <c r="J1330" s="6" t="str">
        <f t="shared" ca="1" si="363"/>
        <v>20234</v>
      </c>
      <c r="K1330" s="6">
        <f t="shared" ca="1" si="364"/>
        <v>2023</v>
      </c>
      <c r="L1330" s="6">
        <f t="shared" ca="1" si="365"/>
        <v>4</v>
      </c>
      <c r="M1330" s="68">
        <f ca="1">IFERROR(__xludf.DUMMYFUNCTION("""COMPUTED_VALUE"""),45020.6666666666)</f>
        <v>45020.666666666599</v>
      </c>
      <c r="N1330" s="6">
        <f ca="1">IFERROR(__xludf.DUMMYFUNCTION("""COMPUTED_VALUE"""),12126.33)</f>
        <v>12126.33</v>
      </c>
      <c r="R1330" s="6" t="str">
        <f t="shared" ca="1" si="366"/>
        <v>20235</v>
      </c>
      <c r="S1330" s="6">
        <f t="shared" ca="1" si="367"/>
        <v>2023</v>
      </c>
      <c r="T1330" s="6">
        <f t="shared" ca="1" si="368"/>
        <v>5</v>
      </c>
      <c r="U1330" s="68">
        <f ca="1">IFERROR(__xludf.DUMMYFUNCTION("""COMPUTED_VALUE"""),45072.6458333333)</f>
        <v>45072.645833333299</v>
      </c>
      <c r="V1330" s="6">
        <f ca="1">IFERROR(__xludf.DUMMYFUNCTION("""COMPUTED_VALUE"""),2558.81)</f>
        <v>2558.81</v>
      </c>
      <c r="Z1330" s="6" t="str">
        <f t="shared" ca="1" si="369"/>
        <v>202110</v>
      </c>
      <c r="AA1330" s="6">
        <f t="shared" ca="1" si="370"/>
        <v>2021</v>
      </c>
      <c r="AB1330" s="6">
        <f t="shared" ca="1" si="371"/>
        <v>10</v>
      </c>
      <c r="AC1330" s="68">
        <f ca="1">IFERROR(__xludf.DUMMYFUNCTION("""COMPUTED_VALUE"""),44476.9986111111)</f>
        <v>44476.998611111099</v>
      </c>
      <c r="AD1330" s="6">
        <f ca="1">IFERROR(__xludf.DUMMYFUNCTION("""COMPUTED_VALUE"""),1191.15)</f>
        <v>1191.1500000000001</v>
      </c>
      <c r="AH1330" s="6" t="str">
        <f t="shared" ca="1" si="372"/>
        <v>20218</v>
      </c>
      <c r="AI1330" s="6">
        <f t="shared" ca="1" si="373"/>
        <v>2021</v>
      </c>
      <c r="AJ1330" s="6">
        <f t="shared" ca="1" si="374"/>
        <v>8</v>
      </c>
      <c r="AK1330" s="68">
        <f ca="1">IFERROR(__xludf.DUMMYFUNCTION("""COMPUTED_VALUE"""),44423.9986111111)</f>
        <v>44423.998611111099</v>
      </c>
      <c r="AL1330" s="6">
        <f ca="1">IFERROR(__xludf.DUMMYFUNCTION("""COMPUTED_VALUE"""),47035.16)</f>
        <v>47035.16</v>
      </c>
      <c r="AP1330" s="6" t="str">
        <f t="shared" ca="1" si="375"/>
        <v>20234</v>
      </c>
      <c r="AQ1330" s="6">
        <f t="shared" ca="1" si="376"/>
        <v>2023</v>
      </c>
      <c r="AR1330" s="6">
        <f t="shared" ca="1" si="377"/>
        <v>4</v>
      </c>
      <c r="AS1330" s="68">
        <f ca="1">IFERROR(__xludf.DUMMYFUNCTION("""COMPUTED_VALUE"""),45036.9986111111)</f>
        <v>45036.998611111099</v>
      </c>
      <c r="AT1330" s="6">
        <f ca="1">IFERROR(__xludf.DUMMYFUNCTION("""COMPUTED_VALUE"""),2019.1)</f>
        <v>2019.1</v>
      </c>
    </row>
    <row r="1331" spans="2:46" x14ac:dyDescent="0.35">
      <c r="B1331" s="6" t="str">
        <f t="shared" ca="1" si="360"/>
        <v>20234</v>
      </c>
      <c r="C1331" s="6">
        <f t="shared" ca="1" si="361"/>
        <v>2023</v>
      </c>
      <c r="D1331" s="6">
        <f t="shared" ca="1" si="362"/>
        <v>4</v>
      </c>
      <c r="E1331" s="68">
        <f ca="1">IFERROR(__xludf.DUMMYFUNCTION("""COMPUTED_VALUE"""),45030.6666666666)</f>
        <v>45030.666666666599</v>
      </c>
      <c r="F1331" s="6">
        <f ca="1">IFERROR(__xludf.DUMMYFUNCTION("""COMPUTED_VALUE"""),4137.64)</f>
        <v>4137.6400000000003</v>
      </c>
      <c r="J1331" s="6" t="str">
        <f t="shared" ca="1" si="363"/>
        <v>20234</v>
      </c>
      <c r="K1331" s="6">
        <f t="shared" ca="1" si="364"/>
        <v>2023</v>
      </c>
      <c r="L1331" s="6">
        <f t="shared" ca="1" si="365"/>
        <v>4</v>
      </c>
      <c r="M1331" s="68">
        <f ca="1">IFERROR(__xludf.DUMMYFUNCTION("""COMPUTED_VALUE"""),45021.6666666666)</f>
        <v>45021.666666666599</v>
      </c>
      <c r="N1331" s="6">
        <f ca="1">IFERROR(__xludf.DUMMYFUNCTION("""COMPUTED_VALUE"""),11996.86)</f>
        <v>11996.86</v>
      </c>
      <c r="R1331" s="6" t="str">
        <f t="shared" ca="1" si="366"/>
        <v>20235</v>
      </c>
      <c r="S1331" s="6">
        <f t="shared" ca="1" si="367"/>
        <v>2023</v>
      </c>
      <c r="T1331" s="6">
        <f t="shared" ca="1" si="368"/>
        <v>5</v>
      </c>
      <c r="U1331" s="68">
        <f ca="1">IFERROR(__xludf.DUMMYFUNCTION("""COMPUTED_VALUE"""),45076.6458333333)</f>
        <v>45076.645833333299</v>
      </c>
      <c r="V1331" s="6">
        <f ca="1">IFERROR(__xludf.DUMMYFUNCTION("""COMPUTED_VALUE"""),2585.52)</f>
        <v>2585.52</v>
      </c>
      <c r="Z1331" s="6" t="str">
        <f t="shared" ca="1" si="369"/>
        <v>202110</v>
      </c>
      <c r="AA1331" s="6">
        <f t="shared" ca="1" si="370"/>
        <v>2021</v>
      </c>
      <c r="AB1331" s="6">
        <f t="shared" ca="1" si="371"/>
        <v>10</v>
      </c>
      <c r="AC1331" s="68">
        <f ca="1">IFERROR(__xludf.DUMMYFUNCTION("""COMPUTED_VALUE"""),44477.9986111111)</f>
        <v>44477.998611111099</v>
      </c>
      <c r="AD1331" s="6">
        <f ca="1">IFERROR(__xludf.DUMMYFUNCTION("""COMPUTED_VALUE"""),1195.28)</f>
        <v>1195.28</v>
      </c>
      <c r="AH1331" s="6" t="str">
        <f t="shared" ca="1" si="372"/>
        <v>20218</v>
      </c>
      <c r="AI1331" s="6">
        <f t="shared" ca="1" si="373"/>
        <v>2021</v>
      </c>
      <c r="AJ1331" s="6">
        <f t="shared" ca="1" si="374"/>
        <v>8</v>
      </c>
      <c r="AK1331" s="68">
        <f ca="1">IFERROR(__xludf.DUMMYFUNCTION("""COMPUTED_VALUE"""),44424.9986111111)</f>
        <v>44424.998611111099</v>
      </c>
      <c r="AL1331" s="6">
        <f ca="1">IFERROR(__xludf.DUMMYFUNCTION("""COMPUTED_VALUE"""),45962.85)</f>
        <v>45962.85</v>
      </c>
      <c r="AP1331" s="6" t="str">
        <f t="shared" ca="1" si="375"/>
        <v>20234</v>
      </c>
      <c r="AQ1331" s="6">
        <f t="shared" ca="1" si="376"/>
        <v>2023</v>
      </c>
      <c r="AR1331" s="6">
        <f t="shared" ca="1" si="377"/>
        <v>4</v>
      </c>
      <c r="AS1331" s="68">
        <f ca="1">IFERROR(__xludf.DUMMYFUNCTION("""COMPUTED_VALUE"""),45037.9986111111)</f>
        <v>45037.998611111099</v>
      </c>
      <c r="AT1331" s="6">
        <f ca="1">IFERROR(__xludf.DUMMYFUNCTION("""COMPUTED_VALUE"""),1990.5)</f>
        <v>1990.5</v>
      </c>
    </row>
    <row r="1332" spans="2:46" x14ac:dyDescent="0.35">
      <c r="B1332" s="6" t="str">
        <f t="shared" ca="1" si="360"/>
        <v>20234</v>
      </c>
      <c r="C1332" s="6">
        <f t="shared" ca="1" si="361"/>
        <v>2023</v>
      </c>
      <c r="D1332" s="6">
        <f t="shared" ca="1" si="362"/>
        <v>4</v>
      </c>
      <c r="E1332" s="68">
        <f ca="1">IFERROR(__xludf.DUMMYFUNCTION("""COMPUTED_VALUE"""),45033.6666666666)</f>
        <v>45033.666666666599</v>
      </c>
      <c r="F1332" s="6">
        <f ca="1">IFERROR(__xludf.DUMMYFUNCTION("""COMPUTED_VALUE"""),4151.32)</f>
        <v>4151.32</v>
      </c>
      <c r="J1332" s="6" t="str">
        <f t="shared" ca="1" si="363"/>
        <v>20234</v>
      </c>
      <c r="K1332" s="6">
        <f t="shared" ca="1" si="364"/>
        <v>2023</v>
      </c>
      <c r="L1332" s="6">
        <f t="shared" ca="1" si="365"/>
        <v>4</v>
      </c>
      <c r="M1332" s="68">
        <f ca="1">IFERROR(__xludf.DUMMYFUNCTION("""COMPUTED_VALUE"""),45022.6666666666)</f>
        <v>45022.666666666599</v>
      </c>
      <c r="N1332" s="6">
        <f ca="1">IFERROR(__xludf.DUMMYFUNCTION("""COMPUTED_VALUE"""),12087.96)</f>
        <v>12087.96</v>
      </c>
      <c r="R1332" s="6" t="str">
        <f t="shared" ca="1" si="366"/>
        <v>20235</v>
      </c>
      <c r="S1332" s="6">
        <f t="shared" ca="1" si="367"/>
        <v>2023</v>
      </c>
      <c r="T1332" s="6">
        <f t="shared" ca="1" si="368"/>
        <v>5</v>
      </c>
      <c r="U1332" s="68">
        <f ca="1">IFERROR(__xludf.DUMMYFUNCTION("""COMPUTED_VALUE"""),45077.6458333333)</f>
        <v>45077.645833333299</v>
      </c>
      <c r="V1332" s="6">
        <f ca="1">IFERROR(__xludf.DUMMYFUNCTION("""COMPUTED_VALUE"""),2577.12)</f>
        <v>2577.12</v>
      </c>
      <c r="Z1332" s="6" t="str">
        <f t="shared" ca="1" si="369"/>
        <v>202110</v>
      </c>
      <c r="AA1332" s="6">
        <f t="shared" ca="1" si="370"/>
        <v>2021</v>
      </c>
      <c r="AB1332" s="6">
        <f t="shared" ca="1" si="371"/>
        <v>10</v>
      </c>
      <c r="AC1332" s="68">
        <f ca="1">IFERROR(__xludf.DUMMYFUNCTION("""COMPUTED_VALUE"""),44478.9986111111)</f>
        <v>44478.998611111099</v>
      </c>
      <c r="AD1332" s="6">
        <f ca="1">IFERROR(__xludf.DUMMYFUNCTION("""COMPUTED_VALUE"""),1194.68)</f>
        <v>1194.68</v>
      </c>
      <c r="AH1332" s="6" t="str">
        <f t="shared" ca="1" si="372"/>
        <v>20218</v>
      </c>
      <c r="AI1332" s="6">
        <f t="shared" ca="1" si="373"/>
        <v>2021</v>
      </c>
      <c r="AJ1332" s="6">
        <f t="shared" ca="1" si="374"/>
        <v>8</v>
      </c>
      <c r="AK1332" s="68">
        <f ca="1">IFERROR(__xludf.DUMMYFUNCTION("""COMPUTED_VALUE"""),44425.9986111111)</f>
        <v>44425.998611111099</v>
      </c>
      <c r="AL1332" s="6">
        <f ca="1">IFERROR(__xludf.DUMMYFUNCTION("""COMPUTED_VALUE"""),44682.28)</f>
        <v>44682.28</v>
      </c>
      <c r="AP1332" s="6" t="str">
        <f t="shared" ca="1" si="375"/>
        <v>20234</v>
      </c>
      <c r="AQ1332" s="6">
        <f t="shared" ca="1" si="376"/>
        <v>2023</v>
      </c>
      <c r="AR1332" s="6">
        <f t="shared" ca="1" si="377"/>
        <v>4</v>
      </c>
      <c r="AS1332" s="68">
        <f ca="1">IFERROR(__xludf.DUMMYFUNCTION("""COMPUTED_VALUE"""),45040.9986111111)</f>
        <v>45040.998611111099</v>
      </c>
      <c r="AT1332" s="6">
        <f ca="1">IFERROR(__xludf.DUMMYFUNCTION("""COMPUTED_VALUE"""),1999.8)</f>
        <v>1999.8</v>
      </c>
    </row>
    <row r="1333" spans="2:46" x14ac:dyDescent="0.35">
      <c r="B1333" s="6" t="str">
        <f t="shared" ca="1" si="360"/>
        <v>20234</v>
      </c>
      <c r="C1333" s="6">
        <f t="shared" ca="1" si="361"/>
        <v>2023</v>
      </c>
      <c r="D1333" s="6">
        <f t="shared" ca="1" si="362"/>
        <v>4</v>
      </c>
      <c r="E1333" s="68">
        <f ca="1">IFERROR(__xludf.DUMMYFUNCTION("""COMPUTED_VALUE"""),45034.6666666666)</f>
        <v>45034.666666666599</v>
      </c>
      <c r="F1333" s="6">
        <f ca="1">IFERROR(__xludf.DUMMYFUNCTION("""COMPUTED_VALUE"""),4154.87)</f>
        <v>4154.87</v>
      </c>
      <c r="J1333" s="6" t="str">
        <f t="shared" ca="1" si="363"/>
        <v>20234</v>
      </c>
      <c r="K1333" s="6">
        <f t="shared" ca="1" si="364"/>
        <v>2023</v>
      </c>
      <c r="L1333" s="6">
        <f t="shared" ca="1" si="365"/>
        <v>4</v>
      </c>
      <c r="M1333" s="68">
        <f ca="1">IFERROR(__xludf.DUMMYFUNCTION("""COMPUTED_VALUE"""),45026.6666666666)</f>
        <v>45026.666666666599</v>
      </c>
      <c r="N1333" s="6">
        <f ca="1">IFERROR(__xludf.DUMMYFUNCTION("""COMPUTED_VALUE"""),12084.36)</f>
        <v>12084.36</v>
      </c>
      <c r="R1333" s="6" t="str">
        <f t="shared" ca="1" si="366"/>
        <v>20236</v>
      </c>
      <c r="S1333" s="6">
        <f t="shared" ca="1" si="367"/>
        <v>2023</v>
      </c>
      <c r="T1333" s="6">
        <f t="shared" ca="1" si="368"/>
        <v>6</v>
      </c>
      <c r="U1333" s="68">
        <f ca="1">IFERROR(__xludf.DUMMYFUNCTION("""COMPUTED_VALUE"""),45078.6458333333)</f>
        <v>45078.645833333299</v>
      </c>
      <c r="V1333" s="6">
        <f ca="1">IFERROR(__xludf.DUMMYFUNCTION("""COMPUTED_VALUE"""),2569.17)</f>
        <v>2569.17</v>
      </c>
      <c r="Z1333" s="6" t="str">
        <f t="shared" ca="1" si="369"/>
        <v>202110</v>
      </c>
      <c r="AA1333" s="6">
        <f t="shared" ca="1" si="370"/>
        <v>2021</v>
      </c>
      <c r="AB1333" s="6">
        <f t="shared" ca="1" si="371"/>
        <v>10</v>
      </c>
      <c r="AC1333" s="68">
        <f ca="1">IFERROR(__xludf.DUMMYFUNCTION("""COMPUTED_VALUE"""),44479.9986111111)</f>
        <v>44479.998611111099</v>
      </c>
      <c r="AD1333" s="6">
        <f ca="1">IFERROR(__xludf.DUMMYFUNCTION("""COMPUTED_VALUE"""),1195.58)</f>
        <v>1195.58</v>
      </c>
      <c r="AH1333" s="6" t="str">
        <f t="shared" ca="1" si="372"/>
        <v>20218</v>
      </c>
      <c r="AI1333" s="6">
        <f t="shared" ca="1" si="373"/>
        <v>2021</v>
      </c>
      <c r="AJ1333" s="6">
        <f t="shared" ca="1" si="374"/>
        <v>8</v>
      </c>
      <c r="AK1333" s="68">
        <f ca="1">IFERROR(__xludf.DUMMYFUNCTION("""COMPUTED_VALUE"""),44426.9986111111)</f>
        <v>44426.998611111099</v>
      </c>
      <c r="AL1333" s="6">
        <f ca="1">IFERROR(__xludf.DUMMYFUNCTION("""COMPUTED_VALUE"""),44747.16)</f>
        <v>44747.16</v>
      </c>
      <c r="AP1333" s="6" t="str">
        <f t="shared" ca="1" si="375"/>
        <v>20234</v>
      </c>
      <c r="AQ1333" s="6">
        <f t="shared" ca="1" si="376"/>
        <v>2023</v>
      </c>
      <c r="AR1333" s="6">
        <f t="shared" ca="1" si="377"/>
        <v>4</v>
      </c>
      <c r="AS1333" s="68">
        <f ca="1">IFERROR(__xludf.DUMMYFUNCTION("""COMPUTED_VALUE"""),45041.9986111111)</f>
        <v>45041.998611111099</v>
      </c>
      <c r="AT1333" s="6">
        <f ca="1">IFERROR(__xludf.DUMMYFUNCTION("""COMPUTED_VALUE"""),2004.5)</f>
        <v>2004.5</v>
      </c>
    </row>
    <row r="1334" spans="2:46" x14ac:dyDescent="0.35">
      <c r="B1334" s="6" t="str">
        <f t="shared" ca="1" si="360"/>
        <v>20234</v>
      </c>
      <c r="C1334" s="6">
        <f t="shared" ca="1" si="361"/>
        <v>2023</v>
      </c>
      <c r="D1334" s="6">
        <f t="shared" ca="1" si="362"/>
        <v>4</v>
      </c>
      <c r="E1334" s="68">
        <f ca="1">IFERROR(__xludf.DUMMYFUNCTION("""COMPUTED_VALUE"""),45035.6666666666)</f>
        <v>45035.666666666599</v>
      </c>
      <c r="F1334" s="6">
        <f ca="1">IFERROR(__xludf.DUMMYFUNCTION("""COMPUTED_VALUE"""),4154.52)</f>
        <v>4154.5200000000004</v>
      </c>
      <c r="J1334" s="6" t="str">
        <f t="shared" ca="1" si="363"/>
        <v>20234</v>
      </c>
      <c r="K1334" s="6">
        <f t="shared" ca="1" si="364"/>
        <v>2023</v>
      </c>
      <c r="L1334" s="6">
        <f t="shared" ca="1" si="365"/>
        <v>4</v>
      </c>
      <c r="M1334" s="68">
        <f ca="1">IFERROR(__xludf.DUMMYFUNCTION("""COMPUTED_VALUE"""),45027.6666666666)</f>
        <v>45027.666666666599</v>
      </c>
      <c r="N1334" s="6">
        <f ca="1">IFERROR(__xludf.DUMMYFUNCTION("""COMPUTED_VALUE"""),12031.88)</f>
        <v>12031.88</v>
      </c>
      <c r="R1334" s="6" t="str">
        <f t="shared" ca="1" si="366"/>
        <v>20236</v>
      </c>
      <c r="S1334" s="6">
        <f t="shared" ca="1" si="367"/>
        <v>2023</v>
      </c>
      <c r="T1334" s="6">
        <f t="shared" ca="1" si="368"/>
        <v>6</v>
      </c>
      <c r="U1334" s="68">
        <f ca="1">IFERROR(__xludf.DUMMYFUNCTION("""COMPUTED_VALUE"""),45079.6458333333)</f>
        <v>45079.645833333299</v>
      </c>
      <c r="V1334" s="6">
        <f ca="1">IFERROR(__xludf.DUMMYFUNCTION("""COMPUTED_VALUE"""),2601.36)</f>
        <v>2601.36</v>
      </c>
      <c r="Z1334" s="6" t="str">
        <f t="shared" ca="1" si="369"/>
        <v>202110</v>
      </c>
      <c r="AA1334" s="6">
        <f t="shared" ca="1" si="370"/>
        <v>2021</v>
      </c>
      <c r="AB1334" s="6">
        <f t="shared" ca="1" si="371"/>
        <v>10</v>
      </c>
      <c r="AC1334" s="68">
        <f ca="1">IFERROR(__xludf.DUMMYFUNCTION("""COMPUTED_VALUE"""),44480.9986111111)</f>
        <v>44480.998611111099</v>
      </c>
      <c r="AD1334" s="6">
        <f ca="1">IFERROR(__xludf.DUMMYFUNCTION("""COMPUTED_VALUE"""),1195.8)</f>
        <v>1195.8</v>
      </c>
      <c r="AH1334" s="6" t="str">
        <f t="shared" ca="1" si="372"/>
        <v>20218</v>
      </c>
      <c r="AI1334" s="6">
        <f t="shared" ca="1" si="373"/>
        <v>2021</v>
      </c>
      <c r="AJ1334" s="6">
        <f t="shared" ca="1" si="374"/>
        <v>8</v>
      </c>
      <c r="AK1334" s="68">
        <f ca="1">IFERROR(__xludf.DUMMYFUNCTION("""COMPUTED_VALUE"""),44427.9986111111)</f>
        <v>44427.998611111099</v>
      </c>
      <c r="AL1334" s="6">
        <f ca="1">IFERROR(__xludf.DUMMYFUNCTION("""COMPUTED_VALUE"""),46759.82)</f>
        <v>46759.82</v>
      </c>
      <c r="AP1334" s="6" t="str">
        <f t="shared" ca="1" si="375"/>
        <v>20234</v>
      </c>
      <c r="AQ1334" s="6">
        <f t="shared" ca="1" si="376"/>
        <v>2023</v>
      </c>
      <c r="AR1334" s="6">
        <f t="shared" ca="1" si="377"/>
        <v>4</v>
      </c>
      <c r="AS1334" s="68">
        <f ca="1">IFERROR(__xludf.DUMMYFUNCTION("""COMPUTED_VALUE"""),45042.9986111111)</f>
        <v>45042.998611111099</v>
      </c>
      <c r="AT1334" s="6">
        <f ca="1">IFERROR(__xludf.DUMMYFUNCTION("""COMPUTED_VALUE"""),1996)</f>
        <v>1996</v>
      </c>
    </row>
    <row r="1335" spans="2:46" x14ac:dyDescent="0.35">
      <c r="B1335" s="6" t="str">
        <f t="shared" ca="1" si="360"/>
        <v>20234</v>
      </c>
      <c r="C1335" s="6">
        <f t="shared" ca="1" si="361"/>
        <v>2023</v>
      </c>
      <c r="D1335" s="6">
        <f t="shared" ca="1" si="362"/>
        <v>4</v>
      </c>
      <c r="E1335" s="68">
        <f ca="1">IFERROR(__xludf.DUMMYFUNCTION("""COMPUTED_VALUE"""),45036.6666666666)</f>
        <v>45036.666666666599</v>
      </c>
      <c r="F1335" s="6">
        <f ca="1">IFERROR(__xludf.DUMMYFUNCTION("""COMPUTED_VALUE"""),4129.79)</f>
        <v>4129.79</v>
      </c>
      <c r="J1335" s="6" t="str">
        <f t="shared" ca="1" si="363"/>
        <v>20234</v>
      </c>
      <c r="K1335" s="6">
        <f t="shared" ca="1" si="364"/>
        <v>2023</v>
      </c>
      <c r="L1335" s="6">
        <f t="shared" ca="1" si="365"/>
        <v>4</v>
      </c>
      <c r="M1335" s="68">
        <f ca="1">IFERROR(__xludf.DUMMYFUNCTION("""COMPUTED_VALUE"""),45028.6666666666)</f>
        <v>45028.666666666599</v>
      </c>
      <c r="N1335" s="6">
        <f ca="1">IFERROR(__xludf.DUMMYFUNCTION("""COMPUTED_VALUE"""),11929.34)</f>
        <v>11929.34</v>
      </c>
      <c r="R1335" s="6" t="str">
        <f t="shared" ca="1" si="366"/>
        <v>20236</v>
      </c>
      <c r="S1335" s="6">
        <f t="shared" ca="1" si="367"/>
        <v>2023</v>
      </c>
      <c r="T1335" s="6">
        <f t="shared" ca="1" si="368"/>
        <v>6</v>
      </c>
      <c r="U1335" s="68">
        <f ca="1">IFERROR(__xludf.DUMMYFUNCTION("""COMPUTED_VALUE"""),45082.6458333333)</f>
        <v>45082.645833333299</v>
      </c>
      <c r="V1335" s="6">
        <f ca="1">IFERROR(__xludf.DUMMYFUNCTION("""COMPUTED_VALUE"""),2615.41)</f>
        <v>2615.41</v>
      </c>
      <c r="Z1335" s="6" t="str">
        <f t="shared" ca="1" si="369"/>
        <v>202110</v>
      </c>
      <c r="AA1335" s="6">
        <f t="shared" ca="1" si="370"/>
        <v>2021</v>
      </c>
      <c r="AB1335" s="6">
        <f t="shared" ca="1" si="371"/>
        <v>10</v>
      </c>
      <c r="AC1335" s="68">
        <f ca="1">IFERROR(__xludf.DUMMYFUNCTION("""COMPUTED_VALUE"""),44481.9986111111)</f>
        <v>44481.998611111099</v>
      </c>
      <c r="AD1335" s="6">
        <f ca="1">IFERROR(__xludf.DUMMYFUNCTION("""COMPUTED_VALUE"""),1196.89)</f>
        <v>1196.8900000000001</v>
      </c>
      <c r="AH1335" s="6" t="str">
        <f t="shared" ca="1" si="372"/>
        <v>20218</v>
      </c>
      <c r="AI1335" s="6">
        <f t="shared" ca="1" si="373"/>
        <v>2021</v>
      </c>
      <c r="AJ1335" s="6">
        <f t="shared" ca="1" si="374"/>
        <v>8</v>
      </c>
      <c r="AK1335" s="68">
        <f ca="1">IFERROR(__xludf.DUMMYFUNCTION("""COMPUTED_VALUE"""),44428.9986111111)</f>
        <v>44428.998611111099</v>
      </c>
      <c r="AL1335" s="6">
        <f ca="1">IFERROR(__xludf.DUMMYFUNCTION("""COMPUTED_VALUE"""),49328.58)</f>
        <v>49328.58</v>
      </c>
      <c r="AP1335" s="6" t="str">
        <f t="shared" ca="1" si="375"/>
        <v>20234</v>
      </c>
      <c r="AQ1335" s="6">
        <f t="shared" ca="1" si="376"/>
        <v>2023</v>
      </c>
      <c r="AR1335" s="6">
        <f t="shared" ca="1" si="377"/>
        <v>4</v>
      </c>
      <c r="AS1335" s="68">
        <f ca="1">IFERROR(__xludf.DUMMYFUNCTION("""COMPUTED_VALUE"""),45043.9986111111)</f>
        <v>45043.998611111099</v>
      </c>
      <c r="AT1335" s="6">
        <f ca="1">IFERROR(__xludf.DUMMYFUNCTION("""COMPUTED_VALUE"""),1999)</f>
        <v>1999</v>
      </c>
    </row>
    <row r="1336" spans="2:46" x14ac:dyDescent="0.35">
      <c r="B1336" s="6" t="str">
        <f t="shared" ca="1" si="360"/>
        <v>20234</v>
      </c>
      <c r="C1336" s="6">
        <f t="shared" ca="1" si="361"/>
        <v>2023</v>
      </c>
      <c r="D1336" s="6">
        <f t="shared" ca="1" si="362"/>
        <v>4</v>
      </c>
      <c r="E1336" s="68">
        <f ca="1">IFERROR(__xludf.DUMMYFUNCTION("""COMPUTED_VALUE"""),45037.6666666666)</f>
        <v>45037.666666666599</v>
      </c>
      <c r="F1336" s="6">
        <f ca="1">IFERROR(__xludf.DUMMYFUNCTION("""COMPUTED_VALUE"""),4133.52)</f>
        <v>4133.5200000000004</v>
      </c>
      <c r="J1336" s="6" t="str">
        <f t="shared" ca="1" si="363"/>
        <v>20234</v>
      </c>
      <c r="K1336" s="6">
        <f t="shared" ca="1" si="364"/>
        <v>2023</v>
      </c>
      <c r="L1336" s="6">
        <f t="shared" ca="1" si="365"/>
        <v>4</v>
      </c>
      <c r="M1336" s="68">
        <f ca="1">IFERROR(__xludf.DUMMYFUNCTION("""COMPUTED_VALUE"""),45029.6666666666)</f>
        <v>45029.666666666599</v>
      </c>
      <c r="N1336" s="6">
        <f ca="1">IFERROR(__xludf.DUMMYFUNCTION("""COMPUTED_VALUE"""),12166.27)</f>
        <v>12166.27</v>
      </c>
      <c r="R1336" s="6" t="str">
        <f t="shared" ca="1" si="366"/>
        <v>20236</v>
      </c>
      <c r="S1336" s="6">
        <f t="shared" ca="1" si="367"/>
        <v>2023</v>
      </c>
      <c r="T1336" s="6">
        <f t="shared" ca="1" si="368"/>
        <v>6</v>
      </c>
      <c r="U1336" s="68">
        <f ca="1">IFERROR(__xludf.DUMMYFUNCTION("""COMPUTED_VALUE"""),45084.6458333333)</f>
        <v>45084.645833333299</v>
      </c>
      <c r="V1336" s="6">
        <f ca="1">IFERROR(__xludf.DUMMYFUNCTION("""COMPUTED_VALUE"""),2615.6)</f>
        <v>2615.6</v>
      </c>
      <c r="Z1336" s="6" t="str">
        <f t="shared" ca="1" si="369"/>
        <v>202110</v>
      </c>
      <c r="AA1336" s="6">
        <f t="shared" ca="1" si="370"/>
        <v>2021</v>
      </c>
      <c r="AB1336" s="6">
        <f t="shared" ca="1" si="371"/>
        <v>10</v>
      </c>
      <c r="AC1336" s="68">
        <f ca="1">IFERROR(__xludf.DUMMYFUNCTION("""COMPUTED_VALUE"""),44482.9986111111)</f>
        <v>44482.998611111099</v>
      </c>
      <c r="AD1336" s="6">
        <f ca="1">IFERROR(__xludf.DUMMYFUNCTION("""COMPUTED_VALUE"""),1186.71)</f>
        <v>1186.71</v>
      </c>
      <c r="AH1336" s="6" t="str">
        <f t="shared" ca="1" si="372"/>
        <v>20218</v>
      </c>
      <c r="AI1336" s="6">
        <f t="shared" ca="1" si="373"/>
        <v>2021</v>
      </c>
      <c r="AJ1336" s="6">
        <f t="shared" ca="1" si="374"/>
        <v>8</v>
      </c>
      <c r="AK1336" s="68">
        <f ca="1">IFERROR(__xludf.DUMMYFUNCTION("""COMPUTED_VALUE"""),44429.9986111111)</f>
        <v>44429.998611111099</v>
      </c>
      <c r="AL1336" s="6">
        <f ca="1">IFERROR(__xludf.DUMMYFUNCTION("""COMPUTED_VALUE"""),48880.96)</f>
        <v>48880.959999999999</v>
      </c>
      <c r="AP1336" s="6" t="str">
        <f t="shared" ca="1" si="375"/>
        <v>20234</v>
      </c>
      <c r="AQ1336" s="6">
        <f t="shared" ca="1" si="376"/>
        <v>2023</v>
      </c>
      <c r="AR1336" s="6">
        <f t="shared" ca="1" si="377"/>
        <v>4</v>
      </c>
      <c r="AS1336" s="68">
        <f ca="1">IFERROR(__xludf.DUMMYFUNCTION("""COMPUTED_VALUE"""),45044.9986111111)</f>
        <v>45044.998611111099</v>
      </c>
      <c r="AT1336" s="6">
        <f ca="1">IFERROR(__xludf.DUMMYFUNCTION("""COMPUTED_VALUE"""),1999.1)</f>
        <v>1999.1</v>
      </c>
    </row>
    <row r="1337" spans="2:46" x14ac:dyDescent="0.35">
      <c r="B1337" s="6" t="str">
        <f t="shared" ca="1" si="360"/>
        <v>20234</v>
      </c>
      <c r="C1337" s="6">
        <f t="shared" ca="1" si="361"/>
        <v>2023</v>
      </c>
      <c r="D1337" s="6">
        <f t="shared" ca="1" si="362"/>
        <v>4</v>
      </c>
      <c r="E1337" s="68">
        <f ca="1">IFERROR(__xludf.DUMMYFUNCTION("""COMPUTED_VALUE"""),45040.6666666666)</f>
        <v>45040.666666666599</v>
      </c>
      <c r="F1337" s="6">
        <f ca="1">IFERROR(__xludf.DUMMYFUNCTION("""COMPUTED_VALUE"""),4137.04)</f>
        <v>4137.04</v>
      </c>
      <c r="J1337" s="6" t="str">
        <f t="shared" ca="1" si="363"/>
        <v>20234</v>
      </c>
      <c r="K1337" s="6">
        <f t="shared" ca="1" si="364"/>
        <v>2023</v>
      </c>
      <c r="L1337" s="6">
        <f t="shared" ca="1" si="365"/>
        <v>4</v>
      </c>
      <c r="M1337" s="68">
        <f ca="1">IFERROR(__xludf.DUMMYFUNCTION("""COMPUTED_VALUE"""),45030.6666666666)</f>
        <v>45030.666666666599</v>
      </c>
      <c r="N1337" s="6">
        <f ca="1">IFERROR(__xludf.DUMMYFUNCTION("""COMPUTED_VALUE"""),12123.47)</f>
        <v>12123.47</v>
      </c>
      <c r="R1337" s="6" t="str">
        <f t="shared" ca="1" si="366"/>
        <v>20236</v>
      </c>
      <c r="S1337" s="6">
        <f t="shared" ca="1" si="367"/>
        <v>2023</v>
      </c>
      <c r="T1337" s="6">
        <f t="shared" ca="1" si="368"/>
        <v>6</v>
      </c>
      <c r="U1337" s="68">
        <f ca="1">IFERROR(__xludf.DUMMYFUNCTION("""COMPUTED_VALUE"""),45085.6458333333)</f>
        <v>45085.645833333299</v>
      </c>
      <c r="V1337" s="6">
        <f ca="1">IFERROR(__xludf.DUMMYFUNCTION("""COMPUTED_VALUE"""),2610.85)</f>
        <v>2610.85</v>
      </c>
      <c r="Z1337" s="6" t="str">
        <f t="shared" ca="1" si="369"/>
        <v>202110</v>
      </c>
      <c r="AA1337" s="6">
        <f t="shared" ca="1" si="370"/>
        <v>2021</v>
      </c>
      <c r="AB1337" s="6">
        <f t="shared" ca="1" si="371"/>
        <v>10</v>
      </c>
      <c r="AC1337" s="68">
        <f ca="1">IFERROR(__xludf.DUMMYFUNCTION("""COMPUTED_VALUE"""),44483.9986111111)</f>
        <v>44483.998611111099</v>
      </c>
      <c r="AD1337" s="6">
        <f ca="1">IFERROR(__xludf.DUMMYFUNCTION("""COMPUTED_VALUE"""),1182.13)</f>
        <v>1182.1300000000001</v>
      </c>
      <c r="AH1337" s="6" t="str">
        <f t="shared" ca="1" si="372"/>
        <v>20218</v>
      </c>
      <c r="AI1337" s="6">
        <f t="shared" ca="1" si="373"/>
        <v>2021</v>
      </c>
      <c r="AJ1337" s="6">
        <f t="shared" ca="1" si="374"/>
        <v>8</v>
      </c>
      <c r="AK1337" s="68">
        <f ca="1">IFERROR(__xludf.DUMMYFUNCTION("""COMPUTED_VALUE"""),44430.9986111111)</f>
        <v>44430.998611111099</v>
      </c>
      <c r="AL1337" s="6">
        <f ca="1">IFERROR(__xludf.DUMMYFUNCTION("""COMPUTED_VALUE"""),49280.35)</f>
        <v>49280.35</v>
      </c>
      <c r="AP1337" s="6" t="str">
        <f t="shared" ca="1" si="375"/>
        <v>20235</v>
      </c>
      <c r="AQ1337" s="6">
        <f t="shared" ca="1" si="376"/>
        <v>2023</v>
      </c>
      <c r="AR1337" s="6">
        <f t="shared" ca="1" si="377"/>
        <v>5</v>
      </c>
      <c r="AS1337" s="68">
        <f ca="1">IFERROR(__xludf.DUMMYFUNCTION("""COMPUTED_VALUE"""),45047.9986111111)</f>
        <v>45047.998611111099</v>
      </c>
      <c r="AT1337" s="6">
        <f ca="1">IFERROR(__xludf.DUMMYFUNCTION("""COMPUTED_VALUE"""),1992.2)</f>
        <v>1992.2</v>
      </c>
    </row>
    <row r="1338" spans="2:46" x14ac:dyDescent="0.35">
      <c r="B1338" s="6" t="str">
        <f t="shared" ca="1" si="360"/>
        <v>20234</v>
      </c>
      <c r="C1338" s="6">
        <f t="shared" ca="1" si="361"/>
        <v>2023</v>
      </c>
      <c r="D1338" s="6">
        <f t="shared" ca="1" si="362"/>
        <v>4</v>
      </c>
      <c r="E1338" s="68">
        <f ca="1">IFERROR(__xludf.DUMMYFUNCTION("""COMPUTED_VALUE"""),45041.6666666666)</f>
        <v>45041.666666666599</v>
      </c>
      <c r="F1338" s="6">
        <f ca="1">IFERROR(__xludf.DUMMYFUNCTION("""COMPUTED_VALUE"""),4071.63)</f>
        <v>4071.63</v>
      </c>
      <c r="J1338" s="6" t="str">
        <f t="shared" ca="1" si="363"/>
        <v>20234</v>
      </c>
      <c r="K1338" s="6">
        <f t="shared" ca="1" si="364"/>
        <v>2023</v>
      </c>
      <c r="L1338" s="6">
        <f t="shared" ca="1" si="365"/>
        <v>4</v>
      </c>
      <c r="M1338" s="68">
        <f ca="1">IFERROR(__xludf.DUMMYFUNCTION("""COMPUTED_VALUE"""),45033.6666666666)</f>
        <v>45033.666666666599</v>
      </c>
      <c r="N1338" s="6">
        <f ca="1">IFERROR(__xludf.DUMMYFUNCTION("""COMPUTED_VALUE"""),12157.72)</f>
        <v>12157.72</v>
      </c>
      <c r="R1338" s="6" t="str">
        <f t="shared" ca="1" si="366"/>
        <v>20236</v>
      </c>
      <c r="S1338" s="6">
        <f t="shared" ca="1" si="367"/>
        <v>2023</v>
      </c>
      <c r="T1338" s="6">
        <f t="shared" ca="1" si="368"/>
        <v>6</v>
      </c>
      <c r="U1338" s="68">
        <f ca="1">IFERROR(__xludf.DUMMYFUNCTION("""COMPUTED_VALUE"""),45086.6458333333)</f>
        <v>45086.645833333299</v>
      </c>
      <c r="V1338" s="6">
        <f ca="1">IFERROR(__xludf.DUMMYFUNCTION("""COMPUTED_VALUE"""),2641.16)</f>
        <v>2641.16</v>
      </c>
      <c r="Z1338" s="6" t="str">
        <f t="shared" ca="1" si="369"/>
        <v>202110</v>
      </c>
      <c r="AA1338" s="6">
        <f t="shared" ca="1" si="370"/>
        <v>2021</v>
      </c>
      <c r="AB1338" s="6">
        <f t="shared" ca="1" si="371"/>
        <v>10</v>
      </c>
      <c r="AC1338" s="68">
        <f ca="1">IFERROR(__xludf.DUMMYFUNCTION("""COMPUTED_VALUE"""),44484.9986111111)</f>
        <v>44484.998611111099</v>
      </c>
      <c r="AD1338" s="6">
        <f ca="1">IFERROR(__xludf.DUMMYFUNCTION("""COMPUTED_VALUE"""),1181.69)</f>
        <v>1181.69</v>
      </c>
      <c r="AH1338" s="6" t="str">
        <f t="shared" ca="1" si="372"/>
        <v>20218</v>
      </c>
      <c r="AI1338" s="6">
        <f t="shared" ca="1" si="373"/>
        <v>2021</v>
      </c>
      <c r="AJ1338" s="6">
        <f t="shared" ca="1" si="374"/>
        <v>8</v>
      </c>
      <c r="AK1338" s="68">
        <f ca="1">IFERROR(__xludf.DUMMYFUNCTION("""COMPUTED_VALUE"""),44431.9986111111)</f>
        <v>44431.998611111099</v>
      </c>
      <c r="AL1338" s="6">
        <f ca="1">IFERROR(__xludf.DUMMYFUNCTION("""COMPUTED_VALUE"""),49538.76)</f>
        <v>49538.76</v>
      </c>
      <c r="AP1338" s="6" t="str">
        <f t="shared" ca="1" si="375"/>
        <v>20235</v>
      </c>
      <c r="AQ1338" s="6">
        <f t="shared" ca="1" si="376"/>
        <v>2023</v>
      </c>
      <c r="AR1338" s="6">
        <f t="shared" ca="1" si="377"/>
        <v>5</v>
      </c>
      <c r="AS1338" s="68">
        <f ca="1">IFERROR(__xludf.DUMMYFUNCTION("""COMPUTED_VALUE"""),45048.9986111111)</f>
        <v>45048.998611111099</v>
      </c>
      <c r="AT1338" s="6">
        <f ca="1">IFERROR(__xludf.DUMMYFUNCTION("""COMPUTED_VALUE"""),2023.3)</f>
        <v>2023.3</v>
      </c>
    </row>
    <row r="1339" spans="2:46" x14ac:dyDescent="0.35">
      <c r="B1339" s="6" t="str">
        <f t="shared" ca="1" si="360"/>
        <v>20234</v>
      </c>
      <c r="C1339" s="6">
        <f t="shared" ca="1" si="361"/>
        <v>2023</v>
      </c>
      <c r="D1339" s="6">
        <f t="shared" ca="1" si="362"/>
        <v>4</v>
      </c>
      <c r="E1339" s="68">
        <f ca="1">IFERROR(__xludf.DUMMYFUNCTION("""COMPUTED_VALUE"""),45042.6666666666)</f>
        <v>45042.666666666599</v>
      </c>
      <c r="F1339" s="6">
        <f ca="1">IFERROR(__xludf.DUMMYFUNCTION("""COMPUTED_VALUE"""),4055.99)</f>
        <v>4055.99</v>
      </c>
      <c r="J1339" s="6" t="str">
        <f t="shared" ca="1" si="363"/>
        <v>20234</v>
      </c>
      <c r="K1339" s="6">
        <f t="shared" ca="1" si="364"/>
        <v>2023</v>
      </c>
      <c r="L1339" s="6">
        <f t="shared" ca="1" si="365"/>
        <v>4</v>
      </c>
      <c r="M1339" s="68">
        <f ca="1">IFERROR(__xludf.DUMMYFUNCTION("""COMPUTED_VALUE"""),45034.6666666666)</f>
        <v>45034.666666666599</v>
      </c>
      <c r="N1339" s="6">
        <f ca="1">IFERROR(__xludf.DUMMYFUNCTION("""COMPUTED_VALUE"""),12153.41)</f>
        <v>12153.41</v>
      </c>
      <c r="R1339" s="6" t="str">
        <f t="shared" ca="1" si="366"/>
        <v>20236</v>
      </c>
      <c r="S1339" s="6">
        <f t="shared" ca="1" si="367"/>
        <v>2023</v>
      </c>
      <c r="T1339" s="6">
        <f t="shared" ca="1" si="368"/>
        <v>6</v>
      </c>
      <c r="U1339" s="68">
        <f ca="1">IFERROR(__xludf.DUMMYFUNCTION("""COMPUTED_VALUE"""),45089.6458333333)</f>
        <v>45089.645833333299</v>
      </c>
      <c r="V1339" s="6">
        <f ca="1">IFERROR(__xludf.DUMMYFUNCTION("""COMPUTED_VALUE"""),2629.35)</f>
        <v>2629.35</v>
      </c>
      <c r="Z1339" s="6" t="str">
        <f t="shared" ca="1" si="369"/>
        <v>202110</v>
      </c>
      <c r="AA1339" s="6">
        <f t="shared" ca="1" si="370"/>
        <v>2021</v>
      </c>
      <c r="AB1339" s="6">
        <f t="shared" ca="1" si="371"/>
        <v>10</v>
      </c>
      <c r="AC1339" s="68">
        <f ca="1">IFERROR(__xludf.DUMMYFUNCTION("""COMPUTED_VALUE"""),44485.9986111111)</f>
        <v>44485.998611111099</v>
      </c>
      <c r="AD1339" s="6">
        <f ca="1">IFERROR(__xludf.DUMMYFUNCTION("""COMPUTED_VALUE"""),1181.69)</f>
        <v>1181.69</v>
      </c>
      <c r="AH1339" s="6" t="str">
        <f t="shared" ca="1" si="372"/>
        <v>20218</v>
      </c>
      <c r="AI1339" s="6">
        <f t="shared" ca="1" si="373"/>
        <v>2021</v>
      </c>
      <c r="AJ1339" s="6">
        <f t="shared" ca="1" si="374"/>
        <v>8</v>
      </c>
      <c r="AK1339" s="68">
        <f ca="1">IFERROR(__xludf.DUMMYFUNCTION("""COMPUTED_VALUE"""),44432.9986111111)</f>
        <v>44432.998611111099</v>
      </c>
      <c r="AL1339" s="6">
        <f ca="1">IFERROR(__xludf.DUMMYFUNCTION("""COMPUTED_VALUE"""),47720.25)</f>
        <v>47720.25</v>
      </c>
      <c r="AP1339" s="6" t="str">
        <f t="shared" ca="1" si="375"/>
        <v>20235</v>
      </c>
      <c r="AQ1339" s="6">
        <f t="shared" ca="1" si="376"/>
        <v>2023</v>
      </c>
      <c r="AR1339" s="6">
        <f t="shared" ca="1" si="377"/>
        <v>5</v>
      </c>
      <c r="AS1339" s="68">
        <f ca="1">IFERROR(__xludf.DUMMYFUNCTION("""COMPUTED_VALUE"""),45049.9986111111)</f>
        <v>45049.998611111099</v>
      </c>
      <c r="AT1339" s="6">
        <f ca="1">IFERROR(__xludf.DUMMYFUNCTION("""COMPUTED_VALUE"""),2037)</f>
        <v>2037</v>
      </c>
    </row>
    <row r="1340" spans="2:46" x14ac:dyDescent="0.35">
      <c r="B1340" s="6" t="str">
        <f t="shared" ca="1" si="360"/>
        <v>20234</v>
      </c>
      <c r="C1340" s="6">
        <f t="shared" ca="1" si="361"/>
        <v>2023</v>
      </c>
      <c r="D1340" s="6">
        <f t="shared" ca="1" si="362"/>
        <v>4</v>
      </c>
      <c r="E1340" s="68">
        <f ca="1">IFERROR(__xludf.DUMMYFUNCTION("""COMPUTED_VALUE"""),45043.6666666666)</f>
        <v>45043.666666666599</v>
      </c>
      <c r="F1340" s="6">
        <f ca="1">IFERROR(__xludf.DUMMYFUNCTION("""COMPUTED_VALUE"""),4135.35)</f>
        <v>4135.3500000000004</v>
      </c>
      <c r="J1340" s="6" t="str">
        <f t="shared" ca="1" si="363"/>
        <v>20234</v>
      </c>
      <c r="K1340" s="6">
        <f t="shared" ca="1" si="364"/>
        <v>2023</v>
      </c>
      <c r="L1340" s="6">
        <f t="shared" ca="1" si="365"/>
        <v>4</v>
      </c>
      <c r="M1340" s="68">
        <f ca="1">IFERROR(__xludf.DUMMYFUNCTION("""COMPUTED_VALUE"""),45035.6666666666)</f>
        <v>45035.666666666599</v>
      </c>
      <c r="N1340" s="6">
        <f ca="1">IFERROR(__xludf.DUMMYFUNCTION("""COMPUTED_VALUE"""),12157.23)</f>
        <v>12157.23</v>
      </c>
      <c r="R1340" s="6" t="str">
        <f t="shared" ca="1" si="366"/>
        <v>20236</v>
      </c>
      <c r="S1340" s="6">
        <f t="shared" ca="1" si="367"/>
        <v>2023</v>
      </c>
      <c r="T1340" s="6">
        <f t="shared" ca="1" si="368"/>
        <v>6</v>
      </c>
      <c r="U1340" s="68">
        <f ca="1">IFERROR(__xludf.DUMMYFUNCTION("""COMPUTED_VALUE"""),45090.6458333333)</f>
        <v>45090.645833333299</v>
      </c>
      <c r="V1340" s="6">
        <f ca="1">IFERROR(__xludf.DUMMYFUNCTION("""COMPUTED_VALUE"""),2637.95)</f>
        <v>2637.95</v>
      </c>
      <c r="Z1340" s="6" t="str">
        <f t="shared" ca="1" si="369"/>
        <v>202110</v>
      </c>
      <c r="AA1340" s="6">
        <f t="shared" ca="1" si="370"/>
        <v>2021</v>
      </c>
      <c r="AB1340" s="6">
        <f t="shared" ca="1" si="371"/>
        <v>10</v>
      </c>
      <c r="AC1340" s="68">
        <f ca="1">IFERROR(__xludf.DUMMYFUNCTION("""COMPUTED_VALUE"""),44486.9986111111)</f>
        <v>44486.998611111099</v>
      </c>
      <c r="AD1340" s="6">
        <f ca="1">IFERROR(__xludf.DUMMYFUNCTION("""COMPUTED_VALUE"""),1181.79)</f>
        <v>1181.79</v>
      </c>
      <c r="AH1340" s="6" t="str">
        <f t="shared" ca="1" si="372"/>
        <v>20218</v>
      </c>
      <c r="AI1340" s="6">
        <f t="shared" ca="1" si="373"/>
        <v>2021</v>
      </c>
      <c r="AJ1340" s="6">
        <f t="shared" ca="1" si="374"/>
        <v>8</v>
      </c>
      <c r="AK1340" s="68">
        <f ca="1">IFERROR(__xludf.DUMMYFUNCTION("""COMPUTED_VALUE"""),44433.9986111111)</f>
        <v>44433.998611111099</v>
      </c>
      <c r="AL1340" s="6">
        <f ca="1">IFERROR(__xludf.DUMMYFUNCTION("""COMPUTED_VALUE"""),49001.23)</f>
        <v>49001.23</v>
      </c>
      <c r="AP1340" s="6" t="str">
        <f t="shared" ca="1" si="375"/>
        <v>20235</v>
      </c>
      <c r="AQ1340" s="6">
        <f t="shared" ca="1" si="376"/>
        <v>2023</v>
      </c>
      <c r="AR1340" s="6">
        <f t="shared" ca="1" si="377"/>
        <v>5</v>
      </c>
      <c r="AS1340" s="68">
        <f ca="1">IFERROR(__xludf.DUMMYFUNCTION("""COMPUTED_VALUE"""),45050.9986111111)</f>
        <v>45050.998611111099</v>
      </c>
      <c r="AT1340" s="6">
        <f ca="1">IFERROR(__xludf.DUMMYFUNCTION("""COMPUTED_VALUE"""),2055.7)</f>
        <v>2055.6999999999998</v>
      </c>
    </row>
    <row r="1341" spans="2:46" x14ac:dyDescent="0.35">
      <c r="B1341" s="6" t="str">
        <f t="shared" ca="1" si="360"/>
        <v>20234</v>
      </c>
      <c r="C1341" s="6">
        <f t="shared" ca="1" si="361"/>
        <v>2023</v>
      </c>
      <c r="D1341" s="6">
        <f t="shared" ca="1" si="362"/>
        <v>4</v>
      </c>
      <c r="E1341" s="68">
        <f ca="1">IFERROR(__xludf.DUMMYFUNCTION("""COMPUTED_VALUE"""),45044.6666666666)</f>
        <v>45044.666666666599</v>
      </c>
      <c r="F1341" s="6">
        <f ca="1">IFERROR(__xludf.DUMMYFUNCTION("""COMPUTED_VALUE"""),4169.48)</f>
        <v>4169.4799999999996</v>
      </c>
      <c r="J1341" s="6" t="str">
        <f t="shared" ca="1" si="363"/>
        <v>20234</v>
      </c>
      <c r="K1341" s="6">
        <f t="shared" ca="1" si="364"/>
        <v>2023</v>
      </c>
      <c r="L1341" s="6">
        <f t="shared" ca="1" si="365"/>
        <v>4</v>
      </c>
      <c r="M1341" s="68">
        <f ca="1">IFERROR(__xludf.DUMMYFUNCTION("""COMPUTED_VALUE"""),45036.6666666666)</f>
        <v>45036.666666666599</v>
      </c>
      <c r="N1341" s="6">
        <f ca="1">IFERROR(__xludf.DUMMYFUNCTION("""COMPUTED_VALUE"""),12059.56)</f>
        <v>12059.56</v>
      </c>
      <c r="R1341" s="6" t="str">
        <f t="shared" ca="1" si="366"/>
        <v>20236</v>
      </c>
      <c r="S1341" s="6">
        <f t="shared" ca="1" si="367"/>
        <v>2023</v>
      </c>
      <c r="T1341" s="6">
        <f t="shared" ca="1" si="368"/>
        <v>6</v>
      </c>
      <c r="U1341" s="68">
        <f ca="1">IFERROR(__xludf.DUMMYFUNCTION("""COMPUTED_VALUE"""),45091.6458333333)</f>
        <v>45091.645833333299</v>
      </c>
      <c r="V1341" s="6">
        <f ca="1">IFERROR(__xludf.DUMMYFUNCTION("""COMPUTED_VALUE"""),2619.08)</f>
        <v>2619.08</v>
      </c>
      <c r="Z1341" s="6" t="str">
        <f t="shared" ca="1" si="369"/>
        <v>202110</v>
      </c>
      <c r="AA1341" s="6">
        <f t="shared" ca="1" si="370"/>
        <v>2021</v>
      </c>
      <c r="AB1341" s="6">
        <f t="shared" ca="1" si="371"/>
        <v>10</v>
      </c>
      <c r="AC1341" s="68">
        <f ca="1">IFERROR(__xludf.DUMMYFUNCTION("""COMPUTED_VALUE"""),44487.9986111111)</f>
        <v>44487.998611111099</v>
      </c>
      <c r="AD1341" s="6">
        <f ca="1">IFERROR(__xludf.DUMMYFUNCTION("""COMPUTED_VALUE"""),1185.68)</f>
        <v>1185.68</v>
      </c>
      <c r="AH1341" s="6" t="str">
        <f t="shared" ca="1" si="372"/>
        <v>20218</v>
      </c>
      <c r="AI1341" s="6">
        <f t="shared" ca="1" si="373"/>
        <v>2021</v>
      </c>
      <c r="AJ1341" s="6">
        <f t="shared" ca="1" si="374"/>
        <v>8</v>
      </c>
      <c r="AK1341" s="68">
        <f ca="1">IFERROR(__xludf.DUMMYFUNCTION("""COMPUTED_VALUE"""),44434.9986111111)</f>
        <v>44434.998611111099</v>
      </c>
      <c r="AL1341" s="6">
        <f ca="1">IFERROR(__xludf.DUMMYFUNCTION("""COMPUTED_VALUE"""),46855.93)</f>
        <v>46855.93</v>
      </c>
      <c r="AP1341" s="6" t="str">
        <f t="shared" ca="1" si="375"/>
        <v>20235</v>
      </c>
      <c r="AQ1341" s="6">
        <f t="shared" ca="1" si="376"/>
        <v>2023</v>
      </c>
      <c r="AR1341" s="6">
        <f t="shared" ca="1" si="377"/>
        <v>5</v>
      </c>
      <c r="AS1341" s="68">
        <f ca="1">IFERROR(__xludf.DUMMYFUNCTION("""COMPUTED_VALUE"""),45051.9986111111)</f>
        <v>45051.998611111099</v>
      </c>
      <c r="AT1341" s="6">
        <f ca="1">IFERROR(__xludf.DUMMYFUNCTION("""COMPUTED_VALUE"""),2024.8)</f>
        <v>2024.8</v>
      </c>
    </row>
    <row r="1342" spans="2:46" x14ac:dyDescent="0.35">
      <c r="B1342" s="6" t="str">
        <f t="shared" ca="1" si="360"/>
        <v>20235</v>
      </c>
      <c r="C1342" s="6">
        <f t="shared" ca="1" si="361"/>
        <v>2023</v>
      </c>
      <c r="D1342" s="6">
        <f t="shared" ca="1" si="362"/>
        <v>5</v>
      </c>
      <c r="E1342" s="68">
        <f ca="1">IFERROR(__xludf.DUMMYFUNCTION("""COMPUTED_VALUE"""),45047.6666666666)</f>
        <v>45047.666666666599</v>
      </c>
      <c r="F1342" s="6">
        <f ca="1">IFERROR(__xludf.DUMMYFUNCTION("""COMPUTED_VALUE"""),4167.87)</f>
        <v>4167.87</v>
      </c>
      <c r="J1342" s="6" t="str">
        <f t="shared" ca="1" si="363"/>
        <v>20234</v>
      </c>
      <c r="K1342" s="6">
        <f t="shared" ca="1" si="364"/>
        <v>2023</v>
      </c>
      <c r="L1342" s="6">
        <f t="shared" ca="1" si="365"/>
        <v>4</v>
      </c>
      <c r="M1342" s="68">
        <f ca="1">IFERROR(__xludf.DUMMYFUNCTION("""COMPUTED_VALUE"""),45037.6666666666)</f>
        <v>45037.666666666599</v>
      </c>
      <c r="N1342" s="6">
        <f ca="1">IFERROR(__xludf.DUMMYFUNCTION("""COMPUTED_VALUE"""),12072.46)</f>
        <v>12072.46</v>
      </c>
      <c r="R1342" s="6" t="str">
        <f t="shared" ca="1" si="366"/>
        <v>20236</v>
      </c>
      <c r="S1342" s="6">
        <f t="shared" ca="1" si="367"/>
        <v>2023</v>
      </c>
      <c r="T1342" s="6">
        <f t="shared" ca="1" si="368"/>
        <v>6</v>
      </c>
      <c r="U1342" s="68">
        <f ca="1">IFERROR(__xludf.DUMMYFUNCTION("""COMPUTED_VALUE"""),45092.6458333333)</f>
        <v>45092.645833333299</v>
      </c>
      <c r="V1342" s="6">
        <f ca="1">IFERROR(__xludf.DUMMYFUNCTION("""COMPUTED_VALUE"""),2608.54)</f>
        <v>2608.54</v>
      </c>
      <c r="Z1342" s="6" t="str">
        <f t="shared" ca="1" si="369"/>
        <v>202110</v>
      </c>
      <c r="AA1342" s="6">
        <f t="shared" ca="1" si="370"/>
        <v>2021</v>
      </c>
      <c r="AB1342" s="6">
        <f t="shared" ca="1" si="371"/>
        <v>10</v>
      </c>
      <c r="AC1342" s="68">
        <f ca="1">IFERROR(__xludf.DUMMYFUNCTION("""COMPUTED_VALUE"""),44488.9986111111)</f>
        <v>44488.998611111099</v>
      </c>
      <c r="AD1342" s="6">
        <f ca="1">IFERROR(__xludf.DUMMYFUNCTION("""COMPUTED_VALUE"""),1175.65)</f>
        <v>1175.6500000000001</v>
      </c>
      <c r="AH1342" s="6" t="str">
        <f t="shared" ca="1" si="372"/>
        <v>20218</v>
      </c>
      <c r="AI1342" s="6">
        <f t="shared" ca="1" si="373"/>
        <v>2021</v>
      </c>
      <c r="AJ1342" s="6">
        <f t="shared" ca="1" si="374"/>
        <v>8</v>
      </c>
      <c r="AK1342" s="68">
        <f ca="1">IFERROR(__xludf.DUMMYFUNCTION("""COMPUTED_VALUE"""),44435.9986111111)</f>
        <v>44435.998611111099</v>
      </c>
      <c r="AL1342" s="6">
        <f ca="1">IFERROR(__xludf.DUMMYFUNCTION("""COMPUTED_VALUE"""),49072.36)</f>
        <v>49072.36</v>
      </c>
      <c r="AP1342" s="6" t="str">
        <f t="shared" ca="1" si="375"/>
        <v>20235</v>
      </c>
      <c r="AQ1342" s="6">
        <f t="shared" ca="1" si="376"/>
        <v>2023</v>
      </c>
      <c r="AR1342" s="6">
        <f t="shared" ca="1" si="377"/>
        <v>5</v>
      </c>
      <c r="AS1342" s="68">
        <f ca="1">IFERROR(__xludf.DUMMYFUNCTION("""COMPUTED_VALUE"""),45054.9986111111)</f>
        <v>45054.998611111099</v>
      </c>
      <c r="AT1342" s="6">
        <f ca="1">IFERROR(__xludf.DUMMYFUNCTION("""COMPUTED_VALUE"""),2033.2)</f>
        <v>2033.2</v>
      </c>
    </row>
    <row r="1343" spans="2:46" x14ac:dyDescent="0.35">
      <c r="B1343" s="6" t="str">
        <f t="shared" ca="1" si="360"/>
        <v>20235</v>
      </c>
      <c r="C1343" s="6">
        <f t="shared" ca="1" si="361"/>
        <v>2023</v>
      </c>
      <c r="D1343" s="6">
        <f t="shared" ca="1" si="362"/>
        <v>5</v>
      </c>
      <c r="E1343" s="68">
        <f ca="1">IFERROR(__xludf.DUMMYFUNCTION("""COMPUTED_VALUE"""),45048.6666666666)</f>
        <v>45048.666666666599</v>
      </c>
      <c r="F1343" s="6">
        <f ca="1">IFERROR(__xludf.DUMMYFUNCTION("""COMPUTED_VALUE"""),4119.58)</f>
        <v>4119.58</v>
      </c>
      <c r="J1343" s="6" t="str">
        <f t="shared" ca="1" si="363"/>
        <v>20234</v>
      </c>
      <c r="K1343" s="6">
        <f t="shared" ca="1" si="364"/>
        <v>2023</v>
      </c>
      <c r="L1343" s="6">
        <f t="shared" ca="1" si="365"/>
        <v>4</v>
      </c>
      <c r="M1343" s="68">
        <f ca="1">IFERROR(__xludf.DUMMYFUNCTION("""COMPUTED_VALUE"""),45040.6666666666)</f>
        <v>45040.666666666599</v>
      </c>
      <c r="N1343" s="6">
        <f ca="1">IFERROR(__xludf.DUMMYFUNCTION("""COMPUTED_VALUE"""),12037.2)</f>
        <v>12037.2</v>
      </c>
      <c r="R1343" s="6" t="str">
        <f t="shared" ca="1" si="366"/>
        <v>20236</v>
      </c>
      <c r="S1343" s="6">
        <f t="shared" ca="1" si="367"/>
        <v>2023</v>
      </c>
      <c r="T1343" s="6">
        <f t="shared" ca="1" si="368"/>
        <v>6</v>
      </c>
      <c r="U1343" s="68">
        <f ca="1">IFERROR(__xludf.DUMMYFUNCTION("""COMPUTED_VALUE"""),45093.6458333333)</f>
        <v>45093.645833333299</v>
      </c>
      <c r="V1343" s="6">
        <f ca="1">IFERROR(__xludf.DUMMYFUNCTION("""COMPUTED_VALUE"""),2625.79)</f>
        <v>2625.79</v>
      </c>
      <c r="Z1343" s="6" t="str">
        <f t="shared" ca="1" si="369"/>
        <v>202110</v>
      </c>
      <c r="AA1343" s="6">
        <f t="shared" ca="1" si="370"/>
        <v>2021</v>
      </c>
      <c r="AB1343" s="6">
        <f t="shared" ca="1" si="371"/>
        <v>10</v>
      </c>
      <c r="AC1343" s="68">
        <f ca="1">IFERROR(__xludf.DUMMYFUNCTION("""COMPUTED_VALUE"""),44489.9986111111)</f>
        <v>44489.998611111099</v>
      </c>
      <c r="AD1343" s="6">
        <f ca="1">IFERROR(__xludf.DUMMYFUNCTION("""COMPUTED_VALUE"""),1174.59)</f>
        <v>1174.5899999999999</v>
      </c>
      <c r="AH1343" s="6" t="str">
        <f t="shared" ca="1" si="372"/>
        <v>20218</v>
      </c>
      <c r="AI1343" s="6">
        <f t="shared" ca="1" si="373"/>
        <v>2021</v>
      </c>
      <c r="AJ1343" s="6">
        <f t="shared" ca="1" si="374"/>
        <v>8</v>
      </c>
      <c r="AK1343" s="68">
        <f ca="1">IFERROR(__xludf.DUMMYFUNCTION("""COMPUTED_VALUE"""),44436.9986111111)</f>
        <v>44436.998611111099</v>
      </c>
      <c r="AL1343" s="6">
        <f ca="1">IFERROR(__xludf.DUMMYFUNCTION("""COMPUTED_VALUE"""),48915.17)</f>
        <v>48915.17</v>
      </c>
      <c r="AP1343" s="6" t="str">
        <f t="shared" ca="1" si="375"/>
        <v>20235</v>
      </c>
      <c r="AQ1343" s="6">
        <f t="shared" ca="1" si="376"/>
        <v>2023</v>
      </c>
      <c r="AR1343" s="6">
        <f t="shared" ca="1" si="377"/>
        <v>5</v>
      </c>
      <c r="AS1343" s="68">
        <f ca="1">IFERROR(__xludf.DUMMYFUNCTION("""COMPUTED_VALUE"""),45055.9986111111)</f>
        <v>45055.998611111099</v>
      </c>
      <c r="AT1343" s="6">
        <f ca="1">IFERROR(__xludf.DUMMYFUNCTION("""COMPUTED_VALUE"""),2042.9)</f>
        <v>2042.9</v>
      </c>
    </row>
    <row r="1344" spans="2:46" x14ac:dyDescent="0.35">
      <c r="B1344" s="6" t="str">
        <f t="shared" ca="1" si="360"/>
        <v>20235</v>
      </c>
      <c r="C1344" s="6">
        <f t="shared" ca="1" si="361"/>
        <v>2023</v>
      </c>
      <c r="D1344" s="6">
        <f t="shared" ca="1" si="362"/>
        <v>5</v>
      </c>
      <c r="E1344" s="68">
        <f ca="1">IFERROR(__xludf.DUMMYFUNCTION("""COMPUTED_VALUE"""),45049.6666666666)</f>
        <v>45049.666666666599</v>
      </c>
      <c r="F1344" s="6">
        <f ca="1">IFERROR(__xludf.DUMMYFUNCTION("""COMPUTED_VALUE"""),4090.75)</f>
        <v>4090.75</v>
      </c>
      <c r="J1344" s="6" t="str">
        <f t="shared" ca="1" si="363"/>
        <v>20234</v>
      </c>
      <c r="K1344" s="6">
        <f t="shared" ca="1" si="364"/>
        <v>2023</v>
      </c>
      <c r="L1344" s="6">
        <f t="shared" ca="1" si="365"/>
        <v>4</v>
      </c>
      <c r="M1344" s="68">
        <f ca="1">IFERROR(__xludf.DUMMYFUNCTION("""COMPUTED_VALUE"""),45041.6666666666)</f>
        <v>45041.666666666599</v>
      </c>
      <c r="N1344" s="6">
        <f ca="1">IFERROR(__xludf.DUMMYFUNCTION("""COMPUTED_VALUE"""),11799.16)</f>
        <v>11799.16</v>
      </c>
      <c r="R1344" s="6" t="str">
        <f t="shared" ca="1" si="366"/>
        <v>20236</v>
      </c>
      <c r="S1344" s="6">
        <f t="shared" ca="1" si="367"/>
        <v>2023</v>
      </c>
      <c r="T1344" s="6">
        <f t="shared" ca="1" si="368"/>
        <v>6</v>
      </c>
      <c r="U1344" s="68">
        <f ca="1">IFERROR(__xludf.DUMMYFUNCTION("""COMPUTED_VALUE"""),45096.6458333333)</f>
        <v>45096.645833333299</v>
      </c>
      <c r="V1344" s="6">
        <f ca="1">IFERROR(__xludf.DUMMYFUNCTION("""COMPUTED_VALUE"""),2609.5)</f>
        <v>2609.5</v>
      </c>
      <c r="Z1344" s="6" t="str">
        <f t="shared" ca="1" si="369"/>
        <v>202110</v>
      </c>
      <c r="AA1344" s="6">
        <f t="shared" ca="1" si="370"/>
        <v>2021</v>
      </c>
      <c r="AB1344" s="6">
        <f t="shared" ca="1" si="371"/>
        <v>10</v>
      </c>
      <c r="AC1344" s="68">
        <f ca="1">IFERROR(__xludf.DUMMYFUNCTION("""COMPUTED_VALUE"""),44490.9986111111)</f>
        <v>44490.998611111099</v>
      </c>
      <c r="AD1344" s="6">
        <f ca="1">IFERROR(__xludf.DUMMYFUNCTION("""COMPUTED_VALUE"""),1176.55)</f>
        <v>1176.55</v>
      </c>
      <c r="AH1344" s="6" t="str">
        <f t="shared" ca="1" si="372"/>
        <v>20218</v>
      </c>
      <c r="AI1344" s="6">
        <f t="shared" ca="1" si="373"/>
        <v>2021</v>
      </c>
      <c r="AJ1344" s="6">
        <f t="shared" ca="1" si="374"/>
        <v>8</v>
      </c>
      <c r="AK1344" s="68">
        <f ca="1">IFERROR(__xludf.DUMMYFUNCTION("""COMPUTED_VALUE"""),44437.9986111111)</f>
        <v>44437.998611111099</v>
      </c>
      <c r="AL1344" s="6">
        <f ca="1">IFERROR(__xludf.DUMMYFUNCTION("""COMPUTED_VALUE"""),48802.72)</f>
        <v>48802.720000000001</v>
      </c>
      <c r="AP1344" s="6" t="str">
        <f t="shared" ca="1" si="375"/>
        <v>20235</v>
      </c>
      <c r="AQ1344" s="6">
        <f t="shared" ca="1" si="376"/>
        <v>2023</v>
      </c>
      <c r="AR1344" s="6">
        <f t="shared" ca="1" si="377"/>
        <v>5</v>
      </c>
      <c r="AS1344" s="68">
        <f ca="1">IFERROR(__xludf.DUMMYFUNCTION("""COMPUTED_VALUE"""),45056.9986111111)</f>
        <v>45056.998611111099</v>
      </c>
      <c r="AT1344" s="6">
        <f ca="1">IFERROR(__xludf.DUMMYFUNCTION("""COMPUTED_VALUE"""),2037.1)</f>
        <v>2037.1</v>
      </c>
    </row>
    <row r="1345" spans="2:46" x14ac:dyDescent="0.35">
      <c r="B1345" s="6" t="str">
        <f t="shared" ca="1" si="360"/>
        <v>20235</v>
      </c>
      <c r="C1345" s="6">
        <f t="shared" ca="1" si="361"/>
        <v>2023</v>
      </c>
      <c r="D1345" s="6">
        <f t="shared" ca="1" si="362"/>
        <v>5</v>
      </c>
      <c r="E1345" s="68">
        <f ca="1">IFERROR(__xludf.DUMMYFUNCTION("""COMPUTED_VALUE"""),45050.6666666666)</f>
        <v>45050.666666666599</v>
      </c>
      <c r="F1345" s="6">
        <f ca="1">IFERROR(__xludf.DUMMYFUNCTION("""COMPUTED_VALUE"""),4061.22)</f>
        <v>4061.22</v>
      </c>
      <c r="J1345" s="6" t="str">
        <f t="shared" ca="1" si="363"/>
        <v>20234</v>
      </c>
      <c r="K1345" s="6">
        <f t="shared" ca="1" si="364"/>
        <v>2023</v>
      </c>
      <c r="L1345" s="6">
        <f t="shared" ca="1" si="365"/>
        <v>4</v>
      </c>
      <c r="M1345" s="68">
        <f ca="1">IFERROR(__xludf.DUMMYFUNCTION("""COMPUTED_VALUE"""),45042.6666666666)</f>
        <v>45042.666666666599</v>
      </c>
      <c r="N1345" s="6">
        <f ca="1">IFERROR(__xludf.DUMMYFUNCTION("""COMPUTED_VALUE"""),11854.35)</f>
        <v>11854.35</v>
      </c>
      <c r="R1345" s="6" t="str">
        <f t="shared" ca="1" si="366"/>
        <v>20236</v>
      </c>
      <c r="S1345" s="6">
        <f t="shared" ca="1" si="367"/>
        <v>2023</v>
      </c>
      <c r="T1345" s="6">
        <f t="shared" ca="1" si="368"/>
        <v>6</v>
      </c>
      <c r="U1345" s="68">
        <f ca="1">IFERROR(__xludf.DUMMYFUNCTION("""COMPUTED_VALUE"""),45097.6458333333)</f>
        <v>45097.645833333299</v>
      </c>
      <c r="V1345" s="6">
        <f ca="1">IFERROR(__xludf.DUMMYFUNCTION("""COMPUTED_VALUE"""),2604.91)</f>
        <v>2604.91</v>
      </c>
      <c r="Z1345" s="6" t="str">
        <f t="shared" ca="1" si="369"/>
        <v>202110</v>
      </c>
      <c r="AA1345" s="6">
        <f t="shared" ca="1" si="370"/>
        <v>2021</v>
      </c>
      <c r="AB1345" s="6">
        <f t="shared" ca="1" si="371"/>
        <v>10</v>
      </c>
      <c r="AC1345" s="68">
        <f ca="1">IFERROR(__xludf.DUMMYFUNCTION("""COMPUTED_VALUE"""),44491.9986111111)</f>
        <v>44491.998611111099</v>
      </c>
      <c r="AD1345" s="6">
        <f ca="1">IFERROR(__xludf.DUMMYFUNCTION("""COMPUTED_VALUE"""),1176.66)</f>
        <v>1176.6600000000001</v>
      </c>
      <c r="AH1345" s="6" t="str">
        <f t="shared" ca="1" si="372"/>
        <v>20218</v>
      </c>
      <c r="AI1345" s="6">
        <f t="shared" ca="1" si="373"/>
        <v>2021</v>
      </c>
      <c r="AJ1345" s="6">
        <f t="shared" ca="1" si="374"/>
        <v>8</v>
      </c>
      <c r="AK1345" s="68">
        <f ca="1">IFERROR(__xludf.DUMMYFUNCTION("""COMPUTED_VALUE"""),44438.9986111111)</f>
        <v>44438.998611111099</v>
      </c>
      <c r="AL1345" s="6">
        <f ca="1">IFERROR(__xludf.DUMMYFUNCTION("""COMPUTED_VALUE"""),46996.51)</f>
        <v>46996.51</v>
      </c>
      <c r="AP1345" s="6" t="str">
        <f t="shared" ca="1" si="375"/>
        <v>20235</v>
      </c>
      <c r="AQ1345" s="6">
        <f t="shared" ca="1" si="376"/>
        <v>2023</v>
      </c>
      <c r="AR1345" s="6">
        <f t="shared" ca="1" si="377"/>
        <v>5</v>
      </c>
      <c r="AS1345" s="68">
        <f ca="1">IFERROR(__xludf.DUMMYFUNCTION("""COMPUTED_VALUE"""),45057.9986111111)</f>
        <v>45057.998611111099</v>
      </c>
      <c r="AT1345" s="6">
        <f ca="1">IFERROR(__xludf.DUMMYFUNCTION("""COMPUTED_VALUE"""),2020.5)</f>
        <v>2020.5</v>
      </c>
    </row>
    <row r="1346" spans="2:46" x14ac:dyDescent="0.35">
      <c r="B1346" s="6" t="str">
        <f t="shared" ca="1" si="360"/>
        <v>20235</v>
      </c>
      <c r="C1346" s="6">
        <f t="shared" ca="1" si="361"/>
        <v>2023</v>
      </c>
      <c r="D1346" s="6">
        <f t="shared" ca="1" si="362"/>
        <v>5</v>
      </c>
      <c r="E1346" s="68">
        <f ca="1">IFERROR(__xludf.DUMMYFUNCTION("""COMPUTED_VALUE"""),45051.6666666666)</f>
        <v>45051.666666666599</v>
      </c>
      <c r="F1346" s="6">
        <f ca="1">IFERROR(__xludf.DUMMYFUNCTION("""COMPUTED_VALUE"""),4136.25)</f>
        <v>4136.25</v>
      </c>
      <c r="J1346" s="6" t="str">
        <f t="shared" ca="1" si="363"/>
        <v>20234</v>
      </c>
      <c r="K1346" s="6">
        <f t="shared" ca="1" si="364"/>
        <v>2023</v>
      </c>
      <c r="L1346" s="6">
        <f t="shared" ca="1" si="365"/>
        <v>4</v>
      </c>
      <c r="M1346" s="68">
        <f ca="1">IFERROR(__xludf.DUMMYFUNCTION("""COMPUTED_VALUE"""),45043.6666666666)</f>
        <v>45043.666666666599</v>
      </c>
      <c r="N1346" s="6">
        <f ca="1">IFERROR(__xludf.DUMMYFUNCTION("""COMPUTED_VALUE"""),12142.24)</f>
        <v>12142.24</v>
      </c>
      <c r="R1346" s="6" t="str">
        <f t="shared" ca="1" si="366"/>
        <v>20236</v>
      </c>
      <c r="S1346" s="6">
        <f t="shared" ca="1" si="367"/>
        <v>2023</v>
      </c>
      <c r="T1346" s="6">
        <f t="shared" ca="1" si="368"/>
        <v>6</v>
      </c>
      <c r="U1346" s="68">
        <f ca="1">IFERROR(__xludf.DUMMYFUNCTION("""COMPUTED_VALUE"""),45098.6458333333)</f>
        <v>45098.645833333299</v>
      </c>
      <c r="V1346" s="6">
        <f ca="1">IFERROR(__xludf.DUMMYFUNCTION("""COMPUTED_VALUE"""),2582.63)</f>
        <v>2582.63</v>
      </c>
      <c r="Z1346" s="6" t="str">
        <f t="shared" ca="1" si="369"/>
        <v>202110</v>
      </c>
      <c r="AA1346" s="6">
        <f t="shared" ca="1" si="370"/>
        <v>2021</v>
      </c>
      <c r="AB1346" s="6">
        <f t="shared" ca="1" si="371"/>
        <v>10</v>
      </c>
      <c r="AC1346" s="68">
        <f ca="1">IFERROR(__xludf.DUMMYFUNCTION("""COMPUTED_VALUE"""),44492.9986111111)</f>
        <v>44492.998611111099</v>
      </c>
      <c r="AD1346" s="6">
        <f ca="1">IFERROR(__xludf.DUMMYFUNCTION("""COMPUTED_VALUE"""),1175.4)</f>
        <v>1175.4000000000001</v>
      </c>
      <c r="AH1346" s="6" t="str">
        <f t="shared" ca="1" si="372"/>
        <v>20218</v>
      </c>
      <c r="AI1346" s="6">
        <f t="shared" ca="1" si="373"/>
        <v>2021</v>
      </c>
      <c r="AJ1346" s="6">
        <f t="shared" ca="1" si="374"/>
        <v>8</v>
      </c>
      <c r="AK1346" s="68">
        <f ca="1">IFERROR(__xludf.DUMMYFUNCTION("""COMPUTED_VALUE"""),44439.9986111111)</f>
        <v>44439.998611111099</v>
      </c>
      <c r="AL1346" s="6">
        <f ca="1">IFERROR(__xludf.DUMMYFUNCTION("""COMPUTED_VALUE"""),47135.83)</f>
        <v>47135.83</v>
      </c>
      <c r="AP1346" s="6" t="str">
        <f t="shared" ca="1" si="375"/>
        <v>20235</v>
      </c>
      <c r="AQ1346" s="6">
        <f t="shared" ca="1" si="376"/>
        <v>2023</v>
      </c>
      <c r="AR1346" s="6">
        <f t="shared" ca="1" si="377"/>
        <v>5</v>
      </c>
      <c r="AS1346" s="68">
        <f ca="1">IFERROR(__xludf.DUMMYFUNCTION("""COMPUTED_VALUE"""),45058.9986111111)</f>
        <v>45058.998611111099</v>
      </c>
      <c r="AT1346" s="6">
        <f ca="1">IFERROR(__xludf.DUMMYFUNCTION("""COMPUTED_VALUE"""),2019.8)</f>
        <v>2019.8</v>
      </c>
    </row>
    <row r="1347" spans="2:46" x14ac:dyDescent="0.35">
      <c r="B1347" s="6" t="str">
        <f t="shared" ca="1" si="360"/>
        <v>20235</v>
      </c>
      <c r="C1347" s="6">
        <f t="shared" ca="1" si="361"/>
        <v>2023</v>
      </c>
      <c r="D1347" s="6">
        <f t="shared" ca="1" si="362"/>
        <v>5</v>
      </c>
      <c r="E1347" s="68">
        <f ca="1">IFERROR(__xludf.DUMMYFUNCTION("""COMPUTED_VALUE"""),45054.6666666666)</f>
        <v>45054.666666666599</v>
      </c>
      <c r="F1347" s="6">
        <f ca="1">IFERROR(__xludf.DUMMYFUNCTION("""COMPUTED_VALUE"""),4138.12)</f>
        <v>4138.12</v>
      </c>
      <c r="J1347" s="6" t="str">
        <f t="shared" ca="1" si="363"/>
        <v>20234</v>
      </c>
      <c r="K1347" s="6">
        <f t="shared" ca="1" si="364"/>
        <v>2023</v>
      </c>
      <c r="L1347" s="6">
        <f t="shared" ca="1" si="365"/>
        <v>4</v>
      </c>
      <c r="M1347" s="68">
        <f ca="1">IFERROR(__xludf.DUMMYFUNCTION("""COMPUTED_VALUE"""),45044.6666666666)</f>
        <v>45044.666666666599</v>
      </c>
      <c r="N1347" s="6">
        <f ca="1">IFERROR(__xludf.DUMMYFUNCTION("""COMPUTED_VALUE"""),12226.58)</f>
        <v>12226.58</v>
      </c>
      <c r="R1347" s="6" t="str">
        <f t="shared" ca="1" si="366"/>
        <v>20236</v>
      </c>
      <c r="S1347" s="6">
        <f t="shared" ca="1" si="367"/>
        <v>2023</v>
      </c>
      <c r="T1347" s="6">
        <f t="shared" ca="1" si="368"/>
        <v>6</v>
      </c>
      <c r="U1347" s="68">
        <f ca="1">IFERROR(__xludf.DUMMYFUNCTION("""COMPUTED_VALUE"""),45099.6458333333)</f>
        <v>45099.645833333299</v>
      </c>
      <c r="V1347" s="6">
        <f ca="1">IFERROR(__xludf.DUMMYFUNCTION("""COMPUTED_VALUE"""),2593.7)</f>
        <v>2593.6999999999998</v>
      </c>
      <c r="Z1347" s="6" t="str">
        <f t="shared" ca="1" si="369"/>
        <v>202110</v>
      </c>
      <c r="AA1347" s="6">
        <f t="shared" ca="1" si="370"/>
        <v>2021</v>
      </c>
      <c r="AB1347" s="6">
        <f t="shared" ca="1" si="371"/>
        <v>10</v>
      </c>
      <c r="AC1347" s="68">
        <f ca="1">IFERROR(__xludf.DUMMYFUNCTION("""COMPUTED_VALUE"""),44493.9986111111)</f>
        <v>44493.998611111099</v>
      </c>
      <c r="AD1347" s="6">
        <f ca="1">IFERROR(__xludf.DUMMYFUNCTION("""COMPUTED_VALUE"""),1176.54)</f>
        <v>1176.54</v>
      </c>
      <c r="AH1347" s="6" t="str">
        <f t="shared" ca="1" si="372"/>
        <v>20219</v>
      </c>
      <c r="AI1347" s="6">
        <f t="shared" ca="1" si="373"/>
        <v>2021</v>
      </c>
      <c r="AJ1347" s="6">
        <f t="shared" ca="1" si="374"/>
        <v>9</v>
      </c>
      <c r="AK1347" s="68">
        <f ca="1">IFERROR(__xludf.DUMMYFUNCTION("""COMPUTED_VALUE"""),44440.9986111111)</f>
        <v>44440.998611111099</v>
      </c>
      <c r="AL1347" s="6">
        <f ca="1">IFERROR(__xludf.DUMMYFUNCTION("""COMPUTED_VALUE"""),48864.18)</f>
        <v>48864.18</v>
      </c>
      <c r="AP1347" s="6" t="str">
        <f t="shared" ca="1" si="375"/>
        <v>20235</v>
      </c>
      <c r="AQ1347" s="6">
        <f t="shared" ca="1" si="376"/>
        <v>2023</v>
      </c>
      <c r="AR1347" s="6">
        <f t="shared" ca="1" si="377"/>
        <v>5</v>
      </c>
      <c r="AS1347" s="68">
        <f ca="1">IFERROR(__xludf.DUMMYFUNCTION("""COMPUTED_VALUE"""),45061.9986111111)</f>
        <v>45061.998611111099</v>
      </c>
      <c r="AT1347" s="6">
        <f ca="1">IFERROR(__xludf.DUMMYFUNCTION("""COMPUTED_VALUE"""),2022.7)</f>
        <v>2022.7</v>
      </c>
    </row>
    <row r="1348" spans="2:46" x14ac:dyDescent="0.35">
      <c r="B1348" s="6" t="str">
        <f t="shared" ca="1" si="360"/>
        <v>20235</v>
      </c>
      <c r="C1348" s="6">
        <f t="shared" ca="1" si="361"/>
        <v>2023</v>
      </c>
      <c r="D1348" s="6">
        <f t="shared" ca="1" si="362"/>
        <v>5</v>
      </c>
      <c r="E1348" s="68">
        <f ca="1">IFERROR(__xludf.DUMMYFUNCTION("""COMPUTED_VALUE"""),45055.6666666666)</f>
        <v>45055.666666666599</v>
      </c>
      <c r="F1348" s="6">
        <f ca="1">IFERROR(__xludf.DUMMYFUNCTION("""COMPUTED_VALUE"""),4119.17)</f>
        <v>4119.17</v>
      </c>
      <c r="J1348" s="6" t="str">
        <f t="shared" ca="1" si="363"/>
        <v>20235</v>
      </c>
      <c r="K1348" s="6">
        <f t="shared" ca="1" si="364"/>
        <v>2023</v>
      </c>
      <c r="L1348" s="6">
        <f t="shared" ca="1" si="365"/>
        <v>5</v>
      </c>
      <c r="M1348" s="68">
        <f ca="1">IFERROR(__xludf.DUMMYFUNCTION("""COMPUTED_VALUE"""),45047.6666666666)</f>
        <v>45047.666666666599</v>
      </c>
      <c r="N1348" s="6">
        <f ca="1">IFERROR(__xludf.DUMMYFUNCTION("""COMPUTED_VALUE"""),12212.6)</f>
        <v>12212.6</v>
      </c>
      <c r="R1348" s="6" t="str">
        <f t="shared" ca="1" si="366"/>
        <v>20236</v>
      </c>
      <c r="S1348" s="6">
        <f t="shared" ca="1" si="367"/>
        <v>2023</v>
      </c>
      <c r="T1348" s="6">
        <f t="shared" ca="1" si="368"/>
        <v>6</v>
      </c>
      <c r="U1348" s="68">
        <f ca="1">IFERROR(__xludf.DUMMYFUNCTION("""COMPUTED_VALUE"""),45100.6458333333)</f>
        <v>45100.645833333299</v>
      </c>
      <c r="V1348" s="6">
        <f ca="1">IFERROR(__xludf.DUMMYFUNCTION("""COMPUTED_VALUE"""),2570.1)</f>
        <v>2570.1</v>
      </c>
      <c r="Z1348" s="6" t="str">
        <f t="shared" ca="1" si="369"/>
        <v>202110</v>
      </c>
      <c r="AA1348" s="6">
        <f t="shared" ca="1" si="370"/>
        <v>2021</v>
      </c>
      <c r="AB1348" s="6">
        <f t="shared" ca="1" si="371"/>
        <v>10</v>
      </c>
      <c r="AC1348" s="68">
        <f ca="1">IFERROR(__xludf.DUMMYFUNCTION("""COMPUTED_VALUE"""),44494.9986111111)</f>
        <v>44494.998611111099</v>
      </c>
      <c r="AD1348" s="6">
        <f ca="1">IFERROR(__xludf.DUMMYFUNCTION("""COMPUTED_VALUE"""),1167.06)</f>
        <v>1167.06</v>
      </c>
      <c r="AH1348" s="6" t="str">
        <f t="shared" ca="1" si="372"/>
        <v>20219</v>
      </c>
      <c r="AI1348" s="6">
        <f t="shared" ca="1" si="373"/>
        <v>2021</v>
      </c>
      <c r="AJ1348" s="6">
        <f t="shared" ca="1" si="374"/>
        <v>9</v>
      </c>
      <c r="AK1348" s="68">
        <f ca="1">IFERROR(__xludf.DUMMYFUNCTION("""COMPUTED_VALUE"""),44441.9986111111)</f>
        <v>44441.998611111099</v>
      </c>
      <c r="AL1348" s="6">
        <f ca="1">IFERROR(__xludf.DUMMYFUNCTION("""COMPUTED_VALUE"""),49295.96)</f>
        <v>49295.96</v>
      </c>
      <c r="AP1348" s="6" t="str">
        <f t="shared" ca="1" si="375"/>
        <v>20235</v>
      </c>
      <c r="AQ1348" s="6">
        <f t="shared" ca="1" si="376"/>
        <v>2023</v>
      </c>
      <c r="AR1348" s="6">
        <f t="shared" ca="1" si="377"/>
        <v>5</v>
      </c>
      <c r="AS1348" s="68">
        <f ca="1">IFERROR(__xludf.DUMMYFUNCTION("""COMPUTED_VALUE"""),45062.9986111111)</f>
        <v>45062.998611111099</v>
      </c>
      <c r="AT1348" s="6">
        <f ca="1">IFERROR(__xludf.DUMMYFUNCTION("""COMPUTED_VALUE"""),1993)</f>
        <v>1993</v>
      </c>
    </row>
    <row r="1349" spans="2:46" x14ac:dyDescent="0.35">
      <c r="B1349" s="6" t="str">
        <f t="shared" ca="1" si="360"/>
        <v>20235</v>
      </c>
      <c r="C1349" s="6">
        <f t="shared" ca="1" si="361"/>
        <v>2023</v>
      </c>
      <c r="D1349" s="6">
        <f t="shared" ca="1" si="362"/>
        <v>5</v>
      </c>
      <c r="E1349" s="68">
        <f ca="1">IFERROR(__xludf.DUMMYFUNCTION("""COMPUTED_VALUE"""),45056.6666666666)</f>
        <v>45056.666666666599</v>
      </c>
      <c r="F1349" s="6">
        <f ca="1">IFERROR(__xludf.DUMMYFUNCTION("""COMPUTED_VALUE"""),4137.64)</f>
        <v>4137.6400000000003</v>
      </c>
      <c r="J1349" s="6" t="str">
        <f t="shared" ca="1" si="363"/>
        <v>20235</v>
      </c>
      <c r="K1349" s="6">
        <f t="shared" ca="1" si="364"/>
        <v>2023</v>
      </c>
      <c r="L1349" s="6">
        <f t="shared" ca="1" si="365"/>
        <v>5</v>
      </c>
      <c r="M1349" s="68">
        <f ca="1">IFERROR(__xludf.DUMMYFUNCTION("""COMPUTED_VALUE"""),45048.6666666666)</f>
        <v>45048.666666666599</v>
      </c>
      <c r="N1349" s="6">
        <f ca="1">IFERROR(__xludf.DUMMYFUNCTION("""COMPUTED_VALUE"""),12080.51)</f>
        <v>12080.51</v>
      </c>
      <c r="R1349" s="6" t="str">
        <f t="shared" ca="1" si="366"/>
        <v>20236</v>
      </c>
      <c r="S1349" s="6">
        <f t="shared" ca="1" si="367"/>
        <v>2023</v>
      </c>
      <c r="T1349" s="6">
        <f t="shared" ca="1" si="368"/>
        <v>6</v>
      </c>
      <c r="U1349" s="68">
        <f ca="1">IFERROR(__xludf.DUMMYFUNCTION("""COMPUTED_VALUE"""),45103.6458333333)</f>
        <v>45103.645833333299</v>
      </c>
      <c r="V1349" s="6">
        <f ca="1">IFERROR(__xludf.DUMMYFUNCTION("""COMPUTED_VALUE"""),2582.2)</f>
        <v>2582.1999999999998</v>
      </c>
      <c r="Z1349" s="6" t="str">
        <f t="shared" ca="1" si="369"/>
        <v>202110</v>
      </c>
      <c r="AA1349" s="6">
        <f t="shared" ca="1" si="370"/>
        <v>2021</v>
      </c>
      <c r="AB1349" s="6">
        <f t="shared" ca="1" si="371"/>
        <v>10</v>
      </c>
      <c r="AC1349" s="68">
        <f ca="1">IFERROR(__xludf.DUMMYFUNCTION("""COMPUTED_VALUE"""),44495.9986111111)</f>
        <v>44495.998611111099</v>
      </c>
      <c r="AD1349" s="6">
        <f ca="1">IFERROR(__xludf.DUMMYFUNCTION("""COMPUTED_VALUE"""),1167.33)</f>
        <v>1167.33</v>
      </c>
      <c r="AH1349" s="6" t="str">
        <f t="shared" ca="1" si="372"/>
        <v>20219</v>
      </c>
      <c r="AI1349" s="6">
        <f t="shared" ca="1" si="373"/>
        <v>2021</v>
      </c>
      <c r="AJ1349" s="6">
        <f t="shared" ca="1" si="374"/>
        <v>9</v>
      </c>
      <c r="AK1349" s="68">
        <f ca="1">IFERROR(__xludf.DUMMYFUNCTION("""COMPUTED_VALUE"""),44442.9986111111)</f>
        <v>44442.998611111099</v>
      </c>
      <c r="AL1349" s="6">
        <f ca="1">IFERROR(__xludf.DUMMYFUNCTION("""COMPUTED_VALUE"""),50014.34)</f>
        <v>50014.34</v>
      </c>
      <c r="AP1349" s="6" t="str">
        <f t="shared" ca="1" si="375"/>
        <v>20235</v>
      </c>
      <c r="AQ1349" s="6">
        <f t="shared" ca="1" si="376"/>
        <v>2023</v>
      </c>
      <c r="AR1349" s="6">
        <f t="shared" ca="1" si="377"/>
        <v>5</v>
      </c>
      <c r="AS1349" s="68">
        <f ca="1">IFERROR(__xludf.DUMMYFUNCTION("""COMPUTED_VALUE"""),45063.9986111111)</f>
        <v>45063.998611111099</v>
      </c>
      <c r="AT1349" s="6">
        <f ca="1">IFERROR(__xludf.DUMMYFUNCTION("""COMPUTED_VALUE"""),1984.9)</f>
        <v>1984.9</v>
      </c>
    </row>
    <row r="1350" spans="2:46" x14ac:dyDescent="0.35">
      <c r="B1350" s="6" t="str">
        <f t="shared" ca="1" si="360"/>
        <v>20235</v>
      </c>
      <c r="C1350" s="6">
        <f t="shared" ca="1" si="361"/>
        <v>2023</v>
      </c>
      <c r="D1350" s="6">
        <f t="shared" ca="1" si="362"/>
        <v>5</v>
      </c>
      <c r="E1350" s="68">
        <f ca="1">IFERROR(__xludf.DUMMYFUNCTION("""COMPUTED_VALUE"""),45057.6666666666)</f>
        <v>45057.666666666599</v>
      </c>
      <c r="F1350" s="6">
        <f ca="1">IFERROR(__xludf.DUMMYFUNCTION("""COMPUTED_VALUE"""),4130.62)</f>
        <v>4130.62</v>
      </c>
      <c r="J1350" s="6" t="str">
        <f t="shared" ca="1" si="363"/>
        <v>20235</v>
      </c>
      <c r="K1350" s="6">
        <f t="shared" ca="1" si="364"/>
        <v>2023</v>
      </c>
      <c r="L1350" s="6">
        <f t="shared" ca="1" si="365"/>
        <v>5</v>
      </c>
      <c r="M1350" s="68">
        <f ca="1">IFERROR(__xludf.DUMMYFUNCTION("""COMPUTED_VALUE"""),45049.6666666666)</f>
        <v>45049.666666666599</v>
      </c>
      <c r="N1350" s="6">
        <f ca="1">IFERROR(__xludf.DUMMYFUNCTION("""COMPUTED_VALUE"""),12025.33)</f>
        <v>12025.33</v>
      </c>
      <c r="R1350" s="6" t="str">
        <f t="shared" ca="1" si="366"/>
        <v>20236</v>
      </c>
      <c r="S1350" s="6">
        <f t="shared" ca="1" si="367"/>
        <v>2023</v>
      </c>
      <c r="T1350" s="6">
        <f t="shared" ca="1" si="368"/>
        <v>6</v>
      </c>
      <c r="U1350" s="68">
        <f ca="1">IFERROR(__xludf.DUMMYFUNCTION("""COMPUTED_VALUE"""),45104.6458333333)</f>
        <v>45104.645833333299</v>
      </c>
      <c r="V1350" s="6">
        <f ca="1">IFERROR(__xludf.DUMMYFUNCTION("""COMPUTED_VALUE"""),2581.39)</f>
        <v>2581.39</v>
      </c>
      <c r="Z1350" s="6" t="str">
        <f t="shared" ca="1" si="369"/>
        <v>202110</v>
      </c>
      <c r="AA1350" s="6">
        <f t="shared" ca="1" si="370"/>
        <v>2021</v>
      </c>
      <c r="AB1350" s="6">
        <f t="shared" ca="1" si="371"/>
        <v>10</v>
      </c>
      <c r="AC1350" s="68">
        <f ca="1">IFERROR(__xludf.DUMMYFUNCTION("""COMPUTED_VALUE"""),44496.9986111111)</f>
        <v>44496.998611111099</v>
      </c>
      <c r="AD1350" s="6">
        <f ca="1">IFERROR(__xludf.DUMMYFUNCTION("""COMPUTED_VALUE"""),1172.17)</f>
        <v>1172.17</v>
      </c>
      <c r="AH1350" s="6" t="str">
        <f t="shared" ca="1" si="372"/>
        <v>20219</v>
      </c>
      <c r="AI1350" s="6">
        <f t="shared" ca="1" si="373"/>
        <v>2021</v>
      </c>
      <c r="AJ1350" s="6">
        <f t="shared" ca="1" si="374"/>
        <v>9</v>
      </c>
      <c r="AK1350" s="68">
        <f ca="1">IFERROR(__xludf.DUMMYFUNCTION("""COMPUTED_VALUE"""),44443.9986111111)</f>
        <v>44443.998611111099</v>
      </c>
      <c r="AL1350" s="6">
        <f ca="1">IFERROR(__xludf.DUMMYFUNCTION("""COMPUTED_VALUE"""),49938.51)</f>
        <v>49938.51</v>
      </c>
      <c r="AP1350" s="6" t="str">
        <f t="shared" ca="1" si="375"/>
        <v>20235</v>
      </c>
      <c r="AQ1350" s="6">
        <f t="shared" ca="1" si="376"/>
        <v>2023</v>
      </c>
      <c r="AR1350" s="6">
        <f t="shared" ca="1" si="377"/>
        <v>5</v>
      </c>
      <c r="AS1350" s="68">
        <f ca="1">IFERROR(__xludf.DUMMYFUNCTION("""COMPUTED_VALUE"""),45064.9986111111)</f>
        <v>45064.998611111099</v>
      </c>
      <c r="AT1350" s="6">
        <f ca="1">IFERROR(__xludf.DUMMYFUNCTION("""COMPUTED_VALUE"""),1978.3)</f>
        <v>1978.3</v>
      </c>
    </row>
    <row r="1351" spans="2:46" x14ac:dyDescent="0.35">
      <c r="B1351" s="6" t="str">
        <f t="shared" ref="B1351:B1414" ca="1" si="378">C1351&amp;D1351</f>
        <v>20235</v>
      </c>
      <c r="C1351" s="6">
        <f t="shared" ref="C1351:C1414" ca="1" si="379">YEAR(E1351)</f>
        <v>2023</v>
      </c>
      <c r="D1351" s="6">
        <f t="shared" ref="D1351:D1414" ca="1" si="380">MONTH(E1351)</f>
        <v>5</v>
      </c>
      <c r="E1351" s="68">
        <f ca="1">IFERROR(__xludf.DUMMYFUNCTION("""COMPUTED_VALUE"""),45058.6666666666)</f>
        <v>45058.666666666599</v>
      </c>
      <c r="F1351" s="6">
        <f ca="1">IFERROR(__xludf.DUMMYFUNCTION("""COMPUTED_VALUE"""),4124.08)</f>
        <v>4124.08</v>
      </c>
      <c r="J1351" s="6" t="str">
        <f t="shared" ref="J1351:J1414" ca="1" si="381">K1351&amp;L1351</f>
        <v>20235</v>
      </c>
      <c r="K1351" s="6">
        <f t="shared" ref="K1351:K1414" ca="1" si="382">YEAR(M1351)</f>
        <v>2023</v>
      </c>
      <c r="L1351" s="6">
        <f t="shared" ref="L1351:L1414" ca="1" si="383">MONTH(M1351)</f>
        <v>5</v>
      </c>
      <c r="M1351" s="68">
        <f ca="1">IFERROR(__xludf.DUMMYFUNCTION("""COMPUTED_VALUE"""),45050.6666666666)</f>
        <v>45050.666666666599</v>
      </c>
      <c r="N1351" s="6">
        <f ca="1">IFERROR(__xludf.DUMMYFUNCTION("""COMPUTED_VALUE"""),11966.4)</f>
        <v>11966.4</v>
      </c>
      <c r="R1351" s="6" t="str">
        <f t="shared" ref="R1351:R1414" ca="1" si="384">S1351&amp;T1351</f>
        <v>20236</v>
      </c>
      <c r="S1351" s="6">
        <f t="shared" ref="S1351:S1414" ca="1" si="385">YEAR(U1351)</f>
        <v>2023</v>
      </c>
      <c r="T1351" s="6">
        <f t="shared" ref="T1351:T1414" ca="1" si="386">MONTH(U1351)</f>
        <v>6</v>
      </c>
      <c r="U1351" s="68">
        <f ca="1">IFERROR(__xludf.DUMMYFUNCTION("""COMPUTED_VALUE"""),45105.6458333333)</f>
        <v>45105.645833333299</v>
      </c>
      <c r="V1351" s="6">
        <f ca="1">IFERROR(__xludf.DUMMYFUNCTION("""COMPUTED_VALUE"""),2564.19)</f>
        <v>2564.19</v>
      </c>
      <c r="Z1351" s="6" t="str">
        <f t="shared" ref="Z1351:Z1414" ca="1" si="387">AA1351&amp;AB1351</f>
        <v>202110</v>
      </c>
      <c r="AA1351" s="6">
        <f t="shared" ref="AA1351:AA1414" ca="1" si="388">YEAR(AC1351)</f>
        <v>2021</v>
      </c>
      <c r="AB1351" s="6">
        <f t="shared" ref="AB1351:AB1414" ca="1" si="389">MONTH(AC1351)</f>
        <v>10</v>
      </c>
      <c r="AC1351" s="68">
        <f ca="1">IFERROR(__xludf.DUMMYFUNCTION("""COMPUTED_VALUE"""),44497.9986111111)</f>
        <v>44497.998611111099</v>
      </c>
      <c r="AD1351" s="6">
        <f ca="1">IFERROR(__xludf.DUMMYFUNCTION("""COMPUTED_VALUE"""),1167.37)</f>
        <v>1167.3699999999999</v>
      </c>
      <c r="AH1351" s="6" t="str">
        <f t="shared" ref="AH1351:AH1414" ca="1" si="390">AI1351&amp;AJ1351</f>
        <v>20219</v>
      </c>
      <c r="AI1351" s="6">
        <f t="shared" ref="AI1351:AI1414" ca="1" si="391">YEAR(AK1351)</f>
        <v>2021</v>
      </c>
      <c r="AJ1351" s="6">
        <f t="shared" ref="AJ1351:AJ1414" ca="1" si="392">MONTH(AK1351)</f>
        <v>9</v>
      </c>
      <c r="AK1351" s="68">
        <f ca="1">IFERROR(__xludf.DUMMYFUNCTION("""COMPUTED_VALUE"""),44444.9986111111)</f>
        <v>44444.998611111099</v>
      </c>
      <c r="AL1351" s="6">
        <f ca="1">IFERROR(__xludf.DUMMYFUNCTION("""COMPUTED_VALUE"""),51783.77)</f>
        <v>51783.77</v>
      </c>
      <c r="AP1351" s="6" t="str">
        <f t="shared" ref="AP1351:AP1414" ca="1" si="393">AQ1351&amp;AR1351</f>
        <v>20235</v>
      </c>
      <c r="AQ1351" s="6">
        <f t="shared" ref="AQ1351:AQ1414" ca="1" si="394">YEAR(AS1351)</f>
        <v>2023</v>
      </c>
      <c r="AR1351" s="6">
        <f t="shared" ref="AR1351:AR1414" ca="1" si="395">MONTH(AS1351)</f>
        <v>5</v>
      </c>
      <c r="AS1351" s="68">
        <f ca="1">IFERROR(__xludf.DUMMYFUNCTION("""COMPUTED_VALUE"""),45065.9986111111)</f>
        <v>45065.998611111099</v>
      </c>
      <c r="AT1351" s="6">
        <f ca="1">IFERROR(__xludf.DUMMYFUNCTION("""COMPUTED_VALUE"""),2000.3)</f>
        <v>2000.3</v>
      </c>
    </row>
    <row r="1352" spans="2:46" x14ac:dyDescent="0.35">
      <c r="B1352" s="6" t="str">
        <f t="shared" ca="1" si="378"/>
        <v>20235</v>
      </c>
      <c r="C1352" s="6">
        <f t="shared" ca="1" si="379"/>
        <v>2023</v>
      </c>
      <c r="D1352" s="6">
        <f t="shared" ca="1" si="380"/>
        <v>5</v>
      </c>
      <c r="E1352" s="68">
        <f ca="1">IFERROR(__xludf.DUMMYFUNCTION("""COMPUTED_VALUE"""),45061.6666666666)</f>
        <v>45061.666666666599</v>
      </c>
      <c r="F1352" s="6">
        <f ca="1">IFERROR(__xludf.DUMMYFUNCTION("""COMPUTED_VALUE"""),4136.28)</f>
        <v>4136.28</v>
      </c>
      <c r="J1352" s="6" t="str">
        <f t="shared" ca="1" si="381"/>
        <v>20235</v>
      </c>
      <c r="K1352" s="6">
        <f t="shared" ca="1" si="382"/>
        <v>2023</v>
      </c>
      <c r="L1352" s="6">
        <f t="shared" ca="1" si="383"/>
        <v>5</v>
      </c>
      <c r="M1352" s="68">
        <f ca="1">IFERROR(__xludf.DUMMYFUNCTION("""COMPUTED_VALUE"""),45051.6666666666)</f>
        <v>45051.666666666599</v>
      </c>
      <c r="N1352" s="6">
        <f ca="1">IFERROR(__xludf.DUMMYFUNCTION("""COMPUTED_VALUE"""),12235.41)</f>
        <v>12235.41</v>
      </c>
      <c r="R1352" s="6" t="str">
        <f t="shared" ca="1" si="384"/>
        <v>20236</v>
      </c>
      <c r="S1352" s="6">
        <f t="shared" ca="1" si="385"/>
        <v>2023</v>
      </c>
      <c r="T1352" s="6">
        <f t="shared" ca="1" si="386"/>
        <v>6</v>
      </c>
      <c r="U1352" s="68">
        <f ca="1">IFERROR(__xludf.DUMMYFUNCTION("""COMPUTED_VALUE"""),45106.6458333333)</f>
        <v>45106.645833333299</v>
      </c>
      <c r="V1352" s="6">
        <f ca="1">IFERROR(__xludf.DUMMYFUNCTION("""COMPUTED_VALUE"""),2550.02)</f>
        <v>2550.02</v>
      </c>
      <c r="Z1352" s="6" t="str">
        <f t="shared" ca="1" si="387"/>
        <v>202110</v>
      </c>
      <c r="AA1352" s="6">
        <f t="shared" ca="1" si="388"/>
        <v>2021</v>
      </c>
      <c r="AB1352" s="6">
        <f t="shared" ca="1" si="389"/>
        <v>10</v>
      </c>
      <c r="AC1352" s="68">
        <f ca="1">IFERROR(__xludf.DUMMYFUNCTION("""COMPUTED_VALUE"""),44498.9986111111)</f>
        <v>44498.998611111099</v>
      </c>
      <c r="AD1352" s="6">
        <f ca="1">IFERROR(__xludf.DUMMYFUNCTION("""COMPUTED_VALUE"""),1174.38)</f>
        <v>1174.3800000000001</v>
      </c>
      <c r="AH1352" s="6" t="str">
        <f t="shared" ca="1" si="390"/>
        <v>20219</v>
      </c>
      <c r="AI1352" s="6">
        <f t="shared" ca="1" si="391"/>
        <v>2021</v>
      </c>
      <c r="AJ1352" s="6">
        <f t="shared" ca="1" si="392"/>
        <v>9</v>
      </c>
      <c r="AK1352" s="68">
        <f ca="1">IFERROR(__xludf.DUMMYFUNCTION("""COMPUTED_VALUE"""),44445.9986111111)</f>
        <v>44445.998611111099</v>
      </c>
      <c r="AL1352" s="6">
        <f ca="1">IFERROR(__xludf.DUMMYFUNCTION("""COMPUTED_VALUE"""),52686.86)</f>
        <v>52686.86</v>
      </c>
      <c r="AP1352" s="6" t="str">
        <f t="shared" ca="1" si="393"/>
        <v>20235</v>
      </c>
      <c r="AQ1352" s="6">
        <f t="shared" ca="1" si="394"/>
        <v>2023</v>
      </c>
      <c r="AR1352" s="6">
        <f t="shared" ca="1" si="395"/>
        <v>5</v>
      </c>
      <c r="AS1352" s="68">
        <f ca="1">IFERROR(__xludf.DUMMYFUNCTION("""COMPUTED_VALUE"""),45068.9986111111)</f>
        <v>45068.998611111099</v>
      </c>
      <c r="AT1352" s="6">
        <f ca="1">IFERROR(__xludf.DUMMYFUNCTION("""COMPUTED_VALUE"""),1995.7)</f>
        <v>1995.7</v>
      </c>
    </row>
    <row r="1353" spans="2:46" x14ac:dyDescent="0.35">
      <c r="B1353" s="6" t="str">
        <f t="shared" ca="1" si="378"/>
        <v>20235</v>
      </c>
      <c r="C1353" s="6">
        <f t="shared" ca="1" si="379"/>
        <v>2023</v>
      </c>
      <c r="D1353" s="6">
        <f t="shared" ca="1" si="380"/>
        <v>5</v>
      </c>
      <c r="E1353" s="68">
        <f ca="1">IFERROR(__xludf.DUMMYFUNCTION("""COMPUTED_VALUE"""),45062.6666666666)</f>
        <v>45062.666666666599</v>
      </c>
      <c r="F1353" s="6">
        <f ca="1">IFERROR(__xludf.DUMMYFUNCTION("""COMPUTED_VALUE"""),4109.9)</f>
        <v>4109.8999999999996</v>
      </c>
      <c r="J1353" s="6" t="str">
        <f t="shared" ca="1" si="381"/>
        <v>20235</v>
      </c>
      <c r="K1353" s="6">
        <f t="shared" ca="1" si="382"/>
        <v>2023</v>
      </c>
      <c r="L1353" s="6">
        <f t="shared" ca="1" si="383"/>
        <v>5</v>
      </c>
      <c r="M1353" s="68">
        <f ca="1">IFERROR(__xludf.DUMMYFUNCTION("""COMPUTED_VALUE"""),45054.6666666666)</f>
        <v>45054.666666666599</v>
      </c>
      <c r="N1353" s="6">
        <f ca="1">IFERROR(__xludf.DUMMYFUNCTION("""COMPUTED_VALUE"""),12256.92)</f>
        <v>12256.92</v>
      </c>
      <c r="R1353" s="6" t="str">
        <f t="shared" ca="1" si="384"/>
        <v>20236</v>
      </c>
      <c r="S1353" s="6">
        <f t="shared" ca="1" si="385"/>
        <v>2023</v>
      </c>
      <c r="T1353" s="6">
        <f t="shared" ca="1" si="386"/>
        <v>6</v>
      </c>
      <c r="U1353" s="68">
        <f ca="1">IFERROR(__xludf.DUMMYFUNCTION("""COMPUTED_VALUE"""),45107.6458333333)</f>
        <v>45107.645833333299</v>
      </c>
      <c r="V1353" s="6">
        <f ca="1">IFERROR(__xludf.DUMMYFUNCTION("""COMPUTED_VALUE"""),2564.28)</f>
        <v>2564.2800000000002</v>
      </c>
      <c r="Z1353" s="6" t="str">
        <f t="shared" ca="1" si="387"/>
        <v>202110</v>
      </c>
      <c r="AA1353" s="6">
        <f t="shared" ca="1" si="388"/>
        <v>2021</v>
      </c>
      <c r="AB1353" s="6">
        <f t="shared" ca="1" si="389"/>
        <v>10</v>
      </c>
      <c r="AC1353" s="68">
        <f ca="1">IFERROR(__xludf.DUMMYFUNCTION("""COMPUTED_VALUE"""),44499.9986111111)</f>
        <v>44499.998611111099</v>
      </c>
      <c r="AD1353" s="6">
        <f ca="1">IFERROR(__xludf.DUMMYFUNCTION("""COMPUTED_VALUE"""),1174.38)</f>
        <v>1174.3800000000001</v>
      </c>
      <c r="AH1353" s="6" t="str">
        <f t="shared" ca="1" si="390"/>
        <v>20219</v>
      </c>
      <c r="AI1353" s="6">
        <f t="shared" ca="1" si="391"/>
        <v>2021</v>
      </c>
      <c r="AJ1353" s="6">
        <f t="shared" ca="1" si="392"/>
        <v>9</v>
      </c>
      <c r="AK1353" s="68">
        <f ca="1">IFERROR(__xludf.DUMMYFUNCTION("""COMPUTED_VALUE"""),44446.9986111111)</f>
        <v>44446.998611111099</v>
      </c>
      <c r="AL1353" s="6">
        <f ca="1">IFERROR(__xludf.DUMMYFUNCTION("""COMPUTED_VALUE"""),46796.45)</f>
        <v>46796.45</v>
      </c>
      <c r="AP1353" s="6" t="str">
        <f t="shared" ca="1" si="393"/>
        <v>20235</v>
      </c>
      <c r="AQ1353" s="6">
        <f t="shared" ca="1" si="394"/>
        <v>2023</v>
      </c>
      <c r="AR1353" s="6">
        <f t="shared" ca="1" si="395"/>
        <v>5</v>
      </c>
      <c r="AS1353" s="68">
        <f ca="1">IFERROR(__xludf.DUMMYFUNCTION("""COMPUTED_VALUE"""),45069.9986111111)</f>
        <v>45069.998611111099</v>
      </c>
      <c r="AT1353" s="6">
        <f ca="1">IFERROR(__xludf.DUMMYFUNCTION("""COMPUTED_VALUE"""),1992.8)</f>
        <v>1992.8</v>
      </c>
    </row>
    <row r="1354" spans="2:46" x14ac:dyDescent="0.35">
      <c r="B1354" s="6" t="str">
        <f t="shared" ca="1" si="378"/>
        <v>20235</v>
      </c>
      <c r="C1354" s="6">
        <f t="shared" ca="1" si="379"/>
        <v>2023</v>
      </c>
      <c r="D1354" s="6">
        <f t="shared" ca="1" si="380"/>
        <v>5</v>
      </c>
      <c r="E1354" s="68">
        <f ca="1">IFERROR(__xludf.DUMMYFUNCTION("""COMPUTED_VALUE"""),45063.6666666666)</f>
        <v>45063.666666666599</v>
      </c>
      <c r="F1354" s="6">
        <f ca="1">IFERROR(__xludf.DUMMYFUNCTION("""COMPUTED_VALUE"""),4158.77)</f>
        <v>4158.7700000000004</v>
      </c>
      <c r="J1354" s="6" t="str">
        <f t="shared" ca="1" si="381"/>
        <v>20235</v>
      </c>
      <c r="K1354" s="6">
        <f t="shared" ca="1" si="382"/>
        <v>2023</v>
      </c>
      <c r="L1354" s="6">
        <f t="shared" ca="1" si="383"/>
        <v>5</v>
      </c>
      <c r="M1354" s="68">
        <f ca="1">IFERROR(__xludf.DUMMYFUNCTION("""COMPUTED_VALUE"""),45055.6666666666)</f>
        <v>45055.666666666599</v>
      </c>
      <c r="N1354" s="6">
        <f ca="1">IFERROR(__xludf.DUMMYFUNCTION("""COMPUTED_VALUE"""),12179.55)</f>
        <v>12179.55</v>
      </c>
      <c r="R1354" s="6" t="str">
        <f t="shared" ca="1" si="384"/>
        <v>20237</v>
      </c>
      <c r="S1354" s="6">
        <f t="shared" ca="1" si="385"/>
        <v>2023</v>
      </c>
      <c r="T1354" s="6">
        <f t="shared" ca="1" si="386"/>
        <v>7</v>
      </c>
      <c r="U1354" s="68">
        <f ca="1">IFERROR(__xludf.DUMMYFUNCTION("""COMPUTED_VALUE"""),45110.6458333333)</f>
        <v>45110.645833333299</v>
      </c>
      <c r="V1354" s="6">
        <f ca="1">IFERROR(__xludf.DUMMYFUNCTION("""COMPUTED_VALUE"""),2602.47)</f>
        <v>2602.4699999999998</v>
      </c>
      <c r="Z1354" s="6" t="str">
        <f t="shared" ca="1" si="387"/>
        <v>202110</v>
      </c>
      <c r="AA1354" s="6">
        <f t="shared" ca="1" si="388"/>
        <v>2021</v>
      </c>
      <c r="AB1354" s="6">
        <f t="shared" ca="1" si="389"/>
        <v>10</v>
      </c>
      <c r="AC1354" s="68">
        <f ca="1">IFERROR(__xludf.DUMMYFUNCTION("""COMPUTED_VALUE"""),44500.9986111111)</f>
        <v>44500.998611111099</v>
      </c>
      <c r="AD1354" s="6">
        <f ca="1">IFERROR(__xludf.DUMMYFUNCTION("""COMPUTED_VALUE"""),1174.38)</f>
        <v>1174.3800000000001</v>
      </c>
      <c r="AH1354" s="6" t="str">
        <f t="shared" ca="1" si="390"/>
        <v>20219</v>
      </c>
      <c r="AI1354" s="6">
        <f t="shared" ca="1" si="391"/>
        <v>2021</v>
      </c>
      <c r="AJ1354" s="6">
        <f t="shared" ca="1" si="392"/>
        <v>9</v>
      </c>
      <c r="AK1354" s="68">
        <f ca="1">IFERROR(__xludf.DUMMYFUNCTION("""COMPUTED_VALUE"""),44447.9986111111)</f>
        <v>44447.998611111099</v>
      </c>
      <c r="AL1354" s="6">
        <f ca="1">IFERROR(__xludf.DUMMYFUNCTION("""COMPUTED_VALUE"""),46074.31)</f>
        <v>46074.31</v>
      </c>
      <c r="AP1354" s="6" t="str">
        <f t="shared" ca="1" si="393"/>
        <v>20235</v>
      </c>
      <c r="AQ1354" s="6">
        <f t="shared" ca="1" si="394"/>
        <v>2023</v>
      </c>
      <c r="AR1354" s="6">
        <f t="shared" ca="1" si="395"/>
        <v>5</v>
      </c>
      <c r="AS1354" s="68">
        <f ca="1">IFERROR(__xludf.DUMMYFUNCTION("""COMPUTED_VALUE"""),45070.9986111111)</f>
        <v>45070.998611111099</v>
      </c>
      <c r="AT1354" s="6">
        <f ca="1">IFERROR(__xludf.DUMMYFUNCTION("""COMPUTED_VALUE"""),1983.1)</f>
        <v>1983.1</v>
      </c>
    </row>
    <row r="1355" spans="2:46" x14ac:dyDescent="0.35">
      <c r="B1355" s="6" t="str">
        <f t="shared" ca="1" si="378"/>
        <v>20235</v>
      </c>
      <c r="C1355" s="6">
        <f t="shared" ca="1" si="379"/>
        <v>2023</v>
      </c>
      <c r="D1355" s="6">
        <f t="shared" ca="1" si="380"/>
        <v>5</v>
      </c>
      <c r="E1355" s="68">
        <f ca="1">IFERROR(__xludf.DUMMYFUNCTION("""COMPUTED_VALUE"""),45064.6666666666)</f>
        <v>45064.666666666599</v>
      </c>
      <c r="F1355" s="6">
        <f ca="1">IFERROR(__xludf.DUMMYFUNCTION("""COMPUTED_VALUE"""),4198.05)</f>
        <v>4198.05</v>
      </c>
      <c r="J1355" s="6" t="str">
        <f t="shared" ca="1" si="381"/>
        <v>20235</v>
      </c>
      <c r="K1355" s="6">
        <f t="shared" ca="1" si="382"/>
        <v>2023</v>
      </c>
      <c r="L1355" s="6">
        <f t="shared" ca="1" si="383"/>
        <v>5</v>
      </c>
      <c r="M1355" s="68">
        <f ca="1">IFERROR(__xludf.DUMMYFUNCTION("""COMPUTED_VALUE"""),45056.6666666666)</f>
        <v>45056.666666666599</v>
      </c>
      <c r="N1355" s="6">
        <f ca="1">IFERROR(__xludf.DUMMYFUNCTION("""COMPUTED_VALUE"""),12306.44)</f>
        <v>12306.44</v>
      </c>
      <c r="R1355" s="6" t="str">
        <f t="shared" ca="1" si="384"/>
        <v>20237</v>
      </c>
      <c r="S1355" s="6">
        <f t="shared" ca="1" si="385"/>
        <v>2023</v>
      </c>
      <c r="T1355" s="6">
        <f t="shared" ca="1" si="386"/>
        <v>7</v>
      </c>
      <c r="U1355" s="68">
        <f ca="1">IFERROR(__xludf.DUMMYFUNCTION("""COMPUTED_VALUE"""),45111.6458333333)</f>
        <v>45111.645833333299</v>
      </c>
      <c r="V1355" s="6">
        <f ca="1">IFERROR(__xludf.DUMMYFUNCTION("""COMPUTED_VALUE"""),2593.31)</f>
        <v>2593.31</v>
      </c>
      <c r="Z1355" s="6" t="str">
        <f t="shared" ca="1" si="387"/>
        <v>202111</v>
      </c>
      <c r="AA1355" s="6">
        <f t="shared" ca="1" si="388"/>
        <v>2021</v>
      </c>
      <c r="AB1355" s="6">
        <f t="shared" ca="1" si="389"/>
        <v>11</v>
      </c>
      <c r="AC1355" s="68">
        <f ca="1">IFERROR(__xludf.DUMMYFUNCTION("""COMPUTED_VALUE"""),44501.9986111111)</f>
        <v>44501.998611111099</v>
      </c>
      <c r="AD1355" s="6">
        <f ca="1">IFERROR(__xludf.DUMMYFUNCTION("""COMPUTED_VALUE"""),1176.57)</f>
        <v>1176.57</v>
      </c>
      <c r="AH1355" s="6" t="str">
        <f t="shared" ca="1" si="390"/>
        <v>20219</v>
      </c>
      <c r="AI1355" s="6">
        <f t="shared" ca="1" si="391"/>
        <v>2021</v>
      </c>
      <c r="AJ1355" s="6">
        <f t="shared" ca="1" si="392"/>
        <v>9</v>
      </c>
      <c r="AK1355" s="68">
        <f ca="1">IFERROR(__xludf.DUMMYFUNCTION("""COMPUTED_VALUE"""),44448.9986111111)</f>
        <v>44448.998611111099</v>
      </c>
      <c r="AL1355" s="6">
        <f ca="1">IFERROR(__xludf.DUMMYFUNCTION("""COMPUTED_VALUE"""),46386.34)</f>
        <v>46386.34</v>
      </c>
      <c r="AP1355" s="6" t="str">
        <f t="shared" ca="1" si="393"/>
        <v>20235</v>
      </c>
      <c r="AQ1355" s="6">
        <f t="shared" ca="1" si="394"/>
        <v>2023</v>
      </c>
      <c r="AR1355" s="6">
        <f t="shared" ca="1" si="395"/>
        <v>5</v>
      </c>
      <c r="AS1355" s="68">
        <f ca="1">IFERROR(__xludf.DUMMYFUNCTION("""COMPUTED_VALUE"""),45071.9986111111)</f>
        <v>45071.998611111099</v>
      </c>
      <c r="AT1355" s="6">
        <f ca="1">IFERROR(__xludf.DUMMYFUNCTION("""COMPUTED_VALUE"""),1962.3)</f>
        <v>1962.3</v>
      </c>
    </row>
    <row r="1356" spans="2:46" x14ac:dyDescent="0.35">
      <c r="B1356" s="6" t="str">
        <f t="shared" ca="1" si="378"/>
        <v>20235</v>
      </c>
      <c r="C1356" s="6">
        <f t="shared" ca="1" si="379"/>
        <v>2023</v>
      </c>
      <c r="D1356" s="6">
        <f t="shared" ca="1" si="380"/>
        <v>5</v>
      </c>
      <c r="E1356" s="68">
        <f ca="1">IFERROR(__xludf.DUMMYFUNCTION("""COMPUTED_VALUE"""),45065.6666666666)</f>
        <v>45065.666666666599</v>
      </c>
      <c r="F1356" s="6">
        <f ca="1">IFERROR(__xludf.DUMMYFUNCTION("""COMPUTED_VALUE"""),4191.98)</f>
        <v>4191.9799999999996</v>
      </c>
      <c r="J1356" s="6" t="str">
        <f t="shared" ca="1" si="381"/>
        <v>20235</v>
      </c>
      <c r="K1356" s="6">
        <f t="shared" ca="1" si="382"/>
        <v>2023</v>
      </c>
      <c r="L1356" s="6">
        <f t="shared" ca="1" si="383"/>
        <v>5</v>
      </c>
      <c r="M1356" s="68">
        <f ca="1">IFERROR(__xludf.DUMMYFUNCTION("""COMPUTED_VALUE"""),45057.6666666666)</f>
        <v>45057.666666666599</v>
      </c>
      <c r="N1356" s="6">
        <f ca="1">IFERROR(__xludf.DUMMYFUNCTION("""COMPUTED_VALUE"""),12328.51)</f>
        <v>12328.51</v>
      </c>
      <c r="R1356" s="6" t="str">
        <f t="shared" ca="1" si="384"/>
        <v>20237</v>
      </c>
      <c r="S1356" s="6">
        <f t="shared" ca="1" si="385"/>
        <v>2023</v>
      </c>
      <c r="T1356" s="6">
        <f t="shared" ca="1" si="386"/>
        <v>7</v>
      </c>
      <c r="U1356" s="68">
        <f ca="1">IFERROR(__xludf.DUMMYFUNCTION("""COMPUTED_VALUE"""),45112.6458333333)</f>
        <v>45112.645833333299</v>
      </c>
      <c r="V1356" s="6">
        <f ca="1">IFERROR(__xludf.DUMMYFUNCTION("""COMPUTED_VALUE"""),2579)</f>
        <v>2579</v>
      </c>
      <c r="Z1356" s="6" t="str">
        <f t="shared" ca="1" si="387"/>
        <v>202111</v>
      </c>
      <c r="AA1356" s="6">
        <f t="shared" ca="1" si="388"/>
        <v>2021</v>
      </c>
      <c r="AB1356" s="6">
        <f t="shared" ca="1" si="389"/>
        <v>11</v>
      </c>
      <c r="AC1356" s="68">
        <f ca="1">IFERROR(__xludf.DUMMYFUNCTION("""COMPUTED_VALUE"""),44502.9986111111)</f>
        <v>44502.998611111099</v>
      </c>
      <c r="AD1356" s="6">
        <f ca="1">IFERROR(__xludf.DUMMYFUNCTION("""COMPUTED_VALUE"""),1178.04)</f>
        <v>1178.04</v>
      </c>
      <c r="AH1356" s="6" t="str">
        <f t="shared" ca="1" si="390"/>
        <v>20219</v>
      </c>
      <c r="AI1356" s="6">
        <f t="shared" ca="1" si="391"/>
        <v>2021</v>
      </c>
      <c r="AJ1356" s="6">
        <f t="shared" ca="1" si="392"/>
        <v>9</v>
      </c>
      <c r="AK1356" s="68">
        <f ca="1">IFERROR(__xludf.DUMMYFUNCTION("""COMPUTED_VALUE"""),44449.9986111111)</f>
        <v>44449.998611111099</v>
      </c>
      <c r="AL1356" s="6">
        <f ca="1">IFERROR(__xludf.DUMMYFUNCTION("""COMPUTED_VALUE"""),44844.22)</f>
        <v>44844.22</v>
      </c>
      <c r="AP1356" s="6" t="str">
        <f t="shared" ca="1" si="393"/>
        <v>20235</v>
      </c>
      <c r="AQ1356" s="6">
        <f t="shared" ca="1" si="394"/>
        <v>2023</v>
      </c>
      <c r="AR1356" s="6">
        <f t="shared" ca="1" si="395"/>
        <v>5</v>
      </c>
      <c r="AS1356" s="68">
        <f ca="1">IFERROR(__xludf.DUMMYFUNCTION("""COMPUTED_VALUE"""),45072.9986111111)</f>
        <v>45072.998611111099</v>
      </c>
      <c r="AT1356" s="6">
        <f ca="1">IFERROR(__xludf.DUMMYFUNCTION("""COMPUTED_VALUE"""),1963.1)</f>
        <v>1963.1</v>
      </c>
    </row>
    <row r="1357" spans="2:46" x14ac:dyDescent="0.35">
      <c r="B1357" s="6" t="str">
        <f t="shared" ca="1" si="378"/>
        <v>20235</v>
      </c>
      <c r="C1357" s="6">
        <f t="shared" ca="1" si="379"/>
        <v>2023</v>
      </c>
      <c r="D1357" s="6">
        <f t="shared" ca="1" si="380"/>
        <v>5</v>
      </c>
      <c r="E1357" s="68">
        <f ca="1">IFERROR(__xludf.DUMMYFUNCTION("""COMPUTED_VALUE"""),45068.6666666666)</f>
        <v>45068.666666666599</v>
      </c>
      <c r="F1357" s="6">
        <f ca="1">IFERROR(__xludf.DUMMYFUNCTION("""COMPUTED_VALUE"""),4192.63)</f>
        <v>4192.63</v>
      </c>
      <c r="J1357" s="6" t="str">
        <f t="shared" ca="1" si="381"/>
        <v>20235</v>
      </c>
      <c r="K1357" s="6">
        <f t="shared" ca="1" si="382"/>
        <v>2023</v>
      </c>
      <c r="L1357" s="6">
        <f t="shared" ca="1" si="383"/>
        <v>5</v>
      </c>
      <c r="M1357" s="68">
        <f ca="1">IFERROR(__xludf.DUMMYFUNCTION("""COMPUTED_VALUE"""),45058.6666666666)</f>
        <v>45058.666666666599</v>
      </c>
      <c r="N1357" s="6">
        <f ca="1">IFERROR(__xludf.DUMMYFUNCTION("""COMPUTED_VALUE"""),12284.74)</f>
        <v>12284.74</v>
      </c>
      <c r="R1357" s="6" t="str">
        <f t="shared" ca="1" si="384"/>
        <v>20237</v>
      </c>
      <c r="S1357" s="6">
        <f t="shared" ca="1" si="385"/>
        <v>2023</v>
      </c>
      <c r="T1357" s="6">
        <f t="shared" ca="1" si="386"/>
        <v>7</v>
      </c>
      <c r="U1357" s="68">
        <f ca="1">IFERROR(__xludf.DUMMYFUNCTION("""COMPUTED_VALUE"""),45113.6458333333)</f>
        <v>45113.645833333299</v>
      </c>
      <c r="V1357" s="6">
        <f ca="1">IFERROR(__xludf.DUMMYFUNCTION("""COMPUTED_VALUE"""),2556.29)</f>
        <v>2556.29</v>
      </c>
      <c r="Z1357" s="6" t="str">
        <f t="shared" ca="1" si="387"/>
        <v>202111</v>
      </c>
      <c r="AA1357" s="6">
        <f t="shared" ca="1" si="388"/>
        <v>2021</v>
      </c>
      <c r="AB1357" s="6">
        <f t="shared" ca="1" si="389"/>
        <v>11</v>
      </c>
      <c r="AC1357" s="68">
        <f ca="1">IFERROR(__xludf.DUMMYFUNCTION("""COMPUTED_VALUE"""),44503.9986111111)</f>
        <v>44503.998611111099</v>
      </c>
      <c r="AD1357" s="6">
        <f ca="1">IFERROR(__xludf.DUMMYFUNCTION("""COMPUTED_VALUE"""),1179.34)</f>
        <v>1179.3399999999999</v>
      </c>
      <c r="AH1357" s="6" t="str">
        <f t="shared" ca="1" si="390"/>
        <v>20219</v>
      </c>
      <c r="AI1357" s="6">
        <f t="shared" ca="1" si="391"/>
        <v>2021</v>
      </c>
      <c r="AJ1357" s="6">
        <f t="shared" ca="1" si="392"/>
        <v>9</v>
      </c>
      <c r="AK1357" s="68">
        <f ca="1">IFERROR(__xludf.DUMMYFUNCTION("""COMPUTED_VALUE"""),44450.9986111111)</f>
        <v>44450.998611111099</v>
      </c>
      <c r="AL1357" s="6">
        <f ca="1">IFERROR(__xludf.DUMMYFUNCTION("""COMPUTED_VALUE"""),45164.73)</f>
        <v>45164.73</v>
      </c>
      <c r="AP1357" s="6" t="str">
        <f t="shared" ca="1" si="393"/>
        <v>20235</v>
      </c>
      <c r="AQ1357" s="6">
        <f t="shared" ca="1" si="394"/>
        <v>2023</v>
      </c>
      <c r="AR1357" s="6">
        <f t="shared" ca="1" si="395"/>
        <v>5</v>
      </c>
      <c r="AS1357" s="68">
        <f ca="1">IFERROR(__xludf.DUMMYFUNCTION("""COMPUTED_VALUE"""),45076.9986111111)</f>
        <v>45076.998611111099</v>
      </c>
      <c r="AT1357" s="6">
        <f ca="1">IFERROR(__xludf.DUMMYFUNCTION("""COMPUTED_VALUE"""),1977.1)</f>
        <v>1977.1</v>
      </c>
    </row>
    <row r="1358" spans="2:46" x14ac:dyDescent="0.35">
      <c r="B1358" s="6" t="str">
        <f t="shared" ca="1" si="378"/>
        <v>20235</v>
      </c>
      <c r="C1358" s="6">
        <f t="shared" ca="1" si="379"/>
        <v>2023</v>
      </c>
      <c r="D1358" s="6">
        <f t="shared" ca="1" si="380"/>
        <v>5</v>
      </c>
      <c r="E1358" s="68">
        <f ca="1">IFERROR(__xludf.DUMMYFUNCTION("""COMPUTED_VALUE"""),45069.6666666666)</f>
        <v>45069.666666666599</v>
      </c>
      <c r="F1358" s="6">
        <f ca="1">IFERROR(__xludf.DUMMYFUNCTION("""COMPUTED_VALUE"""),4145.58)</f>
        <v>4145.58</v>
      </c>
      <c r="J1358" s="6" t="str">
        <f t="shared" ca="1" si="381"/>
        <v>20235</v>
      </c>
      <c r="K1358" s="6">
        <f t="shared" ca="1" si="382"/>
        <v>2023</v>
      </c>
      <c r="L1358" s="6">
        <f t="shared" ca="1" si="383"/>
        <v>5</v>
      </c>
      <c r="M1358" s="68">
        <f ca="1">IFERROR(__xludf.DUMMYFUNCTION("""COMPUTED_VALUE"""),45061.6666666666)</f>
        <v>45061.666666666599</v>
      </c>
      <c r="N1358" s="6">
        <f ca="1">IFERROR(__xludf.DUMMYFUNCTION("""COMPUTED_VALUE"""),12365.21)</f>
        <v>12365.21</v>
      </c>
      <c r="R1358" s="6" t="str">
        <f t="shared" ca="1" si="384"/>
        <v>20237</v>
      </c>
      <c r="S1358" s="6">
        <f t="shared" ca="1" si="385"/>
        <v>2023</v>
      </c>
      <c r="T1358" s="6">
        <f t="shared" ca="1" si="386"/>
        <v>7</v>
      </c>
      <c r="U1358" s="68">
        <f ca="1">IFERROR(__xludf.DUMMYFUNCTION("""COMPUTED_VALUE"""),45114.6458333333)</f>
        <v>45114.645833333299</v>
      </c>
      <c r="V1358" s="6">
        <f ca="1">IFERROR(__xludf.DUMMYFUNCTION("""COMPUTED_VALUE"""),2526.71)</f>
        <v>2526.71</v>
      </c>
      <c r="Z1358" s="6" t="str">
        <f t="shared" ca="1" si="387"/>
        <v>202111</v>
      </c>
      <c r="AA1358" s="6">
        <f t="shared" ca="1" si="388"/>
        <v>2021</v>
      </c>
      <c r="AB1358" s="6">
        <f t="shared" ca="1" si="389"/>
        <v>11</v>
      </c>
      <c r="AC1358" s="68">
        <f ca="1">IFERROR(__xludf.DUMMYFUNCTION("""COMPUTED_VALUE"""),44504.9986111111)</f>
        <v>44504.998611111099</v>
      </c>
      <c r="AD1358" s="6">
        <f ca="1">IFERROR(__xludf.DUMMYFUNCTION("""COMPUTED_VALUE"""),1185.83)</f>
        <v>1185.83</v>
      </c>
      <c r="AH1358" s="6" t="str">
        <f t="shared" ca="1" si="390"/>
        <v>20219</v>
      </c>
      <c r="AI1358" s="6">
        <f t="shared" ca="1" si="391"/>
        <v>2021</v>
      </c>
      <c r="AJ1358" s="6">
        <f t="shared" ca="1" si="392"/>
        <v>9</v>
      </c>
      <c r="AK1358" s="68">
        <f ca="1">IFERROR(__xludf.DUMMYFUNCTION("""COMPUTED_VALUE"""),44451.9986111111)</f>
        <v>44451.998611111099</v>
      </c>
      <c r="AL1358" s="6">
        <f ca="1">IFERROR(__xludf.DUMMYFUNCTION("""COMPUTED_VALUE"""),46060.68)</f>
        <v>46060.68</v>
      </c>
      <c r="AP1358" s="6" t="str">
        <f t="shared" ca="1" si="393"/>
        <v>20235</v>
      </c>
      <c r="AQ1358" s="6">
        <f t="shared" ca="1" si="394"/>
        <v>2023</v>
      </c>
      <c r="AR1358" s="6">
        <f t="shared" ca="1" si="395"/>
        <v>5</v>
      </c>
      <c r="AS1358" s="68">
        <f ca="1">IFERROR(__xludf.DUMMYFUNCTION("""COMPUTED_VALUE"""),45077.9986111111)</f>
        <v>45077.998611111099</v>
      </c>
      <c r="AT1358" s="6">
        <f ca="1">IFERROR(__xludf.DUMMYFUNCTION("""COMPUTED_VALUE"""),1982.1)</f>
        <v>1982.1</v>
      </c>
    </row>
    <row r="1359" spans="2:46" x14ac:dyDescent="0.35">
      <c r="B1359" s="6" t="str">
        <f t="shared" ca="1" si="378"/>
        <v>20235</v>
      </c>
      <c r="C1359" s="6">
        <f t="shared" ca="1" si="379"/>
        <v>2023</v>
      </c>
      <c r="D1359" s="6">
        <f t="shared" ca="1" si="380"/>
        <v>5</v>
      </c>
      <c r="E1359" s="68">
        <f ca="1">IFERROR(__xludf.DUMMYFUNCTION("""COMPUTED_VALUE"""),45070.6666666666)</f>
        <v>45070.666666666599</v>
      </c>
      <c r="F1359" s="6">
        <f ca="1">IFERROR(__xludf.DUMMYFUNCTION("""COMPUTED_VALUE"""),4115.24)</f>
        <v>4115.24</v>
      </c>
      <c r="J1359" s="6" t="str">
        <f t="shared" ca="1" si="381"/>
        <v>20235</v>
      </c>
      <c r="K1359" s="6">
        <f t="shared" ca="1" si="382"/>
        <v>2023</v>
      </c>
      <c r="L1359" s="6">
        <f t="shared" ca="1" si="383"/>
        <v>5</v>
      </c>
      <c r="M1359" s="68">
        <f ca="1">IFERROR(__xludf.DUMMYFUNCTION("""COMPUTED_VALUE"""),45062.6666666666)</f>
        <v>45062.666666666599</v>
      </c>
      <c r="N1359" s="6">
        <f ca="1">IFERROR(__xludf.DUMMYFUNCTION("""COMPUTED_VALUE"""),12343.05)</f>
        <v>12343.05</v>
      </c>
      <c r="R1359" s="6" t="str">
        <f t="shared" ca="1" si="384"/>
        <v>20237</v>
      </c>
      <c r="S1359" s="6">
        <f t="shared" ca="1" si="385"/>
        <v>2023</v>
      </c>
      <c r="T1359" s="6">
        <f t="shared" ca="1" si="386"/>
        <v>7</v>
      </c>
      <c r="U1359" s="68">
        <f ca="1">IFERROR(__xludf.DUMMYFUNCTION("""COMPUTED_VALUE"""),45117.6458333333)</f>
        <v>45117.645833333299</v>
      </c>
      <c r="V1359" s="6">
        <f ca="1">IFERROR(__xludf.DUMMYFUNCTION("""COMPUTED_VALUE"""),2520.7)</f>
        <v>2520.6999999999998</v>
      </c>
      <c r="Z1359" s="6" t="str">
        <f t="shared" ca="1" si="387"/>
        <v>202111</v>
      </c>
      <c r="AA1359" s="6">
        <f t="shared" ca="1" si="388"/>
        <v>2021</v>
      </c>
      <c r="AB1359" s="6">
        <f t="shared" ca="1" si="389"/>
        <v>11</v>
      </c>
      <c r="AC1359" s="68">
        <f ca="1">IFERROR(__xludf.DUMMYFUNCTION("""COMPUTED_VALUE"""),44505.9986111111)</f>
        <v>44505.998611111099</v>
      </c>
      <c r="AD1359" s="6">
        <f ca="1">IFERROR(__xludf.DUMMYFUNCTION("""COMPUTED_VALUE"""),1180.5)</f>
        <v>1180.5</v>
      </c>
      <c r="AH1359" s="6" t="str">
        <f t="shared" ca="1" si="390"/>
        <v>20219</v>
      </c>
      <c r="AI1359" s="6">
        <f t="shared" ca="1" si="391"/>
        <v>2021</v>
      </c>
      <c r="AJ1359" s="6">
        <f t="shared" ca="1" si="392"/>
        <v>9</v>
      </c>
      <c r="AK1359" s="68">
        <f ca="1">IFERROR(__xludf.DUMMYFUNCTION("""COMPUTED_VALUE"""),44452.9986111111)</f>
        <v>44452.998611111099</v>
      </c>
      <c r="AL1359" s="6">
        <f ca="1">IFERROR(__xludf.DUMMYFUNCTION("""COMPUTED_VALUE"""),44949.85)</f>
        <v>44949.85</v>
      </c>
      <c r="AP1359" s="6" t="str">
        <f t="shared" ca="1" si="393"/>
        <v>20236</v>
      </c>
      <c r="AQ1359" s="6">
        <f t="shared" ca="1" si="394"/>
        <v>2023</v>
      </c>
      <c r="AR1359" s="6">
        <f t="shared" ca="1" si="395"/>
        <v>6</v>
      </c>
      <c r="AS1359" s="68">
        <f ca="1">IFERROR(__xludf.DUMMYFUNCTION("""COMPUTED_VALUE"""),45078.9986111111)</f>
        <v>45078.998611111099</v>
      </c>
      <c r="AT1359" s="6">
        <f ca="1">IFERROR(__xludf.DUMMYFUNCTION("""COMPUTED_VALUE"""),1995.5)</f>
        <v>1995.5</v>
      </c>
    </row>
    <row r="1360" spans="2:46" x14ac:dyDescent="0.35">
      <c r="B1360" s="6" t="str">
        <f t="shared" ca="1" si="378"/>
        <v>20235</v>
      </c>
      <c r="C1360" s="6">
        <f t="shared" ca="1" si="379"/>
        <v>2023</v>
      </c>
      <c r="D1360" s="6">
        <f t="shared" ca="1" si="380"/>
        <v>5</v>
      </c>
      <c r="E1360" s="68">
        <f ca="1">IFERROR(__xludf.DUMMYFUNCTION("""COMPUTED_VALUE"""),45071.6666666666)</f>
        <v>45071.666666666599</v>
      </c>
      <c r="F1360" s="6">
        <f ca="1">IFERROR(__xludf.DUMMYFUNCTION("""COMPUTED_VALUE"""),4151.28)</f>
        <v>4151.28</v>
      </c>
      <c r="J1360" s="6" t="str">
        <f t="shared" ca="1" si="381"/>
        <v>20235</v>
      </c>
      <c r="K1360" s="6">
        <f t="shared" ca="1" si="382"/>
        <v>2023</v>
      </c>
      <c r="L1360" s="6">
        <f t="shared" ca="1" si="383"/>
        <v>5</v>
      </c>
      <c r="M1360" s="68">
        <f ca="1">IFERROR(__xludf.DUMMYFUNCTION("""COMPUTED_VALUE"""),45063.6666666666)</f>
        <v>45063.666666666599</v>
      </c>
      <c r="N1360" s="6">
        <f ca="1">IFERROR(__xludf.DUMMYFUNCTION("""COMPUTED_VALUE"""),12500.57)</f>
        <v>12500.57</v>
      </c>
      <c r="R1360" s="6" t="str">
        <f t="shared" ca="1" si="384"/>
        <v>20237</v>
      </c>
      <c r="S1360" s="6">
        <f t="shared" ca="1" si="385"/>
        <v>2023</v>
      </c>
      <c r="T1360" s="6">
        <f t="shared" ca="1" si="386"/>
        <v>7</v>
      </c>
      <c r="U1360" s="68">
        <f ca="1">IFERROR(__xludf.DUMMYFUNCTION("""COMPUTED_VALUE"""),45118.6458333333)</f>
        <v>45118.645833333299</v>
      </c>
      <c r="V1360" s="6">
        <f ca="1">IFERROR(__xludf.DUMMYFUNCTION("""COMPUTED_VALUE"""),2562.49)</f>
        <v>2562.4899999999998</v>
      </c>
      <c r="Z1360" s="6" t="str">
        <f t="shared" ca="1" si="387"/>
        <v>202111</v>
      </c>
      <c r="AA1360" s="6">
        <f t="shared" ca="1" si="388"/>
        <v>2021</v>
      </c>
      <c r="AB1360" s="6">
        <f t="shared" ca="1" si="389"/>
        <v>11</v>
      </c>
      <c r="AC1360" s="68">
        <f ca="1">IFERROR(__xludf.DUMMYFUNCTION("""COMPUTED_VALUE"""),44506.9986111111)</f>
        <v>44506.998611111099</v>
      </c>
      <c r="AD1360" s="6">
        <f ca="1">IFERROR(__xludf.DUMMYFUNCTION("""COMPUTED_VALUE"""),1180.5)</f>
        <v>1180.5</v>
      </c>
      <c r="AH1360" s="6" t="str">
        <f t="shared" ca="1" si="390"/>
        <v>20219</v>
      </c>
      <c r="AI1360" s="6">
        <f t="shared" ca="1" si="391"/>
        <v>2021</v>
      </c>
      <c r="AJ1360" s="6">
        <f t="shared" ca="1" si="392"/>
        <v>9</v>
      </c>
      <c r="AK1360" s="68">
        <f ca="1">IFERROR(__xludf.DUMMYFUNCTION("""COMPUTED_VALUE"""),44453.9986111111)</f>
        <v>44453.998611111099</v>
      </c>
      <c r="AL1360" s="6">
        <f ca="1">IFERROR(__xludf.DUMMYFUNCTION("""COMPUTED_VALUE"""),47069.52)</f>
        <v>47069.52</v>
      </c>
      <c r="AP1360" s="6" t="str">
        <f t="shared" ca="1" si="393"/>
        <v>20236</v>
      </c>
      <c r="AQ1360" s="6">
        <f t="shared" ca="1" si="394"/>
        <v>2023</v>
      </c>
      <c r="AR1360" s="6">
        <f t="shared" ca="1" si="395"/>
        <v>6</v>
      </c>
      <c r="AS1360" s="68">
        <f ca="1">IFERROR(__xludf.DUMMYFUNCTION("""COMPUTED_VALUE"""),45079.9986111111)</f>
        <v>45079.998611111099</v>
      </c>
      <c r="AT1360" s="6">
        <f ca="1">IFERROR(__xludf.DUMMYFUNCTION("""COMPUTED_VALUE"""),1969.6)</f>
        <v>1969.6</v>
      </c>
    </row>
    <row r="1361" spans="2:46" x14ac:dyDescent="0.35">
      <c r="B1361" s="6" t="str">
        <f t="shared" ca="1" si="378"/>
        <v>20235</v>
      </c>
      <c r="C1361" s="6">
        <f t="shared" ca="1" si="379"/>
        <v>2023</v>
      </c>
      <c r="D1361" s="6">
        <f t="shared" ca="1" si="380"/>
        <v>5</v>
      </c>
      <c r="E1361" s="68">
        <f ca="1">IFERROR(__xludf.DUMMYFUNCTION("""COMPUTED_VALUE"""),45072.6666666666)</f>
        <v>45072.666666666599</v>
      </c>
      <c r="F1361" s="6">
        <f ca="1">IFERROR(__xludf.DUMMYFUNCTION("""COMPUTED_VALUE"""),4205.45)</f>
        <v>4205.45</v>
      </c>
      <c r="J1361" s="6" t="str">
        <f t="shared" ca="1" si="381"/>
        <v>20235</v>
      </c>
      <c r="K1361" s="6">
        <f t="shared" ca="1" si="382"/>
        <v>2023</v>
      </c>
      <c r="L1361" s="6">
        <f t="shared" ca="1" si="383"/>
        <v>5</v>
      </c>
      <c r="M1361" s="68">
        <f ca="1">IFERROR(__xludf.DUMMYFUNCTION("""COMPUTED_VALUE"""),45064.6666666666)</f>
        <v>45064.666666666599</v>
      </c>
      <c r="N1361" s="6">
        <f ca="1">IFERROR(__xludf.DUMMYFUNCTION("""COMPUTED_VALUE"""),12688.84)</f>
        <v>12688.84</v>
      </c>
      <c r="R1361" s="6" t="str">
        <f t="shared" ca="1" si="384"/>
        <v>20237</v>
      </c>
      <c r="S1361" s="6">
        <f t="shared" ca="1" si="385"/>
        <v>2023</v>
      </c>
      <c r="T1361" s="6">
        <f t="shared" ca="1" si="386"/>
        <v>7</v>
      </c>
      <c r="U1361" s="68">
        <f ca="1">IFERROR(__xludf.DUMMYFUNCTION("""COMPUTED_VALUE"""),45119.6458333333)</f>
        <v>45119.645833333299</v>
      </c>
      <c r="V1361" s="6">
        <f ca="1">IFERROR(__xludf.DUMMYFUNCTION("""COMPUTED_VALUE"""),2574.72)</f>
        <v>2574.7199999999998</v>
      </c>
      <c r="Z1361" s="6" t="str">
        <f t="shared" ca="1" si="387"/>
        <v>202111</v>
      </c>
      <c r="AA1361" s="6">
        <f t="shared" ca="1" si="388"/>
        <v>2021</v>
      </c>
      <c r="AB1361" s="6">
        <f t="shared" ca="1" si="389"/>
        <v>11</v>
      </c>
      <c r="AC1361" s="68">
        <f ca="1">IFERROR(__xludf.DUMMYFUNCTION("""COMPUTED_VALUE"""),44507.9986111111)</f>
        <v>44507.998611111099</v>
      </c>
      <c r="AD1361" s="6">
        <f ca="1">IFERROR(__xludf.DUMMYFUNCTION("""COMPUTED_VALUE"""),1180.5)</f>
        <v>1180.5</v>
      </c>
      <c r="AH1361" s="6" t="str">
        <f t="shared" ca="1" si="390"/>
        <v>20219</v>
      </c>
      <c r="AI1361" s="6">
        <f t="shared" ca="1" si="391"/>
        <v>2021</v>
      </c>
      <c r="AJ1361" s="6">
        <f t="shared" ca="1" si="392"/>
        <v>9</v>
      </c>
      <c r="AK1361" s="68">
        <f ca="1">IFERROR(__xludf.DUMMYFUNCTION("""COMPUTED_VALUE"""),44454.9986111111)</f>
        <v>44454.998611111099</v>
      </c>
      <c r="AL1361" s="6">
        <f ca="1">IFERROR(__xludf.DUMMYFUNCTION("""COMPUTED_VALUE"""),48143.54)</f>
        <v>48143.54</v>
      </c>
      <c r="AP1361" s="6" t="str">
        <f t="shared" ca="1" si="393"/>
        <v>20236</v>
      </c>
      <c r="AQ1361" s="6">
        <f t="shared" ca="1" si="394"/>
        <v>2023</v>
      </c>
      <c r="AR1361" s="6">
        <f t="shared" ca="1" si="395"/>
        <v>6</v>
      </c>
      <c r="AS1361" s="68">
        <f ca="1">IFERROR(__xludf.DUMMYFUNCTION("""COMPUTED_VALUE"""),45082.9986111111)</f>
        <v>45082.998611111099</v>
      </c>
      <c r="AT1361" s="6">
        <f ca="1">IFERROR(__xludf.DUMMYFUNCTION("""COMPUTED_VALUE"""),1974.3)</f>
        <v>1974.3</v>
      </c>
    </row>
    <row r="1362" spans="2:46" x14ac:dyDescent="0.35">
      <c r="B1362" s="6" t="str">
        <f t="shared" ca="1" si="378"/>
        <v>20235</v>
      </c>
      <c r="C1362" s="6">
        <f t="shared" ca="1" si="379"/>
        <v>2023</v>
      </c>
      <c r="D1362" s="6">
        <f t="shared" ca="1" si="380"/>
        <v>5</v>
      </c>
      <c r="E1362" s="68">
        <f ca="1">IFERROR(__xludf.DUMMYFUNCTION("""COMPUTED_VALUE"""),45076.6666666666)</f>
        <v>45076.666666666599</v>
      </c>
      <c r="F1362" s="6">
        <f ca="1">IFERROR(__xludf.DUMMYFUNCTION("""COMPUTED_VALUE"""),4205.52)</f>
        <v>4205.5200000000004</v>
      </c>
      <c r="J1362" s="6" t="str">
        <f t="shared" ca="1" si="381"/>
        <v>20235</v>
      </c>
      <c r="K1362" s="6">
        <f t="shared" ca="1" si="382"/>
        <v>2023</v>
      </c>
      <c r="L1362" s="6">
        <f t="shared" ca="1" si="383"/>
        <v>5</v>
      </c>
      <c r="M1362" s="68">
        <f ca="1">IFERROR(__xludf.DUMMYFUNCTION("""COMPUTED_VALUE"""),45065.6666666666)</f>
        <v>45065.666666666599</v>
      </c>
      <c r="N1362" s="6">
        <f ca="1">IFERROR(__xludf.DUMMYFUNCTION("""COMPUTED_VALUE"""),12657.9)</f>
        <v>12657.9</v>
      </c>
      <c r="R1362" s="6" t="str">
        <f t="shared" ca="1" si="384"/>
        <v>20237</v>
      </c>
      <c r="S1362" s="6">
        <f t="shared" ca="1" si="385"/>
        <v>2023</v>
      </c>
      <c r="T1362" s="6">
        <f t="shared" ca="1" si="386"/>
        <v>7</v>
      </c>
      <c r="U1362" s="68">
        <f ca="1">IFERROR(__xludf.DUMMYFUNCTION("""COMPUTED_VALUE"""),45120.6458333333)</f>
        <v>45120.645833333299</v>
      </c>
      <c r="V1362" s="6">
        <f ca="1">IFERROR(__xludf.DUMMYFUNCTION("""COMPUTED_VALUE"""),2591.23)</f>
        <v>2591.23</v>
      </c>
      <c r="Z1362" s="6" t="str">
        <f t="shared" ca="1" si="387"/>
        <v>202111</v>
      </c>
      <c r="AA1362" s="6">
        <f t="shared" ca="1" si="388"/>
        <v>2021</v>
      </c>
      <c r="AB1362" s="6">
        <f t="shared" ca="1" si="389"/>
        <v>11</v>
      </c>
      <c r="AC1362" s="68">
        <f ca="1">IFERROR(__xludf.DUMMYFUNCTION("""COMPUTED_VALUE"""),44508.9986111111)</f>
        <v>44508.998611111099</v>
      </c>
      <c r="AD1362" s="6">
        <f ca="1">IFERROR(__xludf.DUMMYFUNCTION("""COMPUTED_VALUE"""),1199.86)</f>
        <v>1199.8599999999999</v>
      </c>
      <c r="AH1362" s="6" t="str">
        <f t="shared" ca="1" si="390"/>
        <v>20219</v>
      </c>
      <c r="AI1362" s="6">
        <f t="shared" ca="1" si="391"/>
        <v>2021</v>
      </c>
      <c r="AJ1362" s="6">
        <f t="shared" ca="1" si="392"/>
        <v>9</v>
      </c>
      <c r="AK1362" s="68">
        <f ca="1">IFERROR(__xludf.DUMMYFUNCTION("""COMPUTED_VALUE"""),44455.9986111111)</f>
        <v>44455.998611111099</v>
      </c>
      <c r="AL1362" s="6">
        <f ca="1">IFERROR(__xludf.DUMMYFUNCTION("""COMPUTED_VALUE"""),47767.87)</f>
        <v>47767.87</v>
      </c>
      <c r="AP1362" s="6" t="str">
        <f t="shared" ca="1" si="393"/>
        <v>20236</v>
      </c>
      <c r="AQ1362" s="6">
        <f t="shared" ca="1" si="394"/>
        <v>2023</v>
      </c>
      <c r="AR1362" s="6">
        <f t="shared" ca="1" si="395"/>
        <v>6</v>
      </c>
      <c r="AS1362" s="68">
        <f ca="1">IFERROR(__xludf.DUMMYFUNCTION("""COMPUTED_VALUE"""),45083.9986111111)</f>
        <v>45083.998611111099</v>
      </c>
      <c r="AT1362" s="6">
        <f ca="1">IFERROR(__xludf.DUMMYFUNCTION("""COMPUTED_VALUE"""),1981.5)</f>
        <v>1981.5</v>
      </c>
    </row>
    <row r="1363" spans="2:46" x14ac:dyDescent="0.35">
      <c r="B1363" s="6" t="str">
        <f t="shared" ca="1" si="378"/>
        <v>20235</v>
      </c>
      <c r="C1363" s="6">
        <f t="shared" ca="1" si="379"/>
        <v>2023</v>
      </c>
      <c r="D1363" s="6">
        <f t="shared" ca="1" si="380"/>
        <v>5</v>
      </c>
      <c r="E1363" s="68">
        <f ca="1">IFERROR(__xludf.DUMMYFUNCTION("""COMPUTED_VALUE"""),45077.6666666666)</f>
        <v>45077.666666666599</v>
      </c>
      <c r="F1363" s="6">
        <f ca="1">IFERROR(__xludf.DUMMYFUNCTION("""COMPUTED_VALUE"""),4179.83)</f>
        <v>4179.83</v>
      </c>
      <c r="J1363" s="6" t="str">
        <f t="shared" ca="1" si="381"/>
        <v>20235</v>
      </c>
      <c r="K1363" s="6">
        <f t="shared" ca="1" si="382"/>
        <v>2023</v>
      </c>
      <c r="L1363" s="6">
        <f t="shared" ca="1" si="383"/>
        <v>5</v>
      </c>
      <c r="M1363" s="68">
        <f ca="1">IFERROR(__xludf.DUMMYFUNCTION("""COMPUTED_VALUE"""),45068.6666666666)</f>
        <v>45068.666666666599</v>
      </c>
      <c r="N1363" s="6">
        <f ca="1">IFERROR(__xludf.DUMMYFUNCTION("""COMPUTED_VALUE"""),12720.78)</f>
        <v>12720.78</v>
      </c>
      <c r="R1363" s="6" t="str">
        <f t="shared" ca="1" si="384"/>
        <v>20237</v>
      </c>
      <c r="S1363" s="6">
        <f t="shared" ca="1" si="385"/>
        <v>2023</v>
      </c>
      <c r="T1363" s="6">
        <f t="shared" ca="1" si="386"/>
        <v>7</v>
      </c>
      <c r="U1363" s="68">
        <f ca="1">IFERROR(__xludf.DUMMYFUNCTION("""COMPUTED_VALUE"""),45121.6458333333)</f>
        <v>45121.645833333299</v>
      </c>
      <c r="V1363" s="6">
        <f ca="1">IFERROR(__xludf.DUMMYFUNCTION("""COMPUTED_VALUE"""),2628.3)</f>
        <v>2628.3</v>
      </c>
      <c r="Z1363" s="6" t="str">
        <f t="shared" ca="1" si="387"/>
        <v>202111</v>
      </c>
      <c r="AA1363" s="6">
        <f t="shared" ca="1" si="388"/>
        <v>2021</v>
      </c>
      <c r="AB1363" s="6">
        <f t="shared" ca="1" si="389"/>
        <v>11</v>
      </c>
      <c r="AC1363" s="68">
        <f ca="1">IFERROR(__xludf.DUMMYFUNCTION("""COMPUTED_VALUE"""),44509.9986111111)</f>
        <v>44509.998611111099</v>
      </c>
      <c r="AD1363" s="6">
        <f ca="1">IFERROR(__xludf.DUMMYFUNCTION("""COMPUTED_VALUE"""),1177.5)</f>
        <v>1177.5</v>
      </c>
      <c r="AH1363" s="6" t="str">
        <f t="shared" ca="1" si="390"/>
        <v>20219</v>
      </c>
      <c r="AI1363" s="6">
        <f t="shared" ca="1" si="391"/>
        <v>2021</v>
      </c>
      <c r="AJ1363" s="6">
        <f t="shared" ca="1" si="392"/>
        <v>9</v>
      </c>
      <c r="AK1363" s="68">
        <f ca="1">IFERROR(__xludf.DUMMYFUNCTION("""COMPUTED_VALUE"""),44456.9986111111)</f>
        <v>44456.998611111099</v>
      </c>
      <c r="AL1363" s="6">
        <f ca="1">IFERROR(__xludf.DUMMYFUNCTION("""COMPUTED_VALUE"""),47282.57)</f>
        <v>47282.57</v>
      </c>
      <c r="AP1363" s="6" t="str">
        <f t="shared" ca="1" si="393"/>
        <v>20236</v>
      </c>
      <c r="AQ1363" s="6">
        <f t="shared" ca="1" si="394"/>
        <v>2023</v>
      </c>
      <c r="AR1363" s="6">
        <f t="shared" ca="1" si="395"/>
        <v>6</v>
      </c>
      <c r="AS1363" s="68">
        <f ca="1">IFERROR(__xludf.DUMMYFUNCTION("""COMPUTED_VALUE"""),45084.9986111111)</f>
        <v>45084.998611111099</v>
      </c>
      <c r="AT1363" s="6">
        <f ca="1">IFERROR(__xludf.DUMMYFUNCTION("""COMPUTED_VALUE"""),1958.4)</f>
        <v>1958.4</v>
      </c>
    </row>
    <row r="1364" spans="2:46" x14ac:dyDescent="0.35">
      <c r="B1364" s="6" t="str">
        <f t="shared" ca="1" si="378"/>
        <v>20236</v>
      </c>
      <c r="C1364" s="6">
        <f t="shared" ca="1" si="379"/>
        <v>2023</v>
      </c>
      <c r="D1364" s="6">
        <f t="shared" ca="1" si="380"/>
        <v>6</v>
      </c>
      <c r="E1364" s="68">
        <f ca="1">IFERROR(__xludf.DUMMYFUNCTION("""COMPUTED_VALUE"""),45078.6666666666)</f>
        <v>45078.666666666599</v>
      </c>
      <c r="F1364" s="6">
        <f ca="1">IFERROR(__xludf.DUMMYFUNCTION("""COMPUTED_VALUE"""),4221.02)</f>
        <v>4221.0200000000004</v>
      </c>
      <c r="J1364" s="6" t="str">
        <f t="shared" ca="1" si="381"/>
        <v>20235</v>
      </c>
      <c r="K1364" s="6">
        <f t="shared" ca="1" si="382"/>
        <v>2023</v>
      </c>
      <c r="L1364" s="6">
        <f t="shared" ca="1" si="383"/>
        <v>5</v>
      </c>
      <c r="M1364" s="68">
        <f ca="1">IFERROR(__xludf.DUMMYFUNCTION("""COMPUTED_VALUE"""),45069.6666666666)</f>
        <v>45069.666666666599</v>
      </c>
      <c r="N1364" s="6">
        <f ca="1">IFERROR(__xludf.DUMMYFUNCTION("""COMPUTED_VALUE"""),12560.25)</f>
        <v>12560.25</v>
      </c>
      <c r="R1364" s="6" t="str">
        <f t="shared" ca="1" si="384"/>
        <v>20237</v>
      </c>
      <c r="S1364" s="6">
        <f t="shared" ca="1" si="385"/>
        <v>2023</v>
      </c>
      <c r="T1364" s="6">
        <f t="shared" ca="1" si="386"/>
        <v>7</v>
      </c>
      <c r="U1364" s="68">
        <f ca="1">IFERROR(__xludf.DUMMYFUNCTION("""COMPUTED_VALUE"""),45124.6458333333)</f>
        <v>45124.645833333299</v>
      </c>
      <c r="V1364" s="6">
        <f ca="1">IFERROR(__xludf.DUMMYFUNCTION("""COMPUTED_VALUE"""),2619)</f>
        <v>2619</v>
      </c>
      <c r="Z1364" s="6" t="str">
        <f t="shared" ca="1" si="387"/>
        <v>202111</v>
      </c>
      <c r="AA1364" s="6">
        <f t="shared" ca="1" si="388"/>
        <v>2021</v>
      </c>
      <c r="AB1364" s="6">
        <f t="shared" ca="1" si="389"/>
        <v>11</v>
      </c>
      <c r="AC1364" s="68">
        <f ca="1">IFERROR(__xludf.DUMMYFUNCTION("""COMPUTED_VALUE"""),44510.9986111111)</f>
        <v>44510.998611111099</v>
      </c>
      <c r="AD1364" s="6">
        <f ca="1">IFERROR(__xludf.DUMMYFUNCTION("""COMPUTED_VALUE"""),1184.14)</f>
        <v>1184.1400000000001</v>
      </c>
      <c r="AH1364" s="6" t="str">
        <f t="shared" ca="1" si="390"/>
        <v>20219</v>
      </c>
      <c r="AI1364" s="6">
        <f t="shared" ca="1" si="391"/>
        <v>2021</v>
      </c>
      <c r="AJ1364" s="6">
        <f t="shared" ca="1" si="392"/>
        <v>9</v>
      </c>
      <c r="AK1364" s="68">
        <f ca="1">IFERROR(__xludf.DUMMYFUNCTION("""COMPUTED_VALUE"""),44457.9986111111)</f>
        <v>44457.998611111099</v>
      </c>
      <c r="AL1364" s="6">
        <f ca="1">IFERROR(__xludf.DUMMYFUNCTION("""COMPUTED_VALUE"""),48306.64)</f>
        <v>48306.64</v>
      </c>
      <c r="AP1364" s="6" t="str">
        <f t="shared" ca="1" si="393"/>
        <v>20236</v>
      </c>
      <c r="AQ1364" s="6">
        <f t="shared" ca="1" si="394"/>
        <v>2023</v>
      </c>
      <c r="AR1364" s="6">
        <f t="shared" ca="1" si="395"/>
        <v>6</v>
      </c>
      <c r="AS1364" s="68">
        <f ca="1">IFERROR(__xludf.DUMMYFUNCTION("""COMPUTED_VALUE"""),45085.9986111111)</f>
        <v>45085.998611111099</v>
      </c>
      <c r="AT1364" s="6">
        <f ca="1">IFERROR(__xludf.DUMMYFUNCTION("""COMPUTED_VALUE"""),1978.6)</f>
        <v>1978.6</v>
      </c>
    </row>
    <row r="1365" spans="2:46" x14ac:dyDescent="0.35">
      <c r="B1365" s="6" t="str">
        <f t="shared" ca="1" si="378"/>
        <v>20236</v>
      </c>
      <c r="C1365" s="6">
        <f t="shared" ca="1" si="379"/>
        <v>2023</v>
      </c>
      <c r="D1365" s="6">
        <f t="shared" ca="1" si="380"/>
        <v>6</v>
      </c>
      <c r="E1365" s="68">
        <f ca="1">IFERROR(__xludf.DUMMYFUNCTION("""COMPUTED_VALUE"""),45079.6666666666)</f>
        <v>45079.666666666599</v>
      </c>
      <c r="F1365" s="6">
        <f ca="1">IFERROR(__xludf.DUMMYFUNCTION("""COMPUTED_VALUE"""),4282.37)</f>
        <v>4282.37</v>
      </c>
      <c r="J1365" s="6" t="str">
        <f t="shared" ca="1" si="381"/>
        <v>20235</v>
      </c>
      <c r="K1365" s="6">
        <f t="shared" ca="1" si="382"/>
        <v>2023</v>
      </c>
      <c r="L1365" s="6">
        <f t="shared" ca="1" si="383"/>
        <v>5</v>
      </c>
      <c r="M1365" s="68">
        <f ca="1">IFERROR(__xludf.DUMMYFUNCTION("""COMPUTED_VALUE"""),45070.6666666666)</f>
        <v>45070.666666666599</v>
      </c>
      <c r="N1365" s="6">
        <f ca="1">IFERROR(__xludf.DUMMYFUNCTION("""COMPUTED_VALUE"""),12484.16)</f>
        <v>12484.16</v>
      </c>
      <c r="R1365" s="6" t="str">
        <f t="shared" ca="1" si="384"/>
        <v>20237</v>
      </c>
      <c r="S1365" s="6">
        <f t="shared" ca="1" si="385"/>
        <v>2023</v>
      </c>
      <c r="T1365" s="6">
        <f t="shared" ca="1" si="386"/>
        <v>7</v>
      </c>
      <c r="U1365" s="68">
        <f ca="1">IFERROR(__xludf.DUMMYFUNCTION("""COMPUTED_VALUE"""),45125.6458333333)</f>
        <v>45125.645833333299</v>
      </c>
      <c r="V1365" s="6">
        <f ca="1">IFERROR(__xludf.DUMMYFUNCTION("""COMPUTED_VALUE"""),2607.62)</f>
        <v>2607.62</v>
      </c>
      <c r="Z1365" s="6" t="str">
        <f t="shared" ca="1" si="387"/>
        <v>202111</v>
      </c>
      <c r="AA1365" s="6">
        <f t="shared" ca="1" si="388"/>
        <v>2021</v>
      </c>
      <c r="AB1365" s="6">
        <f t="shared" ca="1" si="389"/>
        <v>11</v>
      </c>
      <c r="AC1365" s="68">
        <f ca="1">IFERROR(__xludf.DUMMYFUNCTION("""COMPUTED_VALUE"""),44511.9986111111)</f>
        <v>44511.998611111099</v>
      </c>
      <c r="AD1365" s="6">
        <f ca="1">IFERROR(__xludf.DUMMYFUNCTION("""COMPUTED_VALUE"""),1183.11)</f>
        <v>1183.1099999999999</v>
      </c>
      <c r="AH1365" s="6" t="str">
        <f t="shared" ca="1" si="390"/>
        <v>20219</v>
      </c>
      <c r="AI1365" s="6">
        <f t="shared" ca="1" si="391"/>
        <v>2021</v>
      </c>
      <c r="AJ1365" s="6">
        <f t="shared" ca="1" si="392"/>
        <v>9</v>
      </c>
      <c r="AK1365" s="68">
        <f ca="1">IFERROR(__xludf.DUMMYFUNCTION("""COMPUTED_VALUE"""),44458.9986111111)</f>
        <v>44458.998611111099</v>
      </c>
      <c r="AL1365" s="6">
        <f ca="1">IFERROR(__xludf.DUMMYFUNCTION("""COMPUTED_VALUE"""),47246.58)</f>
        <v>47246.58</v>
      </c>
      <c r="AP1365" s="6" t="str">
        <f t="shared" ca="1" si="393"/>
        <v>20236</v>
      </c>
      <c r="AQ1365" s="6">
        <f t="shared" ca="1" si="394"/>
        <v>2023</v>
      </c>
      <c r="AR1365" s="6">
        <f t="shared" ca="1" si="395"/>
        <v>6</v>
      </c>
      <c r="AS1365" s="68">
        <f ca="1">IFERROR(__xludf.DUMMYFUNCTION("""COMPUTED_VALUE"""),45086.9986111111)</f>
        <v>45086.998611111099</v>
      </c>
      <c r="AT1365" s="6">
        <f ca="1">IFERROR(__xludf.DUMMYFUNCTION("""COMPUTED_VALUE"""),1977.2)</f>
        <v>1977.2</v>
      </c>
    </row>
    <row r="1366" spans="2:46" x14ac:dyDescent="0.35">
      <c r="B1366" s="6" t="str">
        <f t="shared" ca="1" si="378"/>
        <v>20236</v>
      </c>
      <c r="C1366" s="6">
        <f t="shared" ca="1" si="379"/>
        <v>2023</v>
      </c>
      <c r="D1366" s="6">
        <f t="shared" ca="1" si="380"/>
        <v>6</v>
      </c>
      <c r="E1366" s="68">
        <f ca="1">IFERROR(__xludf.DUMMYFUNCTION("""COMPUTED_VALUE"""),45082.6666666666)</f>
        <v>45082.666666666599</v>
      </c>
      <c r="F1366" s="6">
        <f ca="1">IFERROR(__xludf.DUMMYFUNCTION("""COMPUTED_VALUE"""),4273.79)</f>
        <v>4273.79</v>
      </c>
      <c r="J1366" s="6" t="str">
        <f t="shared" ca="1" si="381"/>
        <v>20235</v>
      </c>
      <c r="K1366" s="6">
        <f t="shared" ca="1" si="382"/>
        <v>2023</v>
      </c>
      <c r="L1366" s="6">
        <f t="shared" ca="1" si="383"/>
        <v>5</v>
      </c>
      <c r="M1366" s="68">
        <f ca="1">IFERROR(__xludf.DUMMYFUNCTION("""COMPUTED_VALUE"""),45071.6666666666)</f>
        <v>45071.666666666599</v>
      </c>
      <c r="N1366" s="6">
        <f ca="1">IFERROR(__xludf.DUMMYFUNCTION("""COMPUTED_VALUE"""),12698.09)</f>
        <v>12698.09</v>
      </c>
      <c r="R1366" s="6" t="str">
        <f t="shared" ca="1" si="384"/>
        <v>20237</v>
      </c>
      <c r="S1366" s="6">
        <f t="shared" ca="1" si="385"/>
        <v>2023</v>
      </c>
      <c r="T1366" s="6">
        <f t="shared" ca="1" si="386"/>
        <v>7</v>
      </c>
      <c r="U1366" s="68">
        <f ca="1">IFERROR(__xludf.DUMMYFUNCTION("""COMPUTED_VALUE"""),45126.6458333333)</f>
        <v>45126.645833333299</v>
      </c>
      <c r="V1366" s="6">
        <f ca="1">IFERROR(__xludf.DUMMYFUNCTION("""COMPUTED_VALUE"""),2608.24)</f>
        <v>2608.2399999999998</v>
      </c>
      <c r="Z1366" s="6" t="str">
        <f t="shared" ca="1" si="387"/>
        <v>202111</v>
      </c>
      <c r="AA1366" s="6">
        <f t="shared" ca="1" si="388"/>
        <v>2021</v>
      </c>
      <c r="AB1366" s="6">
        <f t="shared" ca="1" si="389"/>
        <v>11</v>
      </c>
      <c r="AC1366" s="68">
        <f ca="1">IFERROR(__xludf.DUMMYFUNCTION("""COMPUTED_VALUE"""),44512.9986111111)</f>
        <v>44512.998611111099</v>
      </c>
      <c r="AD1366" s="6">
        <f ca="1">IFERROR(__xludf.DUMMYFUNCTION("""COMPUTED_VALUE"""),1179.11)</f>
        <v>1179.1099999999999</v>
      </c>
      <c r="AH1366" s="6" t="str">
        <f t="shared" ca="1" si="390"/>
        <v>20219</v>
      </c>
      <c r="AI1366" s="6">
        <f t="shared" ca="1" si="391"/>
        <v>2021</v>
      </c>
      <c r="AJ1366" s="6">
        <f t="shared" ca="1" si="392"/>
        <v>9</v>
      </c>
      <c r="AK1366" s="68">
        <f ca="1">IFERROR(__xludf.DUMMYFUNCTION("""COMPUTED_VALUE"""),44459.9986111111)</f>
        <v>44459.998611111099</v>
      </c>
      <c r="AL1366" s="6">
        <f ca="1">IFERROR(__xludf.DUMMYFUNCTION("""COMPUTED_VALUE"""),42945.56)</f>
        <v>42945.56</v>
      </c>
      <c r="AP1366" s="6" t="str">
        <f t="shared" ca="1" si="393"/>
        <v>20236</v>
      </c>
      <c r="AQ1366" s="6">
        <f t="shared" ca="1" si="394"/>
        <v>2023</v>
      </c>
      <c r="AR1366" s="6">
        <f t="shared" ca="1" si="395"/>
        <v>6</v>
      </c>
      <c r="AS1366" s="68">
        <f ca="1">IFERROR(__xludf.DUMMYFUNCTION("""COMPUTED_VALUE"""),45089.9986111111)</f>
        <v>45089.998611111099</v>
      </c>
      <c r="AT1366" s="6">
        <f ca="1">IFERROR(__xludf.DUMMYFUNCTION("""COMPUTED_VALUE"""),1969.7)</f>
        <v>1969.7</v>
      </c>
    </row>
    <row r="1367" spans="2:46" x14ac:dyDescent="0.35">
      <c r="B1367" s="6" t="str">
        <f t="shared" ca="1" si="378"/>
        <v>20236</v>
      </c>
      <c r="C1367" s="6">
        <f t="shared" ca="1" si="379"/>
        <v>2023</v>
      </c>
      <c r="D1367" s="6">
        <f t="shared" ca="1" si="380"/>
        <v>6</v>
      </c>
      <c r="E1367" s="68">
        <f ca="1">IFERROR(__xludf.DUMMYFUNCTION("""COMPUTED_VALUE"""),45083.6666666666)</f>
        <v>45083.666666666599</v>
      </c>
      <c r="F1367" s="6">
        <f ca="1">IFERROR(__xludf.DUMMYFUNCTION("""COMPUTED_VALUE"""),4283.85)</f>
        <v>4283.8500000000004</v>
      </c>
      <c r="J1367" s="6" t="str">
        <f t="shared" ca="1" si="381"/>
        <v>20235</v>
      </c>
      <c r="K1367" s="6">
        <f t="shared" ca="1" si="382"/>
        <v>2023</v>
      </c>
      <c r="L1367" s="6">
        <f t="shared" ca="1" si="383"/>
        <v>5</v>
      </c>
      <c r="M1367" s="68">
        <f ca="1">IFERROR(__xludf.DUMMYFUNCTION("""COMPUTED_VALUE"""),45072.6666666666)</f>
        <v>45072.666666666599</v>
      </c>
      <c r="N1367" s="6">
        <f ca="1">IFERROR(__xludf.DUMMYFUNCTION("""COMPUTED_VALUE"""),12975.69)</f>
        <v>12975.69</v>
      </c>
      <c r="R1367" s="6" t="str">
        <f t="shared" ca="1" si="384"/>
        <v>20237</v>
      </c>
      <c r="S1367" s="6">
        <f t="shared" ca="1" si="385"/>
        <v>2023</v>
      </c>
      <c r="T1367" s="6">
        <f t="shared" ca="1" si="386"/>
        <v>7</v>
      </c>
      <c r="U1367" s="68">
        <f ca="1">IFERROR(__xludf.DUMMYFUNCTION("""COMPUTED_VALUE"""),45127.6458333333)</f>
        <v>45127.645833333299</v>
      </c>
      <c r="V1367" s="6">
        <f ca="1">IFERROR(__xludf.DUMMYFUNCTION("""COMPUTED_VALUE"""),2600.23)</f>
        <v>2600.23</v>
      </c>
      <c r="Z1367" s="6" t="str">
        <f t="shared" ca="1" si="387"/>
        <v>202111</v>
      </c>
      <c r="AA1367" s="6">
        <f t="shared" ca="1" si="388"/>
        <v>2021</v>
      </c>
      <c r="AB1367" s="6">
        <f t="shared" ca="1" si="389"/>
        <v>11</v>
      </c>
      <c r="AC1367" s="68">
        <f ca="1">IFERROR(__xludf.DUMMYFUNCTION("""COMPUTED_VALUE"""),44513.9986111111)</f>
        <v>44513.998611111099</v>
      </c>
      <c r="AD1367" s="6">
        <f ca="1">IFERROR(__xludf.DUMMYFUNCTION("""COMPUTED_VALUE"""),1179.11)</f>
        <v>1179.1099999999999</v>
      </c>
      <c r="AH1367" s="6" t="str">
        <f t="shared" ca="1" si="390"/>
        <v>20219</v>
      </c>
      <c r="AI1367" s="6">
        <f t="shared" ca="1" si="391"/>
        <v>2021</v>
      </c>
      <c r="AJ1367" s="6">
        <f t="shared" ca="1" si="392"/>
        <v>9</v>
      </c>
      <c r="AK1367" s="68">
        <f ca="1">IFERROR(__xludf.DUMMYFUNCTION("""COMPUTED_VALUE"""),44460.9986111111)</f>
        <v>44460.998611111099</v>
      </c>
      <c r="AL1367" s="6">
        <f ca="1">IFERROR(__xludf.DUMMYFUNCTION("""COMPUTED_VALUE"""),40585.24)</f>
        <v>40585.24</v>
      </c>
      <c r="AP1367" s="6" t="str">
        <f t="shared" ca="1" si="393"/>
        <v>20236</v>
      </c>
      <c r="AQ1367" s="6">
        <f t="shared" ca="1" si="394"/>
        <v>2023</v>
      </c>
      <c r="AR1367" s="6">
        <f t="shared" ca="1" si="395"/>
        <v>6</v>
      </c>
      <c r="AS1367" s="68">
        <f ca="1">IFERROR(__xludf.DUMMYFUNCTION("""COMPUTED_VALUE"""),45090.9986111111)</f>
        <v>45090.998611111099</v>
      </c>
      <c r="AT1367" s="6">
        <f ca="1">IFERROR(__xludf.DUMMYFUNCTION("""COMPUTED_VALUE"""),1958.6)</f>
        <v>1958.6</v>
      </c>
    </row>
    <row r="1368" spans="2:46" x14ac:dyDescent="0.35">
      <c r="B1368" s="6" t="str">
        <f t="shared" ca="1" si="378"/>
        <v>20236</v>
      </c>
      <c r="C1368" s="6">
        <f t="shared" ca="1" si="379"/>
        <v>2023</v>
      </c>
      <c r="D1368" s="6">
        <f t="shared" ca="1" si="380"/>
        <v>6</v>
      </c>
      <c r="E1368" s="68">
        <f ca="1">IFERROR(__xludf.DUMMYFUNCTION("""COMPUTED_VALUE"""),45084.6666666666)</f>
        <v>45084.666666666599</v>
      </c>
      <c r="F1368" s="6">
        <f ca="1">IFERROR(__xludf.DUMMYFUNCTION("""COMPUTED_VALUE"""),4267.52)</f>
        <v>4267.5200000000004</v>
      </c>
      <c r="J1368" s="6" t="str">
        <f t="shared" ca="1" si="381"/>
        <v>20235</v>
      </c>
      <c r="K1368" s="6">
        <f t="shared" ca="1" si="382"/>
        <v>2023</v>
      </c>
      <c r="L1368" s="6">
        <f t="shared" ca="1" si="383"/>
        <v>5</v>
      </c>
      <c r="M1368" s="68">
        <f ca="1">IFERROR(__xludf.DUMMYFUNCTION("""COMPUTED_VALUE"""),45076.6666666666)</f>
        <v>45076.666666666599</v>
      </c>
      <c r="N1368" s="6">
        <f ca="1">IFERROR(__xludf.DUMMYFUNCTION("""COMPUTED_VALUE"""),13017.43)</f>
        <v>13017.43</v>
      </c>
      <c r="R1368" s="6" t="str">
        <f t="shared" ca="1" si="384"/>
        <v>20237</v>
      </c>
      <c r="S1368" s="6">
        <f t="shared" ca="1" si="385"/>
        <v>2023</v>
      </c>
      <c r="T1368" s="6">
        <f t="shared" ca="1" si="386"/>
        <v>7</v>
      </c>
      <c r="U1368" s="68">
        <f ca="1">IFERROR(__xludf.DUMMYFUNCTION("""COMPUTED_VALUE"""),45128.6458333333)</f>
        <v>45128.645833333299</v>
      </c>
      <c r="V1368" s="6">
        <f ca="1">IFERROR(__xludf.DUMMYFUNCTION("""COMPUTED_VALUE"""),2609.76)</f>
        <v>2609.7600000000002</v>
      </c>
      <c r="Z1368" s="6" t="str">
        <f t="shared" ca="1" si="387"/>
        <v>202111</v>
      </c>
      <c r="AA1368" s="6">
        <f t="shared" ca="1" si="388"/>
        <v>2021</v>
      </c>
      <c r="AB1368" s="6">
        <f t="shared" ca="1" si="389"/>
        <v>11</v>
      </c>
      <c r="AC1368" s="68">
        <f ca="1">IFERROR(__xludf.DUMMYFUNCTION("""COMPUTED_VALUE"""),44514.9986111111)</f>
        <v>44514.998611111099</v>
      </c>
      <c r="AD1368" s="6">
        <f ca="1">IFERROR(__xludf.DUMMYFUNCTION("""COMPUTED_VALUE"""),1179.11)</f>
        <v>1179.1099999999999</v>
      </c>
      <c r="AH1368" s="6" t="str">
        <f t="shared" ca="1" si="390"/>
        <v>20219</v>
      </c>
      <c r="AI1368" s="6">
        <f t="shared" ca="1" si="391"/>
        <v>2021</v>
      </c>
      <c r="AJ1368" s="6">
        <f t="shared" ca="1" si="392"/>
        <v>9</v>
      </c>
      <c r="AK1368" s="68">
        <f ca="1">IFERROR(__xludf.DUMMYFUNCTION("""COMPUTED_VALUE"""),44461.9986111111)</f>
        <v>44461.998611111099</v>
      </c>
      <c r="AL1368" s="6">
        <f ca="1">IFERROR(__xludf.DUMMYFUNCTION("""COMPUTED_VALUE"""),43583.85)</f>
        <v>43583.85</v>
      </c>
      <c r="AP1368" s="6" t="str">
        <f t="shared" ca="1" si="393"/>
        <v>20236</v>
      </c>
      <c r="AQ1368" s="6">
        <f t="shared" ca="1" si="394"/>
        <v>2023</v>
      </c>
      <c r="AR1368" s="6">
        <f t="shared" ca="1" si="395"/>
        <v>6</v>
      </c>
      <c r="AS1368" s="68">
        <f ca="1">IFERROR(__xludf.DUMMYFUNCTION("""COMPUTED_VALUE"""),45091.9986111111)</f>
        <v>45091.998611111099</v>
      </c>
      <c r="AT1368" s="6">
        <f ca="1">IFERROR(__xludf.DUMMYFUNCTION("""COMPUTED_VALUE"""),1968.9)</f>
        <v>1968.9</v>
      </c>
    </row>
    <row r="1369" spans="2:46" x14ac:dyDescent="0.35">
      <c r="B1369" s="6" t="str">
        <f t="shared" ca="1" si="378"/>
        <v>20236</v>
      </c>
      <c r="C1369" s="6">
        <f t="shared" ca="1" si="379"/>
        <v>2023</v>
      </c>
      <c r="D1369" s="6">
        <f t="shared" ca="1" si="380"/>
        <v>6</v>
      </c>
      <c r="E1369" s="68">
        <f ca="1">IFERROR(__xludf.DUMMYFUNCTION("""COMPUTED_VALUE"""),45085.6666666666)</f>
        <v>45085.666666666599</v>
      </c>
      <c r="F1369" s="6">
        <f ca="1">IFERROR(__xludf.DUMMYFUNCTION("""COMPUTED_VALUE"""),4293.93)</f>
        <v>4293.93</v>
      </c>
      <c r="J1369" s="6" t="str">
        <f t="shared" ca="1" si="381"/>
        <v>20235</v>
      </c>
      <c r="K1369" s="6">
        <f t="shared" ca="1" si="382"/>
        <v>2023</v>
      </c>
      <c r="L1369" s="6">
        <f t="shared" ca="1" si="383"/>
        <v>5</v>
      </c>
      <c r="M1369" s="68">
        <f ca="1">IFERROR(__xludf.DUMMYFUNCTION("""COMPUTED_VALUE"""),45077.6666666666)</f>
        <v>45077.666666666599</v>
      </c>
      <c r="N1369" s="6">
        <f ca="1">IFERROR(__xludf.DUMMYFUNCTION("""COMPUTED_VALUE"""),12935.29)</f>
        <v>12935.29</v>
      </c>
      <c r="R1369" s="6" t="str">
        <f t="shared" ca="1" si="384"/>
        <v>20237</v>
      </c>
      <c r="S1369" s="6">
        <f t="shared" ca="1" si="385"/>
        <v>2023</v>
      </c>
      <c r="T1369" s="6">
        <f t="shared" ca="1" si="386"/>
        <v>7</v>
      </c>
      <c r="U1369" s="68">
        <f ca="1">IFERROR(__xludf.DUMMYFUNCTION("""COMPUTED_VALUE"""),45131.6458333333)</f>
        <v>45131.645833333299</v>
      </c>
      <c r="V1369" s="6">
        <f ca="1">IFERROR(__xludf.DUMMYFUNCTION("""COMPUTED_VALUE"""),2628.53)</f>
        <v>2628.53</v>
      </c>
      <c r="Z1369" s="6" t="str">
        <f t="shared" ca="1" si="387"/>
        <v>202111</v>
      </c>
      <c r="AA1369" s="6">
        <f t="shared" ca="1" si="388"/>
        <v>2021</v>
      </c>
      <c r="AB1369" s="6">
        <f t="shared" ca="1" si="389"/>
        <v>11</v>
      </c>
      <c r="AC1369" s="68">
        <f ca="1">IFERROR(__xludf.DUMMYFUNCTION("""COMPUTED_VALUE"""),44515.9986111111)</f>
        <v>44515.998611111099</v>
      </c>
      <c r="AD1369" s="6">
        <f ca="1">IFERROR(__xludf.DUMMYFUNCTION("""COMPUTED_VALUE"""),1183.51)</f>
        <v>1183.51</v>
      </c>
      <c r="AH1369" s="6" t="str">
        <f t="shared" ca="1" si="390"/>
        <v>20219</v>
      </c>
      <c r="AI1369" s="6">
        <f t="shared" ca="1" si="391"/>
        <v>2021</v>
      </c>
      <c r="AJ1369" s="6">
        <f t="shared" ca="1" si="392"/>
        <v>9</v>
      </c>
      <c r="AK1369" s="68">
        <f ca="1">IFERROR(__xludf.DUMMYFUNCTION("""COMPUTED_VALUE"""),44462.9986111111)</f>
        <v>44462.998611111099</v>
      </c>
      <c r="AL1369" s="6">
        <f ca="1">IFERROR(__xludf.DUMMYFUNCTION("""COMPUTED_VALUE"""),44888.98)</f>
        <v>44888.98</v>
      </c>
      <c r="AP1369" s="6" t="str">
        <f t="shared" ca="1" si="393"/>
        <v>20236</v>
      </c>
      <c r="AQ1369" s="6">
        <f t="shared" ca="1" si="394"/>
        <v>2023</v>
      </c>
      <c r="AR1369" s="6">
        <f t="shared" ca="1" si="395"/>
        <v>6</v>
      </c>
      <c r="AS1369" s="68">
        <f ca="1">IFERROR(__xludf.DUMMYFUNCTION("""COMPUTED_VALUE"""),45092.9986111111)</f>
        <v>45092.998611111099</v>
      </c>
      <c r="AT1369" s="6">
        <f ca="1">IFERROR(__xludf.DUMMYFUNCTION("""COMPUTED_VALUE"""),1970.7)</f>
        <v>1970.7</v>
      </c>
    </row>
    <row r="1370" spans="2:46" x14ac:dyDescent="0.35">
      <c r="B1370" s="6" t="str">
        <f t="shared" ca="1" si="378"/>
        <v>20236</v>
      </c>
      <c r="C1370" s="6">
        <f t="shared" ca="1" si="379"/>
        <v>2023</v>
      </c>
      <c r="D1370" s="6">
        <f t="shared" ca="1" si="380"/>
        <v>6</v>
      </c>
      <c r="E1370" s="68">
        <f ca="1">IFERROR(__xludf.DUMMYFUNCTION("""COMPUTED_VALUE"""),45086.6666666666)</f>
        <v>45086.666666666599</v>
      </c>
      <c r="F1370" s="6">
        <f ca="1">IFERROR(__xludf.DUMMYFUNCTION("""COMPUTED_VALUE"""),4298.86)</f>
        <v>4298.8599999999997</v>
      </c>
      <c r="J1370" s="6" t="str">
        <f t="shared" ca="1" si="381"/>
        <v>20236</v>
      </c>
      <c r="K1370" s="6">
        <f t="shared" ca="1" si="382"/>
        <v>2023</v>
      </c>
      <c r="L1370" s="6">
        <f t="shared" ca="1" si="383"/>
        <v>6</v>
      </c>
      <c r="M1370" s="68">
        <f ca="1">IFERROR(__xludf.DUMMYFUNCTION("""COMPUTED_VALUE"""),45078.6666666666)</f>
        <v>45078.666666666599</v>
      </c>
      <c r="N1370" s="6">
        <f ca="1">IFERROR(__xludf.DUMMYFUNCTION("""COMPUTED_VALUE"""),13100.98)</f>
        <v>13100.98</v>
      </c>
      <c r="R1370" s="6" t="str">
        <f t="shared" ca="1" si="384"/>
        <v>20237</v>
      </c>
      <c r="S1370" s="6">
        <f t="shared" ca="1" si="385"/>
        <v>2023</v>
      </c>
      <c r="T1370" s="6">
        <f t="shared" ca="1" si="386"/>
        <v>7</v>
      </c>
      <c r="U1370" s="68">
        <f ca="1">IFERROR(__xludf.DUMMYFUNCTION("""COMPUTED_VALUE"""),45132.6458333333)</f>
        <v>45132.645833333299</v>
      </c>
      <c r="V1370" s="6">
        <f ca="1">IFERROR(__xludf.DUMMYFUNCTION("""COMPUTED_VALUE"""),2636.46)</f>
        <v>2636.46</v>
      </c>
      <c r="Z1370" s="6" t="str">
        <f t="shared" ca="1" si="387"/>
        <v>202111</v>
      </c>
      <c r="AA1370" s="6">
        <f t="shared" ca="1" si="388"/>
        <v>2021</v>
      </c>
      <c r="AB1370" s="6">
        <f t="shared" ca="1" si="389"/>
        <v>11</v>
      </c>
      <c r="AC1370" s="68">
        <f ca="1">IFERROR(__xludf.DUMMYFUNCTION("""COMPUTED_VALUE"""),44516.9986111111)</f>
        <v>44516.998611111099</v>
      </c>
      <c r="AD1370" s="6">
        <f ca="1">IFERROR(__xludf.DUMMYFUNCTION("""COMPUTED_VALUE"""),1184.05)</f>
        <v>1184.05</v>
      </c>
      <c r="AH1370" s="6" t="str">
        <f t="shared" ca="1" si="390"/>
        <v>20219</v>
      </c>
      <c r="AI1370" s="6">
        <f t="shared" ca="1" si="391"/>
        <v>2021</v>
      </c>
      <c r="AJ1370" s="6">
        <f t="shared" ca="1" si="392"/>
        <v>9</v>
      </c>
      <c r="AK1370" s="68">
        <f ca="1">IFERROR(__xludf.DUMMYFUNCTION("""COMPUTED_VALUE"""),44463.9986111111)</f>
        <v>44463.998611111099</v>
      </c>
      <c r="AL1370" s="6">
        <f ca="1">IFERROR(__xludf.DUMMYFUNCTION("""COMPUTED_VALUE"""),42836.94)</f>
        <v>42836.94</v>
      </c>
      <c r="AP1370" s="6" t="str">
        <f t="shared" ca="1" si="393"/>
        <v>20236</v>
      </c>
      <c r="AQ1370" s="6">
        <f t="shared" ca="1" si="394"/>
        <v>2023</v>
      </c>
      <c r="AR1370" s="6">
        <f t="shared" ca="1" si="395"/>
        <v>6</v>
      </c>
      <c r="AS1370" s="68">
        <f ca="1">IFERROR(__xludf.DUMMYFUNCTION("""COMPUTED_VALUE"""),45093.9986111111)</f>
        <v>45093.998611111099</v>
      </c>
      <c r="AT1370" s="6">
        <f ca="1">IFERROR(__xludf.DUMMYFUNCTION("""COMPUTED_VALUE"""),1971.2)</f>
        <v>1971.2</v>
      </c>
    </row>
    <row r="1371" spans="2:46" x14ac:dyDescent="0.35">
      <c r="B1371" s="6" t="str">
        <f t="shared" ca="1" si="378"/>
        <v>20236</v>
      </c>
      <c r="C1371" s="6">
        <f t="shared" ca="1" si="379"/>
        <v>2023</v>
      </c>
      <c r="D1371" s="6">
        <f t="shared" ca="1" si="380"/>
        <v>6</v>
      </c>
      <c r="E1371" s="68">
        <f ca="1">IFERROR(__xludf.DUMMYFUNCTION("""COMPUTED_VALUE"""),45089.6666666666)</f>
        <v>45089.666666666599</v>
      </c>
      <c r="F1371" s="6">
        <f ca="1">IFERROR(__xludf.DUMMYFUNCTION("""COMPUTED_VALUE"""),4338.93)</f>
        <v>4338.93</v>
      </c>
      <c r="J1371" s="6" t="str">
        <f t="shared" ca="1" si="381"/>
        <v>20236</v>
      </c>
      <c r="K1371" s="6">
        <f t="shared" ca="1" si="382"/>
        <v>2023</v>
      </c>
      <c r="L1371" s="6">
        <f t="shared" ca="1" si="383"/>
        <v>6</v>
      </c>
      <c r="M1371" s="68">
        <f ca="1">IFERROR(__xludf.DUMMYFUNCTION("""COMPUTED_VALUE"""),45079.6666666666)</f>
        <v>45079.666666666599</v>
      </c>
      <c r="N1371" s="6">
        <f ca="1">IFERROR(__xludf.DUMMYFUNCTION("""COMPUTED_VALUE"""),13240.77)</f>
        <v>13240.77</v>
      </c>
      <c r="R1371" s="6" t="str">
        <f t="shared" ca="1" si="384"/>
        <v>20237</v>
      </c>
      <c r="S1371" s="6">
        <f t="shared" ca="1" si="385"/>
        <v>2023</v>
      </c>
      <c r="T1371" s="6">
        <f t="shared" ca="1" si="386"/>
        <v>7</v>
      </c>
      <c r="U1371" s="68">
        <f ca="1">IFERROR(__xludf.DUMMYFUNCTION("""COMPUTED_VALUE"""),45133.6458333333)</f>
        <v>45133.645833333299</v>
      </c>
      <c r="V1371" s="6">
        <f ca="1">IFERROR(__xludf.DUMMYFUNCTION("""COMPUTED_VALUE"""),2592.36)</f>
        <v>2592.36</v>
      </c>
      <c r="Z1371" s="6" t="str">
        <f t="shared" ca="1" si="387"/>
        <v>202111</v>
      </c>
      <c r="AA1371" s="6">
        <f t="shared" ca="1" si="388"/>
        <v>2021</v>
      </c>
      <c r="AB1371" s="6">
        <f t="shared" ca="1" si="389"/>
        <v>11</v>
      </c>
      <c r="AC1371" s="68">
        <f ca="1">IFERROR(__xludf.DUMMYFUNCTION("""COMPUTED_VALUE"""),44517.9986111111)</f>
        <v>44517.998611111099</v>
      </c>
      <c r="AD1371" s="6">
        <f ca="1">IFERROR(__xludf.DUMMYFUNCTION("""COMPUTED_VALUE"""),1181.23)</f>
        <v>1181.23</v>
      </c>
      <c r="AH1371" s="6" t="str">
        <f t="shared" ca="1" si="390"/>
        <v>20219</v>
      </c>
      <c r="AI1371" s="6">
        <f t="shared" ca="1" si="391"/>
        <v>2021</v>
      </c>
      <c r="AJ1371" s="6">
        <f t="shared" ca="1" si="392"/>
        <v>9</v>
      </c>
      <c r="AK1371" s="68">
        <f ca="1">IFERROR(__xludf.DUMMYFUNCTION("""COMPUTED_VALUE"""),44464.9986111111)</f>
        <v>44464.998611111099</v>
      </c>
      <c r="AL1371" s="6">
        <f ca="1">IFERROR(__xludf.DUMMYFUNCTION("""COMPUTED_VALUE"""),42707.03)</f>
        <v>42707.03</v>
      </c>
      <c r="AP1371" s="6" t="str">
        <f t="shared" ca="1" si="393"/>
        <v>20236</v>
      </c>
      <c r="AQ1371" s="6">
        <f t="shared" ca="1" si="394"/>
        <v>2023</v>
      </c>
      <c r="AR1371" s="6">
        <f t="shared" ca="1" si="395"/>
        <v>6</v>
      </c>
      <c r="AS1371" s="68">
        <f ca="1">IFERROR(__xludf.DUMMYFUNCTION("""COMPUTED_VALUE"""),45097.9986111111)</f>
        <v>45097.998611111099</v>
      </c>
      <c r="AT1371" s="6">
        <f ca="1">IFERROR(__xludf.DUMMYFUNCTION("""COMPUTED_VALUE"""),1947.7)</f>
        <v>1947.7</v>
      </c>
    </row>
    <row r="1372" spans="2:46" x14ac:dyDescent="0.35">
      <c r="B1372" s="6" t="str">
        <f t="shared" ca="1" si="378"/>
        <v>20236</v>
      </c>
      <c r="C1372" s="6">
        <f t="shared" ca="1" si="379"/>
        <v>2023</v>
      </c>
      <c r="D1372" s="6">
        <f t="shared" ca="1" si="380"/>
        <v>6</v>
      </c>
      <c r="E1372" s="68">
        <f ca="1">IFERROR(__xludf.DUMMYFUNCTION("""COMPUTED_VALUE"""),45090.6666666666)</f>
        <v>45090.666666666599</v>
      </c>
      <c r="F1372" s="6">
        <f ca="1">IFERROR(__xludf.DUMMYFUNCTION("""COMPUTED_VALUE"""),4369.01)</f>
        <v>4369.01</v>
      </c>
      <c r="J1372" s="6" t="str">
        <f t="shared" ca="1" si="381"/>
        <v>20236</v>
      </c>
      <c r="K1372" s="6">
        <f t="shared" ca="1" si="382"/>
        <v>2023</v>
      </c>
      <c r="L1372" s="6">
        <f t="shared" ca="1" si="383"/>
        <v>6</v>
      </c>
      <c r="M1372" s="68">
        <f ca="1">IFERROR(__xludf.DUMMYFUNCTION("""COMPUTED_VALUE"""),45082.6666666666)</f>
        <v>45082.666666666599</v>
      </c>
      <c r="N1372" s="6">
        <f ca="1">IFERROR(__xludf.DUMMYFUNCTION("""COMPUTED_VALUE"""),13229.43)</f>
        <v>13229.43</v>
      </c>
      <c r="R1372" s="6" t="str">
        <f t="shared" ca="1" si="384"/>
        <v>20237</v>
      </c>
      <c r="S1372" s="6">
        <f t="shared" ca="1" si="385"/>
        <v>2023</v>
      </c>
      <c r="T1372" s="6">
        <f t="shared" ca="1" si="386"/>
        <v>7</v>
      </c>
      <c r="U1372" s="68">
        <f ca="1">IFERROR(__xludf.DUMMYFUNCTION("""COMPUTED_VALUE"""),45134.6458333333)</f>
        <v>45134.645833333299</v>
      </c>
      <c r="V1372" s="6">
        <f ca="1">IFERROR(__xludf.DUMMYFUNCTION("""COMPUTED_VALUE"""),2603.81)</f>
        <v>2603.81</v>
      </c>
      <c r="Z1372" s="6" t="str">
        <f t="shared" ca="1" si="387"/>
        <v>202111</v>
      </c>
      <c r="AA1372" s="6">
        <f t="shared" ca="1" si="388"/>
        <v>2021</v>
      </c>
      <c r="AB1372" s="6">
        <f t="shared" ca="1" si="389"/>
        <v>11</v>
      </c>
      <c r="AC1372" s="68">
        <f ca="1">IFERROR(__xludf.DUMMYFUNCTION("""COMPUTED_VALUE"""),44518.9986111111)</f>
        <v>44518.998611111099</v>
      </c>
      <c r="AD1372" s="6">
        <f ca="1">IFERROR(__xludf.DUMMYFUNCTION("""COMPUTED_VALUE"""),1182.9)</f>
        <v>1182.9000000000001</v>
      </c>
      <c r="AH1372" s="6" t="str">
        <f t="shared" ca="1" si="390"/>
        <v>20219</v>
      </c>
      <c r="AI1372" s="6">
        <f t="shared" ca="1" si="391"/>
        <v>2021</v>
      </c>
      <c r="AJ1372" s="6">
        <f t="shared" ca="1" si="392"/>
        <v>9</v>
      </c>
      <c r="AK1372" s="68">
        <f ca="1">IFERROR(__xludf.DUMMYFUNCTION("""COMPUTED_VALUE"""),44465.9986111111)</f>
        <v>44465.998611111099</v>
      </c>
      <c r="AL1372" s="6">
        <f ca="1">IFERROR(__xludf.DUMMYFUNCTION("""COMPUTED_VALUE"""),43169.61)</f>
        <v>43169.61</v>
      </c>
      <c r="AP1372" s="6" t="str">
        <f t="shared" ca="1" si="393"/>
        <v>20236</v>
      </c>
      <c r="AQ1372" s="6">
        <f t="shared" ca="1" si="394"/>
        <v>2023</v>
      </c>
      <c r="AR1372" s="6">
        <f t="shared" ca="1" si="395"/>
        <v>6</v>
      </c>
      <c r="AS1372" s="68">
        <f ca="1">IFERROR(__xludf.DUMMYFUNCTION("""COMPUTED_VALUE"""),45098.9986111111)</f>
        <v>45098.998611111099</v>
      </c>
      <c r="AT1372" s="6">
        <f ca="1">IFERROR(__xludf.DUMMYFUNCTION("""COMPUTED_VALUE"""),1944.9)</f>
        <v>1944.9</v>
      </c>
    </row>
    <row r="1373" spans="2:46" x14ac:dyDescent="0.35">
      <c r="B1373" s="6" t="str">
        <f t="shared" ca="1" si="378"/>
        <v>20236</v>
      </c>
      <c r="C1373" s="6">
        <f t="shared" ca="1" si="379"/>
        <v>2023</v>
      </c>
      <c r="D1373" s="6">
        <f t="shared" ca="1" si="380"/>
        <v>6</v>
      </c>
      <c r="E1373" s="68">
        <f ca="1">IFERROR(__xludf.DUMMYFUNCTION("""COMPUTED_VALUE"""),45091.6666666666)</f>
        <v>45091.666666666599</v>
      </c>
      <c r="F1373" s="6">
        <f ca="1">IFERROR(__xludf.DUMMYFUNCTION("""COMPUTED_VALUE"""),4372.59)</f>
        <v>4372.59</v>
      </c>
      <c r="J1373" s="6" t="str">
        <f t="shared" ca="1" si="381"/>
        <v>20236</v>
      </c>
      <c r="K1373" s="6">
        <f t="shared" ca="1" si="382"/>
        <v>2023</v>
      </c>
      <c r="L1373" s="6">
        <f t="shared" ca="1" si="383"/>
        <v>6</v>
      </c>
      <c r="M1373" s="68">
        <f ca="1">IFERROR(__xludf.DUMMYFUNCTION("""COMPUTED_VALUE"""),45083.6666666666)</f>
        <v>45083.666666666599</v>
      </c>
      <c r="N1373" s="6">
        <f ca="1">IFERROR(__xludf.DUMMYFUNCTION("""COMPUTED_VALUE"""),13276.42)</f>
        <v>13276.42</v>
      </c>
      <c r="R1373" s="6" t="str">
        <f t="shared" ca="1" si="384"/>
        <v>20237</v>
      </c>
      <c r="S1373" s="6">
        <f t="shared" ca="1" si="385"/>
        <v>2023</v>
      </c>
      <c r="T1373" s="6">
        <f t="shared" ca="1" si="386"/>
        <v>7</v>
      </c>
      <c r="U1373" s="68">
        <f ca="1">IFERROR(__xludf.DUMMYFUNCTION("""COMPUTED_VALUE"""),45135.6458333333)</f>
        <v>45135.645833333299</v>
      </c>
      <c r="V1373" s="6">
        <f ca="1">IFERROR(__xludf.DUMMYFUNCTION("""COMPUTED_VALUE"""),2608.32)</f>
        <v>2608.3200000000002</v>
      </c>
      <c r="Z1373" s="6" t="str">
        <f t="shared" ca="1" si="387"/>
        <v>202111</v>
      </c>
      <c r="AA1373" s="6">
        <f t="shared" ca="1" si="388"/>
        <v>2021</v>
      </c>
      <c r="AB1373" s="6">
        <f t="shared" ca="1" si="389"/>
        <v>11</v>
      </c>
      <c r="AC1373" s="68">
        <f ca="1">IFERROR(__xludf.DUMMYFUNCTION("""COMPUTED_VALUE"""),44519.9986111111)</f>
        <v>44519.998611111099</v>
      </c>
      <c r="AD1373" s="6">
        <f ca="1">IFERROR(__xludf.DUMMYFUNCTION("""COMPUTED_VALUE"""),1191.63)</f>
        <v>1191.6300000000001</v>
      </c>
      <c r="AH1373" s="6" t="str">
        <f t="shared" ca="1" si="390"/>
        <v>20219</v>
      </c>
      <c r="AI1373" s="6">
        <f t="shared" ca="1" si="391"/>
        <v>2021</v>
      </c>
      <c r="AJ1373" s="6">
        <f t="shared" ca="1" si="392"/>
        <v>9</v>
      </c>
      <c r="AK1373" s="68">
        <f ca="1">IFERROR(__xludf.DUMMYFUNCTION("""COMPUTED_VALUE"""),44466.9986111111)</f>
        <v>44466.998611111099</v>
      </c>
      <c r="AL1373" s="6">
        <f ca="1">IFERROR(__xludf.DUMMYFUNCTION("""COMPUTED_VALUE"""),42204.58)</f>
        <v>42204.58</v>
      </c>
      <c r="AP1373" s="6" t="str">
        <f t="shared" ca="1" si="393"/>
        <v>20236</v>
      </c>
      <c r="AQ1373" s="6">
        <f t="shared" ca="1" si="394"/>
        <v>2023</v>
      </c>
      <c r="AR1373" s="6">
        <f t="shared" ca="1" si="395"/>
        <v>6</v>
      </c>
      <c r="AS1373" s="68">
        <f ca="1">IFERROR(__xludf.DUMMYFUNCTION("""COMPUTED_VALUE"""),45099.9986111111)</f>
        <v>45099.998611111099</v>
      </c>
      <c r="AT1373" s="6">
        <f ca="1">IFERROR(__xludf.DUMMYFUNCTION("""COMPUTED_VALUE"""),1923.7)</f>
        <v>1923.7</v>
      </c>
    </row>
    <row r="1374" spans="2:46" x14ac:dyDescent="0.35">
      <c r="B1374" s="6" t="str">
        <f t="shared" ca="1" si="378"/>
        <v>20236</v>
      </c>
      <c r="C1374" s="6">
        <f t="shared" ca="1" si="379"/>
        <v>2023</v>
      </c>
      <c r="D1374" s="6">
        <f t="shared" ca="1" si="380"/>
        <v>6</v>
      </c>
      <c r="E1374" s="68">
        <f ca="1">IFERROR(__xludf.DUMMYFUNCTION("""COMPUTED_VALUE"""),45092.6666666666)</f>
        <v>45092.666666666599</v>
      </c>
      <c r="F1374" s="6">
        <f ca="1">IFERROR(__xludf.DUMMYFUNCTION("""COMPUTED_VALUE"""),4425.84)</f>
        <v>4425.84</v>
      </c>
      <c r="J1374" s="6" t="str">
        <f t="shared" ca="1" si="381"/>
        <v>20236</v>
      </c>
      <c r="K1374" s="6">
        <f t="shared" ca="1" si="382"/>
        <v>2023</v>
      </c>
      <c r="L1374" s="6">
        <f t="shared" ca="1" si="383"/>
        <v>6</v>
      </c>
      <c r="M1374" s="68">
        <f ca="1">IFERROR(__xludf.DUMMYFUNCTION("""COMPUTED_VALUE"""),45084.6666666666)</f>
        <v>45084.666666666599</v>
      </c>
      <c r="N1374" s="6">
        <f ca="1">IFERROR(__xludf.DUMMYFUNCTION("""COMPUTED_VALUE"""),13104.9)</f>
        <v>13104.9</v>
      </c>
      <c r="R1374" s="6" t="str">
        <f t="shared" ca="1" si="384"/>
        <v>20237</v>
      </c>
      <c r="S1374" s="6">
        <f t="shared" ca="1" si="385"/>
        <v>2023</v>
      </c>
      <c r="T1374" s="6">
        <f t="shared" ca="1" si="386"/>
        <v>7</v>
      </c>
      <c r="U1374" s="68">
        <f ca="1">IFERROR(__xludf.DUMMYFUNCTION("""COMPUTED_VALUE"""),45138.6458333333)</f>
        <v>45138.645833333299</v>
      </c>
      <c r="V1374" s="6">
        <f ca="1">IFERROR(__xludf.DUMMYFUNCTION("""COMPUTED_VALUE"""),2632.58)</f>
        <v>2632.58</v>
      </c>
      <c r="Z1374" s="6" t="str">
        <f t="shared" ca="1" si="387"/>
        <v>202111</v>
      </c>
      <c r="AA1374" s="6">
        <f t="shared" ca="1" si="388"/>
        <v>2021</v>
      </c>
      <c r="AB1374" s="6">
        <f t="shared" ca="1" si="389"/>
        <v>11</v>
      </c>
      <c r="AC1374" s="68">
        <f ca="1">IFERROR(__xludf.DUMMYFUNCTION("""COMPUTED_VALUE"""),44522.9986111111)</f>
        <v>44522.998611111099</v>
      </c>
      <c r="AD1374" s="6">
        <f ca="1">IFERROR(__xludf.DUMMYFUNCTION("""COMPUTED_VALUE"""),1189.5)</f>
        <v>1189.5</v>
      </c>
      <c r="AH1374" s="6" t="str">
        <f t="shared" ca="1" si="390"/>
        <v>20219</v>
      </c>
      <c r="AI1374" s="6">
        <f t="shared" ca="1" si="391"/>
        <v>2021</v>
      </c>
      <c r="AJ1374" s="6">
        <f t="shared" ca="1" si="392"/>
        <v>9</v>
      </c>
      <c r="AK1374" s="68">
        <f ca="1">IFERROR(__xludf.DUMMYFUNCTION("""COMPUTED_VALUE"""),44467.9986111111)</f>
        <v>44467.998611111099</v>
      </c>
      <c r="AL1374" s="6">
        <f ca="1">IFERROR(__xludf.DUMMYFUNCTION("""COMPUTED_VALUE"""),41046.57)</f>
        <v>41046.57</v>
      </c>
      <c r="AP1374" s="6" t="str">
        <f t="shared" ca="1" si="393"/>
        <v>20236</v>
      </c>
      <c r="AQ1374" s="6">
        <f t="shared" ca="1" si="394"/>
        <v>2023</v>
      </c>
      <c r="AR1374" s="6">
        <f t="shared" ca="1" si="395"/>
        <v>6</v>
      </c>
      <c r="AS1374" s="68">
        <f ca="1">IFERROR(__xludf.DUMMYFUNCTION("""COMPUTED_VALUE"""),45100.9986111111)</f>
        <v>45100.998611111099</v>
      </c>
      <c r="AT1374" s="6">
        <f ca="1">IFERROR(__xludf.DUMMYFUNCTION("""COMPUTED_VALUE"""),1929.6)</f>
        <v>1929.6</v>
      </c>
    </row>
    <row r="1375" spans="2:46" x14ac:dyDescent="0.35">
      <c r="B1375" s="6" t="str">
        <f t="shared" ca="1" si="378"/>
        <v>20236</v>
      </c>
      <c r="C1375" s="6">
        <f t="shared" ca="1" si="379"/>
        <v>2023</v>
      </c>
      <c r="D1375" s="6">
        <f t="shared" ca="1" si="380"/>
        <v>6</v>
      </c>
      <c r="E1375" s="68">
        <f ca="1">IFERROR(__xludf.DUMMYFUNCTION("""COMPUTED_VALUE"""),45093.6666666666)</f>
        <v>45093.666666666599</v>
      </c>
      <c r="F1375" s="6">
        <f ca="1">IFERROR(__xludf.DUMMYFUNCTION("""COMPUTED_VALUE"""),4409.59)</f>
        <v>4409.59</v>
      </c>
      <c r="J1375" s="6" t="str">
        <f t="shared" ca="1" si="381"/>
        <v>20236</v>
      </c>
      <c r="K1375" s="6">
        <f t="shared" ca="1" si="382"/>
        <v>2023</v>
      </c>
      <c r="L1375" s="6">
        <f t="shared" ca="1" si="383"/>
        <v>6</v>
      </c>
      <c r="M1375" s="68">
        <f ca="1">IFERROR(__xludf.DUMMYFUNCTION("""COMPUTED_VALUE"""),45085.6666666666)</f>
        <v>45085.666666666599</v>
      </c>
      <c r="N1375" s="6">
        <f ca="1">IFERROR(__xludf.DUMMYFUNCTION("""COMPUTED_VALUE"""),13238.52)</f>
        <v>13238.52</v>
      </c>
      <c r="R1375" s="6" t="str">
        <f t="shared" ca="1" si="384"/>
        <v>20238</v>
      </c>
      <c r="S1375" s="6">
        <f t="shared" ca="1" si="385"/>
        <v>2023</v>
      </c>
      <c r="T1375" s="6">
        <f t="shared" ca="1" si="386"/>
        <v>8</v>
      </c>
      <c r="U1375" s="68">
        <f ca="1">IFERROR(__xludf.DUMMYFUNCTION("""COMPUTED_VALUE"""),45139.6458333333)</f>
        <v>45139.645833333299</v>
      </c>
      <c r="V1375" s="6">
        <f ca="1">IFERROR(__xludf.DUMMYFUNCTION("""COMPUTED_VALUE"""),2667.07)</f>
        <v>2667.07</v>
      </c>
      <c r="Z1375" s="6" t="str">
        <f t="shared" ca="1" si="387"/>
        <v>202111</v>
      </c>
      <c r="AA1375" s="6">
        <f t="shared" ca="1" si="388"/>
        <v>2021</v>
      </c>
      <c r="AB1375" s="6">
        <f t="shared" ca="1" si="389"/>
        <v>11</v>
      </c>
      <c r="AC1375" s="68">
        <f ca="1">IFERROR(__xludf.DUMMYFUNCTION("""COMPUTED_VALUE"""),44523.9986111111)</f>
        <v>44523.998611111099</v>
      </c>
      <c r="AD1375" s="6">
        <f ca="1">IFERROR(__xludf.DUMMYFUNCTION("""COMPUTED_VALUE"""),1189.95)</f>
        <v>1189.95</v>
      </c>
      <c r="AH1375" s="6" t="str">
        <f t="shared" ca="1" si="390"/>
        <v>20219</v>
      </c>
      <c r="AI1375" s="6">
        <f t="shared" ca="1" si="391"/>
        <v>2021</v>
      </c>
      <c r="AJ1375" s="6">
        <f t="shared" ca="1" si="392"/>
        <v>9</v>
      </c>
      <c r="AK1375" s="68">
        <f ca="1">IFERROR(__xludf.DUMMYFUNCTION("""COMPUTED_VALUE"""),44468.9986111111)</f>
        <v>44468.998611111099</v>
      </c>
      <c r="AL1375" s="6">
        <f ca="1">IFERROR(__xludf.DUMMYFUNCTION("""COMPUTED_VALUE"""),41540.94)</f>
        <v>41540.94</v>
      </c>
      <c r="AP1375" s="6" t="str">
        <f t="shared" ca="1" si="393"/>
        <v>20236</v>
      </c>
      <c r="AQ1375" s="6">
        <f t="shared" ca="1" si="394"/>
        <v>2023</v>
      </c>
      <c r="AR1375" s="6">
        <f t="shared" ca="1" si="395"/>
        <v>6</v>
      </c>
      <c r="AS1375" s="68">
        <f ca="1">IFERROR(__xludf.DUMMYFUNCTION("""COMPUTED_VALUE"""),45103.9986111111)</f>
        <v>45103.998611111099</v>
      </c>
      <c r="AT1375" s="6">
        <f ca="1">IFERROR(__xludf.DUMMYFUNCTION("""COMPUTED_VALUE"""),1933.8)</f>
        <v>1933.8</v>
      </c>
    </row>
    <row r="1376" spans="2:46" x14ac:dyDescent="0.35">
      <c r="B1376" s="6" t="str">
        <f t="shared" ca="1" si="378"/>
        <v>20236</v>
      </c>
      <c r="C1376" s="6">
        <f t="shared" ca="1" si="379"/>
        <v>2023</v>
      </c>
      <c r="D1376" s="6">
        <f t="shared" ca="1" si="380"/>
        <v>6</v>
      </c>
      <c r="E1376" s="68">
        <f ca="1">IFERROR(__xludf.DUMMYFUNCTION("""COMPUTED_VALUE"""),45097.6666666666)</f>
        <v>45097.666666666599</v>
      </c>
      <c r="F1376" s="6">
        <f ca="1">IFERROR(__xludf.DUMMYFUNCTION("""COMPUTED_VALUE"""),4388.71)</f>
        <v>4388.71</v>
      </c>
      <c r="J1376" s="6" t="str">
        <f t="shared" ca="1" si="381"/>
        <v>20236</v>
      </c>
      <c r="K1376" s="6">
        <f t="shared" ca="1" si="382"/>
        <v>2023</v>
      </c>
      <c r="L1376" s="6">
        <f t="shared" ca="1" si="383"/>
        <v>6</v>
      </c>
      <c r="M1376" s="68">
        <f ca="1">IFERROR(__xludf.DUMMYFUNCTION("""COMPUTED_VALUE"""),45086.6666666666)</f>
        <v>45086.666666666599</v>
      </c>
      <c r="N1376" s="6">
        <f ca="1">IFERROR(__xludf.DUMMYFUNCTION("""COMPUTED_VALUE"""),13259.14)</f>
        <v>13259.14</v>
      </c>
      <c r="R1376" s="6" t="str">
        <f t="shared" ca="1" si="384"/>
        <v>20238</v>
      </c>
      <c r="S1376" s="6">
        <f t="shared" ca="1" si="385"/>
        <v>2023</v>
      </c>
      <c r="T1376" s="6">
        <f t="shared" ca="1" si="386"/>
        <v>8</v>
      </c>
      <c r="U1376" s="68">
        <f ca="1">IFERROR(__xludf.DUMMYFUNCTION("""COMPUTED_VALUE"""),45140.6458333333)</f>
        <v>45140.645833333299</v>
      </c>
      <c r="V1376" s="6">
        <f ca="1">IFERROR(__xludf.DUMMYFUNCTION("""COMPUTED_VALUE"""),2616.47)</f>
        <v>2616.4699999999998</v>
      </c>
      <c r="Z1376" s="6" t="str">
        <f t="shared" ca="1" si="387"/>
        <v>202111</v>
      </c>
      <c r="AA1376" s="6">
        <f t="shared" ca="1" si="388"/>
        <v>2021</v>
      </c>
      <c r="AB1376" s="6">
        <f t="shared" ca="1" si="389"/>
        <v>11</v>
      </c>
      <c r="AC1376" s="68">
        <f ca="1">IFERROR(__xludf.DUMMYFUNCTION("""COMPUTED_VALUE"""),44524.9986111111)</f>
        <v>44524.998611111099</v>
      </c>
      <c r="AD1376" s="6">
        <f ca="1">IFERROR(__xludf.DUMMYFUNCTION("""COMPUTED_VALUE"""),1187.88)</f>
        <v>1187.8800000000001</v>
      </c>
      <c r="AH1376" s="6" t="str">
        <f t="shared" ca="1" si="390"/>
        <v>20219</v>
      </c>
      <c r="AI1376" s="6">
        <f t="shared" ca="1" si="391"/>
        <v>2021</v>
      </c>
      <c r="AJ1376" s="6">
        <f t="shared" ca="1" si="392"/>
        <v>9</v>
      </c>
      <c r="AK1376" s="68">
        <f ca="1">IFERROR(__xludf.DUMMYFUNCTION("""COMPUTED_VALUE"""),44469.9986111111)</f>
        <v>44469.998611111099</v>
      </c>
      <c r="AL1376" s="6">
        <f ca="1">IFERROR(__xludf.DUMMYFUNCTION("""COMPUTED_VALUE"""),43788.04)</f>
        <v>43788.04</v>
      </c>
      <c r="AP1376" s="6" t="str">
        <f t="shared" ca="1" si="393"/>
        <v>20236</v>
      </c>
      <c r="AQ1376" s="6">
        <f t="shared" ca="1" si="394"/>
        <v>2023</v>
      </c>
      <c r="AR1376" s="6">
        <f t="shared" ca="1" si="395"/>
        <v>6</v>
      </c>
      <c r="AS1376" s="68">
        <f ca="1">IFERROR(__xludf.DUMMYFUNCTION("""COMPUTED_VALUE"""),45104.9986111111)</f>
        <v>45104.998611111099</v>
      </c>
      <c r="AT1376" s="6">
        <f ca="1">IFERROR(__xludf.DUMMYFUNCTION("""COMPUTED_VALUE"""),1923.8)</f>
        <v>1923.8</v>
      </c>
    </row>
    <row r="1377" spans="2:46" x14ac:dyDescent="0.35">
      <c r="B1377" s="6" t="str">
        <f t="shared" ca="1" si="378"/>
        <v>20236</v>
      </c>
      <c r="C1377" s="6">
        <f t="shared" ca="1" si="379"/>
        <v>2023</v>
      </c>
      <c r="D1377" s="6">
        <f t="shared" ca="1" si="380"/>
        <v>6</v>
      </c>
      <c r="E1377" s="68">
        <f ca="1">IFERROR(__xludf.DUMMYFUNCTION("""COMPUTED_VALUE"""),45098.6666666666)</f>
        <v>45098.666666666599</v>
      </c>
      <c r="F1377" s="6">
        <f ca="1">IFERROR(__xludf.DUMMYFUNCTION("""COMPUTED_VALUE"""),4365.69)</f>
        <v>4365.6899999999996</v>
      </c>
      <c r="J1377" s="6" t="str">
        <f t="shared" ca="1" si="381"/>
        <v>20236</v>
      </c>
      <c r="K1377" s="6">
        <f t="shared" ca="1" si="382"/>
        <v>2023</v>
      </c>
      <c r="L1377" s="6">
        <f t="shared" ca="1" si="383"/>
        <v>6</v>
      </c>
      <c r="M1377" s="68">
        <f ca="1">IFERROR(__xludf.DUMMYFUNCTION("""COMPUTED_VALUE"""),45089.6666666666)</f>
        <v>45089.666666666599</v>
      </c>
      <c r="N1377" s="6">
        <f ca="1">IFERROR(__xludf.DUMMYFUNCTION("""COMPUTED_VALUE"""),13461.92)</f>
        <v>13461.92</v>
      </c>
      <c r="R1377" s="6" t="str">
        <f t="shared" ca="1" si="384"/>
        <v>20238</v>
      </c>
      <c r="S1377" s="6">
        <f t="shared" ca="1" si="385"/>
        <v>2023</v>
      </c>
      <c r="T1377" s="6">
        <f t="shared" ca="1" si="386"/>
        <v>8</v>
      </c>
      <c r="U1377" s="68">
        <f ca="1">IFERROR(__xludf.DUMMYFUNCTION("""COMPUTED_VALUE"""),45141.6458333333)</f>
        <v>45141.645833333299</v>
      </c>
      <c r="V1377" s="6">
        <f ca="1">IFERROR(__xludf.DUMMYFUNCTION("""COMPUTED_VALUE"""),2605.39)</f>
        <v>2605.39</v>
      </c>
      <c r="Z1377" s="6" t="str">
        <f t="shared" ca="1" si="387"/>
        <v>202111</v>
      </c>
      <c r="AA1377" s="6">
        <f t="shared" ca="1" si="388"/>
        <v>2021</v>
      </c>
      <c r="AB1377" s="6">
        <f t="shared" ca="1" si="389"/>
        <v>11</v>
      </c>
      <c r="AC1377" s="68">
        <f ca="1">IFERROR(__xludf.DUMMYFUNCTION("""COMPUTED_VALUE"""),44525.9986111111)</f>
        <v>44525.998611111099</v>
      </c>
      <c r="AD1377" s="6">
        <f ca="1">IFERROR(__xludf.DUMMYFUNCTION("""COMPUTED_VALUE"""),1190.22)</f>
        <v>1190.22</v>
      </c>
      <c r="AH1377" s="6" t="str">
        <f t="shared" ca="1" si="390"/>
        <v>202110</v>
      </c>
      <c r="AI1377" s="6">
        <f t="shared" ca="1" si="391"/>
        <v>2021</v>
      </c>
      <c r="AJ1377" s="6">
        <f t="shared" ca="1" si="392"/>
        <v>10</v>
      </c>
      <c r="AK1377" s="68">
        <f ca="1">IFERROR(__xludf.DUMMYFUNCTION("""COMPUTED_VALUE"""),44470.9986111111)</f>
        <v>44470.998611111099</v>
      </c>
      <c r="AL1377" s="6">
        <f ca="1">IFERROR(__xludf.DUMMYFUNCTION("""COMPUTED_VALUE"""),48144)</f>
        <v>48144</v>
      </c>
      <c r="AP1377" s="6" t="str">
        <f t="shared" ca="1" si="393"/>
        <v>20236</v>
      </c>
      <c r="AQ1377" s="6">
        <f t="shared" ca="1" si="394"/>
        <v>2023</v>
      </c>
      <c r="AR1377" s="6">
        <f t="shared" ca="1" si="395"/>
        <v>6</v>
      </c>
      <c r="AS1377" s="68">
        <f ca="1">IFERROR(__xludf.DUMMYFUNCTION("""COMPUTED_VALUE"""),45105.9986111111)</f>
        <v>45105.998611111099</v>
      </c>
      <c r="AT1377" s="6">
        <f ca="1">IFERROR(__xludf.DUMMYFUNCTION("""COMPUTED_VALUE"""),1922.2)</f>
        <v>1922.2</v>
      </c>
    </row>
    <row r="1378" spans="2:46" x14ac:dyDescent="0.35">
      <c r="B1378" s="6" t="str">
        <f t="shared" ca="1" si="378"/>
        <v>20236</v>
      </c>
      <c r="C1378" s="6">
        <f t="shared" ca="1" si="379"/>
        <v>2023</v>
      </c>
      <c r="D1378" s="6">
        <f t="shared" ca="1" si="380"/>
        <v>6</v>
      </c>
      <c r="E1378" s="68">
        <f ca="1">IFERROR(__xludf.DUMMYFUNCTION("""COMPUTED_VALUE"""),45099.6666666666)</f>
        <v>45099.666666666599</v>
      </c>
      <c r="F1378" s="6">
        <f ca="1">IFERROR(__xludf.DUMMYFUNCTION("""COMPUTED_VALUE"""),4381.89)</f>
        <v>4381.8900000000003</v>
      </c>
      <c r="J1378" s="6" t="str">
        <f t="shared" ca="1" si="381"/>
        <v>20236</v>
      </c>
      <c r="K1378" s="6">
        <f t="shared" ca="1" si="382"/>
        <v>2023</v>
      </c>
      <c r="L1378" s="6">
        <f t="shared" ca="1" si="383"/>
        <v>6</v>
      </c>
      <c r="M1378" s="68">
        <f ca="1">IFERROR(__xludf.DUMMYFUNCTION("""COMPUTED_VALUE"""),45090.6666666666)</f>
        <v>45090.666666666599</v>
      </c>
      <c r="N1378" s="6">
        <f ca="1">IFERROR(__xludf.DUMMYFUNCTION("""COMPUTED_VALUE"""),13573.32)</f>
        <v>13573.32</v>
      </c>
      <c r="R1378" s="6" t="str">
        <f t="shared" ca="1" si="384"/>
        <v>20238</v>
      </c>
      <c r="S1378" s="6">
        <f t="shared" ca="1" si="385"/>
        <v>2023</v>
      </c>
      <c r="T1378" s="6">
        <f t="shared" ca="1" si="386"/>
        <v>8</v>
      </c>
      <c r="U1378" s="68">
        <f ca="1">IFERROR(__xludf.DUMMYFUNCTION("""COMPUTED_VALUE"""),45142.6458333333)</f>
        <v>45142.645833333299</v>
      </c>
      <c r="V1378" s="6">
        <f ca="1">IFERROR(__xludf.DUMMYFUNCTION("""COMPUTED_VALUE"""),2602.8)</f>
        <v>2602.8000000000002</v>
      </c>
      <c r="Z1378" s="6" t="str">
        <f t="shared" ca="1" si="387"/>
        <v>202111</v>
      </c>
      <c r="AA1378" s="6">
        <f t="shared" ca="1" si="388"/>
        <v>2021</v>
      </c>
      <c r="AB1378" s="6">
        <f t="shared" ca="1" si="389"/>
        <v>11</v>
      </c>
      <c r="AC1378" s="68">
        <f ca="1">IFERROR(__xludf.DUMMYFUNCTION("""COMPUTED_VALUE"""),44526.9986111111)</f>
        <v>44526.998611111099</v>
      </c>
      <c r="AD1378" s="6">
        <f ca="1">IFERROR(__xludf.DUMMYFUNCTION("""COMPUTED_VALUE"""),1194.61)</f>
        <v>1194.6099999999999</v>
      </c>
      <c r="AH1378" s="6" t="str">
        <f t="shared" ca="1" si="390"/>
        <v>202110</v>
      </c>
      <c r="AI1378" s="6">
        <f t="shared" ca="1" si="391"/>
        <v>2021</v>
      </c>
      <c r="AJ1378" s="6">
        <f t="shared" ca="1" si="392"/>
        <v>10</v>
      </c>
      <c r="AK1378" s="68">
        <f ca="1">IFERROR(__xludf.DUMMYFUNCTION("""COMPUTED_VALUE"""),44471.9986111111)</f>
        <v>44471.998611111099</v>
      </c>
      <c r="AL1378" s="6">
        <f ca="1">IFERROR(__xludf.DUMMYFUNCTION("""COMPUTED_VALUE"""),47675.17)</f>
        <v>47675.17</v>
      </c>
      <c r="AP1378" s="6" t="str">
        <f t="shared" ca="1" si="393"/>
        <v>20236</v>
      </c>
      <c r="AQ1378" s="6">
        <f t="shared" ca="1" si="394"/>
        <v>2023</v>
      </c>
      <c r="AR1378" s="6">
        <f t="shared" ca="1" si="395"/>
        <v>6</v>
      </c>
      <c r="AS1378" s="68">
        <f ca="1">IFERROR(__xludf.DUMMYFUNCTION("""COMPUTED_VALUE"""),45106.9986111111)</f>
        <v>45106.998611111099</v>
      </c>
      <c r="AT1378" s="6">
        <f ca="1">IFERROR(__xludf.DUMMYFUNCTION("""COMPUTED_VALUE"""),1917.9)</f>
        <v>1917.9</v>
      </c>
    </row>
    <row r="1379" spans="2:46" x14ac:dyDescent="0.35">
      <c r="B1379" s="6" t="str">
        <f t="shared" ca="1" si="378"/>
        <v>20236</v>
      </c>
      <c r="C1379" s="6">
        <f t="shared" ca="1" si="379"/>
        <v>2023</v>
      </c>
      <c r="D1379" s="6">
        <f t="shared" ca="1" si="380"/>
        <v>6</v>
      </c>
      <c r="E1379" s="68">
        <f ca="1">IFERROR(__xludf.DUMMYFUNCTION("""COMPUTED_VALUE"""),45100.6666666666)</f>
        <v>45100.666666666599</v>
      </c>
      <c r="F1379" s="6">
        <f ca="1">IFERROR(__xludf.DUMMYFUNCTION("""COMPUTED_VALUE"""),4348.33)</f>
        <v>4348.33</v>
      </c>
      <c r="J1379" s="6" t="str">
        <f t="shared" ca="1" si="381"/>
        <v>20236</v>
      </c>
      <c r="K1379" s="6">
        <f t="shared" ca="1" si="382"/>
        <v>2023</v>
      </c>
      <c r="L1379" s="6">
        <f t="shared" ca="1" si="383"/>
        <v>6</v>
      </c>
      <c r="M1379" s="68">
        <f ca="1">IFERROR(__xludf.DUMMYFUNCTION("""COMPUTED_VALUE"""),45091.6666666666)</f>
        <v>45091.666666666599</v>
      </c>
      <c r="N1379" s="6">
        <f ca="1">IFERROR(__xludf.DUMMYFUNCTION("""COMPUTED_VALUE"""),13626.48)</f>
        <v>13626.48</v>
      </c>
      <c r="R1379" s="6" t="str">
        <f t="shared" ca="1" si="384"/>
        <v>20238</v>
      </c>
      <c r="S1379" s="6">
        <f t="shared" ca="1" si="385"/>
        <v>2023</v>
      </c>
      <c r="T1379" s="6">
        <f t="shared" ca="1" si="386"/>
        <v>8</v>
      </c>
      <c r="U1379" s="68">
        <f ca="1">IFERROR(__xludf.DUMMYFUNCTION("""COMPUTED_VALUE"""),45145.6458333333)</f>
        <v>45145.645833333299</v>
      </c>
      <c r="V1379" s="6">
        <f ca="1">IFERROR(__xludf.DUMMYFUNCTION("""COMPUTED_VALUE"""),2580.71)</f>
        <v>2580.71</v>
      </c>
      <c r="Z1379" s="6" t="str">
        <f t="shared" ca="1" si="387"/>
        <v>202111</v>
      </c>
      <c r="AA1379" s="6">
        <f t="shared" ca="1" si="388"/>
        <v>2021</v>
      </c>
      <c r="AB1379" s="6">
        <f t="shared" ca="1" si="389"/>
        <v>11</v>
      </c>
      <c r="AC1379" s="68">
        <f ca="1">IFERROR(__xludf.DUMMYFUNCTION("""COMPUTED_VALUE"""),44528.9986111111)</f>
        <v>44528.998611111099</v>
      </c>
      <c r="AD1379" s="6">
        <f ca="1">IFERROR(__xludf.DUMMYFUNCTION("""COMPUTED_VALUE"""),1194.61)</f>
        <v>1194.6099999999999</v>
      </c>
      <c r="AH1379" s="6" t="str">
        <f t="shared" ca="1" si="390"/>
        <v>202110</v>
      </c>
      <c r="AI1379" s="6">
        <f t="shared" ca="1" si="391"/>
        <v>2021</v>
      </c>
      <c r="AJ1379" s="6">
        <f t="shared" ca="1" si="392"/>
        <v>10</v>
      </c>
      <c r="AK1379" s="68">
        <f ca="1">IFERROR(__xludf.DUMMYFUNCTION("""COMPUTED_VALUE"""),44472.9986111111)</f>
        <v>44472.998611111099</v>
      </c>
      <c r="AL1379" s="6">
        <f ca="1">IFERROR(__xludf.DUMMYFUNCTION("""COMPUTED_VALUE"""),48228.48)</f>
        <v>48228.480000000003</v>
      </c>
      <c r="AP1379" s="6" t="str">
        <f t="shared" ca="1" si="393"/>
        <v>20236</v>
      </c>
      <c r="AQ1379" s="6">
        <f t="shared" ca="1" si="394"/>
        <v>2023</v>
      </c>
      <c r="AR1379" s="6">
        <f t="shared" ca="1" si="395"/>
        <v>6</v>
      </c>
      <c r="AS1379" s="68">
        <f ca="1">IFERROR(__xludf.DUMMYFUNCTION("""COMPUTED_VALUE"""),45107.9986111111)</f>
        <v>45107.998611111099</v>
      </c>
      <c r="AT1379" s="6">
        <f ca="1">IFERROR(__xludf.DUMMYFUNCTION("""COMPUTED_VALUE"""),1929.4)</f>
        <v>1929.4</v>
      </c>
    </row>
    <row r="1380" spans="2:46" x14ac:dyDescent="0.35">
      <c r="B1380" s="6" t="str">
        <f t="shared" ca="1" si="378"/>
        <v>20236</v>
      </c>
      <c r="C1380" s="6">
        <f t="shared" ca="1" si="379"/>
        <v>2023</v>
      </c>
      <c r="D1380" s="6">
        <f t="shared" ca="1" si="380"/>
        <v>6</v>
      </c>
      <c r="E1380" s="68">
        <f ca="1">IFERROR(__xludf.DUMMYFUNCTION("""COMPUTED_VALUE"""),45103.6666666666)</f>
        <v>45103.666666666599</v>
      </c>
      <c r="F1380" s="6">
        <f ca="1">IFERROR(__xludf.DUMMYFUNCTION("""COMPUTED_VALUE"""),4328.82)</f>
        <v>4328.82</v>
      </c>
      <c r="J1380" s="6" t="str">
        <f t="shared" ca="1" si="381"/>
        <v>20236</v>
      </c>
      <c r="K1380" s="6">
        <f t="shared" ca="1" si="382"/>
        <v>2023</v>
      </c>
      <c r="L1380" s="6">
        <f t="shared" ca="1" si="383"/>
        <v>6</v>
      </c>
      <c r="M1380" s="68">
        <f ca="1">IFERROR(__xludf.DUMMYFUNCTION("""COMPUTED_VALUE"""),45092.6666666666)</f>
        <v>45092.666666666599</v>
      </c>
      <c r="N1380" s="6">
        <f ca="1">IFERROR(__xludf.DUMMYFUNCTION("""COMPUTED_VALUE"""),13782.82)</f>
        <v>13782.82</v>
      </c>
      <c r="R1380" s="6" t="str">
        <f t="shared" ca="1" si="384"/>
        <v>20238</v>
      </c>
      <c r="S1380" s="6">
        <f t="shared" ca="1" si="385"/>
        <v>2023</v>
      </c>
      <c r="T1380" s="6">
        <f t="shared" ca="1" si="386"/>
        <v>8</v>
      </c>
      <c r="U1380" s="68">
        <f ca="1">IFERROR(__xludf.DUMMYFUNCTION("""COMPUTED_VALUE"""),45146.6458333333)</f>
        <v>45146.645833333299</v>
      </c>
      <c r="V1380" s="6">
        <f ca="1">IFERROR(__xludf.DUMMYFUNCTION("""COMPUTED_VALUE"""),2573.98)</f>
        <v>2573.98</v>
      </c>
      <c r="Z1380" s="6" t="str">
        <f t="shared" ca="1" si="387"/>
        <v>202111</v>
      </c>
      <c r="AA1380" s="6">
        <f t="shared" ca="1" si="388"/>
        <v>2021</v>
      </c>
      <c r="AB1380" s="6">
        <f t="shared" ca="1" si="389"/>
        <v>11</v>
      </c>
      <c r="AC1380" s="68">
        <f ca="1">IFERROR(__xludf.DUMMYFUNCTION("""COMPUTED_VALUE"""),44529.9986111111)</f>
        <v>44529.998611111099</v>
      </c>
      <c r="AD1380" s="6">
        <f ca="1">IFERROR(__xludf.DUMMYFUNCTION("""COMPUTED_VALUE"""),1190.74)</f>
        <v>1190.74</v>
      </c>
      <c r="AH1380" s="6" t="str">
        <f t="shared" ca="1" si="390"/>
        <v>202110</v>
      </c>
      <c r="AI1380" s="6">
        <f t="shared" ca="1" si="391"/>
        <v>2021</v>
      </c>
      <c r="AJ1380" s="6">
        <f t="shared" ca="1" si="392"/>
        <v>10</v>
      </c>
      <c r="AK1380" s="68">
        <f ca="1">IFERROR(__xludf.DUMMYFUNCTION("""COMPUTED_VALUE"""),44473.9986111111)</f>
        <v>44473.998611111099</v>
      </c>
      <c r="AL1380" s="6">
        <f ca="1">IFERROR(__xludf.DUMMYFUNCTION("""COMPUTED_VALUE"""),49264.18)</f>
        <v>49264.18</v>
      </c>
      <c r="AP1380" s="6" t="str">
        <f t="shared" ca="1" si="393"/>
        <v>20237</v>
      </c>
      <c r="AQ1380" s="6">
        <f t="shared" ca="1" si="394"/>
        <v>2023</v>
      </c>
      <c r="AR1380" s="6">
        <f t="shared" ca="1" si="395"/>
        <v>7</v>
      </c>
      <c r="AS1380" s="68">
        <f ca="1">IFERROR(__xludf.DUMMYFUNCTION("""COMPUTED_VALUE"""),45110.5416666666)</f>
        <v>45110.541666666599</v>
      </c>
      <c r="AT1380" s="6">
        <f ca="1">IFERROR(__xludf.DUMMYFUNCTION("""COMPUTED_VALUE"""),1929.5)</f>
        <v>1929.5</v>
      </c>
    </row>
    <row r="1381" spans="2:46" x14ac:dyDescent="0.35">
      <c r="B1381" s="6" t="str">
        <f t="shared" ca="1" si="378"/>
        <v>20236</v>
      </c>
      <c r="C1381" s="6">
        <f t="shared" ca="1" si="379"/>
        <v>2023</v>
      </c>
      <c r="D1381" s="6">
        <f t="shared" ca="1" si="380"/>
        <v>6</v>
      </c>
      <c r="E1381" s="68">
        <f ca="1">IFERROR(__xludf.DUMMYFUNCTION("""COMPUTED_VALUE"""),45104.6666666666)</f>
        <v>45104.666666666599</v>
      </c>
      <c r="F1381" s="6">
        <f ca="1">IFERROR(__xludf.DUMMYFUNCTION("""COMPUTED_VALUE"""),4378.41)</f>
        <v>4378.41</v>
      </c>
      <c r="J1381" s="6" t="str">
        <f t="shared" ca="1" si="381"/>
        <v>20236</v>
      </c>
      <c r="K1381" s="6">
        <f t="shared" ca="1" si="382"/>
        <v>2023</v>
      </c>
      <c r="L1381" s="6">
        <f t="shared" ca="1" si="383"/>
        <v>6</v>
      </c>
      <c r="M1381" s="68">
        <f ca="1">IFERROR(__xludf.DUMMYFUNCTION("""COMPUTED_VALUE"""),45093.6666666666)</f>
        <v>45093.666666666599</v>
      </c>
      <c r="N1381" s="6">
        <f ca="1">IFERROR(__xludf.DUMMYFUNCTION("""COMPUTED_VALUE"""),13689.57)</f>
        <v>13689.57</v>
      </c>
      <c r="R1381" s="6" t="str">
        <f t="shared" ca="1" si="384"/>
        <v>20238</v>
      </c>
      <c r="S1381" s="6">
        <f t="shared" ca="1" si="385"/>
        <v>2023</v>
      </c>
      <c r="T1381" s="6">
        <f t="shared" ca="1" si="386"/>
        <v>8</v>
      </c>
      <c r="U1381" s="68">
        <f ca="1">IFERROR(__xludf.DUMMYFUNCTION("""COMPUTED_VALUE"""),45147.6458333333)</f>
        <v>45147.645833333299</v>
      </c>
      <c r="V1381" s="6">
        <f ca="1">IFERROR(__xludf.DUMMYFUNCTION("""COMPUTED_VALUE"""),2605.12)</f>
        <v>2605.12</v>
      </c>
      <c r="Z1381" s="6" t="str">
        <f t="shared" ca="1" si="387"/>
        <v>202111</v>
      </c>
      <c r="AA1381" s="6">
        <f t="shared" ca="1" si="388"/>
        <v>2021</v>
      </c>
      <c r="AB1381" s="6">
        <f t="shared" ca="1" si="389"/>
        <v>11</v>
      </c>
      <c r="AC1381" s="68">
        <f ca="1">IFERROR(__xludf.DUMMYFUNCTION("""COMPUTED_VALUE"""),44530.9986111111)</f>
        <v>44530.998611111099</v>
      </c>
      <c r="AD1381" s="6">
        <f ca="1">IFERROR(__xludf.DUMMYFUNCTION("""COMPUTED_VALUE"""),1182.86)</f>
        <v>1182.8599999999999</v>
      </c>
      <c r="AH1381" s="6" t="str">
        <f t="shared" ca="1" si="390"/>
        <v>202110</v>
      </c>
      <c r="AI1381" s="6">
        <f t="shared" ca="1" si="391"/>
        <v>2021</v>
      </c>
      <c r="AJ1381" s="6">
        <f t="shared" ca="1" si="392"/>
        <v>10</v>
      </c>
      <c r="AK1381" s="68">
        <f ca="1">IFERROR(__xludf.DUMMYFUNCTION("""COMPUTED_VALUE"""),44474.9986111111)</f>
        <v>44474.998611111099</v>
      </c>
      <c r="AL1381" s="6">
        <f ca="1">IFERROR(__xludf.DUMMYFUNCTION("""COMPUTED_VALUE"""),51490.58)</f>
        <v>51490.58</v>
      </c>
      <c r="AP1381" s="6" t="str">
        <f t="shared" ca="1" si="393"/>
        <v>20237</v>
      </c>
      <c r="AQ1381" s="6">
        <f t="shared" ca="1" si="394"/>
        <v>2023</v>
      </c>
      <c r="AR1381" s="6">
        <f t="shared" ca="1" si="395"/>
        <v>7</v>
      </c>
      <c r="AS1381" s="68">
        <f ca="1">IFERROR(__xludf.DUMMYFUNCTION("""COMPUTED_VALUE"""),45112.9986111111)</f>
        <v>45112.998611111099</v>
      </c>
      <c r="AT1381" s="6">
        <f ca="1">IFERROR(__xludf.DUMMYFUNCTION("""COMPUTED_VALUE"""),1927.1)</f>
        <v>1927.1</v>
      </c>
    </row>
    <row r="1382" spans="2:46" x14ac:dyDescent="0.35">
      <c r="B1382" s="6" t="str">
        <f t="shared" ca="1" si="378"/>
        <v>20236</v>
      </c>
      <c r="C1382" s="6">
        <f t="shared" ca="1" si="379"/>
        <v>2023</v>
      </c>
      <c r="D1382" s="6">
        <f t="shared" ca="1" si="380"/>
        <v>6</v>
      </c>
      <c r="E1382" s="68">
        <f ca="1">IFERROR(__xludf.DUMMYFUNCTION("""COMPUTED_VALUE"""),45105.6666666666)</f>
        <v>45105.666666666599</v>
      </c>
      <c r="F1382" s="6">
        <f ca="1">IFERROR(__xludf.DUMMYFUNCTION("""COMPUTED_VALUE"""),4376.86)</f>
        <v>4376.8599999999997</v>
      </c>
      <c r="J1382" s="6" t="str">
        <f t="shared" ca="1" si="381"/>
        <v>20236</v>
      </c>
      <c r="K1382" s="6">
        <f t="shared" ca="1" si="382"/>
        <v>2023</v>
      </c>
      <c r="L1382" s="6">
        <f t="shared" ca="1" si="383"/>
        <v>6</v>
      </c>
      <c r="M1382" s="68">
        <f ca="1">IFERROR(__xludf.DUMMYFUNCTION("""COMPUTED_VALUE"""),45097.6666666666)</f>
        <v>45097.666666666599</v>
      </c>
      <c r="N1382" s="6">
        <f ca="1">IFERROR(__xludf.DUMMYFUNCTION("""COMPUTED_VALUE"""),13667.29)</f>
        <v>13667.29</v>
      </c>
      <c r="R1382" s="6" t="str">
        <f t="shared" ca="1" si="384"/>
        <v>20238</v>
      </c>
      <c r="S1382" s="6">
        <f t="shared" ca="1" si="385"/>
        <v>2023</v>
      </c>
      <c r="T1382" s="6">
        <f t="shared" ca="1" si="386"/>
        <v>8</v>
      </c>
      <c r="U1382" s="68">
        <f ca="1">IFERROR(__xludf.DUMMYFUNCTION("""COMPUTED_VALUE"""),45148.6458333333)</f>
        <v>45148.645833333299</v>
      </c>
      <c r="V1382" s="6">
        <f ca="1">IFERROR(__xludf.DUMMYFUNCTION("""COMPUTED_VALUE"""),2601.56)</f>
        <v>2601.56</v>
      </c>
      <c r="Z1382" s="6" t="str">
        <f t="shared" ca="1" si="387"/>
        <v>202112</v>
      </c>
      <c r="AA1382" s="6">
        <f t="shared" ca="1" si="388"/>
        <v>2021</v>
      </c>
      <c r="AB1382" s="6">
        <f t="shared" ca="1" si="389"/>
        <v>12</v>
      </c>
      <c r="AC1382" s="68">
        <f ca="1">IFERROR(__xludf.DUMMYFUNCTION("""COMPUTED_VALUE"""),44531.9986111111)</f>
        <v>44531.998611111099</v>
      </c>
      <c r="AD1382" s="6">
        <f ca="1">IFERROR(__xludf.DUMMYFUNCTION("""COMPUTED_VALUE"""),1177.11)</f>
        <v>1177.1099999999999</v>
      </c>
      <c r="AH1382" s="6" t="str">
        <f t="shared" ca="1" si="390"/>
        <v>202110</v>
      </c>
      <c r="AI1382" s="6">
        <f t="shared" ca="1" si="391"/>
        <v>2021</v>
      </c>
      <c r="AJ1382" s="6">
        <f t="shared" ca="1" si="392"/>
        <v>10</v>
      </c>
      <c r="AK1382" s="68">
        <f ca="1">IFERROR(__xludf.DUMMYFUNCTION("""COMPUTED_VALUE"""),44475.9986111111)</f>
        <v>44475.998611111099</v>
      </c>
      <c r="AL1382" s="6">
        <f ca="1">IFERROR(__xludf.DUMMYFUNCTION("""COMPUTED_VALUE"""),55338.91)</f>
        <v>55338.91</v>
      </c>
      <c r="AP1382" s="6" t="str">
        <f t="shared" ca="1" si="393"/>
        <v>20237</v>
      </c>
      <c r="AQ1382" s="6">
        <f t="shared" ca="1" si="394"/>
        <v>2023</v>
      </c>
      <c r="AR1382" s="6">
        <f t="shared" ca="1" si="395"/>
        <v>7</v>
      </c>
      <c r="AS1382" s="68">
        <f ca="1">IFERROR(__xludf.DUMMYFUNCTION("""COMPUTED_VALUE"""),45113.9986111111)</f>
        <v>45113.998611111099</v>
      </c>
      <c r="AT1382" s="6">
        <f ca="1">IFERROR(__xludf.DUMMYFUNCTION("""COMPUTED_VALUE"""),1915.4)</f>
        <v>1915.4</v>
      </c>
    </row>
    <row r="1383" spans="2:46" x14ac:dyDescent="0.35">
      <c r="B1383" s="6" t="str">
        <f t="shared" ca="1" si="378"/>
        <v>20236</v>
      </c>
      <c r="C1383" s="6">
        <f t="shared" ca="1" si="379"/>
        <v>2023</v>
      </c>
      <c r="D1383" s="6">
        <f t="shared" ca="1" si="380"/>
        <v>6</v>
      </c>
      <c r="E1383" s="68">
        <f ca="1">IFERROR(__xludf.DUMMYFUNCTION("""COMPUTED_VALUE"""),45106.6666666666)</f>
        <v>45106.666666666599</v>
      </c>
      <c r="F1383" s="6">
        <f ca="1">IFERROR(__xludf.DUMMYFUNCTION("""COMPUTED_VALUE"""),4396.44)</f>
        <v>4396.4399999999996</v>
      </c>
      <c r="J1383" s="6" t="str">
        <f t="shared" ca="1" si="381"/>
        <v>20236</v>
      </c>
      <c r="K1383" s="6">
        <f t="shared" ca="1" si="382"/>
        <v>2023</v>
      </c>
      <c r="L1383" s="6">
        <f t="shared" ca="1" si="383"/>
        <v>6</v>
      </c>
      <c r="M1383" s="68">
        <f ca="1">IFERROR(__xludf.DUMMYFUNCTION("""COMPUTED_VALUE"""),45098.6666666666)</f>
        <v>45098.666666666599</v>
      </c>
      <c r="N1383" s="6">
        <f ca="1">IFERROR(__xludf.DUMMYFUNCTION("""COMPUTED_VALUE"""),13502.2)</f>
        <v>13502.2</v>
      </c>
      <c r="R1383" s="6" t="str">
        <f t="shared" ca="1" si="384"/>
        <v>20238</v>
      </c>
      <c r="S1383" s="6">
        <f t="shared" ca="1" si="385"/>
        <v>2023</v>
      </c>
      <c r="T1383" s="6">
        <f t="shared" ca="1" si="386"/>
        <v>8</v>
      </c>
      <c r="U1383" s="68">
        <f ca="1">IFERROR(__xludf.DUMMYFUNCTION("""COMPUTED_VALUE"""),45149.6458333333)</f>
        <v>45149.645833333299</v>
      </c>
      <c r="V1383" s="6">
        <f ca="1">IFERROR(__xludf.DUMMYFUNCTION("""COMPUTED_VALUE"""),2591.26)</f>
        <v>2591.2600000000002</v>
      </c>
      <c r="Z1383" s="6" t="str">
        <f t="shared" ca="1" si="387"/>
        <v>202112</v>
      </c>
      <c r="AA1383" s="6">
        <f t="shared" ca="1" si="388"/>
        <v>2021</v>
      </c>
      <c r="AB1383" s="6">
        <f t="shared" ca="1" si="389"/>
        <v>12</v>
      </c>
      <c r="AC1383" s="68">
        <f ca="1">IFERROR(__xludf.DUMMYFUNCTION("""COMPUTED_VALUE"""),44532.9986111111)</f>
        <v>44532.998611111099</v>
      </c>
      <c r="AD1383" s="6">
        <f ca="1">IFERROR(__xludf.DUMMYFUNCTION("""COMPUTED_VALUE"""),1176.77)</f>
        <v>1176.77</v>
      </c>
      <c r="AH1383" s="6" t="str">
        <f t="shared" ca="1" si="390"/>
        <v>202110</v>
      </c>
      <c r="AI1383" s="6">
        <f t="shared" ca="1" si="391"/>
        <v>2021</v>
      </c>
      <c r="AJ1383" s="6">
        <f t="shared" ca="1" si="392"/>
        <v>10</v>
      </c>
      <c r="AK1383" s="68">
        <f ca="1">IFERROR(__xludf.DUMMYFUNCTION("""COMPUTED_VALUE"""),44476.9986111111)</f>
        <v>44476.998611111099</v>
      </c>
      <c r="AL1383" s="6">
        <f ca="1">IFERROR(__xludf.DUMMYFUNCTION("""COMPUTED_VALUE"""),53781.91)</f>
        <v>53781.91</v>
      </c>
      <c r="AP1383" s="6" t="str">
        <f t="shared" ca="1" si="393"/>
        <v>20237</v>
      </c>
      <c r="AQ1383" s="6">
        <f t="shared" ca="1" si="394"/>
        <v>2023</v>
      </c>
      <c r="AR1383" s="6">
        <f t="shared" ca="1" si="395"/>
        <v>7</v>
      </c>
      <c r="AS1383" s="68">
        <f ca="1">IFERROR(__xludf.DUMMYFUNCTION("""COMPUTED_VALUE"""),45114.9986111111)</f>
        <v>45114.998611111099</v>
      </c>
      <c r="AT1383" s="6">
        <f ca="1">IFERROR(__xludf.DUMMYFUNCTION("""COMPUTED_VALUE"""),1932.5)</f>
        <v>1932.5</v>
      </c>
    </row>
    <row r="1384" spans="2:46" x14ac:dyDescent="0.35">
      <c r="B1384" s="6" t="str">
        <f t="shared" ca="1" si="378"/>
        <v>20236</v>
      </c>
      <c r="C1384" s="6">
        <f t="shared" ca="1" si="379"/>
        <v>2023</v>
      </c>
      <c r="D1384" s="6">
        <f t="shared" ca="1" si="380"/>
        <v>6</v>
      </c>
      <c r="E1384" s="68">
        <f ca="1">IFERROR(__xludf.DUMMYFUNCTION("""COMPUTED_VALUE"""),45107.6666666666)</f>
        <v>45107.666666666599</v>
      </c>
      <c r="F1384" s="6">
        <f ca="1">IFERROR(__xludf.DUMMYFUNCTION("""COMPUTED_VALUE"""),4450.38)</f>
        <v>4450.38</v>
      </c>
      <c r="J1384" s="6" t="str">
        <f t="shared" ca="1" si="381"/>
        <v>20236</v>
      </c>
      <c r="K1384" s="6">
        <f t="shared" ca="1" si="382"/>
        <v>2023</v>
      </c>
      <c r="L1384" s="6">
        <f t="shared" ca="1" si="383"/>
        <v>6</v>
      </c>
      <c r="M1384" s="68">
        <f ca="1">IFERROR(__xludf.DUMMYFUNCTION("""COMPUTED_VALUE"""),45099.6666666666)</f>
        <v>45099.666666666599</v>
      </c>
      <c r="N1384" s="6">
        <f ca="1">IFERROR(__xludf.DUMMYFUNCTION("""COMPUTED_VALUE"""),13630.61)</f>
        <v>13630.61</v>
      </c>
      <c r="R1384" s="6" t="str">
        <f t="shared" ca="1" si="384"/>
        <v>20238</v>
      </c>
      <c r="S1384" s="6">
        <f t="shared" ca="1" si="385"/>
        <v>2023</v>
      </c>
      <c r="T1384" s="6">
        <f t="shared" ca="1" si="386"/>
        <v>8</v>
      </c>
      <c r="U1384" s="68">
        <f ca="1">IFERROR(__xludf.DUMMYFUNCTION("""COMPUTED_VALUE"""),45152.6458333333)</f>
        <v>45152.645833333299</v>
      </c>
      <c r="V1384" s="6">
        <f ca="1">IFERROR(__xludf.DUMMYFUNCTION("""COMPUTED_VALUE"""),2570.87)</f>
        <v>2570.87</v>
      </c>
      <c r="Z1384" s="6" t="str">
        <f t="shared" ca="1" si="387"/>
        <v>202112</v>
      </c>
      <c r="AA1384" s="6">
        <f t="shared" ca="1" si="388"/>
        <v>2021</v>
      </c>
      <c r="AB1384" s="6">
        <f t="shared" ca="1" si="389"/>
        <v>12</v>
      </c>
      <c r="AC1384" s="68">
        <f ca="1">IFERROR(__xludf.DUMMYFUNCTION("""COMPUTED_VALUE"""),44533.9986111111)</f>
        <v>44533.998611111099</v>
      </c>
      <c r="AD1384" s="6">
        <f ca="1">IFERROR(__xludf.DUMMYFUNCTION("""COMPUTED_VALUE"""),1183.24)</f>
        <v>1183.24</v>
      </c>
      <c r="AH1384" s="6" t="str">
        <f t="shared" ca="1" si="390"/>
        <v>202110</v>
      </c>
      <c r="AI1384" s="6">
        <f t="shared" ca="1" si="391"/>
        <v>2021</v>
      </c>
      <c r="AJ1384" s="6">
        <f t="shared" ca="1" si="392"/>
        <v>10</v>
      </c>
      <c r="AK1384" s="68">
        <f ca="1">IFERROR(__xludf.DUMMYFUNCTION("""COMPUTED_VALUE"""),44477.9986111111)</f>
        <v>44477.998611111099</v>
      </c>
      <c r="AL1384" s="6">
        <f ca="1">IFERROR(__xludf.DUMMYFUNCTION("""COMPUTED_VALUE"""),53941.22)</f>
        <v>53941.22</v>
      </c>
      <c r="AP1384" s="6" t="str">
        <f t="shared" ca="1" si="393"/>
        <v>20237</v>
      </c>
      <c r="AQ1384" s="6">
        <f t="shared" ca="1" si="394"/>
        <v>2023</v>
      </c>
      <c r="AR1384" s="6">
        <f t="shared" ca="1" si="395"/>
        <v>7</v>
      </c>
      <c r="AS1384" s="68">
        <f ca="1">IFERROR(__xludf.DUMMYFUNCTION("""COMPUTED_VALUE"""),45117.9986111111)</f>
        <v>45117.998611111099</v>
      </c>
      <c r="AT1384" s="6">
        <f ca="1">IFERROR(__xludf.DUMMYFUNCTION("""COMPUTED_VALUE"""),1931)</f>
        <v>1931</v>
      </c>
    </row>
    <row r="1385" spans="2:46" x14ac:dyDescent="0.35">
      <c r="B1385" s="6" t="str">
        <f t="shared" ca="1" si="378"/>
        <v>20237</v>
      </c>
      <c r="C1385" s="6">
        <f t="shared" ca="1" si="379"/>
        <v>2023</v>
      </c>
      <c r="D1385" s="6">
        <f t="shared" ca="1" si="380"/>
        <v>7</v>
      </c>
      <c r="E1385" s="68">
        <f ca="1">IFERROR(__xludf.DUMMYFUNCTION("""COMPUTED_VALUE"""),45110.5416666666)</f>
        <v>45110.541666666599</v>
      </c>
      <c r="F1385" s="6">
        <f ca="1">IFERROR(__xludf.DUMMYFUNCTION("""COMPUTED_VALUE"""),4455.59)</f>
        <v>4455.59</v>
      </c>
      <c r="J1385" s="6" t="str">
        <f t="shared" ca="1" si="381"/>
        <v>20236</v>
      </c>
      <c r="K1385" s="6">
        <f t="shared" ca="1" si="382"/>
        <v>2023</v>
      </c>
      <c r="L1385" s="6">
        <f t="shared" ca="1" si="383"/>
        <v>6</v>
      </c>
      <c r="M1385" s="68">
        <f ca="1">IFERROR(__xludf.DUMMYFUNCTION("""COMPUTED_VALUE"""),45100.6666666666)</f>
        <v>45100.666666666599</v>
      </c>
      <c r="N1385" s="6">
        <f ca="1">IFERROR(__xludf.DUMMYFUNCTION("""COMPUTED_VALUE"""),13492.52)</f>
        <v>13492.52</v>
      </c>
      <c r="R1385" s="6" t="str">
        <f t="shared" ca="1" si="384"/>
        <v>20238</v>
      </c>
      <c r="S1385" s="6">
        <f t="shared" ca="1" si="385"/>
        <v>2023</v>
      </c>
      <c r="T1385" s="6">
        <f t="shared" ca="1" si="386"/>
        <v>8</v>
      </c>
      <c r="U1385" s="68">
        <f ca="1">IFERROR(__xludf.DUMMYFUNCTION("""COMPUTED_VALUE"""),45154.6458333333)</f>
        <v>45154.645833333299</v>
      </c>
      <c r="V1385" s="6">
        <f ca="1">IFERROR(__xludf.DUMMYFUNCTION("""COMPUTED_VALUE"""),2525.64)</f>
        <v>2525.64</v>
      </c>
      <c r="Z1385" s="6" t="str">
        <f t="shared" ca="1" si="387"/>
        <v>202112</v>
      </c>
      <c r="AA1385" s="6">
        <f t="shared" ca="1" si="388"/>
        <v>2021</v>
      </c>
      <c r="AB1385" s="6">
        <f t="shared" ca="1" si="389"/>
        <v>12</v>
      </c>
      <c r="AC1385" s="68">
        <f ca="1">IFERROR(__xludf.DUMMYFUNCTION("""COMPUTED_VALUE"""),44534.9986111111)</f>
        <v>44534.998611111099</v>
      </c>
      <c r="AD1385" s="6">
        <f ca="1">IFERROR(__xludf.DUMMYFUNCTION("""COMPUTED_VALUE"""),1183.14)</f>
        <v>1183.1400000000001</v>
      </c>
      <c r="AH1385" s="6" t="str">
        <f t="shared" ca="1" si="390"/>
        <v>202110</v>
      </c>
      <c r="AI1385" s="6">
        <f t="shared" ca="1" si="391"/>
        <v>2021</v>
      </c>
      <c r="AJ1385" s="6">
        <f t="shared" ca="1" si="392"/>
        <v>10</v>
      </c>
      <c r="AK1385" s="68">
        <f ca="1">IFERROR(__xludf.DUMMYFUNCTION("""COMPUTED_VALUE"""),44478.9986111111)</f>
        <v>44478.998611111099</v>
      </c>
      <c r="AL1385" s="6">
        <f ca="1">IFERROR(__xludf.DUMMYFUNCTION("""COMPUTED_VALUE"""),54963.55)</f>
        <v>54963.55</v>
      </c>
      <c r="AP1385" s="6" t="str">
        <f t="shared" ca="1" si="393"/>
        <v>20237</v>
      </c>
      <c r="AQ1385" s="6">
        <f t="shared" ca="1" si="394"/>
        <v>2023</v>
      </c>
      <c r="AR1385" s="6">
        <f t="shared" ca="1" si="395"/>
        <v>7</v>
      </c>
      <c r="AS1385" s="68">
        <f ca="1">IFERROR(__xludf.DUMMYFUNCTION("""COMPUTED_VALUE"""),45118.9986111111)</f>
        <v>45118.998611111099</v>
      </c>
      <c r="AT1385" s="6">
        <f ca="1">IFERROR(__xludf.DUMMYFUNCTION("""COMPUTED_VALUE"""),1937.1)</f>
        <v>1937.1</v>
      </c>
    </row>
    <row r="1386" spans="2:46" x14ac:dyDescent="0.35">
      <c r="B1386" s="6" t="str">
        <f t="shared" ca="1" si="378"/>
        <v>20237</v>
      </c>
      <c r="C1386" s="6">
        <f t="shared" ca="1" si="379"/>
        <v>2023</v>
      </c>
      <c r="D1386" s="6">
        <f t="shared" ca="1" si="380"/>
        <v>7</v>
      </c>
      <c r="E1386" s="68">
        <f ca="1">IFERROR(__xludf.DUMMYFUNCTION("""COMPUTED_VALUE"""),45112.6666666666)</f>
        <v>45112.666666666599</v>
      </c>
      <c r="F1386" s="6">
        <f ca="1">IFERROR(__xludf.DUMMYFUNCTION("""COMPUTED_VALUE"""),4446.82)</f>
        <v>4446.82</v>
      </c>
      <c r="J1386" s="6" t="str">
        <f t="shared" ca="1" si="381"/>
        <v>20236</v>
      </c>
      <c r="K1386" s="6">
        <f t="shared" ca="1" si="382"/>
        <v>2023</v>
      </c>
      <c r="L1386" s="6">
        <f t="shared" ca="1" si="383"/>
        <v>6</v>
      </c>
      <c r="M1386" s="68">
        <f ca="1">IFERROR(__xludf.DUMMYFUNCTION("""COMPUTED_VALUE"""),45103.6666666666)</f>
        <v>45103.666666666599</v>
      </c>
      <c r="N1386" s="6">
        <f ca="1">IFERROR(__xludf.DUMMYFUNCTION("""COMPUTED_VALUE"""),13335.78)</f>
        <v>13335.78</v>
      </c>
      <c r="R1386" s="6" t="str">
        <f t="shared" ca="1" si="384"/>
        <v>20238</v>
      </c>
      <c r="S1386" s="6">
        <f t="shared" ca="1" si="385"/>
        <v>2023</v>
      </c>
      <c r="T1386" s="6">
        <f t="shared" ca="1" si="386"/>
        <v>8</v>
      </c>
      <c r="U1386" s="68">
        <f ca="1">IFERROR(__xludf.DUMMYFUNCTION("""COMPUTED_VALUE"""),45155.6458333333)</f>
        <v>45155.645833333299</v>
      </c>
      <c r="V1386" s="6">
        <f ca="1">IFERROR(__xludf.DUMMYFUNCTION("""COMPUTED_VALUE"""),2519.85)</f>
        <v>2519.85</v>
      </c>
      <c r="Z1386" s="6" t="str">
        <f t="shared" ca="1" si="387"/>
        <v>202112</v>
      </c>
      <c r="AA1386" s="6">
        <f t="shared" ca="1" si="388"/>
        <v>2021</v>
      </c>
      <c r="AB1386" s="6">
        <f t="shared" ca="1" si="389"/>
        <v>12</v>
      </c>
      <c r="AC1386" s="68">
        <f ca="1">IFERROR(__xludf.DUMMYFUNCTION("""COMPUTED_VALUE"""),44535.9986111111)</f>
        <v>44535.998611111099</v>
      </c>
      <c r="AD1386" s="6">
        <f ca="1">IFERROR(__xludf.DUMMYFUNCTION("""COMPUTED_VALUE"""),1183.14)</f>
        <v>1183.1400000000001</v>
      </c>
      <c r="AH1386" s="6" t="str">
        <f t="shared" ca="1" si="390"/>
        <v>202110</v>
      </c>
      <c r="AI1386" s="6">
        <f t="shared" ca="1" si="391"/>
        <v>2021</v>
      </c>
      <c r="AJ1386" s="6">
        <f t="shared" ca="1" si="392"/>
        <v>10</v>
      </c>
      <c r="AK1386" s="68">
        <f ca="1">IFERROR(__xludf.DUMMYFUNCTION("""COMPUTED_VALUE"""),44479.9986111111)</f>
        <v>44479.998611111099</v>
      </c>
      <c r="AL1386" s="6">
        <f ca="1">IFERROR(__xludf.DUMMYFUNCTION("""COMPUTED_VALUE"""),54701.61)</f>
        <v>54701.61</v>
      </c>
      <c r="AP1386" s="6" t="str">
        <f t="shared" ca="1" si="393"/>
        <v>20237</v>
      </c>
      <c r="AQ1386" s="6">
        <f t="shared" ca="1" si="394"/>
        <v>2023</v>
      </c>
      <c r="AR1386" s="6">
        <f t="shared" ca="1" si="395"/>
        <v>7</v>
      </c>
      <c r="AS1386" s="68">
        <f ca="1">IFERROR(__xludf.DUMMYFUNCTION("""COMPUTED_VALUE"""),45119.9986111111)</f>
        <v>45119.998611111099</v>
      </c>
      <c r="AT1386" s="6">
        <f ca="1">IFERROR(__xludf.DUMMYFUNCTION("""COMPUTED_VALUE"""),1961.7)</f>
        <v>1961.7</v>
      </c>
    </row>
    <row r="1387" spans="2:46" x14ac:dyDescent="0.35">
      <c r="B1387" s="6" t="str">
        <f t="shared" ca="1" si="378"/>
        <v>20237</v>
      </c>
      <c r="C1387" s="6">
        <f t="shared" ca="1" si="379"/>
        <v>2023</v>
      </c>
      <c r="D1387" s="6">
        <f t="shared" ca="1" si="380"/>
        <v>7</v>
      </c>
      <c r="E1387" s="68">
        <f ca="1">IFERROR(__xludf.DUMMYFUNCTION("""COMPUTED_VALUE"""),45113.6666666666)</f>
        <v>45113.666666666599</v>
      </c>
      <c r="F1387" s="6">
        <f ca="1">IFERROR(__xludf.DUMMYFUNCTION("""COMPUTED_VALUE"""),4411.59)</f>
        <v>4411.59</v>
      </c>
      <c r="J1387" s="6" t="str">
        <f t="shared" ca="1" si="381"/>
        <v>20236</v>
      </c>
      <c r="K1387" s="6">
        <f t="shared" ca="1" si="382"/>
        <v>2023</v>
      </c>
      <c r="L1387" s="6">
        <f t="shared" ca="1" si="383"/>
        <v>6</v>
      </c>
      <c r="M1387" s="68">
        <f ca="1">IFERROR(__xludf.DUMMYFUNCTION("""COMPUTED_VALUE"""),45104.6666666666)</f>
        <v>45104.666666666599</v>
      </c>
      <c r="N1387" s="6">
        <f ca="1">IFERROR(__xludf.DUMMYFUNCTION("""COMPUTED_VALUE"""),13555.67)</f>
        <v>13555.67</v>
      </c>
      <c r="R1387" s="6" t="str">
        <f t="shared" ca="1" si="384"/>
        <v>20238</v>
      </c>
      <c r="S1387" s="6">
        <f t="shared" ca="1" si="385"/>
        <v>2023</v>
      </c>
      <c r="T1387" s="6">
        <f t="shared" ca="1" si="386"/>
        <v>8</v>
      </c>
      <c r="U1387" s="68">
        <f ca="1">IFERROR(__xludf.DUMMYFUNCTION("""COMPUTED_VALUE"""),45156.6458333333)</f>
        <v>45156.645833333299</v>
      </c>
      <c r="V1387" s="6">
        <f ca="1">IFERROR(__xludf.DUMMYFUNCTION("""COMPUTED_VALUE"""),2504.5)</f>
        <v>2504.5</v>
      </c>
      <c r="Z1387" s="6" t="str">
        <f t="shared" ca="1" si="387"/>
        <v>202112</v>
      </c>
      <c r="AA1387" s="6">
        <f t="shared" ca="1" si="388"/>
        <v>2021</v>
      </c>
      <c r="AB1387" s="6">
        <f t="shared" ca="1" si="389"/>
        <v>12</v>
      </c>
      <c r="AC1387" s="68">
        <f ca="1">IFERROR(__xludf.DUMMYFUNCTION("""COMPUTED_VALUE"""),44536.9986111111)</f>
        <v>44536.998611111099</v>
      </c>
      <c r="AD1387" s="6">
        <f ca="1">IFERROR(__xludf.DUMMYFUNCTION("""COMPUTED_VALUE"""),1180.56)</f>
        <v>1180.56</v>
      </c>
      <c r="AH1387" s="6" t="str">
        <f t="shared" ca="1" si="390"/>
        <v>202110</v>
      </c>
      <c r="AI1387" s="6">
        <f t="shared" ca="1" si="391"/>
        <v>2021</v>
      </c>
      <c r="AJ1387" s="6">
        <f t="shared" ca="1" si="392"/>
        <v>10</v>
      </c>
      <c r="AK1387" s="68">
        <f ca="1">IFERROR(__xludf.DUMMYFUNCTION("""COMPUTED_VALUE"""),44480.9986111111)</f>
        <v>44480.998611111099</v>
      </c>
      <c r="AL1387" s="6">
        <f ca="1">IFERROR(__xludf.DUMMYFUNCTION("""COMPUTED_VALUE"""),57489.84)</f>
        <v>57489.84</v>
      </c>
      <c r="AP1387" s="6" t="str">
        <f t="shared" ca="1" si="393"/>
        <v>20237</v>
      </c>
      <c r="AQ1387" s="6">
        <f t="shared" ca="1" si="394"/>
        <v>2023</v>
      </c>
      <c r="AR1387" s="6">
        <f t="shared" ca="1" si="395"/>
        <v>7</v>
      </c>
      <c r="AS1387" s="68">
        <f ca="1">IFERROR(__xludf.DUMMYFUNCTION("""COMPUTED_VALUE"""),45120.9986111111)</f>
        <v>45120.998611111099</v>
      </c>
      <c r="AT1387" s="6">
        <f ca="1">IFERROR(__xludf.DUMMYFUNCTION("""COMPUTED_VALUE"""),1963.8)</f>
        <v>1963.8</v>
      </c>
    </row>
    <row r="1388" spans="2:46" x14ac:dyDescent="0.35">
      <c r="B1388" s="6" t="str">
        <f t="shared" ca="1" si="378"/>
        <v>20237</v>
      </c>
      <c r="C1388" s="6">
        <f t="shared" ca="1" si="379"/>
        <v>2023</v>
      </c>
      <c r="D1388" s="6">
        <f t="shared" ca="1" si="380"/>
        <v>7</v>
      </c>
      <c r="E1388" s="68">
        <f ca="1">IFERROR(__xludf.DUMMYFUNCTION("""COMPUTED_VALUE"""),45114.6666666666)</f>
        <v>45114.666666666599</v>
      </c>
      <c r="F1388" s="6">
        <f ca="1">IFERROR(__xludf.DUMMYFUNCTION("""COMPUTED_VALUE"""),4398.95)</f>
        <v>4398.95</v>
      </c>
      <c r="J1388" s="6" t="str">
        <f t="shared" ca="1" si="381"/>
        <v>20236</v>
      </c>
      <c r="K1388" s="6">
        <f t="shared" ca="1" si="382"/>
        <v>2023</v>
      </c>
      <c r="L1388" s="6">
        <f t="shared" ca="1" si="383"/>
        <v>6</v>
      </c>
      <c r="M1388" s="68">
        <f ca="1">IFERROR(__xludf.DUMMYFUNCTION("""COMPUTED_VALUE"""),45105.6666666666)</f>
        <v>45105.666666666599</v>
      </c>
      <c r="N1388" s="6">
        <f ca="1">IFERROR(__xludf.DUMMYFUNCTION("""COMPUTED_VALUE"""),13591.75)</f>
        <v>13591.75</v>
      </c>
      <c r="R1388" s="6" t="str">
        <f t="shared" ca="1" si="384"/>
        <v>20238</v>
      </c>
      <c r="S1388" s="6">
        <f t="shared" ca="1" si="385"/>
        <v>2023</v>
      </c>
      <c r="T1388" s="6">
        <f t="shared" ca="1" si="386"/>
        <v>8</v>
      </c>
      <c r="U1388" s="68">
        <f ca="1">IFERROR(__xludf.DUMMYFUNCTION("""COMPUTED_VALUE"""),45159.6458333333)</f>
        <v>45159.645833333299</v>
      </c>
      <c r="V1388" s="6">
        <f ca="1">IFERROR(__xludf.DUMMYFUNCTION("""COMPUTED_VALUE"""),2508.8)</f>
        <v>2508.8000000000002</v>
      </c>
      <c r="Z1388" s="6" t="str">
        <f t="shared" ca="1" si="387"/>
        <v>202112</v>
      </c>
      <c r="AA1388" s="6">
        <f t="shared" ca="1" si="388"/>
        <v>2021</v>
      </c>
      <c r="AB1388" s="6">
        <f t="shared" ca="1" si="389"/>
        <v>12</v>
      </c>
      <c r="AC1388" s="68">
        <f ca="1">IFERROR(__xludf.DUMMYFUNCTION("""COMPUTED_VALUE"""),44537.9986111111)</f>
        <v>44537.998611111099</v>
      </c>
      <c r="AD1388" s="6">
        <f ca="1">IFERROR(__xludf.DUMMYFUNCTION("""COMPUTED_VALUE"""),1176.84)</f>
        <v>1176.8399999999999</v>
      </c>
      <c r="AH1388" s="6" t="str">
        <f t="shared" ca="1" si="390"/>
        <v>202110</v>
      </c>
      <c r="AI1388" s="6">
        <f t="shared" ca="1" si="391"/>
        <v>2021</v>
      </c>
      <c r="AJ1388" s="6">
        <f t="shared" ca="1" si="392"/>
        <v>10</v>
      </c>
      <c r="AK1388" s="68">
        <f ca="1">IFERROR(__xludf.DUMMYFUNCTION("""COMPUTED_VALUE"""),44481.9986111111)</f>
        <v>44481.998611111099</v>
      </c>
      <c r="AL1388" s="6">
        <f ca="1">IFERROR(__xludf.DUMMYFUNCTION("""COMPUTED_VALUE"""),56008.42)</f>
        <v>56008.42</v>
      </c>
      <c r="AP1388" s="6" t="str">
        <f t="shared" ca="1" si="393"/>
        <v>20237</v>
      </c>
      <c r="AQ1388" s="6">
        <f t="shared" ca="1" si="394"/>
        <v>2023</v>
      </c>
      <c r="AR1388" s="6">
        <f t="shared" ca="1" si="395"/>
        <v>7</v>
      </c>
      <c r="AS1388" s="68">
        <f ca="1">IFERROR(__xludf.DUMMYFUNCTION("""COMPUTED_VALUE"""),45121.9986111111)</f>
        <v>45121.998611111099</v>
      </c>
      <c r="AT1388" s="6">
        <f ca="1">IFERROR(__xludf.DUMMYFUNCTION("""COMPUTED_VALUE"""),1964.4)</f>
        <v>1964.4</v>
      </c>
    </row>
    <row r="1389" spans="2:46" x14ac:dyDescent="0.35">
      <c r="B1389" s="6" t="str">
        <f t="shared" ca="1" si="378"/>
        <v>20237</v>
      </c>
      <c r="C1389" s="6">
        <f t="shared" ca="1" si="379"/>
        <v>2023</v>
      </c>
      <c r="D1389" s="6">
        <f t="shared" ca="1" si="380"/>
        <v>7</v>
      </c>
      <c r="E1389" s="68">
        <f ca="1">IFERROR(__xludf.DUMMYFUNCTION("""COMPUTED_VALUE"""),45117.6666666666)</f>
        <v>45117.666666666599</v>
      </c>
      <c r="F1389" s="6">
        <f ca="1">IFERROR(__xludf.DUMMYFUNCTION("""COMPUTED_VALUE"""),4409.53)</f>
        <v>4409.53</v>
      </c>
      <c r="J1389" s="6" t="str">
        <f t="shared" ca="1" si="381"/>
        <v>20236</v>
      </c>
      <c r="K1389" s="6">
        <f t="shared" ca="1" si="382"/>
        <v>2023</v>
      </c>
      <c r="L1389" s="6">
        <f t="shared" ca="1" si="383"/>
        <v>6</v>
      </c>
      <c r="M1389" s="68">
        <f ca="1">IFERROR(__xludf.DUMMYFUNCTION("""COMPUTED_VALUE"""),45106.6666666666)</f>
        <v>45106.666666666599</v>
      </c>
      <c r="N1389" s="6">
        <f ca="1">IFERROR(__xludf.DUMMYFUNCTION("""COMPUTED_VALUE"""),13591.33)</f>
        <v>13591.33</v>
      </c>
      <c r="R1389" s="6" t="str">
        <f t="shared" ca="1" si="384"/>
        <v>20238</v>
      </c>
      <c r="S1389" s="6">
        <f t="shared" ca="1" si="385"/>
        <v>2023</v>
      </c>
      <c r="T1389" s="6">
        <f t="shared" ca="1" si="386"/>
        <v>8</v>
      </c>
      <c r="U1389" s="68">
        <f ca="1">IFERROR(__xludf.DUMMYFUNCTION("""COMPUTED_VALUE"""),45160.6458333333)</f>
        <v>45160.645833333299</v>
      </c>
      <c r="V1389" s="6">
        <f ca="1">IFERROR(__xludf.DUMMYFUNCTION("""COMPUTED_VALUE"""),2515.74)</f>
        <v>2515.7399999999998</v>
      </c>
      <c r="Z1389" s="6" t="str">
        <f t="shared" ca="1" si="387"/>
        <v>202112</v>
      </c>
      <c r="AA1389" s="6">
        <f t="shared" ca="1" si="388"/>
        <v>2021</v>
      </c>
      <c r="AB1389" s="6">
        <f t="shared" ca="1" si="389"/>
        <v>12</v>
      </c>
      <c r="AC1389" s="68">
        <f ca="1">IFERROR(__xludf.DUMMYFUNCTION("""COMPUTED_VALUE"""),44538.9986111111)</f>
        <v>44538.998611111099</v>
      </c>
      <c r="AD1389" s="6">
        <f ca="1">IFERROR(__xludf.DUMMYFUNCTION("""COMPUTED_VALUE"""),1172.56)</f>
        <v>1172.56</v>
      </c>
      <c r="AH1389" s="6" t="str">
        <f t="shared" ca="1" si="390"/>
        <v>202110</v>
      </c>
      <c r="AI1389" s="6">
        <f t="shared" ca="1" si="391"/>
        <v>2021</v>
      </c>
      <c r="AJ1389" s="6">
        <f t="shared" ca="1" si="392"/>
        <v>10</v>
      </c>
      <c r="AK1389" s="68">
        <f ca="1">IFERROR(__xludf.DUMMYFUNCTION("""COMPUTED_VALUE"""),44482.9986111111)</f>
        <v>44482.998611111099</v>
      </c>
      <c r="AL1389" s="6">
        <f ca="1">IFERROR(__xludf.DUMMYFUNCTION("""COMPUTED_VALUE"""),57383.79)</f>
        <v>57383.79</v>
      </c>
      <c r="AP1389" s="6" t="str">
        <f t="shared" ca="1" si="393"/>
        <v>20237</v>
      </c>
      <c r="AQ1389" s="6">
        <f t="shared" ca="1" si="394"/>
        <v>2023</v>
      </c>
      <c r="AR1389" s="6">
        <f t="shared" ca="1" si="395"/>
        <v>7</v>
      </c>
      <c r="AS1389" s="68">
        <f ca="1">IFERROR(__xludf.DUMMYFUNCTION("""COMPUTED_VALUE"""),45124.9986111111)</f>
        <v>45124.998611111099</v>
      </c>
      <c r="AT1389" s="6">
        <f ca="1">IFERROR(__xludf.DUMMYFUNCTION("""COMPUTED_VALUE"""),1956.4)</f>
        <v>1956.4</v>
      </c>
    </row>
    <row r="1390" spans="2:46" x14ac:dyDescent="0.35">
      <c r="B1390" s="6" t="str">
        <f t="shared" ca="1" si="378"/>
        <v>20237</v>
      </c>
      <c r="C1390" s="6">
        <f t="shared" ca="1" si="379"/>
        <v>2023</v>
      </c>
      <c r="D1390" s="6">
        <f t="shared" ca="1" si="380"/>
        <v>7</v>
      </c>
      <c r="E1390" s="68">
        <f ca="1">IFERROR(__xludf.DUMMYFUNCTION("""COMPUTED_VALUE"""),45118.6666666666)</f>
        <v>45118.666666666599</v>
      </c>
      <c r="F1390" s="6">
        <f ca="1">IFERROR(__xludf.DUMMYFUNCTION("""COMPUTED_VALUE"""),4439.26)</f>
        <v>4439.26</v>
      </c>
      <c r="J1390" s="6" t="str">
        <f t="shared" ca="1" si="381"/>
        <v>20236</v>
      </c>
      <c r="K1390" s="6">
        <f t="shared" ca="1" si="382"/>
        <v>2023</v>
      </c>
      <c r="L1390" s="6">
        <f t="shared" ca="1" si="383"/>
        <v>6</v>
      </c>
      <c r="M1390" s="68">
        <f ca="1">IFERROR(__xludf.DUMMYFUNCTION("""COMPUTED_VALUE"""),45107.6666666666)</f>
        <v>45107.666666666599</v>
      </c>
      <c r="N1390" s="6">
        <f ca="1">IFERROR(__xludf.DUMMYFUNCTION("""COMPUTED_VALUE"""),13787.92)</f>
        <v>13787.92</v>
      </c>
      <c r="R1390" s="6" t="str">
        <f t="shared" ca="1" si="384"/>
        <v>20238</v>
      </c>
      <c r="S1390" s="6">
        <f t="shared" ca="1" si="385"/>
        <v>2023</v>
      </c>
      <c r="T1390" s="6">
        <f t="shared" ca="1" si="386"/>
        <v>8</v>
      </c>
      <c r="U1390" s="68">
        <f ca="1">IFERROR(__xludf.DUMMYFUNCTION("""COMPUTED_VALUE"""),45161.6458333333)</f>
        <v>45161.645833333299</v>
      </c>
      <c r="V1390" s="6">
        <f ca="1">IFERROR(__xludf.DUMMYFUNCTION("""COMPUTED_VALUE"""),2505.5)</f>
        <v>2505.5</v>
      </c>
      <c r="Z1390" s="6" t="str">
        <f t="shared" ca="1" si="387"/>
        <v>202112</v>
      </c>
      <c r="AA1390" s="6">
        <f t="shared" ca="1" si="388"/>
        <v>2021</v>
      </c>
      <c r="AB1390" s="6">
        <f t="shared" ca="1" si="389"/>
        <v>12</v>
      </c>
      <c r="AC1390" s="68">
        <f ca="1">IFERROR(__xludf.DUMMYFUNCTION("""COMPUTED_VALUE"""),44539.9986111111)</f>
        <v>44539.998611111099</v>
      </c>
      <c r="AD1390" s="6">
        <f ca="1">IFERROR(__xludf.DUMMYFUNCTION("""COMPUTED_VALUE"""),1177.33)</f>
        <v>1177.33</v>
      </c>
      <c r="AH1390" s="6" t="str">
        <f t="shared" ca="1" si="390"/>
        <v>202110</v>
      </c>
      <c r="AI1390" s="6">
        <f t="shared" ca="1" si="391"/>
        <v>2021</v>
      </c>
      <c r="AJ1390" s="6">
        <f t="shared" ca="1" si="392"/>
        <v>10</v>
      </c>
      <c r="AK1390" s="68">
        <f ca="1">IFERROR(__xludf.DUMMYFUNCTION("""COMPUTED_VALUE"""),44483.9986111111)</f>
        <v>44483.998611111099</v>
      </c>
      <c r="AL1390" s="6">
        <f ca="1">IFERROR(__xludf.DUMMYFUNCTION("""COMPUTED_VALUE"""),57351.45)</f>
        <v>57351.45</v>
      </c>
      <c r="AP1390" s="6" t="str">
        <f t="shared" ca="1" si="393"/>
        <v>20237</v>
      </c>
      <c r="AQ1390" s="6">
        <f t="shared" ca="1" si="394"/>
        <v>2023</v>
      </c>
      <c r="AR1390" s="6">
        <f t="shared" ca="1" si="395"/>
        <v>7</v>
      </c>
      <c r="AS1390" s="68">
        <f ca="1">IFERROR(__xludf.DUMMYFUNCTION("""COMPUTED_VALUE"""),45125.9986111111)</f>
        <v>45125.998611111099</v>
      </c>
      <c r="AT1390" s="6">
        <f ca="1">IFERROR(__xludf.DUMMYFUNCTION("""COMPUTED_VALUE"""),1980.8)</f>
        <v>1980.8</v>
      </c>
    </row>
    <row r="1391" spans="2:46" x14ac:dyDescent="0.35">
      <c r="B1391" s="6" t="str">
        <f t="shared" ca="1" si="378"/>
        <v>20237</v>
      </c>
      <c r="C1391" s="6">
        <f t="shared" ca="1" si="379"/>
        <v>2023</v>
      </c>
      <c r="D1391" s="6">
        <f t="shared" ca="1" si="380"/>
        <v>7</v>
      </c>
      <c r="E1391" s="68">
        <f ca="1">IFERROR(__xludf.DUMMYFUNCTION("""COMPUTED_VALUE"""),45119.6666666666)</f>
        <v>45119.666666666599</v>
      </c>
      <c r="F1391" s="6">
        <f ca="1">IFERROR(__xludf.DUMMYFUNCTION("""COMPUTED_VALUE"""),4472.16)</f>
        <v>4472.16</v>
      </c>
      <c r="J1391" s="6" t="str">
        <f t="shared" ca="1" si="381"/>
        <v>20237</v>
      </c>
      <c r="K1391" s="6">
        <f t="shared" ca="1" si="382"/>
        <v>2023</v>
      </c>
      <c r="L1391" s="6">
        <f t="shared" ca="1" si="383"/>
        <v>7</v>
      </c>
      <c r="M1391" s="68">
        <f ca="1">IFERROR(__xludf.DUMMYFUNCTION("""COMPUTED_VALUE"""),45110.5451388888)</f>
        <v>45110.545138888803</v>
      </c>
      <c r="N1391" s="6">
        <f ca="1">IFERROR(__xludf.DUMMYFUNCTION("""COMPUTED_VALUE"""),13816.77)</f>
        <v>13816.77</v>
      </c>
      <c r="R1391" s="6" t="str">
        <f t="shared" ca="1" si="384"/>
        <v>20238</v>
      </c>
      <c r="S1391" s="6">
        <f t="shared" ca="1" si="385"/>
        <v>2023</v>
      </c>
      <c r="T1391" s="6">
        <f t="shared" ca="1" si="386"/>
        <v>8</v>
      </c>
      <c r="U1391" s="68">
        <f ca="1">IFERROR(__xludf.DUMMYFUNCTION("""COMPUTED_VALUE"""),45162.6458333333)</f>
        <v>45162.645833333299</v>
      </c>
      <c r="V1391" s="6">
        <f ca="1">IFERROR(__xludf.DUMMYFUNCTION("""COMPUTED_VALUE"""),2537.68)</f>
        <v>2537.6799999999998</v>
      </c>
      <c r="Z1391" s="6" t="str">
        <f t="shared" ca="1" si="387"/>
        <v>202112</v>
      </c>
      <c r="AA1391" s="6">
        <f t="shared" ca="1" si="388"/>
        <v>2021</v>
      </c>
      <c r="AB1391" s="6">
        <f t="shared" ca="1" si="389"/>
        <v>12</v>
      </c>
      <c r="AC1391" s="68">
        <f ca="1">IFERROR(__xludf.DUMMYFUNCTION("""COMPUTED_VALUE"""),44540.9986111111)</f>
        <v>44540.998611111099</v>
      </c>
      <c r="AD1391" s="6">
        <f ca="1">IFERROR(__xludf.DUMMYFUNCTION("""COMPUTED_VALUE"""),1179.7)</f>
        <v>1179.7</v>
      </c>
      <c r="AH1391" s="6" t="str">
        <f t="shared" ca="1" si="390"/>
        <v>202110</v>
      </c>
      <c r="AI1391" s="6">
        <f t="shared" ca="1" si="391"/>
        <v>2021</v>
      </c>
      <c r="AJ1391" s="6">
        <f t="shared" ca="1" si="392"/>
        <v>10</v>
      </c>
      <c r="AK1391" s="68">
        <f ca="1">IFERROR(__xludf.DUMMYFUNCTION("""COMPUTED_VALUE"""),44484.9986111111)</f>
        <v>44484.998611111099</v>
      </c>
      <c r="AL1391" s="6">
        <f ca="1">IFERROR(__xludf.DUMMYFUNCTION("""COMPUTED_VALUE"""),61663.95)</f>
        <v>61663.95</v>
      </c>
      <c r="AP1391" s="6" t="str">
        <f t="shared" ca="1" si="393"/>
        <v>20237</v>
      </c>
      <c r="AQ1391" s="6">
        <f t="shared" ca="1" si="394"/>
        <v>2023</v>
      </c>
      <c r="AR1391" s="6">
        <f t="shared" ca="1" si="395"/>
        <v>7</v>
      </c>
      <c r="AS1391" s="68">
        <f ca="1">IFERROR(__xludf.DUMMYFUNCTION("""COMPUTED_VALUE"""),45126.9986111111)</f>
        <v>45126.998611111099</v>
      </c>
      <c r="AT1391" s="6">
        <f ca="1">IFERROR(__xludf.DUMMYFUNCTION("""COMPUTED_VALUE"""),2019.6)</f>
        <v>2019.6</v>
      </c>
    </row>
    <row r="1392" spans="2:46" x14ac:dyDescent="0.35">
      <c r="B1392" s="6" t="str">
        <f t="shared" ca="1" si="378"/>
        <v>20237</v>
      </c>
      <c r="C1392" s="6">
        <f t="shared" ca="1" si="379"/>
        <v>2023</v>
      </c>
      <c r="D1392" s="6">
        <f t="shared" ca="1" si="380"/>
        <v>7</v>
      </c>
      <c r="E1392" s="68">
        <f ca="1">IFERROR(__xludf.DUMMYFUNCTION("""COMPUTED_VALUE"""),45120.6666666666)</f>
        <v>45120.666666666599</v>
      </c>
      <c r="F1392" s="6">
        <f ca="1">IFERROR(__xludf.DUMMYFUNCTION("""COMPUTED_VALUE"""),4510.04)</f>
        <v>4510.04</v>
      </c>
      <c r="J1392" s="6" t="str">
        <f t="shared" ca="1" si="381"/>
        <v>20237</v>
      </c>
      <c r="K1392" s="6">
        <f t="shared" ca="1" si="382"/>
        <v>2023</v>
      </c>
      <c r="L1392" s="6">
        <f t="shared" ca="1" si="383"/>
        <v>7</v>
      </c>
      <c r="M1392" s="68">
        <f ca="1">IFERROR(__xludf.DUMMYFUNCTION("""COMPUTED_VALUE"""),45112.6666666666)</f>
        <v>45112.666666666599</v>
      </c>
      <c r="N1392" s="6">
        <f ca="1">IFERROR(__xludf.DUMMYFUNCTION("""COMPUTED_VALUE"""),13791.65)</f>
        <v>13791.65</v>
      </c>
      <c r="R1392" s="6" t="str">
        <f t="shared" ca="1" si="384"/>
        <v>20238</v>
      </c>
      <c r="S1392" s="6">
        <f t="shared" ca="1" si="385"/>
        <v>2023</v>
      </c>
      <c r="T1392" s="6">
        <f t="shared" ca="1" si="386"/>
        <v>8</v>
      </c>
      <c r="U1392" s="68">
        <f ca="1">IFERROR(__xludf.DUMMYFUNCTION("""COMPUTED_VALUE"""),45163.6458333333)</f>
        <v>45163.645833333299</v>
      </c>
      <c r="V1392" s="6">
        <f ca="1">IFERROR(__xludf.DUMMYFUNCTION("""COMPUTED_VALUE"""),2519.14)</f>
        <v>2519.14</v>
      </c>
      <c r="Z1392" s="6" t="str">
        <f t="shared" ca="1" si="387"/>
        <v>202112</v>
      </c>
      <c r="AA1392" s="6">
        <f t="shared" ca="1" si="388"/>
        <v>2021</v>
      </c>
      <c r="AB1392" s="6">
        <f t="shared" ca="1" si="389"/>
        <v>12</v>
      </c>
      <c r="AC1392" s="68">
        <f ca="1">IFERROR(__xludf.DUMMYFUNCTION("""COMPUTED_VALUE"""),44541.9986111111)</f>
        <v>44541.998611111099</v>
      </c>
      <c r="AD1392" s="6">
        <f ca="1">IFERROR(__xludf.DUMMYFUNCTION("""COMPUTED_VALUE"""),1179.1)</f>
        <v>1179.0999999999999</v>
      </c>
      <c r="AH1392" s="6" t="str">
        <f t="shared" ca="1" si="390"/>
        <v>202110</v>
      </c>
      <c r="AI1392" s="6">
        <f t="shared" ca="1" si="391"/>
        <v>2021</v>
      </c>
      <c r="AJ1392" s="6">
        <f t="shared" ca="1" si="392"/>
        <v>10</v>
      </c>
      <c r="AK1392" s="68">
        <f ca="1">IFERROR(__xludf.DUMMYFUNCTION("""COMPUTED_VALUE"""),44485.9986111111)</f>
        <v>44485.998611111099</v>
      </c>
      <c r="AL1392" s="6">
        <f ca="1">IFERROR(__xludf.DUMMYFUNCTION("""COMPUTED_VALUE"""),60863.94)</f>
        <v>60863.94</v>
      </c>
      <c r="AP1392" s="6" t="str">
        <f t="shared" ca="1" si="393"/>
        <v>20237</v>
      </c>
      <c r="AQ1392" s="6">
        <f t="shared" ca="1" si="394"/>
        <v>2023</v>
      </c>
      <c r="AR1392" s="6">
        <f t="shared" ca="1" si="395"/>
        <v>7</v>
      </c>
      <c r="AS1392" s="68">
        <f ca="1">IFERROR(__xludf.DUMMYFUNCTION("""COMPUTED_VALUE"""),45127.9986111111)</f>
        <v>45127.998611111099</v>
      </c>
      <c r="AT1392" s="6">
        <f ca="1">IFERROR(__xludf.DUMMYFUNCTION("""COMPUTED_VALUE"""),2009.8)</f>
        <v>2009.8</v>
      </c>
    </row>
    <row r="1393" spans="2:46" x14ac:dyDescent="0.35">
      <c r="B1393" s="6" t="str">
        <f t="shared" ca="1" si="378"/>
        <v>20237</v>
      </c>
      <c r="C1393" s="6">
        <f t="shared" ca="1" si="379"/>
        <v>2023</v>
      </c>
      <c r="D1393" s="6">
        <f t="shared" ca="1" si="380"/>
        <v>7</v>
      </c>
      <c r="E1393" s="68">
        <f ca="1">IFERROR(__xludf.DUMMYFUNCTION("""COMPUTED_VALUE"""),45121.6666666666)</f>
        <v>45121.666666666599</v>
      </c>
      <c r="F1393" s="6">
        <f ca="1">IFERROR(__xludf.DUMMYFUNCTION("""COMPUTED_VALUE"""),4505.42)</f>
        <v>4505.42</v>
      </c>
      <c r="J1393" s="6" t="str">
        <f t="shared" ca="1" si="381"/>
        <v>20237</v>
      </c>
      <c r="K1393" s="6">
        <f t="shared" ca="1" si="382"/>
        <v>2023</v>
      </c>
      <c r="L1393" s="6">
        <f t="shared" ca="1" si="383"/>
        <v>7</v>
      </c>
      <c r="M1393" s="68">
        <f ca="1">IFERROR(__xludf.DUMMYFUNCTION("""COMPUTED_VALUE"""),45113.6666666666)</f>
        <v>45113.666666666599</v>
      </c>
      <c r="N1393" s="6">
        <f ca="1">IFERROR(__xludf.DUMMYFUNCTION("""COMPUTED_VALUE"""),13679.04)</f>
        <v>13679.04</v>
      </c>
      <c r="R1393" s="6" t="str">
        <f t="shared" ca="1" si="384"/>
        <v>20238</v>
      </c>
      <c r="S1393" s="6">
        <f t="shared" ca="1" si="385"/>
        <v>2023</v>
      </c>
      <c r="T1393" s="6">
        <f t="shared" ca="1" si="386"/>
        <v>8</v>
      </c>
      <c r="U1393" s="68">
        <f ca="1">IFERROR(__xludf.DUMMYFUNCTION("""COMPUTED_VALUE"""),45166.6458333333)</f>
        <v>45166.645833333299</v>
      </c>
      <c r="V1393" s="6">
        <f ca="1">IFERROR(__xludf.DUMMYFUNCTION("""COMPUTED_VALUE"""),2543.41)</f>
        <v>2543.41</v>
      </c>
      <c r="Z1393" s="6" t="str">
        <f t="shared" ca="1" si="387"/>
        <v>202112</v>
      </c>
      <c r="AA1393" s="6">
        <f t="shared" ca="1" si="388"/>
        <v>2021</v>
      </c>
      <c r="AB1393" s="6">
        <f t="shared" ca="1" si="389"/>
        <v>12</v>
      </c>
      <c r="AC1393" s="68">
        <f ca="1">IFERROR(__xludf.DUMMYFUNCTION("""COMPUTED_VALUE"""),44542.9986111111)</f>
        <v>44542.998611111099</v>
      </c>
      <c r="AD1393" s="6">
        <f ca="1">IFERROR(__xludf.DUMMYFUNCTION("""COMPUTED_VALUE"""),1178.97)</f>
        <v>1178.97</v>
      </c>
      <c r="AH1393" s="6" t="str">
        <f t="shared" ca="1" si="390"/>
        <v>202110</v>
      </c>
      <c r="AI1393" s="6">
        <f t="shared" ca="1" si="391"/>
        <v>2021</v>
      </c>
      <c r="AJ1393" s="6">
        <f t="shared" ca="1" si="392"/>
        <v>10</v>
      </c>
      <c r="AK1393" s="68">
        <f ca="1">IFERROR(__xludf.DUMMYFUNCTION("""COMPUTED_VALUE"""),44486.9986111111)</f>
        <v>44486.998611111099</v>
      </c>
      <c r="AL1393" s="6">
        <f ca="1">IFERROR(__xludf.DUMMYFUNCTION("""COMPUTED_VALUE"""),61522.43)</f>
        <v>61522.43</v>
      </c>
      <c r="AP1393" s="6" t="str">
        <f t="shared" ca="1" si="393"/>
        <v>20237</v>
      </c>
      <c r="AQ1393" s="6">
        <f t="shared" ca="1" si="394"/>
        <v>2023</v>
      </c>
      <c r="AR1393" s="6">
        <f t="shared" ca="1" si="395"/>
        <v>7</v>
      </c>
      <c r="AS1393" s="68">
        <f ca="1">IFERROR(__xludf.DUMMYFUNCTION("""COMPUTED_VALUE"""),45128.9986111111)</f>
        <v>45128.998611111099</v>
      </c>
      <c r="AT1393" s="6">
        <f ca="1">IFERROR(__xludf.DUMMYFUNCTION("""COMPUTED_VALUE"""),2005.3)</f>
        <v>2005.3</v>
      </c>
    </row>
    <row r="1394" spans="2:46" x14ac:dyDescent="0.35">
      <c r="B1394" s="6" t="str">
        <f t="shared" ca="1" si="378"/>
        <v>20237</v>
      </c>
      <c r="C1394" s="6">
        <f t="shared" ca="1" si="379"/>
        <v>2023</v>
      </c>
      <c r="D1394" s="6">
        <f t="shared" ca="1" si="380"/>
        <v>7</v>
      </c>
      <c r="E1394" s="68">
        <f ca="1">IFERROR(__xludf.DUMMYFUNCTION("""COMPUTED_VALUE"""),45124.6666666666)</f>
        <v>45124.666666666599</v>
      </c>
      <c r="F1394" s="6">
        <f ca="1">IFERROR(__xludf.DUMMYFUNCTION("""COMPUTED_VALUE"""),4522.79)</f>
        <v>4522.79</v>
      </c>
      <c r="J1394" s="6" t="str">
        <f t="shared" ca="1" si="381"/>
        <v>20237</v>
      </c>
      <c r="K1394" s="6">
        <f t="shared" ca="1" si="382"/>
        <v>2023</v>
      </c>
      <c r="L1394" s="6">
        <f t="shared" ca="1" si="383"/>
        <v>7</v>
      </c>
      <c r="M1394" s="68">
        <f ca="1">IFERROR(__xludf.DUMMYFUNCTION("""COMPUTED_VALUE"""),45114.6666666666)</f>
        <v>45114.666666666599</v>
      </c>
      <c r="N1394" s="6">
        <f ca="1">IFERROR(__xludf.DUMMYFUNCTION("""COMPUTED_VALUE"""),13660.72)</f>
        <v>13660.72</v>
      </c>
      <c r="R1394" s="6" t="str">
        <f t="shared" ca="1" si="384"/>
        <v>20238</v>
      </c>
      <c r="S1394" s="6">
        <f t="shared" ca="1" si="385"/>
        <v>2023</v>
      </c>
      <c r="T1394" s="6">
        <f t="shared" ca="1" si="386"/>
        <v>8</v>
      </c>
      <c r="U1394" s="68">
        <f ca="1">IFERROR(__xludf.DUMMYFUNCTION("""COMPUTED_VALUE"""),45167.6458333333)</f>
        <v>45167.645833333299</v>
      </c>
      <c r="V1394" s="6">
        <f ca="1">IFERROR(__xludf.DUMMYFUNCTION("""COMPUTED_VALUE"""),2552.16)</f>
        <v>2552.16</v>
      </c>
      <c r="Z1394" s="6" t="str">
        <f t="shared" ca="1" si="387"/>
        <v>202112</v>
      </c>
      <c r="AA1394" s="6">
        <f t="shared" ca="1" si="388"/>
        <v>2021</v>
      </c>
      <c r="AB1394" s="6">
        <f t="shared" ca="1" si="389"/>
        <v>12</v>
      </c>
      <c r="AC1394" s="68">
        <f ca="1">IFERROR(__xludf.DUMMYFUNCTION("""COMPUTED_VALUE"""),44543.9986111111)</f>
        <v>44543.998611111099</v>
      </c>
      <c r="AD1394" s="6">
        <f ca="1">IFERROR(__xludf.DUMMYFUNCTION("""COMPUTED_VALUE"""),1185.1)</f>
        <v>1185.0999999999999</v>
      </c>
      <c r="AH1394" s="6" t="str">
        <f t="shared" ca="1" si="390"/>
        <v>202110</v>
      </c>
      <c r="AI1394" s="6">
        <f t="shared" ca="1" si="391"/>
        <v>2021</v>
      </c>
      <c r="AJ1394" s="6">
        <f t="shared" ca="1" si="392"/>
        <v>10</v>
      </c>
      <c r="AK1394" s="68">
        <f ca="1">IFERROR(__xludf.DUMMYFUNCTION("""COMPUTED_VALUE"""),44487.9986111111)</f>
        <v>44487.998611111099</v>
      </c>
      <c r="AL1394" s="6">
        <f ca="1">IFERROR(__xludf.DUMMYFUNCTION("""COMPUTED_VALUE"""),62038.73)</f>
        <v>62038.73</v>
      </c>
      <c r="AP1394" s="6" t="str">
        <f t="shared" ca="1" si="393"/>
        <v>20237</v>
      </c>
      <c r="AQ1394" s="6">
        <f t="shared" ca="1" si="394"/>
        <v>2023</v>
      </c>
      <c r="AR1394" s="6">
        <f t="shared" ca="1" si="395"/>
        <v>7</v>
      </c>
      <c r="AS1394" s="68">
        <f ca="1">IFERROR(__xludf.DUMMYFUNCTION("""COMPUTED_VALUE"""),45131.9986111111)</f>
        <v>45131.998611111099</v>
      </c>
      <c r="AT1394" s="6">
        <f ca="1">IFERROR(__xludf.DUMMYFUNCTION("""COMPUTED_VALUE"""),2001)</f>
        <v>2001</v>
      </c>
    </row>
    <row r="1395" spans="2:46" x14ac:dyDescent="0.35">
      <c r="B1395" s="6" t="str">
        <f t="shared" ca="1" si="378"/>
        <v>20237</v>
      </c>
      <c r="C1395" s="6">
        <f t="shared" ca="1" si="379"/>
        <v>2023</v>
      </c>
      <c r="D1395" s="6">
        <f t="shared" ca="1" si="380"/>
        <v>7</v>
      </c>
      <c r="E1395" s="68">
        <f ca="1">IFERROR(__xludf.DUMMYFUNCTION("""COMPUTED_VALUE"""),45125.6666666666)</f>
        <v>45125.666666666599</v>
      </c>
      <c r="F1395" s="6">
        <f ca="1">IFERROR(__xludf.DUMMYFUNCTION("""COMPUTED_VALUE"""),4554.98)</f>
        <v>4554.9799999999996</v>
      </c>
      <c r="J1395" s="6" t="str">
        <f t="shared" ca="1" si="381"/>
        <v>20237</v>
      </c>
      <c r="K1395" s="6">
        <f t="shared" ca="1" si="382"/>
        <v>2023</v>
      </c>
      <c r="L1395" s="6">
        <f t="shared" ca="1" si="383"/>
        <v>7</v>
      </c>
      <c r="M1395" s="68">
        <f ca="1">IFERROR(__xludf.DUMMYFUNCTION("""COMPUTED_VALUE"""),45117.6666666666)</f>
        <v>45117.666666666599</v>
      </c>
      <c r="N1395" s="6">
        <f ca="1">IFERROR(__xludf.DUMMYFUNCTION("""COMPUTED_VALUE"""),13685.48)</f>
        <v>13685.48</v>
      </c>
      <c r="R1395" s="6" t="str">
        <f t="shared" ca="1" si="384"/>
        <v>20238</v>
      </c>
      <c r="S1395" s="6">
        <f t="shared" ca="1" si="385"/>
        <v>2023</v>
      </c>
      <c r="T1395" s="6">
        <f t="shared" ca="1" si="386"/>
        <v>8</v>
      </c>
      <c r="U1395" s="68">
        <f ca="1">IFERROR(__xludf.DUMMYFUNCTION("""COMPUTED_VALUE"""),45168.6458333333)</f>
        <v>45168.645833333299</v>
      </c>
      <c r="V1395" s="6">
        <f ca="1">IFERROR(__xludf.DUMMYFUNCTION("""COMPUTED_VALUE"""),2561.22)</f>
        <v>2561.2199999999998</v>
      </c>
      <c r="Z1395" s="6" t="str">
        <f t="shared" ca="1" si="387"/>
        <v>202112</v>
      </c>
      <c r="AA1395" s="6">
        <f t="shared" ca="1" si="388"/>
        <v>2021</v>
      </c>
      <c r="AB1395" s="6">
        <f t="shared" ca="1" si="389"/>
        <v>12</v>
      </c>
      <c r="AC1395" s="68">
        <f ca="1">IFERROR(__xludf.DUMMYFUNCTION("""COMPUTED_VALUE"""),44544.9986111111)</f>
        <v>44544.998611111099</v>
      </c>
      <c r="AD1395" s="6">
        <f ca="1">IFERROR(__xludf.DUMMYFUNCTION("""COMPUTED_VALUE"""),1184.23)</f>
        <v>1184.23</v>
      </c>
      <c r="AH1395" s="6" t="str">
        <f t="shared" ca="1" si="390"/>
        <v>202110</v>
      </c>
      <c r="AI1395" s="6">
        <f t="shared" ca="1" si="391"/>
        <v>2021</v>
      </c>
      <c r="AJ1395" s="6">
        <f t="shared" ca="1" si="392"/>
        <v>10</v>
      </c>
      <c r="AK1395" s="68">
        <f ca="1">IFERROR(__xludf.DUMMYFUNCTION("""COMPUTED_VALUE"""),44488.9986111111)</f>
        <v>44488.998611111099</v>
      </c>
      <c r="AL1395" s="6">
        <f ca="1">IFERROR(__xludf.DUMMYFUNCTION("""COMPUTED_VALUE"""),64244.74)</f>
        <v>64244.74</v>
      </c>
      <c r="AP1395" s="6" t="str">
        <f t="shared" ca="1" si="393"/>
        <v>20237</v>
      </c>
      <c r="AQ1395" s="6">
        <f t="shared" ca="1" si="394"/>
        <v>2023</v>
      </c>
      <c r="AR1395" s="6">
        <f t="shared" ca="1" si="395"/>
        <v>7</v>
      </c>
      <c r="AS1395" s="68">
        <f ca="1">IFERROR(__xludf.DUMMYFUNCTION("""COMPUTED_VALUE"""),45132.9986111111)</f>
        <v>45132.998611111099</v>
      </c>
      <c r="AT1395" s="6">
        <f ca="1">IFERROR(__xludf.DUMMYFUNCTION("""COMPUTED_VALUE"""),2002.8)</f>
        <v>2002.8</v>
      </c>
    </row>
    <row r="1396" spans="2:46" x14ac:dyDescent="0.35">
      <c r="B1396" s="6" t="str">
        <f t="shared" ca="1" si="378"/>
        <v>20237</v>
      </c>
      <c r="C1396" s="6">
        <f t="shared" ca="1" si="379"/>
        <v>2023</v>
      </c>
      <c r="D1396" s="6">
        <f t="shared" ca="1" si="380"/>
        <v>7</v>
      </c>
      <c r="E1396" s="68">
        <f ca="1">IFERROR(__xludf.DUMMYFUNCTION("""COMPUTED_VALUE"""),45126.6666666666)</f>
        <v>45126.666666666599</v>
      </c>
      <c r="F1396" s="6">
        <f ca="1">IFERROR(__xludf.DUMMYFUNCTION("""COMPUTED_VALUE"""),4565.72)</f>
        <v>4565.72</v>
      </c>
      <c r="J1396" s="6" t="str">
        <f t="shared" ca="1" si="381"/>
        <v>20237</v>
      </c>
      <c r="K1396" s="6">
        <f t="shared" ca="1" si="382"/>
        <v>2023</v>
      </c>
      <c r="L1396" s="6">
        <f t="shared" ca="1" si="383"/>
        <v>7</v>
      </c>
      <c r="M1396" s="68">
        <f ca="1">IFERROR(__xludf.DUMMYFUNCTION("""COMPUTED_VALUE"""),45118.6666666666)</f>
        <v>45118.666666666599</v>
      </c>
      <c r="N1396" s="6">
        <f ca="1">IFERROR(__xludf.DUMMYFUNCTION("""COMPUTED_VALUE"""),13760.7)</f>
        <v>13760.7</v>
      </c>
      <c r="R1396" s="6" t="str">
        <f t="shared" ca="1" si="384"/>
        <v>20238</v>
      </c>
      <c r="S1396" s="6">
        <f t="shared" ca="1" si="385"/>
        <v>2023</v>
      </c>
      <c r="T1396" s="6">
        <f t="shared" ca="1" si="386"/>
        <v>8</v>
      </c>
      <c r="U1396" s="68">
        <f ca="1">IFERROR(__xludf.DUMMYFUNCTION("""COMPUTED_VALUE"""),45169.6458333333)</f>
        <v>45169.645833333299</v>
      </c>
      <c r="V1396" s="6">
        <f ca="1">IFERROR(__xludf.DUMMYFUNCTION("""COMPUTED_VALUE"""),2556.27)</f>
        <v>2556.27</v>
      </c>
      <c r="Z1396" s="6" t="str">
        <f t="shared" ca="1" si="387"/>
        <v>202112</v>
      </c>
      <c r="AA1396" s="6">
        <f t="shared" ca="1" si="388"/>
        <v>2021</v>
      </c>
      <c r="AB1396" s="6">
        <f t="shared" ca="1" si="389"/>
        <v>12</v>
      </c>
      <c r="AC1396" s="68">
        <f ca="1">IFERROR(__xludf.DUMMYFUNCTION("""COMPUTED_VALUE"""),44545.9986111111)</f>
        <v>44545.998611111099</v>
      </c>
      <c r="AD1396" s="6">
        <f ca="1">IFERROR(__xludf.DUMMYFUNCTION("""COMPUTED_VALUE"""),1184.4)</f>
        <v>1184.4000000000001</v>
      </c>
      <c r="AH1396" s="6" t="str">
        <f t="shared" ca="1" si="390"/>
        <v>202110</v>
      </c>
      <c r="AI1396" s="6">
        <f t="shared" ca="1" si="391"/>
        <v>2021</v>
      </c>
      <c r="AJ1396" s="6">
        <f t="shared" ca="1" si="392"/>
        <v>10</v>
      </c>
      <c r="AK1396" s="68">
        <f ca="1">IFERROR(__xludf.DUMMYFUNCTION("""COMPUTED_VALUE"""),44489.9986111111)</f>
        <v>44489.998611111099</v>
      </c>
      <c r="AL1396" s="6">
        <f ca="1">IFERROR(__xludf.DUMMYFUNCTION("""COMPUTED_VALUE"""),65991.54)</f>
        <v>65991.539999999994</v>
      </c>
      <c r="AP1396" s="6" t="str">
        <f t="shared" ca="1" si="393"/>
        <v>20237</v>
      </c>
      <c r="AQ1396" s="6">
        <f t="shared" ca="1" si="394"/>
        <v>2023</v>
      </c>
      <c r="AR1396" s="6">
        <f t="shared" ca="1" si="395"/>
        <v>7</v>
      </c>
      <c r="AS1396" s="68">
        <f ca="1">IFERROR(__xludf.DUMMYFUNCTION("""COMPUTED_VALUE"""),45133.9986111111)</f>
        <v>45133.998611111099</v>
      </c>
      <c r="AT1396" s="6">
        <f ca="1">IFERROR(__xludf.DUMMYFUNCTION("""COMPUTED_VALUE"""),2009.5)</f>
        <v>2009.5</v>
      </c>
    </row>
    <row r="1397" spans="2:46" x14ac:dyDescent="0.35">
      <c r="B1397" s="6" t="str">
        <f t="shared" ca="1" si="378"/>
        <v>20237</v>
      </c>
      <c r="C1397" s="6">
        <f t="shared" ca="1" si="379"/>
        <v>2023</v>
      </c>
      <c r="D1397" s="6">
        <f t="shared" ca="1" si="380"/>
        <v>7</v>
      </c>
      <c r="E1397" s="68">
        <f ca="1">IFERROR(__xludf.DUMMYFUNCTION("""COMPUTED_VALUE"""),45127.6666666666)</f>
        <v>45127.666666666599</v>
      </c>
      <c r="F1397" s="6">
        <f ca="1">IFERROR(__xludf.DUMMYFUNCTION("""COMPUTED_VALUE"""),4534.87)</f>
        <v>4534.87</v>
      </c>
      <c r="J1397" s="6" t="str">
        <f t="shared" ca="1" si="381"/>
        <v>20237</v>
      </c>
      <c r="K1397" s="6">
        <f t="shared" ca="1" si="382"/>
        <v>2023</v>
      </c>
      <c r="L1397" s="6">
        <f t="shared" ca="1" si="383"/>
        <v>7</v>
      </c>
      <c r="M1397" s="68">
        <f ca="1">IFERROR(__xludf.DUMMYFUNCTION("""COMPUTED_VALUE"""),45119.6666666666)</f>
        <v>45119.666666666599</v>
      </c>
      <c r="N1397" s="6">
        <f ca="1">IFERROR(__xludf.DUMMYFUNCTION("""COMPUTED_VALUE"""),13918.96)</f>
        <v>13918.96</v>
      </c>
      <c r="R1397" s="6" t="str">
        <f t="shared" ca="1" si="384"/>
        <v>20239</v>
      </c>
      <c r="S1397" s="6">
        <f t="shared" ca="1" si="385"/>
        <v>2023</v>
      </c>
      <c r="T1397" s="6">
        <f t="shared" ca="1" si="386"/>
        <v>9</v>
      </c>
      <c r="U1397" s="68">
        <f ca="1">IFERROR(__xludf.DUMMYFUNCTION("""COMPUTED_VALUE"""),45170.6458333333)</f>
        <v>45170.645833333299</v>
      </c>
      <c r="V1397" s="6">
        <f ca="1">IFERROR(__xludf.DUMMYFUNCTION("""COMPUTED_VALUE"""),2563.71)</f>
        <v>2563.71</v>
      </c>
      <c r="Z1397" s="6" t="str">
        <f t="shared" ca="1" si="387"/>
        <v>202112</v>
      </c>
      <c r="AA1397" s="6">
        <f t="shared" ca="1" si="388"/>
        <v>2021</v>
      </c>
      <c r="AB1397" s="6">
        <f t="shared" ca="1" si="389"/>
        <v>12</v>
      </c>
      <c r="AC1397" s="68">
        <f ca="1">IFERROR(__xludf.DUMMYFUNCTION("""COMPUTED_VALUE"""),44546.9986111111)</f>
        <v>44546.998611111099</v>
      </c>
      <c r="AD1397" s="6">
        <f ca="1">IFERROR(__xludf.DUMMYFUNCTION("""COMPUTED_VALUE"""),1186.15)</f>
        <v>1186.1500000000001</v>
      </c>
      <c r="AH1397" s="6" t="str">
        <f t="shared" ca="1" si="390"/>
        <v>202110</v>
      </c>
      <c r="AI1397" s="6">
        <f t="shared" ca="1" si="391"/>
        <v>2021</v>
      </c>
      <c r="AJ1397" s="6">
        <f t="shared" ca="1" si="392"/>
        <v>10</v>
      </c>
      <c r="AK1397" s="68">
        <f ca="1">IFERROR(__xludf.DUMMYFUNCTION("""COMPUTED_VALUE"""),44490.9986111111)</f>
        <v>44490.998611111099</v>
      </c>
      <c r="AL1397" s="6">
        <f ca="1">IFERROR(__xludf.DUMMYFUNCTION("""COMPUTED_VALUE"""),62199.87)</f>
        <v>62199.87</v>
      </c>
      <c r="AP1397" s="6" t="str">
        <f t="shared" ca="1" si="393"/>
        <v>20237</v>
      </c>
      <c r="AQ1397" s="6">
        <f t="shared" ca="1" si="394"/>
        <v>2023</v>
      </c>
      <c r="AR1397" s="6">
        <f t="shared" ca="1" si="395"/>
        <v>7</v>
      </c>
      <c r="AS1397" s="68">
        <f ca="1">IFERROR(__xludf.DUMMYFUNCTION("""COMPUTED_VALUE"""),45134.9986111111)</f>
        <v>45134.998611111099</v>
      </c>
      <c r="AT1397" s="6">
        <f ca="1">IFERROR(__xludf.DUMMYFUNCTION("""COMPUTED_VALUE"""),1985.2)</f>
        <v>1985.2</v>
      </c>
    </row>
    <row r="1398" spans="2:46" x14ac:dyDescent="0.35">
      <c r="B1398" s="6" t="str">
        <f t="shared" ca="1" si="378"/>
        <v>20237</v>
      </c>
      <c r="C1398" s="6">
        <f t="shared" ca="1" si="379"/>
        <v>2023</v>
      </c>
      <c r="D1398" s="6">
        <f t="shared" ca="1" si="380"/>
        <v>7</v>
      </c>
      <c r="E1398" s="68">
        <f ca="1">IFERROR(__xludf.DUMMYFUNCTION("""COMPUTED_VALUE"""),45128.6666666666)</f>
        <v>45128.666666666599</v>
      </c>
      <c r="F1398" s="6">
        <f ca="1">IFERROR(__xludf.DUMMYFUNCTION("""COMPUTED_VALUE"""),4536.34)</f>
        <v>4536.34</v>
      </c>
      <c r="J1398" s="6" t="str">
        <f t="shared" ca="1" si="381"/>
        <v>20237</v>
      </c>
      <c r="K1398" s="6">
        <f t="shared" ca="1" si="382"/>
        <v>2023</v>
      </c>
      <c r="L1398" s="6">
        <f t="shared" ca="1" si="383"/>
        <v>7</v>
      </c>
      <c r="M1398" s="68">
        <f ca="1">IFERROR(__xludf.DUMMYFUNCTION("""COMPUTED_VALUE"""),45120.6666666666)</f>
        <v>45120.666666666599</v>
      </c>
      <c r="N1398" s="6">
        <f ca="1">IFERROR(__xludf.DUMMYFUNCTION("""COMPUTED_VALUE"""),14138.57)</f>
        <v>14138.57</v>
      </c>
      <c r="R1398" s="6" t="str">
        <f t="shared" ca="1" si="384"/>
        <v>20239</v>
      </c>
      <c r="S1398" s="6">
        <f t="shared" ca="1" si="385"/>
        <v>2023</v>
      </c>
      <c r="T1398" s="6">
        <f t="shared" ca="1" si="386"/>
        <v>9</v>
      </c>
      <c r="U1398" s="68">
        <f ca="1">IFERROR(__xludf.DUMMYFUNCTION("""COMPUTED_VALUE"""),45173.6458333333)</f>
        <v>45173.645833333299</v>
      </c>
      <c r="V1398" s="6">
        <f ca="1">IFERROR(__xludf.DUMMYFUNCTION("""COMPUTED_VALUE"""),2584.55)</f>
        <v>2584.5500000000002</v>
      </c>
      <c r="Z1398" s="6" t="str">
        <f t="shared" ca="1" si="387"/>
        <v>202112</v>
      </c>
      <c r="AA1398" s="6">
        <f t="shared" ca="1" si="388"/>
        <v>2021</v>
      </c>
      <c r="AB1398" s="6">
        <f t="shared" ca="1" si="389"/>
        <v>12</v>
      </c>
      <c r="AC1398" s="68">
        <f ca="1">IFERROR(__xludf.DUMMYFUNCTION("""COMPUTED_VALUE"""),44547.9986111111)</f>
        <v>44547.998611111099</v>
      </c>
      <c r="AD1398" s="6">
        <f ca="1">IFERROR(__xludf.DUMMYFUNCTION("""COMPUTED_VALUE"""),1186.79)</f>
        <v>1186.79</v>
      </c>
      <c r="AH1398" s="6" t="str">
        <f t="shared" ca="1" si="390"/>
        <v>202110</v>
      </c>
      <c r="AI1398" s="6">
        <f t="shared" ca="1" si="391"/>
        <v>2021</v>
      </c>
      <c r="AJ1398" s="6">
        <f t="shared" ca="1" si="392"/>
        <v>10</v>
      </c>
      <c r="AK1398" s="68">
        <f ca="1">IFERROR(__xludf.DUMMYFUNCTION("""COMPUTED_VALUE"""),44491.9986111111)</f>
        <v>44491.998611111099</v>
      </c>
      <c r="AL1398" s="6">
        <f ca="1">IFERROR(__xludf.DUMMYFUNCTION("""COMPUTED_VALUE"""),60693.99)</f>
        <v>60693.99</v>
      </c>
      <c r="AP1398" s="6" t="str">
        <f t="shared" ca="1" si="393"/>
        <v>20237</v>
      </c>
      <c r="AQ1398" s="6">
        <f t="shared" ca="1" si="394"/>
        <v>2023</v>
      </c>
      <c r="AR1398" s="6">
        <f t="shared" ca="1" si="395"/>
        <v>7</v>
      </c>
      <c r="AS1398" s="68">
        <f ca="1">IFERROR(__xludf.DUMMYFUNCTION("""COMPUTED_VALUE"""),45135.9986111111)</f>
        <v>45135.998611111099</v>
      </c>
      <c r="AT1398" s="6">
        <f ca="1">IFERROR(__xludf.DUMMYFUNCTION("""COMPUTED_VALUE"""),1999.9)</f>
        <v>1999.9</v>
      </c>
    </row>
    <row r="1399" spans="2:46" x14ac:dyDescent="0.35">
      <c r="B1399" s="6" t="str">
        <f t="shared" ca="1" si="378"/>
        <v>20237</v>
      </c>
      <c r="C1399" s="6">
        <f t="shared" ca="1" si="379"/>
        <v>2023</v>
      </c>
      <c r="D1399" s="6">
        <f t="shared" ca="1" si="380"/>
        <v>7</v>
      </c>
      <c r="E1399" s="68">
        <f ca="1">IFERROR(__xludf.DUMMYFUNCTION("""COMPUTED_VALUE"""),45131.6666666666)</f>
        <v>45131.666666666599</v>
      </c>
      <c r="F1399" s="6">
        <f ca="1">IFERROR(__xludf.DUMMYFUNCTION("""COMPUTED_VALUE"""),4554.64)</f>
        <v>4554.6400000000003</v>
      </c>
      <c r="J1399" s="6" t="str">
        <f t="shared" ca="1" si="381"/>
        <v>20237</v>
      </c>
      <c r="K1399" s="6">
        <f t="shared" ca="1" si="382"/>
        <v>2023</v>
      </c>
      <c r="L1399" s="6">
        <f t="shared" ca="1" si="383"/>
        <v>7</v>
      </c>
      <c r="M1399" s="68">
        <f ca="1">IFERROR(__xludf.DUMMYFUNCTION("""COMPUTED_VALUE"""),45121.6666666666)</f>
        <v>45121.666666666599</v>
      </c>
      <c r="N1399" s="6">
        <f ca="1">IFERROR(__xludf.DUMMYFUNCTION("""COMPUTED_VALUE"""),14113.7)</f>
        <v>14113.7</v>
      </c>
      <c r="R1399" s="6" t="str">
        <f t="shared" ca="1" si="384"/>
        <v>20239</v>
      </c>
      <c r="S1399" s="6">
        <f t="shared" ca="1" si="385"/>
        <v>2023</v>
      </c>
      <c r="T1399" s="6">
        <f t="shared" ca="1" si="386"/>
        <v>9</v>
      </c>
      <c r="U1399" s="68">
        <f ca="1">IFERROR(__xludf.DUMMYFUNCTION("""COMPUTED_VALUE"""),45174.6458333333)</f>
        <v>45174.645833333299</v>
      </c>
      <c r="V1399" s="6">
        <f ca="1">IFERROR(__xludf.DUMMYFUNCTION("""COMPUTED_VALUE"""),2582.18)</f>
        <v>2582.1799999999998</v>
      </c>
      <c r="Z1399" s="6" t="str">
        <f t="shared" ca="1" si="387"/>
        <v>202112</v>
      </c>
      <c r="AA1399" s="6">
        <f t="shared" ca="1" si="388"/>
        <v>2021</v>
      </c>
      <c r="AB1399" s="6">
        <f t="shared" ca="1" si="389"/>
        <v>12</v>
      </c>
      <c r="AC1399" s="68">
        <f ca="1">IFERROR(__xludf.DUMMYFUNCTION("""COMPUTED_VALUE"""),44548.9986111111)</f>
        <v>44548.998611111099</v>
      </c>
      <c r="AD1399" s="6">
        <f ca="1">IFERROR(__xludf.DUMMYFUNCTION("""COMPUTED_VALUE"""),1186.39)</f>
        <v>1186.3900000000001</v>
      </c>
      <c r="AH1399" s="6" t="str">
        <f t="shared" ca="1" si="390"/>
        <v>202110</v>
      </c>
      <c r="AI1399" s="6">
        <f t="shared" ca="1" si="391"/>
        <v>2021</v>
      </c>
      <c r="AJ1399" s="6">
        <f t="shared" ca="1" si="392"/>
        <v>10</v>
      </c>
      <c r="AK1399" s="68">
        <f ca="1">IFERROR(__xludf.DUMMYFUNCTION("""COMPUTED_VALUE"""),44492.9986111111)</f>
        <v>44492.998611111099</v>
      </c>
      <c r="AL1399" s="6">
        <f ca="1">IFERROR(__xludf.DUMMYFUNCTION("""COMPUTED_VALUE"""),61334.3)</f>
        <v>61334.3</v>
      </c>
      <c r="AP1399" s="6" t="str">
        <f t="shared" ca="1" si="393"/>
        <v>20237</v>
      </c>
      <c r="AQ1399" s="6">
        <f t="shared" ca="1" si="394"/>
        <v>2023</v>
      </c>
      <c r="AR1399" s="6">
        <f t="shared" ca="1" si="395"/>
        <v>7</v>
      </c>
      <c r="AS1399" s="68">
        <f ca="1">IFERROR(__xludf.DUMMYFUNCTION("""COMPUTED_VALUE"""),45138.9986111111)</f>
        <v>45138.998611111099</v>
      </c>
      <c r="AT1399" s="6">
        <f ca="1">IFERROR(__xludf.DUMMYFUNCTION("""COMPUTED_VALUE"""),2009.2)</f>
        <v>2009.2</v>
      </c>
    </row>
    <row r="1400" spans="2:46" x14ac:dyDescent="0.35">
      <c r="B1400" s="6" t="str">
        <f t="shared" ca="1" si="378"/>
        <v>20237</v>
      </c>
      <c r="C1400" s="6">
        <f t="shared" ca="1" si="379"/>
        <v>2023</v>
      </c>
      <c r="D1400" s="6">
        <f t="shared" ca="1" si="380"/>
        <v>7</v>
      </c>
      <c r="E1400" s="68">
        <f ca="1">IFERROR(__xludf.DUMMYFUNCTION("""COMPUTED_VALUE"""),45132.6666666666)</f>
        <v>45132.666666666599</v>
      </c>
      <c r="F1400" s="6">
        <f ca="1">IFERROR(__xludf.DUMMYFUNCTION("""COMPUTED_VALUE"""),4567.46)</f>
        <v>4567.46</v>
      </c>
      <c r="J1400" s="6" t="str">
        <f t="shared" ca="1" si="381"/>
        <v>20237</v>
      </c>
      <c r="K1400" s="6">
        <f t="shared" ca="1" si="382"/>
        <v>2023</v>
      </c>
      <c r="L1400" s="6">
        <f t="shared" ca="1" si="383"/>
        <v>7</v>
      </c>
      <c r="M1400" s="68">
        <f ca="1">IFERROR(__xludf.DUMMYFUNCTION("""COMPUTED_VALUE"""),45124.6666666666)</f>
        <v>45124.666666666599</v>
      </c>
      <c r="N1400" s="6">
        <f ca="1">IFERROR(__xludf.DUMMYFUNCTION("""COMPUTED_VALUE"""),14244.95)</f>
        <v>14244.95</v>
      </c>
      <c r="R1400" s="6" t="str">
        <f t="shared" ca="1" si="384"/>
        <v>20239</v>
      </c>
      <c r="S1400" s="6">
        <f t="shared" ca="1" si="385"/>
        <v>2023</v>
      </c>
      <c r="T1400" s="6">
        <f t="shared" ca="1" si="386"/>
        <v>9</v>
      </c>
      <c r="U1400" s="68">
        <f ca="1">IFERROR(__xludf.DUMMYFUNCTION("""COMPUTED_VALUE"""),45175.6458333333)</f>
        <v>45175.645833333299</v>
      </c>
      <c r="V1400" s="6">
        <f ca="1">IFERROR(__xludf.DUMMYFUNCTION("""COMPUTED_VALUE"""),2563.34)</f>
        <v>2563.34</v>
      </c>
      <c r="Z1400" s="6" t="str">
        <f t="shared" ca="1" si="387"/>
        <v>202112</v>
      </c>
      <c r="AA1400" s="6">
        <f t="shared" ca="1" si="388"/>
        <v>2021</v>
      </c>
      <c r="AB1400" s="6">
        <f t="shared" ca="1" si="389"/>
        <v>12</v>
      </c>
      <c r="AC1400" s="68">
        <f ca="1">IFERROR(__xludf.DUMMYFUNCTION("""COMPUTED_VALUE"""),44549.9986111111)</f>
        <v>44549.998611111099</v>
      </c>
      <c r="AD1400" s="6">
        <f ca="1">IFERROR(__xludf.DUMMYFUNCTION("""COMPUTED_VALUE"""),1186.39)</f>
        <v>1186.3900000000001</v>
      </c>
      <c r="AH1400" s="6" t="str">
        <f t="shared" ca="1" si="390"/>
        <v>202110</v>
      </c>
      <c r="AI1400" s="6">
        <f t="shared" ca="1" si="391"/>
        <v>2021</v>
      </c>
      <c r="AJ1400" s="6">
        <f t="shared" ca="1" si="392"/>
        <v>10</v>
      </c>
      <c r="AK1400" s="68">
        <f ca="1">IFERROR(__xludf.DUMMYFUNCTION("""COMPUTED_VALUE"""),44493.9986111111)</f>
        <v>44493.998611111099</v>
      </c>
      <c r="AL1400" s="6">
        <f ca="1">IFERROR(__xludf.DUMMYFUNCTION("""COMPUTED_VALUE"""),60857.58)</f>
        <v>60857.58</v>
      </c>
      <c r="AP1400" s="6" t="str">
        <f t="shared" ca="1" si="393"/>
        <v>20238</v>
      </c>
      <c r="AQ1400" s="6">
        <f t="shared" ca="1" si="394"/>
        <v>2023</v>
      </c>
      <c r="AR1400" s="6">
        <f t="shared" ca="1" si="395"/>
        <v>8</v>
      </c>
      <c r="AS1400" s="68">
        <f ca="1">IFERROR(__xludf.DUMMYFUNCTION("""COMPUTED_VALUE"""),45139.9986111111)</f>
        <v>45139.998611111099</v>
      </c>
      <c r="AT1400" s="6">
        <f ca="1">IFERROR(__xludf.DUMMYFUNCTION("""COMPUTED_VALUE"""),1978.8)</f>
        <v>1978.8</v>
      </c>
    </row>
    <row r="1401" spans="2:46" x14ac:dyDescent="0.35">
      <c r="B1401" s="6" t="str">
        <f t="shared" ca="1" si="378"/>
        <v>20237</v>
      </c>
      <c r="C1401" s="6">
        <f t="shared" ca="1" si="379"/>
        <v>2023</v>
      </c>
      <c r="D1401" s="6">
        <f t="shared" ca="1" si="380"/>
        <v>7</v>
      </c>
      <c r="E1401" s="68">
        <f ca="1">IFERROR(__xludf.DUMMYFUNCTION("""COMPUTED_VALUE"""),45133.6666666666)</f>
        <v>45133.666666666599</v>
      </c>
      <c r="F1401" s="6">
        <f ca="1">IFERROR(__xludf.DUMMYFUNCTION("""COMPUTED_VALUE"""),4566.75)</f>
        <v>4566.75</v>
      </c>
      <c r="J1401" s="6" t="str">
        <f t="shared" ca="1" si="381"/>
        <v>20237</v>
      </c>
      <c r="K1401" s="6">
        <f t="shared" ca="1" si="382"/>
        <v>2023</v>
      </c>
      <c r="L1401" s="6">
        <f t="shared" ca="1" si="383"/>
        <v>7</v>
      </c>
      <c r="M1401" s="68">
        <f ca="1">IFERROR(__xludf.DUMMYFUNCTION("""COMPUTED_VALUE"""),45125.6666666666)</f>
        <v>45125.666666666599</v>
      </c>
      <c r="N1401" s="6">
        <f ca="1">IFERROR(__xludf.DUMMYFUNCTION("""COMPUTED_VALUE"""),14353.64)</f>
        <v>14353.64</v>
      </c>
      <c r="R1401" s="6" t="str">
        <f t="shared" ca="1" si="384"/>
        <v>20239</v>
      </c>
      <c r="S1401" s="6">
        <f t="shared" ca="1" si="385"/>
        <v>2023</v>
      </c>
      <c r="T1401" s="6">
        <f t="shared" ca="1" si="386"/>
        <v>9</v>
      </c>
      <c r="U1401" s="68">
        <f ca="1">IFERROR(__xludf.DUMMYFUNCTION("""COMPUTED_VALUE"""),45176.6458333333)</f>
        <v>45176.645833333299</v>
      </c>
      <c r="V1401" s="6">
        <f ca="1">IFERROR(__xludf.DUMMYFUNCTION("""COMPUTED_VALUE"""),2548.26)</f>
        <v>2548.2600000000002</v>
      </c>
      <c r="Z1401" s="6" t="str">
        <f t="shared" ca="1" si="387"/>
        <v>202112</v>
      </c>
      <c r="AA1401" s="6">
        <f t="shared" ca="1" si="388"/>
        <v>2021</v>
      </c>
      <c r="AB1401" s="6">
        <f t="shared" ca="1" si="389"/>
        <v>12</v>
      </c>
      <c r="AC1401" s="68">
        <f ca="1">IFERROR(__xludf.DUMMYFUNCTION("""COMPUTED_VALUE"""),44550.9986111111)</f>
        <v>44550.998611111099</v>
      </c>
      <c r="AD1401" s="6">
        <f ca="1">IFERROR(__xludf.DUMMYFUNCTION("""COMPUTED_VALUE"""),1190.12)</f>
        <v>1190.1199999999999</v>
      </c>
      <c r="AH1401" s="6" t="str">
        <f t="shared" ca="1" si="390"/>
        <v>202110</v>
      </c>
      <c r="AI1401" s="6">
        <f t="shared" ca="1" si="391"/>
        <v>2021</v>
      </c>
      <c r="AJ1401" s="6">
        <f t="shared" ca="1" si="392"/>
        <v>10</v>
      </c>
      <c r="AK1401" s="68">
        <f ca="1">IFERROR(__xludf.DUMMYFUNCTION("""COMPUTED_VALUE"""),44494.9986111111)</f>
        <v>44494.998611111099</v>
      </c>
      <c r="AL1401" s="6">
        <f ca="1">IFERROR(__xludf.DUMMYFUNCTION("""COMPUTED_VALUE"""),63069.98)</f>
        <v>63069.98</v>
      </c>
      <c r="AP1401" s="6" t="str">
        <f t="shared" ca="1" si="393"/>
        <v>20238</v>
      </c>
      <c r="AQ1401" s="6">
        <f t="shared" ca="1" si="394"/>
        <v>2023</v>
      </c>
      <c r="AR1401" s="6">
        <f t="shared" ca="1" si="395"/>
        <v>8</v>
      </c>
      <c r="AS1401" s="68">
        <f ca="1">IFERROR(__xludf.DUMMYFUNCTION("""COMPUTED_VALUE"""),45140.9986111111)</f>
        <v>45140.998611111099</v>
      </c>
      <c r="AT1401" s="6">
        <f ca="1">IFERROR(__xludf.DUMMYFUNCTION("""COMPUTED_VALUE"""),1975)</f>
        <v>1975</v>
      </c>
    </row>
    <row r="1402" spans="2:46" x14ac:dyDescent="0.35">
      <c r="B1402" s="6" t="str">
        <f t="shared" ca="1" si="378"/>
        <v>20237</v>
      </c>
      <c r="C1402" s="6">
        <f t="shared" ca="1" si="379"/>
        <v>2023</v>
      </c>
      <c r="D1402" s="6">
        <f t="shared" ca="1" si="380"/>
        <v>7</v>
      </c>
      <c r="E1402" s="68">
        <f ca="1">IFERROR(__xludf.DUMMYFUNCTION("""COMPUTED_VALUE"""),45134.6666666666)</f>
        <v>45134.666666666599</v>
      </c>
      <c r="F1402" s="6">
        <f ca="1">IFERROR(__xludf.DUMMYFUNCTION("""COMPUTED_VALUE"""),4537.41)</f>
        <v>4537.41</v>
      </c>
      <c r="J1402" s="6" t="str">
        <f t="shared" ca="1" si="381"/>
        <v>20237</v>
      </c>
      <c r="K1402" s="6">
        <f t="shared" ca="1" si="382"/>
        <v>2023</v>
      </c>
      <c r="L1402" s="6">
        <f t="shared" ca="1" si="383"/>
        <v>7</v>
      </c>
      <c r="M1402" s="68">
        <f ca="1">IFERROR(__xludf.DUMMYFUNCTION("""COMPUTED_VALUE"""),45126.6666666666)</f>
        <v>45126.666666666599</v>
      </c>
      <c r="N1402" s="6">
        <f ca="1">IFERROR(__xludf.DUMMYFUNCTION("""COMPUTED_VALUE"""),14358.02)</f>
        <v>14358.02</v>
      </c>
      <c r="R1402" s="6" t="str">
        <f t="shared" ca="1" si="384"/>
        <v>20239</v>
      </c>
      <c r="S1402" s="6">
        <f t="shared" ca="1" si="385"/>
        <v>2023</v>
      </c>
      <c r="T1402" s="6">
        <f t="shared" ca="1" si="386"/>
        <v>9</v>
      </c>
      <c r="U1402" s="68">
        <f ca="1">IFERROR(__xludf.DUMMYFUNCTION("""COMPUTED_VALUE"""),45177.6458333333)</f>
        <v>45177.645833333299</v>
      </c>
      <c r="V1402" s="6">
        <f ca="1">IFERROR(__xludf.DUMMYFUNCTION("""COMPUTED_VALUE"""),2547.68)</f>
        <v>2547.6799999999998</v>
      </c>
      <c r="Z1402" s="6" t="str">
        <f t="shared" ca="1" si="387"/>
        <v>202112</v>
      </c>
      <c r="AA1402" s="6">
        <f t="shared" ca="1" si="388"/>
        <v>2021</v>
      </c>
      <c r="AB1402" s="6">
        <f t="shared" ca="1" si="389"/>
        <v>12</v>
      </c>
      <c r="AC1402" s="68">
        <f ca="1">IFERROR(__xludf.DUMMYFUNCTION("""COMPUTED_VALUE"""),44551.9986111111)</f>
        <v>44551.998611111099</v>
      </c>
      <c r="AD1402" s="6">
        <f ca="1">IFERROR(__xludf.DUMMYFUNCTION("""COMPUTED_VALUE"""),1191.27)</f>
        <v>1191.27</v>
      </c>
      <c r="AH1402" s="6" t="str">
        <f t="shared" ca="1" si="390"/>
        <v>202110</v>
      </c>
      <c r="AI1402" s="6">
        <f t="shared" ca="1" si="391"/>
        <v>2021</v>
      </c>
      <c r="AJ1402" s="6">
        <f t="shared" ca="1" si="392"/>
        <v>10</v>
      </c>
      <c r="AK1402" s="68">
        <f ca="1">IFERROR(__xludf.DUMMYFUNCTION("""COMPUTED_VALUE"""),44495.9986111111)</f>
        <v>44495.998611111099</v>
      </c>
      <c r="AL1402" s="6">
        <f ca="1">IFERROR(__xludf.DUMMYFUNCTION("""COMPUTED_VALUE"""),60310.41)</f>
        <v>60310.41</v>
      </c>
      <c r="AP1402" s="6" t="str">
        <f t="shared" ca="1" si="393"/>
        <v>20238</v>
      </c>
      <c r="AQ1402" s="6">
        <f t="shared" ca="1" si="394"/>
        <v>2023</v>
      </c>
      <c r="AR1402" s="6">
        <f t="shared" ca="1" si="395"/>
        <v>8</v>
      </c>
      <c r="AS1402" s="68">
        <f ca="1">IFERROR(__xludf.DUMMYFUNCTION("""COMPUTED_VALUE"""),45141.9986111111)</f>
        <v>45141.998611111099</v>
      </c>
      <c r="AT1402" s="6">
        <f ca="1">IFERROR(__xludf.DUMMYFUNCTION("""COMPUTED_VALUE"""),1968.8)</f>
        <v>1968.8</v>
      </c>
    </row>
    <row r="1403" spans="2:46" x14ac:dyDescent="0.35">
      <c r="B1403" s="6" t="str">
        <f t="shared" ca="1" si="378"/>
        <v>20237</v>
      </c>
      <c r="C1403" s="6">
        <f t="shared" ca="1" si="379"/>
        <v>2023</v>
      </c>
      <c r="D1403" s="6">
        <f t="shared" ca="1" si="380"/>
        <v>7</v>
      </c>
      <c r="E1403" s="68">
        <f ca="1">IFERROR(__xludf.DUMMYFUNCTION("""COMPUTED_VALUE"""),45135.6666666666)</f>
        <v>45135.666666666599</v>
      </c>
      <c r="F1403" s="6">
        <f ca="1">IFERROR(__xludf.DUMMYFUNCTION("""COMPUTED_VALUE"""),4582.23)</f>
        <v>4582.2299999999996</v>
      </c>
      <c r="J1403" s="6" t="str">
        <f t="shared" ca="1" si="381"/>
        <v>20237</v>
      </c>
      <c r="K1403" s="6">
        <f t="shared" ca="1" si="382"/>
        <v>2023</v>
      </c>
      <c r="L1403" s="6">
        <f t="shared" ca="1" si="383"/>
        <v>7</v>
      </c>
      <c r="M1403" s="68">
        <f ca="1">IFERROR(__xludf.DUMMYFUNCTION("""COMPUTED_VALUE"""),45127.6666666666)</f>
        <v>45127.666666666599</v>
      </c>
      <c r="N1403" s="6">
        <f ca="1">IFERROR(__xludf.DUMMYFUNCTION("""COMPUTED_VALUE"""),14063.31)</f>
        <v>14063.31</v>
      </c>
      <c r="R1403" s="6" t="str">
        <f t="shared" ca="1" si="384"/>
        <v>20239</v>
      </c>
      <c r="S1403" s="6">
        <f t="shared" ca="1" si="385"/>
        <v>2023</v>
      </c>
      <c r="T1403" s="6">
        <f t="shared" ca="1" si="386"/>
        <v>9</v>
      </c>
      <c r="U1403" s="68">
        <f ca="1">IFERROR(__xludf.DUMMYFUNCTION("""COMPUTED_VALUE"""),45180.6458333333)</f>
        <v>45180.645833333299</v>
      </c>
      <c r="V1403" s="6">
        <f ca="1">IFERROR(__xludf.DUMMYFUNCTION("""COMPUTED_VALUE"""),2556.88)</f>
        <v>2556.88</v>
      </c>
      <c r="Z1403" s="6" t="str">
        <f t="shared" ca="1" si="387"/>
        <v>202112</v>
      </c>
      <c r="AA1403" s="6">
        <f t="shared" ca="1" si="388"/>
        <v>2021</v>
      </c>
      <c r="AB1403" s="6">
        <f t="shared" ca="1" si="389"/>
        <v>12</v>
      </c>
      <c r="AC1403" s="68">
        <f ca="1">IFERROR(__xludf.DUMMYFUNCTION("""COMPUTED_VALUE"""),44552.9986111111)</f>
        <v>44552.998611111099</v>
      </c>
      <c r="AD1403" s="6">
        <f ca="1">IFERROR(__xludf.DUMMYFUNCTION("""COMPUTED_VALUE"""),1187.77)</f>
        <v>1187.77</v>
      </c>
      <c r="AH1403" s="6" t="str">
        <f t="shared" ca="1" si="390"/>
        <v>202110</v>
      </c>
      <c r="AI1403" s="6">
        <f t="shared" ca="1" si="391"/>
        <v>2021</v>
      </c>
      <c r="AJ1403" s="6">
        <f t="shared" ca="1" si="392"/>
        <v>10</v>
      </c>
      <c r="AK1403" s="68">
        <f ca="1">IFERROR(__xludf.DUMMYFUNCTION("""COMPUTED_VALUE"""),44496.9986111111)</f>
        <v>44496.998611111099</v>
      </c>
      <c r="AL1403" s="6">
        <f ca="1">IFERROR(__xludf.DUMMYFUNCTION("""COMPUTED_VALUE"""),58446.06)</f>
        <v>58446.06</v>
      </c>
      <c r="AP1403" s="6" t="str">
        <f t="shared" ca="1" si="393"/>
        <v>20238</v>
      </c>
      <c r="AQ1403" s="6">
        <f t="shared" ca="1" si="394"/>
        <v>2023</v>
      </c>
      <c r="AR1403" s="6">
        <f t="shared" ca="1" si="395"/>
        <v>8</v>
      </c>
      <c r="AS1403" s="68">
        <f ca="1">IFERROR(__xludf.DUMMYFUNCTION("""COMPUTED_VALUE"""),45142.9986111111)</f>
        <v>45142.998611111099</v>
      </c>
      <c r="AT1403" s="6">
        <f ca="1">IFERROR(__xludf.DUMMYFUNCTION("""COMPUTED_VALUE"""),1976.1)</f>
        <v>1976.1</v>
      </c>
    </row>
    <row r="1404" spans="2:46" x14ac:dyDescent="0.35">
      <c r="B1404" s="6" t="str">
        <f t="shared" ca="1" si="378"/>
        <v>20237</v>
      </c>
      <c r="C1404" s="6">
        <f t="shared" ca="1" si="379"/>
        <v>2023</v>
      </c>
      <c r="D1404" s="6">
        <f t="shared" ca="1" si="380"/>
        <v>7</v>
      </c>
      <c r="E1404" s="68">
        <f ca="1">IFERROR(__xludf.DUMMYFUNCTION("""COMPUTED_VALUE"""),45138.6666666666)</f>
        <v>45138.666666666599</v>
      </c>
      <c r="F1404" s="6">
        <f ca="1">IFERROR(__xludf.DUMMYFUNCTION("""COMPUTED_VALUE"""),4588.96)</f>
        <v>4588.96</v>
      </c>
      <c r="J1404" s="6" t="str">
        <f t="shared" ca="1" si="381"/>
        <v>20237</v>
      </c>
      <c r="K1404" s="6">
        <f t="shared" ca="1" si="382"/>
        <v>2023</v>
      </c>
      <c r="L1404" s="6">
        <f t="shared" ca="1" si="383"/>
        <v>7</v>
      </c>
      <c r="M1404" s="68">
        <f ca="1">IFERROR(__xludf.DUMMYFUNCTION("""COMPUTED_VALUE"""),45128.6666666666)</f>
        <v>45128.666666666599</v>
      </c>
      <c r="N1404" s="6">
        <f ca="1">IFERROR(__xludf.DUMMYFUNCTION("""COMPUTED_VALUE"""),14032.81)</f>
        <v>14032.81</v>
      </c>
      <c r="R1404" s="6" t="str">
        <f t="shared" ca="1" si="384"/>
        <v>20239</v>
      </c>
      <c r="S1404" s="6">
        <f t="shared" ca="1" si="385"/>
        <v>2023</v>
      </c>
      <c r="T1404" s="6">
        <f t="shared" ca="1" si="386"/>
        <v>9</v>
      </c>
      <c r="U1404" s="68">
        <f ca="1">IFERROR(__xludf.DUMMYFUNCTION("""COMPUTED_VALUE"""),45181.6458333333)</f>
        <v>45181.645833333299</v>
      </c>
      <c r="V1404" s="6">
        <f ca="1">IFERROR(__xludf.DUMMYFUNCTION("""COMPUTED_VALUE"""),2536.58)</f>
        <v>2536.58</v>
      </c>
      <c r="Z1404" s="6" t="str">
        <f t="shared" ca="1" si="387"/>
        <v>202112</v>
      </c>
      <c r="AA1404" s="6">
        <f t="shared" ca="1" si="388"/>
        <v>2021</v>
      </c>
      <c r="AB1404" s="6">
        <f t="shared" ca="1" si="389"/>
        <v>12</v>
      </c>
      <c r="AC1404" s="68">
        <f ca="1">IFERROR(__xludf.DUMMYFUNCTION("""COMPUTED_VALUE"""),44553.9986111111)</f>
        <v>44553.998611111099</v>
      </c>
      <c r="AD1404" s="6">
        <f ca="1">IFERROR(__xludf.DUMMYFUNCTION("""COMPUTED_VALUE"""),1185.5)</f>
        <v>1185.5</v>
      </c>
      <c r="AH1404" s="6" t="str">
        <f t="shared" ca="1" si="390"/>
        <v>202110</v>
      </c>
      <c r="AI1404" s="6">
        <f t="shared" ca="1" si="391"/>
        <v>2021</v>
      </c>
      <c r="AJ1404" s="6">
        <f t="shared" ca="1" si="392"/>
        <v>10</v>
      </c>
      <c r="AK1404" s="68">
        <f ca="1">IFERROR(__xludf.DUMMYFUNCTION("""COMPUTED_VALUE"""),44497.9986111111)</f>
        <v>44497.998611111099</v>
      </c>
      <c r="AL1404" s="6">
        <f ca="1">IFERROR(__xludf.DUMMYFUNCTION("""COMPUTED_VALUE"""),60596.31)</f>
        <v>60596.31</v>
      </c>
      <c r="AP1404" s="6" t="str">
        <f t="shared" ca="1" si="393"/>
        <v>20238</v>
      </c>
      <c r="AQ1404" s="6">
        <f t="shared" ca="1" si="394"/>
        <v>2023</v>
      </c>
      <c r="AR1404" s="6">
        <f t="shared" ca="1" si="395"/>
        <v>8</v>
      </c>
      <c r="AS1404" s="68">
        <f ca="1">IFERROR(__xludf.DUMMYFUNCTION("""COMPUTED_VALUE"""),45145.9986111111)</f>
        <v>45145.998611111099</v>
      </c>
      <c r="AT1404" s="6">
        <f ca="1">IFERROR(__xludf.DUMMYFUNCTION("""COMPUTED_VALUE"""),1970)</f>
        <v>1970</v>
      </c>
    </row>
    <row r="1405" spans="2:46" x14ac:dyDescent="0.35">
      <c r="B1405" s="6" t="str">
        <f t="shared" ca="1" si="378"/>
        <v>20238</v>
      </c>
      <c r="C1405" s="6">
        <f t="shared" ca="1" si="379"/>
        <v>2023</v>
      </c>
      <c r="D1405" s="6">
        <f t="shared" ca="1" si="380"/>
        <v>8</v>
      </c>
      <c r="E1405" s="68">
        <f ca="1">IFERROR(__xludf.DUMMYFUNCTION("""COMPUTED_VALUE"""),45139.6666666666)</f>
        <v>45139.666666666599</v>
      </c>
      <c r="F1405" s="6">
        <f ca="1">IFERROR(__xludf.DUMMYFUNCTION("""COMPUTED_VALUE"""),4576.73)</f>
        <v>4576.7299999999996</v>
      </c>
      <c r="J1405" s="6" t="str">
        <f t="shared" ca="1" si="381"/>
        <v>20237</v>
      </c>
      <c r="K1405" s="6">
        <f t="shared" ca="1" si="382"/>
        <v>2023</v>
      </c>
      <c r="L1405" s="6">
        <f t="shared" ca="1" si="383"/>
        <v>7</v>
      </c>
      <c r="M1405" s="68">
        <f ca="1">IFERROR(__xludf.DUMMYFUNCTION("""COMPUTED_VALUE"""),45131.6666666666)</f>
        <v>45131.666666666599</v>
      </c>
      <c r="N1405" s="6">
        <f ca="1">IFERROR(__xludf.DUMMYFUNCTION("""COMPUTED_VALUE"""),14058.87)</f>
        <v>14058.87</v>
      </c>
      <c r="R1405" s="6" t="str">
        <f t="shared" ca="1" si="384"/>
        <v>20239</v>
      </c>
      <c r="S1405" s="6">
        <f t="shared" ca="1" si="385"/>
        <v>2023</v>
      </c>
      <c r="T1405" s="6">
        <f t="shared" ca="1" si="386"/>
        <v>9</v>
      </c>
      <c r="U1405" s="68">
        <f ca="1">IFERROR(__xludf.DUMMYFUNCTION("""COMPUTED_VALUE"""),45182.6458333333)</f>
        <v>45182.645833333299</v>
      </c>
      <c r="V1405" s="6">
        <f ca="1">IFERROR(__xludf.DUMMYFUNCTION("""COMPUTED_VALUE"""),2534.7)</f>
        <v>2534.6999999999998</v>
      </c>
      <c r="Z1405" s="6" t="str">
        <f t="shared" ca="1" si="387"/>
        <v>202112</v>
      </c>
      <c r="AA1405" s="6">
        <f t="shared" ca="1" si="388"/>
        <v>2021</v>
      </c>
      <c r="AB1405" s="6">
        <f t="shared" ca="1" si="389"/>
        <v>12</v>
      </c>
      <c r="AC1405" s="68">
        <f ca="1">IFERROR(__xludf.DUMMYFUNCTION("""COMPUTED_VALUE"""),44554.9986111111)</f>
        <v>44554.998611111099</v>
      </c>
      <c r="AD1405" s="6">
        <f ca="1">IFERROR(__xludf.DUMMYFUNCTION("""COMPUTED_VALUE"""),1185.92)</f>
        <v>1185.92</v>
      </c>
      <c r="AH1405" s="6" t="str">
        <f t="shared" ca="1" si="390"/>
        <v>202110</v>
      </c>
      <c r="AI1405" s="6">
        <f t="shared" ca="1" si="391"/>
        <v>2021</v>
      </c>
      <c r="AJ1405" s="6">
        <f t="shared" ca="1" si="392"/>
        <v>10</v>
      </c>
      <c r="AK1405" s="68">
        <f ca="1">IFERROR(__xludf.DUMMYFUNCTION("""COMPUTED_VALUE"""),44498.9986111111)</f>
        <v>44498.998611111099</v>
      </c>
      <c r="AL1405" s="6">
        <f ca="1">IFERROR(__xludf.DUMMYFUNCTION("""COMPUTED_VALUE"""),62247.62)</f>
        <v>62247.62</v>
      </c>
      <c r="AP1405" s="6" t="str">
        <f t="shared" ca="1" si="393"/>
        <v>20238</v>
      </c>
      <c r="AQ1405" s="6">
        <f t="shared" ca="1" si="394"/>
        <v>2023</v>
      </c>
      <c r="AR1405" s="6">
        <f t="shared" ca="1" si="395"/>
        <v>8</v>
      </c>
      <c r="AS1405" s="68">
        <f ca="1">IFERROR(__xludf.DUMMYFUNCTION("""COMPUTED_VALUE"""),45146.9986111111)</f>
        <v>45146.998611111099</v>
      </c>
      <c r="AT1405" s="6">
        <f ca="1">IFERROR(__xludf.DUMMYFUNCTION("""COMPUTED_VALUE"""),1959.9)</f>
        <v>1959.9</v>
      </c>
    </row>
    <row r="1406" spans="2:46" x14ac:dyDescent="0.35">
      <c r="B1406" s="6" t="str">
        <f t="shared" ca="1" si="378"/>
        <v>20238</v>
      </c>
      <c r="C1406" s="6">
        <f t="shared" ca="1" si="379"/>
        <v>2023</v>
      </c>
      <c r="D1406" s="6">
        <f t="shared" ca="1" si="380"/>
        <v>8</v>
      </c>
      <c r="E1406" s="68">
        <f ca="1">IFERROR(__xludf.DUMMYFUNCTION("""COMPUTED_VALUE"""),45140.6666666666)</f>
        <v>45140.666666666599</v>
      </c>
      <c r="F1406" s="6">
        <f ca="1">IFERROR(__xludf.DUMMYFUNCTION("""COMPUTED_VALUE"""),4513.39)</f>
        <v>4513.3900000000003</v>
      </c>
      <c r="J1406" s="6" t="str">
        <f t="shared" ca="1" si="381"/>
        <v>20237</v>
      </c>
      <c r="K1406" s="6">
        <f t="shared" ca="1" si="382"/>
        <v>2023</v>
      </c>
      <c r="L1406" s="6">
        <f t="shared" ca="1" si="383"/>
        <v>7</v>
      </c>
      <c r="M1406" s="68">
        <f ca="1">IFERROR(__xludf.DUMMYFUNCTION("""COMPUTED_VALUE"""),45132.6666666666)</f>
        <v>45132.666666666599</v>
      </c>
      <c r="N1406" s="6">
        <f ca="1">IFERROR(__xludf.DUMMYFUNCTION("""COMPUTED_VALUE"""),14144.56)</f>
        <v>14144.56</v>
      </c>
      <c r="R1406" s="6" t="str">
        <f t="shared" ca="1" si="384"/>
        <v>20239</v>
      </c>
      <c r="S1406" s="6">
        <f t="shared" ca="1" si="385"/>
        <v>2023</v>
      </c>
      <c r="T1406" s="6">
        <f t="shared" ca="1" si="386"/>
        <v>9</v>
      </c>
      <c r="U1406" s="68">
        <f ca="1">IFERROR(__xludf.DUMMYFUNCTION("""COMPUTED_VALUE"""),45183.6458333333)</f>
        <v>45183.645833333299</v>
      </c>
      <c r="V1406" s="6">
        <f ca="1">IFERROR(__xludf.DUMMYFUNCTION("""COMPUTED_VALUE"""),2572.89)</f>
        <v>2572.89</v>
      </c>
      <c r="Z1406" s="6" t="str">
        <f t="shared" ca="1" si="387"/>
        <v>202112</v>
      </c>
      <c r="AA1406" s="6">
        <f t="shared" ca="1" si="388"/>
        <v>2021</v>
      </c>
      <c r="AB1406" s="6">
        <f t="shared" ca="1" si="389"/>
        <v>12</v>
      </c>
      <c r="AC1406" s="68">
        <f ca="1">IFERROR(__xludf.DUMMYFUNCTION("""COMPUTED_VALUE"""),44555.9986111111)</f>
        <v>44555.998611111099</v>
      </c>
      <c r="AD1406" s="6">
        <f ca="1">IFERROR(__xludf.DUMMYFUNCTION("""COMPUTED_VALUE"""),1185.92)</f>
        <v>1185.92</v>
      </c>
      <c r="AH1406" s="6" t="str">
        <f t="shared" ca="1" si="390"/>
        <v>202110</v>
      </c>
      <c r="AI1406" s="6">
        <f t="shared" ca="1" si="391"/>
        <v>2021</v>
      </c>
      <c r="AJ1406" s="6">
        <f t="shared" ca="1" si="392"/>
        <v>10</v>
      </c>
      <c r="AK1406" s="68">
        <f ca="1">IFERROR(__xludf.DUMMYFUNCTION("""COMPUTED_VALUE"""),44499.9986111111)</f>
        <v>44499.998611111099</v>
      </c>
      <c r="AL1406" s="6">
        <f ca="1">IFERROR(__xludf.DUMMYFUNCTION("""COMPUTED_VALUE"""),61855.9)</f>
        <v>61855.9</v>
      </c>
      <c r="AP1406" s="6" t="str">
        <f t="shared" ca="1" si="393"/>
        <v>20238</v>
      </c>
      <c r="AQ1406" s="6">
        <f t="shared" ca="1" si="394"/>
        <v>2023</v>
      </c>
      <c r="AR1406" s="6">
        <f t="shared" ca="1" si="395"/>
        <v>8</v>
      </c>
      <c r="AS1406" s="68">
        <f ca="1">IFERROR(__xludf.DUMMYFUNCTION("""COMPUTED_VALUE"""),45147.9986111111)</f>
        <v>45147.998611111099</v>
      </c>
      <c r="AT1406" s="6">
        <f ca="1">IFERROR(__xludf.DUMMYFUNCTION("""COMPUTED_VALUE"""),1950.6)</f>
        <v>1950.6</v>
      </c>
    </row>
    <row r="1407" spans="2:46" x14ac:dyDescent="0.35">
      <c r="B1407" s="6" t="str">
        <f t="shared" ca="1" si="378"/>
        <v>20238</v>
      </c>
      <c r="C1407" s="6">
        <f t="shared" ca="1" si="379"/>
        <v>2023</v>
      </c>
      <c r="D1407" s="6">
        <f t="shared" ca="1" si="380"/>
        <v>8</v>
      </c>
      <c r="E1407" s="68">
        <f ca="1">IFERROR(__xludf.DUMMYFUNCTION("""COMPUTED_VALUE"""),45141.6666666666)</f>
        <v>45141.666666666599</v>
      </c>
      <c r="F1407" s="6">
        <f ca="1">IFERROR(__xludf.DUMMYFUNCTION("""COMPUTED_VALUE"""),4501.89)</f>
        <v>4501.8900000000003</v>
      </c>
      <c r="J1407" s="6" t="str">
        <f t="shared" ca="1" si="381"/>
        <v>20237</v>
      </c>
      <c r="K1407" s="6">
        <f t="shared" ca="1" si="382"/>
        <v>2023</v>
      </c>
      <c r="L1407" s="6">
        <f t="shared" ca="1" si="383"/>
        <v>7</v>
      </c>
      <c r="M1407" s="68">
        <f ca="1">IFERROR(__xludf.DUMMYFUNCTION("""COMPUTED_VALUE"""),45133.6666666666)</f>
        <v>45133.666666666599</v>
      </c>
      <c r="N1407" s="6">
        <f ca="1">IFERROR(__xludf.DUMMYFUNCTION("""COMPUTED_VALUE"""),14127.28)</f>
        <v>14127.28</v>
      </c>
      <c r="R1407" s="6" t="str">
        <f t="shared" ca="1" si="384"/>
        <v>20239</v>
      </c>
      <c r="S1407" s="6">
        <f t="shared" ca="1" si="385"/>
        <v>2023</v>
      </c>
      <c r="T1407" s="6">
        <f t="shared" ca="1" si="386"/>
        <v>9</v>
      </c>
      <c r="U1407" s="68">
        <f ca="1">IFERROR(__xludf.DUMMYFUNCTION("""COMPUTED_VALUE"""),45184.6458333333)</f>
        <v>45184.645833333299</v>
      </c>
      <c r="V1407" s="6">
        <f ca="1">IFERROR(__xludf.DUMMYFUNCTION("""COMPUTED_VALUE"""),2601.28)</f>
        <v>2601.2800000000002</v>
      </c>
      <c r="Z1407" s="6" t="str">
        <f t="shared" ca="1" si="387"/>
        <v>202112</v>
      </c>
      <c r="AA1407" s="6">
        <f t="shared" ca="1" si="388"/>
        <v>2021</v>
      </c>
      <c r="AB1407" s="6">
        <f t="shared" ca="1" si="389"/>
        <v>12</v>
      </c>
      <c r="AC1407" s="68">
        <f ca="1">IFERROR(__xludf.DUMMYFUNCTION("""COMPUTED_VALUE"""),44556.9986111111)</f>
        <v>44556.998611111099</v>
      </c>
      <c r="AD1407" s="6">
        <f ca="1">IFERROR(__xludf.DUMMYFUNCTION("""COMPUTED_VALUE"""),1185.92)</f>
        <v>1185.92</v>
      </c>
      <c r="AH1407" s="6" t="str">
        <f t="shared" ca="1" si="390"/>
        <v>202110</v>
      </c>
      <c r="AI1407" s="6">
        <f t="shared" ca="1" si="391"/>
        <v>2021</v>
      </c>
      <c r="AJ1407" s="6">
        <f t="shared" ca="1" si="392"/>
        <v>10</v>
      </c>
      <c r="AK1407" s="68">
        <f ca="1">IFERROR(__xludf.DUMMYFUNCTION("""COMPUTED_VALUE"""),44500.9986111111)</f>
        <v>44500.998611111099</v>
      </c>
      <c r="AL1407" s="6">
        <f ca="1">IFERROR(__xludf.DUMMYFUNCTION("""COMPUTED_VALUE"""),61340.66)</f>
        <v>61340.66</v>
      </c>
      <c r="AP1407" s="6" t="str">
        <f t="shared" ca="1" si="393"/>
        <v>20238</v>
      </c>
      <c r="AQ1407" s="6">
        <f t="shared" ca="1" si="394"/>
        <v>2023</v>
      </c>
      <c r="AR1407" s="6">
        <f t="shared" ca="1" si="395"/>
        <v>8</v>
      </c>
      <c r="AS1407" s="68">
        <f ca="1">IFERROR(__xludf.DUMMYFUNCTION("""COMPUTED_VALUE"""),45148.9986111111)</f>
        <v>45148.998611111099</v>
      </c>
      <c r="AT1407" s="6">
        <f ca="1">IFERROR(__xludf.DUMMYFUNCTION("""COMPUTED_VALUE"""),1948.9)</f>
        <v>1948.9</v>
      </c>
    </row>
    <row r="1408" spans="2:46" x14ac:dyDescent="0.35">
      <c r="B1408" s="6" t="str">
        <f t="shared" ca="1" si="378"/>
        <v>20238</v>
      </c>
      <c r="C1408" s="6">
        <f t="shared" ca="1" si="379"/>
        <v>2023</v>
      </c>
      <c r="D1408" s="6">
        <f t="shared" ca="1" si="380"/>
        <v>8</v>
      </c>
      <c r="E1408" s="68">
        <f ca="1">IFERROR(__xludf.DUMMYFUNCTION("""COMPUTED_VALUE"""),45142.6666666666)</f>
        <v>45142.666666666599</v>
      </c>
      <c r="F1408" s="6">
        <f ca="1">IFERROR(__xludf.DUMMYFUNCTION("""COMPUTED_VALUE"""),4478.03)</f>
        <v>4478.03</v>
      </c>
      <c r="J1408" s="6" t="str">
        <f t="shared" ca="1" si="381"/>
        <v>20237</v>
      </c>
      <c r="K1408" s="6">
        <f t="shared" ca="1" si="382"/>
        <v>2023</v>
      </c>
      <c r="L1408" s="6">
        <f t="shared" ca="1" si="383"/>
        <v>7</v>
      </c>
      <c r="M1408" s="68">
        <f ca="1">IFERROR(__xludf.DUMMYFUNCTION("""COMPUTED_VALUE"""),45134.6666666666)</f>
        <v>45134.666666666599</v>
      </c>
      <c r="N1408" s="6">
        <f ca="1">IFERROR(__xludf.DUMMYFUNCTION("""COMPUTED_VALUE"""),14050.11)</f>
        <v>14050.11</v>
      </c>
      <c r="R1408" s="6" t="str">
        <f t="shared" ca="1" si="384"/>
        <v>20239</v>
      </c>
      <c r="S1408" s="6">
        <f t="shared" ca="1" si="385"/>
        <v>2023</v>
      </c>
      <c r="T1408" s="6">
        <f t="shared" ca="1" si="386"/>
        <v>9</v>
      </c>
      <c r="U1408" s="68">
        <f ca="1">IFERROR(__xludf.DUMMYFUNCTION("""COMPUTED_VALUE"""),45187.6458333333)</f>
        <v>45187.645833333299</v>
      </c>
      <c r="V1408" s="6">
        <f ca="1">IFERROR(__xludf.DUMMYFUNCTION("""COMPUTED_VALUE"""),2574.72)</f>
        <v>2574.7199999999998</v>
      </c>
      <c r="Z1408" s="6" t="str">
        <f t="shared" ca="1" si="387"/>
        <v>202112</v>
      </c>
      <c r="AA1408" s="6">
        <f t="shared" ca="1" si="388"/>
        <v>2021</v>
      </c>
      <c r="AB1408" s="6">
        <f t="shared" ca="1" si="389"/>
        <v>12</v>
      </c>
      <c r="AC1408" s="68">
        <f ca="1">IFERROR(__xludf.DUMMYFUNCTION("""COMPUTED_VALUE"""),44557.9986111111)</f>
        <v>44557.998611111099</v>
      </c>
      <c r="AD1408" s="6">
        <f ca="1">IFERROR(__xludf.DUMMYFUNCTION("""COMPUTED_VALUE"""),1185.65)</f>
        <v>1185.6500000000001</v>
      </c>
      <c r="AH1408" s="6" t="str">
        <f t="shared" ca="1" si="390"/>
        <v>202111</v>
      </c>
      <c r="AI1408" s="6">
        <f t="shared" ca="1" si="391"/>
        <v>2021</v>
      </c>
      <c r="AJ1408" s="6">
        <f t="shared" ca="1" si="392"/>
        <v>11</v>
      </c>
      <c r="AK1408" s="68">
        <f ca="1">IFERROR(__xludf.DUMMYFUNCTION("""COMPUTED_VALUE"""),44501.9986111111)</f>
        <v>44501.998611111099</v>
      </c>
      <c r="AL1408" s="6">
        <f ca="1">IFERROR(__xludf.DUMMYFUNCTION("""COMPUTED_VALUE"""),60951.52)</f>
        <v>60951.519999999997</v>
      </c>
      <c r="AP1408" s="6" t="str">
        <f t="shared" ca="1" si="393"/>
        <v>20238</v>
      </c>
      <c r="AQ1408" s="6">
        <f t="shared" ca="1" si="394"/>
        <v>2023</v>
      </c>
      <c r="AR1408" s="6">
        <f t="shared" ca="1" si="395"/>
        <v>8</v>
      </c>
      <c r="AS1408" s="68">
        <f ca="1">IFERROR(__xludf.DUMMYFUNCTION("""COMPUTED_VALUE"""),45149.9986111111)</f>
        <v>45149.998611111099</v>
      </c>
      <c r="AT1408" s="6">
        <f ca="1">IFERROR(__xludf.DUMMYFUNCTION("""COMPUTED_VALUE"""),1946.6)</f>
        <v>1946.6</v>
      </c>
    </row>
    <row r="1409" spans="2:46" x14ac:dyDescent="0.35">
      <c r="B1409" s="6" t="str">
        <f t="shared" ca="1" si="378"/>
        <v>20238</v>
      </c>
      <c r="C1409" s="6">
        <f t="shared" ca="1" si="379"/>
        <v>2023</v>
      </c>
      <c r="D1409" s="6">
        <f t="shared" ca="1" si="380"/>
        <v>8</v>
      </c>
      <c r="E1409" s="68">
        <f ca="1">IFERROR(__xludf.DUMMYFUNCTION("""COMPUTED_VALUE"""),45145.6666666666)</f>
        <v>45145.666666666599</v>
      </c>
      <c r="F1409" s="6">
        <f ca="1">IFERROR(__xludf.DUMMYFUNCTION("""COMPUTED_VALUE"""),4518.44)</f>
        <v>4518.4399999999996</v>
      </c>
      <c r="J1409" s="6" t="str">
        <f t="shared" ca="1" si="381"/>
        <v>20237</v>
      </c>
      <c r="K1409" s="6">
        <f t="shared" ca="1" si="382"/>
        <v>2023</v>
      </c>
      <c r="L1409" s="6">
        <f t="shared" ca="1" si="383"/>
        <v>7</v>
      </c>
      <c r="M1409" s="68">
        <f ca="1">IFERROR(__xludf.DUMMYFUNCTION("""COMPUTED_VALUE"""),45135.6666666666)</f>
        <v>45135.666666666599</v>
      </c>
      <c r="N1409" s="6">
        <f ca="1">IFERROR(__xludf.DUMMYFUNCTION("""COMPUTED_VALUE"""),14316.66)</f>
        <v>14316.66</v>
      </c>
      <c r="R1409" s="6" t="str">
        <f t="shared" ca="1" si="384"/>
        <v>20239</v>
      </c>
      <c r="S1409" s="6">
        <f t="shared" ca="1" si="385"/>
        <v>2023</v>
      </c>
      <c r="T1409" s="6">
        <f t="shared" ca="1" si="386"/>
        <v>9</v>
      </c>
      <c r="U1409" s="68">
        <f ca="1">IFERROR(__xludf.DUMMYFUNCTION("""COMPUTED_VALUE"""),45188.6458333333)</f>
        <v>45188.645833333299</v>
      </c>
      <c r="V1409" s="6">
        <f ca="1">IFERROR(__xludf.DUMMYFUNCTION("""COMPUTED_VALUE"""),2559.21)</f>
        <v>2559.21</v>
      </c>
      <c r="Z1409" s="6" t="str">
        <f t="shared" ca="1" si="387"/>
        <v>202112</v>
      </c>
      <c r="AA1409" s="6">
        <f t="shared" ca="1" si="388"/>
        <v>2021</v>
      </c>
      <c r="AB1409" s="6">
        <f t="shared" ca="1" si="389"/>
        <v>12</v>
      </c>
      <c r="AC1409" s="68">
        <f ca="1">IFERROR(__xludf.DUMMYFUNCTION("""COMPUTED_VALUE"""),44558.9986111111)</f>
        <v>44558.998611111099</v>
      </c>
      <c r="AD1409" s="6">
        <f ca="1">IFERROR(__xludf.DUMMYFUNCTION("""COMPUTED_VALUE"""),1187.85)</f>
        <v>1187.8499999999999</v>
      </c>
      <c r="AH1409" s="6" t="str">
        <f t="shared" ca="1" si="390"/>
        <v>202111</v>
      </c>
      <c r="AI1409" s="6">
        <f t="shared" ca="1" si="391"/>
        <v>2021</v>
      </c>
      <c r="AJ1409" s="6">
        <f t="shared" ca="1" si="392"/>
        <v>11</v>
      </c>
      <c r="AK1409" s="68">
        <f ca="1">IFERROR(__xludf.DUMMYFUNCTION("""COMPUTED_VALUE"""),44502.9986111111)</f>
        <v>44502.998611111099</v>
      </c>
      <c r="AL1409" s="6">
        <f ca="1">IFERROR(__xludf.DUMMYFUNCTION("""COMPUTED_VALUE"""),63234.6)</f>
        <v>63234.6</v>
      </c>
      <c r="AP1409" s="6" t="str">
        <f t="shared" ca="1" si="393"/>
        <v>20238</v>
      </c>
      <c r="AQ1409" s="6">
        <f t="shared" ca="1" si="394"/>
        <v>2023</v>
      </c>
      <c r="AR1409" s="6">
        <f t="shared" ca="1" si="395"/>
        <v>8</v>
      </c>
      <c r="AS1409" s="68">
        <f ca="1">IFERROR(__xludf.DUMMYFUNCTION("""COMPUTED_VALUE"""),45152.9986111111)</f>
        <v>45152.998611111099</v>
      </c>
      <c r="AT1409" s="6">
        <f ca="1">IFERROR(__xludf.DUMMYFUNCTION("""COMPUTED_VALUE"""),1944)</f>
        <v>1944</v>
      </c>
    </row>
    <row r="1410" spans="2:46" x14ac:dyDescent="0.35">
      <c r="B1410" s="6" t="str">
        <f t="shared" ca="1" si="378"/>
        <v>20238</v>
      </c>
      <c r="C1410" s="6">
        <f t="shared" ca="1" si="379"/>
        <v>2023</v>
      </c>
      <c r="D1410" s="6">
        <f t="shared" ca="1" si="380"/>
        <v>8</v>
      </c>
      <c r="E1410" s="68">
        <f ca="1">IFERROR(__xludf.DUMMYFUNCTION("""COMPUTED_VALUE"""),45146.6666666666)</f>
        <v>45146.666666666599</v>
      </c>
      <c r="F1410" s="6">
        <f ca="1">IFERROR(__xludf.DUMMYFUNCTION("""COMPUTED_VALUE"""),4499.38)</f>
        <v>4499.38</v>
      </c>
      <c r="J1410" s="6" t="str">
        <f t="shared" ca="1" si="381"/>
        <v>20237</v>
      </c>
      <c r="K1410" s="6">
        <f t="shared" ca="1" si="382"/>
        <v>2023</v>
      </c>
      <c r="L1410" s="6">
        <f t="shared" ca="1" si="383"/>
        <v>7</v>
      </c>
      <c r="M1410" s="68">
        <f ca="1">IFERROR(__xludf.DUMMYFUNCTION("""COMPUTED_VALUE"""),45138.6666666666)</f>
        <v>45138.666666666599</v>
      </c>
      <c r="N1410" s="6">
        <f ca="1">IFERROR(__xludf.DUMMYFUNCTION("""COMPUTED_VALUE"""),14346.02)</f>
        <v>14346.02</v>
      </c>
      <c r="R1410" s="6" t="str">
        <f t="shared" ca="1" si="384"/>
        <v>20239</v>
      </c>
      <c r="S1410" s="6">
        <f t="shared" ca="1" si="385"/>
        <v>2023</v>
      </c>
      <c r="T1410" s="6">
        <f t="shared" ca="1" si="386"/>
        <v>9</v>
      </c>
      <c r="U1410" s="68">
        <f ca="1">IFERROR(__xludf.DUMMYFUNCTION("""COMPUTED_VALUE"""),45189.6458333333)</f>
        <v>45189.645833333299</v>
      </c>
      <c r="V1410" s="6">
        <f ca="1">IFERROR(__xludf.DUMMYFUNCTION("""COMPUTED_VALUE"""),2559.74)</f>
        <v>2559.7399999999998</v>
      </c>
      <c r="Z1410" s="6" t="str">
        <f t="shared" ca="1" si="387"/>
        <v>202112</v>
      </c>
      <c r="AA1410" s="6">
        <f t="shared" ca="1" si="388"/>
        <v>2021</v>
      </c>
      <c r="AB1410" s="6">
        <f t="shared" ca="1" si="389"/>
        <v>12</v>
      </c>
      <c r="AC1410" s="68">
        <f ca="1">IFERROR(__xludf.DUMMYFUNCTION("""COMPUTED_VALUE"""),44559.9986111111)</f>
        <v>44559.998611111099</v>
      </c>
      <c r="AD1410" s="6">
        <f ca="1">IFERROR(__xludf.DUMMYFUNCTION("""COMPUTED_VALUE"""),1183.67)</f>
        <v>1183.67</v>
      </c>
      <c r="AH1410" s="6" t="str">
        <f t="shared" ca="1" si="390"/>
        <v>202111</v>
      </c>
      <c r="AI1410" s="6">
        <f t="shared" ca="1" si="391"/>
        <v>2021</v>
      </c>
      <c r="AJ1410" s="6">
        <f t="shared" ca="1" si="392"/>
        <v>11</v>
      </c>
      <c r="AK1410" s="68">
        <f ca="1">IFERROR(__xludf.DUMMYFUNCTION("""COMPUTED_VALUE"""),44503.9986111111)</f>
        <v>44503.998611111099</v>
      </c>
      <c r="AL1410" s="6">
        <f ca="1">IFERROR(__xludf.DUMMYFUNCTION("""COMPUTED_VALUE"""),62920.18)</f>
        <v>62920.18</v>
      </c>
      <c r="AP1410" s="6" t="str">
        <f t="shared" ca="1" si="393"/>
        <v>20238</v>
      </c>
      <c r="AQ1410" s="6">
        <f t="shared" ca="1" si="394"/>
        <v>2023</v>
      </c>
      <c r="AR1410" s="6">
        <f t="shared" ca="1" si="395"/>
        <v>8</v>
      </c>
      <c r="AS1410" s="68">
        <f ca="1">IFERROR(__xludf.DUMMYFUNCTION("""COMPUTED_VALUE"""),45153.9986111111)</f>
        <v>45153.998611111099</v>
      </c>
      <c r="AT1410" s="6">
        <f ca="1">IFERROR(__xludf.DUMMYFUNCTION("""COMPUTED_VALUE"""),1935.2)</f>
        <v>1935.2</v>
      </c>
    </row>
    <row r="1411" spans="2:46" x14ac:dyDescent="0.35">
      <c r="B1411" s="6" t="str">
        <f t="shared" ca="1" si="378"/>
        <v>20238</v>
      </c>
      <c r="C1411" s="6">
        <f t="shared" ca="1" si="379"/>
        <v>2023</v>
      </c>
      <c r="D1411" s="6">
        <f t="shared" ca="1" si="380"/>
        <v>8</v>
      </c>
      <c r="E1411" s="68">
        <f ca="1">IFERROR(__xludf.DUMMYFUNCTION("""COMPUTED_VALUE"""),45147.6666666666)</f>
        <v>45147.666666666599</v>
      </c>
      <c r="F1411" s="6">
        <f ca="1">IFERROR(__xludf.DUMMYFUNCTION("""COMPUTED_VALUE"""),4467.71)</f>
        <v>4467.71</v>
      </c>
      <c r="J1411" s="6" t="str">
        <f t="shared" ca="1" si="381"/>
        <v>20238</v>
      </c>
      <c r="K1411" s="6">
        <f t="shared" ca="1" si="382"/>
        <v>2023</v>
      </c>
      <c r="L1411" s="6">
        <f t="shared" ca="1" si="383"/>
        <v>8</v>
      </c>
      <c r="M1411" s="68">
        <f ca="1">IFERROR(__xludf.DUMMYFUNCTION("""COMPUTED_VALUE"""),45139.6666666666)</f>
        <v>45139.666666666599</v>
      </c>
      <c r="N1411" s="6">
        <f ca="1">IFERROR(__xludf.DUMMYFUNCTION("""COMPUTED_VALUE"""),14283.91)</f>
        <v>14283.91</v>
      </c>
      <c r="R1411" s="6" t="str">
        <f t="shared" ca="1" si="384"/>
        <v>20239</v>
      </c>
      <c r="S1411" s="6">
        <f t="shared" ca="1" si="385"/>
        <v>2023</v>
      </c>
      <c r="T1411" s="6">
        <f t="shared" ca="1" si="386"/>
        <v>9</v>
      </c>
      <c r="U1411" s="68">
        <f ca="1">IFERROR(__xludf.DUMMYFUNCTION("""COMPUTED_VALUE"""),45190.6458333333)</f>
        <v>45190.645833333299</v>
      </c>
      <c r="V1411" s="6">
        <f ca="1">IFERROR(__xludf.DUMMYFUNCTION("""COMPUTED_VALUE"""),2514.97)</f>
        <v>2514.9699999999998</v>
      </c>
      <c r="Z1411" s="6" t="str">
        <f t="shared" ca="1" si="387"/>
        <v>202112</v>
      </c>
      <c r="AA1411" s="6">
        <f t="shared" ca="1" si="388"/>
        <v>2021</v>
      </c>
      <c r="AB1411" s="6">
        <f t="shared" ca="1" si="389"/>
        <v>12</v>
      </c>
      <c r="AC1411" s="68">
        <f ca="1">IFERROR(__xludf.DUMMYFUNCTION("""COMPUTED_VALUE"""),44560.9986111111)</f>
        <v>44560.998611111099</v>
      </c>
      <c r="AD1411" s="6">
        <f ca="1">IFERROR(__xludf.DUMMYFUNCTION("""COMPUTED_VALUE"""),1189.89)</f>
        <v>1189.8900000000001</v>
      </c>
      <c r="AH1411" s="6" t="str">
        <f t="shared" ca="1" si="390"/>
        <v>202111</v>
      </c>
      <c r="AI1411" s="6">
        <f t="shared" ca="1" si="391"/>
        <v>2021</v>
      </c>
      <c r="AJ1411" s="6">
        <f t="shared" ca="1" si="392"/>
        <v>11</v>
      </c>
      <c r="AK1411" s="68">
        <f ca="1">IFERROR(__xludf.DUMMYFUNCTION("""COMPUTED_VALUE"""),44504.9986111111)</f>
        <v>44504.998611111099</v>
      </c>
      <c r="AL1411" s="6">
        <f ca="1">IFERROR(__xludf.DUMMYFUNCTION("""COMPUTED_VALUE"""),61440.53)</f>
        <v>61440.53</v>
      </c>
      <c r="AP1411" s="6" t="str">
        <f t="shared" ca="1" si="393"/>
        <v>20238</v>
      </c>
      <c r="AQ1411" s="6">
        <f t="shared" ca="1" si="394"/>
        <v>2023</v>
      </c>
      <c r="AR1411" s="6">
        <f t="shared" ca="1" si="395"/>
        <v>8</v>
      </c>
      <c r="AS1411" s="68">
        <f ca="1">IFERROR(__xludf.DUMMYFUNCTION("""COMPUTED_VALUE"""),45154.9986111111)</f>
        <v>45154.998611111099</v>
      </c>
      <c r="AT1411" s="6">
        <f ca="1">IFERROR(__xludf.DUMMYFUNCTION("""COMPUTED_VALUE"""),1928.3)</f>
        <v>1928.3</v>
      </c>
    </row>
    <row r="1412" spans="2:46" x14ac:dyDescent="0.35">
      <c r="B1412" s="6" t="str">
        <f t="shared" ca="1" si="378"/>
        <v>20238</v>
      </c>
      <c r="C1412" s="6">
        <f t="shared" ca="1" si="379"/>
        <v>2023</v>
      </c>
      <c r="D1412" s="6">
        <f t="shared" ca="1" si="380"/>
        <v>8</v>
      </c>
      <c r="E1412" s="68">
        <f ca="1">IFERROR(__xludf.DUMMYFUNCTION("""COMPUTED_VALUE"""),45148.6666666666)</f>
        <v>45148.666666666599</v>
      </c>
      <c r="F1412" s="6">
        <f ca="1">IFERROR(__xludf.DUMMYFUNCTION("""COMPUTED_VALUE"""),4468.83)</f>
        <v>4468.83</v>
      </c>
      <c r="J1412" s="6" t="str">
        <f t="shared" ca="1" si="381"/>
        <v>20238</v>
      </c>
      <c r="K1412" s="6">
        <f t="shared" ca="1" si="382"/>
        <v>2023</v>
      </c>
      <c r="L1412" s="6">
        <f t="shared" ca="1" si="383"/>
        <v>8</v>
      </c>
      <c r="M1412" s="68">
        <f ca="1">IFERROR(__xludf.DUMMYFUNCTION("""COMPUTED_VALUE"""),45140.6666666666)</f>
        <v>45140.666666666599</v>
      </c>
      <c r="N1412" s="6">
        <f ca="1">IFERROR(__xludf.DUMMYFUNCTION("""COMPUTED_VALUE"""),13973.45)</f>
        <v>13973.45</v>
      </c>
      <c r="R1412" s="6" t="str">
        <f t="shared" ca="1" si="384"/>
        <v>20239</v>
      </c>
      <c r="S1412" s="6">
        <f t="shared" ca="1" si="385"/>
        <v>2023</v>
      </c>
      <c r="T1412" s="6">
        <f t="shared" ca="1" si="386"/>
        <v>9</v>
      </c>
      <c r="U1412" s="68">
        <f ca="1">IFERROR(__xludf.DUMMYFUNCTION("""COMPUTED_VALUE"""),45191.6458333333)</f>
        <v>45191.645833333299</v>
      </c>
      <c r="V1412" s="6">
        <f ca="1">IFERROR(__xludf.DUMMYFUNCTION("""COMPUTED_VALUE"""),2508.13)</f>
        <v>2508.13</v>
      </c>
      <c r="Z1412" s="6" t="str">
        <f t="shared" ca="1" si="387"/>
        <v>202112</v>
      </c>
      <c r="AA1412" s="6">
        <f t="shared" ca="1" si="388"/>
        <v>2021</v>
      </c>
      <c r="AB1412" s="6">
        <f t="shared" ca="1" si="389"/>
        <v>12</v>
      </c>
      <c r="AC1412" s="68">
        <f ca="1">IFERROR(__xludf.DUMMYFUNCTION("""COMPUTED_VALUE"""),44561.9986111111)</f>
        <v>44561.998611111099</v>
      </c>
      <c r="AD1412" s="6">
        <f ca="1">IFERROR(__xludf.DUMMYFUNCTION("""COMPUTED_VALUE"""),1187.78)</f>
        <v>1187.78</v>
      </c>
      <c r="AH1412" s="6" t="str">
        <f t="shared" ca="1" si="390"/>
        <v>202111</v>
      </c>
      <c r="AI1412" s="6">
        <f t="shared" ca="1" si="391"/>
        <v>2021</v>
      </c>
      <c r="AJ1412" s="6">
        <f t="shared" ca="1" si="392"/>
        <v>11</v>
      </c>
      <c r="AK1412" s="68">
        <f ca="1">IFERROR(__xludf.DUMMYFUNCTION("""COMPUTED_VALUE"""),44505.9986111111)</f>
        <v>44505.998611111099</v>
      </c>
      <c r="AL1412" s="6">
        <f ca="1">IFERROR(__xludf.DUMMYFUNCTION("""COMPUTED_VALUE"""),60997.62)</f>
        <v>60997.62</v>
      </c>
      <c r="AP1412" s="6" t="str">
        <f t="shared" ca="1" si="393"/>
        <v>20238</v>
      </c>
      <c r="AQ1412" s="6">
        <f t="shared" ca="1" si="394"/>
        <v>2023</v>
      </c>
      <c r="AR1412" s="6">
        <f t="shared" ca="1" si="395"/>
        <v>8</v>
      </c>
      <c r="AS1412" s="68">
        <f ca="1">IFERROR(__xludf.DUMMYFUNCTION("""COMPUTED_VALUE"""),45155.9986111111)</f>
        <v>45155.998611111099</v>
      </c>
      <c r="AT1412" s="6">
        <f ca="1">IFERROR(__xludf.DUMMYFUNCTION("""COMPUTED_VALUE"""),1915.2)</f>
        <v>1915.2</v>
      </c>
    </row>
    <row r="1413" spans="2:46" x14ac:dyDescent="0.35">
      <c r="B1413" s="6" t="str">
        <f t="shared" ca="1" si="378"/>
        <v>20238</v>
      </c>
      <c r="C1413" s="6">
        <f t="shared" ca="1" si="379"/>
        <v>2023</v>
      </c>
      <c r="D1413" s="6">
        <f t="shared" ca="1" si="380"/>
        <v>8</v>
      </c>
      <c r="E1413" s="68">
        <f ca="1">IFERROR(__xludf.DUMMYFUNCTION("""COMPUTED_VALUE"""),45149.6666666666)</f>
        <v>45149.666666666599</v>
      </c>
      <c r="F1413" s="6">
        <f ca="1">IFERROR(__xludf.DUMMYFUNCTION("""COMPUTED_VALUE"""),4464.05)</f>
        <v>4464.05</v>
      </c>
      <c r="J1413" s="6" t="str">
        <f t="shared" ca="1" si="381"/>
        <v>20238</v>
      </c>
      <c r="K1413" s="6">
        <f t="shared" ca="1" si="382"/>
        <v>2023</v>
      </c>
      <c r="L1413" s="6">
        <f t="shared" ca="1" si="383"/>
        <v>8</v>
      </c>
      <c r="M1413" s="68">
        <f ca="1">IFERROR(__xludf.DUMMYFUNCTION("""COMPUTED_VALUE"""),45141.6666666666)</f>
        <v>45141.666666666599</v>
      </c>
      <c r="N1413" s="6">
        <f ca="1">IFERROR(__xludf.DUMMYFUNCTION("""COMPUTED_VALUE"""),13959.72)</f>
        <v>13959.72</v>
      </c>
      <c r="R1413" s="6" t="str">
        <f t="shared" ca="1" si="384"/>
        <v>20239</v>
      </c>
      <c r="S1413" s="6">
        <f t="shared" ca="1" si="385"/>
        <v>2023</v>
      </c>
      <c r="T1413" s="6">
        <f t="shared" ca="1" si="386"/>
        <v>9</v>
      </c>
      <c r="U1413" s="68">
        <f ca="1">IFERROR(__xludf.DUMMYFUNCTION("""COMPUTED_VALUE"""),45194.6458333333)</f>
        <v>45194.645833333299</v>
      </c>
      <c r="V1413" s="6">
        <f ca="1">IFERROR(__xludf.DUMMYFUNCTION("""COMPUTED_VALUE"""),2495.76)</f>
        <v>2495.7600000000002</v>
      </c>
      <c r="Z1413" s="6" t="str">
        <f t="shared" ca="1" si="387"/>
        <v>20221</v>
      </c>
      <c r="AA1413" s="6">
        <f t="shared" ca="1" si="388"/>
        <v>2022</v>
      </c>
      <c r="AB1413" s="6">
        <f t="shared" ca="1" si="389"/>
        <v>1</v>
      </c>
      <c r="AC1413" s="68">
        <f ca="1">IFERROR(__xludf.DUMMYFUNCTION("""COMPUTED_VALUE"""),44562.9986111111)</f>
        <v>44562.998611111099</v>
      </c>
      <c r="AD1413" s="6">
        <f ca="1">IFERROR(__xludf.DUMMYFUNCTION("""COMPUTED_VALUE"""),1187.78)</f>
        <v>1187.78</v>
      </c>
      <c r="AH1413" s="6" t="str">
        <f t="shared" ca="1" si="390"/>
        <v>202111</v>
      </c>
      <c r="AI1413" s="6">
        <f t="shared" ca="1" si="391"/>
        <v>2021</v>
      </c>
      <c r="AJ1413" s="6">
        <f t="shared" ca="1" si="392"/>
        <v>11</v>
      </c>
      <c r="AK1413" s="68">
        <f ca="1">IFERROR(__xludf.DUMMYFUNCTION("""COMPUTED_VALUE"""),44506.9986111111)</f>
        <v>44506.998611111099</v>
      </c>
      <c r="AL1413" s="6">
        <f ca="1">IFERROR(__xludf.DUMMYFUNCTION("""COMPUTED_VALUE"""),61517.57)</f>
        <v>61517.57</v>
      </c>
      <c r="AP1413" s="6" t="str">
        <f t="shared" ca="1" si="393"/>
        <v>20238</v>
      </c>
      <c r="AQ1413" s="6">
        <f t="shared" ca="1" si="394"/>
        <v>2023</v>
      </c>
      <c r="AR1413" s="6">
        <f t="shared" ca="1" si="395"/>
        <v>8</v>
      </c>
      <c r="AS1413" s="68">
        <f ca="1">IFERROR(__xludf.DUMMYFUNCTION("""COMPUTED_VALUE"""),45156.9986111111)</f>
        <v>45156.998611111099</v>
      </c>
      <c r="AT1413" s="6">
        <f ca="1">IFERROR(__xludf.DUMMYFUNCTION("""COMPUTED_VALUE"""),1916.5)</f>
        <v>1916.5</v>
      </c>
    </row>
    <row r="1414" spans="2:46" x14ac:dyDescent="0.35">
      <c r="B1414" s="6" t="str">
        <f t="shared" ca="1" si="378"/>
        <v>20238</v>
      </c>
      <c r="C1414" s="6">
        <f t="shared" ca="1" si="379"/>
        <v>2023</v>
      </c>
      <c r="D1414" s="6">
        <f t="shared" ca="1" si="380"/>
        <v>8</v>
      </c>
      <c r="E1414" s="68">
        <f ca="1">IFERROR(__xludf.DUMMYFUNCTION("""COMPUTED_VALUE"""),45152.6666666666)</f>
        <v>45152.666666666599</v>
      </c>
      <c r="F1414" s="6">
        <f ca="1">IFERROR(__xludf.DUMMYFUNCTION("""COMPUTED_VALUE"""),4489.72)</f>
        <v>4489.72</v>
      </c>
      <c r="J1414" s="6" t="str">
        <f t="shared" ca="1" si="381"/>
        <v>20238</v>
      </c>
      <c r="K1414" s="6">
        <f t="shared" ca="1" si="382"/>
        <v>2023</v>
      </c>
      <c r="L1414" s="6">
        <f t="shared" ca="1" si="383"/>
        <v>8</v>
      </c>
      <c r="M1414" s="68">
        <f ca="1">IFERROR(__xludf.DUMMYFUNCTION("""COMPUTED_VALUE"""),45142.6666666666)</f>
        <v>45142.666666666599</v>
      </c>
      <c r="N1414" s="6">
        <f ca="1">IFERROR(__xludf.DUMMYFUNCTION("""COMPUTED_VALUE"""),13892.07)</f>
        <v>13892.07</v>
      </c>
      <c r="R1414" s="6" t="str">
        <f t="shared" ca="1" si="384"/>
        <v>20239</v>
      </c>
      <c r="S1414" s="6">
        <f t="shared" ca="1" si="385"/>
        <v>2023</v>
      </c>
      <c r="T1414" s="6">
        <f t="shared" ca="1" si="386"/>
        <v>9</v>
      </c>
      <c r="U1414" s="68">
        <f ca="1">IFERROR(__xludf.DUMMYFUNCTION("""COMPUTED_VALUE"""),45195.6458333333)</f>
        <v>45195.645833333299</v>
      </c>
      <c r="V1414" s="6">
        <f ca="1">IFERROR(__xludf.DUMMYFUNCTION("""COMPUTED_VALUE"""),2462.97)</f>
        <v>2462.9699999999998</v>
      </c>
      <c r="Z1414" s="6" t="str">
        <f t="shared" ca="1" si="387"/>
        <v>20221</v>
      </c>
      <c r="AA1414" s="6">
        <f t="shared" ca="1" si="388"/>
        <v>2022</v>
      </c>
      <c r="AB1414" s="6">
        <f t="shared" ca="1" si="389"/>
        <v>1</v>
      </c>
      <c r="AC1414" s="68">
        <f ca="1">IFERROR(__xludf.DUMMYFUNCTION("""COMPUTED_VALUE"""),44563.9986111111)</f>
        <v>44563.998611111099</v>
      </c>
      <c r="AD1414" s="6">
        <f ca="1">IFERROR(__xludf.DUMMYFUNCTION("""COMPUTED_VALUE"""),1187.78)</f>
        <v>1187.78</v>
      </c>
      <c r="AH1414" s="6" t="str">
        <f t="shared" ca="1" si="390"/>
        <v>202111</v>
      </c>
      <c r="AI1414" s="6">
        <f t="shared" ca="1" si="391"/>
        <v>2021</v>
      </c>
      <c r="AJ1414" s="6">
        <f t="shared" ca="1" si="392"/>
        <v>11</v>
      </c>
      <c r="AK1414" s="68">
        <f ca="1">IFERROR(__xludf.DUMMYFUNCTION("""COMPUTED_VALUE"""),44507.9986111111)</f>
        <v>44507.998611111099</v>
      </c>
      <c r="AL1414" s="6">
        <f ca="1">IFERROR(__xludf.DUMMYFUNCTION("""COMPUTED_VALUE"""),63294.9)</f>
        <v>63294.9</v>
      </c>
      <c r="AP1414" s="6" t="str">
        <f t="shared" ca="1" si="393"/>
        <v>20238</v>
      </c>
      <c r="AQ1414" s="6">
        <f t="shared" ca="1" si="394"/>
        <v>2023</v>
      </c>
      <c r="AR1414" s="6">
        <f t="shared" ca="1" si="395"/>
        <v>8</v>
      </c>
      <c r="AS1414" s="68">
        <f ca="1">IFERROR(__xludf.DUMMYFUNCTION("""COMPUTED_VALUE"""),45159.9986111111)</f>
        <v>45159.998611111099</v>
      </c>
      <c r="AT1414" s="6">
        <f ca="1">IFERROR(__xludf.DUMMYFUNCTION("""COMPUTED_VALUE"""),1923)</f>
        <v>1923</v>
      </c>
    </row>
    <row r="1415" spans="2:46" x14ac:dyDescent="0.35">
      <c r="B1415" s="6" t="str">
        <f t="shared" ref="B1415:B1478" ca="1" si="396">C1415&amp;D1415</f>
        <v>20238</v>
      </c>
      <c r="C1415" s="6">
        <f t="shared" ref="C1415:C1478" ca="1" si="397">YEAR(E1415)</f>
        <v>2023</v>
      </c>
      <c r="D1415" s="6">
        <f t="shared" ref="D1415:D1478" ca="1" si="398">MONTH(E1415)</f>
        <v>8</v>
      </c>
      <c r="E1415" s="68">
        <f ca="1">IFERROR(__xludf.DUMMYFUNCTION("""COMPUTED_VALUE"""),45153.6666666666)</f>
        <v>45153.666666666599</v>
      </c>
      <c r="F1415" s="6">
        <f ca="1">IFERROR(__xludf.DUMMYFUNCTION("""COMPUTED_VALUE"""),4437.86)</f>
        <v>4437.8599999999997</v>
      </c>
      <c r="J1415" s="6" t="str">
        <f t="shared" ref="J1415:J1478" ca="1" si="399">K1415&amp;L1415</f>
        <v>20238</v>
      </c>
      <c r="K1415" s="6">
        <f t="shared" ref="K1415:K1478" ca="1" si="400">YEAR(M1415)</f>
        <v>2023</v>
      </c>
      <c r="L1415" s="6">
        <f t="shared" ref="L1415:L1478" ca="1" si="401">MONTH(M1415)</f>
        <v>8</v>
      </c>
      <c r="M1415" s="68">
        <f ca="1">IFERROR(__xludf.DUMMYFUNCTION("""COMPUTED_VALUE"""),45145.6666666666)</f>
        <v>45145.666666666599</v>
      </c>
      <c r="N1415" s="6">
        <f ca="1">IFERROR(__xludf.DUMMYFUNCTION("""COMPUTED_VALUE"""),13977.12)</f>
        <v>13977.12</v>
      </c>
      <c r="R1415" s="6" t="str">
        <f t="shared" ref="R1415:R1478" ca="1" si="402">S1415&amp;T1415</f>
        <v>20239</v>
      </c>
      <c r="S1415" s="6">
        <f t="shared" ref="S1415:S1478" ca="1" si="403">YEAR(U1415)</f>
        <v>2023</v>
      </c>
      <c r="T1415" s="6">
        <f t="shared" ref="T1415:T1478" ca="1" si="404">MONTH(U1415)</f>
        <v>9</v>
      </c>
      <c r="U1415" s="68">
        <f ca="1">IFERROR(__xludf.DUMMYFUNCTION("""COMPUTED_VALUE"""),45196.6458333333)</f>
        <v>45196.645833333299</v>
      </c>
      <c r="V1415" s="6">
        <f ca="1">IFERROR(__xludf.DUMMYFUNCTION("""COMPUTED_VALUE"""),2465.07)</f>
        <v>2465.0700000000002</v>
      </c>
      <c r="Z1415" s="6" t="str">
        <f t="shared" ref="Z1415:Z1478" ca="1" si="405">AA1415&amp;AB1415</f>
        <v>20221</v>
      </c>
      <c r="AA1415" s="6">
        <f t="shared" ref="AA1415:AA1478" ca="1" si="406">YEAR(AC1415)</f>
        <v>2022</v>
      </c>
      <c r="AB1415" s="6">
        <f t="shared" ref="AB1415:AB1478" ca="1" si="407">MONTH(AC1415)</f>
        <v>1</v>
      </c>
      <c r="AC1415" s="68">
        <f ca="1">IFERROR(__xludf.DUMMYFUNCTION("""COMPUTED_VALUE"""),44564.9986111111)</f>
        <v>44564.998611111099</v>
      </c>
      <c r="AD1415" s="6">
        <f ca="1">IFERROR(__xludf.DUMMYFUNCTION("""COMPUTED_VALUE"""),1194.68)</f>
        <v>1194.68</v>
      </c>
      <c r="AH1415" s="6" t="str">
        <f t="shared" ref="AH1415:AH1478" ca="1" si="408">AI1415&amp;AJ1415</f>
        <v>202111</v>
      </c>
      <c r="AI1415" s="6">
        <f t="shared" ref="AI1415:AI1478" ca="1" si="409">YEAR(AK1415)</f>
        <v>2021</v>
      </c>
      <c r="AJ1415" s="6">
        <f t="shared" ref="AJ1415:AJ1478" ca="1" si="410">MONTH(AK1415)</f>
        <v>11</v>
      </c>
      <c r="AK1415" s="68">
        <f ca="1">IFERROR(__xludf.DUMMYFUNCTION("""COMPUTED_VALUE"""),44508.9986111111)</f>
        <v>44508.998611111099</v>
      </c>
      <c r="AL1415" s="6">
        <f ca="1">IFERROR(__xludf.DUMMYFUNCTION("""COMPUTED_VALUE"""),67544.06)</f>
        <v>67544.06</v>
      </c>
      <c r="AP1415" s="6" t="str">
        <f t="shared" ref="AP1415:AP1478" ca="1" si="411">AQ1415&amp;AR1415</f>
        <v>20238</v>
      </c>
      <c r="AQ1415" s="6">
        <f t="shared" ref="AQ1415:AQ1478" ca="1" si="412">YEAR(AS1415)</f>
        <v>2023</v>
      </c>
      <c r="AR1415" s="6">
        <f t="shared" ref="AR1415:AR1478" ca="1" si="413">MONTH(AS1415)</f>
        <v>8</v>
      </c>
      <c r="AS1415" s="68">
        <f ca="1">IFERROR(__xludf.DUMMYFUNCTION("""COMPUTED_VALUE"""),45160.9986111111)</f>
        <v>45160.998611111099</v>
      </c>
      <c r="AT1415" s="6">
        <f ca="1">IFERROR(__xludf.DUMMYFUNCTION("""COMPUTED_VALUE"""),1926)</f>
        <v>1926</v>
      </c>
    </row>
    <row r="1416" spans="2:46" x14ac:dyDescent="0.35">
      <c r="B1416" s="6" t="str">
        <f t="shared" ca="1" si="396"/>
        <v>20238</v>
      </c>
      <c r="C1416" s="6">
        <f t="shared" ca="1" si="397"/>
        <v>2023</v>
      </c>
      <c r="D1416" s="6">
        <f t="shared" ca="1" si="398"/>
        <v>8</v>
      </c>
      <c r="E1416" s="68">
        <f ca="1">IFERROR(__xludf.DUMMYFUNCTION("""COMPUTED_VALUE"""),45154.6666666666)</f>
        <v>45154.666666666599</v>
      </c>
      <c r="F1416" s="6">
        <f ca="1">IFERROR(__xludf.DUMMYFUNCTION("""COMPUTED_VALUE"""),4404.33)</f>
        <v>4404.33</v>
      </c>
      <c r="J1416" s="6" t="str">
        <f t="shared" ca="1" si="399"/>
        <v>20238</v>
      </c>
      <c r="K1416" s="6">
        <f t="shared" ca="1" si="400"/>
        <v>2023</v>
      </c>
      <c r="L1416" s="6">
        <f t="shared" ca="1" si="401"/>
        <v>8</v>
      </c>
      <c r="M1416" s="68">
        <f ca="1">IFERROR(__xludf.DUMMYFUNCTION("""COMPUTED_VALUE"""),45146.6666666666)</f>
        <v>45146.666666666599</v>
      </c>
      <c r="N1416" s="6">
        <f ca="1">IFERROR(__xludf.DUMMYFUNCTION("""COMPUTED_VALUE"""),13867.19)</f>
        <v>13867.19</v>
      </c>
      <c r="R1416" s="6" t="str">
        <f t="shared" ca="1" si="402"/>
        <v>202310</v>
      </c>
      <c r="S1416" s="6">
        <f t="shared" ca="1" si="403"/>
        <v>2023</v>
      </c>
      <c r="T1416" s="6">
        <f t="shared" ca="1" si="404"/>
        <v>10</v>
      </c>
      <c r="U1416" s="68">
        <f ca="1">IFERROR(__xludf.DUMMYFUNCTION("""COMPUTED_VALUE"""),45203.6458333333)</f>
        <v>45203.645833333299</v>
      </c>
      <c r="V1416" s="6">
        <f ca="1">IFERROR(__xludf.DUMMYFUNCTION("""COMPUTED_VALUE"""),2405.69)</f>
        <v>2405.69</v>
      </c>
      <c r="Z1416" s="6" t="str">
        <f t="shared" ca="1" si="405"/>
        <v>20221</v>
      </c>
      <c r="AA1416" s="6">
        <f t="shared" ca="1" si="406"/>
        <v>2022</v>
      </c>
      <c r="AB1416" s="6">
        <f t="shared" ca="1" si="407"/>
        <v>1</v>
      </c>
      <c r="AC1416" s="68">
        <f ca="1">IFERROR(__xludf.DUMMYFUNCTION("""COMPUTED_VALUE"""),44565.9986111111)</f>
        <v>44565.998611111099</v>
      </c>
      <c r="AD1416" s="6">
        <f ca="1">IFERROR(__xludf.DUMMYFUNCTION("""COMPUTED_VALUE"""),1196.5)</f>
        <v>1196.5</v>
      </c>
      <c r="AH1416" s="6" t="str">
        <f t="shared" ca="1" si="408"/>
        <v>202111</v>
      </c>
      <c r="AI1416" s="6">
        <f t="shared" ca="1" si="409"/>
        <v>2021</v>
      </c>
      <c r="AJ1416" s="6">
        <f t="shared" ca="1" si="410"/>
        <v>11</v>
      </c>
      <c r="AK1416" s="68">
        <f ca="1">IFERROR(__xludf.DUMMYFUNCTION("""COMPUTED_VALUE"""),44509.9986111111)</f>
        <v>44509.998611111099</v>
      </c>
      <c r="AL1416" s="6">
        <f ca="1">IFERROR(__xludf.DUMMYFUNCTION("""COMPUTED_VALUE"""),66931.48)</f>
        <v>66931.48</v>
      </c>
      <c r="AP1416" s="6" t="str">
        <f t="shared" ca="1" si="411"/>
        <v>20238</v>
      </c>
      <c r="AQ1416" s="6">
        <f t="shared" ca="1" si="412"/>
        <v>2023</v>
      </c>
      <c r="AR1416" s="6">
        <f t="shared" ca="1" si="413"/>
        <v>8</v>
      </c>
      <c r="AS1416" s="68">
        <f ca="1">IFERROR(__xludf.DUMMYFUNCTION("""COMPUTED_VALUE"""),45161.9986111111)</f>
        <v>45161.998611111099</v>
      </c>
      <c r="AT1416" s="6">
        <f ca="1">IFERROR(__xludf.DUMMYFUNCTION("""COMPUTED_VALUE"""),1948.1)</f>
        <v>1948.1</v>
      </c>
    </row>
    <row r="1417" spans="2:46" x14ac:dyDescent="0.35">
      <c r="B1417" s="6" t="str">
        <f t="shared" ca="1" si="396"/>
        <v>20238</v>
      </c>
      <c r="C1417" s="6">
        <f t="shared" ca="1" si="397"/>
        <v>2023</v>
      </c>
      <c r="D1417" s="6">
        <f t="shared" ca="1" si="398"/>
        <v>8</v>
      </c>
      <c r="E1417" s="68">
        <f ca="1">IFERROR(__xludf.DUMMYFUNCTION("""COMPUTED_VALUE"""),45155.6666666666)</f>
        <v>45155.666666666599</v>
      </c>
      <c r="F1417" s="6">
        <f ca="1">IFERROR(__xludf.DUMMYFUNCTION("""COMPUTED_VALUE"""),4370.36)</f>
        <v>4370.3599999999997</v>
      </c>
      <c r="J1417" s="6" t="str">
        <f t="shared" ca="1" si="399"/>
        <v>20238</v>
      </c>
      <c r="K1417" s="6">
        <f t="shared" ca="1" si="400"/>
        <v>2023</v>
      </c>
      <c r="L1417" s="6">
        <f t="shared" ca="1" si="401"/>
        <v>8</v>
      </c>
      <c r="M1417" s="68">
        <f ca="1">IFERROR(__xludf.DUMMYFUNCTION("""COMPUTED_VALUE"""),45147.6666666666)</f>
        <v>45147.666666666599</v>
      </c>
      <c r="N1417" s="6">
        <f ca="1">IFERROR(__xludf.DUMMYFUNCTION("""COMPUTED_VALUE"""),13705.08)</f>
        <v>13705.08</v>
      </c>
      <c r="R1417" s="6" t="str">
        <f t="shared" ca="1" si="402"/>
        <v>202310</v>
      </c>
      <c r="S1417" s="6">
        <f t="shared" ca="1" si="403"/>
        <v>2023</v>
      </c>
      <c r="T1417" s="6">
        <f t="shared" ca="1" si="404"/>
        <v>10</v>
      </c>
      <c r="U1417" s="68">
        <f ca="1">IFERROR(__xludf.DUMMYFUNCTION("""COMPUTED_VALUE"""),45204.6458333333)</f>
        <v>45204.645833333299</v>
      </c>
      <c r="V1417" s="6">
        <f ca="1">IFERROR(__xludf.DUMMYFUNCTION("""COMPUTED_VALUE"""),2403.6)</f>
        <v>2403.6</v>
      </c>
      <c r="Z1417" s="6" t="str">
        <f t="shared" ca="1" si="405"/>
        <v>20221</v>
      </c>
      <c r="AA1417" s="6">
        <f t="shared" ca="1" si="406"/>
        <v>2022</v>
      </c>
      <c r="AB1417" s="6">
        <f t="shared" ca="1" si="407"/>
        <v>1</v>
      </c>
      <c r="AC1417" s="68">
        <f ca="1">IFERROR(__xludf.DUMMYFUNCTION("""COMPUTED_VALUE"""),44566.9986111111)</f>
        <v>44566.998611111099</v>
      </c>
      <c r="AD1417" s="6">
        <f ca="1">IFERROR(__xludf.DUMMYFUNCTION("""COMPUTED_VALUE"""),1199.25)</f>
        <v>1199.25</v>
      </c>
      <c r="AH1417" s="6" t="str">
        <f t="shared" ca="1" si="408"/>
        <v>202111</v>
      </c>
      <c r="AI1417" s="6">
        <f t="shared" ca="1" si="409"/>
        <v>2021</v>
      </c>
      <c r="AJ1417" s="6">
        <f t="shared" ca="1" si="410"/>
        <v>11</v>
      </c>
      <c r="AK1417" s="68">
        <f ca="1">IFERROR(__xludf.DUMMYFUNCTION("""COMPUTED_VALUE"""),44510.9986111111)</f>
        <v>44510.998611111099</v>
      </c>
      <c r="AL1417" s="6">
        <f ca="1">IFERROR(__xludf.DUMMYFUNCTION("""COMPUTED_VALUE"""),64966.11)</f>
        <v>64966.11</v>
      </c>
      <c r="AP1417" s="6" t="str">
        <f t="shared" ca="1" si="411"/>
        <v>20238</v>
      </c>
      <c r="AQ1417" s="6">
        <f t="shared" ca="1" si="412"/>
        <v>2023</v>
      </c>
      <c r="AR1417" s="6">
        <f t="shared" ca="1" si="413"/>
        <v>8</v>
      </c>
      <c r="AS1417" s="68">
        <f ca="1">IFERROR(__xludf.DUMMYFUNCTION("""COMPUTED_VALUE"""),45162.9986111111)</f>
        <v>45162.998611111099</v>
      </c>
      <c r="AT1417" s="6">
        <f ca="1">IFERROR(__xludf.DUMMYFUNCTION("""COMPUTED_VALUE"""),1947.1)</f>
        <v>1947.1</v>
      </c>
    </row>
    <row r="1418" spans="2:46" x14ac:dyDescent="0.35">
      <c r="B1418" s="6" t="str">
        <f t="shared" ca="1" si="396"/>
        <v>20238</v>
      </c>
      <c r="C1418" s="6">
        <f t="shared" ca="1" si="397"/>
        <v>2023</v>
      </c>
      <c r="D1418" s="6">
        <f t="shared" ca="1" si="398"/>
        <v>8</v>
      </c>
      <c r="E1418" s="68">
        <f ca="1">IFERROR(__xludf.DUMMYFUNCTION("""COMPUTED_VALUE"""),45156.6666666666)</f>
        <v>45156.666666666599</v>
      </c>
      <c r="F1418" s="6">
        <f ca="1">IFERROR(__xludf.DUMMYFUNCTION("""COMPUTED_VALUE"""),4369.71)</f>
        <v>4369.71</v>
      </c>
      <c r="J1418" s="6" t="str">
        <f t="shared" ca="1" si="399"/>
        <v>20238</v>
      </c>
      <c r="K1418" s="6">
        <f t="shared" ca="1" si="400"/>
        <v>2023</v>
      </c>
      <c r="L1418" s="6">
        <f t="shared" ca="1" si="401"/>
        <v>8</v>
      </c>
      <c r="M1418" s="68">
        <f ca="1">IFERROR(__xludf.DUMMYFUNCTION("""COMPUTED_VALUE"""),45148.6666666666)</f>
        <v>45148.666666666599</v>
      </c>
      <c r="N1418" s="6">
        <f ca="1">IFERROR(__xludf.DUMMYFUNCTION("""COMPUTED_VALUE"""),13721.03)</f>
        <v>13721.03</v>
      </c>
      <c r="R1418" s="6" t="str">
        <f t="shared" ca="1" si="402"/>
        <v>202310</v>
      </c>
      <c r="S1418" s="6">
        <f t="shared" ca="1" si="403"/>
        <v>2023</v>
      </c>
      <c r="T1418" s="6">
        <f t="shared" ca="1" si="404"/>
        <v>10</v>
      </c>
      <c r="U1418" s="68">
        <f ca="1">IFERROR(__xludf.DUMMYFUNCTION("""COMPUTED_VALUE"""),45205.6458333333)</f>
        <v>45205.645833333299</v>
      </c>
      <c r="V1418" s="6">
        <f ca="1">IFERROR(__xludf.DUMMYFUNCTION("""COMPUTED_VALUE"""),2408.73)</f>
        <v>2408.73</v>
      </c>
      <c r="Z1418" s="6" t="str">
        <f t="shared" ca="1" si="405"/>
        <v>20221</v>
      </c>
      <c r="AA1418" s="6">
        <f t="shared" ca="1" si="406"/>
        <v>2022</v>
      </c>
      <c r="AB1418" s="6">
        <f t="shared" ca="1" si="407"/>
        <v>1</v>
      </c>
      <c r="AC1418" s="68">
        <f ca="1">IFERROR(__xludf.DUMMYFUNCTION("""COMPUTED_VALUE"""),44567.9986111111)</f>
        <v>44567.998611111099</v>
      </c>
      <c r="AD1418" s="6">
        <f ca="1">IFERROR(__xludf.DUMMYFUNCTION("""COMPUTED_VALUE"""),1205.78)</f>
        <v>1205.78</v>
      </c>
      <c r="AH1418" s="6" t="str">
        <f t="shared" ca="1" si="408"/>
        <v>202111</v>
      </c>
      <c r="AI1418" s="6">
        <f t="shared" ca="1" si="409"/>
        <v>2021</v>
      </c>
      <c r="AJ1418" s="6">
        <f t="shared" ca="1" si="410"/>
        <v>11</v>
      </c>
      <c r="AK1418" s="68">
        <f ca="1">IFERROR(__xludf.DUMMYFUNCTION("""COMPUTED_VALUE"""),44511.9986111111)</f>
        <v>44511.998611111099</v>
      </c>
      <c r="AL1418" s="6">
        <f ca="1">IFERROR(__xludf.DUMMYFUNCTION("""COMPUTED_VALUE"""),64832.29)</f>
        <v>64832.29</v>
      </c>
      <c r="AP1418" s="6" t="str">
        <f t="shared" ca="1" si="411"/>
        <v>20238</v>
      </c>
      <c r="AQ1418" s="6">
        <f t="shared" ca="1" si="412"/>
        <v>2023</v>
      </c>
      <c r="AR1418" s="6">
        <f t="shared" ca="1" si="413"/>
        <v>8</v>
      </c>
      <c r="AS1418" s="68">
        <f ca="1">IFERROR(__xludf.DUMMYFUNCTION("""COMPUTED_VALUE"""),45163.9986111111)</f>
        <v>45163.998611111099</v>
      </c>
      <c r="AT1418" s="6">
        <f ca="1">IFERROR(__xludf.DUMMYFUNCTION("""COMPUTED_VALUE"""),1939.9)</f>
        <v>1939.9</v>
      </c>
    </row>
    <row r="1419" spans="2:46" x14ac:dyDescent="0.35">
      <c r="B1419" s="6" t="str">
        <f t="shared" ca="1" si="396"/>
        <v>20238</v>
      </c>
      <c r="C1419" s="6">
        <f t="shared" ca="1" si="397"/>
        <v>2023</v>
      </c>
      <c r="D1419" s="6">
        <f t="shared" ca="1" si="398"/>
        <v>8</v>
      </c>
      <c r="E1419" s="68">
        <f ca="1">IFERROR(__xludf.DUMMYFUNCTION("""COMPUTED_VALUE"""),45159.6666666666)</f>
        <v>45159.666666666599</v>
      </c>
      <c r="F1419" s="6">
        <f ca="1">IFERROR(__xludf.DUMMYFUNCTION("""COMPUTED_VALUE"""),4399.77)</f>
        <v>4399.7700000000004</v>
      </c>
      <c r="J1419" s="6" t="str">
        <f t="shared" ca="1" si="399"/>
        <v>20238</v>
      </c>
      <c r="K1419" s="6">
        <f t="shared" ca="1" si="400"/>
        <v>2023</v>
      </c>
      <c r="L1419" s="6">
        <f t="shared" ca="1" si="401"/>
        <v>8</v>
      </c>
      <c r="M1419" s="68">
        <f ca="1">IFERROR(__xludf.DUMMYFUNCTION("""COMPUTED_VALUE"""),45149.6666666666)</f>
        <v>45149.666666666599</v>
      </c>
      <c r="N1419" s="6">
        <f ca="1">IFERROR(__xludf.DUMMYFUNCTION("""COMPUTED_VALUE"""),13644.85)</f>
        <v>13644.85</v>
      </c>
      <c r="R1419" s="6" t="str">
        <f t="shared" ca="1" si="402"/>
        <v>202310</v>
      </c>
      <c r="S1419" s="6">
        <f t="shared" ca="1" si="403"/>
        <v>2023</v>
      </c>
      <c r="T1419" s="6">
        <f t="shared" ca="1" si="404"/>
        <v>10</v>
      </c>
      <c r="U1419" s="68">
        <f ca="1">IFERROR(__xludf.DUMMYFUNCTION("""COMPUTED_VALUE"""),45209.6458333333)</f>
        <v>45209.645833333299</v>
      </c>
      <c r="V1419" s="6">
        <f ca="1">IFERROR(__xludf.DUMMYFUNCTION("""COMPUTED_VALUE"""),2402.58)</f>
        <v>2402.58</v>
      </c>
      <c r="Z1419" s="6" t="str">
        <f t="shared" ca="1" si="405"/>
        <v>20221</v>
      </c>
      <c r="AA1419" s="6">
        <f t="shared" ca="1" si="406"/>
        <v>2022</v>
      </c>
      <c r="AB1419" s="6">
        <f t="shared" ca="1" si="407"/>
        <v>1</v>
      </c>
      <c r="AC1419" s="68">
        <f ca="1">IFERROR(__xludf.DUMMYFUNCTION("""COMPUTED_VALUE"""),44568.9986111111)</f>
        <v>44568.998611111099</v>
      </c>
      <c r="AD1419" s="6">
        <f ca="1">IFERROR(__xludf.DUMMYFUNCTION("""COMPUTED_VALUE"""),1197.48)</f>
        <v>1197.48</v>
      </c>
      <c r="AH1419" s="6" t="str">
        <f t="shared" ca="1" si="408"/>
        <v>202111</v>
      </c>
      <c r="AI1419" s="6">
        <f t="shared" ca="1" si="409"/>
        <v>2021</v>
      </c>
      <c r="AJ1419" s="6">
        <f t="shared" ca="1" si="410"/>
        <v>11</v>
      </c>
      <c r="AK1419" s="68">
        <f ca="1">IFERROR(__xludf.DUMMYFUNCTION("""COMPUTED_VALUE"""),44512.9986111111)</f>
        <v>44512.998611111099</v>
      </c>
      <c r="AL1419" s="6">
        <f ca="1">IFERROR(__xludf.DUMMYFUNCTION("""COMPUTED_VALUE"""),64186.21)</f>
        <v>64186.21</v>
      </c>
      <c r="AP1419" s="6" t="str">
        <f t="shared" ca="1" si="411"/>
        <v>20238</v>
      </c>
      <c r="AQ1419" s="6">
        <f t="shared" ca="1" si="412"/>
        <v>2023</v>
      </c>
      <c r="AR1419" s="6">
        <f t="shared" ca="1" si="413"/>
        <v>8</v>
      </c>
      <c r="AS1419" s="68">
        <f ca="1">IFERROR(__xludf.DUMMYFUNCTION("""COMPUTED_VALUE"""),45166.9986111111)</f>
        <v>45166.998611111099</v>
      </c>
      <c r="AT1419" s="6">
        <f ca="1">IFERROR(__xludf.DUMMYFUNCTION("""COMPUTED_VALUE"""),1946.8)</f>
        <v>1946.8</v>
      </c>
    </row>
    <row r="1420" spans="2:46" x14ac:dyDescent="0.35">
      <c r="B1420" s="6" t="str">
        <f t="shared" ca="1" si="396"/>
        <v>20238</v>
      </c>
      <c r="C1420" s="6">
        <f t="shared" ca="1" si="397"/>
        <v>2023</v>
      </c>
      <c r="D1420" s="6">
        <f t="shared" ca="1" si="398"/>
        <v>8</v>
      </c>
      <c r="E1420" s="68">
        <f ca="1">IFERROR(__xludf.DUMMYFUNCTION("""COMPUTED_VALUE"""),45160.6666666666)</f>
        <v>45160.666666666599</v>
      </c>
      <c r="F1420" s="6">
        <f ca="1">IFERROR(__xludf.DUMMYFUNCTION("""COMPUTED_VALUE"""),4387.55)</f>
        <v>4387.55</v>
      </c>
      <c r="J1420" s="6" t="str">
        <f t="shared" ca="1" si="399"/>
        <v>20238</v>
      </c>
      <c r="K1420" s="6">
        <f t="shared" ca="1" si="400"/>
        <v>2023</v>
      </c>
      <c r="L1420" s="6">
        <f t="shared" ca="1" si="401"/>
        <v>8</v>
      </c>
      <c r="M1420" s="68">
        <f ca="1">IFERROR(__xludf.DUMMYFUNCTION("""COMPUTED_VALUE"""),45152.6666666666)</f>
        <v>45152.666666666599</v>
      </c>
      <c r="N1420" s="6">
        <f ca="1">IFERROR(__xludf.DUMMYFUNCTION("""COMPUTED_VALUE"""),13788.33)</f>
        <v>13788.33</v>
      </c>
      <c r="R1420" s="6" t="str">
        <f t="shared" ca="1" si="402"/>
        <v>202310</v>
      </c>
      <c r="S1420" s="6">
        <f t="shared" ca="1" si="403"/>
        <v>2023</v>
      </c>
      <c r="T1420" s="6">
        <f t="shared" ca="1" si="404"/>
        <v>10</v>
      </c>
      <c r="U1420" s="68">
        <f ca="1">IFERROR(__xludf.DUMMYFUNCTION("""COMPUTED_VALUE"""),45210.6458333333)</f>
        <v>45210.645833333299</v>
      </c>
      <c r="V1420" s="6">
        <f ca="1">IFERROR(__xludf.DUMMYFUNCTION("""COMPUTED_VALUE"""),2450.08)</f>
        <v>2450.08</v>
      </c>
      <c r="Z1420" s="6" t="str">
        <f t="shared" ca="1" si="405"/>
        <v>20221</v>
      </c>
      <c r="AA1420" s="6">
        <f t="shared" ca="1" si="406"/>
        <v>2022</v>
      </c>
      <c r="AB1420" s="6">
        <f t="shared" ca="1" si="407"/>
        <v>1</v>
      </c>
      <c r="AC1420" s="68">
        <f ca="1">IFERROR(__xludf.DUMMYFUNCTION("""COMPUTED_VALUE"""),44569.9986111111)</f>
        <v>44569.998611111099</v>
      </c>
      <c r="AD1420" s="6">
        <f ca="1">IFERROR(__xludf.DUMMYFUNCTION("""COMPUTED_VALUE"""),1196.88)</f>
        <v>1196.8800000000001</v>
      </c>
      <c r="AH1420" s="6" t="str">
        <f t="shared" ca="1" si="408"/>
        <v>202111</v>
      </c>
      <c r="AI1420" s="6">
        <f t="shared" ca="1" si="409"/>
        <v>2021</v>
      </c>
      <c r="AJ1420" s="6">
        <f t="shared" ca="1" si="410"/>
        <v>11</v>
      </c>
      <c r="AK1420" s="68">
        <f ca="1">IFERROR(__xludf.DUMMYFUNCTION("""COMPUTED_VALUE"""),44513.9986111111)</f>
        <v>44513.998611111099</v>
      </c>
      <c r="AL1420" s="6">
        <f ca="1">IFERROR(__xludf.DUMMYFUNCTION("""COMPUTED_VALUE"""),64402.5)</f>
        <v>64402.5</v>
      </c>
      <c r="AP1420" s="6" t="str">
        <f t="shared" ca="1" si="411"/>
        <v>20238</v>
      </c>
      <c r="AQ1420" s="6">
        <f t="shared" ca="1" si="412"/>
        <v>2023</v>
      </c>
      <c r="AR1420" s="6">
        <f t="shared" ca="1" si="413"/>
        <v>8</v>
      </c>
      <c r="AS1420" s="68">
        <f ca="1">IFERROR(__xludf.DUMMYFUNCTION("""COMPUTED_VALUE"""),45167.9986111111)</f>
        <v>45167.998611111099</v>
      </c>
      <c r="AT1420" s="6">
        <f ca="1">IFERROR(__xludf.DUMMYFUNCTION("""COMPUTED_VALUE"""),1965.1)</f>
        <v>1965.1</v>
      </c>
    </row>
    <row r="1421" spans="2:46" x14ac:dyDescent="0.35">
      <c r="B1421" s="6" t="str">
        <f t="shared" ca="1" si="396"/>
        <v>20238</v>
      </c>
      <c r="C1421" s="6">
        <f t="shared" ca="1" si="397"/>
        <v>2023</v>
      </c>
      <c r="D1421" s="6">
        <f t="shared" ca="1" si="398"/>
        <v>8</v>
      </c>
      <c r="E1421" s="68">
        <f ca="1">IFERROR(__xludf.DUMMYFUNCTION("""COMPUTED_VALUE"""),45161.6666666666)</f>
        <v>45161.666666666599</v>
      </c>
      <c r="F1421" s="6">
        <f ca="1">IFERROR(__xludf.DUMMYFUNCTION("""COMPUTED_VALUE"""),4436.01)</f>
        <v>4436.01</v>
      </c>
      <c r="J1421" s="6" t="str">
        <f t="shared" ca="1" si="399"/>
        <v>20238</v>
      </c>
      <c r="K1421" s="6">
        <f t="shared" ca="1" si="400"/>
        <v>2023</v>
      </c>
      <c r="L1421" s="6">
        <f t="shared" ca="1" si="401"/>
        <v>8</v>
      </c>
      <c r="M1421" s="68">
        <f ca="1">IFERROR(__xludf.DUMMYFUNCTION("""COMPUTED_VALUE"""),45153.6666666666)</f>
        <v>45153.666666666599</v>
      </c>
      <c r="N1421" s="6">
        <f ca="1">IFERROR(__xludf.DUMMYFUNCTION("""COMPUTED_VALUE"""),13631.05)</f>
        <v>13631.05</v>
      </c>
      <c r="R1421" s="6" t="str">
        <f t="shared" ca="1" si="402"/>
        <v>202310</v>
      </c>
      <c r="S1421" s="6">
        <f t="shared" ca="1" si="403"/>
        <v>2023</v>
      </c>
      <c r="T1421" s="6">
        <f t="shared" ca="1" si="404"/>
        <v>10</v>
      </c>
      <c r="U1421" s="68">
        <f ca="1">IFERROR(__xludf.DUMMYFUNCTION("""COMPUTED_VALUE"""),45211.6458333333)</f>
        <v>45211.645833333299</v>
      </c>
      <c r="V1421" s="6">
        <f ca="1">IFERROR(__xludf.DUMMYFUNCTION("""COMPUTED_VALUE"""),2479.82)</f>
        <v>2479.8200000000002</v>
      </c>
      <c r="Z1421" s="6" t="str">
        <f t="shared" ca="1" si="405"/>
        <v>20221</v>
      </c>
      <c r="AA1421" s="6">
        <f t="shared" ca="1" si="406"/>
        <v>2022</v>
      </c>
      <c r="AB1421" s="6">
        <f t="shared" ca="1" si="407"/>
        <v>1</v>
      </c>
      <c r="AC1421" s="68">
        <f ca="1">IFERROR(__xludf.DUMMYFUNCTION("""COMPUTED_VALUE"""),44570.9986111111)</f>
        <v>44570.998611111099</v>
      </c>
      <c r="AD1421" s="6">
        <f ca="1">IFERROR(__xludf.DUMMYFUNCTION("""COMPUTED_VALUE"""),1196.88)</f>
        <v>1196.8800000000001</v>
      </c>
      <c r="AH1421" s="6" t="str">
        <f t="shared" ca="1" si="408"/>
        <v>202111</v>
      </c>
      <c r="AI1421" s="6">
        <f t="shared" ca="1" si="409"/>
        <v>2021</v>
      </c>
      <c r="AJ1421" s="6">
        <f t="shared" ca="1" si="410"/>
        <v>11</v>
      </c>
      <c r="AK1421" s="68">
        <f ca="1">IFERROR(__xludf.DUMMYFUNCTION("""COMPUTED_VALUE"""),44514.9986111111)</f>
        <v>44514.998611111099</v>
      </c>
      <c r="AL1421" s="6">
        <f ca="1">IFERROR(__xludf.DUMMYFUNCTION("""COMPUTED_VALUE"""),65476.68)</f>
        <v>65476.68</v>
      </c>
      <c r="AP1421" s="6" t="str">
        <f t="shared" ca="1" si="411"/>
        <v>20238</v>
      </c>
      <c r="AQ1421" s="6">
        <f t="shared" ca="1" si="412"/>
        <v>2023</v>
      </c>
      <c r="AR1421" s="6">
        <f t="shared" ca="1" si="413"/>
        <v>8</v>
      </c>
      <c r="AS1421" s="68">
        <f ca="1">IFERROR(__xludf.DUMMYFUNCTION("""COMPUTED_VALUE"""),45168.9986111111)</f>
        <v>45168.998611111099</v>
      </c>
      <c r="AT1421" s="6">
        <f ca="1">IFERROR(__xludf.DUMMYFUNCTION("""COMPUTED_VALUE"""),1973)</f>
        <v>1973</v>
      </c>
    </row>
    <row r="1422" spans="2:46" x14ac:dyDescent="0.35">
      <c r="B1422" s="6" t="str">
        <f t="shared" ca="1" si="396"/>
        <v>20238</v>
      </c>
      <c r="C1422" s="6">
        <f t="shared" ca="1" si="397"/>
        <v>2023</v>
      </c>
      <c r="D1422" s="6">
        <f t="shared" ca="1" si="398"/>
        <v>8</v>
      </c>
      <c r="E1422" s="68">
        <f ca="1">IFERROR(__xludf.DUMMYFUNCTION("""COMPUTED_VALUE"""),45162.6666666666)</f>
        <v>45162.666666666599</v>
      </c>
      <c r="F1422" s="6">
        <f ca="1">IFERROR(__xludf.DUMMYFUNCTION("""COMPUTED_VALUE"""),4376.31)</f>
        <v>4376.3100000000004</v>
      </c>
      <c r="J1422" s="6" t="str">
        <f t="shared" ca="1" si="399"/>
        <v>20238</v>
      </c>
      <c r="K1422" s="6">
        <f t="shared" ca="1" si="400"/>
        <v>2023</v>
      </c>
      <c r="L1422" s="6">
        <f t="shared" ca="1" si="401"/>
        <v>8</v>
      </c>
      <c r="M1422" s="68">
        <f ca="1">IFERROR(__xludf.DUMMYFUNCTION("""COMPUTED_VALUE"""),45154.6666666666)</f>
        <v>45154.666666666599</v>
      </c>
      <c r="N1422" s="6">
        <f ca="1">IFERROR(__xludf.DUMMYFUNCTION("""COMPUTED_VALUE"""),13474.63)</f>
        <v>13474.63</v>
      </c>
      <c r="R1422" s="6" t="str">
        <f t="shared" ca="1" si="402"/>
        <v>202310</v>
      </c>
      <c r="S1422" s="6">
        <f t="shared" ca="1" si="403"/>
        <v>2023</v>
      </c>
      <c r="T1422" s="6">
        <f t="shared" ca="1" si="404"/>
        <v>10</v>
      </c>
      <c r="U1422" s="68">
        <f ca="1">IFERROR(__xludf.DUMMYFUNCTION("""COMPUTED_VALUE"""),45212.6458333333)</f>
        <v>45212.645833333299</v>
      </c>
      <c r="V1422" s="6">
        <f ca="1">IFERROR(__xludf.DUMMYFUNCTION("""COMPUTED_VALUE"""),2456.15)</f>
        <v>2456.15</v>
      </c>
      <c r="Z1422" s="6" t="str">
        <f t="shared" ca="1" si="405"/>
        <v>20221</v>
      </c>
      <c r="AA1422" s="6">
        <f t="shared" ca="1" si="406"/>
        <v>2022</v>
      </c>
      <c r="AB1422" s="6">
        <f t="shared" ca="1" si="407"/>
        <v>1</v>
      </c>
      <c r="AC1422" s="68">
        <f ca="1">IFERROR(__xludf.DUMMYFUNCTION("""COMPUTED_VALUE"""),44571.9986111111)</f>
        <v>44571.998611111099</v>
      </c>
      <c r="AD1422" s="6">
        <f ca="1">IFERROR(__xludf.DUMMYFUNCTION("""COMPUTED_VALUE"""),1198.09)</f>
        <v>1198.0899999999999</v>
      </c>
      <c r="AH1422" s="6" t="str">
        <f t="shared" ca="1" si="408"/>
        <v>202111</v>
      </c>
      <c r="AI1422" s="6">
        <f t="shared" ca="1" si="409"/>
        <v>2021</v>
      </c>
      <c r="AJ1422" s="6">
        <f t="shared" ca="1" si="410"/>
        <v>11</v>
      </c>
      <c r="AK1422" s="68">
        <f ca="1">IFERROR(__xludf.DUMMYFUNCTION("""COMPUTED_VALUE"""),44515.9986111111)</f>
        <v>44515.998611111099</v>
      </c>
      <c r="AL1422" s="6">
        <f ca="1">IFERROR(__xludf.DUMMYFUNCTION("""COMPUTED_VALUE"""),63573.76)</f>
        <v>63573.760000000002</v>
      </c>
      <c r="AP1422" s="6" t="str">
        <f t="shared" ca="1" si="411"/>
        <v>20238</v>
      </c>
      <c r="AQ1422" s="6">
        <f t="shared" ca="1" si="412"/>
        <v>2023</v>
      </c>
      <c r="AR1422" s="6">
        <f t="shared" ca="1" si="413"/>
        <v>8</v>
      </c>
      <c r="AS1422" s="68">
        <f ca="1">IFERROR(__xludf.DUMMYFUNCTION("""COMPUTED_VALUE"""),45169.9986111111)</f>
        <v>45169.998611111099</v>
      </c>
      <c r="AT1422" s="6">
        <f ca="1">IFERROR(__xludf.DUMMYFUNCTION("""COMPUTED_VALUE"""),1965.9)</f>
        <v>1965.9</v>
      </c>
    </row>
    <row r="1423" spans="2:46" x14ac:dyDescent="0.35">
      <c r="B1423" s="6" t="str">
        <f t="shared" ca="1" si="396"/>
        <v>20238</v>
      </c>
      <c r="C1423" s="6">
        <f t="shared" ca="1" si="397"/>
        <v>2023</v>
      </c>
      <c r="D1423" s="6">
        <f t="shared" ca="1" si="398"/>
        <v>8</v>
      </c>
      <c r="E1423" s="68">
        <f ca="1">IFERROR(__xludf.DUMMYFUNCTION("""COMPUTED_VALUE"""),45163.6666666666)</f>
        <v>45163.666666666599</v>
      </c>
      <c r="F1423" s="6">
        <f ca="1">IFERROR(__xludf.DUMMYFUNCTION("""COMPUTED_VALUE"""),4405.71)</f>
        <v>4405.71</v>
      </c>
      <c r="J1423" s="6" t="str">
        <f t="shared" ca="1" si="399"/>
        <v>20238</v>
      </c>
      <c r="K1423" s="6">
        <f t="shared" ca="1" si="400"/>
        <v>2023</v>
      </c>
      <c r="L1423" s="6">
        <f t="shared" ca="1" si="401"/>
        <v>8</v>
      </c>
      <c r="M1423" s="68">
        <f ca="1">IFERROR(__xludf.DUMMYFUNCTION("""COMPUTED_VALUE"""),45155.6666666666)</f>
        <v>45155.666666666599</v>
      </c>
      <c r="N1423" s="6">
        <f ca="1">IFERROR(__xludf.DUMMYFUNCTION("""COMPUTED_VALUE"""),13316.93)</f>
        <v>13316.93</v>
      </c>
      <c r="R1423" s="6" t="str">
        <f t="shared" ca="1" si="402"/>
        <v>202310</v>
      </c>
      <c r="S1423" s="6">
        <f t="shared" ca="1" si="403"/>
        <v>2023</v>
      </c>
      <c r="T1423" s="6">
        <f t="shared" ca="1" si="404"/>
        <v>10</v>
      </c>
      <c r="U1423" s="68">
        <f ca="1">IFERROR(__xludf.DUMMYFUNCTION("""COMPUTED_VALUE"""),45215.6458333333)</f>
        <v>45215.645833333299</v>
      </c>
      <c r="V1423" s="6">
        <f ca="1">IFERROR(__xludf.DUMMYFUNCTION("""COMPUTED_VALUE"""),2436.24)</f>
        <v>2436.2399999999998</v>
      </c>
      <c r="Z1423" s="6" t="str">
        <f t="shared" ca="1" si="405"/>
        <v>20221</v>
      </c>
      <c r="AA1423" s="6">
        <f t="shared" ca="1" si="406"/>
        <v>2022</v>
      </c>
      <c r="AB1423" s="6">
        <f t="shared" ca="1" si="407"/>
        <v>1</v>
      </c>
      <c r="AC1423" s="68">
        <f ca="1">IFERROR(__xludf.DUMMYFUNCTION("""COMPUTED_VALUE"""),44572.9986111111)</f>
        <v>44572.998611111099</v>
      </c>
      <c r="AD1423" s="6">
        <f ca="1">IFERROR(__xludf.DUMMYFUNCTION("""COMPUTED_VALUE"""),1189.43)</f>
        <v>1189.43</v>
      </c>
      <c r="AH1423" s="6" t="str">
        <f t="shared" ca="1" si="408"/>
        <v>202111</v>
      </c>
      <c r="AI1423" s="6">
        <f t="shared" ca="1" si="409"/>
        <v>2021</v>
      </c>
      <c r="AJ1423" s="6">
        <f t="shared" ca="1" si="410"/>
        <v>11</v>
      </c>
      <c r="AK1423" s="68">
        <f ca="1">IFERROR(__xludf.DUMMYFUNCTION("""COMPUTED_VALUE"""),44516.9986111111)</f>
        <v>44516.998611111099</v>
      </c>
      <c r="AL1423" s="6">
        <f ca="1">IFERROR(__xludf.DUMMYFUNCTION("""COMPUTED_VALUE"""),60137.48)</f>
        <v>60137.48</v>
      </c>
      <c r="AP1423" s="6" t="str">
        <f t="shared" ca="1" si="411"/>
        <v>20239</v>
      </c>
      <c r="AQ1423" s="6">
        <f t="shared" ca="1" si="412"/>
        <v>2023</v>
      </c>
      <c r="AR1423" s="6">
        <f t="shared" ca="1" si="413"/>
        <v>9</v>
      </c>
      <c r="AS1423" s="68">
        <f ca="1">IFERROR(__xludf.DUMMYFUNCTION("""COMPUTED_VALUE"""),45170.9986111111)</f>
        <v>45170.998611111099</v>
      </c>
      <c r="AT1423" s="6">
        <f ca="1">IFERROR(__xludf.DUMMYFUNCTION("""COMPUTED_VALUE"""),1967.1)</f>
        <v>1967.1</v>
      </c>
    </row>
    <row r="1424" spans="2:46" x14ac:dyDescent="0.35">
      <c r="B1424" s="6" t="str">
        <f t="shared" ca="1" si="396"/>
        <v>20238</v>
      </c>
      <c r="C1424" s="6">
        <f t="shared" ca="1" si="397"/>
        <v>2023</v>
      </c>
      <c r="D1424" s="6">
        <f t="shared" ca="1" si="398"/>
        <v>8</v>
      </c>
      <c r="E1424" s="68">
        <f ca="1">IFERROR(__xludf.DUMMYFUNCTION("""COMPUTED_VALUE"""),45166.6666666666)</f>
        <v>45166.666666666599</v>
      </c>
      <c r="F1424" s="6">
        <f ca="1">IFERROR(__xludf.DUMMYFUNCTION("""COMPUTED_VALUE"""),4433.31)</f>
        <v>4433.3100000000004</v>
      </c>
      <c r="J1424" s="6" t="str">
        <f t="shared" ca="1" si="399"/>
        <v>20238</v>
      </c>
      <c r="K1424" s="6">
        <f t="shared" ca="1" si="400"/>
        <v>2023</v>
      </c>
      <c r="L1424" s="6">
        <f t="shared" ca="1" si="401"/>
        <v>8</v>
      </c>
      <c r="M1424" s="68">
        <f ca="1">IFERROR(__xludf.DUMMYFUNCTION("""COMPUTED_VALUE"""),45156.6666666666)</f>
        <v>45156.666666666599</v>
      </c>
      <c r="N1424" s="6">
        <f ca="1">IFERROR(__xludf.DUMMYFUNCTION("""COMPUTED_VALUE"""),13290.78)</f>
        <v>13290.78</v>
      </c>
      <c r="R1424" s="6" t="str">
        <f t="shared" ca="1" si="402"/>
        <v>202310</v>
      </c>
      <c r="S1424" s="6">
        <f t="shared" ca="1" si="403"/>
        <v>2023</v>
      </c>
      <c r="T1424" s="6">
        <f t="shared" ca="1" si="404"/>
        <v>10</v>
      </c>
      <c r="U1424" s="68">
        <f ca="1">IFERROR(__xludf.DUMMYFUNCTION("""COMPUTED_VALUE"""),45216.6458333333)</f>
        <v>45216.645833333299</v>
      </c>
      <c r="V1424" s="6">
        <f ca="1">IFERROR(__xludf.DUMMYFUNCTION("""COMPUTED_VALUE"""),2460.17)</f>
        <v>2460.17</v>
      </c>
      <c r="Z1424" s="6" t="str">
        <f t="shared" ca="1" si="405"/>
        <v>20221</v>
      </c>
      <c r="AA1424" s="6">
        <f t="shared" ca="1" si="406"/>
        <v>2022</v>
      </c>
      <c r="AB1424" s="6">
        <f t="shared" ca="1" si="407"/>
        <v>1</v>
      </c>
      <c r="AC1424" s="68">
        <f ca="1">IFERROR(__xludf.DUMMYFUNCTION("""COMPUTED_VALUE"""),44573.9986111111)</f>
        <v>44573.998611111099</v>
      </c>
      <c r="AD1424" s="6">
        <f ca="1">IFERROR(__xludf.DUMMYFUNCTION("""COMPUTED_VALUE"""),1185.88)</f>
        <v>1185.8800000000001</v>
      </c>
      <c r="AH1424" s="6" t="str">
        <f t="shared" ca="1" si="408"/>
        <v>202111</v>
      </c>
      <c r="AI1424" s="6">
        <f t="shared" ca="1" si="409"/>
        <v>2021</v>
      </c>
      <c r="AJ1424" s="6">
        <f t="shared" ca="1" si="410"/>
        <v>11</v>
      </c>
      <c r="AK1424" s="68">
        <f ca="1">IFERROR(__xludf.DUMMYFUNCTION("""COMPUTED_VALUE"""),44517.9986111111)</f>
        <v>44517.998611111099</v>
      </c>
      <c r="AL1424" s="6">
        <f ca="1">IFERROR(__xludf.DUMMYFUNCTION("""COMPUTED_VALUE"""),60369.67)</f>
        <v>60369.67</v>
      </c>
      <c r="AP1424" s="6" t="str">
        <f t="shared" ca="1" si="411"/>
        <v>20239</v>
      </c>
      <c r="AQ1424" s="6">
        <f t="shared" ca="1" si="412"/>
        <v>2023</v>
      </c>
      <c r="AR1424" s="6">
        <f t="shared" ca="1" si="413"/>
        <v>9</v>
      </c>
      <c r="AS1424" s="68">
        <f ca="1">IFERROR(__xludf.DUMMYFUNCTION("""COMPUTED_VALUE"""),45174.9986111111)</f>
        <v>45174.998611111099</v>
      </c>
      <c r="AT1424" s="6">
        <f ca="1">IFERROR(__xludf.DUMMYFUNCTION("""COMPUTED_VALUE"""),1952.6)</f>
        <v>1952.6</v>
      </c>
    </row>
    <row r="1425" spans="2:46" x14ac:dyDescent="0.35">
      <c r="B1425" s="6" t="str">
        <f t="shared" ca="1" si="396"/>
        <v>20238</v>
      </c>
      <c r="C1425" s="6">
        <f t="shared" ca="1" si="397"/>
        <v>2023</v>
      </c>
      <c r="D1425" s="6">
        <f t="shared" ca="1" si="398"/>
        <v>8</v>
      </c>
      <c r="E1425" s="68">
        <f ca="1">IFERROR(__xludf.DUMMYFUNCTION("""COMPUTED_VALUE"""),45167.6666666666)</f>
        <v>45167.666666666599</v>
      </c>
      <c r="F1425" s="6">
        <f ca="1">IFERROR(__xludf.DUMMYFUNCTION("""COMPUTED_VALUE"""),4497.63)</f>
        <v>4497.63</v>
      </c>
      <c r="J1425" s="6" t="str">
        <f t="shared" ca="1" si="399"/>
        <v>20238</v>
      </c>
      <c r="K1425" s="6">
        <f t="shared" ca="1" si="400"/>
        <v>2023</v>
      </c>
      <c r="L1425" s="6">
        <f t="shared" ca="1" si="401"/>
        <v>8</v>
      </c>
      <c r="M1425" s="68">
        <f ca="1">IFERROR(__xludf.DUMMYFUNCTION("""COMPUTED_VALUE"""),45159.6666666666)</f>
        <v>45159.666666666599</v>
      </c>
      <c r="N1425" s="6">
        <f ca="1">IFERROR(__xludf.DUMMYFUNCTION("""COMPUTED_VALUE"""),13497.59)</f>
        <v>13497.59</v>
      </c>
      <c r="R1425" s="6" t="str">
        <f t="shared" ca="1" si="402"/>
        <v>202310</v>
      </c>
      <c r="S1425" s="6">
        <f t="shared" ca="1" si="403"/>
        <v>2023</v>
      </c>
      <c r="T1425" s="6">
        <f t="shared" ca="1" si="404"/>
        <v>10</v>
      </c>
      <c r="U1425" s="68">
        <f ca="1">IFERROR(__xludf.DUMMYFUNCTION("""COMPUTED_VALUE"""),45217.6458333333)</f>
        <v>45217.645833333299</v>
      </c>
      <c r="V1425" s="6">
        <f ca="1">IFERROR(__xludf.DUMMYFUNCTION("""COMPUTED_VALUE"""),2462.6)</f>
        <v>2462.6</v>
      </c>
      <c r="Z1425" s="6" t="str">
        <f t="shared" ca="1" si="405"/>
        <v>20221</v>
      </c>
      <c r="AA1425" s="6">
        <f t="shared" ca="1" si="406"/>
        <v>2022</v>
      </c>
      <c r="AB1425" s="6">
        <f t="shared" ca="1" si="407"/>
        <v>1</v>
      </c>
      <c r="AC1425" s="68">
        <f ca="1">IFERROR(__xludf.DUMMYFUNCTION("""COMPUTED_VALUE"""),44574.9986111111)</f>
        <v>44574.998611111099</v>
      </c>
      <c r="AD1425" s="6">
        <f ca="1">IFERROR(__xludf.DUMMYFUNCTION("""COMPUTED_VALUE"""),1186.61)</f>
        <v>1186.6099999999999</v>
      </c>
      <c r="AH1425" s="6" t="str">
        <f t="shared" ca="1" si="408"/>
        <v>202111</v>
      </c>
      <c r="AI1425" s="6">
        <f t="shared" ca="1" si="409"/>
        <v>2021</v>
      </c>
      <c r="AJ1425" s="6">
        <f t="shared" ca="1" si="410"/>
        <v>11</v>
      </c>
      <c r="AK1425" s="68">
        <f ca="1">IFERROR(__xludf.DUMMYFUNCTION("""COMPUTED_VALUE"""),44518.9986111111)</f>
        <v>44518.998611111099</v>
      </c>
      <c r="AL1425" s="6">
        <f ca="1">IFERROR(__xludf.DUMMYFUNCTION("""COMPUTED_VALUE"""),56908.25)</f>
        <v>56908.25</v>
      </c>
      <c r="AP1425" s="6" t="str">
        <f t="shared" ca="1" si="411"/>
        <v>20239</v>
      </c>
      <c r="AQ1425" s="6">
        <f t="shared" ca="1" si="412"/>
        <v>2023</v>
      </c>
      <c r="AR1425" s="6">
        <f t="shared" ca="1" si="413"/>
        <v>9</v>
      </c>
      <c r="AS1425" s="68">
        <f ca="1">IFERROR(__xludf.DUMMYFUNCTION("""COMPUTED_VALUE"""),45175.9986111111)</f>
        <v>45175.998611111099</v>
      </c>
      <c r="AT1425" s="6">
        <f ca="1">IFERROR(__xludf.DUMMYFUNCTION("""COMPUTED_VALUE"""),1944.2)</f>
        <v>1944.2</v>
      </c>
    </row>
    <row r="1426" spans="2:46" x14ac:dyDescent="0.35">
      <c r="B1426" s="6" t="str">
        <f t="shared" ca="1" si="396"/>
        <v>20238</v>
      </c>
      <c r="C1426" s="6">
        <f t="shared" ca="1" si="397"/>
        <v>2023</v>
      </c>
      <c r="D1426" s="6">
        <f t="shared" ca="1" si="398"/>
        <v>8</v>
      </c>
      <c r="E1426" s="68">
        <f ca="1">IFERROR(__xludf.DUMMYFUNCTION("""COMPUTED_VALUE"""),45168.6666666666)</f>
        <v>45168.666666666599</v>
      </c>
      <c r="F1426" s="6">
        <f ca="1">IFERROR(__xludf.DUMMYFUNCTION("""COMPUTED_VALUE"""),4514.87)</f>
        <v>4514.87</v>
      </c>
      <c r="J1426" s="6" t="str">
        <f t="shared" ca="1" si="399"/>
        <v>20238</v>
      </c>
      <c r="K1426" s="6">
        <f t="shared" ca="1" si="400"/>
        <v>2023</v>
      </c>
      <c r="L1426" s="6">
        <f t="shared" ca="1" si="401"/>
        <v>8</v>
      </c>
      <c r="M1426" s="68">
        <f ca="1">IFERROR(__xludf.DUMMYFUNCTION("""COMPUTED_VALUE"""),45160.6666666666)</f>
        <v>45160.666666666599</v>
      </c>
      <c r="N1426" s="6">
        <f ca="1">IFERROR(__xludf.DUMMYFUNCTION("""COMPUTED_VALUE"""),13505.87)</f>
        <v>13505.87</v>
      </c>
      <c r="R1426" s="6" t="str">
        <f t="shared" ca="1" si="402"/>
        <v>202310</v>
      </c>
      <c r="S1426" s="6">
        <f t="shared" ca="1" si="403"/>
        <v>2023</v>
      </c>
      <c r="T1426" s="6">
        <f t="shared" ca="1" si="404"/>
        <v>10</v>
      </c>
      <c r="U1426" s="68">
        <f ca="1">IFERROR(__xludf.DUMMYFUNCTION("""COMPUTED_VALUE"""),45218.6458333333)</f>
        <v>45218.645833333299</v>
      </c>
      <c r="V1426" s="6">
        <f ca="1">IFERROR(__xludf.DUMMYFUNCTION("""COMPUTED_VALUE"""),2415.8)</f>
        <v>2415.8000000000002</v>
      </c>
      <c r="Z1426" s="6" t="str">
        <f t="shared" ca="1" si="405"/>
        <v>20221</v>
      </c>
      <c r="AA1426" s="6">
        <f t="shared" ca="1" si="406"/>
        <v>2022</v>
      </c>
      <c r="AB1426" s="6">
        <f t="shared" ca="1" si="407"/>
        <v>1</v>
      </c>
      <c r="AC1426" s="68">
        <f ca="1">IFERROR(__xludf.DUMMYFUNCTION("""COMPUTED_VALUE"""),44575.9986111111)</f>
        <v>44575.998611111099</v>
      </c>
      <c r="AD1426" s="6">
        <f ca="1">IFERROR(__xludf.DUMMYFUNCTION("""COMPUTED_VALUE"""),1188.96)</f>
        <v>1188.96</v>
      </c>
      <c r="AH1426" s="6" t="str">
        <f t="shared" ca="1" si="408"/>
        <v>202111</v>
      </c>
      <c r="AI1426" s="6">
        <f t="shared" ca="1" si="409"/>
        <v>2021</v>
      </c>
      <c r="AJ1426" s="6">
        <f t="shared" ca="1" si="410"/>
        <v>11</v>
      </c>
      <c r="AK1426" s="68">
        <f ca="1">IFERROR(__xludf.DUMMYFUNCTION("""COMPUTED_VALUE"""),44519.9986111111)</f>
        <v>44519.998611111099</v>
      </c>
      <c r="AL1426" s="6">
        <f ca="1">IFERROR(__xludf.DUMMYFUNCTION("""COMPUTED_VALUE"""),58125.86)</f>
        <v>58125.86</v>
      </c>
      <c r="AP1426" s="6" t="str">
        <f t="shared" ca="1" si="411"/>
        <v>20239</v>
      </c>
      <c r="AQ1426" s="6">
        <f t="shared" ca="1" si="412"/>
        <v>2023</v>
      </c>
      <c r="AR1426" s="6">
        <f t="shared" ca="1" si="413"/>
        <v>9</v>
      </c>
      <c r="AS1426" s="68">
        <f ca="1">IFERROR(__xludf.DUMMYFUNCTION("""COMPUTED_VALUE"""),45176.9986111111)</f>
        <v>45176.998611111099</v>
      </c>
      <c r="AT1426" s="6">
        <f ca="1">IFERROR(__xludf.DUMMYFUNCTION("""COMPUTED_VALUE"""),1942.5)</f>
        <v>1942.5</v>
      </c>
    </row>
    <row r="1427" spans="2:46" x14ac:dyDescent="0.35">
      <c r="B1427" s="6" t="str">
        <f t="shared" ca="1" si="396"/>
        <v>20238</v>
      </c>
      <c r="C1427" s="6">
        <f t="shared" ca="1" si="397"/>
        <v>2023</v>
      </c>
      <c r="D1427" s="6">
        <f t="shared" ca="1" si="398"/>
        <v>8</v>
      </c>
      <c r="E1427" s="68">
        <f ca="1">IFERROR(__xludf.DUMMYFUNCTION("""COMPUTED_VALUE"""),45169.6666666666)</f>
        <v>45169.666666666599</v>
      </c>
      <c r="F1427" s="6">
        <f ca="1">IFERROR(__xludf.DUMMYFUNCTION("""COMPUTED_VALUE"""),4507.66)</f>
        <v>4507.66</v>
      </c>
      <c r="J1427" s="6" t="str">
        <f t="shared" ca="1" si="399"/>
        <v>20238</v>
      </c>
      <c r="K1427" s="6">
        <f t="shared" ca="1" si="400"/>
        <v>2023</v>
      </c>
      <c r="L1427" s="6">
        <f t="shared" ca="1" si="401"/>
        <v>8</v>
      </c>
      <c r="M1427" s="68">
        <f ca="1">IFERROR(__xludf.DUMMYFUNCTION("""COMPUTED_VALUE"""),45161.6666666666)</f>
        <v>45161.666666666599</v>
      </c>
      <c r="N1427" s="6">
        <f ca="1">IFERROR(__xludf.DUMMYFUNCTION("""COMPUTED_VALUE"""),13721.03)</f>
        <v>13721.03</v>
      </c>
      <c r="R1427" s="6" t="str">
        <f t="shared" ca="1" si="402"/>
        <v>202310</v>
      </c>
      <c r="S1427" s="6">
        <f t="shared" ca="1" si="403"/>
        <v>2023</v>
      </c>
      <c r="T1427" s="6">
        <f t="shared" ca="1" si="404"/>
        <v>10</v>
      </c>
      <c r="U1427" s="68">
        <f ca="1">IFERROR(__xludf.DUMMYFUNCTION("""COMPUTED_VALUE"""),45219.6458333333)</f>
        <v>45219.645833333299</v>
      </c>
      <c r="V1427" s="6">
        <f ca="1">IFERROR(__xludf.DUMMYFUNCTION("""COMPUTED_VALUE"""),2375)</f>
        <v>2375</v>
      </c>
      <c r="Z1427" s="6" t="str">
        <f t="shared" ca="1" si="405"/>
        <v>20221</v>
      </c>
      <c r="AA1427" s="6">
        <f t="shared" ca="1" si="406"/>
        <v>2022</v>
      </c>
      <c r="AB1427" s="6">
        <f t="shared" ca="1" si="407"/>
        <v>1</v>
      </c>
      <c r="AC1427" s="68">
        <f ca="1">IFERROR(__xludf.DUMMYFUNCTION("""COMPUTED_VALUE"""),44576.9986111111)</f>
        <v>44576.998611111099</v>
      </c>
      <c r="AD1427" s="6">
        <f ca="1">IFERROR(__xludf.DUMMYFUNCTION("""COMPUTED_VALUE"""),1188.96)</f>
        <v>1188.96</v>
      </c>
      <c r="AH1427" s="6" t="str">
        <f t="shared" ca="1" si="408"/>
        <v>202111</v>
      </c>
      <c r="AI1427" s="6">
        <f t="shared" ca="1" si="409"/>
        <v>2021</v>
      </c>
      <c r="AJ1427" s="6">
        <f t="shared" ca="1" si="410"/>
        <v>11</v>
      </c>
      <c r="AK1427" s="68">
        <f ca="1">IFERROR(__xludf.DUMMYFUNCTION("""COMPUTED_VALUE"""),44520.9986111111)</f>
        <v>44520.998611111099</v>
      </c>
      <c r="AL1427" s="6">
        <f ca="1">IFERROR(__xludf.DUMMYFUNCTION("""COMPUTED_VALUE"""),59747.74)</f>
        <v>59747.74</v>
      </c>
      <c r="AP1427" s="6" t="str">
        <f t="shared" ca="1" si="411"/>
        <v>20239</v>
      </c>
      <c r="AQ1427" s="6">
        <f t="shared" ca="1" si="412"/>
        <v>2023</v>
      </c>
      <c r="AR1427" s="6">
        <f t="shared" ca="1" si="413"/>
        <v>9</v>
      </c>
      <c r="AS1427" s="68">
        <f ca="1">IFERROR(__xludf.DUMMYFUNCTION("""COMPUTED_VALUE"""),45177.9986111111)</f>
        <v>45177.998611111099</v>
      </c>
      <c r="AT1427" s="6">
        <f ca="1">IFERROR(__xludf.DUMMYFUNCTION("""COMPUTED_VALUE"""),1942.7)</f>
        <v>1942.7</v>
      </c>
    </row>
    <row r="1428" spans="2:46" x14ac:dyDescent="0.35">
      <c r="B1428" s="6" t="str">
        <f t="shared" ca="1" si="396"/>
        <v>20239</v>
      </c>
      <c r="C1428" s="6">
        <f t="shared" ca="1" si="397"/>
        <v>2023</v>
      </c>
      <c r="D1428" s="6">
        <f t="shared" ca="1" si="398"/>
        <v>9</v>
      </c>
      <c r="E1428" s="68">
        <f ca="1">IFERROR(__xludf.DUMMYFUNCTION("""COMPUTED_VALUE"""),45170.6666666666)</f>
        <v>45170.666666666599</v>
      </c>
      <c r="F1428" s="6">
        <f ca="1">IFERROR(__xludf.DUMMYFUNCTION("""COMPUTED_VALUE"""),4515.77)</f>
        <v>4515.7700000000004</v>
      </c>
      <c r="J1428" s="6" t="str">
        <f t="shared" ca="1" si="399"/>
        <v>20238</v>
      </c>
      <c r="K1428" s="6">
        <f t="shared" ca="1" si="400"/>
        <v>2023</v>
      </c>
      <c r="L1428" s="6">
        <f t="shared" ca="1" si="401"/>
        <v>8</v>
      </c>
      <c r="M1428" s="68">
        <f ca="1">IFERROR(__xludf.DUMMYFUNCTION("""COMPUTED_VALUE"""),45162.6666666666)</f>
        <v>45162.666666666599</v>
      </c>
      <c r="N1428" s="6">
        <f ca="1">IFERROR(__xludf.DUMMYFUNCTION("""COMPUTED_VALUE"""),13463.97)</f>
        <v>13463.97</v>
      </c>
      <c r="R1428" s="6" t="str">
        <f t="shared" ca="1" si="402"/>
        <v>202310</v>
      </c>
      <c r="S1428" s="6">
        <f t="shared" ca="1" si="403"/>
        <v>2023</v>
      </c>
      <c r="T1428" s="6">
        <f t="shared" ca="1" si="404"/>
        <v>10</v>
      </c>
      <c r="U1428" s="68">
        <f ca="1">IFERROR(__xludf.DUMMYFUNCTION("""COMPUTED_VALUE"""),45222.6458333333)</f>
        <v>45222.645833333299</v>
      </c>
      <c r="V1428" s="6">
        <f ca="1">IFERROR(__xludf.DUMMYFUNCTION("""COMPUTED_VALUE"""),2357.02)</f>
        <v>2357.02</v>
      </c>
      <c r="Z1428" s="6" t="str">
        <f t="shared" ca="1" si="405"/>
        <v>20221</v>
      </c>
      <c r="AA1428" s="6">
        <f t="shared" ca="1" si="406"/>
        <v>2022</v>
      </c>
      <c r="AB1428" s="6">
        <f t="shared" ca="1" si="407"/>
        <v>1</v>
      </c>
      <c r="AC1428" s="68">
        <f ca="1">IFERROR(__xludf.DUMMYFUNCTION("""COMPUTED_VALUE"""),44577.9986111111)</f>
        <v>44577.998611111099</v>
      </c>
      <c r="AD1428" s="6">
        <f ca="1">IFERROR(__xludf.DUMMYFUNCTION("""COMPUTED_VALUE"""),1188.96)</f>
        <v>1188.96</v>
      </c>
      <c r="AH1428" s="6" t="str">
        <f t="shared" ca="1" si="408"/>
        <v>202111</v>
      </c>
      <c r="AI1428" s="6">
        <f t="shared" ca="1" si="409"/>
        <v>2021</v>
      </c>
      <c r="AJ1428" s="6">
        <f t="shared" ca="1" si="410"/>
        <v>11</v>
      </c>
      <c r="AK1428" s="68">
        <f ca="1">IFERROR(__xludf.DUMMYFUNCTION("""COMPUTED_VALUE"""),44521.9986111111)</f>
        <v>44521.998611111099</v>
      </c>
      <c r="AL1428" s="6">
        <f ca="1">IFERROR(__xludf.DUMMYFUNCTION("""COMPUTED_VALUE"""),58770.96)</f>
        <v>58770.96</v>
      </c>
      <c r="AP1428" s="6" t="str">
        <f t="shared" ca="1" si="411"/>
        <v>20239</v>
      </c>
      <c r="AQ1428" s="6">
        <f t="shared" ca="1" si="412"/>
        <v>2023</v>
      </c>
      <c r="AR1428" s="6">
        <f t="shared" ca="1" si="413"/>
        <v>9</v>
      </c>
      <c r="AS1428" s="68">
        <f ca="1">IFERROR(__xludf.DUMMYFUNCTION("""COMPUTED_VALUE"""),45180.9986111111)</f>
        <v>45180.998611111099</v>
      </c>
      <c r="AT1428" s="6">
        <f ca="1">IFERROR(__xludf.DUMMYFUNCTION("""COMPUTED_VALUE"""),1947.2)</f>
        <v>1947.2</v>
      </c>
    </row>
    <row r="1429" spans="2:46" x14ac:dyDescent="0.35">
      <c r="B1429" s="6" t="str">
        <f t="shared" ca="1" si="396"/>
        <v>20239</v>
      </c>
      <c r="C1429" s="6">
        <f t="shared" ca="1" si="397"/>
        <v>2023</v>
      </c>
      <c r="D1429" s="6">
        <f t="shared" ca="1" si="398"/>
        <v>9</v>
      </c>
      <c r="E1429" s="68">
        <f ca="1">IFERROR(__xludf.DUMMYFUNCTION("""COMPUTED_VALUE"""),45174.6666666666)</f>
        <v>45174.666666666599</v>
      </c>
      <c r="F1429" s="6">
        <f ca="1">IFERROR(__xludf.DUMMYFUNCTION("""COMPUTED_VALUE"""),4496.83)</f>
        <v>4496.83</v>
      </c>
      <c r="J1429" s="6" t="str">
        <f t="shared" ca="1" si="399"/>
        <v>20238</v>
      </c>
      <c r="K1429" s="6">
        <f t="shared" ca="1" si="400"/>
        <v>2023</v>
      </c>
      <c r="L1429" s="6">
        <f t="shared" ca="1" si="401"/>
        <v>8</v>
      </c>
      <c r="M1429" s="68">
        <f ca="1">IFERROR(__xludf.DUMMYFUNCTION("""COMPUTED_VALUE"""),45163.6666666666)</f>
        <v>45163.666666666599</v>
      </c>
      <c r="N1429" s="6">
        <f ca="1">IFERROR(__xludf.DUMMYFUNCTION("""COMPUTED_VALUE"""),13590.65)</f>
        <v>13590.65</v>
      </c>
      <c r="R1429" s="6" t="str">
        <f t="shared" ca="1" si="402"/>
        <v>202310</v>
      </c>
      <c r="S1429" s="6">
        <f t="shared" ca="1" si="403"/>
        <v>2023</v>
      </c>
      <c r="T1429" s="6">
        <f t="shared" ca="1" si="404"/>
        <v>10</v>
      </c>
      <c r="U1429" s="68">
        <f ca="1">IFERROR(__xludf.DUMMYFUNCTION("""COMPUTED_VALUE"""),45223.6458333333)</f>
        <v>45223.645833333299</v>
      </c>
      <c r="V1429" s="6">
        <f ca="1">IFERROR(__xludf.DUMMYFUNCTION("""COMPUTED_VALUE"""),2383.51)</f>
        <v>2383.5100000000002</v>
      </c>
      <c r="Z1429" s="6" t="str">
        <f t="shared" ca="1" si="405"/>
        <v>20221</v>
      </c>
      <c r="AA1429" s="6">
        <f t="shared" ca="1" si="406"/>
        <v>2022</v>
      </c>
      <c r="AB1429" s="6">
        <f t="shared" ca="1" si="407"/>
        <v>1</v>
      </c>
      <c r="AC1429" s="68">
        <f ca="1">IFERROR(__xludf.DUMMYFUNCTION("""COMPUTED_VALUE"""),44578.9986111111)</f>
        <v>44578.998611111099</v>
      </c>
      <c r="AD1429" s="6">
        <f ca="1">IFERROR(__xludf.DUMMYFUNCTION("""COMPUTED_VALUE"""),1190.06)</f>
        <v>1190.06</v>
      </c>
      <c r="AH1429" s="6" t="str">
        <f t="shared" ca="1" si="408"/>
        <v>202111</v>
      </c>
      <c r="AI1429" s="6">
        <f t="shared" ca="1" si="409"/>
        <v>2021</v>
      </c>
      <c r="AJ1429" s="6">
        <f t="shared" ca="1" si="410"/>
        <v>11</v>
      </c>
      <c r="AK1429" s="68">
        <f ca="1">IFERROR(__xludf.DUMMYFUNCTION("""COMPUTED_VALUE"""),44522.9986111111)</f>
        <v>44522.998611111099</v>
      </c>
      <c r="AL1429" s="6">
        <f ca="1">IFERROR(__xludf.DUMMYFUNCTION("""COMPUTED_VALUE"""),56293.69)</f>
        <v>56293.69</v>
      </c>
      <c r="AP1429" s="6" t="str">
        <f t="shared" ca="1" si="411"/>
        <v>20239</v>
      </c>
      <c r="AQ1429" s="6">
        <f t="shared" ca="1" si="412"/>
        <v>2023</v>
      </c>
      <c r="AR1429" s="6">
        <f t="shared" ca="1" si="413"/>
        <v>9</v>
      </c>
      <c r="AS1429" s="68">
        <f ca="1">IFERROR(__xludf.DUMMYFUNCTION("""COMPUTED_VALUE"""),45181.9986111111)</f>
        <v>45181.998611111099</v>
      </c>
      <c r="AT1429" s="6">
        <f ca="1">IFERROR(__xludf.DUMMYFUNCTION("""COMPUTED_VALUE"""),1935.1)</f>
        <v>1935.1</v>
      </c>
    </row>
    <row r="1430" spans="2:46" x14ac:dyDescent="0.35">
      <c r="B1430" s="6" t="str">
        <f t="shared" ca="1" si="396"/>
        <v>20239</v>
      </c>
      <c r="C1430" s="6">
        <f t="shared" ca="1" si="397"/>
        <v>2023</v>
      </c>
      <c r="D1430" s="6">
        <f t="shared" ca="1" si="398"/>
        <v>9</v>
      </c>
      <c r="E1430" s="68">
        <f ca="1">IFERROR(__xludf.DUMMYFUNCTION("""COMPUTED_VALUE"""),45175.6666666666)</f>
        <v>45175.666666666599</v>
      </c>
      <c r="F1430" s="6">
        <f ca="1">IFERROR(__xludf.DUMMYFUNCTION("""COMPUTED_VALUE"""),4465.48)</f>
        <v>4465.4799999999996</v>
      </c>
      <c r="J1430" s="6" t="str">
        <f t="shared" ca="1" si="399"/>
        <v>20238</v>
      </c>
      <c r="K1430" s="6">
        <f t="shared" ca="1" si="400"/>
        <v>2023</v>
      </c>
      <c r="L1430" s="6">
        <f t="shared" ca="1" si="401"/>
        <v>8</v>
      </c>
      <c r="M1430" s="68">
        <f ca="1">IFERROR(__xludf.DUMMYFUNCTION("""COMPUTED_VALUE"""),45166.6666666666)</f>
        <v>45166.666666666599</v>
      </c>
      <c r="N1430" s="6">
        <f ca="1">IFERROR(__xludf.DUMMYFUNCTION("""COMPUTED_VALUE"""),13705.13)</f>
        <v>13705.13</v>
      </c>
      <c r="R1430" s="6" t="str">
        <f t="shared" ca="1" si="402"/>
        <v>202310</v>
      </c>
      <c r="S1430" s="6">
        <f t="shared" ca="1" si="403"/>
        <v>2023</v>
      </c>
      <c r="T1430" s="6">
        <f t="shared" ca="1" si="404"/>
        <v>10</v>
      </c>
      <c r="U1430" s="68">
        <f ca="1">IFERROR(__xludf.DUMMYFUNCTION("""COMPUTED_VALUE"""),45224.6458333333)</f>
        <v>45224.645833333299</v>
      </c>
      <c r="V1430" s="6">
        <f ca="1">IFERROR(__xludf.DUMMYFUNCTION("""COMPUTED_VALUE"""),2363.17)</f>
        <v>2363.17</v>
      </c>
      <c r="Z1430" s="6" t="str">
        <f t="shared" ca="1" si="405"/>
        <v>20221</v>
      </c>
      <c r="AA1430" s="6">
        <f t="shared" ca="1" si="406"/>
        <v>2022</v>
      </c>
      <c r="AB1430" s="6">
        <f t="shared" ca="1" si="407"/>
        <v>1</v>
      </c>
      <c r="AC1430" s="68">
        <f ca="1">IFERROR(__xludf.DUMMYFUNCTION("""COMPUTED_VALUE"""),44579.9986111111)</f>
        <v>44579.998611111099</v>
      </c>
      <c r="AD1430" s="6">
        <f ca="1">IFERROR(__xludf.DUMMYFUNCTION("""COMPUTED_VALUE"""),1192.98)</f>
        <v>1192.98</v>
      </c>
      <c r="AH1430" s="6" t="str">
        <f t="shared" ca="1" si="408"/>
        <v>202111</v>
      </c>
      <c r="AI1430" s="6">
        <f t="shared" ca="1" si="409"/>
        <v>2021</v>
      </c>
      <c r="AJ1430" s="6">
        <f t="shared" ca="1" si="410"/>
        <v>11</v>
      </c>
      <c r="AK1430" s="68">
        <f ca="1">IFERROR(__xludf.DUMMYFUNCTION("""COMPUTED_VALUE"""),44523.9986111111)</f>
        <v>44523.998611111099</v>
      </c>
      <c r="AL1430" s="6">
        <f ca="1">IFERROR(__xludf.DUMMYFUNCTION("""COMPUTED_VALUE"""),57576.93)</f>
        <v>57576.93</v>
      </c>
      <c r="AP1430" s="6" t="str">
        <f t="shared" ca="1" si="411"/>
        <v>20239</v>
      </c>
      <c r="AQ1430" s="6">
        <f t="shared" ca="1" si="412"/>
        <v>2023</v>
      </c>
      <c r="AR1430" s="6">
        <f t="shared" ca="1" si="413"/>
        <v>9</v>
      </c>
      <c r="AS1430" s="68">
        <f ca="1">IFERROR(__xludf.DUMMYFUNCTION("""COMPUTED_VALUE"""),45182.9986111111)</f>
        <v>45182.998611111099</v>
      </c>
      <c r="AT1430" s="6">
        <f ca="1">IFERROR(__xludf.DUMMYFUNCTION("""COMPUTED_VALUE"""),1932.5)</f>
        <v>1932.5</v>
      </c>
    </row>
    <row r="1431" spans="2:46" x14ac:dyDescent="0.35">
      <c r="B1431" s="6" t="str">
        <f t="shared" ca="1" si="396"/>
        <v>20239</v>
      </c>
      <c r="C1431" s="6">
        <f t="shared" ca="1" si="397"/>
        <v>2023</v>
      </c>
      <c r="D1431" s="6">
        <f t="shared" ca="1" si="398"/>
        <v>9</v>
      </c>
      <c r="E1431" s="68">
        <f ca="1">IFERROR(__xludf.DUMMYFUNCTION("""COMPUTED_VALUE"""),45176.6666666666)</f>
        <v>45176.666666666599</v>
      </c>
      <c r="F1431" s="6">
        <f ca="1">IFERROR(__xludf.DUMMYFUNCTION("""COMPUTED_VALUE"""),4451.14)</f>
        <v>4451.1400000000003</v>
      </c>
      <c r="J1431" s="6" t="str">
        <f t="shared" ca="1" si="399"/>
        <v>20238</v>
      </c>
      <c r="K1431" s="6">
        <f t="shared" ca="1" si="400"/>
        <v>2023</v>
      </c>
      <c r="L1431" s="6">
        <f t="shared" ca="1" si="401"/>
        <v>8</v>
      </c>
      <c r="M1431" s="68">
        <f ca="1">IFERROR(__xludf.DUMMYFUNCTION("""COMPUTED_VALUE"""),45167.6666666666)</f>
        <v>45167.666666666599</v>
      </c>
      <c r="N1431" s="6">
        <f ca="1">IFERROR(__xludf.DUMMYFUNCTION("""COMPUTED_VALUE"""),13943.76)</f>
        <v>13943.76</v>
      </c>
      <c r="R1431" s="6" t="str">
        <f t="shared" ca="1" si="402"/>
        <v>202310</v>
      </c>
      <c r="S1431" s="6">
        <f t="shared" ca="1" si="403"/>
        <v>2023</v>
      </c>
      <c r="T1431" s="6">
        <f t="shared" ca="1" si="404"/>
        <v>10</v>
      </c>
      <c r="U1431" s="68">
        <f ca="1">IFERROR(__xludf.DUMMYFUNCTION("""COMPUTED_VALUE"""),45225.6458333333)</f>
        <v>45225.645833333299</v>
      </c>
      <c r="V1431" s="6">
        <f ca="1">IFERROR(__xludf.DUMMYFUNCTION("""COMPUTED_VALUE"""),2299.08)</f>
        <v>2299.08</v>
      </c>
      <c r="Z1431" s="6" t="str">
        <f t="shared" ca="1" si="405"/>
        <v>20221</v>
      </c>
      <c r="AA1431" s="6">
        <f t="shared" ca="1" si="406"/>
        <v>2022</v>
      </c>
      <c r="AB1431" s="6">
        <f t="shared" ca="1" si="407"/>
        <v>1</v>
      </c>
      <c r="AC1431" s="68">
        <f ca="1">IFERROR(__xludf.DUMMYFUNCTION("""COMPUTED_VALUE"""),44580.9986111111)</f>
        <v>44580.998611111099</v>
      </c>
      <c r="AD1431" s="6">
        <f ca="1">IFERROR(__xludf.DUMMYFUNCTION("""COMPUTED_VALUE"""),1188.16)</f>
        <v>1188.1600000000001</v>
      </c>
      <c r="AH1431" s="6" t="str">
        <f t="shared" ca="1" si="408"/>
        <v>202111</v>
      </c>
      <c r="AI1431" s="6">
        <f t="shared" ca="1" si="409"/>
        <v>2021</v>
      </c>
      <c r="AJ1431" s="6">
        <f t="shared" ca="1" si="410"/>
        <v>11</v>
      </c>
      <c r="AK1431" s="68">
        <f ca="1">IFERROR(__xludf.DUMMYFUNCTION("""COMPUTED_VALUE"""),44524.9986111111)</f>
        <v>44524.998611111099</v>
      </c>
      <c r="AL1431" s="6">
        <f ca="1">IFERROR(__xludf.DUMMYFUNCTION("""COMPUTED_VALUE"""),57191.11)</f>
        <v>57191.11</v>
      </c>
      <c r="AP1431" s="6" t="str">
        <f t="shared" ca="1" si="411"/>
        <v>20239</v>
      </c>
      <c r="AQ1431" s="6">
        <f t="shared" ca="1" si="412"/>
        <v>2023</v>
      </c>
      <c r="AR1431" s="6">
        <f t="shared" ca="1" si="413"/>
        <v>9</v>
      </c>
      <c r="AS1431" s="68">
        <f ca="1">IFERROR(__xludf.DUMMYFUNCTION("""COMPUTED_VALUE"""),45183.9986111111)</f>
        <v>45183.998611111099</v>
      </c>
      <c r="AT1431" s="6">
        <f ca="1">IFERROR(__xludf.DUMMYFUNCTION("""COMPUTED_VALUE"""),1932.8)</f>
        <v>1932.8</v>
      </c>
    </row>
    <row r="1432" spans="2:46" x14ac:dyDescent="0.35">
      <c r="B1432" s="6" t="str">
        <f t="shared" ca="1" si="396"/>
        <v>20239</v>
      </c>
      <c r="C1432" s="6">
        <f t="shared" ca="1" si="397"/>
        <v>2023</v>
      </c>
      <c r="D1432" s="6">
        <f t="shared" ca="1" si="398"/>
        <v>9</v>
      </c>
      <c r="E1432" s="68">
        <f ca="1">IFERROR(__xludf.DUMMYFUNCTION("""COMPUTED_VALUE"""),45177.6666666666)</f>
        <v>45177.666666666599</v>
      </c>
      <c r="F1432" s="6">
        <f ca="1">IFERROR(__xludf.DUMMYFUNCTION("""COMPUTED_VALUE"""),4457.49)</f>
        <v>4457.49</v>
      </c>
      <c r="J1432" s="6" t="str">
        <f t="shared" ca="1" si="399"/>
        <v>20238</v>
      </c>
      <c r="K1432" s="6">
        <f t="shared" ca="1" si="400"/>
        <v>2023</v>
      </c>
      <c r="L1432" s="6">
        <f t="shared" ca="1" si="401"/>
        <v>8</v>
      </c>
      <c r="M1432" s="68">
        <f ca="1">IFERROR(__xludf.DUMMYFUNCTION("""COMPUTED_VALUE"""),45168.6666666666)</f>
        <v>45168.666666666599</v>
      </c>
      <c r="N1432" s="6">
        <f ca="1">IFERROR(__xludf.DUMMYFUNCTION("""COMPUTED_VALUE"""),14019.31)</f>
        <v>14019.31</v>
      </c>
      <c r="R1432" s="6" t="str">
        <f t="shared" ca="1" si="402"/>
        <v>202310</v>
      </c>
      <c r="S1432" s="6">
        <f t="shared" ca="1" si="403"/>
        <v>2023</v>
      </c>
      <c r="T1432" s="6">
        <f t="shared" ca="1" si="404"/>
        <v>10</v>
      </c>
      <c r="U1432" s="68">
        <f ca="1">IFERROR(__xludf.DUMMYFUNCTION("""COMPUTED_VALUE"""),45226.6458333333)</f>
        <v>45226.645833333299</v>
      </c>
      <c r="V1432" s="6">
        <f ca="1">IFERROR(__xludf.DUMMYFUNCTION("""COMPUTED_VALUE"""),2302.81)</f>
        <v>2302.81</v>
      </c>
      <c r="Z1432" s="6" t="str">
        <f t="shared" ca="1" si="405"/>
        <v>20221</v>
      </c>
      <c r="AA1432" s="6">
        <f t="shared" ca="1" si="406"/>
        <v>2022</v>
      </c>
      <c r="AB1432" s="6">
        <f t="shared" ca="1" si="407"/>
        <v>1</v>
      </c>
      <c r="AC1432" s="68">
        <f ca="1">IFERROR(__xludf.DUMMYFUNCTION("""COMPUTED_VALUE"""),44581.9986111111)</f>
        <v>44581.998611111099</v>
      </c>
      <c r="AD1432" s="6">
        <f ca="1">IFERROR(__xludf.DUMMYFUNCTION("""COMPUTED_VALUE"""),1192.43)</f>
        <v>1192.43</v>
      </c>
      <c r="AH1432" s="6" t="str">
        <f t="shared" ca="1" si="408"/>
        <v>202111</v>
      </c>
      <c r="AI1432" s="6">
        <f t="shared" ca="1" si="409"/>
        <v>2021</v>
      </c>
      <c r="AJ1432" s="6">
        <f t="shared" ca="1" si="410"/>
        <v>11</v>
      </c>
      <c r="AK1432" s="68">
        <f ca="1">IFERROR(__xludf.DUMMYFUNCTION("""COMPUTED_VALUE"""),44525.9986111111)</f>
        <v>44525.998611111099</v>
      </c>
      <c r="AL1432" s="6">
        <f ca="1">IFERROR(__xludf.DUMMYFUNCTION("""COMPUTED_VALUE"""),58957.91)</f>
        <v>58957.91</v>
      </c>
      <c r="AP1432" s="6" t="str">
        <f t="shared" ca="1" si="411"/>
        <v>20239</v>
      </c>
      <c r="AQ1432" s="6">
        <f t="shared" ca="1" si="412"/>
        <v>2023</v>
      </c>
      <c r="AR1432" s="6">
        <f t="shared" ca="1" si="413"/>
        <v>9</v>
      </c>
      <c r="AS1432" s="68">
        <f ca="1">IFERROR(__xludf.DUMMYFUNCTION("""COMPUTED_VALUE"""),45184.9986111111)</f>
        <v>45184.998611111099</v>
      </c>
      <c r="AT1432" s="6">
        <f ca="1">IFERROR(__xludf.DUMMYFUNCTION("""COMPUTED_VALUE"""),1946.2)</f>
        <v>1946.2</v>
      </c>
    </row>
    <row r="1433" spans="2:46" x14ac:dyDescent="0.35">
      <c r="B1433" s="6" t="str">
        <f t="shared" ca="1" si="396"/>
        <v>20239</v>
      </c>
      <c r="C1433" s="6">
        <f t="shared" ca="1" si="397"/>
        <v>2023</v>
      </c>
      <c r="D1433" s="6">
        <f t="shared" ca="1" si="398"/>
        <v>9</v>
      </c>
      <c r="E1433" s="68">
        <f ca="1">IFERROR(__xludf.DUMMYFUNCTION("""COMPUTED_VALUE"""),45180.6666666666)</f>
        <v>45180.666666666599</v>
      </c>
      <c r="F1433" s="6">
        <f ca="1">IFERROR(__xludf.DUMMYFUNCTION("""COMPUTED_VALUE"""),4487.46)</f>
        <v>4487.46</v>
      </c>
      <c r="J1433" s="6" t="str">
        <f t="shared" ca="1" si="399"/>
        <v>20238</v>
      </c>
      <c r="K1433" s="6">
        <f t="shared" ca="1" si="400"/>
        <v>2023</v>
      </c>
      <c r="L1433" s="6">
        <f t="shared" ca="1" si="401"/>
        <v>8</v>
      </c>
      <c r="M1433" s="68">
        <f ca="1">IFERROR(__xludf.DUMMYFUNCTION("""COMPUTED_VALUE"""),45169.6666666666)</f>
        <v>45169.666666666599</v>
      </c>
      <c r="N1433" s="6">
        <f ca="1">IFERROR(__xludf.DUMMYFUNCTION("""COMPUTED_VALUE"""),14034.97)</f>
        <v>14034.97</v>
      </c>
      <c r="R1433" s="6" t="str">
        <f t="shared" ca="1" si="402"/>
        <v>202310</v>
      </c>
      <c r="S1433" s="6">
        <f t="shared" ca="1" si="403"/>
        <v>2023</v>
      </c>
      <c r="T1433" s="6">
        <f t="shared" ca="1" si="404"/>
        <v>10</v>
      </c>
      <c r="U1433" s="68">
        <f ca="1">IFERROR(__xludf.DUMMYFUNCTION("""COMPUTED_VALUE"""),45229.6458333333)</f>
        <v>45229.645833333299</v>
      </c>
      <c r="V1433" s="6">
        <f ca="1">IFERROR(__xludf.DUMMYFUNCTION("""COMPUTED_VALUE"""),2310.55)</f>
        <v>2310.5500000000002</v>
      </c>
      <c r="Z1433" s="6" t="str">
        <f t="shared" ca="1" si="405"/>
        <v>20221</v>
      </c>
      <c r="AA1433" s="6">
        <f t="shared" ca="1" si="406"/>
        <v>2022</v>
      </c>
      <c r="AB1433" s="6">
        <f t="shared" ca="1" si="407"/>
        <v>1</v>
      </c>
      <c r="AC1433" s="68">
        <f ca="1">IFERROR(__xludf.DUMMYFUNCTION("""COMPUTED_VALUE"""),44582.9986111111)</f>
        <v>44582.998611111099</v>
      </c>
      <c r="AD1433" s="6">
        <f ca="1">IFERROR(__xludf.DUMMYFUNCTION("""COMPUTED_VALUE"""),1191.5)</f>
        <v>1191.5</v>
      </c>
      <c r="AH1433" s="6" t="str">
        <f t="shared" ca="1" si="408"/>
        <v>202111</v>
      </c>
      <c r="AI1433" s="6">
        <f t="shared" ca="1" si="409"/>
        <v>2021</v>
      </c>
      <c r="AJ1433" s="6">
        <f t="shared" ca="1" si="410"/>
        <v>11</v>
      </c>
      <c r="AK1433" s="68">
        <f ca="1">IFERROR(__xludf.DUMMYFUNCTION("""COMPUTED_VALUE"""),44526.9986111111)</f>
        <v>44526.998611111099</v>
      </c>
      <c r="AL1433" s="6">
        <f ca="1">IFERROR(__xludf.DUMMYFUNCTION("""COMPUTED_VALUE"""),53634.31)</f>
        <v>53634.31</v>
      </c>
      <c r="AP1433" s="6" t="str">
        <f t="shared" ca="1" si="411"/>
        <v>20239</v>
      </c>
      <c r="AQ1433" s="6">
        <f t="shared" ca="1" si="412"/>
        <v>2023</v>
      </c>
      <c r="AR1433" s="6">
        <f t="shared" ca="1" si="413"/>
        <v>9</v>
      </c>
      <c r="AS1433" s="68">
        <f ca="1">IFERROR(__xludf.DUMMYFUNCTION("""COMPUTED_VALUE"""),45187.9986111111)</f>
        <v>45187.998611111099</v>
      </c>
      <c r="AT1433" s="6">
        <f ca="1">IFERROR(__xludf.DUMMYFUNCTION("""COMPUTED_VALUE"""),1953.4)</f>
        <v>1953.4</v>
      </c>
    </row>
    <row r="1434" spans="2:46" x14ac:dyDescent="0.35">
      <c r="B1434" s="6" t="str">
        <f t="shared" ca="1" si="396"/>
        <v>20239</v>
      </c>
      <c r="C1434" s="6">
        <f t="shared" ca="1" si="397"/>
        <v>2023</v>
      </c>
      <c r="D1434" s="6">
        <f t="shared" ca="1" si="398"/>
        <v>9</v>
      </c>
      <c r="E1434" s="68">
        <f ca="1">IFERROR(__xludf.DUMMYFUNCTION("""COMPUTED_VALUE"""),45181.6666666666)</f>
        <v>45181.666666666599</v>
      </c>
      <c r="F1434" s="6">
        <f ca="1">IFERROR(__xludf.DUMMYFUNCTION("""COMPUTED_VALUE"""),4461.9)</f>
        <v>4461.8999999999996</v>
      </c>
      <c r="J1434" s="6" t="str">
        <f t="shared" ca="1" si="399"/>
        <v>20239</v>
      </c>
      <c r="K1434" s="6">
        <f t="shared" ca="1" si="400"/>
        <v>2023</v>
      </c>
      <c r="L1434" s="6">
        <f t="shared" ca="1" si="401"/>
        <v>9</v>
      </c>
      <c r="M1434" s="68">
        <f ca="1">IFERROR(__xludf.DUMMYFUNCTION("""COMPUTED_VALUE"""),45170.6666666666)</f>
        <v>45170.666666666599</v>
      </c>
      <c r="N1434" s="6">
        <f ca="1">IFERROR(__xludf.DUMMYFUNCTION("""COMPUTED_VALUE"""),14031.82)</f>
        <v>14031.82</v>
      </c>
      <c r="R1434" s="6" t="str">
        <f t="shared" ca="1" si="402"/>
        <v>202310</v>
      </c>
      <c r="S1434" s="6">
        <f t="shared" ca="1" si="403"/>
        <v>2023</v>
      </c>
      <c r="T1434" s="6">
        <f t="shared" ca="1" si="404"/>
        <v>10</v>
      </c>
      <c r="U1434" s="68">
        <f ca="1">IFERROR(__xludf.DUMMYFUNCTION("""COMPUTED_VALUE"""),45230.6458333333)</f>
        <v>45230.645833333299</v>
      </c>
      <c r="V1434" s="6">
        <f ca="1">IFERROR(__xludf.DUMMYFUNCTION("""COMPUTED_VALUE"""),2277.99)</f>
        <v>2277.9899999999998</v>
      </c>
      <c r="Z1434" s="6" t="str">
        <f t="shared" ca="1" si="405"/>
        <v>20221</v>
      </c>
      <c r="AA1434" s="6">
        <f t="shared" ca="1" si="406"/>
        <v>2022</v>
      </c>
      <c r="AB1434" s="6">
        <f t="shared" ca="1" si="407"/>
        <v>1</v>
      </c>
      <c r="AC1434" s="68">
        <f ca="1">IFERROR(__xludf.DUMMYFUNCTION("""COMPUTED_VALUE"""),44583.9986111111)</f>
        <v>44583.998611111099</v>
      </c>
      <c r="AD1434" s="6">
        <f ca="1">IFERROR(__xludf.DUMMYFUNCTION("""COMPUTED_VALUE"""),1191.5)</f>
        <v>1191.5</v>
      </c>
      <c r="AH1434" s="6" t="str">
        <f t="shared" ca="1" si="408"/>
        <v>202111</v>
      </c>
      <c r="AI1434" s="6">
        <f t="shared" ca="1" si="409"/>
        <v>2021</v>
      </c>
      <c r="AJ1434" s="6">
        <f t="shared" ca="1" si="410"/>
        <v>11</v>
      </c>
      <c r="AK1434" s="68">
        <f ca="1">IFERROR(__xludf.DUMMYFUNCTION("""COMPUTED_VALUE"""),44527.9986111111)</f>
        <v>44527.998611111099</v>
      </c>
      <c r="AL1434" s="6">
        <f ca="1">IFERROR(__xludf.DUMMYFUNCTION("""COMPUTED_VALUE"""),54809.76)</f>
        <v>54809.760000000002</v>
      </c>
      <c r="AP1434" s="6" t="str">
        <f t="shared" ca="1" si="411"/>
        <v>20239</v>
      </c>
      <c r="AQ1434" s="6">
        <f t="shared" ca="1" si="412"/>
        <v>2023</v>
      </c>
      <c r="AR1434" s="6">
        <f t="shared" ca="1" si="413"/>
        <v>9</v>
      </c>
      <c r="AS1434" s="68">
        <f ca="1">IFERROR(__xludf.DUMMYFUNCTION("""COMPUTED_VALUE"""),45188.9986111111)</f>
        <v>45188.998611111099</v>
      </c>
      <c r="AT1434" s="6">
        <f ca="1">IFERROR(__xludf.DUMMYFUNCTION("""COMPUTED_VALUE"""),1953.7)</f>
        <v>1953.7</v>
      </c>
    </row>
    <row r="1435" spans="2:46" x14ac:dyDescent="0.35">
      <c r="B1435" s="6" t="str">
        <f t="shared" ca="1" si="396"/>
        <v>20239</v>
      </c>
      <c r="C1435" s="6">
        <f t="shared" ca="1" si="397"/>
        <v>2023</v>
      </c>
      <c r="D1435" s="6">
        <f t="shared" ca="1" si="398"/>
        <v>9</v>
      </c>
      <c r="E1435" s="68">
        <f ca="1">IFERROR(__xludf.DUMMYFUNCTION("""COMPUTED_VALUE"""),45182.6666666666)</f>
        <v>45182.666666666599</v>
      </c>
      <c r="F1435" s="6">
        <f ca="1">IFERROR(__xludf.DUMMYFUNCTION("""COMPUTED_VALUE"""),4467.44)</f>
        <v>4467.4399999999996</v>
      </c>
      <c r="J1435" s="6" t="str">
        <f t="shared" ca="1" si="399"/>
        <v>20239</v>
      </c>
      <c r="K1435" s="6">
        <f t="shared" ca="1" si="400"/>
        <v>2023</v>
      </c>
      <c r="L1435" s="6">
        <f t="shared" ca="1" si="401"/>
        <v>9</v>
      </c>
      <c r="M1435" s="68">
        <f ca="1">IFERROR(__xludf.DUMMYFUNCTION("""COMPUTED_VALUE"""),45174.6666666666)</f>
        <v>45174.666666666599</v>
      </c>
      <c r="N1435" s="6">
        <f ca="1">IFERROR(__xludf.DUMMYFUNCTION("""COMPUTED_VALUE"""),14020.95)</f>
        <v>14020.95</v>
      </c>
      <c r="R1435" s="6" t="str">
        <f t="shared" ca="1" si="402"/>
        <v>202311</v>
      </c>
      <c r="S1435" s="6">
        <f t="shared" ca="1" si="403"/>
        <v>2023</v>
      </c>
      <c r="T1435" s="6">
        <f t="shared" ca="1" si="404"/>
        <v>11</v>
      </c>
      <c r="U1435" s="68">
        <f ca="1">IFERROR(__xludf.DUMMYFUNCTION("""COMPUTED_VALUE"""),45231.6458333333)</f>
        <v>45231.645833333299</v>
      </c>
      <c r="V1435" s="6">
        <f ca="1">IFERROR(__xludf.DUMMYFUNCTION("""COMPUTED_VALUE"""),2301.56)</f>
        <v>2301.56</v>
      </c>
      <c r="Z1435" s="6" t="str">
        <f t="shared" ca="1" si="405"/>
        <v>20221</v>
      </c>
      <c r="AA1435" s="6">
        <f t="shared" ca="1" si="406"/>
        <v>2022</v>
      </c>
      <c r="AB1435" s="6">
        <f t="shared" ca="1" si="407"/>
        <v>1</v>
      </c>
      <c r="AC1435" s="68">
        <f ca="1">IFERROR(__xludf.DUMMYFUNCTION("""COMPUTED_VALUE"""),44584.9986111111)</f>
        <v>44584.998611111099</v>
      </c>
      <c r="AD1435" s="6">
        <f ca="1">IFERROR(__xludf.DUMMYFUNCTION("""COMPUTED_VALUE"""),1191.5)</f>
        <v>1191.5</v>
      </c>
      <c r="AH1435" s="6" t="str">
        <f t="shared" ca="1" si="408"/>
        <v>202111</v>
      </c>
      <c r="AI1435" s="6">
        <f t="shared" ca="1" si="409"/>
        <v>2021</v>
      </c>
      <c r="AJ1435" s="6">
        <f t="shared" ca="1" si="410"/>
        <v>11</v>
      </c>
      <c r="AK1435" s="68">
        <f ca="1">IFERROR(__xludf.DUMMYFUNCTION("""COMPUTED_VALUE"""),44528.9986111111)</f>
        <v>44528.998611111099</v>
      </c>
      <c r="AL1435" s="6">
        <f ca="1">IFERROR(__xludf.DUMMYFUNCTION("""COMPUTED_VALUE"""),57270.1)</f>
        <v>57270.1</v>
      </c>
      <c r="AP1435" s="6" t="str">
        <f t="shared" ca="1" si="411"/>
        <v>20239</v>
      </c>
      <c r="AQ1435" s="6">
        <f t="shared" ca="1" si="412"/>
        <v>2023</v>
      </c>
      <c r="AR1435" s="6">
        <f t="shared" ca="1" si="413"/>
        <v>9</v>
      </c>
      <c r="AS1435" s="68">
        <f ca="1">IFERROR(__xludf.DUMMYFUNCTION("""COMPUTED_VALUE"""),45189.9986111111)</f>
        <v>45189.998611111099</v>
      </c>
      <c r="AT1435" s="6">
        <f ca="1">IFERROR(__xludf.DUMMYFUNCTION("""COMPUTED_VALUE"""),1967.1)</f>
        <v>1967.1</v>
      </c>
    </row>
    <row r="1436" spans="2:46" x14ac:dyDescent="0.35">
      <c r="B1436" s="6" t="str">
        <f t="shared" ca="1" si="396"/>
        <v>20239</v>
      </c>
      <c r="C1436" s="6">
        <f t="shared" ca="1" si="397"/>
        <v>2023</v>
      </c>
      <c r="D1436" s="6">
        <f t="shared" ca="1" si="398"/>
        <v>9</v>
      </c>
      <c r="E1436" s="68">
        <f ca="1">IFERROR(__xludf.DUMMYFUNCTION("""COMPUTED_VALUE"""),45183.6666666666)</f>
        <v>45183.666666666599</v>
      </c>
      <c r="F1436" s="6">
        <f ca="1">IFERROR(__xludf.DUMMYFUNCTION("""COMPUTED_VALUE"""),4505.1)</f>
        <v>4505.1000000000004</v>
      </c>
      <c r="J1436" s="6" t="str">
        <f t="shared" ca="1" si="399"/>
        <v>20239</v>
      </c>
      <c r="K1436" s="6">
        <f t="shared" ca="1" si="400"/>
        <v>2023</v>
      </c>
      <c r="L1436" s="6">
        <f t="shared" ca="1" si="401"/>
        <v>9</v>
      </c>
      <c r="M1436" s="68">
        <f ca="1">IFERROR(__xludf.DUMMYFUNCTION("""COMPUTED_VALUE"""),45175.6666666666)</f>
        <v>45175.666666666599</v>
      </c>
      <c r="N1436" s="6">
        <f ca="1">IFERROR(__xludf.DUMMYFUNCTION("""COMPUTED_VALUE"""),13872.47)</f>
        <v>13872.47</v>
      </c>
      <c r="R1436" s="6" t="str">
        <f t="shared" ca="1" si="402"/>
        <v>202311</v>
      </c>
      <c r="S1436" s="6">
        <f t="shared" ca="1" si="403"/>
        <v>2023</v>
      </c>
      <c r="T1436" s="6">
        <f t="shared" ca="1" si="404"/>
        <v>11</v>
      </c>
      <c r="U1436" s="68">
        <f ca="1">IFERROR(__xludf.DUMMYFUNCTION("""COMPUTED_VALUE"""),45232.6458333333)</f>
        <v>45232.645833333299</v>
      </c>
      <c r="V1436" s="6">
        <f ca="1">IFERROR(__xludf.DUMMYFUNCTION("""COMPUTED_VALUE"""),2343.12)</f>
        <v>2343.12</v>
      </c>
      <c r="Z1436" s="6" t="str">
        <f t="shared" ca="1" si="405"/>
        <v>20221</v>
      </c>
      <c r="AA1436" s="6">
        <f t="shared" ca="1" si="406"/>
        <v>2022</v>
      </c>
      <c r="AB1436" s="6">
        <f t="shared" ca="1" si="407"/>
        <v>1</v>
      </c>
      <c r="AC1436" s="68">
        <f ca="1">IFERROR(__xludf.DUMMYFUNCTION("""COMPUTED_VALUE"""),44585.9986111111)</f>
        <v>44585.998611111099</v>
      </c>
      <c r="AD1436" s="6">
        <f ca="1">IFERROR(__xludf.DUMMYFUNCTION("""COMPUTED_VALUE"""),1195.66)</f>
        <v>1195.6600000000001</v>
      </c>
      <c r="AH1436" s="6" t="str">
        <f t="shared" ca="1" si="408"/>
        <v>202111</v>
      </c>
      <c r="AI1436" s="6">
        <f t="shared" ca="1" si="409"/>
        <v>2021</v>
      </c>
      <c r="AJ1436" s="6">
        <f t="shared" ca="1" si="410"/>
        <v>11</v>
      </c>
      <c r="AK1436" s="68">
        <f ca="1">IFERROR(__xludf.DUMMYFUNCTION("""COMPUTED_VALUE"""),44529.9986111111)</f>
        <v>44529.998611111099</v>
      </c>
      <c r="AL1436" s="6">
        <f ca="1">IFERROR(__xludf.DUMMYFUNCTION("""COMPUTED_VALUE"""),57837.01)</f>
        <v>57837.01</v>
      </c>
      <c r="AP1436" s="6" t="str">
        <f t="shared" ca="1" si="411"/>
        <v>20239</v>
      </c>
      <c r="AQ1436" s="6">
        <f t="shared" ca="1" si="412"/>
        <v>2023</v>
      </c>
      <c r="AR1436" s="6">
        <f t="shared" ca="1" si="413"/>
        <v>9</v>
      </c>
      <c r="AS1436" s="68">
        <f ca="1">IFERROR(__xludf.DUMMYFUNCTION("""COMPUTED_VALUE"""),45190.9986111111)</f>
        <v>45190.998611111099</v>
      </c>
      <c r="AT1436" s="6">
        <f ca="1">IFERROR(__xludf.DUMMYFUNCTION("""COMPUTED_VALUE"""),1939.6)</f>
        <v>1939.6</v>
      </c>
    </row>
    <row r="1437" spans="2:46" x14ac:dyDescent="0.35">
      <c r="B1437" s="6" t="str">
        <f t="shared" ca="1" si="396"/>
        <v>20239</v>
      </c>
      <c r="C1437" s="6">
        <f t="shared" ca="1" si="397"/>
        <v>2023</v>
      </c>
      <c r="D1437" s="6">
        <f t="shared" ca="1" si="398"/>
        <v>9</v>
      </c>
      <c r="E1437" s="68">
        <f ca="1">IFERROR(__xludf.DUMMYFUNCTION("""COMPUTED_VALUE"""),45184.6666666666)</f>
        <v>45184.666666666599</v>
      </c>
      <c r="F1437" s="6">
        <f ca="1">IFERROR(__xludf.DUMMYFUNCTION("""COMPUTED_VALUE"""),4450.32)</f>
        <v>4450.32</v>
      </c>
      <c r="J1437" s="6" t="str">
        <f t="shared" ca="1" si="399"/>
        <v>20239</v>
      </c>
      <c r="K1437" s="6">
        <f t="shared" ca="1" si="400"/>
        <v>2023</v>
      </c>
      <c r="L1437" s="6">
        <f t="shared" ca="1" si="401"/>
        <v>9</v>
      </c>
      <c r="M1437" s="68">
        <f ca="1">IFERROR(__xludf.DUMMYFUNCTION("""COMPUTED_VALUE"""),45176.6666666666)</f>
        <v>45176.666666666599</v>
      </c>
      <c r="N1437" s="6">
        <f ca="1">IFERROR(__xludf.DUMMYFUNCTION("""COMPUTED_VALUE"""),13748.83)</f>
        <v>13748.83</v>
      </c>
      <c r="R1437" s="6" t="str">
        <f t="shared" ca="1" si="402"/>
        <v>202311</v>
      </c>
      <c r="S1437" s="6">
        <f t="shared" ca="1" si="403"/>
        <v>2023</v>
      </c>
      <c r="T1437" s="6">
        <f t="shared" ca="1" si="404"/>
        <v>11</v>
      </c>
      <c r="U1437" s="68">
        <f ca="1">IFERROR(__xludf.DUMMYFUNCTION("""COMPUTED_VALUE"""),45233.6458333333)</f>
        <v>45233.645833333299</v>
      </c>
      <c r="V1437" s="6">
        <f ca="1">IFERROR(__xludf.DUMMYFUNCTION("""COMPUTED_VALUE"""),2368.34)</f>
        <v>2368.34</v>
      </c>
      <c r="Z1437" s="6" t="str">
        <f t="shared" ca="1" si="405"/>
        <v>20221</v>
      </c>
      <c r="AA1437" s="6">
        <f t="shared" ca="1" si="406"/>
        <v>2022</v>
      </c>
      <c r="AB1437" s="6">
        <f t="shared" ca="1" si="407"/>
        <v>1</v>
      </c>
      <c r="AC1437" s="68">
        <f ca="1">IFERROR(__xludf.DUMMYFUNCTION("""COMPUTED_VALUE"""),44586.9986111111)</f>
        <v>44586.998611111099</v>
      </c>
      <c r="AD1437" s="6">
        <f ca="1">IFERROR(__xludf.DUMMYFUNCTION("""COMPUTED_VALUE"""),1196.1)</f>
        <v>1196.0999999999999</v>
      </c>
      <c r="AH1437" s="6" t="str">
        <f t="shared" ca="1" si="408"/>
        <v>202111</v>
      </c>
      <c r="AI1437" s="6">
        <f t="shared" ca="1" si="409"/>
        <v>2021</v>
      </c>
      <c r="AJ1437" s="6">
        <f t="shared" ca="1" si="410"/>
        <v>11</v>
      </c>
      <c r="AK1437" s="68">
        <f ca="1">IFERROR(__xludf.DUMMYFUNCTION("""COMPUTED_VALUE"""),44530.9986111111)</f>
        <v>44530.998611111099</v>
      </c>
      <c r="AL1437" s="6">
        <f ca="1">IFERROR(__xludf.DUMMYFUNCTION("""COMPUTED_VALUE"""),56959.33)</f>
        <v>56959.33</v>
      </c>
      <c r="AP1437" s="6" t="str">
        <f t="shared" ca="1" si="411"/>
        <v>20239</v>
      </c>
      <c r="AQ1437" s="6">
        <f t="shared" ca="1" si="412"/>
        <v>2023</v>
      </c>
      <c r="AR1437" s="6">
        <f t="shared" ca="1" si="413"/>
        <v>9</v>
      </c>
      <c r="AS1437" s="68">
        <f ca="1">IFERROR(__xludf.DUMMYFUNCTION("""COMPUTED_VALUE"""),45191.9986111111)</f>
        <v>45191.998611111099</v>
      </c>
      <c r="AT1437" s="6">
        <f ca="1">IFERROR(__xludf.DUMMYFUNCTION("""COMPUTED_VALUE"""),1945.6)</f>
        <v>1945.6</v>
      </c>
    </row>
    <row r="1438" spans="2:46" x14ac:dyDescent="0.35">
      <c r="B1438" s="6" t="str">
        <f t="shared" ca="1" si="396"/>
        <v>20239</v>
      </c>
      <c r="C1438" s="6">
        <f t="shared" ca="1" si="397"/>
        <v>2023</v>
      </c>
      <c r="D1438" s="6">
        <f t="shared" ca="1" si="398"/>
        <v>9</v>
      </c>
      <c r="E1438" s="68">
        <f ca="1">IFERROR(__xludf.DUMMYFUNCTION("""COMPUTED_VALUE"""),45187.6666666666)</f>
        <v>45187.666666666599</v>
      </c>
      <c r="F1438" s="6">
        <f ca="1">IFERROR(__xludf.DUMMYFUNCTION("""COMPUTED_VALUE"""),4453.53)</f>
        <v>4453.53</v>
      </c>
      <c r="J1438" s="6" t="str">
        <f t="shared" ca="1" si="399"/>
        <v>20239</v>
      </c>
      <c r="K1438" s="6">
        <f t="shared" ca="1" si="400"/>
        <v>2023</v>
      </c>
      <c r="L1438" s="6">
        <f t="shared" ca="1" si="401"/>
        <v>9</v>
      </c>
      <c r="M1438" s="68">
        <f ca="1">IFERROR(__xludf.DUMMYFUNCTION("""COMPUTED_VALUE"""),45177.6666666666)</f>
        <v>45177.666666666599</v>
      </c>
      <c r="N1438" s="6">
        <f ca="1">IFERROR(__xludf.DUMMYFUNCTION("""COMPUTED_VALUE"""),13761.53)</f>
        <v>13761.53</v>
      </c>
      <c r="R1438" s="6" t="str">
        <f t="shared" ca="1" si="402"/>
        <v>202311</v>
      </c>
      <c r="S1438" s="6">
        <f t="shared" ca="1" si="403"/>
        <v>2023</v>
      </c>
      <c r="T1438" s="6">
        <f t="shared" ca="1" si="404"/>
        <v>11</v>
      </c>
      <c r="U1438" s="68">
        <f ca="1">IFERROR(__xludf.DUMMYFUNCTION("""COMPUTED_VALUE"""),45236.6458333333)</f>
        <v>45236.645833333299</v>
      </c>
      <c r="V1438" s="6">
        <f ca="1">IFERROR(__xludf.DUMMYFUNCTION("""COMPUTED_VALUE"""),2502.37)</f>
        <v>2502.37</v>
      </c>
      <c r="Z1438" s="6" t="str">
        <f t="shared" ca="1" si="405"/>
        <v>20221</v>
      </c>
      <c r="AA1438" s="6">
        <f t="shared" ca="1" si="406"/>
        <v>2022</v>
      </c>
      <c r="AB1438" s="6">
        <f t="shared" ca="1" si="407"/>
        <v>1</v>
      </c>
      <c r="AC1438" s="68">
        <f ca="1">IFERROR(__xludf.DUMMYFUNCTION("""COMPUTED_VALUE"""),44587.9986111111)</f>
        <v>44587.998611111099</v>
      </c>
      <c r="AD1438" s="6">
        <f ca="1">IFERROR(__xludf.DUMMYFUNCTION("""COMPUTED_VALUE"""),1200.63)</f>
        <v>1200.6300000000001</v>
      </c>
      <c r="AH1438" s="6" t="str">
        <f t="shared" ca="1" si="408"/>
        <v>202112</v>
      </c>
      <c r="AI1438" s="6">
        <f t="shared" ca="1" si="409"/>
        <v>2021</v>
      </c>
      <c r="AJ1438" s="6">
        <f t="shared" ca="1" si="410"/>
        <v>12</v>
      </c>
      <c r="AK1438" s="68">
        <f ca="1">IFERROR(__xludf.DUMMYFUNCTION("""COMPUTED_VALUE"""),44531.9986111111)</f>
        <v>44531.998611111099</v>
      </c>
      <c r="AL1438" s="6">
        <f ca="1">IFERROR(__xludf.DUMMYFUNCTION("""COMPUTED_VALUE"""),57228.96)</f>
        <v>57228.959999999999</v>
      </c>
      <c r="AP1438" s="6" t="str">
        <f t="shared" ca="1" si="411"/>
        <v>20239</v>
      </c>
      <c r="AQ1438" s="6">
        <f t="shared" ca="1" si="412"/>
        <v>2023</v>
      </c>
      <c r="AR1438" s="6">
        <f t="shared" ca="1" si="413"/>
        <v>9</v>
      </c>
      <c r="AS1438" s="68">
        <f ca="1">IFERROR(__xludf.DUMMYFUNCTION("""COMPUTED_VALUE"""),45194.9986111111)</f>
        <v>45194.998611111099</v>
      </c>
      <c r="AT1438" s="6">
        <f ca="1">IFERROR(__xludf.DUMMYFUNCTION("""COMPUTED_VALUE"""),1936.6)</f>
        <v>1936.6</v>
      </c>
    </row>
    <row r="1439" spans="2:46" x14ac:dyDescent="0.35">
      <c r="B1439" s="6" t="str">
        <f t="shared" ca="1" si="396"/>
        <v>20239</v>
      </c>
      <c r="C1439" s="6">
        <f t="shared" ca="1" si="397"/>
        <v>2023</v>
      </c>
      <c r="D1439" s="6">
        <f t="shared" ca="1" si="398"/>
        <v>9</v>
      </c>
      <c r="E1439" s="68">
        <f ca="1">IFERROR(__xludf.DUMMYFUNCTION("""COMPUTED_VALUE"""),45188.6666666666)</f>
        <v>45188.666666666599</v>
      </c>
      <c r="F1439" s="6">
        <f ca="1">IFERROR(__xludf.DUMMYFUNCTION("""COMPUTED_VALUE"""),4443.95)</f>
        <v>4443.95</v>
      </c>
      <c r="J1439" s="6" t="str">
        <f t="shared" ca="1" si="399"/>
        <v>20239</v>
      </c>
      <c r="K1439" s="6">
        <f t="shared" ca="1" si="400"/>
        <v>2023</v>
      </c>
      <c r="L1439" s="6">
        <f t="shared" ca="1" si="401"/>
        <v>9</v>
      </c>
      <c r="M1439" s="68">
        <f ca="1">IFERROR(__xludf.DUMMYFUNCTION("""COMPUTED_VALUE"""),45180.6666666666)</f>
        <v>45180.666666666599</v>
      </c>
      <c r="N1439" s="6">
        <f ca="1">IFERROR(__xludf.DUMMYFUNCTION("""COMPUTED_VALUE"""),13917.91)</f>
        <v>13917.91</v>
      </c>
      <c r="R1439" s="6" t="str">
        <f t="shared" ca="1" si="402"/>
        <v>202311</v>
      </c>
      <c r="S1439" s="6">
        <f t="shared" ca="1" si="403"/>
        <v>2023</v>
      </c>
      <c r="T1439" s="6">
        <f t="shared" ca="1" si="404"/>
        <v>11</v>
      </c>
      <c r="U1439" s="68">
        <f ca="1">IFERROR(__xludf.DUMMYFUNCTION("""COMPUTED_VALUE"""),45237.6458333333)</f>
        <v>45237.645833333299</v>
      </c>
      <c r="V1439" s="6">
        <f ca="1">IFERROR(__xludf.DUMMYFUNCTION("""COMPUTED_VALUE"""),2443.96)</f>
        <v>2443.96</v>
      </c>
      <c r="Z1439" s="6" t="str">
        <f t="shared" ca="1" si="405"/>
        <v>20221</v>
      </c>
      <c r="AA1439" s="6">
        <f t="shared" ca="1" si="406"/>
        <v>2022</v>
      </c>
      <c r="AB1439" s="6">
        <f t="shared" ca="1" si="407"/>
        <v>1</v>
      </c>
      <c r="AC1439" s="68">
        <f ca="1">IFERROR(__xludf.DUMMYFUNCTION("""COMPUTED_VALUE"""),44588.9986111111)</f>
        <v>44588.998611111099</v>
      </c>
      <c r="AD1439" s="6">
        <f ca="1">IFERROR(__xludf.DUMMYFUNCTION("""COMPUTED_VALUE"""),1203.46)</f>
        <v>1203.46</v>
      </c>
      <c r="AH1439" s="6" t="str">
        <f t="shared" ca="1" si="408"/>
        <v>202112</v>
      </c>
      <c r="AI1439" s="6">
        <f t="shared" ca="1" si="409"/>
        <v>2021</v>
      </c>
      <c r="AJ1439" s="6">
        <f t="shared" ca="1" si="410"/>
        <v>12</v>
      </c>
      <c r="AK1439" s="68">
        <f ca="1">IFERROR(__xludf.DUMMYFUNCTION("""COMPUTED_VALUE"""),44532.9986111111)</f>
        <v>44532.998611111099</v>
      </c>
      <c r="AL1439" s="6">
        <f ca="1">IFERROR(__xludf.DUMMYFUNCTION("""COMPUTED_VALUE"""),56518.51)</f>
        <v>56518.51</v>
      </c>
      <c r="AP1439" s="6" t="str">
        <f t="shared" ca="1" si="411"/>
        <v>20239</v>
      </c>
      <c r="AQ1439" s="6">
        <f t="shared" ca="1" si="412"/>
        <v>2023</v>
      </c>
      <c r="AR1439" s="6">
        <f t="shared" ca="1" si="413"/>
        <v>9</v>
      </c>
      <c r="AS1439" s="68">
        <f ca="1">IFERROR(__xludf.DUMMYFUNCTION("""COMPUTED_VALUE"""),45195.9986111111)</f>
        <v>45195.998611111099</v>
      </c>
      <c r="AT1439" s="6">
        <f ca="1">IFERROR(__xludf.DUMMYFUNCTION("""COMPUTED_VALUE"""),1919.8)</f>
        <v>1919.8</v>
      </c>
    </row>
    <row r="1440" spans="2:46" x14ac:dyDescent="0.35">
      <c r="B1440" s="6" t="str">
        <f t="shared" ca="1" si="396"/>
        <v>20239</v>
      </c>
      <c r="C1440" s="6">
        <f t="shared" ca="1" si="397"/>
        <v>2023</v>
      </c>
      <c r="D1440" s="6">
        <f t="shared" ca="1" si="398"/>
        <v>9</v>
      </c>
      <c r="E1440" s="68">
        <f ca="1">IFERROR(__xludf.DUMMYFUNCTION("""COMPUTED_VALUE"""),45189.6666666666)</f>
        <v>45189.666666666599</v>
      </c>
      <c r="F1440" s="6">
        <f ca="1">IFERROR(__xludf.DUMMYFUNCTION("""COMPUTED_VALUE"""),4402.2)</f>
        <v>4402.2</v>
      </c>
      <c r="J1440" s="6" t="str">
        <f t="shared" ca="1" si="399"/>
        <v>20239</v>
      </c>
      <c r="K1440" s="6">
        <f t="shared" ca="1" si="400"/>
        <v>2023</v>
      </c>
      <c r="L1440" s="6">
        <f t="shared" ca="1" si="401"/>
        <v>9</v>
      </c>
      <c r="M1440" s="68">
        <f ca="1">IFERROR(__xludf.DUMMYFUNCTION("""COMPUTED_VALUE"""),45181.6666666666)</f>
        <v>45181.666666666599</v>
      </c>
      <c r="N1440" s="6">
        <f ca="1">IFERROR(__xludf.DUMMYFUNCTION("""COMPUTED_VALUE"""),13773.63)</f>
        <v>13773.63</v>
      </c>
      <c r="R1440" s="6" t="str">
        <f t="shared" ca="1" si="402"/>
        <v>202311</v>
      </c>
      <c r="S1440" s="6">
        <f t="shared" ca="1" si="403"/>
        <v>2023</v>
      </c>
      <c r="T1440" s="6">
        <f t="shared" ca="1" si="404"/>
        <v>11</v>
      </c>
      <c r="U1440" s="68">
        <f ca="1">IFERROR(__xludf.DUMMYFUNCTION("""COMPUTED_VALUE"""),45238.6458333333)</f>
        <v>45238.645833333299</v>
      </c>
      <c r="V1440" s="6">
        <f ca="1">IFERROR(__xludf.DUMMYFUNCTION("""COMPUTED_VALUE"""),2421.62)</f>
        <v>2421.62</v>
      </c>
      <c r="Z1440" s="6" t="str">
        <f t="shared" ca="1" si="405"/>
        <v>20221</v>
      </c>
      <c r="AA1440" s="6">
        <f t="shared" ca="1" si="406"/>
        <v>2022</v>
      </c>
      <c r="AB1440" s="6">
        <f t="shared" ca="1" si="407"/>
        <v>1</v>
      </c>
      <c r="AC1440" s="68">
        <f ca="1">IFERROR(__xludf.DUMMYFUNCTION("""COMPUTED_VALUE"""),44589.9986111111)</f>
        <v>44589.998611111099</v>
      </c>
      <c r="AD1440" s="6">
        <f ca="1">IFERROR(__xludf.DUMMYFUNCTION("""COMPUTED_VALUE"""),1208.71)</f>
        <v>1208.71</v>
      </c>
      <c r="AH1440" s="6" t="str">
        <f t="shared" ca="1" si="408"/>
        <v>202112</v>
      </c>
      <c r="AI1440" s="6">
        <f t="shared" ca="1" si="409"/>
        <v>2021</v>
      </c>
      <c r="AJ1440" s="6">
        <f t="shared" ca="1" si="410"/>
        <v>12</v>
      </c>
      <c r="AK1440" s="68">
        <f ca="1">IFERROR(__xludf.DUMMYFUNCTION("""COMPUTED_VALUE"""),44533.9986111111)</f>
        <v>44533.998611111099</v>
      </c>
      <c r="AL1440" s="6">
        <f ca="1">IFERROR(__xludf.DUMMYFUNCTION("""COMPUTED_VALUE"""),53662.35)</f>
        <v>53662.35</v>
      </c>
      <c r="AP1440" s="6" t="str">
        <f t="shared" ca="1" si="411"/>
        <v>20239</v>
      </c>
      <c r="AQ1440" s="6">
        <f t="shared" ca="1" si="412"/>
        <v>2023</v>
      </c>
      <c r="AR1440" s="6">
        <f t="shared" ca="1" si="413"/>
        <v>9</v>
      </c>
      <c r="AS1440" s="68">
        <f ca="1">IFERROR(__xludf.DUMMYFUNCTION("""COMPUTED_VALUE"""),45196.9986111111)</f>
        <v>45196.998611111099</v>
      </c>
      <c r="AT1440" s="6">
        <f ca="1">IFERROR(__xludf.DUMMYFUNCTION("""COMPUTED_VALUE"""),1890.9)</f>
        <v>1890.9</v>
      </c>
    </row>
    <row r="1441" spans="2:46" x14ac:dyDescent="0.35">
      <c r="B1441" s="6" t="str">
        <f t="shared" ca="1" si="396"/>
        <v>20239</v>
      </c>
      <c r="C1441" s="6">
        <f t="shared" ca="1" si="397"/>
        <v>2023</v>
      </c>
      <c r="D1441" s="6">
        <f t="shared" ca="1" si="398"/>
        <v>9</v>
      </c>
      <c r="E1441" s="68">
        <f ca="1">IFERROR(__xludf.DUMMYFUNCTION("""COMPUTED_VALUE"""),45190.6666666666)</f>
        <v>45190.666666666599</v>
      </c>
      <c r="F1441" s="6">
        <f ca="1">IFERROR(__xludf.DUMMYFUNCTION("""COMPUTED_VALUE"""),4330)</f>
        <v>4330</v>
      </c>
      <c r="J1441" s="6" t="str">
        <f t="shared" ca="1" si="399"/>
        <v>20239</v>
      </c>
      <c r="K1441" s="6">
        <f t="shared" ca="1" si="400"/>
        <v>2023</v>
      </c>
      <c r="L1441" s="6">
        <f t="shared" ca="1" si="401"/>
        <v>9</v>
      </c>
      <c r="M1441" s="68">
        <f ca="1">IFERROR(__xludf.DUMMYFUNCTION("""COMPUTED_VALUE"""),45182.6666666666)</f>
        <v>45182.666666666599</v>
      </c>
      <c r="N1441" s="6">
        <f ca="1">IFERROR(__xludf.DUMMYFUNCTION("""COMPUTED_VALUE"""),13813.59)</f>
        <v>13813.59</v>
      </c>
      <c r="R1441" s="6" t="str">
        <f t="shared" ca="1" si="402"/>
        <v>202311</v>
      </c>
      <c r="S1441" s="6">
        <f t="shared" ca="1" si="403"/>
        <v>2023</v>
      </c>
      <c r="T1441" s="6">
        <f t="shared" ca="1" si="404"/>
        <v>11</v>
      </c>
      <c r="U1441" s="68">
        <f ca="1">IFERROR(__xludf.DUMMYFUNCTION("""COMPUTED_VALUE"""),45239.6458333333)</f>
        <v>45239.645833333299</v>
      </c>
      <c r="V1441" s="6">
        <f ca="1">IFERROR(__xludf.DUMMYFUNCTION("""COMPUTED_VALUE"""),2427.08)</f>
        <v>2427.08</v>
      </c>
      <c r="Z1441" s="6" t="str">
        <f t="shared" ca="1" si="405"/>
        <v>20221</v>
      </c>
      <c r="AA1441" s="6">
        <f t="shared" ca="1" si="406"/>
        <v>2022</v>
      </c>
      <c r="AB1441" s="6">
        <f t="shared" ca="1" si="407"/>
        <v>1</v>
      </c>
      <c r="AC1441" s="68">
        <f ca="1">IFERROR(__xludf.DUMMYFUNCTION("""COMPUTED_VALUE"""),44590.9986111111)</f>
        <v>44590.998611111099</v>
      </c>
      <c r="AD1441" s="6">
        <f ca="1">IFERROR(__xludf.DUMMYFUNCTION("""COMPUTED_VALUE"""),1208.71)</f>
        <v>1208.71</v>
      </c>
      <c r="AH1441" s="6" t="str">
        <f t="shared" ca="1" si="408"/>
        <v>202112</v>
      </c>
      <c r="AI1441" s="6">
        <f t="shared" ca="1" si="409"/>
        <v>2021</v>
      </c>
      <c r="AJ1441" s="6">
        <f t="shared" ca="1" si="410"/>
        <v>12</v>
      </c>
      <c r="AK1441" s="68">
        <f ca="1">IFERROR(__xludf.DUMMYFUNCTION("""COMPUTED_VALUE"""),44534.9986111111)</f>
        <v>44534.998611111099</v>
      </c>
      <c r="AL1441" s="6">
        <f ca="1">IFERROR(__xludf.DUMMYFUNCTION("""COMPUTED_VALUE"""),49258.04)</f>
        <v>49258.04</v>
      </c>
      <c r="AP1441" s="6" t="str">
        <f t="shared" ca="1" si="411"/>
        <v>20239</v>
      </c>
      <c r="AQ1441" s="6">
        <f t="shared" ca="1" si="412"/>
        <v>2023</v>
      </c>
      <c r="AR1441" s="6">
        <f t="shared" ca="1" si="413"/>
        <v>9</v>
      </c>
      <c r="AS1441" s="68">
        <f ca="1">IFERROR(__xludf.DUMMYFUNCTION("""COMPUTED_VALUE"""),45197.9986111111)</f>
        <v>45197.998611111099</v>
      </c>
      <c r="AT1441" s="6">
        <f ca="1">IFERROR(__xludf.DUMMYFUNCTION("""COMPUTED_VALUE"""),1878.6)</f>
        <v>1878.6</v>
      </c>
    </row>
    <row r="1442" spans="2:46" x14ac:dyDescent="0.35">
      <c r="B1442" s="6" t="str">
        <f t="shared" ca="1" si="396"/>
        <v>20239</v>
      </c>
      <c r="C1442" s="6">
        <f t="shared" ca="1" si="397"/>
        <v>2023</v>
      </c>
      <c r="D1442" s="6">
        <f t="shared" ca="1" si="398"/>
        <v>9</v>
      </c>
      <c r="E1442" s="68">
        <f ca="1">IFERROR(__xludf.DUMMYFUNCTION("""COMPUTED_VALUE"""),45191.6666666666)</f>
        <v>45191.666666666599</v>
      </c>
      <c r="F1442" s="6">
        <f ca="1">IFERROR(__xludf.DUMMYFUNCTION("""COMPUTED_VALUE"""),4320.06)</f>
        <v>4320.0600000000004</v>
      </c>
      <c r="J1442" s="6" t="str">
        <f t="shared" ca="1" si="399"/>
        <v>20239</v>
      </c>
      <c r="K1442" s="6">
        <f t="shared" ca="1" si="400"/>
        <v>2023</v>
      </c>
      <c r="L1442" s="6">
        <f t="shared" ca="1" si="401"/>
        <v>9</v>
      </c>
      <c r="M1442" s="68">
        <f ca="1">IFERROR(__xludf.DUMMYFUNCTION("""COMPUTED_VALUE"""),45183.6666666666)</f>
        <v>45183.666666666599</v>
      </c>
      <c r="N1442" s="6">
        <f ca="1">IFERROR(__xludf.DUMMYFUNCTION("""COMPUTED_VALUE"""),13926.05)</f>
        <v>13926.05</v>
      </c>
      <c r="R1442" s="6" t="str">
        <f t="shared" ca="1" si="402"/>
        <v>202311</v>
      </c>
      <c r="S1442" s="6">
        <f t="shared" ca="1" si="403"/>
        <v>2023</v>
      </c>
      <c r="T1442" s="6">
        <f t="shared" ca="1" si="404"/>
        <v>11</v>
      </c>
      <c r="U1442" s="68">
        <f ca="1">IFERROR(__xludf.DUMMYFUNCTION("""COMPUTED_VALUE"""),45240.6458333333)</f>
        <v>45240.645833333299</v>
      </c>
      <c r="V1442" s="6">
        <f ca="1">IFERROR(__xludf.DUMMYFUNCTION("""COMPUTED_VALUE"""),2409.66)</f>
        <v>2409.66</v>
      </c>
      <c r="Z1442" s="6" t="str">
        <f t="shared" ca="1" si="405"/>
        <v>20221</v>
      </c>
      <c r="AA1442" s="6">
        <f t="shared" ca="1" si="406"/>
        <v>2022</v>
      </c>
      <c r="AB1442" s="6">
        <f t="shared" ca="1" si="407"/>
        <v>1</v>
      </c>
      <c r="AC1442" s="68">
        <f ca="1">IFERROR(__xludf.DUMMYFUNCTION("""COMPUTED_VALUE"""),44591.9986111111)</f>
        <v>44591.998611111099</v>
      </c>
      <c r="AD1442" s="6">
        <f ca="1">IFERROR(__xludf.DUMMYFUNCTION("""COMPUTED_VALUE"""),1207.71)</f>
        <v>1207.71</v>
      </c>
      <c r="AH1442" s="6" t="str">
        <f t="shared" ca="1" si="408"/>
        <v>202112</v>
      </c>
      <c r="AI1442" s="6">
        <f t="shared" ca="1" si="409"/>
        <v>2021</v>
      </c>
      <c r="AJ1442" s="6">
        <f t="shared" ca="1" si="410"/>
        <v>12</v>
      </c>
      <c r="AK1442" s="68">
        <f ca="1">IFERROR(__xludf.DUMMYFUNCTION("""COMPUTED_VALUE"""),44535.9986111111)</f>
        <v>44535.998611111099</v>
      </c>
      <c r="AL1442" s="6">
        <f ca="1">IFERROR(__xludf.DUMMYFUNCTION("""COMPUTED_VALUE"""),49453.48)</f>
        <v>49453.48</v>
      </c>
      <c r="AP1442" s="6" t="str">
        <f t="shared" ca="1" si="411"/>
        <v>20239</v>
      </c>
      <c r="AQ1442" s="6">
        <f t="shared" ca="1" si="412"/>
        <v>2023</v>
      </c>
      <c r="AR1442" s="6">
        <f t="shared" ca="1" si="413"/>
        <v>9</v>
      </c>
      <c r="AS1442" s="68">
        <f ca="1">IFERROR(__xludf.DUMMYFUNCTION("""COMPUTED_VALUE"""),45198.9986111111)</f>
        <v>45198.998611111099</v>
      </c>
      <c r="AT1442" s="6">
        <f ca="1">IFERROR(__xludf.DUMMYFUNCTION("""COMPUTED_VALUE"""),1866.1)</f>
        <v>1866.1</v>
      </c>
    </row>
    <row r="1443" spans="2:46" x14ac:dyDescent="0.35">
      <c r="B1443" s="6" t="str">
        <f t="shared" ca="1" si="396"/>
        <v>20239</v>
      </c>
      <c r="C1443" s="6">
        <f t="shared" ca="1" si="397"/>
        <v>2023</v>
      </c>
      <c r="D1443" s="6">
        <f t="shared" ca="1" si="398"/>
        <v>9</v>
      </c>
      <c r="E1443" s="68">
        <f ca="1">IFERROR(__xludf.DUMMYFUNCTION("""COMPUTED_VALUE"""),45194.6666666666)</f>
        <v>45194.666666666599</v>
      </c>
      <c r="F1443" s="6">
        <f ca="1">IFERROR(__xludf.DUMMYFUNCTION("""COMPUTED_VALUE"""),4337.44)</f>
        <v>4337.4399999999996</v>
      </c>
      <c r="J1443" s="6" t="str">
        <f t="shared" ca="1" si="399"/>
        <v>20239</v>
      </c>
      <c r="K1443" s="6">
        <f t="shared" ca="1" si="400"/>
        <v>2023</v>
      </c>
      <c r="L1443" s="6">
        <f t="shared" ca="1" si="401"/>
        <v>9</v>
      </c>
      <c r="M1443" s="68">
        <f ca="1">IFERROR(__xludf.DUMMYFUNCTION("""COMPUTED_VALUE"""),45184.6666666666)</f>
        <v>45184.666666666599</v>
      </c>
      <c r="N1443" s="6">
        <f ca="1">IFERROR(__xludf.DUMMYFUNCTION("""COMPUTED_VALUE"""),13708.34)</f>
        <v>13708.34</v>
      </c>
      <c r="R1443" s="6" t="str">
        <f t="shared" ca="1" si="402"/>
        <v>202311</v>
      </c>
      <c r="S1443" s="6">
        <f t="shared" ca="1" si="403"/>
        <v>2023</v>
      </c>
      <c r="T1443" s="6">
        <f t="shared" ca="1" si="404"/>
        <v>11</v>
      </c>
      <c r="U1443" s="68">
        <f ca="1">IFERROR(__xludf.DUMMYFUNCTION("""COMPUTED_VALUE"""),45243.6458333333)</f>
        <v>45243.645833333299</v>
      </c>
      <c r="V1443" s="6">
        <f ca="1">IFERROR(__xludf.DUMMYFUNCTION("""COMPUTED_VALUE"""),2403.76)</f>
        <v>2403.7600000000002</v>
      </c>
      <c r="Z1443" s="6" t="str">
        <f t="shared" ca="1" si="405"/>
        <v>20221</v>
      </c>
      <c r="AA1443" s="6">
        <f t="shared" ca="1" si="406"/>
        <v>2022</v>
      </c>
      <c r="AB1443" s="6">
        <f t="shared" ca="1" si="407"/>
        <v>1</v>
      </c>
      <c r="AC1443" s="68">
        <f ca="1">IFERROR(__xludf.DUMMYFUNCTION("""COMPUTED_VALUE"""),44592.9986111111)</f>
        <v>44592.998611111099</v>
      </c>
      <c r="AD1443" s="6">
        <f ca="1">IFERROR(__xludf.DUMMYFUNCTION("""COMPUTED_VALUE"""),1205.12)</f>
        <v>1205.1199999999999</v>
      </c>
      <c r="AH1443" s="6" t="str">
        <f t="shared" ca="1" si="408"/>
        <v>202112</v>
      </c>
      <c r="AI1443" s="6">
        <f t="shared" ca="1" si="409"/>
        <v>2021</v>
      </c>
      <c r="AJ1443" s="6">
        <f t="shared" ca="1" si="410"/>
        <v>12</v>
      </c>
      <c r="AK1443" s="68">
        <f ca="1">IFERROR(__xludf.DUMMYFUNCTION("""COMPUTED_VALUE"""),44536.9986111111)</f>
        <v>44536.998611111099</v>
      </c>
      <c r="AL1443" s="6">
        <f ca="1">IFERROR(__xludf.DUMMYFUNCTION("""COMPUTED_VALUE"""),50594.02)</f>
        <v>50594.02</v>
      </c>
      <c r="AP1443" s="6" t="str">
        <f t="shared" ca="1" si="411"/>
        <v>202310</v>
      </c>
      <c r="AQ1443" s="6">
        <f t="shared" ca="1" si="412"/>
        <v>2023</v>
      </c>
      <c r="AR1443" s="6">
        <f t="shared" ca="1" si="413"/>
        <v>10</v>
      </c>
      <c r="AS1443" s="68">
        <f ca="1">IFERROR(__xludf.DUMMYFUNCTION("""COMPUTED_VALUE"""),45201.9986111111)</f>
        <v>45201.998611111099</v>
      </c>
      <c r="AT1443" s="6">
        <f ca="1">IFERROR(__xludf.DUMMYFUNCTION("""COMPUTED_VALUE"""),1847.2)</f>
        <v>1847.2</v>
      </c>
    </row>
    <row r="1444" spans="2:46" x14ac:dyDescent="0.35">
      <c r="B1444" s="6" t="str">
        <f t="shared" ca="1" si="396"/>
        <v>20239</v>
      </c>
      <c r="C1444" s="6">
        <f t="shared" ca="1" si="397"/>
        <v>2023</v>
      </c>
      <c r="D1444" s="6">
        <f t="shared" ca="1" si="398"/>
        <v>9</v>
      </c>
      <c r="E1444" s="68">
        <f ca="1">IFERROR(__xludf.DUMMYFUNCTION("""COMPUTED_VALUE"""),45195.6666666666)</f>
        <v>45195.666666666599</v>
      </c>
      <c r="F1444" s="6">
        <f ca="1">IFERROR(__xludf.DUMMYFUNCTION("""COMPUTED_VALUE"""),4273.53)</f>
        <v>4273.53</v>
      </c>
      <c r="J1444" s="6" t="str">
        <f t="shared" ca="1" si="399"/>
        <v>20239</v>
      </c>
      <c r="K1444" s="6">
        <f t="shared" ca="1" si="400"/>
        <v>2023</v>
      </c>
      <c r="L1444" s="6">
        <f t="shared" ca="1" si="401"/>
        <v>9</v>
      </c>
      <c r="M1444" s="68">
        <f ca="1">IFERROR(__xludf.DUMMYFUNCTION("""COMPUTED_VALUE"""),45187.6666666666)</f>
        <v>45187.666666666599</v>
      </c>
      <c r="N1444" s="6">
        <f ca="1">IFERROR(__xludf.DUMMYFUNCTION("""COMPUTED_VALUE"""),13710.24)</f>
        <v>13710.24</v>
      </c>
      <c r="R1444" s="6" t="str">
        <f t="shared" ca="1" si="402"/>
        <v>202311</v>
      </c>
      <c r="S1444" s="6">
        <f t="shared" ca="1" si="403"/>
        <v>2023</v>
      </c>
      <c r="T1444" s="6">
        <f t="shared" ca="1" si="404"/>
        <v>11</v>
      </c>
      <c r="U1444" s="68">
        <f ca="1">IFERROR(__xludf.DUMMYFUNCTION("""COMPUTED_VALUE"""),45244.6458333333)</f>
        <v>45244.645833333299</v>
      </c>
      <c r="V1444" s="6">
        <f ca="1">IFERROR(__xludf.DUMMYFUNCTION("""COMPUTED_VALUE"""),2433.25)</f>
        <v>2433.25</v>
      </c>
      <c r="Z1444" s="6" t="str">
        <f t="shared" ca="1" si="405"/>
        <v>20222</v>
      </c>
      <c r="AA1444" s="6">
        <f t="shared" ca="1" si="406"/>
        <v>2022</v>
      </c>
      <c r="AB1444" s="6">
        <f t="shared" ca="1" si="407"/>
        <v>2</v>
      </c>
      <c r="AC1444" s="68">
        <f ca="1">IFERROR(__xludf.DUMMYFUNCTION("""COMPUTED_VALUE"""),44593.9986111111)</f>
        <v>44593.998611111099</v>
      </c>
      <c r="AD1444" s="6">
        <f ca="1">IFERROR(__xludf.DUMMYFUNCTION("""COMPUTED_VALUE"""),1202.5)</f>
        <v>1202.5</v>
      </c>
      <c r="AH1444" s="6" t="str">
        <f t="shared" ca="1" si="408"/>
        <v>202112</v>
      </c>
      <c r="AI1444" s="6">
        <f t="shared" ca="1" si="409"/>
        <v>2021</v>
      </c>
      <c r="AJ1444" s="6">
        <f t="shared" ca="1" si="410"/>
        <v>12</v>
      </c>
      <c r="AK1444" s="68">
        <f ca="1">IFERROR(__xludf.DUMMYFUNCTION("""COMPUTED_VALUE"""),44537.9986111111)</f>
        <v>44537.998611111099</v>
      </c>
      <c r="AL1444" s="6">
        <f ca="1">IFERROR(__xludf.DUMMYFUNCTION("""COMPUTED_VALUE"""),50631.88)</f>
        <v>50631.88</v>
      </c>
      <c r="AP1444" s="6" t="str">
        <f t="shared" ca="1" si="411"/>
        <v>202310</v>
      </c>
      <c r="AQ1444" s="6">
        <f t="shared" ca="1" si="412"/>
        <v>2023</v>
      </c>
      <c r="AR1444" s="6">
        <f t="shared" ca="1" si="413"/>
        <v>10</v>
      </c>
      <c r="AS1444" s="68">
        <f ca="1">IFERROR(__xludf.DUMMYFUNCTION("""COMPUTED_VALUE"""),45202.9986111111)</f>
        <v>45202.998611111099</v>
      </c>
      <c r="AT1444" s="6">
        <f ca="1">IFERROR(__xludf.DUMMYFUNCTION("""COMPUTED_VALUE"""),1841.5)</f>
        <v>1841.5</v>
      </c>
    </row>
    <row r="1445" spans="2:46" x14ac:dyDescent="0.35">
      <c r="B1445" s="6" t="str">
        <f t="shared" ca="1" si="396"/>
        <v>20239</v>
      </c>
      <c r="C1445" s="6">
        <f t="shared" ca="1" si="397"/>
        <v>2023</v>
      </c>
      <c r="D1445" s="6">
        <f t="shared" ca="1" si="398"/>
        <v>9</v>
      </c>
      <c r="E1445" s="68">
        <f ca="1">IFERROR(__xludf.DUMMYFUNCTION("""COMPUTED_VALUE"""),45196.6666666666)</f>
        <v>45196.666666666599</v>
      </c>
      <c r="F1445" s="6">
        <f ca="1">IFERROR(__xludf.DUMMYFUNCTION("""COMPUTED_VALUE"""),4274.51)</f>
        <v>4274.51</v>
      </c>
      <c r="J1445" s="6" t="str">
        <f t="shared" ca="1" si="399"/>
        <v>20239</v>
      </c>
      <c r="K1445" s="6">
        <f t="shared" ca="1" si="400"/>
        <v>2023</v>
      </c>
      <c r="L1445" s="6">
        <f t="shared" ca="1" si="401"/>
        <v>9</v>
      </c>
      <c r="M1445" s="68">
        <f ca="1">IFERROR(__xludf.DUMMYFUNCTION("""COMPUTED_VALUE"""),45188.6666666666)</f>
        <v>45188.666666666599</v>
      </c>
      <c r="N1445" s="6">
        <f ca="1">IFERROR(__xludf.DUMMYFUNCTION("""COMPUTED_VALUE"""),13678.19)</f>
        <v>13678.19</v>
      </c>
      <c r="R1445" s="6" t="str">
        <f t="shared" ca="1" si="402"/>
        <v>202311</v>
      </c>
      <c r="S1445" s="6">
        <f t="shared" ca="1" si="403"/>
        <v>2023</v>
      </c>
      <c r="T1445" s="6">
        <f t="shared" ca="1" si="404"/>
        <v>11</v>
      </c>
      <c r="U1445" s="68">
        <f ca="1">IFERROR(__xludf.DUMMYFUNCTION("""COMPUTED_VALUE"""),45245.6458333333)</f>
        <v>45245.645833333299</v>
      </c>
      <c r="V1445" s="6">
        <f ca="1">IFERROR(__xludf.DUMMYFUNCTION("""COMPUTED_VALUE"""),2486.67)</f>
        <v>2486.67</v>
      </c>
      <c r="Z1445" s="6" t="str">
        <f t="shared" ca="1" si="405"/>
        <v>20222</v>
      </c>
      <c r="AA1445" s="6">
        <f t="shared" ca="1" si="406"/>
        <v>2022</v>
      </c>
      <c r="AB1445" s="6">
        <f t="shared" ca="1" si="407"/>
        <v>2</v>
      </c>
      <c r="AC1445" s="68">
        <f ca="1">IFERROR(__xludf.DUMMYFUNCTION("""COMPUTED_VALUE"""),44594.9986111111)</f>
        <v>44594.998611111099</v>
      </c>
      <c r="AD1445" s="6">
        <f ca="1">IFERROR(__xludf.DUMMYFUNCTION("""COMPUTED_VALUE"""),1199.96)</f>
        <v>1199.96</v>
      </c>
      <c r="AH1445" s="6" t="str">
        <f t="shared" ca="1" si="408"/>
        <v>202112</v>
      </c>
      <c r="AI1445" s="6">
        <f t="shared" ca="1" si="409"/>
        <v>2021</v>
      </c>
      <c r="AJ1445" s="6">
        <f t="shared" ca="1" si="410"/>
        <v>12</v>
      </c>
      <c r="AK1445" s="68">
        <f ca="1">IFERROR(__xludf.DUMMYFUNCTION("""COMPUTED_VALUE"""),44538.9986111111)</f>
        <v>44538.998611111099</v>
      </c>
      <c r="AL1445" s="6">
        <f ca="1">IFERROR(__xludf.DUMMYFUNCTION("""COMPUTED_VALUE"""),50495.16)</f>
        <v>50495.16</v>
      </c>
      <c r="AP1445" s="6" t="str">
        <f t="shared" ca="1" si="411"/>
        <v>202310</v>
      </c>
      <c r="AQ1445" s="6">
        <f t="shared" ca="1" si="412"/>
        <v>2023</v>
      </c>
      <c r="AR1445" s="6">
        <f t="shared" ca="1" si="413"/>
        <v>10</v>
      </c>
      <c r="AS1445" s="68">
        <f ca="1">IFERROR(__xludf.DUMMYFUNCTION("""COMPUTED_VALUE"""),45203.9986111111)</f>
        <v>45203.998611111099</v>
      </c>
      <c r="AT1445" s="6">
        <f ca="1">IFERROR(__xludf.DUMMYFUNCTION("""COMPUTED_VALUE"""),1834.8)</f>
        <v>1834.8</v>
      </c>
    </row>
    <row r="1446" spans="2:46" x14ac:dyDescent="0.35">
      <c r="B1446" s="6" t="str">
        <f t="shared" ca="1" si="396"/>
        <v>20239</v>
      </c>
      <c r="C1446" s="6">
        <f t="shared" ca="1" si="397"/>
        <v>2023</v>
      </c>
      <c r="D1446" s="6">
        <f t="shared" ca="1" si="398"/>
        <v>9</v>
      </c>
      <c r="E1446" s="68">
        <f ca="1">IFERROR(__xludf.DUMMYFUNCTION("""COMPUTED_VALUE"""),45197.6666666666)</f>
        <v>45197.666666666599</v>
      </c>
      <c r="F1446" s="6">
        <f ca="1">IFERROR(__xludf.DUMMYFUNCTION("""COMPUTED_VALUE"""),4299.7)</f>
        <v>4299.7</v>
      </c>
      <c r="J1446" s="6" t="str">
        <f t="shared" ca="1" si="399"/>
        <v>20239</v>
      </c>
      <c r="K1446" s="6">
        <f t="shared" ca="1" si="400"/>
        <v>2023</v>
      </c>
      <c r="L1446" s="6">
        <f t="shared" ca="1" si="401"/>
        <v>9</v>
      </c>
      <c r="M1446" s="68">
        <f ca="1">IFERROR(__xludf.DUMMYFUNCTION("""COMPUTED_VALUE"""),45189.6666666666)</f>
        <v>45189.666666666599</v>
      </c>
      <c r="N1446" s="6">
        <f ca="1">IFERROR(__xludf.DUMMYFUNCTION("""COMPUTED_VALUE"""),13469.13)</f>
        <v>13469.13</v>
      </c>
      <c r="R1446" s="6" t="str">
        <f t="shared" ca="1" si="402"/>
        <v>202311</v>
      </c>
      <c r="S1446" s="6">
        <f t="shared" ca="1" si="403"/>
        <v>2023</v>
      </c>
      <c r="T1446" s="6">
        <f t="shared" ca="1" si="404"/>
        <v>11</v>
      </c>
      <c r="U1446" s="68">
        <f ca="1">IFERROR(__xludf.DUMMYFUNCTION("""COMPUTED_VALUE"""),45246.6458333333)</f>
        <v>45246.645833333299</v>
      </c>
      <c r="V1446" s="6">
        <f ca="1">IFERROR(__xludf.DUMMYFUNCTION("""COMPUTED_VALUE"""),2488.18)</f>
        <v>2488.1799999999998</v>
      </c>
      <c r="Z1446" s="6" t="str">
        <f t="shared" ca="1" si="405"/>
        <v>20222</v>
      </c>
      <c r="AA1446" s="6">
        <f t="shared" ca="1" si="406"/>
        <v>2022</v>
      </c>
      <c r="AB1446" s="6">
        <f t="shared" ca="1" si="407"/>
        <v>2</v>
      </c>
      <c r="AC1446" s="68">
        <f ca="1">IFERROR(__xludf.DUMMYFUNCTION("""COMPUTED_VALUE"""),44595.9986111111)</f>
        <v>44595.998611111099</v>
      </c>
      <c r="AD1446" s="6">
        <f ca="1">IFERROR(__xludf.DUMMYFUNCTION("""COMPUTED_VALUE"""),1200.33)</f>
        <v>1200.33</v>
      </c>
      <c r="AH1446" s="6" t="str">
        <f t="shared" ca="1" si="408"/>
        <v>202112</v>
      </c>
      <c r="AI1446" s="6">
        <f t="shared" ca="1" si="409"/>
        <v>2021</v>
      </c>
      <c r="AJ1446" s="6">
        <f t="shared" ca="1" si="410"/>
        <v>12</v>
      </c>
      <c r="AK1446" s="68">
        <f ca="1">IFERROR(__xludf.DUMMYFUNCTION("""COMPUTED_VALUE"""),44539.9986111111)</f>
        <v>44539.998611111099</v>
      </c>
      <c r="AL1446" s="6">
        <f ca="1">IFERROR(__xludf.DUMMYFUNCTION("""COMPUTED_VALUE"""),47605.4)</f>
        <v>47605.4</v>
      </c>
      <c r="AP1446" s="6" t="str">
        <f t="shared" ca="1" si="411"/>
        <v>202310</v>
      </c>
      <c r="AQ1446" s="6">
        <f t="shared" ca="1" si="412"/>
        <v>2023</v>
      </c>
      <c r="AR1446" s="6">
        <f t="shared" ca="1" si="413"/>
        <v>10</v>
      </c>
      <c r="AS1446" s="68">
        <f ca="1">IFERROR(__xludf.DUMMYFUNCTION("""COMPUTED_VALUE"""),45204.9986111111)</f>
        <v>45204.998611111099</v>
      </c>
      <c r="AT1446" s="6">
        <f ca="1">IFERROR(__xludf.DUMMYFUNCTION("""COMPUTED_VALUE"""),1831.8)</f>
        <v>1831.8</v>
      </c>
    </row>
    <row r="1447" spans="2:46" x14ac:dyDescent="0.35">
      <c r="B1447" s="6" t="str">
        <f t="shared" ca="1" si="396"/>
        <v>20239</v>
      </c>
      <c r="C1447" s="6">
        <f t="shared" ca="1" si="397"/>
        <v>2023</v>
      </c>
      <c r="D1447" s="6">
        <f t="shared" ca="1" si="398"/>
        <v>9</v>
      </c>
      <c r="E1447" s="68">
        <f ca="1">IFERROR(__xludf.DUMMYFUNCTION("""COMPUTED_VALUE"""),45198.6666666666)</f>
        <v>45198.666666666599</v>
      </c>
      <c r="F1447" s="6">
        <f ca="1">IFERROR(__xludf.DUMMYFUNCTION("""COMPUTED_VALUE"""),4288.05)</f>
        <v>4288.05</v>
      </c>
      <c r="J1447" s="6" t="str">
        <f t="shared" ca="1" si="399"/>
        <v>20239</v>
      </c>
      <c r="K1447" s="6">
        <f t="shared" ca="1" si="400"/>
        <v>2023</v>
      </c>
      <c r="L1447" s="6">
        <f t="shared" ca="1" si="401"/>
        <v>9</v>
      </c>
      <c r="M1447" s="68">
        <f ca="1">IFERROR(__xludf.DUMMYFUNCTION("""COMPUTED_VALUE"""),45190.6666666666)</f>
        <v>45190.666666666599</v>
      </c>
      <c r="N1447" s="6">
        <f ca="1">IFERROR(__xludf.DUMMYFUNCTION("""COMPUTED_VALUE"""),13223.99)</f>
        <v>13223.99</v>
      </c>
      <c r="R1447" s="6" t="str">
        <f t="shared" ca="1" si="402"/>
        <v>202311</v>
      </c>
      <c r="S1447" s="6">
        <f t="shared" ca="1" si="403"/>
        <v>2023</v>
      </c>
      <c r="T1447" s="6">
        <f t="shared" ca="1" si="404"/>
        <v>11</v>
      </c>
      <c r="U1447" s="68">
        <f ca="1">IFERROR(__xludf.DUMMYFUNCTION("""COMPUTED_VALUE"""),45247.6458333333)</f>
        <v>45247.645833333299</v>
      </c>
      <c r="V1447" s="6">
        <f ca="1">IFERROR(__xludf.DUMMYFUNCTION("""COMPUTED_VALUE"""),2469.85)</f>
        <v>2469.85</v>
      </c>
      <c r="Z1447" s="6" t="str">
        <f t="shared" ca="1" si="405"/>
        <v>20222</v>
      </c>
      <c r="AA1447" s="6">
        <f t="shared" ca="1" si="406"/>
        <v>2022</v>
      </c>
      <c r="AB1447" s="6">
        <f t="shared" ca="1" si="407"/>
        <v>2</v>
      </c>
      <c r="AC1447" s="68">
        <f ca="1">IFERROR(__xludf.DUMMYFUNCTION("""COMPUTED_VALUE"""),44596.9986111111)</f>
        <v>44596.998611111099</v>
      </c>
      <c r="AD1447" s="6">
        <f ca="1">IFERROR(__xludf.DUMMYFUNCTION("""COMPUTED_VALUE"""),1197.09)</f>
        <v>1197.0899999999999</v>
      </c>
      <c r="AH1447" s="6" t="str">
        <f t="shared" ca="1" si="408"/>
        <v>202112</v>
      </c>
      <c r="AI1447" s="6">
        <f t="shared" ca="1" si="409"/>
        <v>2021</v>
      </c>
      <c r="AJ1447" s="6">
        <f t="shared" ca="1" si="410"/>
        <v>12</v>
      </c>
      <c r="AK1447" s="68">
        <f ca="1">IFERROR(__xludf.DUMMYFUNCTION("""COMPUTED_VALUE"""),44540.9986111111)</f>
        <v>44540.998611111099</v>
      </c>
      <c r="AL1447" s="6">
        <f ca="1">IFERROR(__xludf.DUMMYFUNCTION("""COMPUTED_VALUE"""),47157.46)</f>
        <v>47157.46</v>
      </c>
      <c r="AP1447" s="6" t="str">
        <f t="shared" ca="1" si="411"/>
        <v>202310</v>
      </c>
      <c r="AQ1447" s="6">
        <f t="shared" ca="1" si="412"/>
        <v>2023</v>
      </c>
      <c r="AR1447" s="6">
        <f t="shared" ca="1" si="413"/>
        <v>10</v>
      </c>
      <c r="AS1447" s="68">
        <f ca="1">IFERROR(__xludf.DUMMYFUNCTION("""COMPUTED_VALUE"""),45205.9986111111)</f>
        <v>45205.998611111099</v>
      </c>
      <c r="AT1447" s="6">
        <f ca="1">IFERROR(__xludf.DUMMYFUNCTION("""COMPUTED_VALUE"""),1845.2)</f>
        <v>1845.2</v>
      </c>
    </row>
    <row r="1448" spans="2:46" x14ac:dyDescent="0.35">
      <c r="B1448" s="6" t="str">
        <f t="shared" ca="1" si="396"/>
        <v>202310</v>
      </c>
      <c r="C1448" s="6">
        <f t="shared" ca="1" si="397"/>
        <v>2023</v>
      </c>
      <c r="D1448" s="6">
        <f t="shared" ca="1" si="398"/>
        <v>10</v>
      </c>
      <c r="E1448" s="68">
        <f ca="1">IFERROR(__xludf.DUMMYFUNCTION("""COMPUTED_VALUE"""),45201.6666666666)</f>
        <v>45201.666666666599</v>
      </c>
      <c r="F1448" s="6">
        <f ca="1">IFERROR(__xludf.DUMMYFUNCTION("""COMPUTED_VALUE"""),4288.39)</f>
        <v>4288.3900000000003</v>
      </c>
      <c r="J1448" s="6" t="str">
        <f t="shared" ca="1" si="399"/>
        <v>20239</v>
      </c>
      <c r="K1448" s="6">
        <f t="shared" ca="1" si="400"/>
        <v>2023</v>
      </c>
      <c r="L1448" s="6">
        <f t="shared" ca="1" si="401"/>
        <v>9</v>
      </c>
      <c r="M1448" s="68">
        <f ca="1">IFERROR(__xludf.DUMMYFUNCTION("""COMPUTED_VALUE"""),45191.6666666666)</f>
        <v>45191.666666666599</v>
      </c>
      <c r="N1448" s="6">
        <f ca="1">IFERROR(__xludf.DUMMYFUNCTION("""COMPUTED_VALUE"""),13211.81)</f>
        <v>13211.81</v>
      </c>
      <c r="R1448" s="6" t="str">
        <f t="shared" ca="1" si="402"/>
        <v>202311</v>
      </c>
      <c r="S1448" s="6">
        <f t="shared" ca="1" si="403"/>
        <v>2023</v>
      </c>
      <c r="T1448" s="6">
        <f t="shared" ca="1" si="404"/>
        <v>11</v>
      </c>
      <c r="U1448" s="68">
        <f ca="1">IFERROR(__xludf.DUMMYFUNCTION("""COMPUTED_VALUE"""),45250.6458333333)</f>
        <v>45250.645833333299</v>
      </c>
      <c r="V1448" s="6">
        <f ca="1">IFERROR(__xludf.DUMMYFUNCTION("""COMPUTED_VALUE"""),2491.2)</f>
        <v>2491.1999999999998</v>
      </c>
      <c r="Z1448" s="6" t="str">
        <f t="shared" ca="1" si="405"/>
        <v>20222</v>
      </c>
      <c r="AA1448" s="6">
        <f t="shared" ca="1" si="406"/>
        <v>2022</v>
      </c>
      <c r="AB1448" s="6">
        <f t="shared" ca="1" si="407"/>
        <v>2</v>
      </c>
      <c r="AC1448" s="68">
        <f ca="1">IFERROR(__xludf.DUMMYFUNCTION("""COMPUTED_VALUE"""),44597.9986111111)</f>
        <v>44597.998611111099</v>
      </c>
      <c r="AD1448" s="6">
        <f ca="1">IFERROR(__xludf.DUMMYFUNCTION("""COMPUTED_VALUE"""),1197.09)</f>
        <v>1197.0899999999999</v>
      </c>
      <c r="AH1448" s="6" t="str">
        <f t="shared" ca="1" si="408"/>
        <v>202112</v>
      </c>
      <c r="AI1448" s="6">
        <f t="shared" ca="1" si="409"/>
        <v>2021</v>
      </c>
      <c r="AJ1448" s="6">
        <f t="shared" ca="1" si="410"/>
        <v>12</v>
      </c>
      <c r="AK1448" s="68">
        <f ca="1">IFERROR(__xludf.DUMMYFUNCTION("""COMPUTED_VALUE"""),44541.9986111111)</f>
        <v>44541.998611111099</v>
      </c>
      <c r="AL1448" s="6">
        <f ca="1">IFERROR(__xludf.DUMMYFUNCTION("""COMPUTED_VALUE"""),49340.38)</f>
        <v>49340.38</v>
      </c>
      <c r="AP1448" s="6" t="str">
        <f t="shared" ca="1" si="411"/>
        <v>202310</v>
      </c>
      <c r="AQ1448" s="6">
        <f t="shared" ca="1" si="412"/>
        <v>2023</v>
      </c>
      <c r="AR1448" s="6">
        <f t="shared" ca="1" si="413"/>
        <v>10</v>
      </c>
      <c r="AS1448" s="68">
        <f ca="1">IFERROR(__xludf.DUMMYFUNCTION("""COMPUTED_VALUE"""),45208.9986111111)</f>
        <v>45208.998611111099</v>
      </c>
      <c r="AT1448" s="6">
        <f ca="1">IFERROR(__xludf.DUMMYFUNCTION("""COMPUTED_VALUE"""),1864.3)</f>
        <v>1864.3</v>
      </c>
    </row>
    <row r="1449" spans="2:46" x14ac:dyDescent="0.35">
      <c r="B1449" s="6" t="str">
        <f t="shared" ca="1" si="396"/>
        <v>202310</v>
      </c>
      <c r="C1449" s="6">
        <f t="shared" ca="1" si="397"/>
        <v>2023</v>
      </c>
      <c r="D1449" s="6">
        <f t="shared" ca="1" si="398"/>
        <v>10</v>
      </c>
      <c r="E1449" s="68">
        <f ca="1">IFERROR(__xludf.DUMMYFUNCTION("""COMPUTED_VALUE"""),45202.6666666666)</f>
        <v>45202.666666666599</v>
      </c>
      <c r="F1449" s="6">
        <f ca="1">IFERROR(__xludf.DUMMYFUNCTION("""COMPUTED_VALUE"""),4229.45)</f>
        <v>4229.45</v>
      </c>
      <c r="J1449" s="6" t="str">
        <f t="shared" ca="1" si="399"/>
        <v>20239</v>
      </c>
      <c r="K1449" s="6">
        <f t="shared" ca="1" si="400"/>
        <v>2023</v>
      </c>
      <c r="L1449" s="6">
        <f t="shared" ca="1" si="401"/>
        <v>9</v>
      </c>
      <c r="M1449" s="68">
        <f ca="1">IFERROR(__xludf.DUMMYFUNCTION("""COMPUTED_VALUE"""),45194.6666666666)</f>
        <v>45194.666666666599</v>
      </c>
      <c r="N1449" s="6">
        <f ca="1">IFERROR(__xludf.DUMMYFUNCTION("""COMPUTED_VALUE"""),13271.32)</f>
        <v>13271.32</v>
      </c>
      <c r="R1449" s="6" t="str">
        <f t="shared" ca="1" si="402"/>
        <v>202311</v>
      </c>
      <c r="S1449" s="6">
        <f t="shared" ca="1" si="403"/>
        <v>2023</v>
      </c>
      <c r="T1449" s="6">
        <f t="shared" ca="1" si="404"/>
        <v>11</v>
      </c>
      <c r="U1449" s="68">
        <f ca="1">IFERROR(__xludf.DUMMYFUNCTION("""COMPUTED_VALUE"""),45251.6458333333)</f>
        <v>45251.645833333299</v>
      </c>
      <c r="V1449" s="6">
        <f ca="1">IFERROR(__xludf.DUMMYFUNCTION("""COMPUTED_VALUE"""),2510.42)</f>
        <v>2510.42</v>
      </c>
      <c r="Z1449" s="6" t="str">
        <f t="shared" ca="1" si="405"/>
        <v>20222</v>
      </c>
      <c r="AA1449" s="6">
        <f t="shared" ca="1" si="406"/>
        <v>2022</v>
      </c>
      <c r="AB1449" s="6">
        <f t="shared" ca="1" si="407"/>
        <v>2</v>
      </c>
      <c r="AC1449" s="68">
        <f ca="1">IFERROR(__xludf.DUMMYFUNCTION("""COMPUTED_VALUE"""),44598.9986111111)</f>
        <v>44598.998611111099</v>
      </c>
      <c r="AD1449" s="6">
        <f ca="1">IFERROR(__xludf.DUMMYFUNCTION("""COMPUTED_VALUE"""),1197.09)</f>
        <v>1197.0899999999999</v>
      </c>
      <c r="AH1449" s="6" t="str">
        <f t="shared" ca="1" si="408"/>
        <v>202112</v>
      </c>
      <c r="AI1449" s="6">
        <f t="shared" ca="1" si="409"/>
        <v>2021</v>
      </c>
      <c r="AJ1449" s="6">
        <f t="shared" ca="1" si="410"/>
        <v>12</v>
      </c>
      <c r="AK1449" s="68">
        <f ca="1">IFERROR(__xludf.DUMMYFUNCTION("""COMPUTED_VALUE"""),44542.9986111111)</f>
        <v>44542.998611111099</v>
      </c>
      <c r="AL1449" s="6">
        <f ca="1">IFERROR(__xludf.DUMMYFUNCTION("""COMPUTED_VALUE"""),50096.77)</f>
        <v>50096.77</v>
      </c>
      <c r="AP1449" s="6" t="str">
        <f t="shared" ca="1" si="411"/>
        <v>202310</v>
      </c>
      <c r="AQ1449" s="6">
        <f t="shared" ca="1" si="412"/>
        <v>2023</v>
      </c>
      <c r="AR1449" s="6">
        <f t="shared" ca="1" si="413"/>
        <v>10</v>
      </c>
      <c r="AS1449" s="68">
        <f ca="1">IFERROR(__xludf.DUMMYFUNCTION("""COMPUTED_VALUE"""),45209.9986111111)</f>
        <v>45209.998611111099</v>
      </c>
      <c r="AT1449" s="6">
        <f ca="1">IFERROR(__xludf.DUMMYFUNCTION("""COMPUTED_VALUE"""),1875.3)</f>
        <v>1875.3</v>
      </c>
    </row>
    <row r="1450" spans="2:46" x14ac:dyDescent="0.35">
      <c r="B1450" s="6" t="str">
        <f t="shared" ca="1" si="396"/>
        <v>202310</v>
      </c>
      <c r="C1450" s="6">
        <f t="shared" ca="1" si="397"/>
        <v>2023</v>
      </c>
      <c r="D1450" s="6">
        <f t="shared" ca="1" si="398"/>
        <v>10</v>
      </c>
      <c r="E1450" s="68">
        <f ca="1">IFERROR(__xludf.DUMMYFUNCTION("""COMPUTED_VALUE"""),45203.6666666666)</f>
        <v>45203.666666666599</v>
      </c>
      <c r="F1450" s="6">
        <f ca="1">IFERROR(__xludf.DUMMYFUNCTION("""COMPUTED_VALUE"""),4263.75)</f>
        <v>4263.75</v>
      </c>
      <c r="J1450" s="6" t="str">
        <f t="shared" ca="1" si="399"/>
        <v>20239</v>
      </c>
      <c r="K1450" s="6">
        <f t="shared" ca="1" si="400"/>
        <v>2023</v>
      </c>
      <c r="L1450" s="6">
        <f t="shared" ca="1" si="401"/>
        <v>9</v>
      </c>
      <c r="M1450" s="68">
        <f ca="1">IFERROR(__xludf.DUMMYFUNCTION("""COMPUTED_VALUE"""),45195.6666666666)</f>
        <v>45195.666666666599</v>
      </c>
      <c r="N1450" s="6">
        <f ca="1">IFERROR(__xludf.DUMMYFUNCTION("""COMPUTED_VALUE"""),13063.61)</f>
        <v>13063.61</v>
      </c>
      <c r="R1450" s="6" t="str">
        <f t="shared" ca="1" si="402"/>
        <v>202311</v>
      </c>
      <c r="S1450" s="6">
        <f t="shared" ca="1" si="403"/>
        <v>2023</v>
      </c>
      <c r="T1450" s="6">
        <f t="shared" ca="1" si="404"/>
        <v>11</v>
      </c>
      <c r="U1450" s="68">
        <f ca="1">IFERROR(__xludf.DUMMYFUNCTION("""COMPUTED_VALUE"""),45252.6458333333)</f>
        <v>45252.645833333299</v>
      </c>
      <c r="V1450" s="6">
        <f ca="1">IFERROR(__xludf.DUMMYFUNCTION("""COMPUTED_VALUE"""),2511.7)</f>
        <v>2511.6999999999998</v>
      </c>
      <c r="Z1450" s="6" t="str">
        <f t="shared" ca="1" si="405"/>
        <v>20222</v>
      </c>
      <c r="AA1450" s="6">
        <f t="shared" ca="1" si="406"/>
        <v>2022</v>
      </c>
      <c r="AB1450" s="6">
        <f t="shared" ca="1" si="407"/>
        <v>2</v>
      </c>
      <c r="AC1450" s="68">
        <f ca="1">IFERROR(__xludf.DUMMYFUNCTION("""COMPUTED_VALUE"""),44599.9986111111)</f>
        <v>44599.998611111099</v>
      </c>
      <c r="AD1450" s="6">
        <f ca="1">IFERROR(__xludf.DUMMYFUNCTION("""COMPUTED_VALUE"""),1196.85)</f>
        <v>1196.8499999999999</v>
      </c>
      <c r="AH1450" s="6" t="str">
        <f t="shared" ca="1" si="408"/>
        <v>202112</v>
      </c>
      <c r="AI1450" s="6">
        <f t="shared" ca="1" si="409"/>
        <v>2021</v>
      </c>
      <c r="AJ1450" s="6">
        <f t="shared" ca="1" si="410"/>
        <v>12</v>
      </c>
      <c r="AK1450" s="68">
        <f ca="1">IFERROR(__xludf.DUMMYFUNCTION("""COMPUTED_VALUE"""),44543.9986111111)</f>
        <v>44543.998611111099</v>
      </c>
      <c r="AL1450" s="6">
        <f ca="1">IFERROR(__xludf.DUMMYFUNCTION("""COMPUTED_VALUE"""),46725.26)</f>
        <v>46725.26</v>
      </c>
      <c r="AP1450" s="6" t="str">
        <f t="shared" ca="1" si="411"/>
        <v>202310</v>
      </c>
      <c r="AQ1450" s="6">
        <f t="shared" ca="1" si="412"/>
        <v>2023</v>
      </c>
      <c r="AR1450" s="6">
        <f t="shared" ca="1" si="413"/>
        <v>10</v>
      </c>
      <c r="AS1450" s="68">
        <f ca="1">IFERROR(__xludf.DUMMYFUNCTION("""COMPUTED_VALUE"""),45210.9986111111)</f>
        <v>45210.998611111099</v>
      </c>
      <c r="AT1450" s="6">
        <f ca="1">IFERROR(__xludf.DUMMYFUNCTION("""COMPUTED_VALUE"""),1887.3)</f>
        <v>1887.3</v>
      </c>
    </row>
    <row r="1451" spans="2:46" x14ac:dyDescent="0.35">
      <c r="B1451" s="6" t="str">
        <f t="shared" ca="1" si="396"/>
        <v>202310</v>
      </c>
      <c r="C1451" s="6">
        <f t="shared" ca="1" si="397"/>
        <v>2023</v>
      </c>
      <c r="D1451" s="6">
        <f t="shared" ca="1" si="398"/>
        <v>10</v>
      </c>
      <c r="E1451" s="68">
        <f ca="1">IFERROR(__xludf.DUMMYFUNCTION("""COMPUTED_VALUE"""),45204.6666666666)</f>
        <v>45204.666666666599</v>
      </c>
      <c r="F1451" s="6">
        <f ca="1">IFERROR(__xludf.DUMMYFUNCTION("""COMPUTED_VALUE"""),4258.19)</f>
        <v>4258.1899999999996</v>
      </c>
      <c r="J1451" s="6" t="str">
        <f t="shared" ca="1" si="399"/>
        <v>20239</v>
      </c>
      <c r="K1451" s="6">
        <f t="shared" ca="1" si="400"/>
        <v>2023</v>
      </c>
      <c r="L1451" s="6">
        <f t="shared" ca="1" si="401"/>
        <v>9</v>
      </c>
      <c r="M1451" s="68">
        <f ca="1">IFERROR(__xludf.DUMMYFUNCTION("""COMPUTED_VALUE"""),45196.6666666666)</f>
        <v>45196.666666666599</v>
      </c>
      <c r="N1451" s="6">
        <f ca="1">IFERROR(__xludf.DUMMYFUNCTION("""COMPUTED_VALUE"""),13092.85)</f>
        <v>13092.85</v>
      </c>
      <c r="R1451" s="6" t="str">
        <f t="shared" ca="1" si="402"/>
        <v>202311</v>
      </c>
      <c r="S1451" s="6">
        <f t="shared" ca="1" si="403"/>
        <v>2023</v>
      </c>
      <c r="T1451" s="6">
        <f t="shared" ca="1" si="404"/>
        <v>11</v>
      </c>
      <c r="U1451" s="68">
        <f ca="1">IFERROR(__xludf.DUMMYFUNCTION("""COMPUTED_VALUE"""),45253.6458333333)</f>
        <v>45253.645833333299</v>
      </c>
      <c r="V1451" s="6">
        <f ca="1">IFERROR(__xludf.DUMMYFUNCTION("""COMPUTED_VALUE"""),2514.96)</f>
        <v>2514.96</v>
      </c>
      <c r="Z1451" s="6" t="str">
        <f t="shared" ca="1" si="405"/>
        <v>20222</v>
      </c>
      <c r="AA1451" s="6">
        <f t="shared" ca="1" si="406"/>
        <v>2022</v>
      </c>
      <c r="AB1451" s="6">
        <f t="shared" ca="1" si="407"/>
        <v>2</v>
      </c>
      <c r="AC1451" s="68">
        <f ca="1">IFERROR(__xludf.DUMMYFUNCTION("""COMPUTED_VALUE"""),44600.9986111111)</f>
        <v>44600.998611111099</v>
      </c>
      <c r="AD1451" s="6">
        <f ca="1">IFERROR(__xludf.DUMMYFUNCTION("""COMPUTED_VALUE"""),1196.36)</f>
        <v>1196.3599999999999</v>
      </c>
      <c r="AH1451" s="6" t="str">
        <f t="shared" ca="1" si="408"/>
        <v>202112</v>
      </c>
      <c r="AI1451" s="6">
        <f t="shared" ca="1" si="409"/>
        <v>2021</v>
      </c>
      <c r="AJ1451" s="6">
        <f t="shared" ca="1" si="410"/>
        <v>12</v>
      </c>
      <c r="AK1451" s="68">
        <f ca="1">IFERROR(__xludf.DUMMYFUNCTION("""COMPUTED_VALUE"""),44544.9986111111)</f>
        <v>44544.998611111099</v>
      </c>
      <c r="AL1451" s="6">
        <f ca="1">IFERROR(__xludf.DUMMYFUNCTION("""COMPUTED_VALUE"""),48387.72)</f>
        <v>48387.72</v>
      </c>
      <c r="AP1451" s="6" t="str">
        <f t="shared" ca="1" si="411"/>
        <v>202310</v>
      </c>
      <c r="AQ1451" s="6">
        <f t="shared" ca="1" si="412"/>
        <v>2023</v>
      </c>
      <c r="AR1451" s="6">
        <f t="shared" ca="1" si="413"/>
        <v>10</v>
      </c>
      <c r="AS1451" s="68">
        <f ca="1">IFERROR(__xludf.DUMMYFUNCTION("""COMPUTED_VALUE"""),45211.9986111111)</f>
        <v>45211.998611111099</v>
      </c>
      <c r="AT1451" s="6">
        <f ca="1">IFERROR(__xludf.DUMMYFUNCTION("""COMPUTED_VALUE"""),1883)</f>
        <v>1883</v>
      </c>
    </row>
    <row r="1452" spans="2:46" x14ac:dyDescent="0.35">
      <c r="B1452" s="6" t="str">
        <f t="shared" ca="1" si="396"/>
        <v>202310</v>
      </c>
      <c r="C1452" s="6">
        <f t="shared" ca="1" si="397"/>
        <v>2023</v>
      </c>
      <c r="D1452" s="6">
        <f t="shared" ca="1" si="398"/>
        <v>10</v>
      </c>
      <c r="E1452" s="68">
        <f ca="1">IFERROR(__xludf.DUMMYFUNCTION("""COMPUTED_VALUE"""),45205.6666666666)</f>
        <v>45205.666666666599</v>
      </c>
      <c r="F1452" s="6">
        <f ca="1">IFERROR(__xludf.DUMMYFUNCTION("""COMPUTED_VALUE"""),4308.5)</f>
        <v>4308.5</v>
      </c>
      <c r="J1452" s="6" t="str">
        <f t="shared" ca="1" si="399"/>
        <v>20239</v>
      </c>
      <c r="K1452" s="6">
        <f t="shared" ca="1" si="400"/>
        <v>2023</v>
      </c>
      <c r="L1452" s="6">
        <f t="shared" ca="1" si="401"/>
        <v>9</v>
      </c>
      <c r="M1452" s="68">
        <f ca="1">IFERROR(__xludf.DUMMYFUNCTION("""COMPUTED_VALUE"""),45197.6666666666)</f>
        <v>45197.666666666599</v>
      </c>
      <c r="N1452" s="6">
        <f ca="1">IFERROR(__xludf.DUMMYFUNCTION("""COMPUTED_VALUE"""),13201.28)</f>
        <v>13201.28</v>
      </c>
      <c r="R1452" s="6" t="str">
        <f t="shared" ca="1" si="402"/>
        <v>202311</v>
      </c>
      <c r="S1452" s="6">
        <f t="shared" ca="1" si="403"/>
        <v>2023</v>
      </c>
      <c r="T1452" s="6">
        <f t="shared" ca="1" si="404"/>
        <v>11</v>
      </c>
      <c r="U1452" s="68">
        <f ca="1">IFERROR(__xludf.DUMMYFUNCTION("""COMPUTED_VALUE"""),45254.6458333333)</f>
        <v>45254.645833333299</v>
      </c>
      <c r="V1452" s="6">
        <f ca="1">IFERROR(__xludf.DUMMYFUNCTION("""COMPUTED_VALUE"""),2496.63)</f>
        <v>2496.63</v>
      </c>
      <c r="Z1452" s="6" t="str">
        <f t="shared" ca="1" si="405"/>
        <v>20222</v>
      </c>
      <c r="AA1452" s="6">
        <f t="shared" ca="1" si="406"/>
        <v>2022</v>
      </c>
      <c r="AB1452" s="6">
        <f t="shared" ca="1" si="407"/>
        <v>2</v>
      </c>
      <c r="AC1452" s="68">
        <f ca="1">IFERROR(__xludf.DUMMYFUNCTION("""COMPUTED_VALUE"""),44601.9986111111)</f>
        <v>44601.998611111099</v>
      </c>
      <c r="AD1452" s="6">
        <f ca="1">IFERROR(__xludf.DUMMYFUNCTION("""COMPUTED_VALUE"""),1194.03)</f>
        <v>1194.03</v>
      </c>
      <c r="AH1452" s="6" t="str">
        <f t="shared" ca="1" si="408"/>
        <v>202112</v>
      </c>
      <c r="AI1452" s="6">
        <f t="shared" ca="1" si="409"/>
        <v>2021</v>
      </c>
      <c r="AJ1452" s="6">
        <f t="shared" ca="1" si="410"/>
        <v>12</v>
      </c>
      <c r="AK1452" s="68">
        <f ca="1">IFERROR(__xludf.DUMMYFUNCTION("""COMPUTED_VALUE"""),44545.9986111111)</f>
        <v>44545.998611111099</v>
      </c>
      <c r="AL1452" s="6">
        <f ca="1">IFERROR(__xludf.DUMMYFUNCTION("""COMPUTED_VALUE"""),48874.04)</f>
        <v>48874.04</v>
      </c>
      <c r="AP1452" s="6" t="str">
        <f t="shared" ca="1" si="411"/>
        <v>202310</v>
      </c>
      <c r="AQ1452" s="6">
        <f t="shared" ca="1" si="412"/>
        <v>2023</v>
      </c>
      <c r="AR1452" s="6">
        <f t="shared" ca="1" si="413"/>
        <v>10</v>
      </c>
      <c r="AS1452" s="68">
        <f ca="1">IFERROR(__xludf.DUMMYFUNCTION("""COMPUTED_VALUE"""),45212.9986111111)</f>
        <v>45212.998611111099</v>
      </c>
      <c r="AT1452" s="6">
        <f ca="1">IFERROR(__xludf.DUMMYFUNCTION("""COMPUTED_VALUE"""),1941.5)</f>
        <v>1941.5</v>
      </c>
    </row>
    <row r="1453" spans="2:46" x14ac:dyDescent="0.35">
      <c r="B1453" s="6" t="str">
        <f t="shared" ca="1" si="396"/>
        <v>202310</v>
      </c>
      <c r="C1453" s="6">
        <f t="shared" ca="1" si="397"/>
        <v>2023</v>
      </c>
      <c r="D1453" s="6">
        <f t="shared" ca="1" si="398"/>
        <v>10</v>
      </c>
      <c r="E1453" s="68">
        <f ca="1">IFERROR(__xludf.DUMMYFUNCTION("""COMPUTED_VALUE"""),45208.6666666666)</f>
        <v>45208.666666666599</v>
      </c>
      <c r="F1453" s="6">
        <f ca="1">IFERROR(__xludf.DUMMYFUNCTION("""COMPUTED_VALUE"""),4335.66)</f>
        <v>4335.66</v>
      </c>
      <c r="J1453" s="6" t="str">
        <f t="shared" ca="1" si="399"/>
        <v>20239</v>
      </c>
      <c r="K1453" s="6">
        <f t="shared" ca="1" si="400"/>
        <v>2023</v>
      </c>
      <c r="L1453" s="6">
        <f t="shared" ca="1" si="401"/>
        <v>9</v>
      </c>
      <c r="M1453" s="68">
        <f ca="1">IFERROR(__xludf.DUMMYFUNCTION("""COMPUTED_VALUE"""),45198.6666666666)</f>
        <v>45198.666666666599</v>
      </c>
      <c r="N1453" s="6">
        <f ca="1">IFERROR(__xludf.DUMMYFUNCTION("""COMPUTED_VALUE"""),13219.32)</f>
        <v>13219.32</v>
      </c>
      <c r="R1453" s="6" t="str">
        <f t="shared" ca="1" si="402"/>
        <v>202311</v>
      </c>
      <c r="S1453" s="6">
        <f t="shared" ca="1" si="403"/>
        <v>2023</v>
      </c>
      <c r="T1453" s="6">
        <f t="shared" ca="1" si="404"/>
        <v>11</v>
      </c>
      <c r="U1453" s="68">
        <f ca="1">IFERROR(__xludf.DUMMYFUNCTION("""COMPUTED_VALUE"""),45257.6458333333)</f>
        <v>45257.645833333299</v>
      </c>
      <c r="V1453" s="6">
        <f ca="1">IFERROR(__xludf.DUMMYFUNCTION("""COMPUTED_VALUE"""),2495.66)</f>
        <v>2495.66</v>
      </c>
      <c r="Z1453" s="6" t="str">
        <f t="shared" ca="1" si="405"/>
        <v>20222</v>
      </c>
      <c r="AA1453" s="6">
        <f t="shared" ca="1" si="406"/>
        <v>2022</v>
      </c>
      <c r="AB1453" s="6">
        <f t="shared" ca="1" si="407"/>
        <v>2</v>
      </c>
      <c r="AC1453" s="68">
        <f ca="1">IFERROR(__xludf.DUMMYFUNCTION("""COMPUTED_VALUE"""),44602.9986111111)</f>
        <v>44602.998611111099</v>
      </c>
      <c r="AD1453" s="6">
        <f ca="1">IFERROR(__xludf.DUMMYFUNCTION("""COMPUTED_VALUE"""),1199.35)</f>
        <v>1199.3499999999999</v>
      </c>
      <c r="AH1453" s="6" t="str">
        <f t="shared" ca="1" si="408"/>
        <v>202112</v>
      </c>
      <c r="AI1453" s="6">
        <f t="shared" ca="1" si="409"/>
        <v>2021</v>
      </c>
      <c r="AJ1453" s="6">
        <f t="shared" ca="1" si="410"/>
        <v>12</v>
      </c>
      <c r="AK1453" s="68">
        <f ca="1">IFERROR(__xludf.DUMMYFUNCTION("""COMPUTED_VALUE"""),44546.9986111111)</f>
        <v>44546.998611111099</v>
      </c>
      <c r="AL1453" s="6">
        <f ca="1">IFERROR(__xludf.DUMMYFUNCTION("""COMPUTED_VALUE"""),47619.86)</f>
        <v>47619.86</v>
      </c>
      <c r="AP1453" s="6" t="str">
        <f t="shared" ca="1" si="411"/>
        <v>202310</v>
      </c>
      <c r="AQ1453" s="6">
        <f t="shared" ca="1" si="412"/>
        <v>2023</v>
      </c>
      <c r="AR1453" s="6">
        <f t="shared" ca="1" si="413"/>
        <v>10</v>
      </c>
      <c r="AS1453" s="68">
        <f ca="1">IFERROR(__xludf.DUMMYFUNCTION("""COMPUTED_VALUE"""),45215.9986111111)</f>
        <v>45215.998611111099</v>
      </c>
      <c r="AT1453" s="6">
        <f ca="1">IFERROR(__xludf.DUMMYFUNCTION("""COMPUTED_VALUE"""),1934.3)</f>
        <v>1934.3</v>
      </c>
    </row>
    <row r="1454" spans="2:46" x14ac:dyDescent="0.35">
      <c r="B1454" s="6" t="str">
        <f t="shared" ca="1" si="396"/>
        <v>202310</v>
      </c>
      <c r="C1454" s="6">
        <f t="shared" ca="1" si="397"/>
        <v>2023</v>
      </c>
      <c r="D1454" s="6">
        <f t="shared" ca="1" si="398"/>
        <v>10</v>
      </c>
      <c r="E1454" s="68">
        <f ca="1">IFERROR(__xludf.DUMMYFUNCTION("""COMPUTED_VALUE"""),45209.6666666666)</f>
        <v>45209.666666666599</v>
      </c>
      <c r="F1454" s="6">
        <f ca="1">IFERROR(__xludf.DUMMYFUNCTION("""COMPUTED_VALUE"""),4358.24)</f>
        <v>4358.24</v>
      </c>
      <c r="J1454" s="6" t="str">
        <f t="shared" ca="1" si="399"/>
        <v>202310</v>
      </c>
      <c r="K1454" s="6">
        <f t="shared" ca="1" si="400"/>
        <v>2023</v>
      </c>
      <c r="L1454" s="6">
        <f t="shared" ca="1" si="401"/>
        <v>10</v>
      </c>
      <c r="M1454" s="68">
        <f ca="1">IFERROR(__xludf.DUMMYFUNCTION("""COMPUTED_VALUE"""),45201.6666666666)</f>
        <v>45201.666666666599</v>
      </c>
      <c r="N1454" s="6">
        <f ca="1">IFERROR(__xludf.DUMMYFUNCTION("""COMPUTED_VALUE"""),13307.77)</f>
        <v>13307.77</v>
      </c>
      <c r="R1454" s="6" t="str">
        <f t="shared" ca="1" si="402"/>
        <v>202311</v>
      </c>
      <c r="S1454" s="6">
        <f t="shared" ca="1" si="403"/>
        <v>2023</v>
      </c>
      <c r="T1454" s="6">
        <f t="shared" ca="1" si="404"/>
        <v>11</v>
      </c>
      <c r="U1454" s="68">
        <f ca="1">IFERROR(__xludf.DUMMYFUNCTION("""COMPUTED_VALUE"""),45258.6458333333)</f>
        <v>45258.645833333299</v>
      </c>
      <c r="V1454" s="6">
        <f ca="1">IFERROR(__xludf.DUMMYFUNCTION("""COMPUTED_VALUE"""),2521.76)</f>
        <v>2521.7600000000002</v>
      </c>
      <c r="Z1454" s="6" t="str">
        <f t="shared" ca="1" si="405"/>
        <v>20222</v>
      </c>
      <c r="AA1454" s="6">
        <f t="shared" ca="1" si="406"/>
        <v>2022</v>
      </c>
      <c r="AB1454" s="6">
        <f t="shared" ca="1" si="407"/>
        <v>2</v>
      </c>
      <c r="AC1454" s="68">
        <f ca="1">IFERROR(__xludf.DUMMYFUNCTION("""COMPUTED_VALUE"""),44603.9986111111)</f>
        <v>44603.998611111099</v>
      </c>
      <c r="AD1454" s="6">
        <f ca="1">IFERROR(__xludf.DUMMYFUNCTION("""COMPUTED_VALUE"""),1199.64)</f>
        <v>1199.6400000000001</v>
      </c>
      <c r="AH1454" s="6" t="str">
        <f t="shared" ca="1" si="408"/>
        <v>202112</v>
      </c>
      <c r="AI1454" s="6">
        <f t="shared" ca="1" si="409"/>
        <v>2021</v>
      </c>
      <c r="AJ1454" s="6">
        <f t="shared" ca="1" si="410"/>
        <v>12</v>
      </c>
      <c r="AK1454" s="68">
        <f ca="1">IFERROR(__xludf.DUMMYFUNCTION("""COMPUTED_VALUE"""),44547.9986111111)</f>
        <v>44547.998611111099</v>
      </c>
      <c r="AL1454" s="6">
        <f ca="1">IFERROR(__xludf.DUMMYFUNCTION("""COMPUTED_VALUE"""),46180)</f>
        <v>46180</v>
      </c>
      <c r="AP1454" s="6" t="str">
        <f t="shared" ca="1" si="411"/>
        <v>202310</v>
      </c>
      <c r="AQ1454" s="6">
        <f t="shared" ca="1" si="412"/>
        <v>2023</v>
      </c>
      <c r="AR1454" s="6">
        <f t="shared" ca="1" si="413"/>
        <v>10</v>
      </c>
      <c r="AS1454" s="68">
        <f ca="1">IFERROR(__xludf.DUMMYFUNCTION("""COMPUTED_VALUE"""),45216.9986111111)</f>
        <v>45216.998611111099</v>
      </c>
      <c r="AT1454" s="6">
        <f ca="1">IFERROR(__xludf.DUMMYFUNCTION("""COMPUTED_VALUE"""),1935.7)</f>
        <v>1935.7</v>
      </c>
    </row>
    <row r="1455" spans="2:46" x14ac:dyDescent="0.35">
      <c r="B1455" s="6" t="str">
        <f t="shared" ca="1" si="396"/>
        <v>202310</v>
      </c>
      <c r="C1455" s="6">
        <f t="shared" ca="1" si="397"/>
        <v>2023</v>
      </c>
      <c r="D1455" s="6">
        <f t="shared" ca="1" si="398"/>
        <v>10</v>
      </c>
      <c r="E1455" s="68">
        <f ca="1">IFERROR(__xludf.DUMMYFUNCTION("""COMPUTED_VALUE"""),45210.6666666666)</f>
        <v>45210.666666666599</v>
      </c>
      <c r="F1455" s="6">
        <f ca="1">IFERROR(__xludf.DUMMYFUNCTION("""COMPUTED_VALUE"""),4376.95)</f>
        <v>4376.95</v>
      </c>
      <c r="J1455" s="6" t="str">
        <f t="shared" ca="1" si="399"/>
        <v>202310</v>
      </c>
      <c r="K1455" s="6">
        <f t="shared" ca="1" si="400"/>
        <v>2023</v>
      </c>
      <c r="L1455" s="6">
        <f t="shared" ca="1" si="401"/>
        <v>10</v>
      </c>
      <c r="M1455" s="68">
        <f ca="1">IFERROR(__xludf.DUMMYFUNCTION("""COMPUTED_VALUE"""),45202.6666666666)</f>
        <v>45202.666666666599</v>
      </c>
      <c r="N1455" s="6">
        <f ca="1">IFERROR(__xludf.DUMMYFUNCTION("""COMPUTED_VALUE"""),13059.47)</f>
        <v>13059.47</v>
      </c>
      <c r="R1455" s="6" t="str">
        <f t="shared" ca="1" si="402"/>
        <v>202311</v>
      </c>
      <c r="S1455" s="6">
        <f t="shared" ca="1" si="403"/>
        <v>2023</v>
      </c>
      <c r="T1455" s="6">
        <f t="shared" ca="1" si="404"/>
        <v>11</v>
      </c>
      <c r="U1455" s="68">
        <f ca="1">IFERROR(__xludf.DUMMYFUNCTION("""COMPUTED_VALUE"""),45259.6458333333)</f>
        <v>45259.645833333299</v>
      </c>
      <c r="V1455" s="6">
        <f ca="1">IFERROR(__xludf.DUMMYFUNCTION("""COMPUTED_VALUE"""),2519.81)</f>
        <v>2519.81</v>
      </c>
      <c r="Z1455" s="6" t="str">
        <f t="shared" ca="1" si="405"/>
        <v>20222</v>
      </c>
      <c r="AA1455" s="6">
        <f t="shared" ca="1" si="406"/>
        <v>2022</v>
      </c>
      <c r="AB1455" s="6">
        <f t="shared" ca="1" si="407"/>
        <v>2</v>
      </c>
      <c r="AC1455" s="68">
        <f ca="1">IFERROR(__xludf.DUMMYFUNCTION("""COMPUTED_VALUE"""),44604.9986111111)</f>
        <v>44604.998611111099</v>
      </c>
      <c r="AD1455" s="6">
        <f ca="1">IFERROR(__xludf.DUMMYFUNCTION("""COMPUTED_VALUE"""),1199.24)</f>
        <v>1199.24</v>
      </c>
      <c r="AH1455" s="6" t="str">
        <f t="shared" ca="1" si="408"/>
        <v>202112</v>
      </c>
      <c r="AI1455" s="6">
        <f t="shared" ca="1" si="409"/>
        <v>2021</v>
      </c>
      <c r="AJ1455" s="6">
        <f t="shared" ca="1" si="410"/>
        <v>12</v>
      </c>
      <c r="AK1455" s="68">
        <f ca="1">IFERROR(__xludf.DUMMYFUNCTION("""COMPUTED_VALUE"""),44548.9986111111)</f>
        <v>44548.998611111099</v>
      </c>
      <c r="AL1455" s="6">
        <f ca="1">IFERROR(__xludf.DUMMYFUNCTION("""COMPUTED_VALUE"""),46862.54)</f>
        <v>46862.54</v>
      </c>
      <c r="AP1455" s="6" t="str">
        <f t="shared" ca="1" si="411"/>
        <v>202310</v>
      </c>
      <c r="AQ1455" s="6">
        <f t="shared" ca="1" si="412"/>
        <v>2023</v>
      </c>
      <c r="AR1455" s="6">
        <f t="shared" ca="1" si="413"/>
        <v>10</v>
      </c>
      <c r="AS1455" s="68">
        <f ca="1">IFERROR(__xludf.DUMMYFUNCTION("""COMPUTED_VALUE"""),45217.9986111111)</f>
        <v>45217.998611111099</v>
      </c>
      <c r="AT1455" s="6">
        <f ca="1">IFERROR(__xludf.DUMMYFUNCTION("""COMPUTED_VALUE"""),1968.3)</f>
        <v>1968.3</v>
      </c>
    </row>
    <row r="1456" spans="2:46" x14ac:dyDescent="0.35">
      <c r="B1456" s="6" t="str">
        <f t="shared" ca="1" si="396"/>
        <v>202310</v>
      </c>
      <c r="C1456" s="6">
        <f t="shared" ca="1" si="397"/>
        <v>2023</v>
      </c>
      <c r="D1456" s="6">
        <f t="shared" ca="1" si="398"/>
        <v>10</v>
      </c>
      <c r="E1456" s="68">
        <f ca="1">IFERROR(__xludf.DUMMYFUNCTION("""COMPUTED_VALUE"""),45211.6666666666)</f>
        <v>45211.666666666599</v>
      </c>
      <c r="F1456" s="6">
        <f ca="1">IFERROR(__xludf.DUMMYFUNCTION("""COMPUTED_VALUE"""),4349.61)</f>
        <v>4349.6099999999997</v>
      </c>
      <c r="J1456" s="6" t="str">
        <f t="shared" ca="1" si="399"/>
        <v>202310</v>
      </c>
      <c r="K1456" s="6">
        <f t="shared" ca="1" si="400"/>
        <v>2023</v>
      </c>
      <c r="L1456" s="6">
        <f t="shared" ca="1" si="401"/>
        <v>10</v>
      </c>
      <c r="M1456" s="68">
        <f ca="1">IFERROR(__xludf.DUMMYFUNCTION("""COMPUTED_VALUE"""),45203.6666666666)</f>
        <v>45203.666666666599</v>
      </c>
      <c r="N1456" s="6">
        <f ca="1">IFERROR(__xludf.DUMMYFUNCTION("""COMPUTED_VALUE"""),13236.01)</f>
        <v>13236.01</v>
      </c>
      <c r="R1456" s="6" t="str">
        <f t="shared" ca="1" si="402"/>
        <v>202311</v>
      </c>
      <c r="S1456" s="6">
        <f t="shared" ca="1" si="403"/>
        <v>2023</v>
      </c>
      <c r="T1456" s="6">
        <f t="shared" ca="1" si="404"/>
        <v>11</v>
      </c>
      <c r="U1456" s="68">
        <f ca="1">IFERROR(__xludf.DUMMYFUNCTION("""COMPUTED_VALUE"""),45260.6458333333)</f>
        <v>45260.645833333299</v>
      </c>
      <c r="V1456" s="6">
        <f ca="1">IFERROR(__xludf.DUMMYFUNCTION("""COMPUTED_VALUE"""),2535.29)</f>
        <v>2535.29</v>
      </c>
      <c r="Z1456" s="6" t="str">
        <f t="shared" ca="1" si="405"/>
        <v>20222</v>
      </c>
      <c r="AA1456" s="6">
        <f t="shared" ca="1" si="406"/>
        <v>2022</v>
      </c>
      <c r="AB1456" s="6">
        <f t="shared" ca="1" si="407"/>
        <v>2</v>
      </c>
      <c r="AC1456" s="68">
        <f ca="1">IFERROR(__xludf.DUMMYFUNCTION("""COMPUTED_VALUE"""),44605.9986111111)</f>
        <v>44605.998611111099</v>
      </c>
      <c r="AD1456" s="6">
        <f ca="1">IFERROR(__xludf.DUMMYFUNCTION("""COMPUTED_VALUE"""),1199.24)</f>
        <v>1199.24</v>
      </c>
      <c r="AH1456" s="6" t="str">
        <f t="shared" ca="1" si="408"/>
        <v>202112</v>
      </c>
      <c r="AI1456" s="6">
        <f t="shared" ca="1" si="409"/>
        <v>2021</v>
      </c>
      <c r="AJ1456" s="6">
        <f t="shared" ca="1" si="410"/>
        <v>12</v>
      </c>
      <c r="AK1456" s="68">
        <f ca="1">IFERROR(__xludf.DUMMYFUNCTION("""COMPUTED_VALUE"""),44549.9986111111)</f>
        <v>44549.998611111099</v>
      </c>
      <c r="AL1456" s="6">
        <f ca="1">IFERROR(__xludf.DUMMYFUNCTION("""COMPUTED_VALUE"""),46697.18)</f>
        <v>46697.18</v>
      </c>
      <c r="AP1456" s="6" t="str">
        <f t="shared" ca="1" si="411"/>
        <v>202310</v>
      </c>
      <c r="AQ1456" s="6">
        <f t="shared" ca="1" si="412"/>
        <v>2023</v>
      </c>
      <c r="AR1456" s="6">
        <f t="shared" ca="1" si="413"/>
        <v>10</v>
      </c>
      <c r="AS1456" s="68">
        <f ca="1">IFERROR(__xludf.DUMMYFUNCTION("""COMPUTED_VALUE"""),45218.9986111111)</f>
        <v>45218.998611111099</v>
      </c>
      <c r="AT1456" s="6">
        <f ca="1">IFERROR(__xludf.DUMMYFUNCTION("""COMPUTED_VALUE"""),1980.5)</f>
        <v>1980.5</v>
      </c>
    </row>
    <row r="1457" spans="2:46" x14ac:dyDescent="0.35">
      <c r="B1457" s="6" t="str">
        <f t="shared" ca="1" si="396"/>
        <v>202310</v>
      </c>
      <c r="C1457" s="6">
        <f t="shared" ca="1" si="397"/>
        <v>2023</v>
      </c>
      <c r="D1457" s="6">
        <f t="shared" ca="1" si="398"/>
        <v>10</v>
      </c>
      <c r="E1457" s="68">
        <f ca="1">IFERROR(__xludf.DUMMYFUNCTION("""COMPUTED_VALUE"""),45212.6666666666)</f>
        <v>45212.666666666599</v>
      </c>
      <c r="F1457" s="6">
        <f ca="1">IFERROR(__xludf.DUMMYFUNCTION("""COMPUTED_VALUE"""),4327.78)</f>
        <v>4327.78</v>
      </c>
      <c r="J1457" s="6" t="str">
        <f t="shared" ca="1" si="399"/>
        <v>202310</v>
      </c>
      <c r="K1457" s="6">
        <f t="shared" ca="1" si="400"/>
        <v>2023</v>
      </c>
      <c r="L1457" s="6">
        <f t="shared" ca="1" si="401"/>
        <v>10</v>
      </c>
      <c r="M1457" s="68">
        <f ca="1">IFERROR(__xludf.DUMMYFUNCTION("""COMPUTED_VALUE"""),45204.6666666666)</f>
        <v>45204.666666666599</v>
      </c>
      <c r="N1457" s="6">
        <f ca="1">IFERROR(__xludf.DUMMYFUNCTION("""COMPUTED_VALUE"""),13219.83)</f>
        <v>13219.83</v>
      </c>
      <c r="R1457" s="6" t="str">
        <f t="shared" ca="1" si="402"/>
        <v>202312</v>
      </c>
      <c r="S1457" s="6">
        <f t="shared" ca="1" si="403"/>
        <v>2023</v>
      </c>
      <c r="T1457" s="6">
        <f t="shared" ca="1" si="404"/>
        <v>12</v>
      </c>
      <c r="U1457" s="68">
        <f ca="1">IFERROR(__xludf.DUMMYFUNCTION("""COMPUTED_VALUE"""),45261.6458333333)</f>
        <v>45261.645833333299</v>
      </c>
      <c r="V1457" s="6">
        <f ca="1">IFERROR(__xludf.DUMMYFUNCTION("""COMPUTED_VALUE"""),2505.01)</f>
        <v>2505.0100000000002</v>
      </c>
      <c r="Z1457" s="6" t="str">
        <f t="shared" ca="1" si="405"/>
        <v>20222</v>
      </c>
      <c r="AA1457" s="6">
        <f t="shared" ca="1" si="406"/>
        <v>2022</v>
      </c>
      <c r="AB1457" s="6">
        <f t="shared" ca="1" si="407"/>
        <v>2</v>
      </c>
      <c r="AC1457" s="68">
        <f ca="1">IFERROR(__xludf.DUMMYFUNCTION("""COMPUTED_VALUE"""),44606.9986111111)</f>
        <v>44606.998611111099</v>
      </c>
      <c r="AD1457" s="6">
        <f ca="1">IFERROR(__xludf.DUMMYFUNCTION("""COMPUTED_VALUE"""),1197.36)</f>
        <v>1197.3599999999999</v>
      </c>
      <c r="AH1457" s="6" t="str">
        <f t="shared" ca="1" si="408"/>
        <v>202112</v>
      </c>
      <c r="AI1457" s="6">
        <f t="shared" ca="1" si="409"/>
        <v>2021</v>
      </c>
      <c r="AJ1457" s="6">
        <f t="shared" ca="1" si="410"/>
        <v>12</v>
      </c>
      <c r="AK1457" s="68">
        <f ca="1">IFERROR(__xludf.DUMMYFUNCTION("""COMPUTED_VALUE"""),44550.9986111111)</f>
        <v>44550.998611111099</v>
      </c>
      <c r="AL1457" s="6">
        <f ca="1">IFERROR(__xludf.DUMMYFUNCTION("""COMPUTED_VALUE"""),46900.94)</f>
        <v>46900.94</v>
      </c>
      <c r="AP1457" s="6" t="str">
        <f t="shared" ca="1" si="411"/>
        <v>202310</v>
      </c>
      <c r="AQ1457" s="6">
        <f t="shared" ca="1" si="412"/>
        <v>2023</v>
      </c>
      <c r="AR1457" s="6">
        <f t="shared" ca="1" si="413"/>
        <v>10</v>
      </c>
      <c r="AS1457" s="68">
        <f ca="1">IFERROR(__xludf.DUMMYFUNCTION("""COMPUTED_VALUE"""),45219.9986111111)</f>
        <v>45219.998611111099</v>
      </c>
      <c r="AT1457" s="6">
        <f ca="1">IFERROR(__xludf.DUMMYFUNCTION("""COMPUTED_VALUE"""),1994.4)</f>
        <v>1994.4</v>
      </c>
    </row>
    <row r="1458" spans="2:46" x14ac:dyDescent="0.35">
      <c r="B1458" s="6" t="str">
        <f t="shared" ca="1" si="396"/>
        <v>202310</v>
      </c>
      <c r="C1458" s="6">
        <f t="shared" ca="1" si="397"/>
        <v>2023</v>
      </c>
      <c r="D1458" s="6">
        <f t="shared" ca="1" si="398"/>
        <v>10</v>
      </c>
      <c r="E1458" s="68">
        <f ca="1">IFERROR(__xludf.DUMMYFUNCTION("""COMPUTED_VALUE"""),45215.6666666666)</f>
        <v>45215.666666666599</v>
      </c>
      <c r="F1458" s="6">
        <f ca="1">IFERROR(__xludf.DUMMYFUNCTION("""COMPUTED_VALUE"""),4373.63)</f>
        <v>4373.63</v>
      </c>
      <c r="J1458" s="6" t="str">
        <f t="shared" ca="1" si="399"/>
        <v>202310</v>
      </c>
      <c r="K1458" s="6">
        <f t="shared" ca="1" si="400"/>
        <v>2023</v>
      </c>
      <c r="L1458" s="6">
        <f t="shared" ca="1" si="401"/>
        <v>10</v>
      </c>
      <c r="M1458" s="68">
        <f ca="1">IFERROR(__xludf.DUMMYFUNCTION("""COMPUTED_VALUE"""),45205.6666666666)</f>
        <v>45205.666666666599</v>
      </c>
      <c r="N1458" s="6">
        <f ca="1">IFERROR(__xludf.DUMMYFUNCTION("""COMPUTED_VALUE"""),13431.34)</f>
        <v>13431.34</v>
      </c>
      <c r="R1458" s="6" t="str">
        <f t="shared" ca="1" si="402"/>
        <v>202312</v>
      </c>
      <c r="S1458" s="6">
        <f t="shared" ca="1" si="403"/>
        <v>2023</v>
      </c>
      <c r="T1458" s="6">
        <f t="shared" ca="1" si="404"/>
        <v>12</v>
      </c>
      <c r="U1458" s="68">
        <f ca="1">IFERROR(__xludf.DUMMYFUNCTION("""COMPUTED_VALUE"""),45264.6458333333)</f>
        <v>45264.645833333299</v>
      </c>
      <c r="V1458" s="6">
        <f ca="1">IFERROR(__xludf.DUMMYFUNCTION("""COMPUTED_VALUE"""),2514.95)</f>
        <v>2514.9499999999998</v>
      </c>
      <c r="Z1458" s="6" t="str">
        <f t="shared" ca="1" si="405"/>
        <v>20222</v>
      </c>
      <c r="AA1458" s="6">
        <f t="shared" ca="1" si="406"/>
        <v>2022</v>
      </c>
      <c r="AB1458" s="6">
        <f t="shared" ca="1" si="407"/>
        <v>2</v>
      </c>
      <c r="AC1458" s="68">
        <f ca="1">IFERROR(__xludf.DUMMYFUNCTION("""COMPUTED_VALUE"""),44607.9986111111)</f>
        <v>44607.998611111099</v>
      </c>
      <c r="AD1458" s="6">
        <f ca="1">IFERROR(__xludf.DUMMYFUNCTION("""COMPUTED_VALUE"""),1196.83)</f>
        <v>1196.83</v>
      </c>
      <c r="AH1458" s="6" t="str">
        <f t="shared" ca="1" si="408"/>
        <v>202112</v>
      </c>
      <c r="AI1458" s="6">
        <f t="shared" ca="1" si="409"/>
        <v>2021</v>
      </c>
      <c r="AJ1458" s="6">
        <f t="shared" ca="1" si="410"/>
        <v>12</v>
      </c>
      <c r="AK1458" s="68">
        <f ca="1">IFERROR(__xludf.DUMMYFUNCTION("""COMPUTED_VALUE"""),44551.9986111111)</f>
        <v>44551.998611111099</v>
      </c>
      <c r="AL1458" s="6">
        <f ca="1">IFERROR(__xludf.DUMMYFUNCTION("""COMPUTED_VALUE"""),48903.38)</f>
        <v>48903.38</v>
      </c>
      <c r="AP1458" s="6" t="str">
        <f t="shared" ca="1" si="411"/>
        <v>202310</v>
      </c>
      <c r="AQ1458" s="6">
        <f t="shared" ca="1" si="412"/>
        <v>2023</v>
      </c>
      <c r="AR1458" s="6">
        <f t="shared" ca="1" si="413"/>
        <v>10</v>
      </c>
      <c r="AS1458" s="68">
        <f ca="1">IFERROR(__xludf.DUMMYFUNCTION("""COMPUTED_VALUE"""),45222.9986111111)</f>
        <v>45222.998611111099</v>
      </c>
      <c r="AT1458" s="6">
        <f ca="1">IFERROR(__xludf.DUMMYFUNCTION("""COMPUTED_VALUE"""),1987.8)</f>
        <v>1987.8</v>
      </c>
    </row>
    <row r="1459" spans="2:46" x14ac:dyDescent="0.35">
      <c r="B1459" s="6" t="str">
        <f t="shared" ca="1" si="396"/>
        <v>202310</v>
      </c>
      <c r="C1459" s="6">
        <f t="shared" ca="1" si="397"/>
        <v>2023</v>
      </c>
      <c r="D1459" s="6">
        <f t="shared" ca="1" si="398"/>
        <v>10</v>
      </c>
      <c r="E1459" s="68">
        <f ca="1">IFERROR(__xludf.DUMMYFUNCTION("""COMPUTED_VALUE"""),45216.6666666666)</f>
        <v>45216.666666666599</v>
      </c>
      <c r="F1459" s="6">
        <f ca="1">IFERROR(__xludf.DUMMYFUNCTION("""COMPUTED_VALUE"""),4373.2)</f>
        <v>4373.2</v>
      </c>
      <c r="J1459" s="6" t="str">
        <f t="shared" ca="1" si="399"/>
        <v>202310</v>
      </c>
      <c r="K1459" s="6">
        <f t="shared" ca="1" si="400"/>
        <v>2023</v>
      </c>
      <c r="L1459" s="6">
        <f t="shared" ca="1" si="401"/>
        <v>10</v>
      </c>
      <c r="M1459" s="68">
        <f ca="1">IFERROR(__xludf.DUMMYFUNCTION("""COMPUTED_VALUE"""),45208.6666666666)</f>
        <v>45208.666666666599</v>
      </c>
      <c r="N1459" s="6">
        <f ca="1">IFERROR(__xludf.DUMMYFUNCTION("""COMPUTED_VALUE"""),13484.24)</f>
        <v>13484.24</v>
      </c>
      <c r="R1459" s="6" t="str">
        <f t="shared" ca="1" si="402"/>
        <v>202312</v>
      </c>
      <c r="S1459" s="6">
        <f t="shared" ca="1" si="403"/>
        <v>2023</v>
      </c>
      <c r="T1459" s="6">
        <f t="shared" ca="1" si="404"/>
        <v>12</v>
      </c>
      <c r="U1459" s="68">
        <f ca="1">IFERROR(__xludf.DUMMYFUNCTION("""COMPUTED_VALUE"""),45265.6458333333)</f>
        <v>45265.645833333299</v>
      </c>
      <c r="V1459" s="6">
        <f ca="1">IFERROR(__xludf.DUMMYFUNCTION("""COMPUTED_VALUE"""),2494.28)</f>
        <v>2494.2800000000002</v>
      </c>
      <c r="Z1459" s="6" t="str">
        <f t="shared" ca="1" si="405"/>
        <v>20222</v>
      </c>
      <c r="AA1459" s="6">
        <f t="shared" ca="1" si="406"/>
        <v>2022</v>
      </c>
      <c r="AB1459" s="6">
        <f t="shared" ca="1" si="407"/>
        <v>2</v>
      </c>
      <c r="AC1459" s="68">
        <f ca="1">IFERROR(__xludf.DUMMYFUNCTION("""COMPUTED_VALUE"""),44608.9986111111)</f>
        <v>44608.998611111099</v>
      </c>
      <c r="AD1459" s="6">
        <f ca="1">IFERROR(__xludf.DUMMYFUNCTION("""COMPUTED_VALUE"""),1196.75)</f>
        <v>1196.75</v>
      </c>
      <c r="AH1459" s="6" t="str">
        <f t="shared" ca="1" si="408"/>
        <v>202112</v>
      </c>
      <c r="AI1459" s="6">
        <f t="shared" ca="1" si="409"/>
        <v>2021</v>
      </c>
      <c r="AJ1459" s="6">
        <f t="shared" ca="1" si="410"/>
        <v>12</v>
      </c>
      <c r="AK1459" s="68">
        <f ca="1">IFERROR(__xludf.DUMMYFUNCTION("""COMPUTED_VALUE"""),44552.9986111111)</f>
        <v>44552.998611111099</v>
      </c>
      <c r="AL1459" s="6">
        <f ca="1">IFERROR(__xludf.DUMMYFUNCTION("""COMPUTED_VALUE"""),48603.92)</f>
        <v>48603.92</v>
      </c>
      <c r="AP1459" s="6" t="str">
        <f t="shared" ca="1" si="411"/>
        <v>202310</v>
      </c>
      <c r="AQ1459" s="6">
        <f t="shared" ca="1" si="412"/>
        <v>2023</v>
      </c>
      <c r="AR1459" s="6">
        <f t="shared" ca="1" si="413"/>
        <v>10</v>
      </c>
      <c r="AS1459" s="68">
        <f ca="1">IFERROR(__xludf.DUMMYFUNCTION("""COMPUTED_VALUE"""),45223.9986111111)</f>
        <v>45223.998611111099</v>
      </c>
      <c r="AT1459" s="6">
        <f ca="1">IFERROR(__xludf.DUMMYFUNCTION("""COMPUTED_VALUE"""),1986.1)</f>
        <v>1986.1</v>
      </c>
    </row>
    <row r="1460" spans="2:46" x14ac:dyDescent="0.35">
      <c r="B1460" s="6" t="str">
        <f t="shared" ca="1" si="396"/>
        <v>202310</v>
      </c>
      <c r="C1460" s="6">
        <f t="shared" ca="1" si="397"/>
        <v>2023</v>
      </c>
      <c r="D1460" s="6">
        <f t="shared" ca="1" si="398"/>
        <v>10</v>
      </c>
      <c r="E1460" s="68">
        <f ca="1">IFERROR(__xludf.DUMMYFUNCTION("""COMPUTED_VALUE"""),45217.6666666666)</f>
        <v>45217.666666666599</v>
      </c>
      <c r="F1460" s="6">
        <f ca="1">IFERROR(__xludf.DUMMYFUNCTION("""COMPUTED_VALUE"""),4314.6)</f>
        <v>4314.6000000000004</v>
      </c>
      <c r="J1460" s="6" t="str">
        <f t="shared" ca="1" si="399"/>
        <v>202310</v>
      </c>
      <c r="K1460" s="6">
        <f t="shared" ca="1" si="400"/>
        <v>2023</v>
      </c>
      <c r="L1460" s="6">
        <f t="shared" ca="1" si="401"/>
        <v>10</v>
      </c>
      <c r="M1460" s="68">
        <f ca="1">IFERROR(__xludf.DUMMYFUNCTION("""COMPUTED_VALUE"""),45209.6666666666)</f>
        <v>45209.666666666599</v>
      </c>
      <c r="N1460" s="6">
        <f ca="1">IFERROR(__xludf.DUMMYFUNCTION("""COMPUTED_VALUE"""),13562.84)</f>
        <v>13562.84</v>
      </c>
      <c r="R1460" s="6" t="str">
        <f t="shared" ca="1" si="402"/>
        <v>202312</v>
      </c>
      <c r="S1460" s="6">
        <f t="shared" ca="1" si="403"/>
        <v>2023</v>
      </c>
      <c r="T1460" s="6">
        <f t="shared" ca="1" si="404"/>
        <v>12</v>
      </c>
      <c r="U1460" s="68">
        <f ca="1">IFERROR(__xludf.DUMMYFUNCTION("""COMPUTED_VALUE"""),45266.6458333333)</f>
        <v>45266.645833333299</v>
      </c>
      <c r="V1460" s="6">
        <f ca="1">IFERROR(__xludf.DUMMYFUNCTION("""COMPUTED_VALUE"""),2495.38)</f>
        <v>2495.38</v>
      </c>
      <c r="Z1460" s="6" t="str">
        <f t="shared" ca="1" si="405"/>
        <v>20222</v>
      </c>
      <c r="AA1460" s="6">
        <f t="shared" ca="1" si="406"/>
        <v>2022</v>
      </c>
      <c r="AB1460" s="6">
        <f t="shared" ca="1" si="407"/>
        <v>2</v>
      </c>
      <c r="AC1460" s="68">
        <f ca="1">IFERROR(__xludf.DUMMYFUNCTION("""COMPUTED_VALUE"""),44609.9986111111)</f>
        <v>44609.998611111099</v>
      </c>
      <c r="AD1460" s="6">
        <f ca="1">IFERROR(__xludf.DUMMYFUNCTION("""COMPUTED_VALUE"""),1198.66)</f>
        <v>1198.6600000000001</v>
      </c>
      <c r="AH1460" s="6" t="str">
        <f t="shared" ca="1" si="408"/>
        <v>202112</v>
      </c>
      <c r="AI1460" s="6">
        <f t="shared" ca="1" si="409"/>
        <v>2021</v>
      </c>
      <c r="AJ1460" s="6">
        <f t="shared" ca="1" si="410"/>
        <v>12</v>
      </c>
      <c r="AK1460" s="68">
        <f ca="1">IFERROR(__xludf.DUMMYFUNCTION("""COMPUTED_VALUE"""),44553.9986111111)</f>
        <v>44553.998611111099</v>
      </c>
      <c r="AL1460" s="6">
        <f ca="1">IFERROR(__xludf.DUMMYFUNCTION("""COMPUTED_VALUE"""),50798.09)</f>
        <v>50798.09</v>
      </c>
      <c r="AP1460" s="6" t="str">
        <f t="shared" ca="1" si="411"/>
        <v>202310</v>
      </c>
      <c r="AQ1460" s="6">
        <f t="shared" ca="1" si="412"/>
        <v>2023</v>
      </c>
      <c r="AR1460" s="6">
        <f t="shared" ca="1" si="413"/>
        <v>10</v>
      </c>
      <c r="AS1460" s="68">
        <f ca="1">IFERROR(__xludf.DUMMYFUNCTION("""COMPUTED_VALUE"""),45224.9986111111)</f>
        <v>45224.998611111099</v>
      </c>
      <c r="AT1460" s="6">
        <f ca="1">IFERROR(__xludf.DUMMYFUNCTION("""COMPUTED_VALUE"""),1994.9)</f>
        <v>1994.9</v>
      </c>
    </row>
    <row r="1461" spans="2:46" x14ac:dyDescent="0.35">
      <c r="B1461" s="6" t="str">
        <f t="shared" ca="1" si="396"/>
        <v>202310</v>
      </c>
      <c r="C1461" s="6">
        <f t="shared" ca="1" si="397"/>
        <v>2023</v>
      </c>
      <c r="D1461" s="6">
        <f t="shared" ca="1" si="398"/>
        <v>10</v>
      </c>
      <c r="E1461" s="68">
        <f ca="1">IFERROR(__xludf.DUMMYFUNCTION("""COMPUTED_VALUE"""),45218.6666666666)</f>
        <v>45218.666666666599</v>
      </c>
      <c r="F1461" s="6">
        <f ca="1">IFERROR(__xludf.DUMMYFUNCTION("""COMPUTED_VALUE"""),4278)</f>
        <v>4278</v>
      </c>
      <c r="J1461" s="6" t="str">
        <f t="shared" ca="1" si="399"/>
        <v>202310</v>
      </c>
      <c r="K1461" s="6">
        <f t="shared" ca="1" si="400"/>
        <v>2023</v>
      </c>
      <c r="L1461" s="6">
        <f t="shared" ca="1" si="401"/>
        <v>10</v>
      </c>
      <c r="M1461" s="68">
        <f ca="1">IFERROR(__xludf.DUMMYFUNCTION("""COMPUTED_VALUE"""),45210.6666666666)</f>
        <v>45210.666666666599</v>
      </c>
      <c r="N1461" s="6">
        <f ca="1">IFERROR(__xludf.DUMMYFUNCTION("""COMPUTED_VALUE"""),13659.68)</f>
        <v>13659.68</v>
      </c>
      <c r="R1461" s="6" t="str">
        <f t="shared" ca="1" si="402"/>
        <v>202312</v>
      </c>
      <c r="S1461" s="6">
        <f t="shared" ca="1" si="403"/>
        <v>2023</v>
      </c>
      <c r="T1461" s="6">
        <f t="shared" ca="1" si="404"/>
        <v>12</v>
      </c>
      <c r="U1461" s="68">
        <f ca="1">IFERROR(__xludf.DUMMYFUNCTION("""COMPUTED_VALUE"""),45267.6458333333)</f>
        <v>45267.645833333299</v>
      </c>
      <c r="V1461" s="6">
        <f ca="1">IFERROR(__xludf.DUMMYFUNCTION("""COMPUTED_VALUE"""),2492.07)</f>
        <v>2492.0700000000002</v>
      </c>
      <c r="Z1461" s="6" t="str">
        <f t="shared" ca="1" si="405"/>
        <v>20222</v>
      </c>
      <c r="AA1461" s="6">
        <f t="shared" ca="1" si="406"/>
        <v>2022</v>
      </c>
      <c r="AB1461" s="6">
        <f t="shared" ca="1" si="407"/>
        <v>2</v>
      </c>
      <c r="AC1461" s="68">
        <f ca="1">IFERROR(__xludf.DUMMYFUNCTION("""COMPUTED_VALUE"""),44610.9986111111)</f>
        <v>44610.998611111099</v>
      </c>
      <c r="AD1461" s="6">
        <f ca="1">IFERROR(__xludf.DUMMYFUNCTION("""COMPUTED_VALUE"""),1195.07)</f>
        <v>1195.07</v>
      </c>
      <c r="AH1461" s="6" t="str">
        <f t="shared" ca="1" si="408"/>
        <v>202112</v>
      </c>
      <c r="AI1461" s="6">
        <f t="shared" ca="1" si="409"/>
        <v>2021</v>
      </c>
      <c r="AJ1461" s="6">
        <f t="shared" ca="1" si="410"/>
        <v>12</v>
      </c>
      <c r="AK1461" s="68">
        <f ca="1">IFERROR(__xludf.DUMMYFUNCTION("""COMPUTED_VALUE"""),44554.9986111111)</f>
        <v>44554.998611111099</v>
      </c>
      <c r="AL1461" s="6">
        <f ca="1">IFERROR(__xludf.DUMMYFUNCTION("""COMPUTED_VALUE"""),50802.95)</f>
        <v>50802.95</v>
      </c>
      <c r="AP1461" s="6" t="str">
        <f t="shared" ca="1" si="411"/>
        <v>202310</v>
      </c>
      <c r="AQ1461" s="6">
        <f t="shared" ca="1" si="412"/>
        <v>2023</v>
      </c>
      <c r="AR1461" s="6">
        <f t="shared" ca="1" si="413"/>
        <v>10</v>
      </c>
      <c r="AS1461" s="68">
        <f ca="1">IFERROR(__xludf.DUMMYFUNCTION("""COMPUTED_VALUE"""),45225.9986111111)</f>
        <v>45225.998611111099</v>
      </c>
      <c r="AT1461" s="6">
        <f ca="1">IFERROR(__xludf.DUMMYFUNCTION("""COMPUTED_VALUE"""),1997.4)</f>
        <v>1997.4</v>
      </c>
    </row>
    <row r="1462" spans="2:46" x14ac:dyDescent="0.35">
      <c r="B1462" s="6" t="str">
        <f t="shared" ca="1" si="396"/>
        <v>202310</v>
      </c>
      <c r="C1462" s="6">
        <f t="shared" ca="1" si="397"/>
        <v>2023</v>
      </c>
      <c r="D1462" s="6">
        <f t="shared" ca="1" si="398"/>
        <v>10</v>
      </c>
      <c r="E1462" s="68">
        <f ca="1">IFERROR(__xludf.DUMMYFUNCTION("""COMPUTED_VALUE"""),45219.6666666666)</f>
        <v>45219.666666666599</v>
      </c>
      <c r="F1462" s="6">
        <f ca="1">IFERROR(__xludf.DUMMYFUNCTION("""COMPUTED_VALUE"""),4224.16)</f>
        <v>4224.16</v>
      </c>
      <c r="J1462" s="6" t="str">
        <f t="shared" ca="1" si="399"/>
        <v>202310</v>
      </c>
      <c r="K1462" s="6">
        <f t="shared" ca="1" si="400"/>
        <v>2023</v>
      </c>
      <c r="L1462" s="6">
        <f t="shared" ca="1" si="401"/>
        <v>10</v>
      </c>
      <c r="M1462" s="68">
        <f ca="1">IFERROR(__xludf.DUMMYFUNCTION("""COMPUTED_VALUE"""),45211.6666666666)</f>
        <v>45211.666666666599</v>
      </c>
      <c r="N1462" s="6">
        <f ca="1">IFERROR(__xludf.DUMMYFUNCTION("""COMPUTED_VALUE"""),13574.22)</f>
        <v>13574.22</v>
      </c>
      <c r="R1462" s="6" t="str">
        <f t="shared" ca="1" si="402"/>
        <v>202312</v>
      </c>
      <c r="S1462" s="6">
        <f t="shared" ca="1" si="403"/>
        <v>2023</v>
      </c>
      <c r="T1462" s="6">
        <f t="shared" ca="1" si="404"/>
        <v>12</v>
      </c>
      <c r="U1462" s="68">
        <f ca="1">IFERROR(__xludf.DUMMYFUNCTION("""COMPUTED_VALUE"""),45268.6458333333)</f>
        <v>45268.645833333299</v>
      </c>
      <c r="V1462" s="6">
        <f ca="1">IFERROR(__xludf.DUMMYFUNCTION("""COMPUTED_VALUE"""),2517.85)</f>
        <v>2517.85</v>
      </c>
      <c r="Z1462" s="6" t="str">
        <f t="shared" ca="1" si="405"/>
        <v>20222</v>
      </c>
      <c r="AA1462" s="6">
        <f t="shared" ca="1" si="406"/>
        <v>2022</v>
      </c>
      <c r="AB1462" s="6">
        <f t="shared" ca="1" si="407"/>
        <v>2</v>
      </c>
      <c r="AC1462" s="68">
        <f ca="1">IFERROR(__xludf.DUMMYFUNCTION("""COMPUTED_VALUE"""),44611.9986111111)</f>
        <v>44611.998611111099</v>
      </c>
      <c r="AD1462" s="6">
        <f ca="1">IFERROR(__xludf.DUMMYFUNCTION("""COMPUTED_VALUE"""),1195.07)</f>
        <v>1195.07</v>
      </c>
      <c r="AH1462" s="6" t="str">
        <f t="shared" ca="1" si="408"/>
        <v>202112</v>
      </c>
      <c r="AI1462" s="6">
        <f t="shared" ca="1" si="409"/>
        <v>2021</v>
      </c>
      <c r="AJ1462" s="6">
        <f t="shared" ca="1" si="410"/>
        <v>12</v>
      </c>
      <c r="AK1462" s="68">
        <f ca="1">IFERROR(__xludf.DUMMYFUNCTION("""COMPUTED_VALUE"""),44555.9986111111)</f>
        <v>44555.998611111099</v>
      </c>
      <c r="AL1462" s="6">
        <f ca="1">IFERROR(__xludf.DUMMYFUNCTION("""COMPUTED_VALUE"""),50441.71)</f>
        <v>50441.71</v>
      </c>
      <c r="AP1462" s="6" t="str">
        <f t="shared" ca="1" si="411"/>
        <v>202310</v>
      </c>
      <c r="AQ1462" s="6">
        <f t="shared" ca="1" si="412"/>
        <v>2023</v>
      </c>
      <c r="AR1462" s="6">
        <f t="shared" ca="1" si="413"/>
        <v>10</v>
      </c>
      <c r="AS1462" s="68">
        <f ca="1">IFERROR(__xludf.DUMMYFUNCTION("""COMPUTED_VALUE"""),45226.9986111111)</f>
        <v>45226.998611111099</v>
      </c>
      <c r="AT1462" s="6">
        <f ca="1">IFERROR(__xludf.DUMMYFUNCTION("""COMPUTED_VALUE"""),1998.5)</f>
        <v>1998.5</v>
      </c>
    </row>
    <row r="1463" spans="2:46" x14ac:dyDescent="0.35">
      <c r="B1463" s="6" t="str">
        <f t="shared" ca="1" si="396"/>
        <v>202310</v>
      </c>
      <c r="C1463" s="6">
        <f t="shared" ca="1" si="397"/>
        <v>2023</v>
      </c>
      <c r="D1463" s="6">
        <f t="shared" ca="1" si="398"/>
        <v>10</v>
      </c>
      <c r="E1463" s="68">
        <f ca="1">IFERROR(__xludf.DUMMYFUNCTION("""COMPUTED_VALUE"""),45222.6666666666)</f>
        <v>45222.666666666599</v>
      </c>
      <c r="F1463" s="6">
        <f ca="1">IFERROR(__xludf.DUMMYFUNCTION("""COMPUTED_VALUE"""),4217.04)</f>
        <v>4217.04</v>
      </c>
      <c r="J1463" s="6" t="str">
        <f t="shared" ca="1" si="399"/>
        <v>202310</v>
      </c>
      <c r="K1463" s="6">
        <f t="shared" ca="1" si="400"/>
        <v>2023</v>
      </c>
      <c r="L1463" s="6">
        <f t="shared" ca="1" si="401"/>
        <v>10</v>
      </c>
      <c r="M1463" s="68">
        <f ca="1">IFERROR(__xludf.DUMMYFUNCTION("""COMPUTED_VALUE"""),45212.6666666666)</f>
        <v>45212.666666666599</v>
      </c>
      <c r="N1463" s="6">
        <f ca="1">IFERROR(__xludf.DUMMYFUNCTION("""COMPUTED_VALUE"""),13407.23)</f>
        <v>13407.23</v>
      </c>
      <c r="R1463" s="6" t="str">
        <f t="shared" ca="1" si="402"/>
        <v>202312</v>
      </c>
      <c r="S1463" s="6">
        <f t="shared" ca="1" si="403"/>
        <v>2023</v>
      </c>
      <c r="T1463" s="6">
        <f t="shared" ca="1" si="404"/>
        <v>12</v>
      </c>
      <c r="U1463" s="68">
        <f ca="1">IFERROR(__xludf.DUMMYFUNCTION("""COMPUTED_VALUE"""),45271.6458333333)</f>
        <v>45271.645833333299</v>
      </c>
      <c r="V1463" s="6">
        <f ca="1">IFERROR(__xludf.DUMMYFUNCTION("""COMPUTED_VALUE"""),2525.36)</f>
        <v>2525.36</v>
      </c>
      <c r="Z1463" s="6" t="str">
        <f t="shared" ca="1" si="405"/>
        <v>20222</v>
      </c>
      <c r="AA1463" s="6">
        <f t="shared" ca="1" si="406"/>
        <v>2022</v>
      </c>
      <c r="AB1463" s="6">
        <f t="shared" ca="1" si="407"/>
        <v>2</v>
      </c>
      <c r="AC1463" s="68">
        <f ca="1">IFERROR(__xludf.DUMMYFUNCTION("""COMPUTED_VALUE"""),44612.9986111111)</f>
        <v>44612.998611111099</v>
      </c>
      <c r="AD1463" s="6">
        <f ca="1">IFERROR(__xludf.DUMMYFUNCTION("""COMPUTED_VALUE"""),1195.07)</f>
        <v>1195.07</v>
      </c>
      <c r="AH1463" s="6" t="str">
        <f t="shared" ca="1" si="408"/>
        <v>202112</v>
      </c>
      <c r="AI1463" s="6">
        <f t="shared" ca="1" si="409"/>
        <v>2021</v>
      </c>
      <c r="AJ1463" s="6">
        <f t="shared" ca="1" si="410"/>
        <v>12</v>
      </c>
      <c r="AK1463" s="68">
        <f ca="1">IFERROR(__xludf.DUMMYFUNCTION("""COMPUTED_VALUE"""),44556.9986111111)</f>
        <v>44556.998611111099</v>
      </c>
      <c r="AL1463" s="6">
        <f ca="1">IFERROR(__xludf.DUMMYFUNCTION("""COMPUTED_VALUE"""),50789.87)</f>
        <v>50789.87</v>
      </c>
      <c r="AP1463" s="6" t="str">
        <f t="shared" ca="1" si="411"/>
        <v>202310</v>
      </c>
      <c r="AQ1463" s="6">
        <f t="shared" ca="1" si="412"/>
        <v>2023</v>
      </c>
      <c r="AR1463" s="6">
        <f t="shared" ca="1" si="413"/>
        <v>10</v>
      </c>
      <c r="AS1463" s="68">
        <f ca="1">IFERROR(__xludf.DUMMYFUNCTION("""COMPUTED_VALUE"""),45229.9986111111)</f>
        <v>45229.998611111099</v>
      </c>
      <c r="AT1463" s="6">
        <f ca="1">IFERROR(__xludf.DUMMYFUNCTION("""COMPUTED_VALUE"""),2005.6)</f>
        <v>2005.6</v>
      </c>
    </row>
    <row r="1464" spans="2:46" x14ac:dyDescent="0.35">
      <c r="B1464" s="6" t="str">
        <f t="shared" ca="1" si="396"/>
        <v>202310</v>
      </c>
      <c r="C1464" s="6">
        <f t="shared" ca="1" si="397"/>
        <v>2023</v>
      </c>
      <c r="D1464" s="6">
        <f t="shared" ca="1" si="398"/>
        <v>10</v>
      </c>
      <c r="E1464" s="68">
        <f ca="1">IFERROR(__xludf.DUMMYFUNCTION("""COMPUTED_VALUE"""),45223.6666666666)</f>
        <v>45223.666666666599</v>
      </c>
      <c r="F1464" s="6">
        <f ca="1">IFERROR(__xludf.DUMMYFUNCTION("""COMPUTED_VALUE"""),4247.68)</f>
        <v>4247.68</v>
      </c>
      <c r="J1464" s="6" t="str">
        <f t="shared" ca="1" si="399"/>
        <v>202310</v>
      </c>
      <c r="K1464" s="6">
        <f t="shared" ca="1" si="400"/>
        <v>2023</v>
      </c>
      <c r="L1464" s="6">
        <f t="shared" ca="1" si="401"/>
        <v>10</v>
      </c>
      <c r="M1464" s="68">
        <f ca="1">IFERROR(__xludf.DUMMYFUNCTION("""COMPUTED_VALUE"""),45215.6666666666)</f>
        <v>45215.666666666599</v>
      </c>
      <c r="N1464" s="6">
        <f ca="1">IFERROR(__xludf.DUMMYFUNCTION("""COMPUTED_VALUE"""),13567.98)</f>
        <v>13567.98</v>
      </c>
      <c r="R1464" s="6" t="str">
        <f t="shared" ca="1" si="402"/>
        <v>202312</v>
      </c>
      <c r="S1464" s="6">
        <f t="shared" ca="1" si="403"/>
        <v>2023</v>
      </c>
      <c r="T1464" s="6">
        <f t="shared" ca="1" si="404"/>
        <v>12</v>
      </c>
      <c r="U1464" s="68">
        <f ca="1">IFERROR(__xludf.DUMMYFUNCTION("""COMPUTED_VALUE"""),45272.6458333333)</f>
        <v>45272.645833333299</v>
      </c>
      <c r="V1464" s="6">
        <f ca="1">IFERROR(__xludf.DUMMYFUNCTION("""COMPUTED_VALUE"""),2535.27)</f>
        <v>2535.27</v>
      </c>
      <c r="Z1464" s="6" t="str">
        <f t="shared" ca="1" si="405"/>
        <v>20222</v>
      </c>
      <c r="AA1464" s="6">
        <f t="shared" ca="1" si="406"/>
        <v>2022</v>
      </c>
      <c r="AB1464" s="6">
        <f t="shared" ca="1" si="407"/>
        <v>2</v>
      </c>
      <c r="AC1464" s="68">
        <f ca="1">IFERROR(__xludf.DUMMYFUNCTION("""COMPUTED_VALUE"""),44613.9986111111)</f>
        <v>44613.998611111099</v>
      </c>
      <c r="AD1464" s="6">
        <f ca="1">IFERROR(__xludf.DUMMYFUNCTION("""COMPUTED_VALUE"""),1194.68)</f>
        <v>1194.68</v>
      </c>
      <c r="AH1464" s="6" t="str">
        <f t="shared" ca="1" si="408"/>
        <v>202112</v>
      </c>
      <c r="AI1464" s="6">
        <f t="shared" ca="1" si="409"/>
        <v>2021</v>
      </c>
      <c r="AJ1464" s="6">
        <f t="shared" ca="1" si="410"/>
        <v>12</v>
      </c>
      <c r="AK1464" s="68">
        <f ca="1">IFERROR(__xludf.DUMMYFUNCTION("""COMPUTED_VALUE"""),44557.9986111111)</f>
        <v>44557.998611111099</v>
      </c>
      <c r="AL1464" s="6">
        <f ca="1">IFERROR(__xludf.DUMMYFUNCTION("""COMPUTED_VALUE"""),50681.65)</f>
        <v>50681.65</v>
      </c>
      <c r="AP1464" s="6" t="str">
        <f t="shared" ca="1" si="411"/>
        <v>202310</v>
      </c>
      <c r="AQ1464" s="6">
        <f t="shared" ca="1" si="412"/>
        <v>2023</v>
      </c>
      <c r="AR1464" s="6">
        <f t="shared" ca="1" si="413"/>
        <v>10</v>
      </c>
      <c r="AS1464" s="68">
        <f ca="1">IFERROR(__xludf.DUMMYFUNCTION("""COMPUTED_VALUE"""),45230.9986111111)</f>
        <v>45230.998611111099</v>
      </c>
      <c r="AT1464" s="6">
        <f ca="1">IFERROR(__xludf.DUMMYFUNCTION("""COMPUTED_VALUE"""),1994.3)</f>
        <v>1994.3</v>
      </c>
    </row>
    <row r="1465" spans="2:46" x14ac:dyDescent="0.35">
      <c r="B1465" s="6" t="str">
        <f t="shared" ca="1" si="396"/>
        <v>202310</v>
      </c>
      <c r="C1465" s="6">
        <f t="shared" ca="1" si="397"/>
        <v>2023</v>
      </c>
      <c r="D1465" s="6">
        <f t="shared" ca="1" si="398"/>
        <v>10</v>
      </c>
      <c r="E1465" s="68">
        <f ca="1">IFERROR(__xludf.DUMMYFUNCTION("""COMPUTED_VALUE"""),45224.6666666666)</f>
        <v>45224.666666666599</v>
      </c>
      <c r="F1465" s="6">
        <f ca="1">IFERROR(__xludf.DUMMYFUNCTION("""COMPUTED_VALUE"""),4186.77)</f>
        <v>4186.7700000000004</v>
      </c>
      <c r="J1465" s="6" t="str">
        <f t="shared" ca="1" si="399"/>
        <v>202310</v>
      </c>
      <c r="K1465" s="6">
        <f t="shared" ca="1" si="400"/>
        <v>2023</v>
      </c>
      <c r="L1465" s="6">
        <f t="shared" ca="1" si="401"/>
        <v>10</v>
      </c>
      <c r="M1465" s="68">
        <f ca="1">IFERROR(__xludf.DUMMYFUNCTION("""COMPUTED_VALUE"""),45216.6666666666)</f>
        <v>45216.666666666599</v>
      </c>
      <c r="N1465" s="6">
        <f ca="1">IFERROR(__xludf.DUMMYFUNCTION("""COMPUTED_VALUE"""),13533.75)</f>
        <v>13533.75</v>
      </c>
      <c r="R1465" s="6" t="str">
        <f t="shared" ca="1" si="402"/>
        <v>202312</v>
      </c>
      <c r="S1465" s="6">
        <f t="shared" ca="1" si="403"/>
        <v>2023</v>
      </c>
      <c r="T1465" s="6">
        <f t="shared" ca="1" si="404"/>
        <v>12</v>
      </c>
      <c r="U1465" s="68">
        <f ca="1">IFERROR(__xludf.DUMMYFUNCTION("""COMPUTED_VALUE"""),45273.6458333333)</f>
        <v>45273.645833333299</v>
      </c>
      <c r="V1465" s="6">
        <f ca="1">IFERROR(__xludf.DUMMYFUNCTION("""COMPUTED_VALUE"""),2510.66)</f>
        <v>2510.66</v>
      </c>
      <c r="Z1465" s="6" t="str">
        <f t="shared" ca="1" si="405"/>
        <v>20222</v>
      </c>
      <c r="AA1465" s="6">
        <f t="shared" ca="1" si="406"/>
        <v>2022</v>
      </c>
      <c r="AB1465" s="6">
        <f t="shared" ca="1" si="407"/>
        <v>2</v>
      </c>
      <c r="AC1465" s="68">
        <f ca="1">IFERROR(__xludf.DUMMYFUNCTION("""COMPUTED_VALUE"""),44614.9986111111)</f>
        <v>44614.998611111099</v>
      </c>
      <c r="AD1465" s="6">
        <f ca="1">IFERROR(__xludf.DUMMYFUNCTION("""COMPUTED_VALUE"""),1192.68)</f>
        <v>1192.68</v>
      </c>
      <c r="AH1465" s="6" t="str">
        <f t="shared" ca="1" si="408"/>
        <v>202112</v>
      </c>
      <c r="AI1465" s="6">
        <f t="shared" ca="1" si="409"/>
        <v>2021</v>
      </c>
      <c r="AJ1465" s="6">
        <f t="shared" ca="1" si="410"/>
        <v>12</v>
      </c>
      <c r="AK1465" s="68">
        <f ca="1">IFERROR(__xludf.DUMMYFUNCTION("""COMPUTED_VALUE"""),44558.9986111111)</f>
        <v>44558.998611111099</v>
      </c>
      <c r="AL1465" s="6">
        <f ca="1">IFERROR(__xludf.DUMMYFUNCTION("""COMPUTED_VALUE"""),47538.2)</f>
        <v>47538.2</v>
      </c>
      <c r="AP1465" s="6" t="str">
        <f t="shared" ca="1" si="411"/>
        <v>202311</v>
      </c>
      <c r="AQ1465" s="6">
        <f t="shared" ca="1" si="412"/>
        <v>2023</v>
      </c>
      <c r="AR1465" s="6">
        <f t="shared" ca="1" si="413"/>
        <v>11</v>
      </c>
      <c r="AS1465" s="68">
        <f ca="1">IFERROR(__xludf.DUMMYFUNCTION("""COMPUTED_VALUE"""),45231.9986111111)</f>
        <v>45231.998611111099</v>
      </c>
      <c r="AT1465" s="6">
        <f ca="1">IFERROR(__xludf.DUMMYFUNCTION("""COMPUTED_VALUE"""),1987.5)</f>
        <v>1987.5</v>
      </c>
    </row>
    <row r="1466" spans="2:46" x14ac:dyDescent="0.35">
      <c r="B1466" s="6" t="str">
        <f t="shared" ca="1" si="396"/>
        <v>202310</v>
      </c>
      <c r="C1466" s="6">
        <f t="shared" ca="1" si="397"/>
        <v>2023</v>
      </c>
      <c r="D1466" s="6">
        <f t="shared" ca="1" si="398"/>
        <v>10</v>
      </c>
      <c r="E1466" s="68">
        <f ca="1">IFERROR(__xludf.DUMMYFUNCTION("""COMPUTED_VALUE"""),45225.6666666666)</f>
        <v>45225.666666666599</v>
      </c>
      <c r="F1466" s="6">
        <f ca="1">IFERROR(__xludf.DUMMYFUNCTION("""COMPUTED_VALUE"""),4137.23)</f>
        <v>4137.2299999999996</v>
      </c>
      <c r="J1466" s="6" t="str">
        <f t="shared" ca="1" si="399"/>
        <v>202310</v>
      </c>
      <c r="K1466" s="6">
        <f t="shared" ca="1" si="400"/>
        <v>2023</v>
      </c>
      <c r="L1466" s="6">
        <f t="shared" ca="1" si="401"/>
        <v>10</v>
      </c>
      <c r="M1466" s="68">
        <f ca="1">IFERROR(__xludf.DUMMYFUNCTION("""COMPUTED_VALUE"""),45217.6666666666)</f>
        <v>45217.666666666599</v>
      </c>
      <c r="N1466" s="6">
        <f ca="1">IFERROR(__xludf.DUMMYFUNCTION("""COMPUTED_VALUE"""),13314.3)</f>
        <v>13314.3</v>
      </c>
      <c r="R1466" s="6" t="str">
        <f t="shared" ca="1" si="402"/>
        <v>202312</v>
      </c>
      <c r="S1466" s="6">
        <f t="shared" ca="1" si="403"/>
        <v>2023</v>
      </c>
      <c r="T1466" s="6">
        <f t="shared" ca="1" si="404"/>
        <v>12</v>
      </c>
      <c r="U1466" s="68">
        <f ca="1">IFERROR(__xludf.DUMMYFUNCTION("""COMPUTED_VALUE"""),45274.6458333333)</f>
        <v>45274.645833333299</v>
      </c>
      <c r="V1466" s="6">
        <f ca="1">IFERROR(__xludf.DUMMYFUNCTION("""COMPUTED_VALUE"""),2544.18)</f>
        <v>2544.1799999999998</v>
      </c>
      <c r="Z1466" s="6" t="str">
        <f t="shared" ca="1" si="405"/>
        <v>20222</v>
      </c>
      <c r="AA1466" s="6">
        <f t="shared" ca="1" si="406"/>
        <v>2022</v>
      </c>
      <c r="AB1466" s="6">
        <f t="shared" ca="1" si="407"/>
        <v>2</v>
      </c>
      <c r="AC1466" s="68">
        <f ca="1">IFERROR(__xludf.DUMMYFUNCTION("""COMPUTED_VALUE"""),44615.9986111111)</f>
        <v>44615.998611111099</v>
      </c>
      <c r="AD1466" s="6">
        <f ca="1">IFERROR(__xludf.DUMMYFUNCTION("""COMPUTED_VALUE"""),1192.4)</f>
        <v>1192.4000000000001</v>
      </c>
      <c r="AH1466" s="6" t="str">
        <f t="shared" ca="1" si="408"/>
        <v>202112</v>
      </c>
      <c r="AI1466" s="6">
        <f t="shared" ca="1" si="409"/>
        <v>2021</v>
      </c>
      <c r="AJ1466" s="6">
        <f t="shared" ca="1" si="410"/>
        <v>12</v>
      </c>
      <c r="AK1466" s="68">
        <f ca="1">IFERROR(__xludf.DUMMYFUNCTION("""COMPUTED_VALUE"""),44559.9986111111)</f>
        <v>44559.998611111099</v>
      </c>
      <c r="AL1466" s="6">
        <f ca="1">IFERROR(__xludf.DUMMYFUNCTION("""COMPUTED_VALUE"""),46438.42)</f>
        <v>46438.42</v>
      </c>
      <c r="AP1466" s="6" t="str">
        <f t="shared" ca="1" si="411"/>
        <v>202311</v>
      </c>
      <c r="AQ1466" s="6">
        <f t="shared" ca="1" si="412"/>
        <v>2023</v>
      </c>
      <c r="AR1466" s="6">
        <f t="shared" ca="1" si="413"/>
        <v>11</v>
      </c>
      <c r="AS1466" s="68">
        <f ca="1">IFERROR(__xludf.DUMMYFUNCTION("""COMPUTED_VALUE"""),45232.9986111111)</f>
        <v>45232.998611111099</v>
      </c>
      <c r="AT1466" s="6">
        <f ca="1">IFERROR(__xludf.DUMMYFUNCTION("""COMPUTED_VALUE"""),1993.5)</f>
        <v>1993.5</v>
      </c>
    </row>
    <row r="1467" spans="2:46" x14ac:dyDescent="0.35">
      <c r="B1467" s="6" t="str">
        <f t="shared" ca="1" si="396"/>
        <v>202310</v>
      </c>
      <c r="C1467" s="6">
        <f t="shared" ca="1" si="397"/>
        <v>2023</v>
      </c>
      <c r="D1467" s="6">
        <f t="shared" ca="1" si="398"/>
        <v>10</v>
      </c>
      <c r="E1467" s="68">
        <f ca="1">IFERROR(__xludf.DUMMYFUNCTION("""COMPUTED_VALUE"""),45226.6666666666)</f>
        <v>45226.666666666599</v>
      </c>
      <c r="F1467" s="6">
        <f ca="1">IFERROR(__xludf.DUMMYFUNCTION("""COMPUTED_VALUE"""),4117.37)</f>
        <v>4117.37</v>
      </c>
      <c r="J1467" s="6" t="str">
        <f t="shared" ca="1" si="399"/>
        <v>202310</v>
      </c>
      <c r="K1467" s="6">
        <f t="shared" ca="1" si="400"/>
        <v>2023</v>
      </c>
      <c r="L1467" s="6">
        <f t="shared" ca="1" si="401"/>
        <v>10</v>
      </c>
      <c r="M1467" s="68">
        <f ca="1">IFERROR(__xludf.DUMMYFUNCTION("""COMPUTED_VALUE"""),45218.6666666666)</f>
        <v>45218.666666666599</v>
      </c>
      <c r="N1467" s="6">
        <f ca="1">IFERROR(__xludf.DUMMYFUNCTION("""COMPUTED_VALUE"""),13186.18)</f>
        <v>13186.18</v>
      </c>
      <c r="R1467" s="6" t="str">
        <f t="shared" ca="1" si="402"/>
        <v>202312</v>
      </c>
      <c r="S1467" s="6">
        <f t="shared" ca="1" si="403"/>
        <v>2023</v>
      </c>
      <c r="T1467" s="6">
        <f t="shared" ca="1" si="404"/>
        <v>12</v>
      </c>
      <c r="U1467" s="68">
        <f ca="1">IFERROR(__xludf.DUMMYFUNCTION("""COMPUTED_VALUE"""),45275.6458333333)</f>
        <v>45275.645833333299</v>
      </c>
      <c r="V1467" s="6">
        <f ca="1">IFERROR(__xludf.DUMMYFUNCTION("""COMPUTED_VALUE"""),2563.56)</f>
        <v>2563.56</v>
      </c>
      <c r="Z1467" s="6" t="str">
        <f t="shared" ca="1" si="405"/>
        <v>20222</v>
      </c>
      <c r="AA1467" s="6">
        <f t="shared" ca="1" si="406"/>
        <v>2022</v>
      </c>
      <c r="AB1467" s="6">
        <f t="shared" ca="1" si="407"/>
        <v>2</v>
      </c>
      <c r="AC1467" s="68">
        <f ca="1">IFERROR(__xludf.DUMMYFUNCTION("""COMPUTED_VALUE"""),44616.9986111111)</f>
        <v>44616.998611111099</v>
      </c>
      <c r="AD1467" s="6">
        <f ca="1">IFERROR(__xludf.DUMMYFUNCTION("""COMPUTED_VALUE"""),1206)</f>
        <v>1206</v>
      </c>
      <c r="AH1467" s="6" t="str">
        <f t="shared" ca="1" si="408"/>
        <v>202112</v>
      </c>
      <c r="AI1467" s="6">
        <f t="shared" ca="1" si="409"/>
        <v>2021</v>
      </c>
      <c r="AJ1467" s="6">
        <f t="shared" ca="1" si="410"/>
        <v>12</v>
      </c>
      <c r="AK1467" s="68">
        <f ca="1">IFERROR(__xludf.DUMMYFUNCTION("""COMPUTED_VALUE"""),44560.9986111111)</f>
        <v>44560.998611111099</v>
      </c>
      <c r="AL1467" s="6">
        <f ca="1">IFERROR(__xludf.DUMMYFUNCTION("""COMPUTED_VALUE"""),47129.15)</f>
        <v>47129.15</v>
      </c>
      <c r="AP1467" s="6" t="str">
        <f t="shared" ca="1" si="411"/>
        <v>202311</v>
      </c>
      <c r="AQ1467" s="6">
        <f t="shared" ca="1" si="412"/>
        <v>2023</v>
      </c>
      <c r="AR1467" s="6">
        <f t="shared" ca="1" si="413"/>
        <v>11</v>
      </c>
      <c r="AS1467" s="68">
        <f ca="1">IFERROR(__xludf.DUMMYFUNCTION("""COMPUTED_VALUE"""),45233.9986111111)</f>
        <v>45233.998611111099</v>
      </c>
      <c r="AT1467" s="6">
        <f ca="1">IFERROR(__xludf.DUMMYFUNCTION("""COMPUTED_VALUE"""),1999.2)</f>
        <v>1999.2</v>
      </c>
    </row>
    <row r="1468" spans="2:46" x14ac:dyDescent="0.35">
      <c r="B1468" s="6" t="str">
        <f t="shared" ca="1" si="396"/>
        <v>202310</v>
      </c>
      <c r="C1468" s="6">
        <f t="shared" ca="1" si="397"/>
        <v>2023</v>
      </c>
      <c r="D1468" s="6">
        <f t="shared" ca="1" si="398"/>
        <v>10</v>
      </c>
      <c r="E1468" s="68">
        <f ca="1">IFERROR(__xludf.DUMMYFUNCTION("""COMPUTED_VALUE"""),45229.6666666666)</f>
        <v>45229.666666666599</v>
      </c>
      <c r="F1468" s="6">
        <f ca="1">IFERROR(__xludf.DUMMYFUNCTION("""COMPUTED_VALUE"""),4166.82)</f>
        <v>4166.82</v>
      </c>
      <c r="J1468" s="6" t="str">
        <f t="shared" ca="1" si="399"/>
        <v>202310</v>
      </c>
      <c r="K1468" s="6">
        <f t="shared" ca="1" si="400"/>
        <v>2023</v>
      </c>
      <c r="L1468" s="6">
        <f t="shared" ca="1" si="401"/>
        <v>10</v>
      </c>
      <c r="M1468" s="68">
        <f ca="1">IFERROR(__xludf.DUMMYFUNCTION("""COMPUTED_VALUE"""),45219.6666666666)</f>
        <v>45219.666666666599</v>
      </c>
      <c r="N1468" s="6">
        <f ca="1">IFERROR(__xludf.DUMMYFUNCTION("""COMPUTED_VALUE"""),12983.81)</f>
        <v>12983.81</v>
      </c>
      <c r="R1468" s="6" t="str">
        <f t="shared" ca="1" si="402"/>
        <v>202312</v>
      </c>
      <c r="S1468" s="6">
        <f t="shared" ca="1" si="403"/>
        <v>2023</v>
      </c>
      <c r="T1468" s="6">
        <f t="shared" ca="1" si="404"/>
        <v>12</v>
      </c>
      <c r="U1468" s="68">
        <f ca="1">IFERROR(__xludf.DUMMYFUNCTION("""COMPUTED_VALUE"""),45278.6458333333)</f>
        <v>45278.645833333299</v>
      </c>
      <c r="V1468" s="6">
        <f ca="1">IFERROR(__xludf.DUMMYFUNCTION("""COMPUTED_VALUE"""),2566.86)</f>
        <v>2566.86</v>
      </c>
      <c r="Z1468" s="6" t="str">
        <f t="shared" ca="1" si="405"/>
        <v>20222</v>
      </c>
      <c r="AA1468" s="6">
        <f t="shared" ca="1" si="406"/>
        <v>2022</v>
      </c>
      <c r="AB1468" s="6">
        <f t="shared" ca="1" si="407"/>
        <v>2</v>
      </c>
      <c r="AC1468" s="68">
        <f ca="1">IFERROR(__xludf.DUMMYFUNCTION("""COMPUTED_VALUE"""),44617.9986111111)</f>
        <v>44617.998611111099</v>
      </c>
      <c r="AD1468" s="6">
        <f ca="1">IFERROR(__xludf.DUMMYFUNCTION("""COMPUTED_VALUE"""),1197.69)</f>
        <v>1197.69</v>
      </c>
      <c r="AH1468" s="6" t="str">
        <f t="shared" ca="1" si="408"/>
        <v>202112</v>
      </c>
      <c r="AI1468" s="6">
        <f t="shared" ca="1" si="409"/>
        <v>2021</v>
      </c>
      <c r="AJ1468" s="6">
        <f t="shared" ca="1" si="410"/>
        <v>12</v>
      </c>
      <c r="AK1468" s="68">
        <f ca="1">IFERROR(__xludf.DUMMYFUNCTION("""COMPUTED_VALUE"""),44561.9986111111)</f>
        <v>44561.998611111099</v>
      </c>
      <c r="AL1468" s="6">
        <f ca="1">IFERROR(__xludf.DUMMYFUNCTION("""COMPUTED_VALUE"""),46203.3)</f>
        <v>46203.3</v>
      </c>
      <c r="AP1468" s="6" t="str">
        <f t="shared" ca="1" si="411"/>
        <v>202311</v>
      </c>
      <c r="AQ1468" s="6">
        <f t="shared" ca="1" si="412"/>
        <v>2023</v>
      </c>
      <c r="AR1468" s="6">
        <f t="shared" ca="1" si="413"/>
        <v>11</v>
      </c>
      <c r="AS1468" s="68">
        <f ca="1">IFERROR(__xludf.DUMMYFUNCTION("""COMPUTED_VALUE"""),45236.9986111111)</f>
        <v>45236.998611111099</v>
      </c>
      <c r="AT1468" s="6">
        <f ca="1">IFERROR(__xludf.DUMMYFUNCTION("""COMPUTED_VALUE"""),1988.6)</f>
        <v>1988.6</v>
      </c>
    </row>
    <row r="1469" spans="2:46" x14ac:dyDescent="0.35">
      <c r="B1469" s="6" t="str">
        <f t="shared" ca="1" si="396"/>
        <v>202310</v>
      </c>
      <c r="C1469" s="6">
        <f t="shared" ca="1" si="397"/>
        <v>2023</v>
      </c>
      <c r="D1469" s="6">
        <f t="shared" ca="1" si="398"/>
        <v>10</v>
      </c>
      <c r="E1469" s="68">
        <f ca="1">IFERROR(__xludf.DUMMYFUNCTION("""COMPUTED_VALUE"""),45230.6666666666)</f>
        <v>45230.666666666599</v>
      </c>
      <c r="F1469" s="6">
        <f ca="1">IFERROR(__xludf.DUMMYFUNCTION("""COMPUTED_VALUE"""),4193.8)</f>
        <v>4193.8</v>
      </c>
      <c r="J1469" s="6" t="str">
        <f t="shared" ca="1" si="399"/>
        <v>202310</v>
      </c>
      <c r="K1469" s="6">
        <f t="shared" ca="1" si="400"/>
        <v>2023</v>
      </c>
      <c r="L1469" s="6">
        <f t="shared" ca="1" si="401"/>
        <v>10</v>
      </c>
      <c r="M1469" s="68">
        <f ca="1">IFERROR(__xludf.DUMMYFUNCTION("""COMPUTED_VALUE"""),45222.6666666666)</f>
        <v>45222.666666666599</v>
      </c>
      <c r="N1469" s="6">
        <f ca="1">IFERROR(__xludf.DUMMYFUNCTION("""COMPUTED_VALUE"""),13018.33)</f>
        <v>13018.33</v>
      </c>
      <c r="R1469" s="6" t="str">
        <f t="shared" ca="1" si="402"/>
        <v>202312</v>
      </c>
      <c r="S1469" s="6">
        <f t="shared" ca="1" si="403"/>
        <v>2023</v>
      </c>
      <c r="T1469" s="6">
        <f t="shared" ca="1" si="404"/>
        <v>12</v>
      </c>
      <c r="U1469" s="68">
        <f ca="1">IFERROR(__xludf.DUMMYFUNCTION("""COMPUTED_VALUE"""),45279.6458333333)</f>
        <v>45279.645833333299</v>
      </c>
      <c r="V1469" s="6">
        <f ca="1">IFERROR(__xludf.DUMMYFUNCTION("""COMPUTED_VALUE"""),2568.55)</f>
        <v>2568.5500000000002</v>
      </c>
      <c r="Z1469" s="6" t="str">
        <f t="shared" ca="1" si="405"/>
        <v>20222</v>
      </c>
      <c r="AA1469" s="6">
        <f t="shared" ca="1" si="406"/>
        <v>2022</v>
      </c>
      <c r="AB1469" s="6">
        <f t="shared" ca="1" si="407"/>
        <v>2</v>
      </c>
      <c r="AC1469" s="68">
        <f ca="1">IFERROR(__xludf.DUMMYFUNCTION("""COMPUTED_VALUE"""),44618.9986111111)</f>
        <v>44618.998611111099</v>
      </c>
      <c r="AD1469" s="6">
        <f ca="1">IFERROR(__xludf.DUMMYFUNCTION("""COMPUTED_VALUE"""),1195.92)</f>
        <v>1195.92</v>
      </c>
      <c r="AH1469" s="6" t="str">
        <f t="shared" ca="1" si="408"/>
        <v>20221</v>
      </c>
      <c r="AI1469" s="6">
        <f t="shared" ca="1" si="409"/>
        <v>2022</v>
      </c>
      <c r="AJ1469" s="6">
        <f t="shared" ca="1" si="410"/>
        <v>1</v>
      </c>
      <c r="AK1469" s="68">
        <f ca="1">IFERROR(__xludf.DUMMYFUNCTION("""COMPUTED_VALUE"""),44562.9986111111)</f>
        <v>44562.998611111099</v>
      </c>
      <c r="AL1469" s="6">
        <f ca="1">IFERROR(__xludf.DUMMYFUNCTION("""COMPUTED_VALUE"""),47740.14)</f>
        <v>47740.14</v>
      </c>
      <c r="AP1469" s="6" t="str">
        <f t="shared" ca="1" si="411"/>
        <v>202311</v>
      </c>
      <c r="AQ1469" s="6">
        <f t="shared" ca="1" si="412"/>
        <v>2023</v>
      </c>
      <c r="AR1469" s="6">
        <f t="shared" ca="1" si="413"/>
        <v>11</v>
      </c>
      <c r="AS1469" s="68">
        <f ca="1">IFERROR(__xludf.DUMMYFUNCTION("""COMPUTED_VALUE"""),45237.9986111111)</f>
        <v>45237.998611111099</v>
      </c>
      <c r="AT1469" s="6">
        <f ca="1">IFERROR(__xludf.DUMMYFUNCTION("""COMPUTED_VALUE"""),1973.5)</f>
        <v>1973.5</v>
      </c>
    </row>
    <row r="1470" spans="2:46" x14ac:dyDescent="0.35">
      <c r="B1470" s="6" t="str">
        <f t="shared" ca="1" si="396"/>
        <v>202311</v>
      </c>
      <c r="C1470" s="6">
        <f t="shared" ca="1" si="397"/>
        <v>2023</v>
      </c>
      <c r="D1470" s="6">
        <f t="shared" ca="1" si="398"/>
        <v>11</v>
      </c>
      <c r="E1470" s="68">
        <f ca="1">IFERROR(__xludf.DUMMYFUNCTION("""COMPUTED_VALUE"""),45231.6666666666)</f>
        <v>45231.666666666599</v>
      </c>
      <c r="F1470" s="6">
        <f ca="1">IFERROR(__xludf.DUMMYFUNCTION("""COMPUTED_VALUE"""),4237.86)</f>
        <v>4237.8599999999997</v>
      </c>
      <c r="J1470" s="6" t="str">
        <f t="shared" ca="1" si="399"/>
        <v>202310</v>
      </c>
      <c r="K1470" s="6">
        <f t="shared" ca="1" si="400"/>
        <v>2023</v>
      </c>
      <c r="L1470" s="6">
        <f t="shared" ca="1" si="401"/>
        <v>10</v>
      </c>
      <c r="M1470" s="68">
        <f ca="1">IFERROR(__xludf.DUMMYFUNCTION("""COMPUTED_VALUE"""),45223.6666666666)</f>
        <v>45223.666666666599</v>
      </c>
      <c r="N1470" s="6">
        <f ca="1">IFERROR(__xludf.DUMMYFUNCTION("""COMPUTED_VALUE"""),13139.88)</f>
        <v>13139.88</v>
      </c>
      <c r="R1470" s="6" t="str">
        <f t="shared" ca="1" si="402"/>
        <v>202312</v>
      </c>
      <c r="S1470" s="6">
        <f t="shared" ca="1" si="403"/>
        <v>2023</v>
      </c>
      <c r="T1470" s="6">
        <f t="shared" ca="1" si="404"/>
        <v>12</v>
      </c>
      <c r="U1470" s="68">
        <f ca="1">IFERROR(__xludf.DUMMYFUNCTION("""COMPUTED_VALUE"""),45280.6458333333)</f>
        <v>45280.645833333299</v>
      </c>
      <c r="V1470" s="6">
        <f ca="1">IFERROR(__xludf.DUMMYFUNCTION("""COMPUTED_VALUE"""),2614.3)</f>
        <v>2614.3000000000002</v>
      </c>
      <c r="Z1470" s="6" t="str">
        <f t="shared" ca="1" si="405"/>
        <v>20222</v>
      </c>
      <c r="AA1470" s="6">
        <f t="shared" ca="1" si="406"/>
        <v>2022</v>
      </c>
      <c r="AB1470" s="6">
        <f t="shared" ca="1" si="407"/>
        <v>2</v>
      </c>
      <c r="AC1470" s="68">
        <f ca="1">IFERROR(__xludf.DUMMYFUNCTION("""COMPUTED_VALUE"""),44619.9986111111)</f>
        <v>44619.998611111099</v>
      </c>
      <c r="AD1470" s="6">
        <f ca="1">IFERROR(__xludf.DUMMYFUNCTION("""COMPUTED_VALUE"""),1197.59)</f>
        <v>1197.5899999999999</v>
      </c>
      <c r="AH1470" s="6" t="str">
        <f t="shared" ca="1" si="408"/>
        <v>20221</v>
      </c>
      <c r="AI1470" s="6">
        <f t="shared" ca="1" si="409"/>
        <v>2022</v>
      </c>
      <c r="AJ1470" s="6">
        <f t="shared" ca="1" si="410"/>
        <v>1</v>
      </c>
      <c r="AK1470" s="68">
        <f ca="1">IFERROR(__xludf.DUMMYFUNCTION("""COMPUTED_VALUE"""),44563.9986111111)</f>
        <v>44563.998611111099</v>
      </c>
      <c r="AL1470" s="6">
        <f ca="1">IFERROR(__xludf.DUMMYFUNCTION("""COMPUTED_VALUE"""),47311.28)</f>
        <v>47311.28</v>
      </c>
      <c r="AP1470" s="6" t="str">
        <f t="shared" ca="1" si="411"/>
        <v>202311</v>
      </c>
      <c r="AQ1470" s="6">
        <f t="shared" ca="1" si="412"/>
        <v>2023</v>
      </c>
      <c r="AR1470" s="6">
        <f t="shared" ca="1" si="413"/>
        <v>11</v>
      </c>
      <c r="AS1470" s="68">
        <f ca="1">IFERROR(__xludf.DUMMYFUNCTION("""COMPUTED_VALUE"""),45238.9986111111)</f>
        <v>45238.998611111099</v>
      </c>
      <c r="AT1470" s="6">
        <f ca="1">IFERROR(__xludf.DUMMYFUNCTION("""COMPUTED_VALUE"""),1957.8)</f>
        <v>1957.8</v>
      </c>
    </row>
    <row r="1471" spans="2:46" x14ac:dyDescent="0.35">
      <c r="B1471" s="6" t="str">
        <f t="shared" ca="1" si="396"/>
        <v>202311</v>
      </c>
      <c r="C1471" s="6">
        <f t="shared" ca="1" si="397"/>
        <v>2023</v>
      </c>
      <c r="D1471" s="6">
        <f t="shared" ca="1" si="398"/>
        <v>11</v>
      </c>
      <c r="E1471" s="68">
        <f ca="1">IFERROR(__xludf.DUMMYFUNCTION("""COMPUTED_VALUE"""),45232.6666666666)</f>
        <v>45232.666666666599</v>
      </c>
      <c r="F1471" s="6">
        <f ca="1">IFERROR(__xludf.DUMMYFUNCTION("""COMPUTED_VALUE"""),4317.78)</f>
        <v>4317.78</v>
      </c>
      <c r="J1471" s="6" t="str">
        <f t="shared" ca="1" si="399"/>
        <v>202310</v>
      </c>
      <c r="K1471" s="6">
        <f t="shared" ca="1" si="400"/>
        <v>2023</v>
      </c>
      <c r="L1471" s="6">
        <f t="shared" ca="1" si="401"/>
        <v>10</v>
      </c>
      <c r="M1471" s="68">
        <f ca="1">IFERROR(__xludf.DUMMYFUNCTION("""COMPUTED_VALUE"""),45224.6666666666)</f>
        <v>45224.666666666599</v>
      </c>
      <c r="N1471" s="6">
        <f ca="1">IFERROR(__xludf.DUMMYFUNCTION("""COMPUTED_VALUE"""),12821.22)</f>
        <v>12821.22</v>
      </c>
      <c r="R1471" s="6" t="str">
        <f t="shared" ca="1" si="402"/>
        <v>202312</v>
      </c>
      <c r="S1471" s="6">
        <f t="shared" ca="1" si="403"/>
        <v>2023</v>
      </c>
      <c r="T1471" s="6">
        <f t="shared" ca="1" si="404"/>
        <v>12</v>
      </c>
      <c r="U1471" s="68">
        <f ca="1">IFERROR(__xludf.DUMMYFUNCTION("""COMPUTED_VALUE"""),45281.6458333333)</f>
        <v>45281.645833333299</v>
      </c>
      <c r="V1471" s="6">
        <f ca="1">IFERROR(__xludf.DUMMYFUNCTION("""COMPUTED_VALUE"""),2600.02)</f>
        <v>2600.02</v>
      </c>
      <c r="Z1471" s="6" t="str">
        <f t="shared" ca="1" si="405"/>
        <v>20222</v>
      </c>
      <c r="AA1471" s="6">
        <f t="shared" ca="1" si="406"/>
        <v>2022</v>
      </c>
      <c r="AB1471" s="6">
        <f t="shared" ca="1" si="407"/>
        <v>2</v>
      </c>
      <c r="AC1471" s="68">
        <f ca="1">IFERROR(__xludf.DUMMYFUNCTION("""COMPUTED_VALUE"""),44620.9986111111)</f>
        <v>44620.998611111099</v>
      </c>
      <c r="AD1471" s="6">
        <f ca="1">IFERROR(__xludf.DUMMYFUNCTION("""COMPUTED_VALUE"""),1200.93)</f>
        <v>1200.93</v>
      </c>
      <c r="AH1471" s="6" t="str">
        <f t="shared" ca="1" si="408"/>
        <v>20221</v>
      </c>
      <c r="AI1471" s="6">
        <f t="shared" ca="1" si="409"/>
        <v>2022</v>
      </c>
      <c r="AJ1471" s="6">
        <f t="shared" ca="1" si="410"/>
        <v>1</v>
      </c>
      <c r="AK1471" s="68">
        <f ca="1">IFERROR(__xludf.DUMMYFUNCTION("""COMPUTED_VALUE"""),44564.9986111111)</f>
        <v>44564.998611111099</v>
      </c>
      <c r="AL1471" s="6">
        <f ca="1">IFERROR(__xludf.DUMMYFUNCTION("""COMPUTED_VALUE"""),46428.77)</f>
        <v>46428.77</v>
      </c>
      <c r="AP1471" s="6" t="str">
        <f t="shared" ca="1" si="411"/>
        <v>202311</v>
      </c>
      <c r="AQ1471" s="6">
        <f t="shared" ca="1" si="412"/>
        <v>2023</v>
      </c>
      <c r="AR1471" s="6">
        <f t="shared" ca="1" si="413"/>
        <v>11</v>
      </c>
      <c r="AS1471" s="68">
        <f ca="1">IFERROR(__xludf.DUMMYFUNCTION("""COMPUTED_VALUE"""),45239.9986111111)</f>
        <v>45239.998611111099</v>
      </c>
      <c r="AT1471" s="6">
        <f ca="1">IFERROR(__xludf.DUMMYFUNCTION("""COMPUTED_VALUE"""),1969.8)</f>
        <v>1969.8</v>
      </c>
    </row>
    <row r="1472" spans="2:46" x14ac:dyDescent="0.35">
      <c r="B1472" s="6" t="str">
        <f t="shared" ca="1" si="396"/>
        <v>202311</v>
      </c>
      <c r="C1472" s="6">
        <f t="shared" ca="1" si="397"/>
        <v>2023</v>
      </c>
      <c r="D1472" s="6">
        <f t="shared" ca="1" si="398"/>
        <v>11</v>
      </c>
      <c r="E1472" s="68">
        <f ca="1">IFERROR(__xludf.DUMMYFUNCTION("""COMPUTED_VALUE"""),45233.6666666666)</f>
        <v>45233.666666666599</v>
      </c>
      <c r="F1472" s="6">
        <f ca="1">IFERROR(__xludf.DUMMYFUNCTION("""COMPUTED_VALUE"""),4358.34)</f>
        <v>4358.34</v>
      </c>
      <c r="J1472" s="6" t="str">
        <f t="shared" ca="1" si="399"/>
        <v>202310</v>
      </c>
      <c r="K1472" s="6">
        <f t="shared" ca="1" si="400"/>
        <v>2023</v>
      </c>
      <c r="L1472" s="6">
        <f t="shared" ca="1" si="401"/>
        <v>10</v>
      </c>
      <c r="M1472" s="68">
        <f ca="1">IFERROR(__xludf.DUMMYFUNCTION("""COMPUTED_VALUE"""),45225.6666666666)</f>
        <v>45225.666666666599</v>
      </c>
      <c r="N1472" s="6">
        <f ca="1">IFERROR(__xludf.DUMMYFUNCTION("""COMPUTED_VALUE"""),12595.61)</f>
        <v>12595.61</v>
      </c>
      <c r="R1472" s="6" t="str">
        <f t="shared" ca="1" si="402"/>
        <v>202312</v>
      </c>
      <c r="S1472" s="6">
        <f t="shared" ca="1" si="403"/>
        <v>2023</v>
      </c>
      <c r="T1472" s="6">
        <f t="shared" ca="1" si="404"/>
        <v>12</v>
      </c>
      <c r="U1472" s="68">
        <f ca="1">IFERROR(__xludf.DUMMYFUNCTION("""COMPUTED_VALUE"""),45282.6458333333)</f>
        <v>45282.645833333299</v>
      </c>
      <c r="V1472" s="6">
        <f ca="1">IFERROR(__xludf.DUMMYFUNCTION("""COMPUTED_VALUE"""),2599.51)</f>
        <v>2599.5100000000002</v>
      </c>
      <c r="Z1472" s="6" t="str">
        <f t="shared" ca="1" si="405"/>
        <v>20223</v>
      </c>
      <c r="AA1472" s="6">
        <f t="shared" ca="1" si="406"/>
        <v>2022</v>
      </c>
      <c r="AB1472" s="6">
        <f t="shared" ca="1" si="407"/>
        <v>3</v>
      </c>
      <c r="AC1472" s="68">
        <f ca="1">IFERROR(__xludf.DUMMYFUNCTION("""COMPUTED_VALUE"""),44621.9986111111)</f>
        <v>44621.998611111099</v>
      </c>
      <c r="AD1472" s="6">
        <f ca="1">IFERROR(__xludf.DUMMYFUNCTION("""COMPUTED_VALUE"""),1205.37)</f>
        <v>1205.3699999999999</v>
      </c>
      <c r="AH1472" s="6" t="str">
        <f t="shared" ca="1" si="408"/>
        <v>20221</v>
      </c>
      <c r="AI1472" s="6">
        <f t="shared" ca="1" si="409"/>
        <v>2022</v>
      </c>
      <c r="AJ1472" s="6">
        <f t="shared" ca="1" si="410"/>
        <v>1</v>
      </c>
      <c r="AK1472" s="68">
        <f ca="1">IFERROR(__xludf.DUMMYFUNCTION("""COMPUTED_VALUE"""),44565.9986111111)</f>
        <v>44565.998611111099</v>
      </c>
      <c r="AL1472" s="6">
        <f ca="1">IFERROR(__xludf.DUMMYFUNCTION("""COMPUTED_VALUE"""),45843.78)</f>
        <v>45843.78</v>
      </c>
      <c r="AP1472" s="6" t="str">
        <f t="shared" ca="1" si="411"/>
        <v>202311</v>
      </c>
      <c r="AQ1472" s="6">
        <f t="shared" ca="1" si="412"/>
        <v>2023</v>
      </c>
      <c r="AR1472" s="6">
        <f t="shared" ca="1" si="413"/>
        <v>11</v>
      </c>
      <c r="AS1472" s="68">
        <f ca="1">IFERROR(__xludf.DUMMYFUNCTION("""COMPUTED_VALUE"""),45240.9986111111)</f>
        <v>45240.998611111099</v>
      </c>
      <c r="AT1472" s="6">
        <f ca="1">IFERROR(__xludf.DUMMYFUNCTION("""COMPUTED_VALUE"""),1937.7)</f>
        <v>1937.7</v>
      </c>
    </row>
    <row r="1473" spans="2:46" x14ac:dyDescent="0.35">
      <c r="B1473" s="6" t="str">
        <f t="shared" ca="1" si="396"/>
        <v>202311</v>
      </c>
      <c r="C1473" s="6">
        <f t="shared" ca="1" si="397"/>
        <v>2023</v>
      </c>
      <c r="D1473" s="6">
        <f t="shared" ca="1" si="398"/>
        <v>11</v>
      </c>
      <c r="E1473" s="68">
        <f ca="1">IFERROR(__xludf.DUMMYFUNCTION("""COMPUTED_VALUE"""),45236.6666666666)</f>
        <v>45236.666666666599</v>
      </c>
      <c r="F1473" s="6">
        <f ca="1">IFERROR(__xludf.DUMMYFUNCTION("""COMPUTED_VALUE"""),4365.98)</f>
        <v>4365.9799999999996</v>
      </c>
      <c r="J1473" s="6" t="str">
        <f t="shared" ca="1" si="399"/>
        <v>202310</v>
      </c>
      <c r="K1473" s="6">
        <f t="shared" ca="1" si="400"/>
        <v>2023</v>
      </c>
      <c r="L1473" s="6">
        <f t="shared" ca="1" si="401"/>
        <v>10</v>
      </c>
      <c r="M1473" s="68">
        <f ca="1">IFERROR(__xludf.DUMMYFUNCTION("""COMPUTED_VALUE"""),45226.6666666666)</f>
        <v>45226.666666666599</v>
      </c>
      <c r="N1473" s="6">
        <f ca="1">IFERROR(__xludf.DUMMYFUNCTION("""COMPUTED_VALUE"""),12643.01)</f>
        <v>12643.01</v>
      </c>
      <c r="R1473" s="6" t="str">
        <f t="shared" ca="1" si="402"/>
        <v>202312</v>
      </c>
      <c r="S1473" s="6">
        <f t="shared" ca="1" si="403"/>
        <v>2023</v>
      </c>
      <c r="T1473" s="6">
        <f t="shared" ca="1" si="404"/>
        <v>12</v>
      </c>
      <c r="U1473" s="68">
        <f ca="1">IFERROR(__xludf.DUMMYFUNCTION("""COMPUTED_VALUE"""),45286.6458333333)</f>
        <v>45286.645833333299</v>
      </c>
      <c r="V1473" s="6">
        <f ca="1">IFERROR(__xludf.DUMMYFUNCTION("""COMPUTED_VALUE"""),2602.59)</f>
        <v>2602.59</v>
      </c>
      <c r="Z1473" s="6" t="str">
        <f t="shared" ca="1" si="405"/>
        <v>20223</v>
      </c>
      <c r="AA1473" s="6">
        <f t="shared" ca="1" si="406"/>
        <v>2022</v>
      </c>
      <c r="AB1473" s="6">
        <f t="shared" ca="1" si="407"/>
        <v>3</v>
      </c>
      <c r="AC1473" s="68">
        <f ca="1">IFERROR(__xludf.DUMMYFUNCTION("""COMPUTED_VALUE"""),44622.9986111111)</f>
        <v>44622.998611111099</v>
      </c>
      <c r="AD1473" s="6">
        <f ca="1">IFERROR(__xludf.DUMMYFUNCTION("""COMPUTED_VALUE"""),1203.15)</f>
        <v>1203.1500000000001</v>
      </c>
      <c r="AH1473" s="6" t="str">
        <f t="shared" ca="1" si="408"/>
        <v>20221</v>
      </c>
      <c r="AI1473" s="6">
        <f t="shared" ca="1" si="409"/>
        <v>2022</v>
      </c>
      <c r="AJ1473" s="6">
        <f t="shared" ca="1" si="410"/>
        <v>1</v>
      </c>
      <c r="AK1473" s="68">
        <f ca="1">IFERROR(__xludf.DUMMYFUNCTION("""COMPUTED_VALUE"""),44566.9986111111)</f>
        <v>44566.998611111099</v>
      </c>
      <c r="AL1473" s="6">
        <f ca="1">IFERROR(__xludf.DUMMYFUNCTION("""COMPUTED_VALUE"""),43443.79)</f>
        <v>43443.79</v>
      </c>
      <c r="AP1473" s="6" t="str">
        <f t="shared" ca="1" si="411"/>
        <v>202311</v>
      </c>
      <c r="AQ1473" s="6">
        <f t="shared" ca="1" si="412"/>
        <v>2023</v>
      </c>
      <c r="AR1473" s="6">
        <f t="shared" ca="1" si="413"/>
        <v>11</v>
      </c>
      <c r="AS1473" s="68">
        <f ca="1">IFERROR(__xludf.DUMMYFUNCTION("""COMPUTED_VALUE"""),45243.9986111111)</f>
        <v>45243.998611111099</v>
      </c>
      <c r="AT1473" s="6">
        <f ca="1">IFERROR(__xludf.DUMMYFUNCTION("""COMPUTED_VALUE"""),1950.2)</f>
        <v>1950.2</v>
      </c>
    </row>
    <row r="1474" spans="2:46" x14ac:dyDescent="0.35">
      <c r="B1474" s="6" t="str">
        <f t="shared" ca="1" si="396"/>
        <v>202311</v>
      </c>
      <c r="C1474" s="6">
        <f t="shared" ca="1" si="397"/>
        <v>2023</v>
      </c>
      <c r="D1474" s="6">
        <f t="shared" ca="1" si="398"/>
        <v>11</v>
      </c>
      <c r="E1474" s="68">
        <f ca="1">IFERROR(__xludf.DUMMYFUNCTION("""COMPUTED_VALUE"""),45237.6666666666)</f>
        <v>45237.666666666599</v>
      </c>
      <c r="F1474" s="6">
        <f ca="1">IFERROR(__xludf.DUMMYFUNCTION("""COMPUTED_VALUE"""),4378.38)</f>
        <v>4378.38</v>
      </c>
      <c r="J1474" s="6" t="str">
        <f t="shared" ca="1" si="399"/>
        <v>202310</v>
      </c>
      <c r="K1474" s="6">
        <f t="shared" ca="1" si="400"/>
        <v>2023</v>
      </c>
      <c r="L1474" s="6">
        <f t="shared" ca="1" si="401"/>
        <v>10</v>
      </c>
      <c r="M1474" s="68">
        <f ca="1">IFERROR(__xludf.DUMMYFUNCTION("""COMPUTED_VALUE"""),45229.6666666666)</f>
        <v>45229.666666666599</v>
      </c>
      <c r="N1474" s="6">
        <f ca="1">IFERROR(__xludf.DUMMYFUNCTION("""COMPUTED_VALUE"""),12789.48)</f>
        <v>12789.48</v>
      </c>
      <c r="R1474" s="6" t="str">
        <f t="shared" ca="1" si="402"/>
        <v>202312</v>
      </c>
      <c r="S1474" s="6">
        <f t="shared" ca="1" si="403"/>
        <v>2023</v>
      </c>
      <c r="T1474" s="6">
        <f t="shared" ca="1" si="404"/>
        <v>12</v>
      </c>
      <c r="U1474" s="68">
        <f ca="1">IFERROR(__xludf.DUMMYFUNCTION("""COMPUTED_VALUE"""),45287.6458333333)</f>
        <v>45287.645833333299</v>
      </c>
      <c r="V1474" s="6">
        <f ca="1">IFERROR(__xludf.DUMMYFUNCTION("""COMPUTED_VALUE"""),2613.5)</f>
        <v>2613.5</v>
      </c>
      <c r="Z1474" s="6" t="str">
        <f t="shared" ca="1" si="405"/>
        <v>20223</v>
      </c>
      <c r="AA1474" s="6">
        <f t="shared" ca="1" si="406"/>
        <v>2022</v>
      </c>
      <c r="AB1474" s="6">
        <f t="shared" ca="1" si="407"/>
        <v>3</v>
      </c>
      <c r="AC1474" s="68">
        <f ca="1">IFERROR(__xludf.DUMMYFUNCTION("""COMPUTED_VALUE"""),44623.9986111111)</f>
        <v>44623.998611111099</v>
      </c>
      <c r="AD1474" s="6">
        <f ca="1">IFERROR(__xludf.DUMMYFUNCTION("""COMPUTED_VALUE"""),1205.99)</f>
        <v>1205.99</v>
      </c>
      <c r="AH1474" s="6" t="str">
        <f t="shared" ca="1" si="408"/>
        <v>20221</v>
      </c>
      <c r="AI1474" s="6">
        <f t="shared" ca="1" si="409"/>
        <v>2022</v>
      </c>
      <c r="AJ1474" s="6">
        <f t="shared" ca="1" si="410"/>
        <v>1</v>
      </c>
      <c r="AK1474" s="68">
        <f ca="1">IFERROR(__xludf.DUMMYFUNCTION("""COMPUTED_VALUE"""),44567.9986111111)</f>
        <v>44567.998611111099</v>
      </c>
      <c r="AL1474" s="6">
        <f ca="1">IFERROR(__xludf.DUMMYFUNCTION("""COMPUTED_VALUE"""),43108.58)</f>
        <v>43108.58</v>
      </c>
      <c r="AP1474" s="6" t="str">
        <f t="shared" ca="1" si="411"/>
        <v>202311</v>
      </c>
      <c r="AQ1474" s="6">
        <f t="shared" ca="1" si="412"/>
        <v>2023</v>
      </c>
      <c r="AR1474" s="6">
        <f t="shared" ca="1" si="413"/>
        <v>11</v>
      </c>
      <c r="AS1474" s="68">
        <f ca="1">IFERROR(__xludf.DUMMYFUNCTION("""COMPUTED_VALUE"""),45244.9986111111)</f>
        <v>45244.998611111099</v>
      </c>
      <c r="AT1474" s="6">
        <f ca="1">IFERROR(__xludf.DUMMYFUNCTION("""COMPUTED_VALUE"""),1966.5)</f>
        <v>1966.5</v>
      </c>
    </row>
    <row r="1475" spans="2:46" x14ac:dyDescent="0.35">
      <c r="B1475" s="6" t="str">
        <f t="shared" ca="1" si="396"/>
        <v>202311</v>
      </c>
      <c r="C1475" s="6">
        <f t="shared" ca="1" si="397"/>
        <v>2023</v>
      </c>
      <c r="D1475" s="6">
        <f t="shared" ca="1" si="398"/>
        <v>11</v>
      </c>
      <c r="E1475" s="68">
        <f ca="1">IFERROR(__xludf.DUMMYFUNCTION("""COMPUTED_VALUE"""),45238.6666666666)</f>
        <v>45238.666666666599</v>
      </c>
      <c r="F1475" s="6">
        <f ca="1">IFERROR(__xludf.DUMMYFUNCTION("""COMPUTED_VALUE"""),4382.78)</f>
        <v>4382.78</v>
      </c>
      <c r="J1475" s="6" t="str">
        <f t="shared" ca="1" si="399"/>
        <v>202310</v>
      </c>
      <c r="K1475" s="6">
        <f t="shared" ca="1" si="400"/>
        <v>2023</v>
      </c>
      <c r="L1475" s="6">
        <f t="shared" ca="1" si="401"/>
        <v>10</v>
      </c>
      <c r="M1475" s="68">
        <f ca="1">IFERROR(__xludf.DUMMYFUNCTION("""COMPUTED_VALUE"""),45230.6666666666)</f>
        <v>45230.666666666599</v>
      </c>
      <c r="N1475" s="6">
        <f ca="1">IFERROR(__xludf.DUMMYFUNCTION("""COMPUTED_VALUE"""),12851.24)</f>
        <v>12851.24</v>
      </c>
      <c r="R1475" s="6" t="str">
        <f t="shared" ca="1" si="402"/>
        <v>202312</v>
      </c>
      <c r="S1475" s="6">
        <f t="shared" ca="1" si="403"/>
        <v>2023</v>
      </c>
      <c r="T1475" s="6">
        <f t="shared" ca="1" si="404"/>
        <v>12</v>
      </c>
      <c r="U1475" s="68">
        <f ca="1">IFERROR(__xludf.DUMMYFUNCTION("""COMPUTED_VALUE"""),45288.6458333333)</f>
        <v>45288.645833333299</v>
      </c>
      <c r="V1475" s="6">
        <f ca="1">IFERROR(__xludf.DUMMYFUNCTION("""COMPUTED_VALUE"""),2655.28)</f>
        <v>2655.28</v>
      </c>
      <c r="Z1475" s="6" t="str">
        <f t="shared" ca="1" si="405"/>
        <v>20223</v>
      </c>
      <c r="AA1475" s="6">
        <f t="shared" ca="1" si="406"/>
        <v>2022</v>
      </c>
      <c r="AB1475" s="6">
        <f t="shared" ca="1" si="407"/>
        <v>3</v>
      </c>
      <c r="AC1475" s="68">
        <f ca="1">IFERROR(__xludf.DUMMYFUNCTION("""COMPUTED_VALUE"""),44624.9986111111)</f>
        <v>44624.998611111099</v>
      </c>
      <c r="AD1475" s="6">
        <f ca="1">IFERROR(__xludf.DUMMYFUNCTION("""COMPUTED_VALUE"""),1216.71)</f>
        <v>1216.71</v>
      </c>
      <c r="AH1475" s="6" t="str">
        <f t="shared" ca="1" si="408"/>
        <v>20221</v>
      </c>
      <c r="AI1475" s="6">
        <f t="shared" ca="1" si="409"/>
        <v>2022</v>
      </c>
      <c r="AJ1475" s="6">
        <f t="shared" ca="1" si="410"/>
        <v>1</v>
      </c>
      <c r="AK1475" s="68">
        <f ca="1">IFERROR(__xludf.DUMMYFUNCTION("""COMPUTED_VALUE"""),44568.9986111111)</f>
        <v>44568.998611111099</v>
      </c>
      <c r="AL1475" s="6">
        <f ca="1">IFERROR(__xludf.DUMMYFUNCTION("""COMPUTED_VALUE"""),41535.77)</f>
        <v>41535.769999999997</v>
      </c>
      <c r="AP1475" s="6" t="str">
        <f t="shared" ca="1" si="411"/>
        <v>202311</v>
      </c>
      <c r="AQ1475" s="6">
        <f t="shared" ca="1" si="412"/>
        <v>2023</v>
      </c>
      <c r="AR1475" s="6">
        <f t="shared" ca="1" si="413"/>
        <v>11</v>
      </c>
      <c r="AS1475" s="68">
        <f ca="1">IFERROR(__xludf.DUMMYFUNCTION("""COMPUTED_VALUE"""),45245.9986111111)</f>
        <v>45245.998611111099</v>
      </c>
      <c r="AT1475" s="6">
        <f ca="1">IFERROR(__xludf.DUMMYFUNCTION("""COMPUTED_VALUE"""),1964.3)</f>
        <v>1964.3</v>
      </c>
    </row>
    <row r="1476" spans="2:46" x14ac:dyDescent="0.35">
      <c r="B1476" s="6" t="str">
        <f t="shared" ca="1" si="396"/>
        <v>202311</v>
      </c>
      <c r="C1476" s="6">
        <f t="shared" ca="1" si="397"/>
        <v>2023</v>
      </c>
      <c r="D1476" s="6">
        <f t="shared" ca="1" si="398"/>
        <v>11</v>
      </c>
      <c r="E1476" s="68">
        <f ca="1">IFERROR(__xludf.DUMMYFUNCTION("""COMPUTED_VALUE"""),45239.6666666666)</f>
        <v>45239.666666666599</v>
      </c>
      <c r="F1476" s="6">
        <f ca="1">IFERROR(__xludf.DUMMYFUNCTION("""COMPUTED_VALUE"""),4347.35)</f>
        <v>4347.3500000000004</v>
      </c>
      <c r="J1476" s="6" t="str">
        <f t="shared" ca="1" si="399"/>
        <v>202311</v>
      </c>
      <c r="K1476" s="6">
        <f t="shared" ca="1" si="400"/>
        <v>2023</v>
      </c>
      <c r="L1476" s="6">
        <f t="shared" ca="1" si="401"/>
        <v>11</v>
      </c>
      <c r="M1476" s="68">
        <f ca="1">IFERROR(__xludf.DUMMYFUNCTION("""COMPUTED_VALUE"""),45231.6666666666)</f>
        <v>45231.666666666599</v>
      </c>
      <c r="N1476" s="6">
        <f ca="1">IFERROR(__xludf.DUMMYFUNCTION("""COMPUTED_VALUE"""),13061.47)</f>
        <v>13061.47</v>
      </c>
      <c r="R1476" s="6" t="str">
        <f t="shared" ca="1" si="402"/>
        <v>20241</v>
      </c>
      <c r="S1476" s="6">
        <f t="shared" ca="1" si="403"/>
        <v>2024</v>
      </c>
      <c r="T1476" s="6">
        <f t="shared" ca="1" si="404"/>
        <v>1</v>
      </c>
      <c r="U1476" s="68">
        <f ca="1">IFERROR(__xludf.DUMMYFUNCTION("""COMPUTED_VALUE"""),45293.6458333333)</f>
        <v>45293.645833333299</v>
      </c>
      <c r="V1476" s="6">
        <f ca="1">IFERROR(__xludf.DUMMYFUNCTION("""COMPUTED_VALUE"""),2669.81)</f>
        <v>2669.81</v>
      </c>
      <c r="Z1476" s="6" t="str">
        <f t="shared" ca="1" si="405"/>
        <v>20223</v>
      </c>
      <c r="AA1476" s="6">
        <f t="shared" ca="1" si="406"/>
        <v>2022</v>
      </c>
      <c r="AB1476" s="6">
        <f t="shared" ca="1" si="407"/>
        <v>3</v>
      </c>
      <c r="AC1476" s="68">
        <f ca="1">IFERROR(__xludf.DUMMYFUNCTION("""COMPUTED_VALUE"""),44625.9986111111)</f>
        <v>44625.998611111099</v>
      </c>
      <c r="AD1476" s="6">
        <f ca="1">IFERROR(__xludf.DUMMYFUNCTION("""COMPUTED_VALUE"""),1215.82)</f>
        <v>1215.82</v>
      </c>
      <c r="AH1476" s="6" t="str">
        <f t="shared" ca="1" si="408"/>
        <v>20221</v>
      </c>
      <c r="AI1476" s="6">
        <f t="shared" ca="1" si="409"/>
        <v>2022</v>
      </c>
      <c r="AJ1476" s="6">
        <f t="shared" ca="1" si="410"/>
        <v>1</v>
      </c>
      <c r="AK1476" s="68">
        <f ca="1">IFERROR(__xludf.DUMMYFUNCTION("""COMPUTED_VALUE"""),44569.9986111111)</f>
        <v>44569.998611111099</v>
      </c>
      <c r="AL1476" s="6">
        <f ca="1">IFERROR(__xludf.DUMMYFUNCTION("""COMPUTED_VALUE"""),41678.56)</f>
        <v>41678.559999999998</v>
      </c>
      <c r="AP1476" s="6" t="str">
        <f t="shared" ca="1" si="411"/>
        <v>202311</v>
      </c>
      <c r="AQ1476" s="6">
        <f t="shared" ca="1" si="412"/>
        <v>2023</v>
      </c>
      <c r="AR1476" s="6">
        <f t="shared" ca="1" si="413"/>
        <v>11</v>
      </c>
      <c r="AS1476" s="68">
        <f ca="1">IFERROR(__xludf.DUMMYFUNCTION("""COMPUTED_VALUE"""),45246.9986111111)</f>
        <v>45246.998611111099</v>
      </c>
      <c r="AT1476" s="6">
        <f ca="1">IFERROR(__xludf.DUMMYFUNCTION("""COMPUTED_VALUE"""),1987.3)</f>
        <v>1987.3</v>
      </c>
    </row>
    <row r="1477" spans="2:46" x14ac:dyDescent="0.35">
      <c r="B1477" s="6" t="str">
        <f t="shared" ca="1" si="396"/>
        <v>202311</v>
      </c>
      <c r="C1477" s="6">
        <f t="shared" ca="1" si="397"/>
        <v>2023</v>
      </c>
      <c r="D1477" s="6">
        <f t="shared" ca="1" si="398"/>
        <v>11</v>
      </c>
      <c r="E1477" s="68">
        <f ca="1">IFERROR(__xludf.DUMMYFUNCTION("""COMPUTED_VALUE"""),45240.6666666666)</f>
        <v>45240.666666666599</v>
      </c>
      <c r="F1477" s="6">
        <f ca="1">IFERROR(__xludf.DUMMYFUNCTION("""COMPUTED_VALUE"""),4415.24)</f>
        <v>4415.24</v>
      </c>
      <c r="J1477" s="6" t="str">
        <f t="shared" ca="1" si="399"/>
        <v>202311</v>
      </c>
      <c r="K1477" s="6">
        <f t="shared" ca="1" si="400"/>
        <v>2023</v>
      </c>
      <c r="L1477" s="6">
        <f t="shared" ca="1" si="401"/>
        <v>11</v>
      </c>
      <c r="M1477" s="68">
        <f ca="1">IFERROR(__xludf.DUMMYFUNCTION("""COMPUTED_VALUE"""),45232.6666666666)</f>
        <v>45232.666666666599</v>
      </c>
      <c r="N1477" s="6">
        <f ca="1">IFERROR(__xludf.DUMMYFUNCTION("""COMPUTED_VALUE"""),13294.19)</f>
        <v>13294.19</v>
      </c>
      <c r="R1477" s="6" t="str">
        <f t="shared" ca="1" si="402"/>
        <v>20241</v>
      </c>
      <c r="S1477" s="6">
        <f t="shared" ca="1" si="403"/>
        <v>2024</v>
      </c>
      <c r="T1477" s="6">
        <f t="shared" ca="1" si="404"/>
        <v>1</v>
      </c>
      <c r="U1477" s="68">
        <f ca="1">IFERROR(__xludf.DUMMYFUNCTION("""COMPUTED_VALUE"""),45294.6458333333)</f>
        <v>45294.645833333299</v>
      </c>
      <c r="V1477" s="6">
        <f ca="1">IFERROR(__xludf.DUMMYFUNCTION("""COMPUTED_VALUE"""),2607.31)</f>
        <v>2607.31</v>
      </c>
      <c r="Z1477" s="6" t="str">
        <f t="shared" ca="1" si="405"/>
        <v>20223</v>
      </c>
      <c r="AA1477" s="6">
        <f t="shared" ca="1" si="406"/>
        <v>2022</v>
      </c>
      <c r="AB1477" s="6">
        <f t="shared" ca="1" si="407"/>
        <v>3</v>
      </c>
      <c r="AC1477" s="68">
        <f ca="1">IFERROR(__xludf.DUMMYFUNCTION("""COMPUTED_VALUE"""),44626.9986111111)</f>
        <v>44626.998611111099</v>
      </c>
      <c r="AD1477" s="6">
        <f ca="1">IFERROR(__xludf.DUMMYFUNCTION("""COMPUTED_VALUE"""),1216.71)</f>
        <v>1216.71</v>
      </c>
      <c r="AH1477" s="6" t="str">
        <f t="shared" ca="1" si="408"/>
        <v>20221</v>
      </c>
      <c r="AI1477" s="6">
        <f t="shared" ca="1" si="409"/>
        <v>2022</v>
      </c>
      <c r="AJ1477" s="6">
        <f t="shared" ca="1" si="410"/>
        <v>1</v>
      </c>
      <c r="AK1477" s="68">
        <f ca="1">IFERROR(__xludf.DUMMYFUNCTION("""COMPUTED_VALUE"""),44570.9986111111)</f>
        <v>44570.998611111099</v>
      </c>
      <c r="AL1477" s="6">
        <f ca="1">IFERROR(__xludf.DUMMYFUNCTION("""COMPUTED_VALUE"""),41857.12)</f>
        <v>41857.120000000003</v>
      </c>
      <c r="AP1477" s="6" t="str">
        <f t="shared" ca="1" si="411"/>
        <v>202311</v>
      </c>
      <c r="AQ1477" s="6">
        <f t="shared" ca="1" si="412"/>
        <v>2023</v>
      </c>
      <c r="AR1477" s="6">
        <f t="shared" ca="1" si="413"/>
        <v>11</v>
      </c>
      <c r="AS1477" s="68">
        <f ca="1">IFERROR(__xludf.DUMMYFUNCTION("""COMPUTED_VALUE"""),45247.9986111111)</f>
        <v>45247.998611111099</v>
      </c>
      <c r="AT1477" s="6">
        <f ca="1">IFERROR(__xludf.DUMMYFUNCTION("""COMPUTED_VALUE"""),1984.7)</f>
        <v>1984.7</v>
      </c>
    </row>
    <row r="1478" spans="2:46" x14ac:dyDescent="0.35">
      <c r="B1478" s="6" t="str">
        <f t="shared" ca="1" si="396"/>
        <v>202311</v>
      </c>
      <c r="C1478" s="6">
        <f t="shared" ca="1" si="397"/>
        <v>2023</v>
      </c>
      <c r="D1478" s="6">
        <f t="shared" ca="1" si="398"/>
        <v>11</v>
      </c>
      <c r="E1478" s="68">
        <f ca="1">IFERROR(__xludf.DUMMYFUNCTION("""COMPUTED_VALUE"""),45243.6666666666)</f>
        <v>45243.666666666599</v>
      </c>
      <c r="F1478" s="6">
        <f ca="1">IFERROR(__xludf.DUMMYFUNCTION("""COMPUTED_VALUE"""),4411.55)</f>
        <v>4411.55</v>
      </c>
      <c r="J1478" s="6" t="str">
        <f t="shared" ca="1" si="399"/>
        <v>202311</v>
      </c>
      <c r="K1478" s="6">
        <f t="shared" ca="1" si="400"/>
        <v>2023</v>
      </c>
      <c r="L1478" s="6">
        <f t="shared" ca="1" si="401"/>
        <v>11</v>
      </c>
      <c r="M1478" s="68">
        <f ca="1">IFERROR(__xludf.DUMMYFUNCTION("""COMPUTED_VALUE"""),45233.6666666666)</f>
        <v>45233.666666666599</v>
      </c>
      <c r="N1478" s="6">
        <f ca="1">IFERROR(__xludf.DUMMYFUNCTION("""COMPUTED_VALUE"""),13478.28)</f>
        <v>13478.28</v>
      </c>
      <c r="R1478" s="6" t="str">
        <f t="shared" ca="1" si="402"/>
        <v>20241</v>
      </c>
      <c r="S1478" s="6">
        <f t="shared" ca="1" si="403"/>
        <v>2024</v>
      </c>
      <c r="T1478" s="6">
        <f t="shared" ca="1" si="404"/>
        <v>1</v>
      </c>
      <c r="U1478" s="68">
        <f ca="1">IFERROR(__xludf.DUMMYFUNCTION("""COMPUTED_VALUE"""),45295.6458333333)</f>
        <v>45295.645833333299</v>
      </c>
      <c r="V1478" s="6">
        <f ca="1">IFERROR(__xludf.DUMMYFUNCTION("""COMPUTED_VALUE"""),2587.02)</f>
        <v>2587.02</v>
      </c>
      <c r="Z1478" s="6" t="str">
        <f t="shared" ca="1" si="405"/>
        <v>20223</v>
      </c>
      <c r="AA1478" s="6">
        <f t="shared" ca="1" si="406"/>
        <v>2022</v>
      </c>
      <c r="AB1478" s="6">
        <f t="shared" ca="1" si="407"/>
        <v>3</v>
      </c>
      <c r="AC1478" s="68">
        <f ca="1">IFERROR(__xludf.DUMMYFUNCTION("""COMPUTED_VALUE"""),44627.9986111111)</f>
        <v>44627.998611111099</v>
      </c>
      <c r="AD1478" s="6">
        <f ca="1">IFERROR(__xludf.DUMMYFUNCTION("""COMPUTED_VALUE"""),1232.3)</f>
        <v>1232.3</v>
      </c>
      <c r="AH1478" s="6" t="str">
        <f t="shared" ca="1" si="408"/>
        <v>20221</v>
      </c>
      <c r="AI1478" s="6">
        <f t="shared" ca="1" si="409"/>
        <v>2022</v>
      </c>
      <c r="AJ1478" s="6">
        <f t="shared" ca="1" si="410"/>
        <v>1</v>
      </c>
      <c r="AK1478" s="68">
        <f ca="1">IFERROR(__xludf.DUMMYFUNCTION("""COMPUTED_VALUE"""),44571.9986111111)</f>
        <v>44571.998611111099</v>
      </c>
      <c r="AL1478" s="6">
        <f ca="1">IFERROR(__xludf.DUMMYFUNCTION("""COMPUTED_VALUE"""),41827.6)</f>
        <v>41827.599999999999</v>
      </c>
      <c r="AP1478" s="6" t="str">
        <f t="shared" ca="1" si="411"/>
        <v>202311</v>
      </c>
      <c r="AQ1478" s="6">
        <f t="shared" ca="1" si="412"/>
        <v>2023</v>
      </c>
      <c r="AR1478" s="6">
        <f t="shared" ca="1" si="413"/>
        <v>11</v>
      </c>
      <c r="AS1478" s="68">
        <f ca="1">IFERROR(__xludf.DUMMYFUNCTION("""COMPUTED_VALUE"""),45250.9986111111)</f>
        <v>45250.998611111099</v>
      </c>
      <c r="AT1478" s="6">
        <f ca="1">IFERROR(__xludf.DUMMYFUNCTION("""COMPUTED_VALUE"""),2000.4)</f>
        <v>2000.4</v>
      </c>
    </row>
    <row r="1479" spans="2:46" x14ac:dyDescent="0.35">
      <c r="B1479" s="6" t="str">
        <f t="shared" ref="B1479:B1542" ca="1" si="414">C1479&amp;D1479</f>
        <v>202311</v>
      </c>
      <c r="C1479" s="6">
        <f t="shared" ref="C1479:C1542" ca="1" si="415">YEAR(E1479)</f>
        <v>2023</v>
      </c>
      <c r="D1479" s="6">
        <f t="shared" ref="D1479:D1542" ca="1" si="416">MONTH(E1479)</f>
        <v>11</v>
      </c>
      <c r="E1479" s="68">
        <f ca="1">IFERROR(__xludf.DUMMYFUNCTION("""COMPUTED_VALUE"""),45244.6666666666)</f>
        <v>45244.666666666599</v>
      </c>
      <c r="F1479" s="6">
        <f ca="1">IFERROR(__xludf.DUMMYFUNCTION("""COMPUTED_VALUE"""),4495.7)</f>
        <v>4495.7</v>
      </c>
      <c r="J1479" s="6" t="str">
        <f t="shared" ref="J1479:J1542" ca="1" si="417">K1479&amp;L1479</f>
        <v>202311</v>
      </c>
      <c r="K1479" s="6">
        <f t="shared" ref="K1479:K1542" ca="1" si="418">YEAR(M1479)</f>
        <v>2023</v>
      </c>
      <c r="L1479" s="6">
        <f t="shared" ref="L1479:L1542" ca="1" si="419">MONTH(M1479)</f>
        <v>11</v>
      </c>
      <c r="M1479" s="68">
        <f ca="1">IFERROR(__xludf.DUMMYFUNCTION("""COMPUTED_VALUE"""),45236.6666666666)</f>
        <v>45236.666666666599</v>
      </c>
      <c r="N1479" s="6">
        <f ca="1">IFERROR(__xludf.DUMMYFUNCTION("""COMPUTED_VALUE"""),13518.78)</f>
        <v>13518.78</v>
      </c>
      <c r="R1479" s="6" t="str">
        <f t="shared" ref="R1479:R1542" ca="1" si="420">S1479&amp;T1479</f>
        <v>20241</v>
      </c>
      <c r="S1479" s="6">
        <f t="shared" ref="S1479:S1542" ca="1" si="421">YEAR(U1479)</f>
        <v>2024</v>
      </c>
      <c r="T1479" s="6">
        <f t="shared" ref="T1479:T1542" ca="1" si="422">MONTH(U1479)</f>
        <v>1</v>
      </c>
      <c r="U1479" s="68">
        <f ca="1">IFERROR(__xludf.DUMMYFUNCTION("""COMPUTED_VALUE"""),45296.6458333333)</f>
        <v>45296.645833333299</v>
      </c>
      <c r="V1479" s="6">
        <f ca="1">IFERROR(__xludf.DUMMYFUNCTION("""COMPUTED_VALUE"""),2578.08)</f>
        <v>2578.08</v>
      </c>
      <c r="Z1479" s="6" t="str">
        <f t="shared" ref="Z1479:Z1542" ca="1" si="423">AA1479&amp;AB1479</f>
        <v>20223</v>
      </c>
      <c r="AA1479" s="6">
        <f t="shared" ref="AA1479:AA1542" ca="1" si="424">YEAR(AC1479)</f>
        <v>2022</v>
      </c>
      <c r="AB1479" s="6">
        <f t="shared" ref="AB1479:AB1542" ca="1" si="425">MONTH(AC1479)</f>
        <v>3</v>
      </c>
      <c r="AC1479" s="68">
        <f ca="1">IFERROR(__xludf.DUMMYFUNCTION("""COMPUTED_VALUE"""),44628.9986111111)</f>
        <v>44628.998611111099</v>
      </c>
      <c r="AD1479" s="6">
        <f ca="1">IFERROR(__xludf.DUMMYFUNCTION("""COMPUTED_VALUE"""),1233.11)</f>
        <v>1233.1099999999999</v>
      </c>
      <c r="AH1479" s="6" t="str">
        <f t="shared" ref="AH1479:AH1542" ca="1" si="426">AI1479&amp;AJ1479</f>
        <v>20221</v>
      </c>
      <c r="AI1479" s="6">
        <f t="shared" ref="AI1479:AI1542" ca="1" si="427">YEAR(AK1479)</f>
        <v>2022</v>
      </c>
      <c r="AJ1479" s="6">
        <f t="shared" ref="AJ1479:AJ1542" ca="1" si="428">MONTH(AK1479)</f>
        <v>1</v>
      </c>
      <c r="AK1479" s="68">
        <f ca="1">IFERROR(__xludf.DUMMYFUNCTION("""COMPUTED_VALUE"""),44572.9986111111)</f>
        <v>44572.998611111099</v>
      </c>
      <c r="AL1479" s="6">
        <f ca="1">IFERROR(__xludf.DUMMYFUNCTION("""COMPUTED_VALUE"""),42730.86)</f>
        <v>42730.86</v>
      </c>
      <c r="AP1479" s="6" t="str">
        <f t="shared" ref="AP1479:AP1542" ca="1" si="429">AQ1479&amp;AR1479</f>
        <v>202311</v>
      </c>
      <c r="AQ1479" s="6">
        <f t="shared" ref="AQ1479:AQ1542" ca="1" si="430">YEAR(AS1479)</f>
        <v>2023</v>
      </c>
      <c r="AR1479" s="6">
        <f t="shared" ref="AR1479:AR1542" ca="1" si="431">MONTH(AS1479)</f>
        <v>11</v>
      </c>
      <c r="AS1479" s="68">
        <f ca="1">IFERROR(__xludf.DUMMYFUNCTION("""COMPUTED_VALUE"""),45251.9986111111)</f>
        <v>45251.998611111099</v>
      </c>
      <c r="AT1479" s="6">
        <f ca="1">IFERROR(__xludf.DUMMYFUNCTION("""COMPUTED_VALUE"""),2021.8)</f>
        <v>2021.8</v>
      </c>
    </row>
    <row r="1480" spans="2:46" x14ac:dyDescent="0.35">
      <c r="B1480" s="6" t="str">
        <f t="shared" ca="1" si="414"/>
        <v>202311</v>
      </c>
      <c r="C1480" s="6">
        <f t="shared" ca="1" si="415"/>
        <v>2023</v>
      </c>
      <c r="D1480" s="6">
        <f t="shared" ca="1" si="416"/>
        <v>11</v>
      </c>
      <c r="E1480" s="68">
        <f ca="1">IFERROR(__xludf.DUMMYFUNCTION("""COMPUTED_VALUE"""),45245.6666666666)</f>
        <v>45245.666666666599</v>
      </c>
      <c r="F1480" s="6">
        <f ca="1">IFERROR(__xludf.DUMMYFUNCTION("""COMPUTED_VALUE"""),4502.88)</f>
        <v>4502.88</v>
      </c>
      <c r="J1480" s="6" t="str">
        <f t="shared" ca="1" si="417"/>
        <v>202311</v>
      </c>
      <c r="K1480" s="6">
        <f t="shared" ca="1" si="418"/>
        <v>2023</v>
      </c>
      <c r="L1480" s="6">
        <f t="shared" ca="1" si="419"/>
        <v>11</v>
      </c>
      <c r="M1480" s="68">
        <f ca="1">IFERROR(__xludf.DUMMYFUNCTION("""COMPUTED_VALUE"""),45237.6666666666)</f>
        <v>45237.666666666599</v>
      </c>
      <c r="N1480" s="6">
        <f ca="1">IFERROR(__xludf.DUMMYFUNCTION("""COMPUTED_VALUE"""),13639.86)</f>
        <v>13639.86</v>
      </c>
      <c r="R1480" s="6" t="str">
        <f t="shared" ca="1" si="420"/>
        <v>20241</v>
      </c>
      <c r="S1480" s="6">
        <f t="shared" ca="1" si="421"/>
        <v>2024</v>
      </c>
      <c r="T1480" s="6">
        <f t="shared" ca="1" si="422"/>
        <v>1</v>
      </c>
      <c r="U1480" s="68">
        <f ca="1">IFERROR(__xludf.DUMMYFUNCTION("""COMPUTED_VALUE"""),45299.6458333333)</f>
        <v>45299.645833333299</v>
      </c>
      <c r="V1480" s="6">
        <f ca="1">IFERROR(__xludf.DUMMYFUNCTION("""COMPUTED_VALUE"""),2567.82)</f>
        <v>2567.8200000000002</v>
      </c>
      <c r="Z1480" s="6" t="str">
        <f t="shared" ca="1" si="423"/>
        <v>20223</v>
      </c>
      <c r="AA1480" s="6">
        <f t="shared" ca="1" si="424"/>
        <v>2022</v>
      </c>
      <c r="AB1480" s="6">
        <f t="shared" ca="1" si="425"/>
        <v>3</v>
      </c>
      <c r="AC1480" s="68">
        <f ca="1">IFERROR(__xludf.DUMMYFUNCTION("""COMPUTED_VALUE"""),44629.9986111111)</f>
        <v>44629.998611111099</v>
      </c>
      <c r="AD1480" s="6">
        <f ca="1">IFERROR(__xludf.DUMMYFUNCTION("""COMPUTED_VALUE"""),1223.23)</f>
        <v>1223.23</v>
      </c>
      <c r="AH1480" s="6" t="str">
        <f t="shared" ca="1" si="426"/>
        <v>20221</v>
      </c>
      <c r="AI1480" s="6">
        <f t="shared" ca="1" si="427"/>
        <v>2022</v>
      </c>
      <c r="AJ1480" s="6">
        <f t="shared" ca="1" si="428"/>
        <v>1</v>
      </c>
      <c r="AK1480" s="68">
        <f ca="1">IFERROR(__xludf.DUMMYFUNCTION("""COMPUTED_VALUE"""),44573.9986111111)</f>
        <v>44573.998611111099</v>
      </c>
      <c r="AL1480" s="6">
        <f ca="1">IFERROR(__xludf.DUMMYFUNCTION("""COMPUTED_VALUE"""),43901.55)</f>
        <v>43901.55</v>
      </c>
      <c r="AP1480" s="6" t="str">
        <f t="shared" ca="1" si="429"/>
        <v>202311</v>
      </c>
      <c r="AQ1480" s="6">
        <f t="shared" ca="1" si="430"/>
        <v>2023</v>
      </c>
      <c r="AR1480" s="6">
        <f t="shared" ca="1" si="431"/>
        <v>11</v>
      </c>
      <c r="AS1480" s="68">
        <f ca="1">IFERROR(__xludf.DUMMYFUNCTION("""COMPUTED_VALUE"""),45252.9986111111)</f>
        <v>45252.998611111099</v>
      </c>
      <c r="AT1480" s="6">
        <f ca="1">IFERROR(__xludf.DUMMYFUNCTION("""COMPUTED_VALUE"""),2013.2)</f>
        <v>2013.2</v>
      </c>
    </row>
    <row r="1481" spans="2:46" x14ac:dyDescent="0.35">
      <c r="B1481" s="6" t="str">
        <f t="shared" ca="1" si="414"/>
        <v>202311</v>
      </c>
      <c r="C1481" s="6">
        <f t="shared" ca="1" si="415"/>
        <v>2023</v>
      </c>
      <c r="D1481" s="6">
        <f t="shared" ca="1" si="416"/>
        <v>11</v>
      </c>
      <c r="E1481" s="68">
        <f ca="1">IFERROR(__xludf.DUMMYFUNCTION("""COMPUTED_VALUE"""),45246.6666666666)</f>
        <v>45246.666666666599</v>
      </c>
      <c r="F1481" s="6">
        <f ca="1">IFERROR(__xludf.DUMMYFUNCTION("""COMPUTED_VALUE"""),4508.24)</f>
        <v>4508.24</v>
      </c>
      <c r="J1481" s="6" t="str">
        <f t="shared" ca="1" si="417"/>
        <v>202311</v>
      </c>
      <c r="K1481" s="6">
        <f t="shared" ca="1" si="418"/>
        <v>2023</v>
      </c>
      <c r="L1481" s="6">
        <f t="shared" ca="1" si="419"/>
        <v>11</v>
      </c>
      <c r="M1481" s="68">
        <f ca="1">IFERROR(__xludf.DUMMYFUNCTION("""COMPUTED_VALUE"""),45238.6666666666)</f>
        <v>45238.666666666599</v>
      </c>
      <c r="N1481" s="6">
        <f ca="1">IFERROR(__xludf.DUMMYFUNCTION("""COMPUTED_VALUE"""),13650.41)</f>
        <v>13650.41</v>
      </c>
      <c r="R1481" s="6" t="str">
        <f t="shared" ca="1" si="420"/>
        <v>20241</v>
      </c>
      <c r="S1481" s="6">
        <f t="shared" ca="1" si="421"/>
        <v>2024</v>
      </c>
      <c r="T1481" s="6">
        <f t="shared" ca="1" si="422"/>
        <v>1</v>
      </c>
      <c r="U1481" s="68">
        <f ca="1">IFERROR(__xludf.DUMMYFUNCTION("""COMPUTED_VALUE"""),45300.6458333333)</f>
        <v>45300.645833333299</v>
      </c>
      <c r="V1481" s="6">
        <f ca="1">IFERROR(__xludf.DUMMYFUNCTION("""COMPUTED_VALUE"""),2561.24)</f>
        <v>2561.2399999999998</v>
      </c>
      <c r="Z1481" s="6" t="str">
        <f t="shared" ca="1" si="423"/>
        <v>20223</v>
      </c>
      <c r="AA1481" s="6">
        <f t="shared" ca="1" si="424"/>
        <v>2022</v>
      </c>
      <c r="AB1481" s="6">
        <f t="shared" ca="1" si="425"/>
        <v>3</v>
      </c>
      <c r="AC1481" s="68">
        <f ca="1">IFERROR(__xludf.DUMMYFUNCTION("""COMPUTED_VALUE"""),44630.9986111111)</f>
        <v>44630.998611111099</v>
      </c>
      <c r="AD1481" s="6">
        <f ca="1">IFERROR(__xludf.DUMMYFUNCTION("""COMPUTED_VALUE"""),1228.6)</f>
        <v>1228.5999999999999</v>
      </c>
      <c r="AH1481" s="6" t="str">
        <f t="shared" ca="1" si="426"/>
        <v>20221</v>
      </c>
      <c r="AI1481" s="6">
        <f t="shared" ca="1" si="427"/>
        <v>2022</v>
      </c>
      <c r="AJ1481" s="6">
        <f t="shared" ca="1" si="428"/>
        <v>1</v>
      </c>
      <c r="AK1481" s="68">
        <f ca="1">IFERROR(__xludf.DUMMYFUNCTION("""COMPUTED_VALUE"""),44574.9986111111)</f>
        <v>44574.998611111099</v>
      </c>
      <c r="AL1481" s="6">
        <f ca="1">IFERROR(__xludf.DUMMYFUNCTION("""COMPUTED_VALUE"""),42537.42)</f>
        <v>42537.42</v>
      </c>
      <c r="AP1481" s="6" t="str">
        <f t="shared" ca="1" si="429"/>
        <v>202311</v>
      </c>
      <c r="AQ1481" s="6">
        <f t="shared" ca="1" si="430"/>
        <v>2023</v>
      </c>
      <c r="AR1481" s="6">
        <f t="shared" ca="1" si="431"/>
        <v>11</v>
      </c>
      <c r="AS1481" s="68">
        <f ca="1">IFERROR(__xludf.DUMMYFUNCTION("""COMPUTED_VALUE"""),45254.5416666666)</f>
        <v>45254.541666666599</v>
      </c>
      <c r="AT1481" s="6">
        <f ca="1">IFERROR(__xludf.DUMMYFUNCTION("""COMPUTED_VALUE"""),2023.5)</f>
        <v>2023.5</v>
      </c>
    </row>
    <row r="1482" spans="2:46" x14ac:dyDescent="0.35">
      <c r="B1482" s="6" t="str">
        <f t="shared" ca="1" si="414"/>
        <v>202311</v>
      </c>
      <c r="C1482" s="6">
        <f t="shared" ca="1" si="415"/>
        <v>2023</v>
      </c>
      <c r="D1482" s="6">
        <f t="shared" ca="1" si="416"/>
        <v>11</v>
      </c>
      <c r="E1482" s="68">
        <f ca="1">IFERROR(__xludf.DUMMYFUNCTION("""COMPUTED_VALUE"""),45247.6666666666)</f>
        <v>45247.666666666599</v>
      </c>
      <c r="F1482" s="6">
        <f ca="1">IFERROR(__xludf.DUMMYFUNCTION("""COMPUTED_VALUE"""),4514.02)</f>
        <v>4514.0200000000004</v>
      </c>
      <c r="J1482" s="6" t="str">
        <f t="shared" ca="1" si="417"/>
        <v>202311</v>
      </c>
      <c r="K1482" s="6">
        <f t="shared" ca="1" si="418"/>
        <v>2023</v>
      </c>
      <c r="L1482" s="6">
        <f t="shared" ca="1" si="419"/>
        <v>11</v>
      </c>
      <c r="M1482" s="68">
        <f ca="1">IFERROR(__xludf.DUMMYFUNCTION("""COMPUTED_VALUE"""),45239.6666666666)</f>
        <v>45239.666666666599</v>
      </c>
      <c r="N1482" s="6">
        <f ca="1">IFERROR(__xludf.DUMMYFUNCTION("""COMPUTED_VALUE"""),13521.45)</f>
        <v>13521.45</v>
      </c>
      <c r="R1482" s="6" t="str">
        <f t="shared" ca="1" si="420"/>
        <v>20241</v>
      </c>
      <c r="S1482" s="6">
        <f t="shared" ca="1" si="421"/>
        <v>2024</v>
      </c>
      <c r="T1482" s="6">
        <f t="shared" ca="1" si="422"/>
        <v>1</v>
      </c>
      <c r="U1482" s="68">
        <f ca="1">IFERROR(__xludf.DUMMYFUNCTION("""COMPUTED_VALUE"""),45301.6458333333)</f>
        <v>45301.645833333299</v>
      </c>
      <c r="V1482" s="6">
        <f ca="1">IFERROR(__xludf.DUMMYFUNCTION("""COMPUTED_VALUE"""),2541.98)</f>
        <v>2541.98</v>
      </c>
      <c r="Z1482" s="6" t="str">
        <f t="shared" ca="1" si="423"/>
        <v>20223</v>
      </c>
      <c r="AA1482" s="6">
        <f t="shared" ca="1" si="424"/>
        <v>2022</v>
      </c>
      <c r="AB1482" s="6">
        <f t="shared" ca="1" si="425"/>
        <v>3</v>
      </c>
      <c r="AC1482" s="68">
        <f ca="1">IFERROR(__xludf.DUMMYFUNCTION("""COMPUTED_VALUE"""),44631.9986111111)</f>
        <v>44631.998611111099</v>
      </c>
      <c r="AD1482" s="6">
        <f ca="1">IFERROR(__xludf.DUMMYFUNCTION("""COMPUTED_VALUE"""),1236.89)</f>
        <v>1236.8900000000001</v>
      </c>
      <c r="AH1482" s="6" t="str">
        <f t="shared" ca="1" si="426"/>
        <v>20221</v>
      </c>
      <c r="AI1482" s="6">
        <f t="shared" ca="1" si="427"/>
        <v>2022</v>
      </c>
      <c r="AJ1482" s="6">
        <f t="shared" ca="1" si="428"/>
        <v>1</v>
      </c>
      <c r="AK1482" s="68">
        <f ca="1">IFERROR(__xludf.DUMMYFUNCTION("""COMPUTED_VALUE"""),44575.9986111111)</f>
        <v>44575.998611111099</v>
      </c>
      <c r="AL1482" s="6">
        <f ca="1">IFERROR(__xludf.DUMMYFUNCTION("""COMPUTED_VALUE"""),43083.03)</f>
        <v>43083.03</v>
      </c>
      <c r="AP1482" s="6" t="str">
        <f t="shared" ca="1" si="429"/>
        <v>202311</v>
      </c>
      <c r="AQ1482" s="6">
        <f t="shared" ca="1" si="430"/>
        <v>2023</v>
      </c>
      <c r="AR1482" s="6">
        <f t="shared" ca="1" si="431"/>
        <v>11</v>
      </c>
      <c r="AS1482" s="68">
        <f ca="1">IFERROR(__xludf.DUMMYFUNCTION("""COMPUTED_VALUE"""),45257.9986111111)</f>
        <v>45257.998611111099</v>
      </c>
      <c r="AT1482" s="6">
        <f ca="1">IFERROR(__xludf.DUMMYFUNCTION("""COMPUTED_VALUE"""),2033)</f>
        <v>2033</v>
      </c>
    </row>
    <row r="1483" spans="2:46" x14ac:dyDescent="0.35">
      <c r="B1483" s="6" t="str">
        <f t="shared" ca="1" si="414"/>
        <v>202311</v>
      </c>
      <c r="C1483" s="6">
        <f t="shared" ca="1" si="415"/>
        <v>2023</v>
      </c>
      <c r="D1483" s="6">
        <f t="shared" ca="1" si="416"/>
        <v>11</v>
      </c>
      <c r="E1483" s="68">
        <f ca="1">IFERROR(__xludf.DUMMYFUNCTION("""COMPUTED_VALUE"""),45250.6666666666)</f>
        <v>45250.666666666599</v>
      </c>
      <c r="F1483" s="6">
        <f ca="1">IFERROR(__xludf.DUMMYFUNCTION("""COMPUTED_VALUE"""),4547.38)</f>
        <v>4547.38</v>
      </c>
      <c r="J1483" s="6" t="str">
        <f t="shared" ca="1" si="417"/>
        <v>202311</v>
      </c>
      <c r="K1483" s="6">
        <f t="shared" ca="1" si="418"/>
        <v>2023</v>
      </c>
      <c r="L1483" s="6">
        <f t="shared" ca="1" si="419"/>
        <v>11</v>
      </c>
      <c r="M1483" s="68">
        <f ca="1">IFERROR(__xludf.DUMMYFUNCTION("""COMPUTED_VALUE"""),45240.6666666666)</f>
        <v>45240.666666666599</v>
      </c>
      <c r="N1483" s="6">
        <f ca="1">IFERROR(__xludf.DUMMYFUNCTION("""COMPUTED_VALUE"""),13798.11)</f>
        <v>13798.11</v>
      </c>
      <c r="R1483" s="6" t="str">
        <f t="shared" ca="1" si="420"/>
        <v>20241</v>
      </c>
      <c r="S1483" s="6">
        <f t="shared" ca="1" si="421"/>
        <v>2024</v>
      </c>
      <c r="T1483" s="6">
        <f t="shared" ca="1" si="422"/>
        <v>1</v>
      </c>
      <c r="U1483" s="68">
        <f ca="1">IFERROR(__xludf.DUMMYFUNCTION("""COMPUTED_VALUE"""),45302.6458333333)</f>
        <v>45302.645833333299</v>
      </c>
      <c r="V1483" s="6">
        <f ca="1">IFERROR(__xludf.DUMMYFUNCTION("""COMPUTED_VALUE"""),2540.27)</f>
        <v>2540.27</v>
      </c>
      <c r="Z1483" s="6" t="str">
        <f t="shared" ca="1" si="423"/>
        <v>20223</v>
      </c>
      <c r="AA1483" s="6">
        <f t="shared" ca="1" si="424"/>
        <v>2022</v>
      </c>
      <c r="AB1483" s="6">
        <f t="shared" ca="1" si="425"/>
        <v>3</v>
      </c>
      <c r="AC1483" s="68">
        <f ca="1">IFERROR(__xludf.DUMMYFUNCTION("""COMPUTED_VALUE"""),44632.9986111111)</f>
        <v>44632.998611111099</v>
      </c>
      <c r="AD1483" s="6">
        <f ca="1">IFERROR(__xludf.DUMMYFUNCTION("""COMPUTED_VALUE"""),1236.89)</f>
        <v>1236.8900000000001</v>
      </c>
      <c r="AH1483" s="6" t="str">
        <f t="shared" ca="1" si="426"/>
        <v>20221</v>
      </c>
      <c r="AI1483" s="6">
        <f t="shared" ca="1" si="427"/>
        <v>2022</v>
      </c>
      <c r="AJ1483" s="6">
        <f t="shared" ca="1" si="428"/>
        <v>1</v>
      </c>
      <c r="AK1483" s="68">
        <f ca="1">IFERROR(__xludf.DUMMYFUNCTION("""COMPUTED_VALUE"""),44576.9986111111)</f>
        <v>44576.998611111099</v>
      </c>
      <c r="AL1483" s="6">
        <f ca="1">IFERROR(__xludf.DUMMYFUNCTION("""COMPUTED_VALUE"""),43093.38)</f>
        <v>43093.38</v>
      </c>
      <c r="AP1483" s="6" t="str">
        <f t="shared" ca="1" si="429"/>
        <v>202311</v>
      </c>
      <c r="AQ1483" s="6">
        <f t="shared" ca="1" si="430"/>
        <v>2023</v>
      </c>
      <c r="AR1483" s="6">
        <f t="shared" ca="1" si="431"/>
        <v>11</v>
      </c>
      <c r="AS1483" s="68">
        <f ca="1">IFERROR(__xludf.DUMMYFUNCTION("""COMPUTED_VALUE"""),45258.9986111111)</f>
        <v>45258.998611111099</v>
      </c>
      <c r="AT1483" s="6">
        <f ca="1">IFERROR(__xludf.DUMMYFUNCTION("""COMPUTED_VALUE"""),2060.2)</f>
        <v>2060.1999999999998</v>
      </c>
    </row>
    <row r="1484" spans="2:46" x14ac:dyDescent="0.35">
      <c r="B1484" s="6" t="str">
        <f t="shared" ca="1" si="414"/>
        <v>202311</v>
      </c>
      <c r="C1484" s="6">
        <f t="shared" ca="1" si="415"/>
        <v>2023</v>
      </c>
      <c r="D1484" s="6">
        <f t="shared" ca="1" si="416"/>
        <v>11</v>
      </c>
      <c r="E1484" s="68">
        <f ca="1">IFERROR(__xludf.DUMMYFUNCTION("""COMPUTED_VALUE"""),45251.6666666666)</f>
        <v>45251.666666666599</v>
      </c>
      <c r="F1484" s="6">
        <f ca="1">IFERROR(__xludf.DUMMYFUNCTION("""COMPUTED_VALUE"""),4538.19)</f>
        <v>4538.1899999999996</v>
      </c>
      <c r="J1484" s="6" t="str">
        <f t="shared" ca="1" si="417"/>
        <v>202311</v>
      </c>
      <c r="K1484" s="6">
        <f t="shared" ca="1" si="418"/>
        <v>2023</v>
      </c>
      <c r="L1484" s="6">
        <f t="shared" ca="1" si="419"/>
        <v>11</v>
      </c>
      <c r="M1484" s="68">
        <f ca="1">IFERROR(__xludf.DUMMYFUNCTION("""COMPUTED_VALUE"""),45243.6666666666)</f>
        <v>45243.666666666599</v>
      </c>
      <c r="N1484" s="6">
        <f ca="1">IFERROR(__xludf.DUMMYFUNCTION("""COMPUTED_VALUE"""),13767.74)</f>
        <v>13767.74</v>
      </c>
      <c r="R1484" s="6" t="str">
        <f t="shared" ca="1" si="420"/>
        <v>20241</v>
      </c>
      <c r="S1484" s="6">
        <f t="shared" ca="1" si="421"/>
        <v>2024</v>
      </c>
      <c r="T1484" s="6">
        <f t="shared" ca="1" si="422"/>
        <v>1</v>
      </c>
      <c r="U1484" s="68">
        <f ca="1">IFERROR(__xludf.DUMMYFUNCTION("""COMPUTED_VALUE"""),45303.6458333333)</f>
        <v>45303.645833333299</v>
      </c>
      <c r="V1484" s="6">
        <f ca="1">IFERROR(__xludf.DUMMYFUNCTION("""COMPUTED_VALUE"""),2525.05)</f>
        <v>2525.0500000000002</v>
      </c>
      <c r="Z1484" s="6" t="str">
        <f t="shared" ca="1" si="423"/>
        <v>20223</v>
      </c>
      <c r="AA1484" s="6">
        <f t="shared" ca="1" si="424"/>
        <v>2022</v>
      </c>
      <c r="AB1484" s="6">
        <f t="shared" ca="1" si="425"/>
        <v>3</v>
      </c>
      <c r="AC1484" s="68">
        <f ca="1">IFERROR(__xludf.DUMMYFUNCTION("""COMPUTED_VALUE"""),44633.9986111111)</f>
        <v>44633.998611111099</v>
      </c>
      <c r="AD1484" s="6">
        <f ca="1">IFERROR(__xludf.DUMMYFUNCTION("""COMPUTED_VALUE"""),1236.89)</f>
        <v>1236.8900000000001</v>
      </c>
      <c r="AH1484" s="6" t="str">
        <f t="shared" ca="1" si="426"/>
        <v>20221</v>
      </c>
      <c r="AI1484" s="6">
        <f t="shared" ca="1" si="427"/>
        <v>2022</v>
      </c>
      <c r="AJ1484" s="6">
        <f t="shared" ca="1" si="428"/>
        <v>1</v>
      </c>
      <c r="AK1484" s="68">
        <f ca="1">IFERROR(__xludf.DUMMYFUNCTION("""COMPUTED_VALUE"""),44577.9986111111)</f>
        <v>44577.998611111099</v>
      </c>
      <c r="AL1484" s="6">
        <f ca="1">IFERROR(__xludf.DUMMYFUNCTION("""COMPUTED_VALUE"""),43086.08)</f>
        <v>43086.080000000002</v>
      </c>
      <c r="AP1484" s="6" t="str">
        <f t="shared" ca="1" si="429"/>
        <v>202311</v>
      </c>
      <c r="AQ1484" s="6">
        <f t="shared" ca="1" si="430"/>
        <v>2023</v>
      </c>
      <c r="AR1484" s="6">
        <f t="shared" ca="1" si="431"/>
        <v>11</v>
      </c>
      <c r="AS1484" s="68">
        <f ca="1">IFERROR(__xludf.DUMMYFUNCTION("""COMPUTED_VALUE"""),45259.9986111111)</f>
        <v>45259.998611111099</v>
      </c>
      <c r="AT1484" s="6">
        <f ca="1">IFERROR(__xludf.DUMMYFUNCTION("""COMPUTED_VALUE"""),2067.1)</f>
        <v>2067.1</v>
      </c>
    </row>
    <row r="1485" spans="2:46" x14ac:dyDescent="0.35">
      <c r="B1485" s="6" t="str">
        <f t="shared" ca="1" si="414"/>
        <v>202311</v>
      </c>
      <c r="C1485" s="6">
        <f t="shared" ca="1" si="415"/>
        <v>2023</v>
      </c>
      <c r="D1485" s="6">
        <f t="shared" ca="1" si="416"/>
        <v>11</v>
      </c>
      <c r="E1485" s="68">
        <f ca="1">IFERROR(__xludf.DUMMYFUNCTION("""COMPUTED_VALUE"""),45252.6666666666)</f>
        <v>45252.666666666599</v>
      </c>
      <c r="F1485" s="6">
        <f ca="1">IFERROR(__xludf.DUMMYFUNCTION("""COMPUTED_VALUE"""),4556.62)</f>
        <v>4556.62</v>
      </c>
      <c r="J1485" s="6" t="str">
        <f t="shared" ca="1" si="417"/>
        <v>202311</v>
      </c>
      <c r="K1485" s="6">
        <f t="shared" ca="1" si="418"/>
        <v>2023</v>
      </c>
      <c r="L1485" s="6">
        <f t="shared" ca="1" si="419"/>
        <v>11</v>
      </c>
      <c r="M1485" s="68">
        <f ca="1">IFERROR(__xludf.DUMMYFUNCTION("""COMPUTED_VALUE"""),45244.6666666666)</f>
        <v>45244.666666666599</v>
      </c>
      <c r="N1485" s="6">
        <f ca="1">IFERROR(__xludf.DUMMYFUNCTION("""COMPUTED_VALUE"""),14094.38)</f>
        <v>14094.38</v>
      </c>
      <c r="R1485" s="6" t="str">
        <f t="shared" ca="1" si="420"/>
        <v>20241</v>
      </c>
      <c r="S1485" s="6">
        <f t="shared" ca="1" si="421"/>
        <v>2024</v>
      </c>
      <c r="T1485" s="6">
        <f t="shared" ca="1" si="422"/>
        <v>1</v>
      </c>
      <c r="U1485" s="68">
        <f ca="1">IFERROR(__xludf.DUMMYFUNCTION("""COMPUTED_VALUE"""),45306.6458333333)</f>
        <v>45306.645833333299</v>
      </c>
      <c r="V1485" s="6">
        <f ca="1">IFERROR(__xludf.DUMMYFUNCTION("""COMPUTED_VALUE"""),2525.99)</f>
        <v>2525.9899999999998</v>
      </c>
      <c r="Z1485" s="6" t="str">
        <f t="shared" ca="1" si="423"/>
        <v>20223</v>
      </c>
      <c r="AA1485" s="6">
        <f t="shared" ca="1" si="424"/>
        <v>2022</v>
      </c>
      <c r="AB1485" s="6">
        <f t="shared" ca="1" si="425"/>
        <v>3</v>
      </c>
      <c r="AC1485" s="68">
        <f ca="1">IFERROR(__xludf.DUMMYFUNCTION("""COMPUTED_VALUE"""),44634.9986111111)</f>
        <v>44634.998611111099</v>
      </c>
      <c r="AD1485" s="6">
        <f ca="1">IFERROR(__xludf.DUMMYFUNCTION("""COMPUTED_VALUE"""),1242.05)</f>
        <v>1242.05</v>
      </c>
      <c r="AH1485" s="6" t="str">
        <f t="shared" ca="1" si="426"/>
        <v>20221</v>
      </c>
      <c r="AI1485" s="6">
        <f t="shared" ca="1" si="427"/>
        <v>2022</v>
      </c>
      <c r="AJ1485" s="6">
        <f t="shared" ca="1" si="428"/>
        <v>1</v>
      </c>
      <c r="AK1485" s="68">
        <f ca="1">IFERROR(__xludf.DUMMYFUNCTION("""COMPUTED_VALUE"""),44578.9986111111)</f>
        <v>44578.998611111099</v>
      </c>
      <c r="AL1485" s="6">
        <f ca="1">IFERROR(__xludf.DUMMYFUNCTION("""COMPUTED_VALUE"""),42237.48)</f>
        <v>42237.48</v>
      </c>
      <c r="AP1485" s="6" t="str">
        <f t="shared" ca="1" si="429"/>
        <v>202311</v>
      </c>
      <c r="AQ1485" s="6">
        <f t="shared" ca="1" si="430"/>
        <v>2023</v>
      </c>
      <c r="AR1485" s="6">
        <f t="shared" ca="1" si="431"/>
        <v>11</v>
      </c>
      <c r="AS1485" s="68">
        <f ca="1">IFERROR(__xludf.DUMMYFUNCTION("""COMPUTED_VALUE"""),45260.9986111111)</f>
        <v>45260.998611111099</v>
      </c>
      <c r="AT1485" s="6">
        <f ca="1">IFERROR(__xludf.DUMMYFUNCTION("""COMPUTED_VALUE"""),2057.2)</f>
        <v>2057.1999999999998</v>
      </c>
    </row>
    <row r="1486" spans="2:46" x14ac:dyDescent="0.35">
      <c r="B1486" s="6" t="str">
        <f t="shared" ca="1" si="414"/>
        <v>202311</v>
      </c>
      <c r="C1486" s="6">
        <f t="shared" ca="1" si="415"/>
        <v>2023</v>
      </c>
      <c r="D1486" s="6">
        <f t="shared" ca="1" si="416"/>
        <v>11</v>
      </c>
      <c r="E1486" s="68">
        <f ca="1">IFERROR(__xludf.DUMMYFUNCTION("""COMPUTED_VALUE"""),45254.5416666666)</f>
        <v>45254.541666666599</v>
      </c>
      <c r="F1486" s="6">
        <f ca="1">IFERROR(__xludf.DUMMYFUNCTION("""COMPUTED_VALUE"""),4559.34)</f>
        <v>4559.34</v>
      </c>
      <c r="J1486" s="6" t="str">
        <f t="shared" ca="1" si="417"/>
        <v>202311</v>
      </c>
      <c r="K1486" s="6">
        <f t="shared" ca="1" si="418"/>
        <v>2023</v>
      </c>
      <c r="L1486" s="6">
        <f t="shared" ca="1" si="419"/>
        <v>11</v>
      </c>
      <c r="M1486" s="68">
        <f ca="1">IFERROR(__xludf.DUMMYFUNCTION("""COMPUTED_VALUE"""),45245.6666666666)</f>
        <v>45245.666666666599</v>
      </c>
      <c r="N1486" s="6">
        <f ca="1">IFERROR(__xludf.DUMMYFUNCTION("""COMPUTED_VALUE"""),14103.84)</f>
        <v>14103.84</v>
      </c>
      <c r="R1486" s="6" t="str">
        <f t="shared" ca="1" si="420"/>
        <v>20241</v>
      </c>
      <c r="S1486" s="6">
        <f t="shared" ca="1" si="421"/>
        <v>2024</v>
      </c>
      <c r="T1486" s="6">
        <f t="shared" ca="1" si="422"/>
        <v>1</v>
      </c>
      <c r="U1486" s="68">
        <f ca="1">IFERROR(__xludf.DUMMYFUNCTION("""COMPUTED_VALUE"""),45307.6458333333)</f>
        <v>45307.645833333299</v>
      </c>
      <c r="V1486" s="6">
        <f ca="1">IFERROR(__xludf.DUMMYFUNCTION("""COMPUTED_VALUE"""),2497.59)</f>
        <v>2497.59</v>
      </c>
      <c r="Z1486" s="6" t="str">
        <f t="shared" ca="1" si="423"/>
        <v>20223</v>
      </c>
      <c r="AA1486" s="6">
        <f t="shared" ca="1" si="424"/>
        <v>2022</v>
      </c>
      <c r="AB1486" s="6">
        <f t="shared" ca="1" si="425"/>
        <v>3</v>
      </c>
      <c r="AC1486" s="68">
        <f ca="1">IFERROR(__xludf.DUMMYFUNCTION("""COMPUTED_VALUE"""),44635.9986111111)</f>
        <v>44635.998611111099</v>
      </c>
      <c r="AD1486" s="6">
        <f ca="1">IFERROR(__xludf.DUMMYFUNCTION("""COMPUTED_VALUE"""),1241.68)</f>
        <v>1241.68</v>
      </c>
      <c r="AH1486" s="6" t="str">
        <f t="shared" ca="1" si="426"/>
        <v>20221</v>
      </c>
      <c r="AI1486" s="6">
        <f t="shared" ca="1" si="427"/>
        <v>2022</v>
      </c>
      <c r="AJ1486" s="6">
        <f t="shared" ca="1" si="428"/>
        <v>1</v>
      </c>
      <c r="AK1486" s="68">
        <f ca="1">IFERROR(__xludf.DUMMYFUNCTION("""COMPUTED_VALUE"""),44579.9986111111)</f>
        <v>44579.998611111099</v>
      </c>
      <c r="AL1486" s="6">
        <f ca="1">IFERROR(__xludf.DUMMYFUNCTION("""COMPUTED_VALUE"""),42367.78)</f>
        <v>42367.78</v>
      </c>
      <c r="AP1486" s="6" t="str">
        <f t="shared" ca="1" si="429"/>
        <v>202312</v>
      </c>
      <c r="AQ1486" s="6">
        <f t="shared" ca="1" si="430"/>
        <v>2023</v>
      </c>
      <c r="AR1486" s="6">
        <f t="shared" ca="1" si="431"/>
        <v>12</v>
      </c>
      <c r="AS1486" s="68">
        <f ca="1">IFERROR(__xludf.DUMMYFUNCTION("""COMPUTED_VALUE"""),45261.9986111111)</f>
        <v>45261.998611111099</v>
      </c>
      <c r="AT1486" s="6">
        <f ca="1">IFERROR(__xludf.DUMMYFUNCTION("""COMPUTED_VALUE"""),2089.7)</f>
        <v>2089.6999999999998</v>
      </c>
    </row>
    <row r="1487" spans="2:46" x14ac:dyDescent="0.35">
      <c r="B1487" s="6" t="str">
        <f t="shared" ca="1" si="414"/>
        <v>202311</v>
      </c>
      <c r="C1487" s="6">
        <f t="shared" ca="1" si="415"/>
        <v>2023</v>
      </c>
      <c r="D1487" s="6">
        <f t="shared" ca="1" si="416"/>
        <v>11</v>
      </c>
      <c r="E1487" s="68">
        <f ca="1">IFERROR(__xludf.DUMMYFUNCTION("""COMPUTED_VALUE"""),45257.6666666666)</f>
        <v>45257.666666666599</v>
      </c>
      <c r="F1487" s="6">
        <f ca="1">IFERROR(__xludf.DUMMYFUNCTION("""COMPUTED_VALUE"""),4550.43)</f>
        <v>4550.43</v>
      </c>
      <c r="J1487" s="6" t="str">
        <f t="shared" ca="1" si="417"/>
        <v>202311</v>
      </c>
      <c r="K1487" s="6">
        <f t="shared" ca="1" si="418"/>
        <v>2023</v>
      </c>
      <c r="L1487" s="6">
        <f t="shared" ca="1" si="419"/>
        <v>11</v>
      </c>
      <c r="M1487" s="68">
        <f ca="1">IFERROR(__xludf.DUMMYFUNCTION("""COMPUTED_VALUE"""),45246.6666666666)</f>
        <v>45246.666666666599</v>
      </c>
      <c r="N1487" s="6">
        <f ca="1">IFERROR(__xludf.DUMMYFUNCTION("""COMPUTED_VALUE"""),14113.67)</f>
        <v>14113.67</v>
      </c>
      <c r="R1487" s="6" t="str">
        <f t="shared" ca="1" si="420"/>
        <v>20241</v>
      </c>
      <c r="S1487" s="6">
        <f t="shared" ca="1" si="421"/>
        <v>2024</v>
      </c>
      <c r="T1487" s="6">
        <f t="shared" ca="1" si="422"/>
        <v>1</v>
      </c>
      <c r="U1487" s="68">
        <f ca="1">IFERROR(__xludf.DUMMYFUNCTION("""COMPUTED_VALUE"""),45308.6458333333)</f>
        <v>45308.645833333299</v>
      </c>
      <c r="V1487" s="6">
        <f ca="1">IFERROR(__xludf.DUMMYFUNCTION("""COMPUTED_VALUE"""),2435.9)</f>
        <v>2435.9</v>
      </c>
      <c r="Z1487" s="6" t="str">
        <f t="shared" ca="1" si="423"/>
        <v>20223</v>
      </c>
      <c r="AA1487" s="6">
        <f t="shared" ca="1" si="424"/>
        <v>2022</v>
      </c>
      <c r="AB1487" s="6">
        <f t="shared" ca="1" si="425"/>
        <v>3</v>
      </c>
      <c r="AC1487" s="68">
        <f ca="1">IFERROR(__xludf.DUMMYFUNCTION("""COMPUTED_VALUE"""),44636.9986111111)</f>
        <v>44636.998611111099</v>
      </c>
      <c r="AD1487" s="6">
        <f ca="1">IFERROR(__xludf.DUMMYFUNCTION("""COMPUTED_VALUE"""),1223)</f>
        <v>1223</v>
      </c>
      <c r="AH1487" s="6" t="str">
        <f t="shared" ca="1" si="426"/>
        <v>20221</v>
      </c>
      <c r="AI1487" s="6">
        <f t="shared" ca="1" si="427"/>
        <v>2022</v>
      </c>
      <c r="AJ1487" s="6">
        <f t="shared" ca="1" si="428"/>
        <v>1</v>
      </c>
      <c r="AK1487" s="68">
        <f ca="1">IFERROR(__xludf.DUMMYFUNCTION("""COMPUTED_VALUE"""),44580.9986111111)</f>
        <v>44580.998611111099</v>
      </c>
      <c r="AL1487" s="6">
        <f ca="1">IFERROR(__xludf.DUMMYFUNCTION("""COMPUTED_VALUE"""),41690.65)</f>
        <v>41690.65</v>
      </c>
      <c r="AP1487" s="6" t="str">
        <f t="shared" ca="1" si="429"/>
        <v>202312</v>
      </c>
      <c r="AQ1487" s="6">
        <f t="shared" ca="1" si="430"/>
        <v>2023</v>
      </c>
      <c r="AR1487" s="6">
        <f t="shared" ca="1" si="431"/>
        <v>12</v>
      </c>
      <c r="AS1487" s="68">
        <f ca="1">IFERROR(__xludf.DUMMYFUNCTION("""COMPUTED_VALUE"""),45264.9986111111)</f>
        <v>45264.998611111099</v>
      </c>
      <c r="AT1487" s="6">
        <f ca="1">IFERROR(__xludf.DUMMYFUNCTION("""COMPUTED_VALUE"""),2042.2)</f>
        <v>2042.2</v>
      </c>
    </row>
    <row r="1488" spans="2:46" x14ac:dyDescent="0.35">
      <c r="B1488" s="6" t="str">
        <f t="shared" ca="1" si="414"/>
        <v>202311</v>
      </c>
      <c r="C1488" s="6">
        <f t="shared" ca="1" si="415"/>
        <v>2023</v>
      </c>
      <c r="D1488" s="6">
        <f t="shared" ca="1" si="416"/>
        <v>11</v>
      </c>
      <c r="E1488" s="68">
        <f ca="1">IFERROR(__xludf.DUMMYFUNCTION("""COMPUTED_VALUE"""),45258.6666666666)</f>
        <v>45258.666666666599</v>
      </c>
      <c r="F1488" s="6">
        <f ca="1">IFERROR(__xludf.DUMMYFUNCTION("""COMPUTED_VALUE"""),4554.89)</f>
        <v>4554.8900000000003</v>
      </c>
      <c r="J1488" s="6" t="str">
        <f t="shared" ca="1" si="417"/>
        <v>202311</v>
      </c>
      <c r="K1488" s="6">
        <f t="shared" ca="1" si="418"/>
        <v>2023</v>
      </c>
      <c r="L1488" s="6">
        <f t="shared" ca="1" si="419"/>
        <v>11</v>
      </c>
      <c r="M1488" s="68">
        <f ca="1">IFERROR(__xludf.DUMMYFUNCTION("""COMPUTED_VALUE"""),45247.6666666666)</f>
        <v>45247.666666666599</v>
      </c>
      <c r="N1488" s="6">
        <f ca="1">IFERROR(__xludf.DUMMYFUNCTION("""COMPUTED_VALUE"""),14125.48)</f>
        <v>14125.48</v>
      </c>
      <c r="R1488" s="6" t="str">
        <f t="shared" ca="1" si="420"/>
        <v>20241</v>
      </c>
      <c r="S1488" s="6">
        <f t="shared" ca="1" si="421"/>
        <v>2024</v>
      </c>
      <c r="T1488" s="6">
        <f t="shared" ca="1" si="422"/>
        <v>1</v>
      </c>
      <c r="U1488" s="68">
        <f ca="1">IFERROR(__xludf.DUMMYFUNCTION("""COMPUTED_VALUE"""),45309.6458333333)</f>
        <v>45309.645833333299</v>
      </c>
      <c r="V1488" s="6">
        <f ca="1">IFERROR(__xludf.DUMMYFUNCTION("""COMPUTED_VALUE"""),2440.04)</f>
        <v>2440.04</v>
      </c>
      <c r="Z1488" s="6" t="str">
        <f t="shared" ca="1" si="423"/>
        <v>20223</v>
      </c>
      <c r="AA1488" s="6">
        <f t="shared" ca="1" si="424"/>
        <v>2022</v>
      </c>
      <c r="AB1488" s="6">
        <f t="shared" ca="1" si="425"/>
        <v>3</v>
      </c>
      <c r="AC1488" s="68">
        <f ca="1">IFERROR(__xludf.DUMMYFUNCTION("""COMPUTED_VALUE"""),44637.9986111111)</f>
        <v>44637.998611111099</v>
      </c>
      <c r="AD1488" s="6">
        <f ca="1">IFERROR(__xludf.DUMMYFUNCTION("""COMPUTED_VALUE"""),1210.33)</f>
        <v>1210.33</v>
      </c>
      <c r="AH1488" s="6" t="str">
        <f t="shared" ca="1" si="426"/>
        <v>20221</v>
      </c>
      <c r="AI1488" s="6">
        <f t="shared" ca="1" si="427"/>
        <v>2022</v>
      </c>
      <c r="AJ1488" s="6">
        <f t="shared" ca="1" si="428"/>
        <v>1</v>
      </c>
      <c r="AK1488" s="68">
        <f ca="1">IFERROR(__xludf.DUMMYFUNCTION("""COMPUTED_VALUE"""),44581.9986111111)</f>
        <v>44581.998611111099</v>
      </c>
      <c r="AL1488" s="6">
        <f ca="1">IFERROR(__xludf.DUMMYFUNCTION("""COMPUTED_VALUE"""),40726.07)</f>
        <v>40726.07</v>
      </c>
      <c r="AP1488" s="6" t="str">
        <f t="shared" ca="1" si="429"/>
        <v>202312</v>
      </c>
      <c r="AQ1488" s="6">
        <f t="shared" ca="1" si="430"/>
        <v>2023</v>
      </c>
      <c r="AR1488" s="6">
        <f t="shared" ca="1" si="431"/>
        <v>12</v>
      </c>
      <c r="AS1488" s="68">
        <f ca="1">IFERROR(__xludf.DUMMYFUNCTION("""COMPUTED_VALUE"""),45265.9986111111)</f>
        <v>45265.998611111099</v>
      </c>
      <c r="AT1488" s="6">
        <f ca="1">IFERROR(__xludf.DUMMYFUNCTION("""COMPUTED_VALUE"""),2036.3)</f>
        <v>2036.3</v>
      </c>
    </row>
    <row r="1489" spans="2:46" x14ac:dyDescent="0.35">
      <c r="B1489" s="6" t="str">
        <f t="shared" ca="1" si="414"/>
        <v>202311</v>
      </c>
      <c r="C1489" s="6">
        <f t="shared" ca="1" si="415"/>
        <v>2023</v>
      </c>
      <c r="D1489" s="6">
        <f t="shared" ca="1" si="416"/>
        <v>11</v>
      </c>
      <c r="E1489" s="68">
        <f ca="1">IFERROR(__xludf.DUMMYFUNCTION("""COMPUTED_VALUE"""),45259.6666666666)</f>
        <v>45259.666666666599</v>
      </c>
      <c r="F1489" s="6">
        <f ca="1">IFERROR(__xludf.DUMMYFUNCTION("""COMPUTED_VALUE"""),4550.58)</f>
        <v>4550.58</v>
      </c>
      <c r="J1489" s="6" t="str">
        <f t="shared" ca="1" si="417"/>
        <v>202311</v>
      </c>
      <c r="K1489" s="6">
        <f t="shared" ca="1" si="418"/>
        <v>2023</v>
      </c>
      <c r="L1489" s="6">
        <f t="shared" ca="1" si="419"/>
        <v>11</v>
      </c>
      <c r="M1489" s="68">
        <f ca="1">IFERROR(__xludf.DUMMYFUNCTION("""COMPUTED_VALUE"""),45250.6666666666)</f>
        <v>45250.666666666599</v>
      </c>
      <c r="N1489" s="6">
        <f ca="1">IFERROR(__xludf.DUMMYFUNCTION("""COMPUTED_VALUE"""),14284.53)</f>
        <v>14284.53</v>
      </c>
      <c r="R1489" s="6" t="str">
        <f t="shared" ca="1" si="420"/>
        <v>20241</v>
      </c>
      <c r="S1489" s="6">
        <f t="shared" ca="1" si="421"/>
        <v>2024</v>
      </c>
      <c r="T1489" s="6">
        <f t="shared" ca="1" si="422"/>
        <v>1</v>
      </c>
      <c r="U1489" s="68">
        <f ca="1">IFERROR(__xludf.DUMMYFUNCTION("""COMPUTED_VALUE"""),45310.6458333333)</f>
        <v>45310.645833333299</v>
      </c>
      <c r="V1489" s="6">
        <f ca="1">IFERROR(__xludf.DUMMYFUNCTION("""COMPUTED_VALUE"""),2472.74)</f>
        <v>2472.7399999999998</v>
      </c>
      <c r="Z1489" s="6" t="str">
        <f t="shared" ca="1" si="423"/>
        <v>20223</v>
      </c>
      <c r="AA1489" s="6">
        <f t="shared" ca="1" si="424"/>
        <v>2022</v>
      </c>
      <c r="AB1489" s="6">
        <f t="shared" ca="1" si="425"/>
        <v>3</v>
      </c>
      <c r="AC1489" s="68">
        <f ca="1">IFERROR(__xludf.DUMMYFUNCTION("""COMPUTED_VALUE"""),44638.9986111111)</f>
        <v>44638.998611111099</v>
      </c>
      <c r="AD1489" s="6">
        <f ca="1">IFERROR(__xludf.DUMMYFUNCTION("""COMPUTED_VALUE"""),1210.37)</f>
        <v>1210.3699999999999</v>
      </c>
      <c r="AH1489" s="6" t="str">
        <f t="shared" ca="1" si="426"/>
        <v>20221</v>
      </c>
      <c r="AI1489" s="6">
        <f t="shared" ca="1" si="427"/>
        <v>2022</v>
      </c>
      <c r="AJ1489" s="6">
        <f t="shared" ca="1" si="428"/>
        <v>1</v>
      </c>
      <c r="AK1489" s="68">
        <f ca="1">IFERROR(__xludf.DUMMYFUNCTION("""COMPUTED_VALUE"""),44582.9986111111)</f>
        <v>44582.998611111099</v>
      </c>
      <c r="AL1489" s="6">
        <f ca="1">IFERROR(__xludf.DUMMYFUNCTION("""COMPUTED_VALUE"""),36493.02)</f>
        <v>36493.019999999997</v>
      </c>
      <c r="AP1489" s="6" t="str">
        <f t="shared" ca="1" si="429"/>
        <v>202312</v>
      </c>
      <c r="AQ1489" s="6">
        <f t="shared" ca="1" si="430"/>
        <v>2023</v>
      </c>
      <c r="AR1489" s="6">
        <f t="shared" ca="1" si="431"/>
        <v>12</v>
      </c>
      <c r="AS1489" s="68">
        <f ca="1">IFERROR(__xludf.DUMMYFUNCTION("""COMPUTED_VALUE"""),45266.9986111111)</f>
        <v>45266.998611111099</v>
      </c>
      <c r="AT1489" s="6">
        <f ca="1">IFERROR(__xludf.DUMMYFUNCTION("""COMPUTED_VALUE"""),2047.9)</f>
        <v>2047.9</v>
      </c>
    </row>
    <row r="1490" spans="2:46" x14ac:dyDescent="0.35">
      <c r="B1490" s="6" t="str">
        <f t="shared" ca="1" si="414"/>
        <v>202311</v>
      </c>
      <c r="C1490" s="6">
        <f t="shared" ca="1" si="415"/>
        <v>2023</v>
      </c>
      <c r="D1490" s="6">
        <f t="shared" ca="1" si="416"/>
        <v>11</v>
      </c>
      <c r="E1490" s="68">
        <f ca="1">IFERROR(__xludf.DUMMYFUNCTION("""COMPUTED_VALUE"""),45260.6666666666)</f>
        <v>45260.666666666599</v>
      </c>
      <c r="F1490" s="6">
        <f ca="1">IFERROR(__xludf.DUMMYFUNCTION("""COMPUTED_VALUE"""),4567.8)</f>
        <v>4567.8</v>
      </c>
      <c r="J1490" s="6" t="str">
        <f t="shared" ca="1" si="417"/>
        <v>202311</v>
      </c>
      <c r="K1490" s="6">
        <f t="shared" ca="1" si="418"/>
        <v>2023</v>
      </c>
      <c r="L1490" s="6">
        <f t="shared" ca="1" si="419"/>
        <v>11</v>
      </c>
      <c r="M1490" s="68">
        <f ca="1">IFERROR(__xludf.DUMMYFUNCTION("""COMPUTED_VALUE"""),45251.6666666666)</f>
        <v>45251.666666666599</v>
      </c>
      <c r="N1490" s="6">
        <f ca="1">IFERROR(__xludf.DUMMYFUNCTION("""COMPUTED_VALUE"""),14199.98)</f>
        <v>14199.98</v>
      </c>
      <c r="R1490" s="6" t="str">
        <f t="shared" ca="1" si="420"/>
        <v>20241</v>
      </c>
      <c r="S1490" s="6">
        <f t="shared" ca="1" si="421"/>
        <v>2024</v>
      </c>
      <c r="T1490" s="6">
        <f t="shared" ca="1" si="422"/>
        <v>1</v>
      </c>
      <c r="U1490" s="68">
        <f ca="1">IFERROR(__xludf.DUMMYFUNCTION("""COMPUTED_VALUE"""),45313.6458333333)</f>
        <v>45313.645833333299</v>
      </c>
      <c r="V1490" s="6">
        <f ca="1">IFERROR(__xludf.DUMMYFUNCTION("""COMPUTED_VALUE"""),2464.35)</f>
        <v>2464.35</v>
      </c>
      <c r="Z1490" s="6" t="str">
        <f t="shared" ca="1" si="423"/>
        <v>20223</v>
      </c>
      <c r="AA1490" s="6">
        <f t="shared" ca="1" si="424"/>
        <v>2022</v>
      </c>
      <c r="AB1490" s="6">
        <f t="shared" ca="1" si="425"/>
        <v>3</v>
      </c>
      <c r="AC1490" s="68">
        <f ca="1">IFERROR(__xludf.DUMMYFUNCTION("""COMPUTED_VALUE"""),44639.9986111111)</f>
        <v>44639.998611111099</v>
      </c>
      <c r="AD1490" s="6">
        <f ca="1">IFERROR(__xludf.DUMMYFUNCTION("""COMPUTED_VALUE"""),1210.37)</f>
        <v>1210.3699999999999</v>
      </c>
      <c r="AH1490" s="6" t="str">
        <f t="shared" ca="1" si="426"/>
        <v>20221</v>
      </c>
      <c r="AI1490" s="6">
        <f t="shared" ca="1" si="427"/>
        <v>2022</v>
      </c>
      <c r="AJ1490" s="6">
        <f t="shared" ca="1" si="428"/>
        <v>1</v>
      </c>
      <c r="AK1490" s="68">
        <f ca="1">IFERROR(__xludf.DUMMYFUNCTION("""COMPUTED_VALUE"""),44583.9986111111)</f>
        <v>44583.998611111099</v>
      </c>
      <c r="AL1490" s="6">
        <f ca="1">IFERROR(__xludf.DUMMYFUNCTION("""COMPUTED_VALUE"""),35058.68)</f>
        <v>35058.68</v>
      </c>
      <c r="AP1490" s="6" t="str">
        <f t="shared" ca="1" si="429"/>
        <v>202312</v>
      </c>
      <c r="AQ1490" s="6">
        <f t="shared" ca="1" si="430"/>
        <v>2023</v>
      </c>
      <c r="AR1490" s="6">
        <f t="shared" ca="1" si="431"/>
        <v>12</v>
      </c>
      <c r="AS1490" s="68">
        <f ca="1">IFERROR(__xludf.DUMMYFUNCTION("""COMPUTED_VALUE"""),45267.9986111111)</f>
        <v>45267.998611111099</v>
      </c>
      <c r="AT1490" s="6">
        <f ca="1">IFERROR(__xludf.DUMMYFUNCTION("""COMPUTED_VALUE"""),2046.4)</f>
        <v>2046.4</v>
      </c>
    </row>
    <row r="1491" spans="2:46" x14ac:dyDescent="0.35">
      <c r="B1491" s="6" t="str">
        <f t="shared" ca="1" si="414"/>
        <v>202312</v>
      </c>
      <c r="C1491" s="6">
        <f t="shared" ca="1" si="415"/>
        <v>2023</v>
      </c>
      <c r="D1491" s="6">
        <f t="shared" ca="1" si="416"/>
        <v>12</v>
      </c>
      <c r="E1491" s="68">
        <f ca="1">IFERROR(__xludf.DUMMYFUNCTION("""COMPUTED_VALUE"""),45261.6666666666)</f>
        <v>45261.666666666599</v>
      </c>
      <c r="F1491" s="6">
        <f ca="1">IFERROR(__xludf.DUMMYFUNCTION("""COMPUTED_VALUE"""),4594.63)</f>
        <v>4594.63</v>
      </c>
      <c r="J1491" s="6" t="str">
        <f t="shared" ca="1" si="417"/>
        <v>202311</v>
      </c>
      <c r="K1491" s="6">
        <f t="shared" ca="1" si="418"/>
        <v>2023</v>
      </c>
      <c r="L1491" s="6">
        <f t="shared" ca="1" si="419"/>
        <v>11</v>
      </c>
      <c r="M1491" s="68">
        <f ca="1">IFERROR(__xludf.DUMMYFUNCTION("""COMPUTED_VALUE"""),45252.6666666666)</f>
        <v>45252.666666666599</v>
      </c>
      <c r="N1491" s="6">
        <f ca="1">IFERROR(__xludf.DUMMYFUNCTION("""COMPUTED_VALUE"""),14265.86)</f>
        <v>14265.86</v>
      </c>
      <c r="R1491" s="6" t="str">
        <f t="shared" ca="1" si="420"/>
        <v>20241</v>
      </c>
      <c r="S1491" s="6">
        <f t="shared" ca="1" si="421"/>
        <v>2024</v>
      </c>
      <c r="T1491" s="6">
        <f t="shared" ca="1" si="422"/>
        <v>1</v>
      </c>
      <c r="U1491" s="68">
        <f ca="1">IFERROR(__xludf.DUMMYFUNCTION("""COMPUTED_VALUE"""),45314.6458333333)</f>
        <v>45314.645833333299</v>
      </c>
      <c r="V1491" s="6">
        <f ca="1">IFERROR(__xludf.DUMMYFUNCTION("""COMPUTED_VALUE"""),2478.61)</f>
        <v>2478.61</v>
      </c>
      <c r="Z1491" s="6" t="str">
        <f t="shared" ca="1" si="423"/>
        <v>20223</v>
      </c>
      <c r="AA1491" s="6">
        <f t="shared" ca="1" si="424"/>
        <v>2022</v>
      </c>
      <c r="AB1491" s="6">
        <f t="shared" ca="1" si="425"/>
        <v>3</v>
      </c>
      <c r="AC1491" s="68">
        <f ca="1">IFERROR(__xludf.DUMMYFUNCTION("""COMPUTED_VALUE"""),44640.9986111111)</f>
        <v>44640.998611111099</v>
      </c>
      <c r="AD1491" s="6">
        <f ca="1">IFERROR(__xludf.DUMMYFUNCTION("""COMPUTED_VALUE"""),1210.37)</f>
        <v>1210.3699999999999</v>
      </c>
      <c r="AH1491" s="6" t="str">
        <f t="shared" ca="1" si="426"/>
        <v>20221</v>
      </c>
      <c r="AI1491" s="6">
        <f t="shared" ca="1" si="427"/>
        <v>2022</v>
      </c>
      <c r="AJ1491" s="6">
        <f t="shared" ca="1" si="428"/>
        <v>1</v>
      </c>
      <c r="AK1491" s="68">
        <f ca="1">IFERROR(__xludf.DUMMYFUNCTION("""COMPUTED_VALUE"""),44584.9986111111)</f>
        <v>44584.998611111099</v>
      </c>
      <c r="AL1491" s="6">
        <f ca="1">IFERROR(__xludf.DUMMYFUNCTION("""COMPUTED_VALUE"""),36269.66)</f>
        <v>36269.660000000003</v>
      </c>
      <c r="AP1491" s="6" t="str">
        <f t="shared" ca="1" si="429"/>
        <v>202312</v>
      </c>
      <c r="AQ1491" s="6">
        <f t="shared" ca="1" si="430"/>
        <v>2023</v>
      </c>
      <c r="AR1491" s="6">
        <f t="shared" ca="1" si="431"/>
        <v>12</v>
      </c>
      <c r="AS1491" s="68">
        <f ca="1">IFERROR(__xludf.DUMMYFUNCTION("""COMPUTED_VALUE"""),45268.9986111111)</f>
        <v>45268.998611111099</v>
      </c>
      <c r="AT1491" s="6">
        <f ca="1">IFERROR(__xludf.DUMMYFUNCTION("""COMPUTED_VALUE"""),2014.5)</f>
        <v>2014.5</v>
      </c>
    </row>
    <row r="1492" spans="2:46" x14ac:dyDescent="0.35">
      <c r="B1492" s="6" t="str">
        <f t="shared" ca="1" si="414"/>
        <v>202312</v>
      </c>
      <c r="C1492" s="6">
        <f t="shared" ca="1" si="415"/>
        <v>2023</v>
      </c>
      <c r="D1492" s="6">
        <f t="shared" ca="1" si="416"/>
        <v>12</v>
      </c>
      <c r="E1492" s="68">
        <f ca="1">IFERROR(__xludf.DUMMYFUNCTION("""COMPUTED_VALUE"""),45264.6666666666)</f>
        <v>45264.666666666599</v>
      </c>
      <c r="F1492" s="6">
        <f ca="1">IFERROR(__xludf.DUMMYFUNCTION("""COMPUTED_VALUE"""),4569.78)</f>
        <v>4569.78</v>
      </c>
      <c r="J1492" s="6" t="str">
        <f t="shared" ca="1" si="417"/>
        <v>202311</v>
      </c>
      <c r="K1492" s="6">
        <f t="shared" ca="1" si="418"/>
        <v>2023</v>
      </c>
      <c r="L1492" s="6">
        <f t="shared" ca="1" si="419"/>
        <v>11</v>
      </c>
      <c r="M1492" s="68">
        <f ca="1">IFERROR(__xludf.DUMMYFUNCTION("""COMPUTED_VALUE"""),45254.5451388888)</f>
        <v>45254.545138888803</v>
      </c>
      <c r="N1492" s="6">
        <f ca="1">IFERROR(__xludf.DUMMYFUNCTION("""COMPUTED_VALUE"""),14250.86)</f>
        <v>14250.86</v>
      </c>
      <c r="R1492" s="6" t="str">
        <f t="shared" ca="1" si="420"/>
        <v>20241</v>
      </c>
      <c r="S1492" s="6">
        <f t="shared" ca="1" si="421"/>
        <v>2024</v>
      </c>
      <c r="T1492" s="6">
        <f t="shared" ca="1" si="422"/>
        <v>1</v>
      </c>
      <c r="U1492" s="68">
        <f ca="1">IFERROR(__xludf.DUMMYFUNCTION("""COMPUTED_VALUE"""),45315.6458333333)</f>
        <v>45315.645833333299</v>
      </c>
      <c r="V1492" s="6">
        <f ca="1">IFERROR(__xludf.DUMMYFUNCTION("""COMPUTED_VALUE"""),2469.69)</f>
        <v>2469.69</v>
      </c>
      <c r="Z1492" s="6" t="str">
        <f t="shared" ca="1" si="423"/>
        <v>20223</v>
      </c>
      <c r="AA1492" s="6">
        <f t="shared" ca="1" si="424"/>
        <v>2022</v>
      </c>
      <c r="AB1492" s="6">
        <f t="shared" ca="1" si="425"/>
        <v>3</v>
      </c>
      <c r="AC1492" s="68">
        <f ca="1">IFERROR(__xludf.DUMMYFUNCTION("""COMPUTED_VALUE"""),44641.9986111111)</f>
        <v>44641.998611111099</v>
      </c>
      <c r="AD1492" s="6">
        <f ca="1">IFERROR(__xludf.DUMMYFUNCTION("""COMPUTED_VALUE"""),1219.78)</f>
        <v>1219.78</v>
      </c>
      <c r="AH1492" s="6" t="str">
        <f t="shared" ca="1" si="426"/>
        <v>20221</v>
      </c>
      <c r="AI1492" s="6">
        <f t="shared" ca="1" si="427"/>
        <v>2022</v>
      </c>
      <c r="AJ1492" s="6">
        <f t="shared" ca="1" si="428"/>
        <v>1</v>
      </c>
      <c r="AK1492" s="68">
        <f ca="1">IFERROR(__xludf.DUMMYFUNCTION("""COMPUTED_VALUE"""),44585.9986111111)</f>
        <v>44585.998611111099</v>
      </c>
      <c r="AL1492" s="6">
        <f ca="1">IFERROR(__xludf.DUMMYFUNCTION("""COMPUTED_VALUE"""),36686.15)</f>
        <v>36686.15</v>
      </c>
      <c r="AP1492" s="6" t="str">
        <f t="shared" ca="1" si="429"/>
        <v>202312</v>
      </c>
      <c r="AQ1492" s="6">
        <f t="shared" ca="1" si="430"/>
        <v>2023</v>
      </c>
      <c r="AR1492" s="6">
        <f t="shared" ca="1" si="431"/>
        <v>12</v>
      </c>
      <c r="AS1492" s="68">
        <f ca="1">IFERROR(__xludf.DUMMYFUNCTION("""COMPUTED_VALUE"""),45271.9986111111)</f>
        <v>45271.998611111099</v>
      </c>
      <c r="AT1492" s="6">
        <f ca="1">IFERROR(__xludf.DUMMYFUNCTION("""COMPUTED_VALUE"""),1993.7)</f>
        <v>1993.7</v>
      </c>
    </row>
    <row r="1493" spans="2:46" x14ac:dyDescent="0.35">
      <c r="B1493" s="6" t="str">
        <f t="shared" ca="1" si="414"/>
        <v>202312</v>
      </c>
      <c r="C1493" s="6">
        <f t="shared" ca="1" si="415"/>
        <v>2023</v>
      </c>
      <c r="D1493" s="6">
        <f t="shared" ca="1" si="416"/>
        <v>12</v>
      </c>
      <c r="E1493" s="68">
        <f ca="1">IFERROR(__xludf.DUMMYFUNCTION("""COMPUTED_VALUE"""),45265.6666666666)</f>
        <v>45265.666666666599</v>
      </c>
      <c r="F1493" s="6">
        <f ca="1">IFERROR(__xludf.DUMMYFUNCTION("""COMPUTED_VALUE"""),4567.18)</f>
        <v>4567.18</v>
      </c>
      <c r="J1493" s="6" t="str">
        <f t="shared" ca="1" si="417"/>
        <v>202311</v>
      </c>
      <c r="K1493" s="6">
        <f t="shared" ca="1" si="418"/>
        <v>2023</v>
      </c>
      <c r="L1493" s="6">
        <f t="shared" ca="1" si="419"/>
        <v>11</v>
      </c>
      <c r="M1493" s="68">
        <f ca="1">IFERROR(__xludf.DUMMYFUNCTION("""COMPUTED_VALUE"""),45257.6666666666)</f>
        <v>45257.666666666599</v>
      </c>
      <c r="N1493" s="6">
        <f ca="1">IFERROR(__xludf.DUMMYFUNCTION("""COMPUTED_VALUE"""),14241.02)</f>
        <v>14241.02</v>
      </c>
      <c r="R1493" s="6" t="str">
        <f t="shared" ca="1" si="420"/>
        <v>20241</v>
      </c>
      <c r="S1493" s="6">
        <f t="shared" ca="1" si="421"/>
        <v>2024</v>
      </c>
      <c r="T1493" s="6">
        <f t="shared" ca="1" si="422"/>
        <v>1</v>
      </c>
      <c r="U1493" s="68">
        <f ca="1">IFERROR(__xludf.DUMMYFUNCTION("""COMPUTED_VALUE"""),45316.6458333333)</f>
        <v>45316.645833333299</v>
      </c>
      <c r="V1493" s="6">
        <f ca="1">IFERROR(__xludf.DUMMYFUNCTION("""COMPUTED_VALUE"""),2470.34)</f>
        <v>2470.34</v>
      </c>
      <c r="Z1493" s="6" t="str">
        <f t="shared" ca="1" si="423"/>
        <v>20223</v>
      </c>
      <c r="AA1493" s="6">
        <f t="shared" ca="1" si="424"/>
        <v>2022</v>
      </c>
      <c r="AB1493" s="6">
        <f t="shared" ca="1" si="425"/>
        <v>3</v>
      </c>
      <c r="AC1493" s="68">
        <f ca="1">IFERROR(__xludf.DUMMYFUNCTION("""COMPUTED_VALUE"""),44642.9986111111)</f>
        <v>44642.998611111099</v>
      </c>
      <c r="AD1493" s="6">
        <f ca="1">IFERROR(__xludf.DUMMYFUNCTION("""COMPUTED_VALUE"""),1214.95)</f>
        <v>1214.95</v>
      </c>
      <c r="AH1493" s="6" t="str">
        <f t="shared" ca="1" si="426"/>
        <v>20221</v>
      </c>
      <c r="AI1493" s="6">
        <f t="shared" ca="1" si="427"/>
        <v>2022</v>
      </c>
      <c r="AJ1493" s="6">
        <f t="shared" ca="1" si="428"/>
        <v>1</v>
      </c>
      <c r="AK1493" s="68">
        <f ca="1">IFERROR(__xludf.DUMMYFUNCTION("""COMPUTED_VALUE"""),44586.9986111111)</f>
        <v>44586.998611111099</v>
      </c>
      <c r="AL1493" s="6">
        <f ca="1">IFERROR(__xludf.DUMMYFUNCTION("""COMPUTED_VALUE"""),36954.33)</f>
        <v>36954.33</v>
      </c>
      <c r="AP1493" s="6" t="str">
        <f t="shared" ca="1" si="429"/>
        <v>202312</v>
      </c>
      <c r="AQ1493" s="6">
        <f t="shared" ca="1" si="430"/>
        <v>2023</v>
      </c>
      <c r="AR1493" s="6">
        <f t="shared" ca="1" si="431"/>
        <v>12</v>
      </c>
      <c r="AS1493" s="68">
        <f ca="1">IFERROR(__xludf.DUMMYFUNCTION("""COMPUTED_VALUE"""),45272.9986111111)</f>
        <v>45272.998611111099</v>
      </c>
      <c r="AT1493" s="6">
        <f ca="1">IFERROR(__xludf.DUMMYFUNCTION("""COMPUTED_VALUE"""),1993.2)</f>
        <v>1993.2</v>
      </c>
    </row>
    <row r="1494" spans="2:46" x14ac:dyDescent="0.35">
      <c r="B1494" s="6" t="str">
        <f t="shared" ca="1" si="414"/>
        <v>202312</v>
      </c>
      <c r="C1494" s="6">
        <f t="shared" ca="1" si="415"/>
        <v>2023</v>
      </c>
      <c r="D1494" s="6">
        <f t="shared" ca="1" si="416"/>
        <v>12</v>
      </c>
      <c r="E1494" s="68">
        <f ca="1">IFERROR(__xludf.DUMMYFUNCTION("""COMPUTED_VALUE"""),45266.6666666666)</f>
        <v>45266.666666666599</v>
      </c>
      <c r="F1494" s="6">
        <f ca="1">IFERROR(__xludf.DUMMYFUNCTION("""COMPUTED_VALUE"""),4549.34)</f>
        <v>4549.34</v>
      </c>
      <c r="J1494" s="6" t="str">
        <f t="shared" ca="1" si="417"/>
        <v>202311</v>
      </c>
      <c r="K1494" s="6">
        <f t="shared" ca="1" si="418"/>
        <v>2023</v>
      </c>
      <c r="L1494" s="6">
        <f t="shared" ca="1" si="419"/>
        <v>11</v>
      </c>
      <c r="M1494" s="68">
        <f ca="1">IFERROR(__xludf.DUMMYFUNCTION("""COMPUTED_VALUE"""),45258.6666666666)</f>
        <v>45258.666666666599</v>
      </c>
      <c r="N1494" s="6">
        <f ca="1">IFERROR(__xludf.DUMMYFUNCTION("""COMPUTED_VALUE"""),14281.76)</f>
        <v>14281.76</v>
      </c>
      <c r="R1494" s="6" t="str">
        <f t="shared" ca="1" si="420"/>
        <v>20241</v>
      </c>
      <c r="S1494" s="6">
        <f t="shared" ca="1" si="421"/>
        <v>2024</v>
      </c>
      <c r="T1494" s="6">
        <f t="shared" ca="1" si="422"/>
        <v>1</v>
      </c>
      <c r="U1494" s="68">
        <f ca="1">IFERROR(__xludf.DUMMYFUNCTION("""COMPUTED_VALUE"""),45317.6458333333)</f>
        <v>45317.645833333299</v>
      </c>
      <c r="V1494" s="6">
        <f ca="1">IFERROR(__xludf.DUMMYFUNCTION("""COMPUTED_VALUE"""),2478.56)</f>
        <v>2478.56</v>
      </c>
      <c r="Z1494" s="6" t="str">
        <f t="shared" ca="1" si="423"/>
        <v>20223</v>
      </c>
      <c r="AA1494" s="6">
        <f t="shared" ca="1" si="424"/>
        <v>2022</v>
      </c>
      <c r="AB1494" s="6">
        <f t="shared" ca="1" si="425"/>
        <v>3</v>
      </c>
      <c r="AC1494" s="68">
        <f ca="1">IFERROR(__xludf.DUMMYFUNCTION("""COMPUTED_VALUE"""),44643.9986111111)</f>
        <v>44643.998611111099</v>
      </c>
      <c r="AD1494" s="6">
        <f ca="1">IFERROR(__xludf.DUMMYFUNCTION("""COMPUTED_VALUE"""),1218.01)</f>
        <v>1218.01</v>
      </c>
      <c r="AH1494" s="6" t="str">
        <f t="shared" ca="1" si="426"/>
        <v>20221</v>
      </c>
      <c r="AI1494" s="6">
        <f t="shared" ca="1" si="427"/>
        <v>2022</v>
      </c>
      <c r="AJ1494" s="6">
        <f t="shared" ca="1" si="428"/>
        <v>1</v>
      </c>
      <c r="AK1494" s="68">
        <f ca="1">IFERROR(__xludf.DUMMYFUNCTION("""COMPUTED_VALUE"""),44587.9986111111)</f>
        <v>44587.998611111099</v>
      </c>
      <c r="AL1494" s="6">
        <f ca="1">IFERROR(__xludf.DUMMYFUNCTION("""COMPUTED_VALUE"""),36820.86)</f>
        <v>36820.86</v>
      </c>
      <c r="AP1494" s="6" t="str">
        <f t="shared" ca="1" si="429"/>
        <v>202312</v>
      </c>
      <c r="AQ1494" s="6">
        <f t="shared" ca="1" si="430"/>
        <v>2023</v>
      </c>
      <c r="AR1494" s="6">
        <f t="shared" ca="1" si="431"/>
        <v>12</v>
      </c>
      <c r="AS1494" s="68">
        <f ca="1">IFERROR(__xludf.DUMMYFUNCTION("""COMPUTED_VALUE"""),45273.9986111111)</f>
        <v>45273.998611111099</v>
      </c>
      <c r="AT1494" s="6">
        <f ca="1">IFERROR(__xludf.DUMMYFUNCTION("""COMPUTED_VALUE"""),1997.3)</f>
        <v>1997.3</v>
      </c>
    </row>
    <row r="1495" spans="2:46" x14ac:dyDescent="0.35">
      <c r="B1495" s="6" t="str">
        <f t="shared" ca="1" si="414"/>
        <v>202312</v>
      </c>
      <c r="C1495" s="6">
        <f t="shared" ca="1" si="415"/>
        <v>2023</v>
      </c>
      <c r="D1495" s="6">
        <f t="shared" ca="1" si="416"/>
        <v>12</v>
      </c>
      <c r="E1495" s="68">
        <f ca="1">IFERROR(__xludf.DUMMYFUNCTION("""COMPUTED_VALUE"""),45267.6666666666)</f>
        <v>45267.666666666599</v>
      </c>
      <c r="F1495" s="6">
        <f ca="1">IFERROR(__xludf.DUMMYFUNCTION("""COMPUTED_VALUE"""),4585.59)</f>
        <v>4585.59</v>
      </c>
      <c r="J1495" s="6" t="str">
        <f t="shared" ca="1" si="417"/>
        <v>202311</v>
      </c>
      <c r="K1495" s="6">
        <f t="shared" ca="1" si="418"/>
        <v>2023</v>
      </c>
      <c r="L1495" s="6">
        <f t="shared" ca="1" si="419"/>
        <v>11</v>
      </c>
      <c r="M1495" s="68">
        <f ca="1">IFERROR(__xludf.DUMMYFUNCTION("""COMPUTED_VALUE"""),45259.6666666666)</f>
        <v>45259.666666666599</v>
      </c>
      <c r="N1495" s="6">
        <f ca="1">IFERROR(__xludf.DUMMYFUNCTION("""COMPUTED_VALUE"""),14258.49)</f>
        <v>14258.49</v>
      </c>
      <c r="R1495" s="6" t="str">
        <f t="shared" ca="1" si="420"/>
        <v>20241</v>
      </c>
      <c r="S1495" s="6">
        <f t="shared" ca="1" si="421"/>
        <v>2024</v>
      </c>
      <c r="T1495" s="6">
        <f t="shared" ca="1" si="422"/>
        <v>1</v>
      </c>
      <c r="U1495" s="68">
        <f ca="1">IFERROR(__xludf.DUMMYFUNCTION("""COMPUTED_VALUE"""),45320.6458333333)</f>
        <v>45320.645833333299</v>
      </c>
      <c r="V1495" s="6">
        <f ca="1">IFERROR(__xludf.DUMMYFUNCTION("""COMPUTED_VALUE"""),2500.65)</f>
        <v>2500.65</v>
      </c>
      <c r="Z1495" s="6" t="str">
        <f t="shared" ca="1" si="423"/>
        <v>20223</v>
      </c>
      <c r="AA1495" s="6">
        <f t="shared" ca="1" si="424"/>
        <v>2022</v>
      </c>
      <c r="AB1495" s="6">
        <f t="shared" ca="1" si="425"/>
        <v>3</v>
      </c>
      <c r="AC1495" s="68">
        <f ca="1">IFERROR(__xludf.DUMMYFUNCTION("""COMPUTED_VALUE"""),44644.9986111111)</f>
        <v>44644.998611111099</v>
      </c>
      <c r="AD1495" s="6">
        <f ca="1">IFERROR(__xludf.DUMMYFUNCTION("""COMPUTED_VALUE"""),1217.55)</f>
        <v>1217.55</v>
      </c>
      <c r="AH1495" s="6" t="str">
        <f t="shared" ca="1" si="426"/>
        <v>20221</v>
      </c>
      <c r="AI1495" s="6">
        <f t="shared" ca="1" si="427"/>
        <v>2022</v>
      </c>
      <c r="AJ1495" s="6">
        <f t="shared" ca="1" si="428"/>
        <v>1</v>
      </c>
      <c r="AK1495" s="68">
        <f ca="1">IFERROR(__xludf.DUMMYFUNCTION("""COMPUTED_VALUE"""),44588.9986111111)</f>
        <v>44588.998611111099</v>
      </c>
      <c r="AL1495" s="6">
        <f ca="1">IFERROR(__xludf.DUMMYFUNCTION("""COMPUTED_VALUE"""),37121.69)</f>
        <v>37121.69</v>
      </c>
      <c r="AP1495" s="6" t="str">
        <f t="shared" ca="1" si="429"/>
        <v>202312</v>
      </c>
      <c r="AQ1495" s="6">
        <f t="shared" ca="1" si="430"/>
        <v>2023</v>
      </c>
      <c r="AR1495" s="6">
        <f t="shared" ca="1" si="431"/>
        <v>12</v>
      </c>
      <c r="AS1495" s="68">
        <f ca="1">IFERROR(__xludf.DUMMYFUNCTION("""COMPUTED_VALUE"""),45274.9986111111)</f>
        <v>45274.998611111099</v>
      </c>
      <c r="AT1495" s="6">
        <f ca="1">IFERROR(__xludf.DUMMYFUNCTION("""COMPUTED_VALUE"""),2044.9)</f>
        <v>2044.9</v>
      </c>
    </row>
    <row r="1496" spans="2:46" x14ac:dyDescent="0.35">
      <c r="B1496" s="6" t="str">
        <f t="shared" ca="1" si="414"/>
        <v>202312</v>
      </c>
      <c r="C1496" s="6">
        <f t="shared" ca="1" si="415"/>
        <v>2023</v>
      </c>
      <c r="D1496" s="6">
        <f t="shared" ca="1" si="416"/>
        <v>12</v>
      </c>
      <c r="E1496" s="68">
        <f ca="1">IFERROR(__xludf.DUMMYFUNCTION("""COMPUTED_VALUE"""),45268.6666666666)</f>
        <v>45268.666666666599</v>
      </c>
      <c r="F1496" s="6">
        <f ca="1">IFERROR(__xludf.DUMMYFUNCTION("""COMPUTED_VALUE"""),4604.37)</f>
        <v>4604.37</v>
      </c>
      <c r="J1496" s="6" t="str">
        <f t="shared" ca="1" si="417"/>
        <v>202311</v>
      </c>
      <c r="K1496" s="6">
        <f t="shared" ca="1" si="418"/>
        <v>2023</v>
      </c>
      <c r="L1496" s="6">
        <f t="shared" ca="1" si="419"/>
        <v>11</v>
      </c>
      <c r="M1496" s="68">
        <f ca="1">IFERROR(__xludf.DUMMYFUNCTION("""COMPUTED_VALUE"""),45260.6666666666)</f>
        <v>45260.666666666599</v>
      </c>
      <c r="N1496" s="6">
        <f ca="1">IFERROR(__xludf.DUMMYFUNCTION("""COMPUTED_VALUE"""),14226.22)</f>
        <v>14226.22</v>
      </c>
      <c r="R1496" s="6" t="str">
        <f t="shared" ca="1" si="420"/>
        <v>20241</v>
      </c>
      <c r="S1496" s="6">
        <f t="shared" ca="1" si="421"/>
        <v>2024</v>
      </c>
      <c r="T1496" s="6">
        <f t="shared" ca="1" si="422"/>
        <v>1</v>
      </c>
      <c r="U1496" s="68">
        <f ca="1">IFERROR(__xludf.DUMMYFUNCTION("""COMPUTED_VALUE"""),45321.6458333333)</f>
        <v>45321.645833333299</v>
      </c>
      <c r="V1496" s="6">
        <f ca="1">IFERROR(__xludf.DUMMYFUNCTION("""COMPUTED_VALUE"""),2498.81)</f>
        <v>2498.81</v>
      </c>
      <c r="Z1496" s="6" t="str">
        <f t="shared" ca="1" si="423"/>
        <v>20223</v>
      </c>
      <c r="AA1496" s="6">
        <f t="shared" ca="1" si="424"/>
        <v>2022</v>
      </c>
      <c r="AB1496" s="6">
        <f t="shared" ca="1" si="425"/>
        <v>3</v>
      </c>
      <c r="AC1496" s="68">
        <f ca="1">IFERROR(__xludf.DUMMYFUNCTION("""COMPUTED_VALUE"""),44645.9986111111)</f>
        <v>44645.998611111099</v>
      </c>
      <c r="AD1496" s="6">
        <f ca="1">IFERROR(__xludf.DUMMYFUNCTION("""COMPUTED_VALUE"""),1224.45)</f>
        <v>1224.45</v>
      </c>
      <c r="AH1496" s="6" t="str">
        <f t="shared" ca="1" si="426"/>
        <v>20221</v>
      </c>
      <c r="AI1496" s="6">
        <f t="shared" ca="1" si="427"/>
        <v>2022</v>
      </c>
      <c r="AJ1496" s="6">
        <f t="shared" ca="1" si="428"/>
        <v>1</v>
      </c>
      <c r="AK1496" s="68">
        <f ca="1">IFERROR(__xludf.DUMMYFUNCTION("""COMPUTED_VALUE"""),44589.9986111111)</f>
        <v>44589.998611111099</v>
      </c>
      <c r="AL1496" s="6">
        <f ca="1">IFERROR(__xludf.DUMMYFUNCTION("""COMPUTED_VALUE"""),37739.55)</f>
        <v>37739.550000000003</v>
      </c>
      <c r="AP1496" s="6" t="str">
        <f t="shared" ca="1" si="429"/>
        <v>202312</v>
      </c>
      <c r="AQ1496" s="6">
        <f t="shared" ca="1" si="430"/>
        <v>2023</v>
      </c>
      <c r="AR1496" s="6">
        <f t="shared" ca="1" si="431"/>
        <v>12</v>
      </c>
      <c r="AS1496" s="68">
        <f ca="1">IFERROR(__xludf.DUMMYFUNCTION("""COMPUTED_VALUE"""),45275.9986111111)</f>
        <v>45275.998611111099</v>
      </c>
      <c r="AT1496" s="6">
        <f ca="1">IFERROR(__xludf.DUMMYFUNCTION("""COMPUTED_VALUE"""),2035.7)</f>
        <v>2035.7</v>
      </c>
    </row>
    <row r="1497" spans="2:46" x14ac:dyDescent="0.35">
      <c r="B1497" s="6" t="str">
        <f t="shared" ca="1" si="414"/>
        <v>202312</v>
      </c>
      <c r="C1497" s="6">
        <f t="shared" ca="1" si="415"/>
        <v>2023</v>
      </c>
      <c r="D1497" s="6">
        <f t="shared" ca="1" si="416"/>
        <v>12</v>
      </c>
      <c r="E1497" s="68">
        <f ca="1">IFERROR(__xludf.DUMMYFUNCTION("""COMPUTED_VALUE"""),45271.6666666666)</f>
        <v>45271.666666666599</v>
      </c>
      <c r="F1497" s="6">
        <f ca="1">IFERROR(__xludf.DUMMYFUNCTION("""COMPUTED_VALUE"""),4622.44)</f>
        <v>4622.4399999999996</v>
      </c>
      <c r="J1497" s="6" t="str">
        <f t="shared" ca="1" si="417"/>
        <v>202312</v>
      </c>
      <c r="K1497" s="6">
        <f t="shared" ca="1" si="418"/>
        <v>2023</v>
      </c>
      <c r="L1497" s="6">
        <f t="shared" ca="1" si="419"/>
        <v>12</v>
      </c>
      <c r="M1497" s="68">
        <f ca="1">IFERROR(__xludf.DUMMYFUNCTION("""COMPUTED_VALUE"""),45261.6666666666)</f>
        <v>45261.666666666599</v>
      </c>
      <c r="N1497" s="6">
        <f ca="1">IFERROR(__xludf.DUMMYFUNCTION("""COMPUTED_VALUE"""),14305.03)</f>
        <v>14305.03</v>
      </c>
      <c r="R1497" s="6" t="str">
        <f t="shared" ca="1" si="420"/>
        <v>20241</v>
      </c>
      <c r="S1497" s="6">
        <f t="shared" ca="1" si="421"/>
        <v>2024</v>
      </c>
      <c r="T1497" s="6">
        <f t="shared" ca="1" si="422"/>
        <v>1</v>
      </c>
      <c r="U1497" s="68">
        <f ca="1">IFERROR(__xludf.DUMMYFUNCTION("""COMPUTED_VALUE"""),45322.6458333333)</f>
        <v>45322.645833333299</v>
      </c>
      <c r="V1497" s="6">
        <f ca="1">IFERROR(__xludf.DUMMYFUNCTION("""COMPUTED_VALUE"""),2497.09)</f>
        <v>2497.09</v>
      </c>
      <c r="Z1497" s="6" t="str">
        <f t="shared" ca="1" si="423"/>
        <v>20223</v>
      </c>
      <c r="AA1497" s="6">
        <f t="shared" ca="1" si="424"/>
        <v>2022</v>
      </c>
      <c r="AB1497" s="6">
        <f t="shared" ca="1" si="425"/>
        <v>3</v>
      </c>
      <c r="AC1497" s="68">
        <f ca="1">IFERROR(__xludf.DUMMYFUNCTION("""COMPUTED_VALUE"""),44646.9986111111)</f>
        <v>44646.998611111099</v>
      </c>
      <c r="AD1497" s="6">
        <f ca="1">IFERROR(__xludf.DUMMYFUNCTION("""COMPUTED_VALUE"""),1224.35)</f>
        <v>1224.3499999999999</v>
      </c>
      <c r="AH1497" s="6" t="str">
        <f t="shared" ca="1" si="426"/>
        <v>20221</v>
      </c>
      <c r="AI1497" s="6">
        <f t="shared" ca="1" si="427"/>
        <v>2022</v>
      </c>
      <c r="AJ1497" s="6">
        <f t="shared" ca="1" si="428"/>
        <v>1</v>
      </c>
      <c r="AK1497" s="68">
        <f ca="1">IFERROR(__xludf.DUMMYFUNCTION("""COMPUTED_VALUE"""),44590.9986111111)</f>
        <v>44590.998611111099</v>
      </c>
      <c r="AL1497" s="6">
        <f ca="1">IFERROR(__xludf.DUMMYFUNCTION("""COMPUTED_VALUE"""),38172.41)</f>
        <v>38172.410000000003</v>
      </c>
      <c r="AP1497" s="6" t="str">
        <f t="shared" ca="1" si="429"/>
        <v>202312</v>
      </c>
      <c r="AQ1497" s="6">
        <f t="shared" ca="1" si="430"/>
        <v>2023</v>
      </c>
      <c r="AR1497" s="6">
        <f t="shared" ca="1" si="431"/>
        <v>12</v>
      </c>
      <c r="AS1497" s="68">
        <f ca="1">IFERROR(__xludf.DUMMYFUNCTION("""COMPUTED_VALUE"""),45278.9986111111)</f>
        <v>45278.998611111099</v>
      </c>
      <c r="AT1497" s="6">
        <f ca="1">IFERROR(__xludf.DUMMYFUNCTION("""COMPUTED_VALUE"""),2040.5)</f>
        <v>2040.5</v>
      </c>
    </row>
    <row r="1498" spans="2:46" x14ac:dyDescent="0.35">
      <c r="B1498" s="6" t="str">
        <f t="shared" ca="1" si="414"/>
        <v>202312</v>
      </c>
      <c r="C1498" s="6">
        <f t="shared" ca="1" si="415"/>
        <v>2023</v>
      </c>
      <c r="D1498" s="6">
        <f t="shared" ca="1" si="416"/>
        <v>12</v>
      </c>
      <c r="E1498" s="68">
        <f ca="1">IFERROR(__xludf.DUMMYFUNCTION("""COMPUTED_VALUE"""),45272.6666666666)</f>
        <v>45272.666666666599</v>
      </c>
      <c r="F1498" s="6">
        <f ca="1">IFERROR(__xludf.DUMMYFUNCTION("""COMPUTED_VALUE"""),4643.7)</f>
        <v>4643.7</v>
      </c>
      <c r="J1498" s="6" t="str">
        <f t="shared" ca="1" si="417"/>
        <v>202312</v>
      </c>
      <c r="K1498" s="6">
        <f t="shared" ca="1" si="418"/>
        <v>2023</v>
      </c>
      <c r="L1498" s="6">
        <f t="shared" ca="1" si="419"/>
        <v>12</v>
      </c>
      <c r="M1498" s="68">
        <f ca="1">IFERROR(__xludf.DUMMYFUNCTION("""COMPUTED_VALUE"""),45264.6666666666)</f>
        <v>45264.666666666599</v>
      </c>
      <c r="N1498" s="6">
        <f ca="1">IFERROR(__xludf.DUMMYFUNCTION("""COMPUTED_VALUE"""),14185.49)</f>
        <v>14185.49</v>
      </c>
      <c r="R1498" s="6" t="str">
        <f t="shared" ca="1" si="420"/>
        <v>20242</v>
      </c>
      <c r="S1498" s="6">
        <f t="shared" ca="1" si="421"/>
        <v>2024</v>
      </c>
      <c r="T1498" s="6">
        <f t="shared" ca="1" si="422"/>
        <v>2</v>
      </c>
      <c r="U1498" s="68">
        <f ca="1">IFERROR(__xludf.DUMMYFUNCTION("""COMPUTED_VALUE"""),45323.6458333333)</f>
        <v>45323.645833333299</v>
      </c>
      <c r="V1498" s="6">
        <f ca="1">IFERROR(__xludf.DUMMYFUNCTION("""COMPUTED_VALUE"""),2542.46)</f>
        <v>2542.46</v>
      </c>
      <c r="Z1498" s="6" t="str">
        <f t="shared" ca="1" si="423"/>
        <v>20223</v>
      </c>
      <c r="AA1498" s="6">
        <f t="shared" ca="1" si="424"/>
        <v>2022</v>
      </c>
      <c r="AB1498" s="6">
        <f t="shared" ca="1" si="425"/>
        <v>3</v>
      </c>
      <c r="AC1498" s="68">
        <f ca="1">IFERROR(__xludf.DUMMYFUNCTION("""COMPUTED_VALUE"""),44647.9986111111)</f>
        <v>44647.998611111099</v>
      </c>
      <c r="AD1498" s="6">
        <f ca="1">IFERROR(__xludf.DUMMYFUNCTION("""COMPUTED_VALUE"""),1224.38)</f>
        <v>1224.3800000000001</v>
      </c>
      <c r="AH1498" s="6" t="str">
        <f t="shared" ca="1" si="426"/>
        <v>20221</v>
      </c>
      <c r="AI1498" s="6">
        <f t="shared" ca="1" si="427"/>
        <v>2022</v>
      </c>
      <c r="AJ1498" s="6">
        <f t="shared" ca="1" si="428"/>
        <v>1</v>
      </c>
      <c r="AK1498" s="68">
        <f ca="1">IFERROR(__xludf.DUMMYFUNCTION("""COMPUTED_VALUE"""),44591.9986111111)</f>
        <v>44591.998611111099</v>
      </c>
      <c r="AL1498" s="6">
        <f ca="1">IFERROR(__xludf.DUMMYFUNCTION("""COMPUTED_VALUE"""),37911.92)</f>
        <v>37911.919999999998</v>
      </c>
      <c r="AP1498" s="6" t="str">
        <f t="shared" ca="1" si="429"/>
        <v>202312</v>
      </c>
      <c r="AQ1498" s="6">
        <f t="shared" ca="1" si="430"/>
        <v>2023</v>
      </c>
      <c r="AR1498" s="6">
        <f t="shared" ca="1" si="431"/>
        <v>12</v>
      </c>
      <c r="AS1498" s="68">
        <f ca="1">IFERROR(__xludf.DUMMYFUNCTION("""COMPUTED_VALUE"""),45279.9986111111)</f>
        <v>45279.998611111099</v>
      </c>
      <c r="AT1498" s="6">
        <f ca="1">IFERROR(__xludf.DUMMYFUNCTION("""COMPUTED_VALUE"""),2052.1)</f>
        <v>2052.1</v>
      </c>
    </row>
    <row r="1499" spans="2:46" x14ac:dyDescent="0.35">
      <c r="B1499" s="6" t="str">
        <f t="shared" ca="1" si="414"/>
        <v>202312</v>
      </c>
      <c r="C1499" s="6">
        <f t="shared" ca="1" si="415"/>
        <v>2023</v>
      </c>
      <c r="D1499" s="6">
        <f t="shared" ca="1" si="416"/>
        <v>12</v>
      </c>
      <c r="E1499" s="68">
        <f ca="1">IFERROR(__xludf.DUMMYFUNCTION("""COMPUTED_VALUE"""),45273.6666666666)</f>
        <v>45273.666666666599</v>
      </c>
      <c r="F1499" s="6">
        <f ca="1">IFERROR(__xludf.DUMMYFUNCTION("""COMPUTED_VALUE"""),4707.09)</f>
        <v>4707.09</v>
      </c>
      <c r="J1499" s="6" t="str">
        <f t="shared" ca="1" si="417"/>
        <v>202312</v>
      </c>
      <c r="K1499" s="6">
        <f t="shared" ca="1" si="418"/>
        <v>2023</v>
      </c>
      <c r="L1499" s="6">
        <f t="shared" ca="1" si="419"/>
        <v>12</v>
      </c>
      <c r="M1499" s="68">
        <f ca="1">IFERROR(__xludf.DUMMYFUNCTION("""COMPUTED_VALUE"""),45265.6666666666)</f>
        <v>45265.666666666599</v>
      </c>
      <c r="N1499" s="6">
        <f ca="1">IFERROR(__xludf.DUMMYFUNCTION("""COMPUTED_VALUE"""),14229.91)</f>
        <v>14229.91</v>
      </c>
      <c r="R1499" s="6" t="str">
        <f t="shared" ca="1" si="420"/>
        <v>20242</v>
      </c>
      <c r="S1499" s="6">
        <f t="shared" ca="1" si="421"/>
        <v>2024</v>
      </c>
      <c r="T1499" s="6">
        <f t="shared" ca="1" si="422"/>
        <v>2</v>
      </c>
      <c r="U1499" s="68">
        <f ca="1">IFERROR(__xludf.DUMMYFUNCTION("""COMPUTED_VALUE"""),45324.6458333333)</f>
        <v>45324.645833333299</v>
      </c>
      <c r="V1499" s="6">
        <f ca="1">IFERROR(__xludf.DUMMYFUNCTION("""COMPUTED_VALUE"""),2615.31)</f>
        <v>2615.31</v>
      </c>
      <c r="Z1499" s="6" t="str">
        <f t="shared" ca="1" si="423"/>
        <v>20223</v>
      </c>
      <c r="AA1499" s="6">
        <f t="shared" ca="1" si="424"/>
        <v>2022</v>
      </c>
      <c r="AB1499" s="6">
        <f t="shared" ca="1" si="425"/>
        <v>3</v>
      </c>
      <c r="AC1499" s="68">
        <f ca="1">IFERROR(__xludf.DUMMYFUNCTION("""COMPUTED_VALUE"""),44648.9986111111)</f>
        <v>44648.998611111099</v>
      </c>
      <c r="AD1499" s="6">
        <f ca="1">IFERROR(__xludf.DUMMYFUNCTION("""COMPUTED_VALUE"""),1223.66)</f>
        <v>1223.6600000000001</v>
      </c>
      <c r="AH1499" s="6" t="str">
        <f t="shared" ca="1" si="426"/>
        <v>20221</v>
      </c>
      <c r="AI1499" s="6">
        <f t="shared" ca="1" si="427"/>
        <v>2022</v>
      </c>
      <c r="AJ1499" s="6">
        <f t="shared" ca="1" si="428"/>
        <v>1</v>
      </c>
      <c r="AK1499" s="68">
        <f ca="1">IFERROR(__xludf.DUMMYFUNCTION("""COMPUTED_VALUE"""),44592.9986111111)</f>
        <v>44592.998611111099</v>
      </c>
      <c r="AL1499" s="6">
        <f ca="1">IFERROR(__xludf.DUMMYFUNCTION("""COMPUTED_VALUE"""),38494.39)</f>
        <v>38494.39</v>
      </c>
      <c r="AP1499" s="6" t="str">
        <f t="shared" ca="1" si="429"/>
        <v>202312</v>
      </c>
      <c r="AQ1499" s="6">
        <f t="shared" ca="1" si="430"/>
        <v>2023</v>
      </c>
      <c r="AR1499" s="6">
        <f t="shared" ca="1" si="431"/>
        <v>12</v>
      </c>
      <c r="AS1499" s="68">
        <f ca="1">IFERROR(__xludf.DUMMYFUNCTION("""COMPUTED_VALUE"""),45280.9986111111)</f>
        <v>45280.998611111099</v>
      </c>
      <c r="AT1499" s="6">
        <f ca="1">IFERROR(__xludf.DUMMYFUNCTION("""COMPUTED_VALUE"""),2047.7)</f>
        <v>2047.7</v>
      </c>
    </row>
    <row r="1500" spans="2:46" x14ac:dyDescent="0.35">
      <c r="B1500" s="6" t="str">
        <f t="shared" ca="1" si="414"/>
        <v>202312</v>
      </c>
      <c r="C1500" s="6">
        <f t="shared" ca="1" si="415"/>
        <v>2023</v>
      </c>
      <c r="D1500" s="6">
        <f t="shared" ca="1" si="416"/>
        <v>12</v>
      </c>
      <c r="E1500" s="68">
        <f ca="1">IFERROR(__xludf.DUMMYFUNCTION("""COMPUTED_VALUE"""),45274.6666666666)</f>
        <v>45274.666666666599</v>
      </c>
      <c r="F1500" s="6">
        <f ca="1">IFERROR(__xludf.DUMMYFUNCTION("""COMPUTED_VALUE"""),4719.55)</f>
        <v>4719.55</v>
      </c>
      <c r="J1500" s="6" t="str">
        <f t="shared" ca="1" si="417"/>
        <v>202312</v>
      </c>
      <c r="K1500" s="6">
        <f t="shared" ca="1" si="418"/>
        <v>2023</v>
      </c>
      <c r="L1500" s="6">
        <f t="shared" ca="1" si="419"/>
        <v>12</v>
      </c>
      <c r="M1500" s="68">
        <f ca="1">IFERROR(__xludf.DUMMYFUNCTION("""COMPUTED_VALUE"""),45266.6666666666)</f>
        <v>45266.666666666599</v>
      </c>
      <c r="N1500" s="6">
        <f ca="1">IFERROR(__xludf.DUMMYFUNCTION("""COMPUTED_VALUE"""),14146.71)</f>
        <v>14146.71</v>
      </c>
      <c r="R1500" s="6" t="str">
        <f t="shared" ca="1" si="420"/>
        <v>20242</v>
      </c>
      <c r="S1500" s="6">
        <f t="shared" ca="1" si="421"/>
        <v>2024</v>
      </c>
      <c r="T1500" s="6">
        <f t="shared" ca="1" si="422"/>
        <v>2</v>
      </c>
      <c r="U1500" s="68">
        <f ca="1">IFERROR(__xludf.DUMMYFUNCTION("""COMPUTED_VALUE"""),45327.6458333333)</f>
        <v>45327.645833333299</v>
      </c>
      <c r="V1500" s="6">
        <f ca="1">IFERROR(__xludf.DUMMYFUNCTION("""COMPUTED_VALUE"""),2591.31)</f>
        <v>2591.31</v>
      </c>
      <c r="Z1500" s="6" t="str">
        <f t="shared" ca="1" si="423"/>
        <v>20223</v>
      </c>
      <c r="AA1500" s="6">
        <f t="shared" ca="1" si="424"/>
        <v>2022</v>
      </c>
      <c r="AB1500" s="6">
        <f t="shared" ca="1" si="425"/>
        <v>3</v>
      </c>
      <c r="AC1500" s="68">
        <f ca="1">IFERROR(__xludf.DUMMYFUNCTION("""COMPUTED_VALUE"""),44649.9986111111)</f>
        <v>44649.998611111099</v>
      </c>
      <c r="AD1500" s="6">
        <f ca="1">IFERROR(__xludf.DUMMYFUNCTION("""COMPUTED_VALUE"""),1209.13)</f>
        <v>1209.1300000000001</v>
      </c>
      <c r="AH1500" s="6" t="str">
        <f t="shared" ca="1" si="426"/>
        <v>20222</v>
      </c>
      <c r="AI1500" s="6">
        <f t="shared" ca="1" si="427"/>
        <v>2022</v>
      </c>
      <c r="AJ1500" s="6">
        <f t="shared" ca="1" si="428"/>
        <v>2</v>
      </c>
      <c r="AK1500" s="68">
        <f ca="1">IFERROR(__xludf.DUMMYFUNCTION("""COMPUTED_VALUE"""),44593.9986111111)</f>
        <v>44593.998611111099</v>
      </c>
      <c r="AL1500" s="6">
        <f ca="1">IFERROR(__xludf.DUMMYFUNCTION("""COMPUTED_VALUE"""),38715.46)</f>
        <v>38715.46</v>
      </c>
      <c r="AP1500" s="6" t="str">
        <f t="shared" ca="1" si="429"/>
        <v>202312</v>
      </c>
      <c r="AQ1500" s="6">
        <f t="shared" ca="1" si="430"/>
        <v>2023</v>
      </c>
      <c r="AR1500" s="6">
        <f t="shared" ca="1" si="431"/>
        <v>12</v>
      </c>
      <c r="AS1500" s="68">
        <f ca="1">IFERROR(__xludf.DUMMYFUNCTION("""COMPUTED_VALUE"""),45281.9986111111)</f>
        <v>45281.998611111099</v>
      </c>
      <c r="AT1500" s="6">
        <f ca="1">IFERROR(__xludf.DUMMYFUNCTION("""COMPUTED_VALUE"""),2051.3)</f>
        <v>2051.3000000000002</v>
      </c>
    </row>
    <row r="1501" spans="2:46" x14ac:dyDescent="0.35">
      <c r="B1501" s="6" t="str">
        <f t="shared" ca="1" si="414"/>
        <v>202312</v>
      </c>
      <c r="C1501" s="6">
        <f t="shared" ca="1" si="415"/>
        <v>2023</v>
      </c>
      <c r="D1501" s="6">
        <f t="shared" ca="1" si="416"/>
        <v>12</v>
      </c>
      <c r="E1501" s="68">
        <f ca="1">IFERROR(__xludf.DUMMYFUNCTION("""COMPUTED_VALUE"""),45275.6666666666)</f>
        <v>45275.666666666599</v>
      </c>
      <c r="F1501" s="6">
        <f ca="1">IFERROR(__xludf.DUMMYFUNCTION("""COMPUTED_VALUE"""),4719.19)</f>
        <v>4719.1899999999996</v>
      </c>
      <c r="J1501" s="6" t="str">
        <f t="shared" ca="1" si="417"/>
        <v>202312</v>
      </c>
      <c r="K1501" s="6">
        <f t="shared" ca="1" si="418"/>
        <v>2023</v>
      </c>
      <c r="L1501" s="6">
        <f t="shared" ca="1" si="419"/>
        <v>12</v>
      </c>
      <c r="M1501" s="68">
        <f ca="1">IFERROR(__xludf.DUMMYFUNCTION("""COMPUTED_VALUE"""),45267.6666666666)</f>
        <v>45267.666666666599</v>
      </c>
      <c r="N1501" s="6">
        <f ca="1">IFERROR(__xludf.DUMMYFUNCTION("""COMPUTED_VALUE"""),14339.99)</f>
        <v>14339.99</v>
      </c>
      <c r="R1501" s="6" t="str">
        <f t="shared" ca="1" si="420"/>
        <v>20242</v>
      </c>
      <c r="S1501" s="6">
        <f t="shared" ca="1" si="421"/>
        <v>2024</v>
      </c>
      <c r="T1501" s="6">
        <f t="shared" ca="1" si="422"/>
        <v>2</v>
      </c>
      <c r="U1501" s="68">
        <f ca="1">IFERROR(__xludf.DUMMYFUNCTION("""COMPUTED_VALUE"""),45328.6458333333)</f>
        <v>45328.645833333299</v>
      </c>
      <c r="V1501" s="6">
        <f ca="1">IFERROR(__xludf.DUMMYFUNCTION("""COMPUTED_VALUE"""),2576.2)</f>
        <v>2576.1999999999998</v>
      </c>
      <c r="Z1501" s="6" t="str">
        <f t="shared" ca="1" si="423"/>
        <v>20223</v>
      </c>
      <c r="AA1501" s="6">
        <f t="shared" ca="1" si="424"/>
        <v>2022</v>
      </c>
      <c r="AB1501" s="6">
        <f t="shared" ca="1" si="425"/>
        <v>3</v>
      </c>
      <c r="AC1501" s="68">
        <f ca="1">IFERROR(__xludf.DUMMYFUNCTION("""COMPUTED_VALUE"""),44650.9986111111)</f>
        <v>44650.998611111099</v>
      </c>
      <c r="AD1501" s="6">
        <f ca="1">IFERROR(__xludf.DUMMYFUNCTION("""COMPUTED_VALUE"""),1210.44)</f>
        <v>1210.44</v>
      </c>
      <c r="AH1501" s="6" t="str">
        <f t="shared" ca="1" si="426"/>
        <v>20222</v>
      </c>
      <c r="AI1501" s="6">
        <f t="shared" ca="1" si="427"/>
        <v>2022</v>
      </c>
      <c r="AJ1501" s="6">
        <f t="shared" ca="1" si="428"/>
        <v>2</v>
      </c>
      <c r="AK1501" s="68">
        <f ca="1">IFERROR(__xludf.DUMMYFUNCTION("""COMPUTED_VALUE"""),44594.9986111111)</f>
        <v>44594.998611111099</v>
      </c>
      <c r="AL1501" s="6">
        <f ca="1">IFERROR(__xludf.DUMMYFUNCTION("""COMPUTED_VALUE"""),36908.75)</f>
        <v>36908.75</v>
      </c>
      <c r="AP1501" s="6" t="str">
        <f t="shared" ca="1" si="429"/>
        <v>202312</v>
      </c>
      <c r="AQ1501" s="6">
        <f t="shared" ca="1" si="430"/>
        <v>2023</v>
      </c>
      <c r="AR1501" s="6">
        <f t="shared" ca="1" si="431"/>
        <v>12</v>
      </c>
      <c r="AS1501" s="68">
        <f ca="1">IFERROR(__xludf.DUMMYFUNCTION("""COMPUTED_VALUE"""),45282.9986111111)</f>
        <v>45282.998611111099</v>
      </c>
      <c r="AT1501" s="6">
        <f ca="1">IFERROR(__xludf.DUMMYFUNCTION("""COMPUTED_VALUE"""),2069.1)</f>
        <v>2069.1</v>
      </c>
    </row>
    <row r="1502" spans="2:46" x14ac:dyDescent="0.35">
      <c r="B1502" s="6" t="str">
        <f t="shared" ca="1" si="414"/>
        <v>202312</v>
      </c>
      <c r="C1502" s="6">
        <f t="shared" ca="1" si="415"/>
        <v>2023</v>
      </c>
      <c r="D1502" s="6">
        <f t="shared" ca="1" si="416"/>
        <v>12</v>
      </c>
      <c r="E1502" s="68">
        <f ca="1">IFERROR(__xludf.DUMMYFUNCTION("""COMPUTED_VALUE"""),45278.6666666666)</f>
        <v>45278.666666666599</v>
      </c>
      <c r="F1502" s="6">
        <f ca="1">IFERROR(__xludf.DUMMYFUNCTION("""COMPUTED_VALUE"""),4740.56)</f>
        <v>4740.5600000000004</v>
      </c>
      <c r="J1502" s="6" t="str">
        <f t="shared" ca="1" si="417"/>
        <v>202312</v>
      </c>
      <c r="K1502" s="6">
        <f t="shared" ca="1" si="418"/>
        <v>2023</v>
      </c>
      <c r="L1502" s="6">
        <f t="shared" ca="1" si="419"/>
        <v>12</v>
      </c>
      <c r="M1502" s="68">
        <f ca="1">IFERROR(__xludf.DUMMYFUNCTION("""COMPUTED_VALUE"""),45268.6666666666)</f>
        <v>45268.666666666599</v>
      </c>
      <c r="N1502" s="6">
        <f ca="1">IFERROR(__xludf.DUMMYFUNCTION("""COMPUTED_VALUE"""),14403.97)</f>
        <v>14403.97</v>
      </c>
      <c r="R1502" s="6" t="str">
        <f t="shared" ca="1" si="420"/>
        <v>20242</v>
      </c>
      <c r="S1502" s="6">
        <f t="shared" ca="1" si="421"/>
        <v>2024</v>
      </c>
      <c r="T1502" s="6">
        <f t="shared" ca="1" si="422"/>
        <v>2</v>
      </c>
      <c r="U1502" s="68">
        <f ca="1">IFERROR(__xludf.DUMMYFUNCTION("""COMPUTED_VALUE"""),45329.6458333333)</f>
        <v>45329.645833333299</v>
      </c>
      <c r="V1502" s="6">
        <f ca="1">IFERROR(__xludf.DUMMYFUNCTION("""COMPUTED_VALUE"""),2609.58)</f>
        <v>2609.58</v>
      </c>
      <c r="Z1502" s="6" t="str">
        <f t="shared" ca="1" si="423"/>
        <v>20223</v>
      </c>
      <c r="AA1502" s="6">
        <f t="shared" ca="1" si="424"/>
        <v>2022</v>
      </c>
      <c r="AB1502" s="6">
        <f t="shared" ca="1" si="425"/>
        <v>3</v>
      </c>
      <c r="AC1502" s="68">
        <f ca="1">IFERROR(__xludf.DUMMYFUNCTION("""COMPUTED_VALUE"""),44651.9986111111)</f>
        <v>44651.998611111099</v>
      </c>
      <c r="AD1502" s="6">
        <f ca="1">IFERROR(__xludf.DUMMYFUNCTION("""COMPUTED_VALUE"""),1214.5)</f>
        <v>1214.5</v>
      </c>
      <c r="AH1502" s="6" t="str">
        <f t="shared" ca="1" si="426"/>
        <v>20222</v>
      </c>
      <c r="AI1502" s="6">
        <f t="shared" ca="1" si="427"/>
        <v>2022</v>
      </c>
      <c r="AJ1502" s="6">
        <f t="shared" ca="1" si="428"/>
        <v>2</v>
      </c>
      <c r="AK1502" s="68">
        <f ca="1">IFERROR(__xludf.DUMMYFUNCTION("""COMPUTED_VALUE"""),44595.9986111111)</f>
        <v>44595.998611111099</v>
      </c>
      <c r="AL1502" s="6">
        <f ca="1">IFERROR(__xludf.DUMMYFUNCTION("""COMPUTED_VALUE"""),37283.13)</f>
        <v>37283.129999999997</v>
      </c>
      <c r="AP1502" s="6" t="str">
        <f t="shared" ca="1" si="429"/>
        <v>202312</v>
      </c>
      <c r="AQ1502" s="6">
        <f t="shared" ca="1" si="430"/>
        <v>2023</v>
      </c>
      <c r="AR1502" s="6">
        <f t="shared" ca="1" si="431"/>
        <v>12</v>
      </c>
      <c r="AS1502" s="68">
        <f ca="1">IFERROR(__xludf.DUMMYFUNCTION("""COMPUTED_VALUE"""),45286.9986111111)</f>
        <v>45286.998611111099</v>
      </c>
      <c r="AT1502" s="6">
        <f ca="1">IFERROR(__xludf.DUMMYFUNCTION("""COMPUTED_VALUE"""),2069.8)</f>
        <v>2069.8000000000002</v>
      </c>
    </row>
    <row r="1503" spans="2:46" x14ac:dyDescent="0.35">
      <c r="B1503" s="6" t="str">
        <f t="shared" ca="1" si="414"/>
        <v>202312</v>
      </c>
      <c r="C1503" s="6">
        <f t="shared" ca="1" si="415"/>
        <v>2023</v>
      </c>
      <c r="D1503" s="6">
        <f t="shared" ca="1" si="416"/>
        <v>12</v>
      </c>
      <c r="E1503" s="68">
        <f ca="1">IFERROR(__xludf.DUMMYFUNCTION("""COMPUTED_VALUE"""),45279.6666666666)</f>
        <v>45279.666666666599</v>
      </c>
      <c r="F1503" s="6">
        <f ca="1">IFERROR(__xludf.DUMMYFUNCTION("""COMPUTED_VALUE"""),4768.37)</f>
        <v>4768.37</v>
      </c>
      <c r="J1503" s="6" t="str">
        <f t="shared" ca="1" si="417"/>
        <v>202312</v>
      </c>
      <c r="K1503" s="6">
        <f t="shared" ca="1" si="418"/>
        <v>2023</v>
      </c>
      <c r="L1503" s="6">
        <f t="shared" ca="1" si="419"/>
        <v>12</v>
      </c>
      <c r="M1503" s="68">
        <f ca="1">IFERROR(__xludf.DUMMYFUNCTION("""COMPUTED_VALUE"""),45271.6666666666)</f>
        <v>45271.666666666599</v>
      </c>
      <c r="N1503" s="6">
        <f ca="1">IFERROR(__xludf.DUMMYFUNCTION("""COMPUTED_VALUE"""),14432.49)</f>
        <v>14432.49</v>
      </c>
      <c r="R1503" s="6" t="str">
        <f t="shared" ca="1" si="420"/>
        <v>20242</v>
      </c>
      <c r="S1503" s="6">
        <f t="shared" ca="1" si="421"/>
        <v>2024</v>
      </c>
      <c r="T1503" s="6">
        <f t="shared" ca="1" si="422"/>
        <v>2</v>
      </c>
      <c r="U1503" s="68">
        <f ca="1">IFERROR(__xludf.DUMMYFUNCTION("""COMPUTED_VALUE"""),45330.6458333333)</f>
        <v>45330.645833333299</v>
      </c>
      <c r="V1503" s="6">
        <f ca="1">IFERROR(__xludf.DUMMYFUNCTION("""COMPUTED_VALUE"""),2620.32)</f>
        <v>2620.3200000000002</v>
      </c>
      <c r="Z1503" s="6" t="str">
        <f t="shared" ca="1" si="423"/>
        <v>20224</v>
      </c>
      <c r="AA1503" s="6">
        <f t="shared" ca="1" si="424"/>
        <v>2022</v>
      </c>
      <c r="AB1503" s="6">
        <f t="shared" ca="1" si="425"/>
        <v>4</v>
      </c>
      <c r="AC1503" s="68">
        <f ca="1">IFERROR(__xludf.DUMMYFUNCTION("""COMPUTED_VALUE"""),44652.9986111111)</f>
        <v>44652.998611111099</v>
      </c>
      <c r="AD1503" s="6">
        <f ca="1">IFERROR(__xludf.DUMMYFUNCTION("""COMPUTED_VALUE"""),1218.47)</f>
        <v>1218.47</v>
      </c>
      <c r="AH1503" s="6" t="str">
        <f t="shared" ca="1" si="426"/>
        <v>20222</v>
      </c>
      <c r="AI1503" s="6">
        <f t="shared" ca="1" si="427"/>
        <v>2022</v>
      </c>
      <c r="AJ1503" s="6">
        <f t="shared" ca="1" si="428"/>
        <v>2</v>
      </c>
      <c r="AK1503" s="68">
        <f ca="1">IFERROR(__xludf.DUMMYFUNCTION("""COMPUTED_VALUE"""),44596.9986111111)</f>
        <v>44596.998611111099</v>
      </c>
      <c r="AL1503" s="6">
        <f ca="1">IFERROR(__xludf.DUMMYFUNCTION("""COMPUTED_VALUE"""),41567.76)</f>
        <v>41567.760000000002</v>
      </c>
      <c r="AP1503" s="6" t="str">
        <f t="shared" ca="1" si="429"/>
        <v>202312</v>
      </c>
      <c r="AQ1503" s="6">
        <f t="shared" ca="1" si="430"/>
        <v>2023</v>
      </c>
      <c r="AR1503" s="6">
        <f t="shared" ca="1" si="431"/>
        <v>12</v>
      </c>
      <c r="AS1503" s="68">
        <f ca="1">IFERROR(__xludf.DUMMYFUNCTION("""COMPUTED_VALUE"""),45287.9986111111)</f>
        <v>45287.998611111099</v>
      </c>
      <c r="AT1503" s="6">
        <f ca="1">IFERROR(__xludf.DUMMYFUNCTION("""COMPUTED_VALUE"""),2093.1)</f>
        <v>2093.1</v>
      </c>
    </row>
    <row r="1504" spans="2:46" x14ac:dyDescent="0.35">
      <c r="B1504" s="6" t="str">
        <f t="shared" ca="1" si="414"/>
        <v>202312</v>
      </c>
      <c r="C1504" s="6">
        <f t="shared" ca="1" si="415"/>
        <v>2023</v>
      </c>
      <c r="D1504" s="6">
        <f t="shared" ca="1" si="416"/>
        <v>12</v>
      </c>
      <c r="E1504" s="68">
        <f ca="1">IFERROR(__xludf.DUMMYFUNCTION("""COMPUTED_VALUE"""),45280.6666666666)</f>
        <v>45280.666666666599</v>
      </c>
      <c r="F1504" s="6">
        <f ca="1">IFERROR(__xludf.DUMMYFUNCTION("""COMPUTED_VALUE"""),4698.35)</f>
        <v>4698.3500000000004</v>
      </c>
      <c r="J1504" s="6" t="str">
        <f t="shared" ca="1" si="417"/>
        <v>202312</v>
      </c>
      <c r="K1504" s="6">
        <f t="shared" ca="1" si="418"/>
        <v>2023</v>
      </c>
      <c r="L1504" s="6">
        <f t="shared" ca="1" si="419"/>
        <v>12</v>
      </c>
      <c r="M1504" s="68">
        <f ca="1">IFERROR(__xludf.DUMMYFUNCTION("""COMPUTED_VALUE"""),45272.6666666666)</f>
        <v>45272.666666666599</v>
      </c>
      <c r="N1504" s="6">
        <f ca="1">IFERROR(__xludf.DUMMYFUNCTION("""COMPUTED_VALUE"""),14533.4)</f>
        <v>14533.4</v>
      </c>
      <c r="R1504" s="6" t="str">
        <f t="shared" ca="1" si="420"/>
        <v>20242</v>
      </c>
      <c r="S1504" s="6">
        <f t="shared" ca="1" si="421"/>
        <v>2024</v>
      </c>
      <c r="T1504" s="6">
        <f t="shared" ca="1" si="422"/>
        <v>2</v>
      </c>
      <c r="U1504" s="68">
        <f ca="1">IFERROR(__xludf.DUMMYFUNCTION("""COMPUTED_VALUE"""),45335.6458333333)</f>
        <v>45335.645833333299</v>
      </c>
      <c r="V1504" s="6">
        <f ca="1">IFERROR(__xludf.DUMMYFUNCTION("""COMPUTED_VALUE"""),2649.64)</f>
        <v>2649.64</v>
      </c>
      <c r="Z1504" s="6" t="str">
        <f t="shared" ca="1" si="423"/>
        <v>20224</v>
      </c>
      <c r="AA1504" s="6">
        <f t="shared" ca="1" si="424"/>
        <v>2022</v>
      </c>
      <c r="AB1504" s="6">
        <f t="shared" ca="1" si="425"/>
        <v>4</v>
      </c>
      <c r="AC1504" s="68">
        <f ca="1">IFERROR(__xludf.DUMMYFUNCTION("""COMPUTED_VALUE"""),44653.9986111111)</f>
        <v>44653.998611111099</v>
      </c>
      <c r="AD1504" s="6">
        <f ca="1">IFERROR(__xludf.DUMMYFUNCTION("""COMPUTED_VALUE"""),1217.87)</f>
        <v>1217.8699999999999</v>
      </c>
      <c r="AH1504" s="6" t="str">
        <f t="shared" ca="1" si="426"/>
        <v>20222</v>
      </c>
      <c r="AI1504" s="6">
        <f t="shared" ca="1" si="427"/>
        <v>2022</v>
      </c>
      <c r="AJ1504" s="6">
        <f t="shared" ca="1" si="428"/>
        <v>2</v>
      </c>
      <c r="AK1504" s="68">
        <f ca="1">IFERROR(__xludf.DUMMYFUNCTION("""COMPUTED_VALUE"""),44597.9986111111)</f>
        <v>44597.998611111099</v>
      </c>
      <c r="AL1504" s="6">
        <f ca="1">IFERROR(__xludf.DUMMYFUNCTION("""COMPUTED_VALUE"""),41432.18)</f>
        <v>41432.18</v>
      </c>
      <c r="AP1504" s="6" t="str">
        <f t="shared" ca="1" si="429"/>
        <v>202312</v>
      </c>
      <c r="AQ1504" s="6">
        <f t="shared" ca="1" si="430"/>
        <v>2023</v>
      </c>
      <c r="AR1504" s="6">
        <f t="shared" ca="1" si="431"/>
        <v>12</v>
      </c>
      <c r="AS1504" s="68">
        <f ca="1">IFERROR(__xludf.DUMMYFUNCTION("""COMPUTED_VALUE"""),45288.9986111111)</f>
        <v>45288.998611111099</v>
      </c>
      <c r="AT1504" s="6">
        <f ca="1">IFERROR(__xludf.DUMMYFUNCTION("""COMPUTED_VALUE"""),2083.5)</f>
        <v>2083.5</v>
      </c>
    </row>
    <row r="1505" spans="2:46" x14ac:dyDescent="0.35">
      <c r="B1505" s="6" t="str">
        <f t="shared" ca="1" si="414"/>
        <v>202312</v>
      </c>
      <c r="C1505" s="6">
        <f t="shared" ca="1" si="415"/>
        <v>2023</v>
      </c>
      <c r="D1505" s="6">
        <f t="shared" ca="1" si="416"/>
        <v>12</v>
      </c>
      <c r="E1505" s="68">
        <f ca="1">IFERROR(__xludf.DUMMYFUNCTION("""COMPUTED_VALUE"""),45281.6666666666)</f>
        <v>45281.666666666599</v>
      </c>
      <c r="F1505" s="6">
        <f ca="1">IFERROR(__xludf.DUMMYFUNCTION("""COMPUTED_VALUE"""),4746.75)</f>
        <v>4746.75</v>
      </c>
      <c r="J1505" s="6" t="str">
        <f t="shared" ca="1" si="417"/>
        <v>202312</v>
      </c>
      <c r="K1505" s="6">
        <f t="shared" ca="1" si="418"/>
        <v>2023</v>
      </c>
      <c r="L1505" s="6">
        <f t="shared" ca="1" si="419"/>
        <v>12</v>
      </c>
      <c r="M1505" s="68">
        <f ca="1">IFERROR(__xludf.DUMMYFUNCTION("""COMPUTED_VALUE"""),45273.6666666666)</f>
        <v>45273.666666666599</v>
      </c>
      <c r="N1505" s="6">
        <f ca="1">IFERROR(__xludf.DUMMYFUNCTION("""COMPUTED_VALUE"""),14733.96)</f>
        <v>14733.96</v>
      </c>
      <c r="R1505" s="6" t="str">
        <f t="shared" ca="1" si="420"/>
        <v>20242</v>
      </c>
      <c r="S1505" s="6">
        <f t="shared" ca="1" si="421"/>
        <v>2024</v>
      </c>
      <c r="T1505" s="6">
        <f t="shared" ca="1" si="422"/>
        <v>2</v>
      </c>
      <c r="U1505" s="68">
        <f ca="1">IFERROR(__xludf.DUMMYFUNCTION("""COMPUTED_VALUE"""),45336.6458333333)</f>
        <v>45336.645833333299</v>
      </c>
      <c r="V1505" s="6">
        <f ca="1">IFERROR(__xludf.DUMMYFUNCTION("""COMPUTED_VALUE"""),2620.42)</f>
        <v>2620.42</v>
      </c>
      <c r="Z1505" s="6" t="str">
        <f t="shared" ca="1" si="423"/>
        <v>20224</v>
      </c>
      <c r="AA1505" s="6">
        <f t="shared" ca="1" si="424"/>
        <v>2022</v>
      </c>
      <c r="AB1505" s="6">
        <f t="shared" ca="1" si="425"/>
        <v>4</v>
      </c>
      <c r="AC1505" s="68">
        <f ca="1">IFERROR(__xludf.DUMMYFUNCTION("""COMPUTED_VALUE"""),44654.9986111111)</f>
        <v>44654.998611111099</v>
      </c>
      <c r="AD1505" s="6">
        <f ca="1">IFERROR(__xludf.DUMMYFUNCTION("""COMPUTED_VALUE"""),1218.78)</f>
        <v>1218.78</v>
      </c>
      <c r="AH1505" s="6" t="str">
        <f t="shared" ca="1" si="426"/>
        <v>20222</v>
      </c>
      <c r="AI1505" s="6">
        <f t="shared" ca="1" si="427"/>
        <v>2022</v>
      </c>
      <c r="AJ1505" s="6">
        <f t="shared" ca="1" si="428"/>
        <v>2</v>
      </c>
      <c r="AK1505" s="68">
        <f ca="1">IFERROR(__xludf.DUMMYFUNCTION("""COMPUTED_VALUE"""),44598.9986111111)</f>
        <v>44598.998611111099</v>
      </c>
      <c r="AL1505" s="6">
        <f ca="1">IFERROR(__xludf.DUMMYFUNCTION("""COMPUTED_VALUE"""),42397.85)</f>
        <v>42397.85</v>
      </c>
      <c r="AP1505" s="6" t="str">
        <f t="shared" ca="1" si="429"/>
        <v>202312</v>
      </c>
      <c r="AQ1505" s="6">
        <f t="shared" ca="1" si="430"/>
        <v>2023</v>
      </c>
      <c r="AR1505" s="6">
        <f t="shared" ca="1" si="431"/>
        <v>12</v>
      </c>
      <c r="AS1505" s="68">
        <f ca="1">IFERROR(__xludf.DUMMYFUNCTION("""COMPUTED_VALUE"""),45289.9986111111)</f>
        <v>45289.998611111099</v>
      </c>
      <c r="AT1505" s="6">
        <f ca="1">IFERROR(__xludf.DUMMYFUNCTION("""COMPUTED_VALUE"""),2071.8)</f>
        <v>2071.8000000000002</v>
      </c>
    </row>
    <row r="1506" spans="2:46" x14ac:dyDescent="0.35">
      <c r="B1506" s="6" t="str">
        <f t="shared" ca="1" si="414"/>
        <v>202312</v>
      </c>
      <c r="C1506" s="6">
        <f t="shared" ca="1" si="415"/>
        <v>2023</v>
      </c>
      <c r="D1506" s="6">
        <f t="shared" ca="1" si="416"/>
        <v>12</v>
      </c>
      <c r="E1506" s="68">
        <f ca="1">IFERROR(__xludf.DUMMYFUNCTION("""COMPUTED_VALUE"""),45282.6666666666)</f>
        <v>45282.666666666599</v>
      </c>
      <c r="F1506" s="6">
        <f ca="1">IFERROR(__xludf.DUMMYFUNCTION("""COMPUTED_VALUE"""),4754.63)</f>
        <v>4754.63</v>
      </c>
      <c r="J1506" s="6" t="str">
        <f t="shared" ca="1" si="417"/>
        <v>202312</v>
      </c>
      <c r="K1506" s="6">
        <f t="shared" ca="1" si="418"/>
        <v>2023</v>
      </c>
      <c r="L1506" s="6">
        <f t="shared" ca="1" si="419"/>
        <v>12</v>
      </c>
      <c r="M1506" s="68">
        <f ca="1">IFERROR(__xludf.DUMMYFUNCTION("""COMPUTED_VALUE"""),45274.6666666666)</f>
        <v>45274.666666666599</v>
      </c>
      <c r="N1506" s="6">
        <f ca="1">IFERROR(__xludf.DUMMYFUNCTION("""COMPUTED_VALUE"""),14761.56)</f>
        <v>14761.56</v>
      </c>
      <c r="R1506" s="6" t="str">
        <f t="shared" ca="1" si="420"/>
        <v>20242</v>
      </c>
      <c r="S1506" s="6">
        <f t="shared" ca="1" si="421"/>
        <v>2024</v>
      </c>
      <c r="T1506" s="6">
        <f t="shared" ca="1" si="422"/>
        <v>2</v>
      </c>
      <c r="U1506" s="68">
        <f ca="1">IFERROR(__xludf.DUMMYFUNCTION("""COMPUTED_VALUE"""),45337.6458333333)</f>
        <v>45337.645833333299</v>
      </c>
      <c r="V1506" s="6">
        <f ca="1">IFERROR(__xludf.DUMMYFUNCTION("""COMPUTED_VALUE"""),2613.8)</f>
        <v>2613.8000000000002</v>
      </c>
      <c r="Z1506" s="6" t="str">
        <f t="shared" ca="1" si="423"/>
        <v>20224</v>
      </c>
      <c r="AA1506" s="6">
        <f t="shared" ca="1" si="424"/>
        <v>2022</v>
      </c>
      <c r="AB1506" s="6">
        <f t="shared" ca="1" si="425"/>
        <v>4</v>
      </c>
      <c r="AC1506" s="68">
        <f ca="1">IFERROR(__xludf.DUMMYFUNCTION("""COMPUTED_VALUE"""),44655.9986111111)</f>
        <v>44655.998611111099</v>
      </c>
      <c r="AD1506" s="6">
        <f ca="1">IFERROR(__xludf.DUMMYFUNCTION("""COMPUTED_VALUE"""),1213.9)</f>
        <v>1213.9000000000001</v>
      </c>
      <c r="AH1506" s="6" t="str">
        <f t="shared" ca="1" si="426"/>
        <v>20222</v>
      </c>
      <c r="AI1506" s="6">
        <f t="shared" ca="1" si="427"/>
        <v>2022</v>
      </c>
      <c r="AJ1506" s="6">
        <f t="shared" ca="1" si="428"/>
        <v>2</v>
      </c>
      <c r="AK1506" s="68">
        <f ca="1">IFERROR(__xludf.DUMMYFUNCTION("""COMPUTED_VALUE"""),44599.9986111111)</f>
        <v>44599.998611111099</v>
      </c>
      <c r="AL1506" s="6">
        <f ca="1">IFERROR(__xludf.DUMMYFUNCTION("""COMPUTED_VALUE"""),43853.76)</f>
        <v>43853.760000000002</v>
      </c>
      <c r="AP1506" s="6" t="str">
        <f t="shared" ca="1" si="429"/>
        <v>20241</v>
      </c>
      <c r="AQ1506" s="6">
        <f t="shared" ca="1" si="430"/>
        <v>2024</v>
      </c>
      <c r="AR1506" s="6">
        <f t="shared" ca="1" si="431"/>
        <v>1</v>
      </c>
      <c r="AS1506" s="68">
        <f ca="1">IFERROR(__xludf.DUMMYFUNCTION("""COMPUTED_VALUE"""),45293.9986111111)</f>
        <v>45293.998611111099</v>
      </c>
      <c r="AT1506" s="6">
        <f ca="1">IFERROR(__xludf.DUMMYFUNCTION("""COMPUTED_VALUE"""),2073.4)</f>
        <v>2073.4</v>
      </c>
    </row>
    <row r="1507" spans="2:46" x14ac:dyDescent="0.35">
      <c r="B1507" s="6" t="str">
        <f t="shared" ca="1" si="414"/>
        <v>202312</v>
      </c>
      <c r="C1507" s="6">
        <f t="shared" ca="1" si="415"/>
        <v>2023</v>
      </c>
      <c r="D1507" s="6">
        <f t="shared" ca="1" si="416"/>
        <v>12</v>
      </c>
      <c r="E1507" s="68">
        <f ca="1">IFERROR(__xludf.DUMMYFUNCTION("""COMPUTED_VALUE"""),45286.6666666666)</f>
        <v>45286.666666666599</v>
      </c>
      <c r="F1507" s="6">
        <f ca="1">IFERROR(__xludf.DUMMYFUNCTION("""COMPUTED_VALUE"""),4774.75)</f>
        <v>4774.75</v>
      </c>
      <c r="J1507" s="6" t="str">
        <f t="shared" ca="1" si="417"/>
        <v>202312</v>
      </c>
      <c r="K1507" s="6">
        <f t="shared" ca="1" si="418"/>
        <v>2023</v>
      </c>
      <c r="L1507" s="6">
        <f t="shared" ca="1" si="419"/>
        <v>12</v>
      </c>
      <c r="M1507" s="68">
        <f ca="1">IFERROR(__xludf.DUMMYFUNCTION("""COMPUTED_VALUE"""),45275.6666666666)</f>
        <v>45275.666666666599</v>
      </c>
      <c r="N1507" s="6">
        <f ca="1">IFERROR(__xludf.DUMMYFUNCTION("""COMPUTED_VALUE"""),14813.92)</f>
        <v>14813.92</v>
      </c>
      <c r="R1507" s="6" t="str">
        <f t="shared" ca="1" si="420"/>
        <v>20242</v>
      </c>
      <c r="S1507" s="6">
        <f t="shared" ca="1" si="421"/>
        <v>2024</v>
      </c>
      <c r="T1507" s="6">
        <f t="shared" ca="1" si="422"/>
        <v>2</v>
      </c>
      <c r="U1507" s="68">
        <f ca="1">IFERROR(__xludf.DUMMYFUNCTION("""COMPUTED_VALUE"""),45338.6458333333)</f>
        <v>45338.645833333299</v>
      </c>
      <c r="V1507" s="6">
        <f ca="1">IFERROR(__xludf.DUMMYFUNCTION("""COMPUTED_VALUE"""),2648.76)</f>
        <v>2648.76</v>
      </c>
      <c r="Z1507" s="6" t="str">
        <f t="shared" ca="1" si="423"/>
        <v>20224</v>
      </c>
      <c r="AA1507" s="6">
        <f t="shared" ca="1" si="424"/>
        <v>2022</v>
      </c>
      <c r="AB1507" s="6">
        <f t="shared" ca="1" si="425"/>
        <v>4</v>
      </c>
      <c r="AC1507" s="68">
        <f ca="1">IFERROR(__xludf.DUMMYFUNCTION("""COMPUTED_VALUE"""),44656.9986111111)</f>
        <v>44656.998611111099</v>
      </c>
      <c r="AD1507" s="6">
        <f ca="1">IFERROR(__xludf.DUMMYFUNCTION("""COMPUTED_VALUE"""),1218.75)</f>
        <v>1218.75</v>
      </c>
      <c r="AH1507" s="6" t="str">
        <f t="shared" ca="1" si="426"/>
        <v>20222</v>
      </c>
      <c r="AI1507" s="6">
        <f t="shared" ca="1" si="427"/>
        <v>2022</v>
      </c>
      <c r="AJ1507" s="6">
        <f t="shared" ca="1" si="428"/>
        <v>2</v>
      </c>
      <c r="AK1507" s="68">
        <f ca="1">IFERROR(__xludf.DUMMYFUNCTION("""COMPUTED_VALUE"""),44600.9986111111)</f>
        <v>44600.998611111099</v>
      </c>
      <c r="AL1507" s="6">
        <f ca="1">IFERROR(__xludf.DUMMYFUNCTION("""COMPUTED_VALUE"""),44064.49)</f>
        <v>44064.49</v>
      </c>
      <c r="AP1507" s="6" t="str">
        <f t="shared" ca="1" si="429"/>
        <v>20241</v>
      </c>
      <c r="AQ1507" s="6">
        <f t="shared" ca="1" si="430"/>
        <v>2024</v>
      </c>
      <c r="AR1507" s="6">
        <f t="shared" ca="1" si="431"/>
        <v>1</v>
      </c>
      <c r="AS1507" s="68">
        <f ca="1">IFERROR(__xludf.DUMMYFUNCTION("""COMPUTED_VALUE"""),45294.9986111111)</f>
        <v>45294.998611111099</v>
      </c>
      <c r="AT1507" s="6">
        <f ca="1">IFERROR(__xludf.DUMMYFUNCTION("""COMPUTED_VALUE"""),2042.8)</f>
        <v>2042.8</v>
      </c>
    </row>
    <row r="1508" spans="2:46" x14ac:dyDescent="0.35">
      <c r="B1508" s="6" t="str">
        <f t="shared" ca="1" si="414"/>
        <v>202312</v>
      </c>
      <c r="C1508" s="6">
        <f t="shared" ca="1" si="415"/>
        <v>2023</v>
      </c>
      <c r="D1508" s="6">
        <f t="shared" ca="1" si="416"/>
        <v>12</v>
      </c>
      <c r="E1508" s="68">
        <f ca="1">IFERROR(__xludf.DUMMYFUNCTION("""COMPUTED_VALUE"""),45287.6666666666)</f>
        <v>45287.666666666599</v>
      </c>
      <c r="F1508" s="6">
        <f ca="1">IFERROR(__xludf.DUMMYFUNCTION("""COMPUTED_VALUE"""),4781.58)</f>
        <v>4781.58</v>
      </c>
      <c r="J1508" s="6" t="str">
        <f t="shared" ca="1" si="417"/>
        <v>202312</v>
      </c>
      <c r="K1508" s="6">
        <f t="shared" ca="1" si="418"/>
        <v>2023</v>
      </c>
      <c r="L1508" s="6">
        <f t="shared" ca="1" si="419"/>
        <v>12</v>
      </c>
      <c r="M1508" s="68">
        <f ca="1">IFERROR(__xludf.DUMMYFUNCTION("""COMPUTED_VALUE"""),45278.6666666666)</f>
        <v>45278.666666666599</v>
      </c>
      <c r="N1508" s="6">
        <f ca="1">IFERROR(__xludf.DUMMYFUNCTION("""COMPUTED_VALUE"""),14905.19)</f>
        <v>14905.19</v>
      </c>
      <c r="R1508" s="6" t="str">
        <f t="shared" ca="1" si="420"/>
        <v>20242</v>
      </c>
      <c r="S1508" s="6">
        <f t="shared" ca="1" si="421"/>
        <v>2024</v>
      </c>
      <c r="T1508" s="6">
        <f t="shared" ca="1" si="422"/>
        <v>2</v>
      </c>
      <c r="U1508" s="68">
        <f ca="1">IFERROR(__xludf.DUMMYFUNCTION("""COMPUTED_VALUE"""),45341.6458333333)</f>
        <v>45341.645833333299</v>
      </c>
      <c r="V1508" s="6">
        <f ca="1">IFERROR(__xludf.DUMMYFUNCTION("""COMPUTED_VALUE"""),2680.26)</f>
        <v>2680.26</v>
      </c>
      <c r="Z1508" s="6" t="str">
        <f t="shared" ca="1" si="423"/>
        <v>20224</v>
      </c>
      <c r="AA1508" s="6">
        <f t="shared" ca="1" si="424"/>
        <v>2022</v>
      </c>
      <c r="AB1508" s="6">
        <f t="shared" ca="1" si="425"/>
        <v>4</v>
      </c>
      <c r="AC1508" s="68">
        <f ca="1">IFERROR(__xludf.DUMMYFUNCTION("""COMPUTED_VALUE"""),44657.9986111111)</f>
        <v>44657.998611111099</v>
      </c>
      <c r="AD1508" s="6">
        <f ca="1">IFERROR(__xludf.DUMMYFUNCTION("""COMPUTED_VALUE"""),1217.6)</f>
        <v>1217.5999999999999</v>
      </c>
      <c r="AH1508" s="6" t="str">
        <f t="shared" ca="1" si="426"/>
        <v>20222</v>
      </c>
      <c r="AI1508" s="6">
        <f t="shared" ca="1" si="427"/>
        <v>2022</v>
      </c>
      <c r="AJ1508" s="6">
        <f t="shared" ca="1" si="428"/>
        <v>2</v>
      </c>
      <c r="AK1508" s="68">
        <f ca="1">IFERROR(__xludf.DUMMYFUNCTION("""COMPUTED_VALUE"""),44601.9986111111)</f>
        <v>44601.998611111099</v>
      </c>
      <c r="AL1508" s="6">
        <f ca="1">IFERROR(__xludf.DUMMYFUNCTION("""COMPUTED_VALUE"""),44404.75)</f>
        <v>44404.75</v>
      </c>
      <c r="AP1508" s="6" t="str">
        <f t="shared" ca="1" si="429"/>
        <v>20241</v>
      </c>
      <c r="AQ1508" s="6">
        <f t="shared" ca="1" si="430"/>
        <v>2024</v>
      </c>
      <c r="AR1508" s="6">
        <f t="shared" ca="1" si="431"/>
        <v>1</v>
      </c>
      <c r="AS1508" s="68">
        <f ca="1">IFERROR(__xludf.DUMMYFUNCTION("""COMPUTED_VALUE"""),45295.9986111111)</f>
        <v>45295.998611111099</v>
      </c>
      <c r="AT1508" s="6">
        <f ca="1">IFERROR(__xludf.DUMMYFUNCTION("""COMPUTED_VALUE"""),2050)</f>
        <v>2050</v>
      </c>
    </row>
    <row r="1509" spans="2:46" x14ac:dyDescent="0.35">
      <c r="B1509" s="6" t="str">
        <f t="shared" ca="1" si="414"/>
        <v>202312</v>
      </c>
      <c r="C1509" s="6">
        <f t="shared" ca="1" si="415"/>
        <v>2023</v>
      </c>
      <c r="D1509" s="6">
        <f t="shared" ca="1" si="416"/>
        <v>12</v>
      </c>
      <c r="E1509" s="68">
        <f ca="1">IFERROR(__xludf.DUMMYFUNCTION("""COMPUTED_VALUE"""),45288.6666666666)</f>
        <v>45288.666666666599</v>
      </c>
      <c r="F1509" s="6">
        <f ca="1">IFERROR(__xludf.DUMMYFUNCTION("""COMPUTED_VALUE"""),4783.35)</f>
        <v>4783.3500000000004</v>
      </c>
      <c r="J1509" s="6" t="str">
        <f t="shared" ca="1" si="417"/>
        <v>202312</v>
      </c>
      <c r="K1509" s="6">
        <f t="shared" ca="1" si="418"/>
        <v>2023</v>
      </c>
      <c r="L1509" s="6">
        <f t="shared" ca="1" si="419"/>
        <v>12</v>
      </c>
      <c r="M1509" s="68">
        <f ca="1">IFERROR(__xludf.DUMMYFUNCTION("""COMPUTED_VALUE"""),45279.6666666666)</f>
        <v>45279.666666666599</v>
      </c>
      <c r="N1509" s="6">
        <f ca="1">IFERROR(__xludf.DUMMYFUNCTION("""COMPUTED_VALUE"""),15003.22)</f>
        <v>15003.22</v>
      </c>
      <c r="R1509" s="6" t="str">
        <f t="shared" ca="1" si="420"/>
        <v>20242</v>
      </c>
      <c r="S1509" s="6">
        <f t="shared" ca="1" si="421"/>
        <v>2024</v>
      </c>
      <c r="T1509" s="6">
        <f t="shared" ca="1" si="422"/>
        <v>2</v>
      </c>
      <c r="U1509" s="68">
        <f ca="1">IFERROR(__xludf.DUMMYFUNCTION("""COMPUTED_VALUE"""),45342.6458333333)</f>
        <v>45342.645833333299</v>
      </c>
      <c r="V1509" s="6">
        <f ca="1">IFERROR(__xludf.DUMMYFUNCTION("""COMPUTED_VALUE"""),2657.79)</f>
        <v>2657.79</v>
      </c>
      <c r="Z1509" s="6" t="str">
        <f t="shared" ca="1" si="423"/>
        <v>20224</v>
      </c>
      <c r="AA1509" s="6">
        <f t="shared" ca="1" si="424"/>
        <v>2022</v>
      </c>
      <c r="AB1509" s="6">
        <f t="shared" ca="1" si="425"/>
        <v>4</v>
      </c>
      <c r="AC1509" s="68">
        <f ca="1">IFERROR(__xludf.DUMMYFUNCTION("""COMPUTED_VALUE"""),44658.9986111111)</f>
        <v>44658.998611111099</v>
      </c>
      <c r="AD1509" s="6">
        <f ca="1">IFERROR(__xludf.DUMMYFUNCTION("""COMPUTED_VALUE"""),1222.66)</f>
        <v>1222.6600000000001</v>
      </c>
      <c r="AH1509" s="6" t="str">
        <f t="shared" ca="1" si="426"/>
        <v>20222</v>
      </c>
      <c r="AI1509" s="6">
        <f t="shared" ca="1" si="427"/>
        <v>2022</v>
      </c>
      <c r="AJ1509" s="6">
        <f t="shared" ca="1" si="428"/>
        <v>2</v>
      </c>
      <c r="AK1509" s="68">
        <f ca="1">IFERROR(__xludf.DUMMYFUNCTION("""COMPUTED_VALUE"""),44602.9986111111)</f>
        <v>44602.998611111099</v>
      </c>
      <c r="AL1509" s="6">
        <f ca="1">IFERROR(__xludf.DUMMYFUNCTION("""COMPUTED_VALUE"""),43517.06)</f>
        <v>43517.06</v>
      </c>
      <c r="AP1509" s="6" t="str">
        <f t="shared" ca="1" si="429"/>
        <v>20241</v>
      </c>
      <c r="AQ1509" s="6">
        <f t="shared" ca="1" si="430"/>
        <v>2024</v>
      </c>
      <c r="AR1509" s="6">
        <f t="shared" ca="1" si="431"/>
        <v>1</v>
      </c>
      <c r="AS1509" s="68">
        <f ca="1">IFERROR(__xludf.DUMMYFUNCTION("""COMPUTED_VALUE"""),45296.9986111111)</f>
        <v>45296.998611111099</v>
      </c>
      <c r="AT1509" s="6">
        <f ca="1">IFERROR(__xludf.DUMMYFUNCTION("""COMPUTED_VALUE"""),2049.8)</f>
        <v>2049.8000000000002</v>
      </c>
    </row>
    <row r="1510" spans="2:46" x14ac:dyDescent="0.35">
      <c r="B1510" s="6" t="str">
        <f t="shared" ca="1" si="414"/>
        <v>202312</v>
      </c>
      <c r="C1510" s="6">
        <f t="shared" ca="1" si="415"/>
        <v>2023</v>
      </c>
      <c r="D1510" s="6">
        <f t="shared" ca="1" si="416"/>
        <v>12</v>
      </c>
      <c r="E1510" s="68">
        <f ca="1">IFERROR(__xludf.DUMMYFUNCTION("""COMPUTED_VALUE"""),45289.6666666666)</f>
        <v>45289.666666666599</v>
      </c>
      <c r="F1510" s="6">
        <f ca="1">IFERROR(__xludf.DUMMYFUNCTION("""COMPUTED_VALUE"""),4769.83)</f>
        <v>4769.83</v>
      </c>
      <c r="J1510" s="6" t="str">
        <f t="shared" ca="1" si="417"/>
        <v>202312</v>
      </c>
      <c r="K1510" s="6">
        <f t="shared" ca="1" si="418"/>
        <v>2023</v>
      </c>
      <c r="L1510" s="6">
        <f t="shared" ca="1" si="419"/>
        <v>12</v>
      </c>
      <c r="M1510" s="68">
        <f ca="1">IFERROR(__xludf.DUMMYFUNCTION("""COMPUTED_VALUE"""),45280.6666666666)</f>
        <v>45280.666666666599</v>
      </c>
      <c r="N1510" s="6">
        <f ca="1">IFERROR(__xludf.DUMMYFUNCTION("""COMPUTED_VALUE"""),14777.94)</f>
        <v>14777.94</v>
      </c>
      <c r="R1510" s="6" t="str">
        <f t="shared" ca="1" si="420"/>
        <v>20242</v>
      </c>
      <c r="S1510" s="6">
        <f t="shared" ca="1" si="421"/>
        <v>2024</v>
      </c>
      <c r="T1510" s="6">
        <f t="shared" ca="1" si="422"/>
        <v>2</v>
      </c>
      <c r="U1510" s="68">
        <f ca="1">IFERROR(__xludf.DUMMYFUNCTION("""COMPUTED_VALUE"""),45343.6458333333)</f>
        <v>45343.645833333299</v>
      </c>
      <c r="V1510" s="6">
        <f ca="1">IFERROR(__xludf.DUMMYFUNCTION("""COMPUTED_VALUE"""),2653.31)</f>
        <v>2653.31</v>
      </c>
      <c r="Z1510" s="6" t="str">
        <f t="shared" ca="1" si="423"/>
        <v>20224</v>
      </c>
      <c r="AA1510" s="6">
        <f t="shared" ca="1" si="424"/>
        <v>2022</v>
      </c>
      <c r="AB1510" s="6">
        <f t="shared" ca="1" si="425"/>
        <v>4</v>
      </c>
      <c r="AC1510" s="68">
        <f ca="1">IFERROR(__xludf.DUMMYFUNCTION("""COMPUTED_VALUE"""),44659.9986111111)</f>
        <v>44659.998611111099</v>
      </c>
      <c r="AD1510" s="6">
        <f ca="1">IFERROR(__xludf.DUMMYFUNCTION("""COMPUTED_VALUE"""),1228.93)</f>
        <v>1228.93</v>
      </c>
      <c r="AH1510" s="6" t="str">
        <f t="shared" ca="1" si="426"/>
        <v>20222</v>
      </c>
      <c r="AI1510" s="6">
        <f t="shared" ca="1" si="427"/>
        <v>2022</v>
      </c>
      <c r="AJ1510" s="6">
        <f t="shared" ca="1" si="428"/>
        <v>2</v>
      </c>
      <c r="AK1510" s="68">
        <f ca="1">IFERROR(__xludf.DUMMYFUNCTION("""COMPUTED_VALUE"""),44603.9986111111)</f>
        <v>44603.998611111099</v>
      </c>
      <c r="AL1510" s="6">
        <f ca="1">IFERROR(__xludf.DUMMYFUNCTION("""COMPUTED_VALUE"""),42391.13)</f>
        <v>42391.13</v>
      </c>
      <c r="AP1510" s="6" t="str">
        <f t="shared" ca="1" si="429"/>
        <v>20241</v>
      </c>
      <c r="AQ1510" s="6">
        <f t="shared" ca="1" si="430"/>
        <v>2024</v>
      </c>
      <c r="AR1510" s="6">
        <f t="shared" ca="1" si="431"/>
        <v>1</v>
      </c>
      <c r="AS1510" s="68">
        <f ca="1">IFERROR(__xludf.DUMMYFUNCTION("""COMPUTED_VALUE"""),45299.9986111111)</f>
        <v>45299.998611111099</v>
      </c>
      <c r="AT1510" s="6">
        <f ca="1">IFERROR(__xludf.DUMMYFUNCTION("""COMPUTED_VALUE"""),2033.5)</f>
        <v>2033.5</v>
      </c>
    </row>
    <row r="1511" spans="2:46" x14ac:dyDescent="0.35">
      <c r="B1511" s="6" t="str">
        <f t="shared" ca="1" si="414"/>
        <v>20241</v>
      </c>
      <c r="C1511" s="6">
        <f t="shared" ca="1" si="415"/>
        <v>2024</v>
      </c>
      <c r="D1511" s="6">
        <f t="shared" ca="1" si="416"/>
        <v>1</v>
      </c>
      <c r="E1511" s="68">
        <f ca="1">IFERROR(__xludf.DUMMYFUNCTION("""COMPUTED_VALUE"""),45293.6666666666)</f>
        <v>45293.666666666599</v>
      </c>
      <c r="F1511" s="6">
        <f ca="1">IFERROR(__xludf.DUMMYFUNCTION("""COMPUTED_VALUE"""),4742.83)</f>
        <v>4742.83</v>
      </c>
      <c r="J1511" s="6" t="str">
        <f t="shared" ca="1" si="417"/>
        <v>202312</v>
      </c>
      <c r="K1511" s="6">
        <f t="shared" ca="1" si="418"/>
        <v>2023</v>
      </c>
      <c r="L1511" s="6">
        <f t="shared" ca="1" si="419"/>
        <v>12</v>
      </c>
      <c r="M1511" s="68">
        <f ca="1">IFERROR(__xludf.DUMMYFUNCTION("""COMPUTED_VALUE"""),45281.6666666666)</f>
        <v>45281.666666666599</v>
      </c>
      <c r="N1511" s="6">
        <f ca="1">IFERROR(__xludf.DUMMYFUNCTION("""COMPUTED_VALUE"""),14963.87)</f>
        <v>14963.87</v>
      </c>
      <c r="R1511" s="6" t="str">
        <f t="shared" ca="1" si="420"/>
        <v>20242</v>
      </c>
      <c r="S1511" s="6">
        <f t="shared" ca="1" si="421"/>
        <v>2024</v>
      </c>
      <c r="T1511" s="6">
        <f t="shared" ca="1" si="422"/>
        <v>2</v>
      </c>
      <c r="U1511" s="68">
        <f ca="1">IFERROR(__xludf.DUMMYFUNCTION("""COMPUTED_VALUE"""),45344.6458333333)</f>
        <v>45344.645833333299</v>
      </c>
      <c r="V1511" s="6">
        <f ca="1">IFERROR(__xludf.DUMMYFUNCTION("""COMPUTED_VALUE"""),2664.27)</f>
        <v>2664.27</v>
      </c>
      <c r="Z1511" s="6" t="str">
        <f t="shared" ca="1" si="423"/>
        <v>20224</v>
      </c>
      <c r="AA1511" s="6">
        <f t="shared" ca="1" si="424"/>
        <v>2022</v>
      </c>
      <c r="AB1511" s="6">
        <f t="shared" ca="1" si="425"/>
        <v>4</v>
      </c>
      <c r="AC1511" s="68">
        <f ca="1">IFERROR(__xludf.DUMMYFUNCTION("""COMPUTED_VALUE"""),44660.9986111111)</f>
        <v>44660.998611111099</v>
      </c>
      <c r="AD1511" s="6">
        <f ca="1">IFERROR(__xludf.DUMMYFUNCTION("""COMPUTED_VALUE"""),1228.93)</f>
        <v>1228.93</v>
      </c>
      <c r="AH1511" s="6" t="str">
        <f t="shared" ca="1" si="426"/>
        <v>20222</v>
      </c>
      <c r="AI1511" s="6">
        <f t="shared" ca="1" si="427"/>
        <v>2022</v>
      </c>
      <c r="AJ1511" s="6">
        <f t="shared" ca="1" si="428"/>
        <v>2</v>
      </c>
      <c r="AK1511" s="68">
        <f ca="1">IFERROR(__xludf.DUMMYFUNCTION("""COMPUTED_VALUE"""),44604.9986111111)</f>
        <v>44604.998611111099</v>
      </c>
      <c r="AL1511" s="6">
        <f ca="1">IFERROR(__xludf.DUMMYFUNCTION("""COMPUTED_VALUE"""),42222.13)</f>
        <v>42222.13</v>
      </c>
      <c r="AP1511" s="6" t="str">
        <f t="shared" ca="1" si="429"/>
        <v>20241</v>
      </c>
      <c r="AQ1511" s="6">
        <f t="shared" ca="1" si="430"/>
        <v>2024</v>
      </c>
      <c r="AR1511" s="6">
        <f t="shared" ca="1" si="431"/>
        <v>1</v>
      </c>
      <c r="AS1511" s="68">
        <f ca="1">IFERROR(__xludf.DUMMYFUNCTION("""COMPUTED_VALUE"""),45300.9986111111)</f>
        <v>45300.998611111099</v>
      </c>
      <c r="AT1511" s="6">
        <f ca="1">IFERROR(__xludf.DUMMYFUNCTION("""COMPUTED_VALUE"""),2033)</f>
        <v>2033</v>
      </c>
    </row>
    <row r="1512" spans="2:46" x14ac:dyDescent="0.35">
      <c r="B1512" s="6" t="str">
        <f t="shared" ca="1" si="414"/>
        <v>20241</v>
      </c>
      <c r="C1512" s="6">
        <f t="shared" ca="1" si="415"/>
        <v>2024</v>
      </c>
      <c r="D1512" s="6">
        <f t="shared" ca="1" si="416"/>
        <v>1</v>
      </c>
      <c r="E1512" s="68">
        <f ca="1">IFERROR(__xludf.DUMMYFUNCTION("""COMPUTED_VALUE"""),45294.6666666666)</f>
        <v>45294.666666666599</v>
      </c>
      <c r="F1512" s="6">
        <f ca="1">IFERROR(__xludf.DUMMYFUNCTION("""COMPUTED_VALUE"""),4704.81)</f>
        <v>4704.8100000000004</v>
      </c>
      <c r="J1512" s="6" t="str">
        <f t="shared" ca="1" si="417"/>
        <v>202312</v>
      </c>
      <c r="K1512" s="6">
        <f t="shared" ca="1" si="418"/>
        <v>2023</v>
      </c>
      <c r="L1512" s="6">
        <f t="shared" ca="1" si="419"/>
        <v>12</v>
      </c>
      <c r="M1512" s="68">
        <f ca="1">IFERROR(__xludf.DUMMYFUNCTION("""COMPUTED_VALUE"""),45282.6666666666)</f>
        <v>45282.666666666599</v>
      </c>
      <c r="N1512" s="6">
        <f ca="1">IFERROR(__xludf.DUMMYFUNCTION("""COMPUTED_VALUE"""),14992.97)</f>
        <v>14992.97</v>
      </c>
      <c r="R1512" s="6" t="str">
        <f t="shared" ca="1" si="420"/>
        <v>20242</v>
      </c>
      <c r="S1512" s="6">
        <f t="shared" ca="1" si="421"/>
        <v>2024</v>
      </c>
      <c r="T1512" s="6">
        <f t="shared" ca="1" si="422"/>
        <v>2</v>
      </c>
      <c r="U1512" s="68">
        <f ca="1">IFERROR(__xludf.DUMMYFUNCTION("""COMPUTED_VALUE"""),45345.6458333333)</f>
        <v>45345.645833333299</v>
      </c>
      <c r="V1512" s="6">
        <f ca="1">IFERROR(__xludf.DUMMYFUNCTION("""COMPUTED_VALUE"""),2667.7)</f>
        <v>2667.7</v>
      </c>
      <c r="Z1512" s="6" t="str">
        <f t="shared" ca="1" si="423"/>
        <v>20224</v>
      </c>
      <c r="AA1512" s="6">
        <f t="shared" ca="1" si="424"/>
        <v>2022</v>
      </c>
      <c r="AB1512" s="6">
        <f t="shared" ca="1" si="425"/>
        <v>4</v>
      </c>
      <c r="AC1512" s="68">
        <f ca="1">IFERROR(__xludf.DUMMYFUNCTION("""COMPUTED_VALUE"""),44661.9986111111)</f>
        <v>44661.998611111099</v>
      </c>
      <c r="AD1512" s="6">
        <f ca="1">IFERROR(__xludf.DUMMYFUNCTION("""COMPUTED_VALUE"""),1228.24)</f>
        <v>1228.24</v>
      </c>
      <c r="AH1512" s="6" t="str">
        <f t="shared" ca="1" si="426"/>
        <v>20222</v>
      </c>
      <c r="AI1512" s="6">
        <f t="shared" ca="1" si="427"/>
        <v>2022</v>
      </c>
      <c r="AJ1512" s="6">
        <f t="shared" ca="1" si="428"/>
        <v>2</v>
      </c>
      <c r="AK1512" s="68">
        <f ca="1">IFERROR(__xludf.DUMMYFUNCTION("""COMPUTED_VALUE"""),44605.9986111111)</f>
        <v>44605.998611111099</v>
      </c>
      <c r="AL1512" s="6">
        <f ca="1">IFERROR(__xludf.DUMMYFUNCTION("""COMPUTED_VALUE"""),42053.36)</f>
        <v>42053.36</v>
      </c>
      <c r="AP1512" s="6" t="str">
        <f t="shared" ca="1" si="429"/>
        <v>20241</v>
      </c>
      <c r="AQ1512" s="6">
        <f t="shared" ca="1" si="430"/>
        <v>2024</v>
      </c>
      <c r="AR1512" s="6">
        <f t="shared" ca="1" si="431"/>
        <v>1</v>
      </c>
      <c r="AS1512" s="68">
        <f ca="1">IFERROR(__xludf.DUMMYFUNCTION("""COMPUTED_VALUE"""),45301.9986111111)</f>
        <v>45301.998611111099</v>
      </c>
      <c r="AT1512" s="6">
        <f ca="1">IFERROR(__xludf.DUMMYFUNCTION("""COMPUTED_VALUE"""),2027.8)</f>
        <v>2027.8</v>
      </c>
    </row>
    <row r="1513" spans="2:46" x14ac:dyDescent="0.35">
      <c r="B1513" s="6" t="str">
        <f t="shared" ca="1" si="414"/>
        <v>20241</v>
      </c>
      <c r="C1513" s="6">
        <f t="shared" ca="1" si="415"/>
        <v>2024</v>
      </c>
      <c r="D1513" s="6">
        <f t="shared" ca="1" si="416"/>
        <v>1</v>
      </c>
      <c r="E1513" s="68">
        <f ca="1">IFERROR(__xludf.DUMMYFUNCTION("""COMPUTED_VALUE"""),45295.6666666666)</f>
        <v>45295.666666666599</v>
      </c>
      <c r="F1513" s="6">
        <f ca="1">IFERROR(__xludf.DUMMYFUNCTION("""COMPUTED_VALUE"""),4688.68)</f>
        <v>4688.68</v>
      </c>
      <c r="J1513" s="6" t="str">
        <f t="shared" ca="1" si="417"/>
        <v>202312</v>
      </c>
      <c r="K1513" s="6">
        <f t="shared" ca="1" si="418"/>
        <v>2023</v>
      </c>
      <c r="L1513" s="6">
        <f t="shared" ca="1" si="419"/>
        <v>12</v>
      </c>
      <c r="M1513" s="68">
        <f ca="1">IFERROR(__xludf.DUMMYFUNCTION("""COMPUTED_VALUE"""),45286.6666666666)</f>
        <v>45286.666666666599</v>
      </c>
      <c r="N1513" s="6">
        <f ca="1">IFERROR(__xludf.DUMMYFUNCTION("""COMPUTED_VALUE"""),15074.57)</f>
        <v>15074.57</v>
      </c>
      <c r="R1513" s="6" t="str">
        <f t="shared" ca="1" si="420"/>
        <v>20242</v>
      </c>
      <c r="S1513" s="6">
        <f t="shared" ca="1" si="421"/>
        <v>2024</v>
      </c>
      <c r="T1513" s="6">
        <f t="shared" ca="1" si="422"/>
        <v>2</v>
      </c>
      <c r="U1513" s="68">
        <f ca="1">IFERROR(__xludf.DUMMYFUNCTION("""COMPUTED_VALUE"""),45348.6458333333)</f>
        <v>45348.645833333299</v>
      </c>
      <c r="V1513" s="6">
        <f ca="1">IFERROR(__xludf.DUMMYFUNCTION("""COMPUTED_VALUE"""),2647.08)</f>
        <v>2647.08</v>
      </c>
      <c r="Z1513" s="6" t="str">
        <f t="shared" ca="1" si="423"/>
        <v>20224</v>
      </c>
      <c r="AA1513" s="6">
        <f t="shared" ca="1" si="424"/>
        <v>2022</v>
      </c>
      <c r="AB1513" s="6">
        <f t="shared" ca="1" si="425"/>
        <v>4</v>
      </c>
      <c r="AC1513" s="68">
        <f ca="1">IFERROR(__xludf.DUMMYFUNCTION("""COMPUTED_VALUE"""),44662.9986111111)</f>
        <v>44662.998611111099</v>
      </c>
      <c r="AD1513" s="6">
        <f ca="1">IFERROR(__xludf.DUMMYFUNCTION("""COMPUTED_VALUE"""),1235.05)</f>
        <v>1235.05</v>
      </c>
      <c r="AH1513" s="6" t="str">
        <f t="shared" ca="1" si="426"/>
        <v>20222</v>
      </c>
      <c r="AI1513" s="6">
        <f t="shared" ca="1" si="427"/>
        <v>2022</v>
      </c>
      <c r="AJ1513" s="6">
        <f t="shared" ca="1" si="428"/>
        <v>2</v>
      </c>
      <c r="AK1513" s="68">
        <f ca="1">IFERROR(__xludf.DUMMYFUNCTION("""COMPUTED_VALUE"""),44606.9986111111)</f>
        <v>44606.998611111099</v>
      </c>
      <c r="AL1513" s="6">
        <f ca="1">IFERROR(__xludf.DUMMYFUNCTION("""COMPUTED_VALUE"""),42550.43)</f>
        <v>42550.43</v>
      </c>
      <c r="AP1513" s="6" t="str">
        <f t="shared" ca="1" si="429"/>
        <v>20241</v>
      </c>
      <c r="AQ1513" s="6">
        <f t="shared" ca="1" si="430"/>
        <v>2024</v>
      </c>
      <c r="AR1513" s="6">
        <f t="shared" ca="1" si="431"/>
        <v>1</v>
      </c>
      <c r="AS1513" s="68">
        <f ca="1">IFERROR(__xludf.DUMMYFUNCTION("""COMPUTED_VALUE"""),45302.9986111111)</f>
        <v>45302.998611111099</v>
      </c>
      <c r="AT1513" s="6">
        <f ca="1">IFERROR(__xludf.DUMMYFUNCTION("""COMPUTED_VALUE"""),2019.2)</f>
        <v>2019.2</v>
      </c>
    </row>
    <row r="1514" spans="2:46" x14ac:dyDescent="0.35">
      <c r="B1514" s="6" t="str">
        <f t="shared" ca="1" si="414"/>
        <v>20241</v>
      </c>
      <c r="C1514" s="6">
        <f t="shared" ca="1" si="415"/>
        <v>2024</v>
      </c>
      <c r="D1514" s="6">
        <f t="shared" ca="1" si="416"/>
        <v>1</v>
      </c>
      <c r="E1514" s="68">
        <f ca="1">IFERROR(__xludf.DUMMYFUNCTION("""COMPUTED_VALUE"""),45296.6666666666)</f>
        <v>45296.666666666599</v>
      </c>
      <c r="F1514" s="6">
        <f ca="1">IFERROR(__xludf.DUMMYFUNCTION("""COMPUTED_VALUE"""),4697.24)</f>
        <v>4697.24</v>
      </c>
      <c r="J1514" s="6" t="str">
        <f t="shared" ca="1" si="417"/>
        <v>202312</v>
      </c>
      <c r="K1514" s="6">
        <f t="shared" ca="1" si="418"/>
        <v>2023</v>
      </c>
      <c r="L1514" s="6">
        <f t="shared" ca="1" si="419"/>
        <v>12</v>
      </c>
      <c r="M1514" s="68">
        <f ca="1">IFERROR(__xludf.DUMMYFUNCTION("""COMPUTED_VALUE"""),45287.6666666666)</f>
        <v>45287.666666666599</v>
      </c>
      <c r="N1514" s="6">
        <f ca="1">IFERROR(__xludf.DUMMYFUNCTION("""COMPUTED_VALUE"""),15099.18)</f>
        <v>15099.18</v>
      </c>
      <c r="R1514" s="6" t="str">
        <f t="shared" ca="1" si="420"/>
        <v>20242</v>
      </c>
      <c r="S1514" s="6">
        <f t="shared" ca="1" si="421"/>
        <v>2024</v>
      </c>
      <c r="T1514" s="6">
        <f t="shared" ca="1" si="422"/>
        <v>2</v>
      </c>
      <c r="U1514" s="68">
        <f ca="1">IFERROR(__xludf.DUMMYFUNCTION("""COMPUTED_VALUE"""),45349.6458333333)</f>
        <v>45349.645833333299</v>
      </c>
      <c r="V1514" s="6">
        <f ca="1">IFERROR(__xludf.DUMMYFUNCTION("""COMPUTED_VALUE"""),2625.05)</f>
        <v>2625.05</v>
      </c>
      <c r="Z1514" s="6" t="str">
        <f t="shared" ca="1" si="423"/>
        <v>20224</v>
      </c>
      <c r="AA1514" s="6">
        <f t="shared" ca="1" si="424"/>
        <v>2022</v>
      </c>
      <c r="AB1514" s="6">
        <f t="shared" ca="1" si="425"/>
        <v>4</v>
      </c>
      <c r="AC1514" s="68">
        <f ca="1">IFERROR(__xludf.DUMMYFUNCTION("""COMPUTED_VALUE"""),44663.9986111111)</f>
        <v>44663.998611111099</v>
      </c>
      <c r="AD1514" s="6">
        <f ca="1">IFERROR(__xludf.DUMMYFUNCTION("""COMPUTED_VALUE"""),1228.6)</f>
        <v>1228.5999999999999</v>
      </c>
      <c r="AH1514" s="6" t="str">
        <f t="shared" ca="1" si="426"/>
        <v>20222</v>
      </c>
      <c r="AI1514" s="6">
        <f t="shared" ca="1" si="427"/>
        <v>2022</v>
      </c>
      <c r="AJ1514" s="6">
        <f t="shared" ca="1" si="428"/>
        <v>2</v>
      </c>
      <c r="AK1514" s="68">
        <f ca="1">IFERROR(__xludf.DUMMYFUNCTION("""COMPUTED_VALUE"""),44607.9986111111)</f>
        <v>44607.998611111099</v>
      </c>
      <c r="AL1514" s="6">
        <f ca="1">IFERROR(__xludf.DUMMYFUNCTION("""COMPUTED_VALUE"""),44542.77)</f>
        <v>44542.77</v>
      </c>
      <c r="AP1514" s="6" t="str">
        <f t="shared" ca="1" si="429"/>
        <v>20241</v>
      </c>
      <c r="AQ1514" s="6">
        <f t="shared" ca="1" si="430"/>
        <v>2024</v>
      </c>
      <c r="AR1514" s="6">
        <f t="shared" ca="1" si="431"/>
        <v>1</v>
      </c>
      <c r="AS1514" s="68">
        <f ca="1">IFERROR(__xludf.DUMMYFUNCTION("""COMPUTED_VALUE"""),45303.9986111111)</f>
        <v>45303.998611111099</v>
      </c>
      <c r="AT1514" s="6">
        <f ca="1">IFERROR(__xludf.DUMMYFUNCTION("""COMPUTED_VALUE"""),2051.6)</f>
        <v>2051.6</v>
      </c>
    </row>
    <row r="1515" spans="2:46" x14ac:dyDescent="0.35">
      <c r="B1515" s="6" t="str">
        <f t="shared" ca="1" si="414"/>
        <v>20241</v>
      </c>
      <c r="C1515" s="6">
        <f t="shared" ca="1" si="415"/>
        <v>2024</v>
      </c>
      <c r="D1515" s="6">
        <f t="shared" ca="1" si="416"/>
        <v>1</v>
      </c>
      <c r="E1515" s="68">
        <f ca="1">IFERROR(__xludf.DUMMYFUNCTION("""COMPUTED_VALUE"""),45299.6666666666)</f>
        <v>45299.666666666599</v>
      </c>
      <c r="F1515" s="6">
        <f ca="1">IFERROR(__xludf.DUMMYFUNCTION("""COMPUTED_VALUE"""),4763.54)</f>
        <v>4763.54</v>
      </c>
      <c r="J1515" s="6" t="str">
        <f t="shared" ca="1" si="417"/>
        <v>202312</v>
      </c>
      <c r="K1515" s="6">
        <f t="shared" ca="1" si="418"/>
        <v>2023</v>
      </c>
      <c r="L1515" s="6">
        <f t="shared" ca="1" si="419"/>
        <v>12</v>
      </c>
      <c r="M1515" s="68">
        <f ca="1">IFERROR(__xludf.DUMMYFUNCTION("""COMPUTED_VALUE"""),45288.6666666666)</f>
        <v>45288.666666666599</v>
      </c>
      <c r="N1515" s="6">
        <f ca="1">IFERROR(__xludf.DUMMYFUNCTION("""COMPUTED_VALUE"""),15095.14)</f>
        <v>15095.14</v>
      </c>
      <c r="R1515" s="6" t="str">
        <f t="shared" ca="1" si="420"/>
        <v>20242</v>
      </c>
      <c r="S1515" s="6">
        <f t="shared" ca="1" si="421"/>
        <v>2024</v>
      </c>
      <c r="T1515" s="6">
        <f t="shared" ca="1" si="422"/>
        <v>2</v>
      </c>
      <c r="U1515" s="68">
        <f ca="1">IFERROR(__xludf.DUMMYFUNCTION("""COMPUTED_VALUE"""),45350.6458333333)</f>
        <v>45350.645833333299</v>
      </c>
      <c r="V1515" s="6">
        <f ca="1">IFERROR(__xludf.DUMMYFUNCTION("""COMPUTED_VALUE"""),2652.29)</f>
        <v>2652.29</v>
      </c>
      <c r="Z1515" s="6" t="str">
        <f t="shared" ca="1" si="423"/>
        <v>20224</v>
      </c>
      <c r="AA1515" s="6">
        <f t="shared" ca="1" si="424"/>
        <v>2022</v>
      </c>
      <c r="AB1515" s="6">
        <f t="shared" ca="1" si="425"/>
        <v>4</v>
      </c>
      <c r="AC1515" s="68">
        <f ca="1">IFERROR(__xludf.DUMMYFUNCTION("""COMPUTED_VALUE"""),44664.9986111111)</f>
        <v>44664.998611111099</v>
      </c>
      <c r="AD1515" s="6">
        <f ca="1">IFERROR(__xludf.DUMMYFUNCTION("""COMPUTED_VALUE"""),1223.12)</f>
        <v>1223.1199999999999</v>
      </c>
      <c r="AH1515" s="6" t="str">
        <f t="shared" ca="1" si="426"/>
        <v>20222</v>
      </c>
      <c r="AI1515" s="6">
        <f t="shared" ca="1" si="427"/>
        <v>2022</v>
      </c>
      <c r="AJ1515" s="6">
        <f t="shared" ca="1" si="428"/>
        <v>2</v>
      </c>
      <c r="AK1515" s="68">
        <f ca="1">IFERROR(__xludf.DUMMYFUNCTION("""COMPUTED_VALUE"""),44608.9986111111)</f>
        <v>44608.998611111099</v>
      </c>
      <c r="AL1515" s="6">
        <f ca="1">IFERROR(__xludf.DUMMYFUNCTION("""COMPUTED_VALUE"""),43867.82)</f>
        <v>43867.82</v>
      </c>
      <c r="AP1515" s="6" t="str">
        <f t="shared" ca="1" si="429"/>
        <v>20241</v>
      </c>
      <c r="AQ1515" s="6">
        <f t="shared" ca="1" si="430"/>
        <v>2024</v>
      </c>
      <c r="AR1515" s="6">
        <f t="shared" ca="1" si="431"/>
        <v>1</v>
      </c>
      <c r="AS1515" s="68">
        <f ca="1">IFERROR(__xludf.DUMMYFUNCTION("""COMPUTED_VALUE"""),45307.9986111111)</f>
        <v>45307.998611111099</v>
      </c>
      <c r="AT1515" s="6">
        <f ca="1">IFERROR(__xludf.DUMMYFUNCTION("""COMPUTED_VALUE"""),2030.2)</f>
        <v>2030.2</v>
      </c>
    </row>
    <row r="1516" spans="2:46" x14ac:dyDescent="0.35">
      <c r="B1516" s="6" t="str">
        <f t="shared" ca="1" si="414"/>
        <v>20241</v>
      </c>
      <c r="C1516" s="6">
        <f t="shared" ca="1" si="415"/>
        <v>2024</v>
      </c>
      <c r="D1516" s="6">
        <f t="shared" ca="1" si="416"/>
        <v>1</v>
      </c>
      <c r="E1516" s="68">
        <f ca="1">IFERROR(__xludf.DUMMYFUNCTION("""COMPUTED_VALUE"""),45300.6666666666)</f>
        <v>45300.666666666599</v>
      </c>
      <c r="F1516" s="6">
        <f ca="1">IFERROR(__xludf.DUMMYFUNCTION("""COMPUTED_VALUE"""),4756.5)</f>
        <v>4756.5</v>
      </c>
      <c r="J1516" s="6" t="str">
        <f t="shared" ca="1" si="417"/>
        <v>202312</v>
      </c>
      <c r="K1516" s="6">
        <f t="shared" ca="1" si="418"/>
        <v>2023</v>
      </c>
      <c r="L1516" s="6">
        <f t="shared" ca="1" si="419"/>
        <v>12</v>
      </c>
      <c r="M1516" s="68">
        <f ca="1">IFERROR(__xludf.DUMMYFUNCTION("""COMPUTED_VALUE"""),45289.6666666666)</f>
        <v>45289.666666666599</v>
      </c>
      <c r="N1516" s="6">
        <f ca="1">IFERROR(__xludf.DUMMYFUNCTION("""COMPUTED_VALUE"""),15011.35)</f>
        <v>15011.35</v>
      </c>
      <c r="R1516" s="6" t="str">
        <f t="shared" ca="1" si="420"/>
        <v>20242</v>
      </c>
      <c r="S1516" s="6">
        <f t="shared" ca="1" si="421"/>
        <v>2024</v>
      </c>
      <c r="T1516" s="6">
        <f t="shared" ca="1" si="422"/>
        <v>2</v>
      </c>
      <c r="U1516" s="68">
        <f ca="1">IFERROR(__xludf.DUMMYFUNCTION("""COMPUTED_VALUE"""),45351.6458333333)</f>
        <v>45351.645833333299</v>
      </c>
      <c r="V1516" s="6">
        <f ca="1">IFERROR(__xludf.DUMMYFUNCTION("""COMPUTED_VALUE"""),2642.36)</f>
        <v>2642.36</v>
      </c>
      <c r="Z1516" s="6" t="str">
        <f t="shared" ca="1" si="423"/>
        <v>20224</v>
      </c>
      <c r="AA1516" s="6">
        <f t="shared" ca="1" si="424"/>
        <v>2022</v>
      </c>
      <c r="AB1516" s="6">
        <f t="shared" ca="1" si="425"/>
        <v>4</v>
      </c>
      <c r="AC1516" s="68">
        <f ca="1">IFERROR(__xludf.DUMMYFUNCTION("""COMPUTED_VALUE"""),44665.9986111111)</f>
        <v>44665.998611111099</v>
      </c>
      <c r="AD1516" s="6">
        <f ca="1">IFERROR(__xludf.DUMMYFUNCTION("""COMPUTED_VALUE"""),1230.1)</f>
        <v>1230.0999999999999</v>
      </c>
      <c r="AH1516" s="6" t="str">
        <f t="shared" ca="1" si="426"/>
        <v>20222</v>
      </c>
      <c r="AI1516" s="6">
        <f t="shared" ca="1" si="427"/>
        <v>2022</v>
      </c>
      <c r="AJ1516" s="6">
        <f t="shared" ca="1" si="428"/>
        <v>2</v>
      </c>
      <c r="AK1516" s="68">
        <f ca="1">IFERROR(__xludf.DUMMYFUNCTION("""COMPUTED_VALUE"""),44609.9986111111)</f>
        <v>44609.998611111099</v>
      </c>
      <c r="AL1516" s="6">
        <f ca="1">IFERROR(__xludf.DUMMYFUNCTION("""COMPUTED_VALUE"""),40552.88)</f>
        <v>40552.879999999997</v>
      </c>
      <c r="AP1516" s="6" t="str">
        <f t="shared" ca="1" si="429"/>
        <v>20241</v>
      </c>
      <c r="AQ1516" s="6">
        <f t="shared" ca="1" si="430"/>
        <v>2024</v>
      </c>
      <c r="AR1516" s="6">
        <f t="shared" ca="1" si="431"/>
        <v>1</v>
      </c>
      <c r="AS1516" s="68">
        <f ca="1">IFERROR(__xludf.DUMMYFUNCTION("""COMPUTED_VALUE"""),45308.9986111111)</f>
        <v>45308.998611111099</v>
      </c>
      <c r="AT1516" s="6">
        <f ca="1">IFERROR(__xludf.DUMMYFUNCTION("""COMPUTED_VALUE"""),2006.5)</f>
        <v>2006.5</v>
      </c>
    </row>
    <row r="1517" spans="2:46" x14ac:dyDescent="0.35">
      <c r="B1517" s="6" t="str">
        <f t="shared" ca="1" si="414"/>
        <v>20241</v>
      </c>
      <c r="C1517" s="6">
        <f t="shared" ca="1" si="415"/>
        <v>2024</v>
      </c>
      <c r="D1517" s="6">
        <f t="shared" ca="1" si="416"/>
        <v>1</v>
      </c>
      <c r="E1517" s="68">
        <f ca="1">IFERROR(__xludf.DUMMYFUNCTION("""COMPUTED_VALUE"""),45301.6666666666)</f>
        <v>45301.666666666599</v>
      </c>
      <c r="F1517" s="6">
        <f ca="1">IFERROR(__xludf.DUMMYFUNCTION("""COMPUTED_VALUE"""),4783.45)</f>
        <v>4783.45</v>
      </c>
      <c r="J1517" s="6" t="str">
        <f t="shared" ca="1" si="417"/>
        <v>20241</v>
      </c>
      <c r="K1517" s="6">
        <f t="shared" ca="1" si="418"/>
        <v>2024</v>
      </c>
      <c r="L1517" s="6">
        <f t="shared" ca="1" si="419"/>
        <v>1</v>
      </c>
      <c r="M1517" s="68">
        <f ca="1">IFERROR(__xludf.DUMMYFUNCTION("""COMPUTED_VALUE"""),45293.6666666666)</f>
        <v>45293.666666666599</v>
      </c>
      <c r="N1517" s="6">
        <f ca="1">IFERROR(__xludf.DUMMYFUNCTION("""COMPUTED_VALUE"""),14765.94)</f>
        <v>14765.94</v>
      </c>
      <c r="R1517" s="6" t="str">
        <f t="shared" ca="1" si="420"/>
        <v>20243</v>
      </c>
      <c r="S1517" s="6">
        <f t="shared" ca="1" si="421"/>
        <v>2024</v>
      </c>
      <c r="T1517" s="6">
        <f t="shared" ca="1" si="422"/>
        <v>3</v>
      </c>
      <c r="U1517" s="68">
        <f ca="1">IFERROR(__xludf.DUMMYFUNCTION("""COMPUTED_VALUE"""),45355.6458333333)</f>
        <v>45355.645833333299</v>
      </c>
      <c r="V1517" s="6">
        <f ca="1">IFERROR(__xludf.DUMMYFUNCTION("""COMPUTED_VALUE"""),2674.27)</f>
        <v>2674.27</v>
      </c>
      <c r="Z1517" s="6" t="str">
        <f t="shared" ca="1" si="423"/>
        <v>20224</v>
      </c>
      <c r="AA1517" s="6">
        <f t="shared" ca="1" si="424"/>
        <v>2022</v>
      </c>
      <c r="AB1517" s="6">
        <f t="shared" ca="1" si="425"/>
        <v>4</v>
      </c>
      <c r="AC1517" s="68">
        <f ca="1">IFERROR(__xludf.DUMMYFUNCTION("""COMPUTED_VALUE"""),44666.9986111111)</f>
        <v>44666.998611111099</v>
      </c>
      <c r="AD1517" s="6">
        <f ca="1">IFERROR(__xludf.DUMMYFUNCTION("""COMPUTED_VALUE"""),1228.19)</f>
        <v>1228.19</v>
      </c>
      <c r="AH1517" s="6" t="str">
        <f t="shared" ca="1" si="426"/>
        <v>20222</v>
      </c>
      <c r="AI1517" s="6">
        <f t="shared" ca="1" si="427"/>
        <v>2022</v>
      </c>
      <c r="AJ1517" s="6">
        <f t="shared" ca="1" si="428"/>
        <v>2</v>
      </c>
      <c r="AK1517" s="68">
        <f ca="1">IFERROR(__xludf.DUMMYFUNCTION("""COMPUTED_VALUE"""),44610.9986111111)</f>
        <v>44610.998611111099</v>
      </c>
      <c r="AL1517" s="6">
        <f ca="1">IFERROR(__xludf.DUMMYFUNCTION("""COMPUTED_VALUE"""),40003.39)</f>
        <v>40003.39</v>
      </c>
      <c r="AP1517" s="6" t="str">
        <f t="shared" ca="1" si="429"/>
        <v>20241</v>
      </c>
      <c r="AQ1517" s="6">
        <f t="shared" ca="1" si="430"/>
        <v>2024</v>
      </c>
      <c r="AR1517" s="6">
        <f t="shared" ca="1" si="431"/>
        <v>1</v>
      </c>
      <c r="AS1517" s="68">
        <f ca="1">IFERROR(__xludf.DUMMYFUNCTION("""COMPUTED_VALUE"""),45309.9986111111)</f>
        <v>45309.998611111099</v>
      </c>
      <c r="AT1517" s="6">
        <f ca="1">IFERROR(__xludf.DUMMYFUNCTION("""COMPUTED_VALUE"""),2021.6)</f>
        <v>2021.6</v>
      </c>
    </row>
    <row r="1518" spans="2:46" x14ac:dyDescent="0.35">
      <c r="B1518" s="6" t="str">
        <f t="shared" ca="1" si="414"/>
        <v>20241</v>
      </c>
      <c r="C1518" s="6">
        <f t="shared" ca="1" si="415"/>
        <v>2024</v>
      </c>
      <c r="D1518" s="6">
        <f t="shared" ca="1" si="416"/>
        <v>1</v>
      </c>
      <c r="E1518" s="68">
        <f ca="1">IFERROR(__xludf.DUMMYFUNCTION("""COMPUTED_VALUE"""),45302.6666666666)</f>
        <v>45302.666666666599</v>
      </c>
      <c r="F1518" s="6">
        <f ca="1">IFERROR(__xludf.DUMMYFUNCTION("""COMPUTED_VALUE"""),4780.24)</f>
        <v>4780.24</v>
      </c>
      <c r="J1518" s="6" t="str">
        <f t="shared" ca="1" si="417"/>
        <v>20241</v>
      </c>
      <c r="K1518" s="6">
        <f t="shared" ca="1" si="418"/>
        <v>2024</v>
      </c>
      <c r="L1518" s="6">
        <f t="shared" ca="1" si="419"/>
        <v>1</v>
      </c>
      <c r="M1518" s="68">
        <f ca="1">IFERROR(__xludf.DUMMYFUNCTION("""COMPUTED_VALUE"""),45294.6666666666)</f>
        <v>45294.666666666599</v>
      </c>
      <c r="N1518" s="6">
        <f ca="1">IFERROR(__xludf.DUMMYFUNCTION("""COMPUTED_VALUE"""),14592.21)</f>
        <v>14592.21</v>
      </c>
      <c r="R1518" s="6" t="str">
        <f t="shared" ca="1" si="420"/>
        <v>20243</v>
      </c>
      <c r="S1518" s="6">
        <f t="shared" ca="1" si="421"/>
        <v>2024</v>
      </c>
      <c r="T1518" s="6">
        <f t="shared" ca="1" si="422"/>
        <v>3</v>
      </c>
      <c r="U1518" s="68">
        <f ca="1">IFERROR(__xludf.DUMMYFUNCTION("""COMPUTED_VALUE"""),45356.6458333333)</f>
        <v>45356.645833333299</v>
      </c>
      <c r="V1518" s="6">
        <f ca="1">IFERROR(__xludf.DUMMYFUNCTION("""COMPUTED_VALUE"""),2649.4)</f>
        <v>2649.4</v>
      </c>
      <c r="Z1518" s="6" t="str">
        <f t="shared" ca="1" si="423"/>
        <v>20224</v>
      </c>
      <c r="AA1518" s="6">
        <f t="shared" ca="1" si="424"/>
        <v>2022</v>
      </c>
      <c r="AB1518" s="6">
        <f t="shared" ca="1" si="425"/>
        <v>4</v>
      </c>
      <c r="AC1518" s="68">
        <f ca="1">IFERROR(__xludf.DUMMYFUNCTION("""COMPUTED_VALUE"""),44667.9986111111)</f>
        <v>44667.998611111099</v>
      </c>
      <c r="AD1518" s="6">
        <f ca="1">IFERROR(__xludf.DUMMYFUNCTION("""COMPUTED_VALUE"""),1228.19)</f>
        <v>1228.19</v>
      </c>
      <c r="AH1518" s="6" t="str">
        <f t="shared" ca="1" si="426"/>
        <v>20222</v>
      </c>
      <c r="AI1518" s="6">
        <f t="shared" ca="1" si="427"/>
        <v>2022</v>
      </c>
      <c r="AJ1518" s="6">
        <f t="shared" ca="1" si="428"/>
        <v>2</v>
      </c>
      <c r="AK1518" s="68">
        <f ca="1">IFERROR(__xludf.DUMMYFUNCTION("""COMPUTED_VALUE"""),44611.9986111111)</f>
        <v>44611.998611111099</v>
      </c>
      <c r="AL1518" s="6">
        <f ca="1">IFERROR(__xludf.DUMMYFUNCTION("""COMPUTED_VALUE"""),40094.09)</f>
        <v>40094.089999999997</v>
      </c>
      <c r="AP1518" s="6" t="str">
        <f t="shared" ca="1" si="429"/>
        <v>20241</v>
      </c>
      <c r="AQ1518" s="6">
        <f t="shared" ca="1" si="430"/>
        <v>2024</v>
      </c>
      <c r="AR1518" s="6">
        <f t="shared" ca="1" si="431"/>
        <v>1</v>
      </c>
      <c r="AS1518" s="68">
        <f ca="1">IFERROR(__xludf.DUMMYFUNCTION("""COMPUTED_VALUE"""),45310.9986111111)</f>
        <v>45310.998611111099</v>
      </c>
      <c r="AT1518" s="6">
        <f ca="1">IFERROR(__xludf.DUMMYFUNCTION("""COMPUTED_VALUE"""),2048.6)</f>
        <v>2048.6</v>
      </c>
    </row>
    <row r="1519" spans="2:46" x14ac:dyDescent="0.35">
      <c r="B1519" s="6" t="str">
        <f t="shared" ca="1" si="414"/>
        <v>20241</v>
      </c>
      <c r="C1519" s="6">
        <f t="shared" ca="1" si="415"/>
        <v>2024</v>
      </c>
      <c r="D1519" s="6">
        <f t="shared" ca="1" si="416"/>
        <v>1</v>
      </c>
      <c r="E1519" s="68">
        <f ca="1">IFERROR(__xludf.DUMMYFUNCTION("""COMPUTED_VALUE"""),45303.6666666666)</f>
        <v>45303.666666666599</v>
      </c>
      <c r="F1519" s="6">
        <f ca="1">IFERROR(__xludf.DUMMYFUNCTION("""COMPUTED_VALUE"""),4783.83)</f>
        <v>4783.83</v>
      </c>
      <c r="J1519" s="6" t="str">
        <f t="shared" ca="1" si="417"/>
        <v>20241</v>
      </c>
      <c r="K1519" s="6">
        <f t="shared" ca="1" si="418"/>
        <v>2024</v>
      </c>
      <c r="L1519" s="6">
        <f t="shared" ca="1" si="419"/>
        <v>1</v>
      </c>
      <c r="M1519" s="68">
        <f ca="1">IFERROR(__xludf.DUMMYFUNCTION("""COMPUTED_VALUE"""),45295.6666666666)</f>
        <v>45295.666666666599</v>
      </c>
      <c r="N1519" s="6">
        <f ca="1">IFERROR(__xludf.DUMMYFUNCTION("""COMPUTED_VALUE"""),14510.3)</f>
        <v>14510.3</v>
      </c>
      <c r="R1519" s="6" t="str">
        <f t="shared" ca="1" si="420"/>
        <v>20243</v>
      </c>
      <c r="S1519" s="6">
        <f t="shared" ca="1" si="421"/>
        <v>2024</v>
      </c>
      <c r="T1519" s="6">
        <f t="shared" ca="1" si="422"/>
        <v>3</v>
      </c>
      <c r="U1519" s="68">
        <f ca="1">IFERROR(__xludf.DUMMYFUNCTION("""COMPUTED_VALUE"""),45357.6458333333)</f>
        <v>45357.645833333299</v>
      </c>
      <c r="V1519" s="6">
        <f ca="1">IFERROR(__xludf.DUMMYFUNCTION("""COMPUTED_VALUE"""),2641.49)</f>
        <v>2641.49</v>
      </c>
      <c r="Z1519" s="6" t="str">
        <f t="shared" ca="1" si="423"/>
        <v>20224</v>
      </c>
      <c r="AA1519" s="6">
        <f t="shared" ca="1" si="424"/>
        <v>2022</v>
      </c>
      <c r="AB1519" s="6">
        <f t="shared" ca="1" si="425"/>
        <v>4</v>
      </c>
      <c r="AC1519" s="68">
        <f ca="1">IFERROR(__xludf.DUMMYFUNCTION("""COMPUTED_VALUE"""),44668.9986111111)</f>
        <v>44668.998611111099</v>
      </c>
      <c r="AD1519" s="6">
        <f ca="1">IFERROR(__xludf.DUMMYFUNCTION("""COMPUTED_VALUE"""),1228.09)</f>
        <v>1228.0899999999999</v>
      </c>
      <c r="AH1519" s="6" t="str">
        <f t="shared" ca="1" si="426"/>
        <v>20222</v>
      </c>
      <c r="AI1519" s="6">
        <f t="shared" ca="1" si="427"/>
        <v>2022</v>
      </c>
      <c r="AJ1519" s="6">
        <f t="shared" ca="1" si="428"/>
        <v>2</v>
      </c>
      <c r="AK1519" s="68">
        <f ca="1">IFERROR(__xludf.DUMMYFUNCTION("""COMPUTED_VALUE"""),44612.9986111111)</f>
        <v>44612.998611111099</v>
      </c>
      <c r="AL1519" s="6">
        <f ca="1">IFERROR(__xludf.DUMMYFUNCTION("""COMPUTED_VALUE"""),38378.47)</f>
        <v>38378.47</v>
      </c>
      <c r="AP1519" s="6" t="str">
        <f t="shared" ca="1" si="429"/>
        <v>20241</v>
      </c>
      <c r="AQ1519" s="6">
        <f t="shared" ca="1" si="430"/>
        <v>2024</v>
      </c>
      <c r="AR1519" s="6">
        <f t="shared" ca="1" si="431"/>
        <v>1</v>
      </c>
      <c r="AS1519" s="68">
        <f ca="1">IFERROR(__xludf.DUMMYFUNCTION("""COMPUTED_VALUE"""),45313.9986111111)</f>
        <v>45313.998611111099</v>
      </c>
      <c r="AT1519" s="6">
        <f ca="1">IFERROR(__xludf.DUMMYFUNCTION("""COMPUTED_VALUE"""),2041.6)</f>
        <v>2041.6</v>
      </c>
    </row>
    <row r="1520" spans="2:46" x14ac:dyDescent="0.35">
      <c r="B1520" s="6" t="str">
        <f t="shared" ca="1" si="414"/>
        <v>20241</v>
      </c>
      <c r="C1520" s="6">
        <f t="shared" ca="1" si="415"/>
        <v>2024</v>
      </c>
      <c r="D1520" s="6">
        <f t="shared" ca="1" si="416"/>
        <v>1</v>
      </c>
      <c r="E1520" s="68">
        <f ca="1">IFERROR(__xludf.DUMMYFUNCTION("""COMPUTED_VALUE"""),45307.6666666666)</f>
        <v>45307.666666666599</v>
      </c>
      <c r="F1520" s="6">
        <f ca="1">IFERROR(__xludf.DUMMYFUNCTION("""COMPUTED_VALUE"""),4765.98)</f>
        <v>4765.9799999999996</v>
      </c>
      <c r="J1520" s="6" t="str">
        <f t="shared" ca="1" si="417"/>
        <v>20241</v>
      </c>
      <c r="K1520" s="6">
        <f t="shared" ca="1" si="418"/>
        <v>2024</v>
      </c>
      <c r="L1520" s="6">
        <f t="shared" ca="1" si="419"/>
        <v>1</v>
      </c>
      <c r="M1520" s="68">
        <f ca="1">IFERROR(__xludf.DUMMYFUNCTION("""COMPUTED_VALUE"""),45296.6666666666)</f>
        <v>45296.666666666599</v>
      </c>
      <c r="N1520" s="6">
        <f ca="1">IFERROR(__xludf.DUMMYFUNCTION("""COMPUTED_VALUE"""),14524.07)</f>
        <v>14524.07</v>
      </c>
      <c r="R1520" s="6" t="str">
        <f t="shared" ca="1" si="420"/>
        <v>20243</v>
      </c>
      <c r="S1520" s="6">
        <f t="shared" ca="1" si="421"/>
        <v>2024</v>
      </c>
      <c r="T1520" s="6">
        <f t="shared" ca="1" si="422"/>
        <v>3</v>
      </c>
      <c r="U1520" s="68">
        <f ca="1">IFERROR(__xludf.DUMMYFUNCTION("""COMPUTED_VALUE"""),45358.6458333333)</f>
        <v>45358.645833333299</v>
      </c>
      <c r="V1520" s="6">
        <f ca="1">IFERROR(__xludf.DUMMYFUNCTION("""COMPUTED_VALUE"""),2647.62)</f>
        <v>2647.62</v>
      </c>
      <c r="Z1520" s="6" t="str">
        <f t="shared" ca="1" si="423"/>
        <v>20224</v>
      </c>
      <c r="AA1520" s="6">
        <f t="shared" ca="1" si="424"/>
        <v>2022</v>
      </c>
      <c r="AB1520" s="6">
        <f t="shared" ca="1" si="425"/>
        <v>4</v>
      </c>
      <c r="AC1520" s="68">
        <f ca="1">IFERROR(__xludf.DUMMYFUNCTION("""COMPUTED_VALUE"""),44669.9986111111)</f>
        <v>44669.998611111099</v>
      </c>
      <c r="AD1520" s="6">
        <f ca="1">IFERROR(__xludf.DUMMYFUNCTION("""COMPUTED_VALUE"""),1235.35)</f>
        <v>1235.3499999999999</v>
      </c>
      <c r="AH1520" s="6" t="str">
        <f t="shared" ca="1" si="426"/>
        <v>20222</v>
      </c>
      <c r="AI1520" s="6">
        <f t="shared" ca="1" si="427"/>
        <v>2022</v>
      </c>
      <c r="AJ1520" s="6">
        <f t="shared" ca="1" si="428"/>
        <v>2</v>
      </c>
      <c r="AK1520" s="68">
        <f ca="1">IFERROR(__xludf.DUMMYFUNCTION("""COMPUTED_VALUE"""),44613.9986111111)</f>
        <v>44613.998611111099</v>
      </c>
      <c r="AL1520" s="6">
        <f ca="1">IFERROR(__xludf.DUMMYFUNCTION("""COMPUTED_VALUE"""),37032.1)</f>
        <v>37032.1</v>
      </c>
      <c r="AP1520" s="6" t="str">
        <f t="shared" ca="1" si="429"/>
        <v>20241</v>
      </c>
      <c r="AQ1520" s="6">
        <f t="shared" ca="1" si="430"/>
        <v>2024</v>
      </c>
      <c r="AR1520" s="6">
        <f t="shared" ca="1" si="431"/>
        <v>1</v>
      </c>
      <c r="AS1520" s="68">
        <f ca="1">IFERROR(__xludf.DUMMYFUNCTION("""COMPUTED_VALUE"""),45314.9986111111)</f>
        <v>45314.998611111099</v>
      </c>
      <c r="AT1520" s="6">
        <f ca="1">IFERROR(__xludf.DUMMYFUNCTION("""COMPUTED_VALUE"""),2045.2)</f>
        <v>2045.2</v>
      </c>
    </row>
    <row r="1521" spans="2:46" x14ac:dyDescent="0.35">
      <c r="B1521" s="6" t="str">
        <f t="shared" ca="1" si="414"/>
        <v>20241</v>
      </c>
      <c r="C1521" s="6">
        <f t="shared" ca="1" si="415"/>
        <v>2024</v>
      </c>
      <c r="D1521" s="6">
        <f t="shared" ca="1" si="416"/>
        <v>1</v>
      </c>
      <c r="E1521" s="68">
        <f ca="1">IFERROR(__xludf.DUMMYFUNCTION("""COMPUTED_VALUE"""),45308.6666666666)</f>
        <v>45308.666666666599</v>
      </c>
      <c r="F1521" s="6">
        <f ca="1">IFERROR(__xludf.DUMMYFUNCTION("""COMPUTED_VALUE"""),4739.21)</f>
        <v>4739.21</v>
      </c>
      <c r="J1521" s="6" t="str">
        <f t="shared" ca="1" si="417"/>
        <v>20241</v>
      </c>
      <c r="K1521" s="6">
        <f t="shared" ca="1" si="418"/>
        <v>2024</v>
      </c>
      <c r="L1521" s="6">
        <f t="shared" ca="1" si="419"/>
        <v>1</v>
      </c>
      <c r="M1521" s="68">
        <f ca="1">IFERROR(__xludf.DUMMYFUNCTION("""COMPUTED_VALUE"""),45299.6666666666)</f>
        <v>45299.666666666599</v>
      </c>
      <c r="N1521" s="6">
        <f ca="1">IFERROR(__xludf.DUMMYFUNCTION("""COMPUTED_VALUE"""),14843.77)</f>
        <v>14843.77</v>
      </c>
      <c r="R1521" s="6" t="str">
        <f t="shared" ca="1" si="420"/>
        <v>20243</v>
      </c>
      <c r="S1521" s="6">
        <f t="shared" ca="1" si="421"/>
        <v>2024</v>
      </c>
      <c r="T1521" s="6">
        <f t="shared" ca="1" si="422"/>
        <v>3</v>
      </c>
      <c r="U1521" s="68">
        <f ca="1">IFERROR(__xludf.DUMMYFUNCTION("""COMPUTED_VALUE"""),45359.6458333333)</f>
        <v>45359.645833333299</v>
      </c>
      <c r="V1521" s="6">
        <f ca="1">IFERROR(__xludf.DUMMYFUNCTION("""COMPUTED_VALUE"""),2680.35)</f>
        <v>2680.35</v>
      </c>
      <c r="Z1521" s="6" t="str">
        <f t="shared" ca="1" si="423"/>
        <v>20224</v>
      </c>
      <c r="AA1521" s="6">
        <f t="shared" ca="1" si="424"/>
        <v>2022</v>
      </c>
      <c r="AB1521" s="6">
        <f t="shared" ca="1" si="425"/>
        <v>4</v>
      </c>
      <c r="AC1521" s="68">
        <f ca="1">IFERROR(__xludf.DUMMYFUNCTION("""COMPUTED_VALUE"""),44670.9986111111)</f>
        <v>44670.998611111099</v>
      </c>
      <c r="AD1521" s="6">
        <f ca="1">IFERROR(__xludf.DUMMYFUNCTION("""COMPUTED_VALUE"""),1239.6)</f>
        <v>1239.5999999999999</v>
      </c>
      <c r="AH1521" s="6" t="str">
        <f t="shared" ca="1" si="426"/>
        <v>20222</v>
      </c>
      <c r="AI1521" s="6">
        <f t="shared" ca="1" si="427"/>
        <v>2022</v>
      </c>
      <c r="AJ1521" s="6">
        <f t="shared" ca="1" si="428"/>
        <v>2</v>
      </c>
      <c r="AK1521" s="68">
        <f ca="1">IFERROR(__xludf.DUMMYFUNCTION("""COMPUTED_VALUE"""),44614.9986111111)</f>
        <v>44614.998611111099</v>
      </c>
      <c r="AL1521" s="6">
        <f ca="1">IFERROR(__xludf.DUMMYFUNCTION("""COMPUTED_VALUE"""),38247.22)</f>
        <v>38247.22</v>
      </c>
      <c r="AP1521" s="6" t="str">
        <f t="shared" ca="1" si="429"/>
        <v>20241</v>
      </c>
      <c r="AQ1521" s="6">
        <f t="shared" ca="1" si="430"/>
        <v>2024</v>
      </c>
      <c r="AR1521" s="6">
        <f t="shared" ca="1" si="431"/>
        <v>1</v>
      </c>
      <c r="AS1521" s="68">
        <f ca="1">IFERROR(__xludf.DUMMYFUNCTION("""COMPUTED_VALUE"""),45315.9986111111)</f>
        <v>45315.998611111099</v>
      </c>
      <c r="AT1521" s="6">
        <f ca="1">IFERROR(__xludf.DUMMYFUNCTION("""COMPUTED_VALUE"""),2035.2)</f>
        <v>2035.2</v>
      </c>
    </row>
    <row r="1522" spans="2:46" x14ac:dyDescent="0.35">
      <c r="B1522" s="6" t="str">
        <f t="shared" ca="1" si="414"/>
        <v>20241</v>
      </c>
      <c r="C1522" s="6">
        <f t="shared" ca="1" si="415"/>
        <v>2024</v>
      </c>
      <c r="D1522" s="6">
        <f t="shared" ca="1" si="416"/>
        <v>1</v>
      </c>
      <c r="E1522" s="68">
        <f ca="1">IFERROR(__xludf.DUMMYFUNCTION("""COMPUTED_VALUE"""),45309.6666666666)</f>
        <v>45309.666666666599</v>
      </c>
      <c r="F1522" s="6">
        <f ca="1">IFERROR(__xludf.DUMMYFUNCTION("""COMPUTED_VALUE"""),4780.94)</f>
        <v>4780.9399999999996</v>
      </c>
      <c r="J1522" s="6" t="str">
        <f t="shared" ca="1" si="417"/>
        <v>20241</v>
      </c>
      <c r="K1522" s="6">
        <f t="shared" ca="1" si="418"/>
        <v>2024</v>
      </c>
      <c r="L1522" s="6">
        <f t="shared" ca="1" si="419"/>
        <v>1</v>
      </c>
      <c r="M1522" s="68">
        <f ca="1">IFERROR(__xludf.DUMMYFUNCTION("""COMPUTED_VALUE"""),45300.6666666666)</f>
        <v>45300.666666666599</v>
      </c>
      <c r="N1522" s="6">
        <f ca="1">IFERROR(__xludf.DUMMYFUNCTION("""COMPUTED_VALUE"""),14857.71)</f>
        <v>14857.71</v>
      </c>
      <c r="R1522" s="6" t="str">
        <f t="shared" ca="1" si="420"/>
        <v>20243</v>
      </c>
      <c r="S1522" s="6">
        <f t="shared" ca="1" si="421"/>
        <v>2024</v>
      </c>
      <c r="T1522" s="6">
        <f t="shared" ca="1" si="422"/>
        <v>3</v>
      </c>
      <c r="U1522" s="68">
        <f ca="1">IFERROR(__xludf.DUMMYFUNCTION("""COMPUTED_VALUE"""),45362.6458333333)</f>
        <v>45362.645833333299</v>
      </c>
      <c r="V1522" s="6">
        <f ca="1">IFERROR(__xludf.DUMMYFUNCTION("""COMPUTED_VALUE"""),2659.84)</f>
        <v>2659.84</v>
      </c>
      <c r="Z1522" s="6" t="str">
        <f t="shared" ca="1" si="423"/>
        <v>20224</v>
      </c>
      <c r="AA1522" s="6">
        <f t="shared" ca="1" si="424"/>
        <v>2022</v>
      </c>
      <c r="AB1522" s="6">
        <f t="shared" ca="1" si="425"/>
        <v>4</v>
      </c>
      <c r="AC1522" s="68">
        <f ca="1">IFERROR(__xludf.DUMMYFUNCTION("""COMPUTED_VALUE"""),44671.9986111111)</f>
        <v>44671.998611111099</v>
      </c>
      <c r="AD1522" s="6">
        <f ca="1">IFERROR(__xludf.DUMMYFUNCTION("""COMPUTED_VALUE"""),1234.09)</f>
        <v>1234.0899999999999</v>
      </c>
      <c r="AH1522" s="6" t="str">
        <f t="shared" ca="1" si="426"/>
        <v>20222</v>
      </c>
      <c r="AI1522" s="6">
        <f t="shared" ca="1" si="427"/>
        <v>2022</v>
      </c>
      <c r="AJ1522" s="6">
        <f t="shared" ca="1" si="428"/>
        <v>2</v>
      </c>
      <c r="AK1522" s="68">
        <f ca="1">IFERROR(__xludf.DUMMYFUNCTION("""COMPUTED_VALUE"""),44615.9986111111)</f>
        <v>44615.998611111099</v>
      </c>
      <c r="AL1522" s="6">
        <f ca="1">IFERROR(__xludf.DUMMYFUNCTION("""COMPUTED_VALUE"""),37242.74)</f>
        <v>37242.74</v>
      </c>
      <c r="AP1522" s="6" t="str">
        <f t="shared" ca="1" si="429"/>
        <v>20241</v>
      </c>
      <c r="AQ1522" s="6">
        <f t="shared" ca="1" si="430"/>
        <v>2024</v>
      </c>
      <c r="AR1522" s="6">
        <f t="shared" ca="1" si="431"/>
        <v>1</v>
      </c>
      <c r="AS1522" s="68">
        <f ca="1">IFERROR(__xludf.DUMMYFUNCTION("""COMPUTED_VALUE"""),45316.9986111111)</f>
        <v>45316.998611111099</v>
      </c>
      <c r="AT1522" s="6">
        <f ca="1">IFERROR(__xludf.DUMMYFUNCTION("""COMPUTED_VALUE"""),2036.8)</f>
        <v>2036.8</v>
      </c>
    </row>
    <row r="1523" spans="2:46" x14ac:dyDescent="0.35">
      <c r="B1523" s="6" t="str">
        <f t="shared" ca="1" si="414"/>
        <v>20241</v>
      </c>
      <c r="C1523" s="6">
        <f t="shared" ca="1" si="415"/>
        <v>2024</v>
      </c>
      <c r="D1523" s="6">
        <f t="shared" ca="1" si="416"/>
        <v>1</v>
      </c>
      <c r="E1523" s="68">
        <f ca="1">IFERROR(__xludf.DUMMYFUNCTION("""COMPUTED_VALUE"""),45310.6666666666)</f>
        <v>45310.666666666599</v>
      </c>
      <c r="F1523" s="6">
        <f ca="1">IFERROR(__xludf.DUMMYFUNCTION("""COMPUTED_VALUE"""),4839.81)</f>
        <v>4839.8100000000004</v>
      </c>
      <c r="J1523" s="6" t="str">
        <f t="shared" ca="1" si="417"/>
        <v>20241</v>
      </c>
      <c r="K1523" s="6">
        <f t="shared" ca="1" si="418"/>
        <v>2024</v>
      </c>
      <c r="L1523" s="6">
        <f t="shared" ca="1" si="419"/>
        <v>1</v>
      </c>
      <c r="M1523" s="68">
        <f ca="1">IFERROR(__xludf.DUMMYFUNCTION("""COMPUTED_VALUE"""),45301.6666666666)</f>
        <v>45301.666666666599</v>
      </c>
      <c r="N1523" s="6">
        <f ca="1">IFERROR(__xludf.DUMMYFUNCTION("""COMPUTED_VALUE"""),14969.65)</f>
        <v>14969.65</v>
      </c>
      <c r="R1523" s="6" t="str">
        <f t="shared" ca="1" si="420"/>
        <v>20243</v>
      </c>
      <c r="S1523" s="6">
        <f t="shared" ca="1" si="421"/>
        <v>2024</v>
      </c>
      <c r="T1523" s="6">
        <f t="shared" ca="1" si="422"/>
        <v>3</v>
      </c>
      <c r="U1523" s="68">
        <f ca="1">IFERROR(__xludf.DUMMYFUNCTION("""COMPUTED_VALUE"""),45363.6458333333)</f>
        <v>45363.645833333299</v>
      </c>
      <c r="V1523" s="6">
        <f ca="1">IFERROR(__xludf.DUMMYFUNCTION("""COMPUTED_VALUE"""),2681.81)</f>
        <v>2681.81</v>
      </c>
      <c r="Z1523" s="6" t="str">
        <f t="shared" ca="1" si="423"/>
        <v>20224</v>
      </c>
      <c r="AA1523" s="6">
        <f t="shared" ca="1" si="424"/>
        <v>2022</v>
      </c>
      <c r="AB1523" s="6">
        <f t="shared" ca="1" si="425"/>
        <v>4</v>
      </c>
      <c r="AC1523" s="68">
        <f ca="1">IFERROR(__xludf.DUMMYFUNCTION("""COMPUTED_VALUE"""),44672.9986111111)</f>
        <v>44672.998611111099</v>
      </c>
      <c r="AD1523" s="6">
        <f ca="1">IFERROR(__xludf.DUMMYFUNCTION("""COMPUTED_VALUE"""),1242.49)</f>
        <v>1242.49</v>
      </c>
      <c r="AH1523" s="6" t="str">
        <f t="shared" ca="1" si="426"/>
        <v>20222</v>
      </c>
      <c r="AI1523" s="6">
        <f t="shared" ca="1" si="427"/>
        <v>2022</v>
      </c>
      <c r="AJ1523" s="6">
        <f t="shared" ca="1" si="428"/>
        <v>2</v>
      </c>
      <c r="AK1523" s="68">
        <f ca="1">IFERROR(__xludf.DUMMYFUNCTION("""COMPUTED_VALUE"""),44616.9986111111)</f>
        <v>44616.998611111099</v>
      </c>
      <c r="AL1523" s="6">
        <f ca="1">IFERROR(__xludf.DUMMYFUNCTION("""COMPUTED_VALUE"""),38344.11)</f>
        <v>38344.11</v>
      </c>
      <c r="AP1523" s="6" t="str">
        <f t="shared" ca="1" si="429"/>
        <v>20241</v>
      </c>
      <c r="AQ1523" s="6">
        <f t="shared" ca="1" si="430"/>
        <v>2024</v>
      </c>
      <c r="AR1523" s="6">
        <f t="shared" ca="1" si="431"/>
        <v>1</v>
      </c>
      <c r="AS1523" s="68">
        <f ca="1">IFERROR(__xludf.DUMMYFUNCTION("""COMPUTED_VALUE"""),45317.9986111111)</f>
        <v>45317.998611111099</v>
      </c>
      <c r="AT1523" s="6">
        <f ca="1">IFERROR(__xludf.DUMMYFUNCTION("""COMPUTED_VALUE"""),2036.1)</f>
        <v>2036.1</v>
      </c>
    </row>
    <row r="1524" spans="2:46" x14ac:dyDescent="0.35">
      <c r="B1524" s="6" t="str">
        <f t="shared" ca="1" si="414"/>
        <v>20241</v>
      </c>
      <c r="C1524" s="6">
        <f t="shared" ca="1" si="415"/>
        <v>2024</v>
      </c>
      <c r="D1524" s="6">
        <f t="shared" ca="1" si="416"/>
        <v>1</v>
      </c>
      <c r="E1524" s="68">
        <f ca="1">IFERROR(__xludf.DUMMYFUNCTION("""COMPUTED_VALUE"""),45313.6666666666)</f>
        <v>45313.666666666599</v>
      </c>
      <c r="F1524" s="6">
        <f ca="1">IFERROR(__xludf.DUMMYFUNCTION("""COMPUTED_VALUE"""),4850.43)</f>
        <v>4850.43</v>
      </c>
      <c r="J1524" s="6" t="str">
        <f t="shared" ca="1" si="417"/>
        <v>20241</v>
      </c>
      <c r="K1524" s="6">
        <f t="shared" ca="1" si="418"/>
        <v>2024</v>
      </c>
      <c r="L1524" s="6">
        <f t="shared" ca="1" si="419"/>
        <v>1</v>
      </c>
      <c r="M1524" s="68">
        <f ca="1">IFERROR(__xludf.DUMMYFUNCTION("""COMPUTED_VALUE"""),45302.6666666666)</f>
        <v>45302.666666666599</v>
      </c>
      <c r="N1524" s="6">
        <f ca="1">IFERROR(__xludf.DUMMYFUNCTION("""COMPUTED_VALUE"""),14970.19)</f>
        <v>14970.19</v>
      </c>
      <c r="R1524" s="6" t="str">
        <f t="shared" ca="1" si="420"/>
        <v>20243</v>
      </c>
      <c r="S1524" s="6">
        <f t="shared" ca="1" si="421"/>
        <v>2024</v>
      </c>
      <c r="T1524" s="6">
        <f t="shared" ca="1" si="422"/>
        <v>3</v>
      </c>
      <c r="U1524" s="68">
        <f ca="1">IFERROR(__xludf.DUMMYFUNCTION("""COMPUTED_VALUE"""),45364.6458333333)</f>
        <v>45364.645833333299</v>
      </c>
      <c r="V1524" s="6">
        <f ca="1">IFERROR(__xludf.DUMMYFUNCTION("""COMPUTED_VALUE"""),2693.57)</f>
        <v>2693.57</v>
      </c>
      <c r="Z1524" s="6" t="str">
        <f t="shared" ca="1" si="423"/>
        <v>20224</v>
      </c>
      <c r="AA1524" s="6">
        <f t="shared" ca="1" si="424"/>
        <v>2022</v>
      </c>
      <c r="AB1524" s="6">
        <f t="shared" ca="1" si="425"/>
        <v>4</v>
      </c>
      <c r="AC1524" s="68">
        <f ca="1">IFERROR(__xludf.DUMMYFUNCTION("""COMPUTED_VALUE"""),44673.9986111111)</f>
        <v>44673.998611111099</v>
      </c>
      <c r="AD1524" s="6">
        <f ca="1">IFERROR(__xludf.DUMMYFUNCTION("""COMPUTED_VALUE"""),1242.33)</f>
        <v>1242.33</v>
      </c>
      <c r="AH1524" s="6" t="str">
        <f t="shared" ca="1" si="426"/>
        <v>20222</v>
      </c>
      <c r="AI1524" s="6">
        <f t="shared" ca="1" si="427"/>
        <v>2022</v>
      </c>
      <c r="AJ1524" s="6">
        <f t="shared" ca="1" si="428"/>
        <v>2</v>
      </c>
      <c r="AK1524" s="68">
        <f ca="1">IFERROR(__xludf.DUMMYFUNCTION("""COMPUTED_VALUE"""),44617.9986111111)</f>
        <v>44617.998611111099</v>
      </c>
      <c r="AL1524" s="6">
        <f ca="1">IFERROR(__xludf.DUMMYFUNCTION("""COMPUTED_VALUE"""),39226.82)</f>
        <v>39226.82</v>
      </c>
      <c r="AP1524" s="6" t="str">
        <f t="shared" ca="1" si="429"/>
        <v>20241</v>
      </c>
      <c r="AQ1524" s="6">
        <f t="shared" ca="1" si="430"/>
        <v>2024</v>
      </c>
      <c r="AR1524" s="6">
        <f t="shared" ca="1" si="431"/>
        <v>1</v>
      </c>
      <c r="AS1524" s="68">
        <f ca="1">IFERROR(__xludf.DUMMYFUNCTION("""COMPUTED_VALUE"""),45320.9986111111)</f>
        <v>45320.998611111099</v>
      </c>
      <c r="AT1524" s="6">
        <f ca="1">IFERROR(__xludf.DUMMYFUNCTION("""COMPUTED_VALUE"""),2044.6)</f>
        <v>2044.6</v>
      </c>
    </row>
    <row r="1525" spans="2:46" x14ac:dyDescent="0.35">
      <c r="B1525" s="6" t="str">
        <f t="shared" ca="1" si="414"/>
        <v>20241</v>
      </c>
      <c r="C1525" s="6">
        <f t="shared" ca="1" si="415"/>
        <v>2024</v>
      </c>
      <c r="D1525" s="6">
        <f t="shared" ca="1" si="416"/>
        <v>1</v>
      </c>
      <c r="E1525" s="68">
        <f ca="1">IFERROR(__xludf.DUMMYFUNCTION("""COMPUTED_VALUE"""),45314.6666666666)</f>
        <v>45314.666666666599</v>
      </c>
      <c r="F1525" s="6">
        <f ca="1">IFERROR(__xludf.DUMMYFUNCTION("""COMPUTED_VALUE"""),4864.6)</f>
        <v>4864.6000000000004</v>
      </c>
      <c r="J1525" s="6" t="str">
        <f t="shared" ca="1" si="417"/>
        <v>20241</v>
      </c>
      <c r="K1525" s="6">
        <f t="shared" ca="1" si="418"/>
        <v>2024</v>
      </c>
      <c r="L1525" s="6">
        <f t="shared" ca="1" si="419"/>
        <v>1</v>
      </c>
      <c r="M1525" s="68">
        <f ca="1">IFERROR(__xludf.DUMMYFUNCTION("""COMPUTED_VALUE"""),45303.6666666666)</f>
        <v>45303.666666666599</v>
      </c>
      <c r="N1525" s="6">
        <f ca="1">IFERROR(__xludf.DUMMYFUNCTION("""COMPUTED_VALUE"""),14972.76)</f>
        <v>14972.76</v>
      </c>
      <c r="R1525" s="6" t="str">
        <f t="shared" ca="1" si="420"/>
        <v>20243</v>
      </c>
      <c r="S1525" s="6">
        <f t="shared" ca="1" si="421"/>
        <v>2024</v>
      </c>
      <c r="T1525" s="6">
        <f t="shared" ca="1" si="422"/>
        <v>3</v>
      </c>
      <c r="U1525" s="68">
        <f ca="1">IFERROR(__xludf.DUMMYFUNCTION("""COMPUTED_VALUE"""),45365.6458333333)</f>
        <v>45365.645833333299</v>
      </c>
      <c r="V1525" s="6">
        <f ca="1">IFERROR(__xludf.DUMMYFUNCTION("""COMPUTED_VALUE"""),2718.76)</f>
        <v>2718.76</v>
      </c>
      <c r="Z1525" s="6" t="str">
        <f t="shared" ca="1" si="423"/>
        <v>20224</v>
      </c>
      <c r="AA1525" s="6">
        <f t="shared" ca="1" si="424"/>
        <v>2022</v>
      </c>
      <c r="AB1525" s="6">
        <f t="shared" ca="1" si="425"/>
        <v>4</v>
      </c>
      <c r="AC1525" s="68">
        <f ca="1">IFERROR(__xludf.DUMMYFUNCTION("""COMPUTED_VALUE"""),44674.9986111111)</f>
        <v>44674.998611111099</v>
      </c>
      <c r="AD1525" s="6">
        <f ca="1">IFERROR(__xludf.DUMMYFUNCTION("""COMPUTED_VALUE"""),1243.33)</f>
        <v>1243.33</v>
      </c>
      <c r="AH1525" s="6" t="str">
        <f t="shared" ca="1" si="426"/>
        <v>20222</v>
      </c>
      <c r="AI1525" s="6">
        <f t="shared" ca="1" si="427"/>
        <v>2022</v>
      </c>
      <c r="AJ1525" s="6">
        <f t="shared" ca="1" si="428"/>
        <v>2</v>
      </c>
      <c r="AK1525" s="68">
        <f ca="1">IFERROR(__xludf.DUMMYFUNCTION("""COMPUTED_VALUE"""),44618.9986111111)</f>
        <v>44618.998611111099</v>
      </c>
      <c r="AL1525" s="6">
        <f ca="1">IFERROR(__xludf.DUMMYFUNCTION("""COMPUTED_VALUE"""),39115.22)</f>
        <v>39115.22</v>
      </c>
      <c r="AP1525" s="6" t="str">
        <f t="shared" ca="1" si="429"/>
        <v>20241</v>
      </c>
      <c r="AQ1525" s="6">
        <f t="shared" ca="1" si="430"/>
        <v>2024</v>
      </c>
      <c r="AR1525" s="6">
        <f t="shared" ca="1" si="431"/>
        <v>1</v>
      </c>
      <c r="AS1525" s="68">
        <f ca="1">IFERROR(__xludf.DUMMYFUNCTION("""COMPUTED_VALUE"""),45321.9986111111)</f>
        <v>45321.998611111099</v>
      </c>
      <c r="AT1525" s="6">
        <f ca="1">IFERROR(__xludf.DUMMYFUNCTION("""COMPUTED_VALUE"""),2050.9)</f>
        <v>2050.9</v>
      </c>
    </row>
    <row r="1526" spans="2:46" x14ac:dyDescent="0.35">
      <c r="B1526" s="6" t="str">
        <f t="shared" ca="1" si="414"/>
        <v>20241</v>
      </c>
      <c r="C1526" s="6">
        <f t="shared" ca="1" si="415"/>
        <v>2024</v>
      </c>
      <c r="D1526" s="6">
        <f t="shared" ca="1" si="416"/>
        <v>1</v>
      </c>
      <c r="E1526" s="68">
        <f ca="1">IFERROR(__xludf.DUMMYFUNCTION("""COMPUTED_VALUE"""),45315.6666666666)</f>
        <v>45315.666666666599</v>
      </c>
      <c r="F1526" s="6">
        <f ca="1">IFERROR(__xludf.DUMMYFUNCTION("""COMPUTED_VALUE"""),4868.55)</f>
        <v>4868.55</v>
      </c>
      <c r="J1526" s="6" t="str">
        <f t="shared" ca="1" si="417"/>
        <v>20241</v>
      </c>
      <c r="K1526" s="6">
        <f t="shared" ca="1" si="418"/>
        <v>2024</v>
      </c>
      <c r="L1526" s="6">
        <f t="shared" ca="1" si="419"/>
        <v>1</v>
      </c>
      <c r="M1526" s="68">
        <f ca="1">IFERROR(__xludf.DUMMYFUNCTION("""COMPUTED_VALUE"""),45307.6666666666)</f>
        <v>45307.666666666599</v>
      </c>
      <c r="N1526" s="6">
        <f ca="1">IFERROR(__xludf.DUMMYFUNCTION("""COMPUTED_VALUE"""),14944.35)</f>
        <v>14944.35</v>
      </c>
      <c r="R1526" s="6" t="str">
        <f t="shared" ca="1" si="420"/>
        <v>20243</v>
      </c>
      <c r="S1526" s="6">
        <f t="shared" ca="1" si="421"/>
        <v>2024</v>
      </c>
      <c r="T1526" s="6">
        <f t="shared" ca="1" si="422"/>
        <v>3</v>
      </c>
      <c r="U1526" s="68">
        <f ca="1">IFERROR(__xludf.DUMMYFUNCTION("""COMPUTED_VALUE"""),45366.6458333333)</f>
        <v>45366.645833333299</v>
      </c>
      <c r="V1526" s="6">
        <f ca="1">IFERROR(__xludf.DUMMYFUNCTION("""COMPUTED_VALUE"""),2666.84)</f>
        <v>2666.84</v>
      </c>
      <c r="Z1526" s="6" t="str">
        <f t="shared" ca="1" si="423"/>
        <v>20224</v>
      </c>
      <c r="AA1526" s="6">
        <f t="shared" ca="1" si="424"/>
        <v>2022</v>
      </c>
      <c r="AB1526" s="6">
        <f t="shared" ca="1" si="425"/>
        <v>4</v>
      </c>
      <c r="AC1526" s="68">
        <f ca="1">IFERROR(__xludf.DUMMYFUNCTION("""COMPUTED_VALUE"""),44675.9986111111)</f>
        <v>44675.998611111099</v>
      </c>
      <c r="AD1526" s="6">
        <f ca="1">IFERROR(__xludf.DUMMYFUNCTION("""COMPUTED_VALUE"""),1243.16)</f>
        <v>1243.1600000000001</v>
      </c>
      <c r="AH1526" s="6" t="str">
        <f t="shared" ca="1" si="426"/>
        <v>20222</v>
      </c>
      <c r="AI1526" s="6">
        <f t="shared" ca="1" si="427"/>
        <v>2022</v>
      </c>
      <c r="AJ1526" s="6">
        <f t="shared" ca="1" si="428"/>
        <v>2</v>
      </c>
      <c r="AK1526" s="68">
        <f ca="1">IFERROR(__xludf.DUMMYFUNCTION("""COMPUTED_VALUE"""),44619.9986111111)</f>
        <v>44619.998611111099</v>
      </c>
      <c r="AL1526" s="6">
        <f ca="1">IFERROR(__xludf.DUMMYFUNCTION("""COMPUTED_VALUE"""),37710.46)</f>
        <v>37710.46</v>
      </c>
      <c r="AP1526" s="6" t="str">
        <f t="shared" ca="1" si="429"/>
        <v>20241</v>
      </c>
      <c r="AQ1526" s="6">
        <f t="shared" ca="1" si="430"/>
        <v>2024</v>
      </c>
      <c r="AR1526" s="6">
        <f t="shared" ca="1" si="431"/>
        <v>1</v>
      </c>
      <c r="AS1526" s="68">
        <f ca="1">IFERROR(__xludf.DUMMYFUNCTION("""COMPUTED_VALUE"""),45322.9986111111)</f>
        <v>45322.998611111099</v>
      </c>
      <c r="AT1526" s="6">
        <f ca="1">IFERROR(__xludf.DUMMYFUNCTION("""COMPUTED_VALUE"""),2067.4)</f>
        <v>2067.4</v>
      </c>
    </row>
    <row r="1527" spans="2:46" x14ac:dyDescent="0.35">
      <c r="B1527" s="6" t="str">
        <f t="shared" ca="1" si="414"/>
        <v>20241</v>
      </c>
      <c r="C1527" s="6">
        <f t="shared" ca="1" si="415"/>
        <v>2024</v>
      </c>
      <c r="D1527" s="6">
        <f t="shared" ca="1" si="416"/>
        <v>1</v>
      </c>
      <c r="E1527" s="68">
        <f ca="1">IFERROR(__xludf.DUMMYFUNCTION("""COMPUTED_VALUE"""),45316.6666666666)</f>
        <v>45316.666666666599</v>
      </c>
      <c r="F1527" s="6">
        <f ca="1">IFERROR(__xludf.DUMMYFUNCTION("""COMPUTED_VALUE"""),4894.16)</f>
        <v>4894.16</v>
      </c>
      <c r="J1527" s="6" t="str">
        <f t="shared" ca="1" si="417"/>
        <v>20241</v>
      </c>
      <c r="K1527" s="6">
        <f t="shared" ca="1" si="418"/>
        <v>2024</v>
      </c>
      <c r="L1527" s="6">
        <f t="shared" ca="1" si="419"/>
        <v>1</v>
      </c>
      <c r="M1527" s="68">
        <f ca="1">IFERROR(__xludf.DUMMYFUNCTION("""COMPUTED_VALUE"""),45308.6666666666)</f>
        <v>45308.666666666599</v>
      </c>
      <c r="N1527" s="6">
        <f ca="1">IFERROR(__xludf.DUMMYFUNCTION("""COMPUTED_VALUE"""),14855.62)</f>
        <v>14855.62</v>
      </c>
      <c r="R1527" s="6" t="str">
        <f t="shared" ca="1" si="420"/>
        <v>20243</v>
      </c>
      <c r="S1527" s="6">
        <f t="shared" ca="1" si="421"/>
        <v>2024</v>
      </c>
      <c r="T1527" s="6">
        <f t="shared" ca="1" si="422"/>
        <v>3</v>
      </c>
      <c r="U1527" s="68">
        <f ca="1">IFERROR(__xludf.DUMMYFUNCTION("""COMPUTED_VALUE"""),45369.6458333333)</f>
        <v>45369.645833333299</v>
      </c>
      <c r="V1527" s="6">
        <f ca="1">IFERROR(__xludf.DUMMYFUNCTION("""COMPUTED_VALUE"""),2685.84)</f>
        <v>2685.84</v>
      </c>
      <c r="Z1527" s="6" t="str">
        <f t="shared" ca="1" si="423"/>
        <v>20224</v>
      </c>
      <c r="AA1527" s="6">
        <f t="shared" ca="1" si="424"/>
        <v>2022</v>
      </c>
      <c r="AB1527" s="6">
        <f t="shared" ca="1" si="425"/>
        <v>4</v>
      </c>
      <c r="AC1527" s="68">
        <f ca="1">IFERROR(__xludf.DUMMYFUNCTION("""COMPUTED_VALUE"""),44676.9986111111)</f>
        <v>44676.998611111099</v>
      </c>
      <c r="AD1527" s="6">
        <f ca="1">IFERROR(__xludf.DUMMYFUNCTION("""COMPUTED_VALUE"""),1249.21)</f>
        <v>1249.21</v>
      </c>
      <c r="AH1527" s="6" t="str">
        <f t="shared" ca="1" si="426"/>
        <v>20222</v>
      </c>
      <c r="AI1527" s="6">
        <f t="shared" ca="1" si="427"/>
        <v>2022</v>
      </c>
      <c r="AJ1527" s="6">
        <f t="shared" ca="1" si="428"/>
        <v>2</v>
      </c>
      <c r="AK1527" s="68">
        <f ca="1">IFERROR(__xludf.DUMMYFUNCTION("""COMPUTED_VALUE"""),44620.9986111111)</f>
        <v>44620.998611111099</v>
      </c>
      <c r="AL1527" s="6">
        <f ca="1">IFERROR(__xludf.DUMMYFUNCTION("""COMPUTED_VALUE"""),43193.8)</f>
        <v>43193.8</v>
      </c>
      <c r="AP1527" s="6" t="str">
        <f t="shared" ca="1" si="429"/>
        <v>20242</v>
      </c>
      <c r="AQ1527" s="6">
        <f t="shared" ca="1" si="430"/>
        <v>2024</v>
      </c>
      <c r="AR1527" s="6">
        <f t="shared" ca="1" si="431"/>
        <v>2</v>
      </c>
      <c r="AS1527" s="68">
        <f ca="1">IFERROR(__xludf.DUMMYFUNCTION("""COMPUTED_VALUE"""),45323.9986111111)</f>
        <v>45323.998611111099</v>
      </c>
      <c r="AT1527" s="6">
        <f ca="1">IFERROR(__xludf.DUMMYFUNCTION("""COMPUTED_VALUE"""),2071.1)</f>
        <v>2071.1</v>
      </c>
    </row>
    <row r="1528" spans="2:46" x14ac:dyDescent="0.35">
      <c r="B1528" s="6" t="str">
        <f t="shared" ca="1" si="414"/>
        <v>20241</v>
      </c>
      <c r="C1528" s="6">
        <f t="shared" ca="1" si="415"/>
        <v>2024</v>
      </c>
      <c r="D1528" s="6">
        <f t="shared" ca="1" si="416"/>
        <v>1</v>
      </c>
      <c r="E1528" s="68">
        <f ca="1">IFERROR(__xludf.DUMMYFUNCTION("""COMPUTED_VALUE"""),45317.6666666666)</f>
        <v>45317.666666666599</v>
      </c>
      <c r="F1528" s="6">
        <f ca="1">IFERROR(__xludf.DUMMYFUNCTION("""COMPUTED_VALUE"""),4890.97)</f>
        <v>4890.97</v>
      </c>
      <c r="J1528" s="6" t="str">
        <f t="shared" ca="1" si="417"/>
        <v>20241</v>
      </c>
      <c r="K1528" s="6">
        <f t="shared" ca="1" si="418"/>
        <v>2024</v>
      </c>
      <c r="L1528" s="6">
        <f t="shared" ca="1" si="419"/>
        <v>1</v>
      </c>
      <c r="M1528" s="68">
        <f ca="1">IFERROR(__xludf.DUMMYFUNCTION("""COMPUTED_VALUE"""),45309.6666666666)</f>
        <v>45309.666666666599</v>
      </c>
      <c r="N1528" s="6">
        <f ca="1">IFERROR(__xludf.DUMMYFUNCTION("""COMPUTED_VALUE"""),15055.65)</f>
        <v>15055.65</v>
      </c>
      <c r="R1528" s="6" t="str">
        <f t="shared" ca="1" si="420"/>
        <v>20243</v>
      </c>
      <c r="S1528" s="6">
        <f t="shared" ca="1" si="421"/>
        <v>2024</v>
      </c>
      <c r="T1528" s="6">
        <f t="shared" ca="1" si="422"/>
        <v>3</v>
      </c>
      <c r="U1528" s="68">
        <f ca="1">IFERROR(__xludf.DUMMYFUNCTION("""COMPUTED_VALUE"""),45370.6458333333)</f>
        <v>45370.645833333299</v>
      </c>
      <c r="V1528" s="6">
        <f ca="1">IFERROR(__xludf.DUMMYFUNCTION("""COMPUTED_VALUE"""),2656.17)</f>
        <v>2656.17</v>
      </c>
      <c r="Z1528" s="6" t="str">
        <f t="shared" ca="1" si="423"/>
        <v>20224</v>
      </c>
      <c r="AA1528" s="6">
        <f t="shared" ca="1" si="424"/>
        <v>2022</v>
      </c>
      <c r="AB1528" s="6">
        <f t="shared" ca="1" si="425"/>
        <v>4</v>
      </c>
      <c r="AC1528" s="68">
        <f ca="1">IFERROR(__xludf.DUMMYFUNCTION("""COMPUTED_VALUE"""),44677.9986111111)</f>
        <v>44677.998611111099</v>
      </c>
      <c r="AD1528" s="6">
        <f ca="1">IFERROR(__xludf.DUMMYFUNCTION("""COMPUTED_VALUE"""),1260.71)</f>
        <v>1260.71</v>
      </c>
      <c r="AH1528" s="6" t="str">
        <f t="shared" ca="1" si="426"/>
        <v>20223</v>
      </c>
      <c r="AI1528" s="6">
        <f t="shared" ca="1" si="427"/>
        <v>2022</v>
      </c>
      <c r="AJ1528" s="6">
        <f t="shared" ca="1" si="428"/>
        <v>3</v>
      </c>
      <c r="AK1528" s="68">
        <f ca="1">IFERROR(__xludf.DUMMYFUNCTION("""COMPUTED_VALUE"""),44621.9986111111)</f>
        <v>44621.998611111099</v>
      </c>
      <c r="AL1528" s="6">
        <f ca="1">IFERROR(__xludf.DUMMYFUNCTION("""COMPUTED_VALUE"""),44427.58)</f>
        <v>44427.58</v>
      </c>
      <c r="AP1528" s="6" t="str">
        <f t="shared" ca="1" si="429"/>
        <v>20242</v>
      </c>
      <c r="AQ1528" s="6">
        <f t="shared" ca="1" si="430"/>
        <v>2024</v>
      </c>
      <c r="AR1528" s="6">
        <f t="shared" ca="1" si="431"/>
        <v>2</v>
      </c>
      <c r="AS1528" s="68">
        <f ca="1">IFERROR(__xludf.DUMMYFUNCTION("""COMPUTED_VALUE"""),45324.9986111111)</f>
        <v>45324.998611111099</v>
      </c>
      <c r="AT1528" s="6">
        <f ca="1">IFERROR(__xludf.DUMMYFUNCTION("""COMPUTED_VALUE"""),2053.7)</f>
        <v>2053.6999999999998</v>
      </c>
    </row>
    <row r="1529" spans="2:46" x14ac:dyDescent="0.35">
      <c r="B1529" s="6" t="str">
        <f t="shared" ca="1" si="414"/>
        <v>20241</v>
      </c>
      <c r="C1529" s="6">
        <f t="shared" ca="1" si="415"/>
        <v>2024</v>
      </c>
      <c r="D1529" s="6">
        <f t="shared" ca="1" si="416"/>
        <v>1</v>
      </c>
      <c r="E1529" s="68">
        <f ca="1">IFERROR(__xludf.DUMMYFUNCTION("""COMPUTED_VALUE"""),45320.6666666666)</f>
        <v>45320.666666666599</v>
      </c>
      <c r="F1529" s="6">
        <f ca="1">IFERROR(__xludf.DUMMYFUNCTION("""COMPUTED_VALUE"""),4927.93)</f>
        <v>4927.93</v>
      </c>
      <c r="J1529" s="6" t="str">
        <f t="shared" ca="1" si="417"/>
        <v>20241</v>
      </c>
      <c r="K1529" s="6">
        <f t="shared" ca="1" si="418"/>
        <v>2024</v>
      </c>
      <c r="L1529" s="6">
        <f t="shared" ca="1" si="419"/>
        <v>1</v>
      </c>
      <c r="M1529" s="68">
        <f ca="1">IFERROR(__xludf.DUMMYFUNCTION("""COMPUTED_VALUE"""),45310.6666666666)</f>
        <v>45310.666666666599</v>
      </c>
      <c r="N1529" s="6">
        <f ca="1">IFERROR(__xludf.DUMMYFUNCTION("""COMPUTED_VALUE"""),15310.97)</f>
        <v>15310.97</v>
      </c>
      <c r="R1529" s="6" t="str">
        <f t="shared" ca="1" si="420"/>
        <v>20243</v>
      </c>
      <c r="S1529" s="6">
        <f t="shared" ca="1" si="421"/>
        <v>2024</v>
      </c>
      <c r="T1529" s="6">
        <f t="shared" ca="1" si="422"/>
        <v>3</v>
      </c>
      <c r="U1529" s="68">
        <f ca="1">IFERROR(__xludf.DUMMYFUNCTION("""COMPUTED_VALUE"""),45371.6458333333)</f>
        <v>45371.645833333299</v>
      </c>
      <c r="V1529" s="6">
        <f ca="1">IFERROR(__xludf.DUMMYFUNCTION("""COMPUTED_VALUE"""),2690.14)</f>
        <v>2690.14</v>
      </c>
      <c r="Z1529" s="6" t="str">
        <f t="shared" ca="1" si="423"/>
        <v>20224</v>
      </c>
      <c r="AA1529" s="6">
        <f t="shared" ca="1" si="424"/>
        <v>2022</v>
      </c>
      <c r="AB1529" s="6">
        <f t="shared" ca="1" si="425"/>
        <v>4</v>
      </c>
      <c r="AC1529" s="68">
        <f ca="1">IFERROR(__xludf.DUMMYFUNCTION("""COMPUTED_VALUE"""),44678.9986111111)</f>
        <v>44678.998611111099</v>
      </c>
      <c r="AD1529" s="6">
        <f ca="1">IFERROR(__xludf.DUMMYFUNCTION("""COMPUTED_VALUE"""),1266.28)</f>
        <v>1266.28</v>
      </c>
      <c r="AH1529" s="6" t="str">
        <f t="shared" ca="1" si="426"/>
        <v>20223</v>
      </c>
      <c r="AI1529" s="6">
        <f t="shared" ca="1" si="427"/>
        <v>2022</v>
      </c>
      <c r="AJ1529" s="6">
        <f t="shared" ca="1" si="428"/>
        <v>3</v>
      </c>
      <c r="AK1529" s="68">
        <f ca="1">IFERROR(__xludf.DUMMYFUNCTION("""COMPUTED_VALUE"""),44622.9986111111)</f>
        <v>44622.998611111099</v>
      </c>
      <c r="AL1529" s="6">
        <f ca="1">IFERROR(__xludf.DUMMYFUNCTION("""COMPUTED_VALUE"""),43920.23)</f>
        <v>43920.23</v>
      </c>
      <c r="AP1529" s="6" t="str">
        <f t="shared" ca="1" si="429"/>
        <v>20242</v>
      </c>
      <c r="AQ1529" s="6">
        <f t="shared" ca="1" si="430"/>
        <v>2024</v>
      </c>
      <c r="AR1529" s="6">
        <f t="shared" ca="1" si="431"/>
        <v>2</v>
      </c>
      <c r="AS1529" s="68">
        <f ca="1">IFERROR(__xludf.DUMMYFUNCTION("""COMPUTED_VALUE"""),45327.9986111111)</f>
        <v>45327.998611111099</v>
      </c>
      <c r="AT1529" s="6">
        <f ca="1">IFERROR(__xludf.DUMMYFUNCTION("""COMPUTED_VALUE"""),2042.9)</f>
        <v>2042.9</v>
      </c>
    </row>
    <row r="1530" spans="2:46" x14ac:dyDescent="0.35">
      <c r="B1530" s="6" t="str">
        <f t="shared" ca="1" si="414"/>
        <v>20241</v>
      </c>
      <c r="C1530" s="6">
        <f t="shared" ca="1" si="415"/>
        <v>2024</v>
      </c>
      <c r="D1530" s="6">
        <f t="shared" ca="1" si="416"/>
        <v>1</v>
      </c>
      <c r="E1530" s="68">
        <f ca="1">IFERROR(__xludf.DUMMYFUNCTION("""COMPUTED_VALUE"""),45321.6666666666)</f>
        <v>45321.666666666599</v>
      </c>
      <c r="F1530" s="6">
        <f ca="1">IFERROR(__xludf.DUMMYFUNCTION("""COMPUTED_VALUE"""),4924.97)</f>
        <v>4924.97</v>
      </c>
      <c r="J1530" s="6" t="str">
        <f t="shared" ca="1" si="417"/>
        <v>20241</v>
      </c>
      <c r="K1530" s="6">
        <f t="shared" ca="1" si="418"/>
        <v>2024</v>
      </c>
      <c r="L1530" s="6">
        <f t="shared" ca="1" si="419"/>
        <v>1</v>
      </c>
      <c r="M1530" s="68">
        <f ca="1">IFERROR(__xludf.DUMMYFUNCTION("""COMPUTED_VALUE"""),45313.6666666666)</f>
        <v>45313.666666666599</v>
      </c>
      <c r="N1530" s="6">
        <f ca="1">IFERROR(__xludf.DUMMYFUNCTION("""COMPUTED_VALUE"""),15360.29)</f>
        <v>15360.29</v>
      </c>
      <c r="R1530" s="6" t="str">
        <f t="shared" ca="1" si="420"/>
        <v>20243</v>
      </c>
      <c r="S1530" s="6">
        <f t="shared" ca="1" si="421"/>
        <v>2024</v>
      </c>
      <c r="T1530" s="6">
        <f t="shared" ca="1" si="422"/>
        <v>3</v>
      </c>
      <c r="U1530" s="68">
        <f ca="1">IFERROR(__xludf.DUMMYFUNCTION("""COMPUTED_VALUE"""),45372.6458333333)</f>
        <v>45372.645833333299</v>
      </c>
      <c r="V1530" s="6">
        <f ca="1">IFERROR(__xludf.DUMMYFUNCTION("""COMPUTED_VALUE"""),2754.86)</f>
        <v>2754.86</v>
      </c>
      <c r="Z1530" s="6" t="str">
        <f t="shared" ca="1" si="423"/>
        <v>20224</v>
      </c>
      <c r="AA1530" s="6">
        <f t="shared" ca="1" si="424"/>
        <v>2022</v>
      </c>
      <c r="AB1530" s="6">
        <f t="shared" ca="1" si="425"/>
        <v>4</v>
      </c>
      <c r="AC1530" s="68">
        <f ca="1">IFERROR(__xludf.DUMMYFUNCTION("""COMPUTED_VALUE"""),44679.9986111111)</f>
        <v>44679.998611111099</v>
      </c>
      <c r="AD1530" s="6">
        <f ca="1">IFERROR(__xludf.DUMMYFUNCTION("""COMPUTED_VALUE"""),1272.29)</f>
        <v>1272.29</v>
      </c>
      <c r="AH1530" s="6" t="str">
        <f t="shared" ca="1" si="426"/>
        <v>20223</v>
      </c>
      <c r="AI1530" s="6">
        <f t="shared" ca="1" si="427"/>
        <v>2022</v>
      </c>
      <c r="AJ1530" s="6">
        <f t="shared" ca="1" si="428"/>
        <v>3</v>
      </c>
      <c r="AK1530" s="68">
        <f ca="1">IFERROR(__xludf.DUMMYFUNCTION("""COMPUTED_VALUE"""),44623.9986111111)</f>
        <v>44623.998611111099</v>
      </c>
      <c r="AL1530" s="6">
        <f ca="1">IFERROR(__xludf.DUMMYFUNCTION("""COMPUTED_VALUE"""),42464.19)</f>
        <v>42464.19</v>
      </c>
      <c r="AP1530" s="6" t="str">
        <f t="shared" ca="1" si="429"/>
        <v>20242</v>
      </c>
      <c r="AQ1530" s="6">
        <f t="shared" ca="1" si="430"/>
        <v>2024</v>
      </c>
      <c r="AR1530" s="6">
        <f t="shared" ca="1" si="431"/>
        <v>2</v>
      </c>
      <c r="AS1530" s="68">
        <f ca="1">IFERROR(__xludf.DUMMYFUNCTION("""COMPUTED_VALUE"""),45328.9986111111)</f>
        <v>45328.998611111099</v>
      </c>
      <c r="AT1530" s="6">
        <f ca="1">IFERROR(__xludf.DUMMYFUNCTION("""COMPUTED_VALUE"""),2051.4)</f>
        <v>2051.4</v>
      </c>
    </row>
    <row r="1531" spans="2:46" x14ac:dyDescent="0.35">
      <c r="B1531" s="6" t="str">
        <f t="shared" ca="1" si="414"/>
        <v>20241</v>
      </c>
      <c r="C1531" s="6">
        <f t="shared" ca="1" si="415"/>
        <v>2024</v>
      </c>
      <c r="D1531" s="6">
        <f t="shared" ca="1" si="416"/>
        <v>1</v>
      </c>
      <c r="E1531" s="68">
        <f ca="1">IFERROR(__xludf.DUMMYFUNCTION("""COMPUTED_VALUE"""),45322.6666666666)</f>
        <v>45322.666666666599</v>
      </c>
      <c r="F1531" s="6">
        <f ca="1">IFERROR(__xludf.DUMMYFUNCTION("""COMPUTED_VALUE"""),4845.65)</f>
        <v>4845.6499999999996</v>
      </c>
      <c r="J1531" s="6" t="str">
        <f t="shared" ca="1" si="417"/>
        <v>20241</v>
      </c>
      <c r="K1531" s="6">
        <f t="shared" ca="1" si="418"/>
        <v>2024</v>
      </c>
      <c r="L1531" s="6">
        <f t="shared" ca="1" si="419"/>
        <v>1</v>
      </c>
      <c r="M1531" s="68">
        <f ca="1">IFERROR(__xludf.DUMMYFUNCTION("""COMPUTED_VALUE"""),45314.6666666666)</f>
        <v>45314.666666666599</v>
      </c>
      <c r="N1531" s="6">
        <f ca="1">IFERROR(__xludf.DUMMYFUNCTION("""COMPUTED_VALUE"""),15425.94)</f>
        <v>15425.94</v>
      </c>
      <c r="R1531" s="6" t="str">
        <f t="shared" ca="1" si="420"/>
        <v>20243</v>
      </c>
      <c r="S1531" s="6">
        <f t="shared" ca="1" si="421"/>
        <v>2024</v>
      </c>
      <c r="T1531" s="6">
        <f t="shared" ca="1" si="422"/>
        <v>3</v>
      </c>
      <c r="U1531" s="68">
        <f ca="1">IFERROR(__xludf.DUMMYFUNCTION("""COMPUTED_VALUE"""),45373.6458333333)</f>
        <v>45373.645833333299</v>
      </c>
      <c r="V1531" s="6">
        <f ca="1">IFERROR(__xludf.DUMMYFUNCTION("""COMPUTED_VALUE"""),2748.56)</f>
        <v>2748.56</v>
      </c>
      <c r="Z1531" s="6" t="str">
        <f t="shared" ca="1" si="423"/>
        <v>20224</v>
      </c>
      <c r="AA1531" s="6">
        <f t="shared" ca="1" si="424"/>
        <v>2022</v>
      </c>
      <c r="AB1531" s="6">
        <f t="shared" ca="1" si="425"/>
        <v>4</v>
      </c>
      <c r="AC1531" s="68">
        <f ca="1">IFERROR(__xludf.DUMMYFUNCTION("""COMPUTED_VALUE"""),44680.9986111111)</f>
        <v>44680.998611111099</v>
      </c>
      <c r="AD1531" s="6">
        <f ca="1">IFERROR(__xludf.DUMMYFUNCTION("""COMPUTED_VALUE"""),1263.38)</f>
        <v>1263.3800000000001</v>
      </c>
      <c r="AH1531" s="6" t="str">
        <f t="shared" ca="1" si="426"/>
        <v>20223</v>
      </c>
      <c r="AI1531" s="6">
        <f t="shared" ca="1" si="427"/>
        <v>2022</v>
      </c>
      <c r="AJ1531" s="6">
        <f t="shared" ca="1" si="428"/>
        <v>3</v>
      </c>
      <c r="AK1531" s="68">
        <f ca="1">IFERROR(__xludf.DUMMYFUNCTION("""COMPUTED_VALUE"""),44624.9986111111)</f>
        <v>44624.998611111099</v>
      </c>
      <c r="AL1531" s="6">
        <f ca="1">IFERROR(__xludf.DUMMYFUNCTION("""COMPUTED_VALUE"""),39151.55)</f>
        <v>39151.550000000003</v>
      </c>
      <c r="AP1531" s="6" t="str">
        <f t="shared" ca="1" si="429"/>
        <v>20242</v>
      </c>
      <c r="AQ1531" s="6">
        <f t="shared" ca="1" si="430"/>
        <v>2024</v>
      </c>
      <c r="AR1531" s="6">
        <f t="shared" ca="1" si="431"/>
        <v>2</v>
      </c>
      <c r="AS1531" s="68">
        <f ca="1">IFERROR(__xludf.DUMMYFUNCTION("""COMPUTED_VALUE"""),45329.9986111111)</f>
        <v>45329.998611111099</v>
      </c>
      <c r="AT1531" s="6">
        <f ca="1">IFERROR(__xludf.DUMMYFUNCTION("""COMPUTED_VALUE"""),2051.7)</f>
        <v>2051.6999999999998</v>
      </c>
    </row>
    <row r="1532" spans="2:46" x14ac:dyDescent="0.35">
      <c r="B1532" s="6" t="str">
        <f t="shared" ca="1" si="414"/>
        <v>20242</v>
      </c>
      <c r="C1532" s="6">
        <f t="shared" ca="1" si="415"/>
        <v>2024</v>
      </c>
      <c r="D1532" s="6">
        <f t="shared" ca="1" si="416"/>
        <v>2</v>
      </c>
      <c r="E1532" s="68">
        <f ca="1">IFERROR(__xludf.DUMMYFUNCTION("""COMPUTED_VALUE"""),45323.6666666666)</f>
        <v>45323.666666666599</v>
      </c>
      <c r="F1532" s="6">
        <f ca="1">IFERROR(__xludf.DUMMYFUNCTION("""COMPUTED_VALUE"""),4906.19)</f>
        <v>4906.1899999999996</v>
      </c>
      <c r="J1532" s="6" t="str">
        <f t="shared" ca="1" si="417"/>
        <v>20241</v>
      </c>
      <c r="K1532" s="6">
        <f t="shared" ca="1" si="418"/>
        <v>2024</v>
      </c>
      <c r="L1532" s="6">
        <f t="shared" ca="1" si="419"/>
        <v>1</v>
      </c>
      <c r="M1532" s="68">
        <f ca="1">IFERROR(__xludf.DUMMYFUNCTION("""COMPUTED_VALUE"""),45315.6666666666)</f>
        <v>45315.666666666599</v>
      </c>
      <c r="N1532" s="6">
        <f ca="1">IFERROR(__xludf.DUMMYFUNCTION("""COMPUTED_VALUE"""),15481.92)</f>
        <v>15481.92</v>
      </c>
      <c r="R1532" s="6" t="str">
        <f t="shared" ca="1" si="420"/>
        <v>20243</v>
      </c>
      <c r="S1532" s="6">
        <f t="shared" ca="1" si="421"/>
        <v>2024</v>
      </c>
      <c r="T1532" s="6">
        <f t="shared" ca="1" si="422"/>
        <v>3</v>
      </c>
      <c r="U1532" s="68">
        <f ca="1">IFERROR(__xludf.DUMMYFUNCTION("""COMPUTED_VALUE"""),45376.6458333333)</f>
        <v>45376.645833333299</v>
      </c>
      <c r="V1532" s="6">
        <f ca="1">IFERROR(__xludf.DUMMYFUNCTION("""COMPUTED_VALUE"""),2737.57)</f>
        <v>2737.57</v>
      </c>
      <c r="Z1532" s="6" t="str">
        <f t="shared" ca="1" si="423"/>
        <v>20224</v>
      </c>
      <c r="AA1532" s="6">
        <f t="shared" ca="1" si="424"/>
        <v>2022</v>
      </c>
      <c r="AB1532" s="6">
        <f t="shared" ca="1" si="425"/>
        <v>4</v>
      </c>
      <c r="AC1532" s="68">
        <f ca="1">IFERROR(__xludf.DUMMYFUNCTION("""COMPUTED_VALUE"""),44681.9986111111)</f>
        <v>44681.998611111099</v>
      </c>
      <c r="AD1532" s="6">
        <f ca="1">IFERROR(__xludf.DUMMYFUNCTION("""COMPUTED_VALUE"""),1263.38)</f>
        <v>1263.3800000000001</v>
      </c>
      <c r="AH1532" s="6" t="str">
        <f t="shared" ca="1" si="426"/>
        <v>20223</v>
      </c>
      <c r="AI1532" s="6">
        <f t="shared" ca="1" si="427"/>
        <v>2022</v>
      </c>
      <c r="AJ1532" s="6">
        <f t="shared" ca="1" si="428"/>
        <v>3</v>
      </c>
      <c r="AK1532" s="68">
        <f ca="1">IFERROR(__xludf.DUMMYFUNCTION("""COMPUTED_VALUE"""),44625.9986111111)</f>
        <v>44625.998611111099</v>
      </c>
      <c r="AL1532" s="6">
        <f ca="1">IFERROR(__xludf.DUMMYFUNCTION("""COMPUTED_VALUE"""),39397.01)</f>
        <v>39397.01</v>
      </c>
      <c r="AP1532" s="6" t="str">
        <f t="shared" ca="1" si="429"/>
        <v>20242</v>
      </c>
      <c r="AQ1532" s="6">
        <f t="shared" ca="1" si="430"/>
        <v>2024</v>
      </c>
      <c r="AR1532" s="6">
        <f t="shared" ca="1" si="431"/>
        <v>2</v>
      </c>
      <c r="AS1532" s="68">
        <f ca="1">IFERROR(__xludf.DUMMYFUNCTION("""COMPUTED_VALUE"""),45330.9986111111)</f>
        <v>45330.998611111099</v>
      </c>
      <c r="AT1532" s="6">
        <f ca="1">IFERROR(__xludf.DUMMYFUNCTION("""COMPUTED_VALUE"""),2047.9)</f>
        <v>2047.9</v>
      </c>
    </row>
    <row r="1533" spans="2:46" x14ac:dyDescent="0.35">
      <c r="B1533" s="6" t="str">
        <f t="shared" ca="1" si="414"/>
        <v>20242</v>
      </c>
      <c r="C1533" s="6">
        <f t="shared" ca="1" si="415"/>
        <v>2024</v>
      </c>
      <c r="D1533" s="6">
        <f t="shared" ca="1" si="416"/>
        <v>2</v>
      </c>
      <c r="E1533" s="68">
        <f ca="1">IFERROR(__xludf.DUMMYFUNCTION("""COMPUTED_VALUE"""),45324.6666666666)</f>
        <v>45324.666666666599</v>
      </c>
      <c r="F1533" s="6">
        <f ca="1">IFERROR(__xludf.DUMMYFUNCTION("""COMPUTED_VALUE"""),4958.61)</f>
        <v>4958.6099999999997</v>
      </c>
      <c r="J1533" s="6" t="str">
        <f t="shared" ca="1" si="417"/>
        <v>20241</v>
      </c>
      <c r="K1533" s="6">
        <f t="shared" ca="1" si="418"/>
        <v>2024</v>
      </c>
      <c r="L1533" s="6">
        <f t="shared" ca="1" si="419"/>
        <v>1</v>
      </c>
      <c r="M1533" s="68">
        <f ca="1">IFERROR(__xludf.DUMMYFUNCTION("""COMPUTED_VALUE"""),45316.6666666666)</f>
        <v>45316.666666666599</v>
      </c>
      <c r="N1533" s="6">
        <f ca="1">IFERROR(__xludf.DUMMYFUNCTION("""COMPUTED_VALUE"""),15510.5)</f>
        <v>15510.5</v>
      </c>
      <c r="R1533" s="6" t="str">
        <f t="shared" ca="1" si="420"/>
        <v>20243</v>
      </c>
      <c r="S1533" s="6">
        <f t="shared" ca="1" si="421"/>
        <v>2024</v>
      </c>
      <c r="T1533" s="6">
        <f t="shared" ca="1" si="422"/>
        <v>3</v>
      </c>
      <c r="U1533" s="68">
        <f ca="1">IFERROR(__xludf.DUMMYFUNCTION("""COMPUTED_VALUE"""),45377.6458333333)</f>
        <v>45377.645833333299</v>
      </c>
      <c r="V1533" s="6">
        <f ca="1">IFERROR(__xludf.DUMMYFUNCTION("""COMPUTED_VALUE"""),2757.09)</f>
        <v>2757.09</v>
      </c>
      <c r="Z1533" s="6" t="str">
        <f t="shared" ca="1" si="423"/>
        <v>20225</v>
      </c>
      <c r="AA1533" s="6">
        <f t="shared" ca="1" si="424"/>
        <v>2022</v>
      </c>
      <c r="AB1533" s="6">
        <f t="shared" ca="1" si="425"/>
        <v>5</v>
      </c>
      <c r="AC1533" s="68">
        <f ca="1">IFERROR(__xludf.DUMMYFUNCTION("""COMPUTED_VALUE"""),44682.9986111111)</f>
        <v>44682.998611111099</v>
      </c>
      <c r="AD1533" s="6">
        <f ca="1">IFERROR(__xludf.DUMMYFUNCTION("""COMPUTED_VALUE"""),1262.53)</f>
        <v>1262.53</v>
      </c>
      <c r="AH1533" s="6" t="str">
        <f t="shared" ca="1" si="426"/>
        <v>20223</v>
      </c>
      <c r="AI1533" s="6">
        <f t="shared" ca="1" si="427"/>
        <v>2022</v>
      </c>
      <c r="AJ1533" s="6">
        <f t="shared" ca="1" si="428"/>
        <v>3</v>
      </c>
      <c r="AK1533" s="68">
        <f ca="1">IFERROR(__xludf.DUMMYFUNCTION("""COMPUTED_VALUE"""),44626.9986111111)</f>
        <v>44626.998611111099</v>
      </c>
      <c r="AL1533" s="6">
        <f ca="1">IFERROR(__xludf.DUMMYFUNCTION("""COMPUTED_VALUE"""),38414.21)</f>
        <v>38414.21</v>
      </c>
      <c r="AP1533" s="6" t="str">
        <f t="shared" ca="1" si="429"/>
        <v>20242</v>
      </c>
      <c r="AQ1533" s="6">
        <f t="shared" ca="1" si="430"/>
        <v>2024</v>
      </c>
      <c r="AR1533" s="6">
        <f t="shared" ca="1" si="431"/>
        <v>2</v>
      </c>
      <c r="AS1533" s="68">
        <f ca="1">IFERROR(__xludf.DUMMYFUNCTION("""COMPUTED_VALUE"""),45331.9986111111)</f>
        <v>45331.998611111099</v>
      </c>
      <c r="AT1533" s="6">
        <f ca="1">IFERROR(__xludf.DUMMYFUNCTION("""COMPUTED_VALUE"""),2038.7)</f>
        <v>2038.7</v>
      </c>
    </row>
    <row r="1534" spans="2:46" x14ac:dyDescent="0.35">
      <c r="B1534" s="6" t="str">
        <f t="shared" ca="1" si="414"/>
        <v>20242</v>
      </c>
      <c r="C1534" s="6">
        <f t="shared" ca="1" si="415"/>
        <v>2024</v>
      </c>
      <c r="D1534" s="6">
        <f t="shared" ca="1" si="416"/>
        <v>2</v>
      </c>
      <c r="E1534" s="68">
        <f ca="1">IFERROR(__xludf.DUMMYFUNCTION("""COMPUTED_VALUE"""),45327.6666666666)</f>
        <v>45327.666666666599</v>
      </c>
      <c r="F1534" s="6">
        <f ca="1">IFERROR(__xludf.DUMMYFUNCTION("""COMPUTED_VALUE"""),4942.81)</f>
        <v>4942.8100000000004</v>
      </c>
      <c r="J1534" s="6" t="str">
        <f t="shared" ca="1" si="417"/>
        <v>20241</v>
      </c>
      <c r="K1534" s="6">
        <f t="shared" ca="1" si="418"/>
        <v>2024</v>
      </c>
      <c r="L1534" s="6">
        <f t="shared" ca="1" si="419"/>
        <v>1</v>
      </c>
      <c r="M1534" s="68">
        <f ca="1">IFERROR(__xludf.DUMMYFUNCTION("""COMPUTED_VALUE"""),45317.6666666666)</f>
        <v>45317.666666666599</v>
      </c>
      <c r="N1534" s="6">
        <f ca="1">IFERROR(__xludf.DUMMYFUNCTION("""COMPUTED_VALUE"""),15455.36)</f>
        <v>15455.36</v>
      </c>
      <c r="R1534" s="6" t="str">
        <f t="shared" ca="1" si="420"/>
        <v>20243</v>
      </c>
      <c r="S1534" s="6">
        <f t="shared" ca="1" si="421"/>
        <v>2024</v>
      </c>
      <c r="T1534" s="6">
        <f t="shared" ca="1" si="422"/>
        <v>3</v>
      </c>
      <c r="U1534" s="68">
        <f ca="1">IFERROR(__xludf.DUMMYFUNCTION("""COMPUTED_VALUE"""),45378.6458333333)</f>
        <v>45378.645833333299</v>
      </c>
      <c r="V1534" s="6">
        <f ca="1">IFERROR(__xludf.DUMMYFUNCTION("""COMPUTED_VALUE"""),2755.11)</f>
        <v>2755.11</v>
      </c>
      <c r="Z1534" s="6" t="str">
        <f t="shared" ca="1" si="423"/>
        <v>20225</v>
      </c>
      <c r="AA1534" s="6">
        <f t="shared" ca="1" si="424"/>
        <v>2022</v>
      </c>
      <c r="AB1534" s="6">
        <f t="shared" ca="1" si="425"/>
        <v>5</v>
      </c>
      <c r="AC1534" s="68">
        <f ca="1">IFERROR(__xludf.DUMMYFUNCTION("""COMPUTED_VALUE"""),44683.9986111111)</f>
        <v>44683.998611111099</v>
      </c>
      <c r="AD1534" s="6">
        <f ca="1">IFERROR(__xludf.DUMMYFUNCTION("""COMPUTED_VALUE"""),1266.75)</f>
        <v>1266.75</v>
      </c>
      <c r="AH1534" s="6" t="str">
        <f t="shared" ca="1" si="426"/>
        <v>20223</v>
      </c>
      <c r="AI1534" s="6">
        <f t="shared" ca="1" si="427"/>
        <v>2022</v>
      </c>
      <c r="AJ1534" s="6">
        <f t="shared" ca="1" si="428"/>
        <v>3</v>
      </c>
      <c r="AK1534" s="68">
        <f ca="1">IFERROR(__xludf.DUMMYFUNCTION("""COMPUTED_VALUE"""),44627.9986111111)</f>
        <v>44627.998611111099</v>
      </c>
      <c r="AL1534" s="6">
        <f ca="1">IFERROR(__xludf.DUMMYFUNCTION("""COMPUTED_VALUE"""),38033.56)</f>
        <v>38033.56</v>
      </c>
      <c r="AP1534" s="6" t="str">
        <f t="shared" ca="1" si="429"/>
        <v>20242</v>
      </c>
      <c r="AQ1534" s="6">
        <f t="shared" ca="1" si="430"/>
        <v>2024</v>
      </c>
      <c r="AR1534" s="6">
        <f t="shared" ca="1" si="431"/>
        <v>2</v>
      </c>
      <c r="AS1534" s="68">
        <f ca="1">IFERROR(__xludf.DUMMYFUNCTION("""COMPUTED_VALUE"""),45334.9986111111)</f>
        <v>45334.998611111099</v>
      </c>
      <c r="AT1534" s="6">
        <f ca="1">IFERROR(__xludf.DUMMYFUNCTION("""COMPUTED_VALUE"""),2033)</f>
        <v>2033</v>
      </c>
    </row>
    <row r="1535" spans="2:46" x14ac:dyDescent="0.35">
      <c r="B1535" s="6" t="str">
        <f t="shared" ca="1" si="414"/>
        <v>20242</v>
      </c>
      <c r="C1535" s="6">
        <f t="shared" ca="1" si="415"/>
        <v>2024</v>
      </c>
      <c r="D1535" s="6">
        <f t="shared" ca="1" si="416"/>
        <v>2</v>
      </c>
      <c r="E1535" s="68">
        <f ca="1">IFERROR(__xludf.DUMMYFUNCTION("""COMPUTED_VALUE"""),45328.6666666666)</f>
        <v>45328.666666666599</v>
      </c>
      <c r="F1535" s="6">
        <f ca="1">IFERROR(__xludf.DUMMYFUNCTION("""COMPUTED_VALUE"""),4954.23)</f>
        <v>4954.2299999999996</v>
      </c>
      <c r="J1535" s="6" t="str">
        <f t="shared" ca="1" si="417"/>
        <v>20241</v>
      </c>
      <c r="K1535" s="6">
        <f t="shared" ca="1" si="418"/>
        <v>2024</v>
      </c>
      <c r="L1535" s="6">
        <f t="shared" ca="1" si="419"/>
        <v>1</v>
      </c>
      <c r="M1535" s="68">
        <f ca="1">IFERROR(__xludf.DUMMYFUNCTION("""COMPUTED_VALUE"""),45320.6666666666)</f>
        <v>45320.666666666599</v>
      </c>
      <c r="N1535" s="6">
        <f ca="1">IFERROR(__xludf.DUMMYFUNCTION("""COMPUTED_VALUE"""),15628.04)</f>
        <v>15628.04</v>
      </c>
      <c r="R1535" s="6" t="str">
        <f t="shared" ca="1" si="420"/>
        <v>20243</v>
      </c>
      <c r="S1535" s="6">
        <f t="shared" ca="1" si="421"/>
        <v>2024</v>
      </c>
      <c r="T1535" s="6">
        <f t="shared" ca="1" si="422"/>
        <v>3</v>
      </c>
      <c r="U1535" s="68">
        <f ca="1">IFERROR(__xludf.DUMMYFUNCTION("""COMPUTED_VALUE"""),45379.6458333333)</f>
        <v>45379.645833333299</v>
      </c>
      <c r="V1535" s="6">
        <f ca="1">IFERROR(__xludf.DUMMYFUNCTION("""COMPUTED_VALUE"""),2745.82)</f>
        <v>2745.82</v>
      </c>
      <c r="Z1535" s="6" t="str">
        <f t="shared" ca="1" si="423"/>
        <v>20225</v>
      </c>
      <c r="AA1535" s="6">
        <f t="shared" ca="1" si="424"/>
        <v>2022</v>
      </c>
      <c r="AB1535" s="6">
        <f t="shared" ca="1" si="425"/>
        <v>5</v>
      </c>
      <c r="AC1535" s="68">
        <f ca="1">IFERROR(__xludf.DUMMYFUNCTION("""COMPUTED_VALUE"""),44684.9986111111)</f>
        <v>44684.998611111099</v>
      </c>
      <c r="AD1535" s="6">
        <f ca="1">IFERROR(__xludf.DUMMYFUNCTION("""COMPUTED_VALUE"""),1261.06)</f>
        <v>1261.06</v>
      </c>
      <c r="AH1535" s="6" t="str">
        <f t="shared" ca="1" si="426"/>
        <v>20223</v>
      </c>
      <c r="AI1535" s="6">
        <f t="shared" ca="1" si="427"/>
        <v>2022</v>
      </c>
      <c r="AJ1535" s="6">
        <f t="shared" ca="1" si="428"/>
        <v>3</v>
      </c>
      <c r="AK1535" s="68">
        <f ca="1">IFERROR(__xludf.DUMMYFUNCTION("""COMPUTED_VALUE"""),44628.9986111111)</f>
        <v>44628.998611111099</v>
      </c>
      <c r="AL1535" s="6">
        <f ca="1">IFERROR(__xludf.DUMMYFUNCTION("""COMPUTED_VALUE"""),38751.03)</f>
        <v>38751.03</v>
      </c>
      <c r="AP1535" s="6" t="str">
        <f t="shared" ca="1" si="429"/>
        <v>20242</v>
      </c>
      <c r="AQ1535" s="6">
        <f t="shared" ca="1" si="430"/>
        <v>2024</v>
      </c>
      <c r="AR1535" s="6">
        <f t="shared" ca="1" si="431"/>
        <v>2</v>
      </c>
      <c r="AS1535" s="68">
        <f ca="1">IFERROR(__xludf.DUMMYFUNCTION("""COMPUTED_VALUE"""),45335.9986111111)</f>
        <v>45335.998611111099</v>
      </c>
      <c r="AT1535" s="6">
        <f ca="1">IFERROR(__xludf.DUMMYFUNCTION("""COMPUTED_VALUE"""),2007.2)</f>
        <v>2007.2</v>
      </c>
    </row>
    <row r="1536" spans="2:46" x14ac:dyDescent="0.35">
      <c r="B1536" s="6" t="str">
        <f t="shared" ca="1" si="414"/>
        <v>20242</v>
      </c>
      <c r="C1536" s="6">
        <f t="shared" ca="1" si="415"/>
        <v>2024</v>
      </c>
      <c r="D1536" s="6">
        <f t="shared" ca="1" si="416"/>
        <v>2</v>
      </c>
      <c r="E1536" s="68">
        <f ca="1">IFERROR(__xludf.DUMMYFUNCTION("""COMPUTED_VALUE"""),45329.6666666666)</f>
        <v>45329.666666666599</v>
      </c>
      <c r="F1536" s="6">
        <f ca="1">IFERROR(__xludf.DUMMYFUNCTION("""COMPUTED_VALUE"""),4995.06)</f>
        <v>4995.0600000000004</v>
      </c>
      <c r="J1536" s="6" t="str">
        <f t="shared" ca="1" si="417"/>
        <v>20241</v>
      </c>
      <c r="K1536" s="6">
        <f t="shared" ca="1" si="418"/>
        <v>2024</v>
      </c>
      <c r="L1536" s="6">
        <f t="shared" ca="1" si="419"/>
        <v>1</v>
      </c>
      <c r="M1536" s="68">
        <f ca="1">IFERROR(__xludf.DUMMYFUNCTION("""COMPUTED_VALUE"""),45321.6666666666)</f>
        <v>45321.666666666599</v>
      </c>
      <c r="N1536" s="6">
        <f ca="1">IFERROR(__xludf.DUMMYFUNCTION("""COMPUTED_VALUE"""),15509.9)</f>
        <v>15509.9</v>
      </c>
      <c r="R1536" s="6" t="str">
        <f t="shared" ca="1" si="420"/>
        <v>20243</v>
      </c>
      <c r="S1536" s="6">
        <f t="shared" ca="1" si="421"/>
        <v>2024</v>
      </c>
      <c r="T1536" s="6">
        <f t="shared" ca="1" si="422"/>
        <v>3</v>
      </c>
      <c r="U1536" s="68">
        <f ca="1">IFERROR(__xludf.DUMMYFUNCTION("""COMPUTED_VALUE"""),45380.6458333333)</f>
        <v>45380.645833333299</v>
      </c>
      <c r="V1536" s="6">
        <f ca="1">IFERROR(__xludf.DUMMYFUNCTION("""COMPUTED_VALUE"""),2746.63)</f>
        <v>2746.63</v>
      </c>
      <c r="Z1536" s="6" t="str">
        <f t="shared" ca="1" si="423"/>
        <v>20225</v>
      </c>
      <c r="AA1536" s="6">
        <f t="shared" ca="1" si="424"/>
        <v>2022</v>
      </c>
      <c r="AB1536" s="6">
        <f t="shared" ca="1" si="425"/>
        <v>5</v>
      </c>
      <c r="AC1536" s="68">
        <f ca="1">IFERROR(__xludf.DUMMYFUNCTION("""COMPUTED_VALUE"""),44685.9986111111)</f>
        <v>44685.998611111099</v>
      </c>
      <c r="AD1536" s="6">
        <f ca="1">IFERROR(__xludf.DUMMYFUNCTION("""COMPUTED_VALUE"""),1251.5)</f>
        <v>1251.5</v>
      </c>
      <c r="AH1536" s="6" t="str">
        <f t="shared" ca="1" si="426"/>
        <v>20223</v>
      </c>
      <c r="AI1536" s="6">
        <f t="shared" ca="1" si="427"/>
        <v>2022</v>
      </c>
      <c r="AJ1536" s="6">
        <f t="shared" ca="1" si="428"/>
        <v>3</v>
      </c>
      <c r="AK1536" s="68">
        <f ca="1">IFERROR(__xludf.DUMMYFUNCTION("""COMPUTED_VALUE"""),44629.9986111111)</f>
        <v>44629.998611111099</v>
      </c>
      <c r="AL1536" s="6">
        <f ca="1">IFERROR(__xludf.DUMMYFUNCTION("""COMPUTED_VALUE"""),41935.94)</f>
        <v>41935.94</v>
      </c>
      <c r="AP1536" s="6" t="str">
        <f t="shared" ca="1" si="429"/>
        <v>20242</v>
      </c>
      <c r="AQ1536" s="6">
        <f t="shared" ca="1" si="430"/>
        <v>2024</v>
      </c>
      <c r="AR1536" s="6">
        <f t="shared" ca="1" si="431"/>
        <v>2</v>
      </c>
      <c r="AS1536" s="68">
        <f ca="1">IFERROR(__xludf.DUMMYFUNCTION("""COMPUTED_VALUE"""),45336.9986111111)</f>
        <v>45336.998611111099</v>
      </c>
      <c r="AT1536" s="6">
        <f ca="1">IFERROR(__xludf.DUMMYFUNCTION("""COMPUTED_VALUE"""),2004.3)</f>
        <v>2004.3</v>
      </c>
    </row>
    <row r="1537" spans="2:46" x14ac:dyDescent="0.35">
      <c r="B1537" s="6" t="str">
        <f t="shared" ca="1" si="414"/>
        <v>20242</v>
      </c>
      <c r="C1537" s="6">
        <f t="shared" ca="1" si="415"/>
        <v>2024</v>
      </c>
      <c r="D1537" s="6">
        <f t="shared" ca="1" si="416"/>
        <v>2</v>
      </c>
      <c r="E1537" s="68">
        <f ca="1">IFERROR(__xludf.DUMMYFUNCTION("""COMPUTED_VALUE"""),45330.6666666666)</f>
        <v>45330.666666666599</v>
      </c>
      <c r="F1537" s="6">
        <f ca="1">IFERROR(__xludf.DUMMYFUNCTION("""COMPUTED_VALUE"""),4997.91)</f>
        <v>4997.91</v>
      </c>
      <c r="J1537" s="6" t="str">
        <f t="shared" ca="1" si="417"/>
        <v>20241</v>
      </c>
      <c r="K1537" s="6">
        <f t="shared" ca="1" si="418"/>
        <v>2024</v>
      </c>
      <c r="L1537" s="6">
        <f t="shared" ca="1" si="419"/>
        <v>1</v>
      </c>
      <c r="M1537" s="68">
        <f ca="1">IFERROR(__xludf.DUMMYFUNCTION("""COMPUTED_VALUE"""),45322.6666666666)</f>
        <v>45322.666666666599</v>
      </c>
      <c r="N1537" s="6">
        <f ca="1">IFERROR(__xludf.DUMMYFUNCTION("""COMPUTED_VALUE"""),15164.01)</f>
        <v>15164.01</v>
      </c>
      <c r="R1537" s="6" t="str">
        <f t="shared" ca="1" si="420"/>
        <v>20244</v>
      </c>
      <c r="S1537" s="6">
        <f t="shared" ca="1" si="421"/>
        <v>2024</v>
      </c>
      <c r="T1537" s="6">
        <f t="shared" ca="1" si="422"/>
        <v>4</v>
      </c>
      <c r="U1537" s="68">
        <f ca="1">IFERROR(__xludf.DUMMYFUNCTION("""COMPUTED_VALUE"""),45383.6458333333)</f>
        <v>45383.645833333299</v>
      </c>
      <c r="V1537" s="6">
        <f ca="1">IFERROR(__xludf.DUMMYFUNCTION("""COMPUTED_VALUE"""),2747.86)</f>
        <v>2747.86</v>
      </c>
      <c r="Z1537" s="6" t="str">
        <f t="shared" ca="1" si="423"/>
        <v>20225</v>
      </c>
      <c r="AA1537" s="6">
        <f t="shared" ca="1" si="424"/>
        <v>2022</v>
      </c>
      <c r="AB1537" s="6">
        <f t="shared" ca="1" si="425"/>
        <v>5</v>
      </c>
      <c r="AC1537" s="68">
        <f ca="1">IFERROR(__xludf.DUMMYFUNCTION("""COMPUTED_VALUE"""),44686.9986111111)</f>
        <v>44686.998611111099</v>
      </c>
      <c r="AD1537" s="6">
        <f ca="1">IFERROR(__xludf.DUMMYFUNCTION("""COMPUTED_VALUE"""),1268.7)</f>
        <v>1268.7</v>
      </c>
      <c r="AH1537" s="6" t="str">
        <f t="shared" ca="1" si="426"/>
        <v>20223</v>
      </c>
      <c r="AI1537" s="6">
        <f t="shared" ca="1" si="427"/>
        <v>2022</v>
      </c>
      <c r="AJ1537" s="6">
        <f t="shared" ca="1" si="428"/>
        <v>3</v>
      </c>
      <c r="AK1537" s="68">
        <f ca="1">IFERROR(__xludf.DUMMYFUNCTION("""COMPUTED_VALUE"""),44630.9986111111)</f>
        <v>44630.998611111099</v>
      </c>
      <c r="AL1537" s="6">
        <f ca="1">IFERROR(__xludf.DUMMYFUNCTION("""COMPUTED_VALUE"""),39431.6)</f>
        <v>39431.599999999999</v>
      </c>
      <c r="AP1537" s="6" t="str">
        <f t="shared" ca="1" si="429"/>
        <v>20242</v>
      </c>
      <c r="AQ1537" s="6">
        <f t="shared" ca="1" si="430"/>
        <v>2024</v>
      </c>
      <c r="AR1537" s="6">
        <f t="shared" ca="1" si="431"/>
        <v>2</v>
      </c>
      <c r="AS1537" s="68">
        <f ca="1">IFERROR(__xludf.DUMMYFUNCTION("""COMPUTED_VALUE"""),45337.9986111111)</f>
        <v>45337.998611111099</v>
      </c>
      <c r="AT1537" s="6">
        <f ca="1">IFERROR(__xludf.DUMMYFUNCTION("""COMPUTED_VALUE"""),2014.9)</f>
        <v>2014.9</v>
      </c>
    </row>
    <row r="1538" spans="2:46" x14ac:dyDescent="0.35">
      <c r="B1538" s="6" t="str">
        <f t="shared" ca="1" si="414"/>
        <v>20242</v>
      </c>
      <c r="C1538" s="6">
        <f t="shared" ca="1" si="415"/>
        <v>2024</v>
      </c>
      <c r="D1538" s="6">
        <f t="shared" ca="1" si="416"/>
        <v>2</v>
      </c>
      <c r="E1538" s="68">
        <f ca="1">IFERROR(__xludf.DUMMYFUNCTION("""COMPUTED_VALUE"""),45331.6666666666)</f>
        <v>45331.666666666599</v>
      </c>
      <c r="F1538" s="6">
        <f ca="1">IFERROR(__xludf.DUMMYFUNCTION("""COMPUTED_VALUE"""),5026.61)</f>
        <v>5026.6099999999997</v>
      </c>
      <c r="J1538" s="6" t="str">
        <f t="shared" ca="1" si="417"/>
        <v>20242</v>
      </c>
      <c r="K1538" s="6">
        <f t="shared" ca="1" si="418"/>
        <v>2024</v>
      </c>
      <c r="L1538" s="6">
        <f t="shared" ca="1" si="419"/>
        <v>2</v>
      </c>
      <c r="M1538" s="68">
        <f ca="1">IFERROR(__xludf.DUMMYFUNCTION("""COMPUTED_VALUE"""),45323.6666666666)</f>
        <v>45323.666666666599</v>
      </c>
      <c r="N1538" s="6">
        <f ca="1">IFERROR(__xludf.DUMMYFUNCTION("""COMPUTED_VALUE"""),15361.64)</f>
        <v>15361.64</v>
      </c>
      <c r="R1538" s="6" t="str">
        <f t="shared" ca="1" si="420"/>
        <v>20244</v>
      </c>
      <c r="S1538" s="6">
        <f t="shared" ca="1" si="421"/>
        <v>2024</v>
      </c>
      <c r="T1538" s="6">
        <f t="shared" ca="1" si="422"/>
        <v>4</v>
      </c>
      <c r="U1538" s="68">
        <f ca="1">IFERROR(__xludf.DUMMYFUNCTION("""COMPUTED_VALUE"""),45384.6458333333)</f>
        <v>45384.645833333299</v>
      </c>
      <c r="V1538" s="6">
        <f ca="1">IFERROR(__xludf.DUMMYFUNCTION("""COMPUTED_VALUE"""),2753.16)</f>
        <v>2753.16</v>
      </c>
      <c r="Z1538" s="6" t="str">
        <f t="shared" ca="1" si="423"/>
        <v>20225</v>
      </c>
      <c r="AA1538" s="6">
        <f t="shared" ca="1" si="424"/>
        <v>2022</v>
      </c>
      <c r="AB1538" s="6">
        <f t="shared" ca="1" si="425"/>
        <v>5</v>
      </c>
      <c r="AC1538" s="68">
        <f ca="1">IFERROR(__xludf.DUMMYFUNCTION("""COMPUTED_VALUE"""),44687.9986111111)</f>
        <v>44687.998611111099</v>
      </c>
      <c r="AD1538" s="6">
        <f ca="1">IFERROR(__xludf.DUMMYFUNCTION("""COMPUTED_VALUE"""),1271.14)</f>
        <v>1271.1400000000001</v>
      </c>
      <c r="AH1538" s="6" t="str">
        <f t="shared" ca="1" si="426"/>
        <v>20223</v>
      </c>
      <c r="AI1538" s="6">
        <f t="shared" ca="1" si="427"/>
        <v>2022</v>
      </c>
      <c r="AJ1538" s="6">
        <f t="shared" ca="1" si="428"/>
        <v>3</v>
      </c>
      <c r="AK1538" s="68">
        <f ca="1">IFERROR(__xludf.DUMMYFUNCTION("""COMPUTED_VALUE"""),44631.9986111111)</f>
        <v>44631.998611111099</v>
      </c>
      <c r="AL1538" s="6">
        <f ca="1">IFERROR(__xludf.DUMMYFUNCTION("""COMPUTED_VALUE"""),38735.91)</f>
        <v>38735.910000000003</v>
      </c>
      <c r="AP1538" s="6" t="str">
        <f t="shared" ca="1" si="429"/>
        <v>20242</v>
      </c>
      <c r="AQ1538" s="6">
        <f t="shared" ca="1" si="430"/>
        <v>2024</v>
      </c>
      <c r="AR1538" s="6">
        <f t="shared" ca="1" si="431"/>
        <v>2</v>
      </c>
      <c r="AS1538" s="68">
        <f ca="1">IFERROR(__xludf.DUMMYFUNCTION("""COMPUTED_VALUE"""),45338.9986111111)</f>
        <v>45338.998611111099</v>
      </c>
      <c r="AT1538" s="6">
        <f ca="1">IFERROR(__xludf.DUMMYFUNCTION("""COMPUTED_VALUE"""),2024.1)</f>
        <v>2024.1</v>
      </c>
    </row>
    <row r="1539" spans="2:46" x14ac:dyDescent="0.35">
      <c r="B1539" s="6" t="str">
        <f t="shared" ca="1" si="414"/>
        <v>20242</v>
      </c>
      <c r="C1539" s="6">
        <f t="shared" ca="1" si="415"/>
        <v>2024</v>
      </c>
      <c r="D1539" s="6">
        <f t="shared" ca="1" si="416"/>
        <v>2</v>
      </c>
      <c r="E1539" s="68">
        <f ca="1">IFERROR(__xludf.DUMMYFUNCTION("""COMPUTED_VALUE"""),45334.6666666666)</f>
        <v>45334.666666666599</v>
      </c>
      <c r="F1539" s="6">
        <f ca="1">IFERROR(__xludf.DUMMYFUNCTION("""COMPUTED_VALUE"""),5021.84)</f>
        <v>5021.84</v>
      </c>
      <c r="J1539" s="6" t="str">
        <f t="shared" ca="1" si="417"/>
        <v>20242</v>
      </c>
      <c r="K1539" s="6">
        <f t="shared" ca="1" si="418"/>
        <v>2024</v>
      </c>
      <c r="L1539" s="6">
        <f t="shared" ca="1" si="419"/>
        <v>2</v>
      </c>
      <c r="M1539" s="68">
        <f ca="1">IFERROR(__xludf.DUMMYFUNCTION("""COMPUTED_VALUE"""),45324.6666666666)</f>
        <v>45324.666666666599</v>
      </c>
      <c r="N1539" s="6">
        <f ca="1">IFERROR(__xludf.DUMMYFUNCTION("""COMPUTED_VALUE"""),15628.95)</f>
        <v>15628.95</v>
      </c>
      <c r="R1539" s="6" t="str">
        <f t="shared" ca="1" si="420"/>
        <v>20244</v>
      </c>
      <c r="S1539" s="6">
        <f t="shared" ca="1" si="421"/>
        <v>2024</v>
      </c>
      <c r="T1539" s="6">
        <f t="shared" ca="1" si="422"/>
        <v>4</v>
      </c>
      <c r="U1539" s="68">
        <f ca="1">IFERROR(__xludf.DUMMYFUNCTION("""COMPUTED_VALUE"""),45385.6458333333)</f>
        <v>45385.645833333299</v>
      </c>
      <c r="V1539" s="6">
        <f ca="1">IFERROR(__xludf.DUMMYFUNCTION("""COMPUTED_VALUE"""),2706.97)</f>
        <v>2706.97</v>
      </c>
      <c r="Z1539" s="6" t="str">
        <f t="shared" ca="1" si="423"/>
        <v>20225</v>
      </c>
      <c r="AA1539" s="6">
        <f t="shared" ca="1" si="424"/>
        <v>2022</v>
      </c>
      <c r="AB1539" s="6">
        <f t="shared" ca="1" si="425"/>
        <v>5</v>
      </c>
      <c r="AC1539" s="68">
        <f ca="1">IFERROR(__xludf.DUMMYFUNCTION("""COMPUTED_VALUE"""),44688.9986111111)</f>
        <v>44688.998611111099</v>
      </c>
      <c r="AD1539" s="6">
        <f ca="1">IFERROR(__xludf.DUMMYFUNCTION("""COMPUTED_VALUE"""),1271.14)</f>
        <v>1271.1400000000001</v>
      </c>
      <c r="AH1539" s="6" t="str">
        <f t="shared" ca="1" si="426"/>
        <v>20223</v>
      </c>
      <c r="AI1539" s="6">
        <f t="shared" ca="1" si="427"/>
        <v>2022</v>
      </c>
      <c r="AJ1539" s="6">
        <f t="shared" ca="1" si="428"/>
        <v>3</v>
      </c>
      <c r="AK1539" s="68">
        <f ca="1">IFERROR(__xludf.DUMMYFUNCTION("""COMPUTED_VALUE"""),44632.9986111111)</f>
        <v>44632.998611111099</v>
      </c>
      <c r="AL1539" s="6">
        <f ca="1">IFERROR(__xludf.DUMMYFUNCTION("""COMPUTED_VALUE"""),38807.06)</f>
        <v>38807.06</v>
      </c>
      <c r="AP1539" s="6" t="str">
        <f t="shared" ca="1" si="429"/>
        <v>20242</v>
      </c>
      <c r="AQ1539" s="6">
        <f t="shared" ca="1" si="430"/>
        <v>2024</v>
      </c>
      <c r="AR1539" s="6">
        <f t="shared" ca="1" si="431"/>
        <v>2</v>
      </c>
      <c r="AS1539" s="68">
        <f ca="1">IFERROR(__xludf.DUMMYFUNCTION("""COMPUTED_VALUE"""),45342.9986111111)</f>
        <v>45342.998611111099</v>
      </c>
      <c r="AT1539" s="6">
        <f ca="1">IFERROR(__xludf.DUMMYFUNCTION("""COMPUTED_VALUE"""),2039.8)</f>
        <v>2039.8</v>
      </c>
    </row>
    <row r="1540" spans="2:46" x14ac:dyDescent="0.35">
      <c r="B1540" s="6" t="str">
        <f t="shared" ca="1" si="414"/>
        <v>20242</v>
      </c>
      <c r="C1540" s="6">
        <f t="shared" ca="1" si="415"/>
        <v>2024</v>
      </c>
      <c r="D1540" s="6">
        <f t="shared" ca="1" si="416"/>
        <v>2</v>
      </c>
      <c r="E1540" s="68">
        <f ca="1">IFERROR(__xludf.DUMMYFUNCTION("""COMPUTED_VALUE"""),45335.6666666666)</f>
        <v>45335.666666666599</v>
      </c>
      <c r="F1540" s="6">
        <f ca="1">IFERROR(__xludf.DUMMYFUNCTION("""COMPUTED_VALUE"""),4953.17)</f>
        <v>4953.17</v>
      </c>
      <c r="J1540" s="6" t="str">
        <f t="shared" ca="1" si="417"/>
        <v>20242</v>
      </c>
      <c r="K1540" s="6">
        <f t="shared" ca="1" si="418"/>
        <v>2024</v>
      </c>
      <c r="L1540" s="6">
        <f t="shared" ca="1" si="419"/>
        <v>2</v>
      </c>
      <c r="M1540" s="68">
        <f ca="1">IFERROR(__xludf.DUMMYFUNCTION("""COMPUTED_VALUE"""),45327.6666666666)</f>
        <v>45327.666666666599</v>
      </c>
      <c r="N1540" s="6">
        <f ca="1">IFERROR(__xludf.DUMMYFUNCTION("""COMPUTED_VALUE"""),15597.68)</f>
        <v>15597.68</v>
      </c>
      <c r="R1540" s="6" t="str">
        <f t="shared" ca="1" si="420"/>
        <v>20244</v>
      </c>
      <c r="S1540" s="6">
        <f t="shared" ca="1" si="421"/>
        <v>2024</v>
      </c>
      <c r="T1540" s="6">
        <f t="shared" ca="1" si="422"/>
        <v>4</v>
      </c>
      <c r="U1540" s="68">
        <f ca="1">IFERROR(__xludf.DUMMYFUNCTION("""COMPUTED_VALUE"""),45386.6458333333)</f>
        <v>45386.645833333299</v>
      </c>
      <c r="V1540" s="6">
        <f ca="1">IFERROR(__xludf.DUMMYFUNCTION("""COMPUTED_VALUE"""),2742)</f>
        <v>2742</v>
      </c>
      <c r="Z1540" s="6" t="str">
        <f t="shared" ca="1" si="423"/>
        <v>20225</v>
      </c>
      <c r="AA1540" s="6">
        <f t="shared" ca="1" si="424"/>
        <v>2022</v>
      </c>
      <c r="AB1540" s="6">
        <f t="shared" ca="1" si="425"/>
        <v>5</v>
      </c>
      <c r="AC1540" s="68">
        <f ca="1">IFERROR(__xludf.DUMMYFUNCTION("""COMPUTED_VALUE"""),44689.9986111111)</f>
        <v>44689.998611111099</v>
      </c>
      <c r="AD1540" s="6">
        <f ca="1">IFERROR(__xludf.DUMMYFUNCTION("""COMPUTED_VALUE"""),1270.13)</f>
        <v>1270.1300000000001</v>
      </c>
      <c r="AH1540" s="6" t="str">
        <f t="shared" ca="1" si="426"/>
        <v>20223</v>
      </c>
      <c r="AI1540" s="6">
        <f t="shared" ca="1" si="427"/>
        <v>2022</v>
      </c>
      <c r="AJ1540" s="6">
        <f t="shared" ca="1" si="428"/>
        <v>3</v>
      </c>
      <c r="AK1540" s="68">
        <f ca="1">IFERROR(__xludf.DUMMYFUNCTION("""COMPUTED_VALUE"""),44633.9986111111)</f>
        <v>44633.998611111099</v>
      </c>
      <c r="AL1540" s="6">
        <f ca="1">IFERROR(__xludf.DUMMYFUNCTION("""COMPUTED_VALUE"""),37807)</f>
        <v>37807</v>
      </c>
      <c r="AP1540" s="6" t="str">
        <f t="shared" ca="1" si="429"/>
        <v>20242</v>
      </c>
      <c r="AQ1540" s="6">
        <f t="shared" ca="1" si="430"/>
        <v>2024</v>
      </c>
      <c r="AR1540" s="6">
        <f t="shared" ca="1" si="431"/>
        <v>2</v>
      </c>
      <c r="AS1540" s="68">
        <f ca="1">IFERROR(__xludf.DUMMYFUNCTION("""COMPUTED_VALUE"""),45343.9986111111)</f>
        <v>45343.998611111099</v>
      </c>
      <c r="AT1540" s="6">
        <f ca="1">IFERROR(__xludf.DUMMYFUNCTION("""COMPUTED_VALUE"""),2034.3)</f>
        <v>2034.3</v>
      </c>
    </row>
    <row r="1541" spans="2:46" x14ac:dyDescent="0.35">
      <c r="B1541" s="6" t="str">
        <f t="shared" ca="1" si="414"/>
        <v>20242</v>
      </c>
      <c r="C1541" s="6">
        <f t="shared" ca="1" si="415"/>
        <v>2024</v>
      </c>
      <c r="D1541" s="6">
        <f t="shared" ca="1" si="416"/>
        <v>2</v>
      </c>
      <c r="E1541" s="68">
        <f ca="1">IFERROR(__xludf.DUMMYFUNCTION("""COMPUTED_VALUE"""),45336.6666666666)</f>
        <v>45336.666666666599</v>
      </c>
      <c r="F1541" s="6">
        <f ca="1">IFERROR(__xludf.DUMMYFUNCTION("""COMPUTED_VALUE"""),5000.62)</f>
        <v>5000.62</v>
      </c>
      <c r="J1541" s="6" t="str">
        <f t="shared" ca="1" si="417"/>
        <v>20242</v>
      </c>
      <c r="K1541" s="6">
        <f t="shared" ca="1" si="418"/>
        <v>2024</v>
      </c>
      <c r="L1541" s="6">
        <f t="shared" ca="1" si="419"/>
        <v>2</v>
      </c>
      <c r="M1541" s="68">
        <f ca="1">IFERROR(__xludf.DUMMYFUNCTION("""COMPUTED_VALUE"""),45328.6666666666)</f>
        <v>45328.666666666599</v>
      </c>
      <c r="N1541" s="6">
        <f ca="1">IFERROR(__xludf.DUMMYFUNCTION("""COMPUTED_VALUE"""),15609)</f>
        <v>15609</v>
      </c>
      <c r="R1541" s="6" t="str">
        <f t="shared" ca="1" si="420"/>
        <v>20244</v>
      </c>
      <c r="S1541" s="6">
        <f t="shared" ca="1" si="421"/>
        <v>2024</v>
      </c>
      <c r="T1541" s="6">
        <f t="shared" ca="1" si="422"/>
        <v>4</v>
      </c>
      <c r="U1541" s="68">
        <f ca="1">IFERROR(__xludf.DUMMYFUNCTION("""COMPUTED_VALUE"""),45387.6458333333)</f>
        <v>45387.645833333299</v>
      </c>
      <c r="V1541" s="6">
        <f ca="1">IFERROR(__xludf.DUMMYFUNCTION("""COMPUTED_VALUE"""),2714.21)</f>
        <v>2714.21</v>
      </c>
      <c r="Z1541" s="6" t="str">
        <f t="shared" ca="1" si="423"/>
        <v>20225</v>
      </c>
      <c r="AA1541" s="6">
        <f t="shared" ca="1" si="424"/>
        <v>2022</v>
      </c>
      <c r="AB1541" s="6">
        <f t="shared" ca="1" si="425"/>
        <v>5</v>
      </c>
      <c r="AC1541" s="68">
        <f ca="1">IFERROR(__xludf.DUMMYFUNCTION("""COMPUTED_VALUE"""),44690.9986111111)</f>
        <v>44690.998611111099</v>
      </c>
      <c r="AD1541" s="6">
        <f ca="1">IFERROR(__xludf.DUMMYFUNCTION("""COMPUTED_VALUE"""),1274.86)</f>
        <v>1274.8599999999999</v>
      </c>
      <c r="AH1541" s="6" t="str">
        <f t="shared" ca="1" si="426"/>
        <v>20223</v>
      </c>
      <c r="AI1541" s="6">
        <f t="shared" ca="1" si="427"/>
        <v>2022</v>
      </c>
      <c r="AJ1541" s="6">
        <f t="shared" ca="1" si="428"/>
        <v>3</v>
      </c>
      <c r="AK1541" s="68">
        <f ca="1">IFERROR(__xludf.DUMMYFUNCTION("""COMPUTED_VALUE"""),44634.9986111111)</f>
        <v>44634.998611111099</v>
      </c>
      <c r="AL1541" s="6">
        <f ca="1">IFERROR(__xludf.DUMMYFUNCTION("""COMPUTED_VALUE"""),39678.98)</f>
        <v>39678.980000000003</v>
      </c>
      <c r="AP1541" s="6" t="str">
        <f t="shared" ca="1" si="429"/>
        <v>20242</v>
      </c>
      <c r="AQ1541" s="6">
        <f t="shared" ca="1" si="430"/>
        <v>2024</v>
      </c>
      <c r="AR1541" s="6">
        <f t="shared" ca="1" si="431"/>
        <v>2</v>
      </c>
      <c r="AS1541" s="68">
        <f ca="1">IFERROR(__xludf.DUMMYFUNCTION("""COMPUTED_VALUE"""),45344.9986111111)</f>
        <v>45344.998611111099</v>
      </c>
      <c r="AT1541" s="6">
        <f ca="1">IFERROR(__xludf.DUMMYFUNCTION("""COMPUTED_VALUE"""),2030.7)</f>
        <v>2030.7</v>
      </c>
    </row>
    <row r="1542" spans="2:46" x14ac:dyDescent="0.35">
      <c r="B1542" s="6" t="str">
        <f t="shared" ca="1" si="414"/>
        <v>20242</v>
      </c>
      <c r="C1542" s="6">
        <f t="shared" ca="1" si="415"/>
        <v>2024</v>
      </c>
      <c r="D1542" s="6">
        <f t="shared" ca="1" si="416"/>
        <v>2</v>
      </c>
      <c r="E1542" s="68">
        <f ca="1">IFERROR(__xludf.DUMMYFUNCTION("""COMPUTED_VALUE"""),45337.6666666666)</f>
        <v>45337.666666666599</v>
      </c>
      <c r="F1542" s="6">
        <f ca="1">IFERROR(__xludf.DUMMYFUNCTION("""COMPUTED_VALUE"""),5029.73)</f>
        <v>5029.7299999999996</v>
      </c>
      <c r="J1542" s="6" t="str">
        <f t="shared" ca="1" si="417"/>
        <v>20242</v>
      </c>
      <c r="K1542" s="6">
        <f t="shared" ca="1" si="418"/>
        <v>2024</v>
      </c>
      <c r="L1542" s="6">
        <f t="shared" ca="1" si="419"/>
        <v>2</v>
      </c>
      <c r="M1542" s="68">
        <f ca="1">IFERROR(__xludf.DUMMYFUNCTION("""COMPUTED_VALUE"""),45329.6666666666)</f>
        <v>45329.666666666599</v>
      </c>
      <c r="N1542" s="6">
        <f ca="1">IFERROR(__xludf.DUMMYFUNCTION("""COMPUTED_VALUE"""),15756.64)</f>
        <v>15756.64</v>
      </c>
      <c r="R1542" s="6" t="str">
        <f t="shared" ca="1" si="420"/>
        <v>20244</v>
      </c>
      <c r="S1542" s="6">
        <f t="shared" ca="1" si="421"/>
        <v>2024</v>
      </c>
      <c r="T1542" s="6">
        <f t="shared" ca="1" si="422"/>
        <v>4</v>
      </c>
      <c r="U1542" s="68">
        <f ca="1">IFERROR(__xludf.DUMMYFUNCTION("""COMPUTED_VALUE"""),45390.6458333333)</f>
        <v>45390.645833333299</v>
      </c>
      <c r="V1542" s="6">
        <f ca="1">IFERROR(__xludf.DUMMYFUNCTION("""COMPUTED_VALUE"""),2717.65)</f>
        <v>2717.65</v>
      </c>
      <c r="Z1542" s="6" t="str">
        <f t="shared" ca="1" si="423"/>
        <v>20225</v>
      </c>
      <c r="AA1542" s="6">
        <f t="shared" ca="1" si="424"/>
        <v>2022</v>
      </c>
      <c r="AB1542" s="6">
        <f t="shared" ca="1" si="425"/>
        <v>5</v>
      </c>
      <c r="AC1542" s="68">
        <f ca="1">IFERROR(__xludf.DUMMYFUNCTION("""COMPUTED_VALUE"""),44691.9986111111)</f>
        <v>44691.998611111099</v>
      </c>
      <c r="AD1542" s="6">
        <f ca="1">IFERROR(__xludf.DUMMYFUNCTION("""COMPUTED_VALUE"""),1276.55)</f>
        <v>1276.55</v>
      </c>
      <c r="AH1542" s="6" t="str">
        <f t="shared" ca="1" si="426"/>
        <v>20223</v>
      </c>
      <c r="AI1542" s="6">
        <f t="shared" ca="1" si="427"/>
        <v>2022</v>
      </c>
      <c r="AJ1542" s="6">
        <f t="shared" ca="1" si="428"/>
        <v>3</v>
      </c>
      <c r="AK1542" s="68">
        <f ca="1">IFERROR(__xludf.DUMMYFUNCTION("""COMPUTED_VALUE"""),44635.9986111111)</f>
        <v>44635.998611111099</v>
      </c>
      <c r="AL1542" s="6">
        <f ca="1">IFERROR(__xludf.DUMMYFUNCTION("""COMPUTED_VALUE"""),39301.8)</f>
        <v>39301.800000000003</v>
      </c>
      <c r="AP1542" s="6" t="str">
        <f t="shared" ca="1" si="429"/>
        <v>20242</v>
      </c>
      <c r="AQ1542" s="6">
        <f t="shared" ca="1" si="430"/>
        <v>2024</v>
      </c>
      <c r="AR1542" s="6">
        <f t="shared" ca="1" si="431"/>
        <v>2</v>
      </c>
      <c r="AS1542" s="68">
        <f ca="1">IFERROR(__xludf.DUMMYFUNCTION("""COMPUTED_VALUE"""),45345.9986111111)</f>
        <v>45345.998611111099</v>
      </c>
      <c r="AT1542" s="6">
        <f ca="1">IFERROR(__xludf.DUMMYFUNCTION("""COMPUTED_VALUE"""),2049.4)</f>
        <v>2049.4</v>
      </c>
    </row>
    <row r="1543" spans="2:46" x14ac:dyDescent="0.35">
      <c r="B1543" s="6" t="str">
        <f t="shared" ref="B1543:B1606" ca="1" si="432">C1543&amp;D1543</f>
        <v>20242</v>
      </c>
      <c r="C1543" s="6">
        <f t="shared" ref="C1543:C1606" ca="1" si="433">YEAR(E1543)</f>
        <v>2024</v>
      </c>
      <c r="D1543" s="6">
        <f t="shared" ref="D1543:D1606" ca="1" si="434">MONTH(E1543)</f>
        <v>2</v>
      </c>
      <c r="E1543" s="68">
        <f ca="1">IFERROR(__xludf.DUMMYFUNCTION("""COMPUTED_VALUE"""),45338.6666666666)</f>
        <v>45338.666666666599</v>
      </c>
      <c r="F1543" s="6">
        <f ca="1">IFERROR(__xludf.DUMMYFUNCTION("""COMPUTED_VALUE"""),5005.57)</f>
        <v>5005.57</v>
      </c>
      <c r="J1543" s="6" t="str">
        <f t="shared" ref="J1543:J1606" ca="1" si="435">K1543&amp;L1543</f>
        <v>20242</v>
      </c>
      <c r="K1543" s="6">
        <f t="shared" ref="K1543:K1606" ca="1" si="436">YEAR(M1543)</f>
        <v>2024</v>
      </c>
      <c r="L1543" s="6">
        <f t="shared" ref="L1543:L1606" ca="1" si="437">MONTH(M1543)</f>
        <v>2</v>
      </c>
      <c r="M1543" s="68">
        <f ca="1">IFERROR(__xludf.DUMMYFUNCTION("""COMPUTED_VALUE"""),45330.6666666666)</f>
        <v>45330.666666666599</v>
      </c>
      <c r="N1543" s="6">
        <f ca="1">IFERROR(__xludf.DUMMYFUNCTION("""COMPUTED_VALUE"""),15793.72)</f>
        <v>15793.72</v>
      </c>
      <c r="R1543" s="6" t="str">
        <f t="shared" ref="R1543:R1606" ca="1" si="438">S1543&amp;T1543</f>
        <v>20244</v>
      </c>
      <c r="S1543" s="6">
        <f t="shared" ref="S1543:S1606" ca="1" si="439">YEAR(U1543)</f>
        <v>2024</v>
      </c>
      <c r="T1543" s="6">
        <f t="shared" ref="T1543:T1606" ca="1" si="440">MONTH(U1543)</f>
        <v>4</v>
      </c>
      <c r="U1543" s="68">
        <f ca="1">IFERROR(__xludf.DUMMYFUNCTION("""COMPUTED_VALUE"""),45391.6458333333)</f>
        <v>45391.645833333299</v>
      </c>
      <c r="V1543" s="6">
        <f ca="1">IFERROR(__xludf.DUMMYFUNCTION("""COMPUTED_VALUE"""),2705.16)</f>
        <v>2705.16</v>
      </c>
      <c r="Z1543" s="6" t="str">
        <f t="shared" ref="Z1543:Z1606" ca="1" si="441">AA1543&amp;AB1543</f>
        <v>20225</v>
      </c>
      <c r="AA1543" s="6">
        <f t="shared" ref="AA1543:AA1606" ca="1" si="442">YEAR(AC1543)</f>
        <v>2022</v>
      </c>
      <c r="AB1543" s="6">
        <f t="shared" ref="AB1543:AB1606" ca="1" si="443">MONTH(AC1543)</f>
        <v>5</v>
      </c>
      <c r="AC1543" s="68">
        <f ca="1">IFERROR(__xludf.DUMMYFUNCTION("""COMPUTED_VALUE"""),44692.9986111111)</f>
        <v>44692.998611111099</v>
      </c>
      <c r="AD1543" s="6">
        <f ca="1">IFERROR(__xludf.DUMMYFUNCTION("""COMPUTED_VALUE"""),1278.15)</f>
        <v>1278.1500000000001</v>
      </c>
      <c r="AH1543" s="6" t="str">
        <f t="shared" ref="AH1543:AH1606" ca="1" si="444">AI1543&amp;AJ1543</f>
        <v>20223</v>
      </c>
      <c r="AI1543" s="6">
        <f t="shared" ref="AI1543:AI1606" ca="1" si="445">YEAR(AK1543)</f>
        <v>2022</v>
      </c>
      <c r="AJ1543" s="6">
        <f t="shared" ref="AJ1543:AJ1606" ca="1" si="446">MONTH(AK1543)</f>
        <v>3</v>
      </c>
      <c r="AK1543" s="68">
        <f ca="1">IFERROR(__xludf.DUMMYFUNCTION("""COMPUTED_VALUE"""),44636.9986111111)</f>
        <v>44636.998611111099</v>
      </c>
      <c r="AL1543" s="6">
        <f ca="1">IFERROR(__xludf.DUMMYFUNCTION("""COMPUTED_VALUE"""),41119.14)</f>
        <v>41119.14</v>
      </c>
      <c r="AP1543" s="6" t="str">
        <f t="shared" ref="AP1543:AP1606" ca="1" si="447">AQ1543&amp;AR1543</f>
        <v>20242</v>
      </c>
      <c r="AQ1543" s="6">
        <f t="shared" ref="AQ1543:AQ1606" ca="1" si="448">YEAR(AS1543)</f>
        <v>2024</v>
      </c>
      <c r="AR1543" s="6">
        <f t="shared" ref="AR1543:AR1606" ca="1" si="449">MONTH(AS1543)</f>
        <v>2</v>
      </c>
      <c r="AS1543" s="68">
        <f ca="1">IFERROR(__xludf.DUMMYFUNCTION("""COMPUTED_VALUE"""),45348.9986111111)</f>
        <v>45348.998611111099</v>
      </c>
      <c r="AT1543" s="6">
        <f ca="1">IFERROR(__xludf.DUMMYFUNCTION("""COMPUTED_VALUE"""),2038.9)</f>
        <v>2038.9</v>
      </c>
    </row>
    <row r="1544" spans="2:46" x14ac:dyDescent="0.35">
      <c r="B1544" s="6" t="str">
        <f t="shared" ca="1" si="432"/>
        <v>20242</v>
      </c>
      <c r="C1544" s="6">
        <f t="shared" ca="1" si="433"/>
        <v>2024</v>
      </c>
      <c r="D1544" s="6">
        <f t="shared" ca="1" si="434"/>
        <v>2</v>
      </c>
      <c r="E1544" s="68">
        <f ca="1">IFERROR(__xludf.DUMMYFUNCTION("""COMPUTED_VALUE"""),45342.6666666666)</f>
        <v>45342.666666666599</v>
      </c>
      <c r="F1544" s="6">
        <f ca="1">IFERROR(__xludf.DUMMYFUNCTION("""COMPUTED_VALUE"""),4975.51)</f>
        <v>4975.51</v>
      </c>
      <c r="J1544" s="6" t="str">
        <f t="shared" ca="1" si="435"/>
        <v>20242</v>
      </c>
      <c r="K1544" s="6">
        <f t="shared" ca="1" si="436"/>
        <v>2024</v>
      </c>
      <c r="L1544" s="6">
        <f t="shared" ca="1" si="437"/>
        <v>2</v>
      </c>
      <c r="M1544" s="68">
        <f ca="1">IFERROR(__xludf.DUMMYFUNCTION("""COMPUTED_VALUE"""),45331.6666666666)</f>
        <v>45331.666666666599</v>
      </c>
      <c r="N1544" s="6">
        <f ca="1">IFERROR(__xludf.DUMMYFUNCTION("""COMPUTED_VALUE"""),15990.66)</f>
        <v>15990.66</v>
      </c>
      <c r="R1544" s="6" t="str">
        <f t="shared" ca="1" si="438"/>
        <v>20244</v>
      </c>
      <c r="S1544" s="6">
        <f t="shared" ca="1" si="439"/>
        <v>2024</v>
      </c>
      <c r="T1544" s="6">
        <f t="shared" ca="1" si="440"/>
        <v>4</v>
      </c>
      <c r="U1544" s="68">
        <f ca="1">IFERROR(__xludf.DUMMYFUNCTION("""COMPUTED_VALUE"""),45393.6458333333)</f>
        <v>45393.645833333299</v>
      </c>
      <c r="V1544" s="6">
        <f ca="1">IFERROR(__xludf.DUMMYFUNCTION("""COMPUTED_VALUE"""),2706.96)</f>
        <v>2706.96</v>
      </c>
      <c r="Z1544" s="6" t="str">
        <f t="shared" ca="1" si="441"/>
        <v>20225</v>
      </c>
      <c r="AA1544" s="6">
        <f t="shared" ca="1" si="442"/>
        <v>2022</v>
      </c>
      <c r="AB1544" s="6">
        <f t="shared" ca="1" si="443"/>
        <v>5</v>
      </c>
      <c r="AC1544" s="68">
        <f ca="1">IFERROR(__xludf.DUMMYFUNCTION("""COMPUTED_VALUE"""),44693.9986111111)</f>
        <v>44693.998611111099</v>
      </c>
      <c r="AD1544" s="6">
        <f ca="1">IFERROR(__xludf.DUMMYFUNCTION("""COMPUTED_VALUE"""),1290.75)</f>
        <v>1290.75</v>
      </c>
      <c r="AH1544" s="6" t="str">
        <f t="shared" ca="1" si="444"/>
        <v>20223</v>
      </c>
      <c r="AI1544" s="6">
        <f t="shared" ca="1" si="445"/>
        <v>2022</v>
      </c>
      <c r="AJ1544" s="6">
        <f t="shared" ca="1" si="446"/>
        <v>3</v>
      </c>
      <c r="AK1544" s="68">
        <f ca="1">IFERROR(__xludf.DUMMYFUNCTION("""COMPUTED_VALUE"""),44637.9986111111)</f>
        <v>44637.998611111099</v>
      </c>
      <c r="AL1544" s="6">
        <f ca="1">IFERROR(__xludf.DUMMYFUNCTION("""COMPUTED_VALUE"""),40939.39)</f>
        <v>40939.39</v>
      </c>
      <c r="AP1544" s="6" t="str">
        <f t="shared" ca="1" si="447"/>
        <v>20242</v>
      </c>
      <c r="AQ1544" s="6">
        <f t="shared" ca="1" si="448"/>
        <v>2024</v>
      </c>
      <c r="AR1544" s="6">
        <f t="shared" ca="1" si="449"/>
        <v>2</v>
      </c>
      <c r="AS1544" s="68">
        <f ca="1">IFERROR(__xludf.DUMMYFUNCTION("""COMPUTED_VALUE"""),45349.9986111111)</f>
        <v>45349.998611111099</v>
      </c>
      <c r="AT1544" s="6">
        <f ca="1">IFERROR(__xludf.DUMMYFUNCTION("""COMPUTED_VALUE"""),2044.1)</f>
        <v>2044.1</v>
      </c>
    </row>
    <row r="1545" spans="2:46" x14ac:dyDescent="0.35">
      <c r="B1545" s="6" t="str">
        <f t="shared" ca="1" si="432"/>
        <v>20242</v>
      </c>
      <c r="C1545" s="6">
        <f t="shared" ca="1" si="433"/>
        <v>2024</v>
      </c>
      <c r="D1545" s="6">
        <f t="shared" ca="1" si="434"/>
        <v>2</v>
      </c>
      <c r="E1545" s="68">
        <f ca="1">IFERROR(__xludf.DUMMYFUNCTION("""COMPUTED_VALUE"""),45343.6666666666)</f>
        <v>45343.666666666599</v>
      </c>
      <c r="F1545" s="6">
        <f ca="1">IFERROR(__xludf.DUMMYFUNCTION("""COMPUTED_VALUE"""),4981.8)</f>
        <v>4981.8</v>
      </c>
      <c r="J1545" s="6" t="str">
        <f t="shared" ca="1" si="435"/>
        <v>20242</v>
      </c>
      <c r="K1545" s="6">
        <f t="shared" ca="1" si="436"/>
        <v>2024</v>
      </c>
      <c r="L1545" s="6">
        <f t="shared" ca="1" si="437"/>
        <v>2</v>
      </c>
      <c r="M1545" s="68">
        <f ca="1">IFERROR(__xludf.DUMMYFUNCTION("""COMPUTED_VALUE"""),45334.6666666666)</f>
        <v>45334.666666666599</v>
      </c>
      <c r="N1545" s="6">
        <f ca="1">IFERROR(__xludf.DUMMYFUNCTION("""COMPUTED_VALUE"""),15942.55)</f>
        <v>15942.55</v>
      </c>
      <c r="R1545" s="6" t="str">
        <f t="shared" ca="1" si="438"/>
        <v>20244</v>
      </c>
      <c r="S1545" s="6">
        <f t="shared" ca="1" si="439"/>
        <v>2024</v>
      </c>
      <c r="T1545" s="6">
        <f t="shared" ca="1" si="440"/>
        <v>4</v>
      </c>
      <c r="U1545" s="68">
        <f ca="1">IFERROR(__xludf.DUMMYFUNCTION("""COMPUTED_VALUE"""),45394.6458333333)</f>
        <v>45394.645833333299</v>
      </c>
      <c r="V1545" s="6">
        <f ca="1">IFERROR(__xludf.DUMMYFUNCTION("""COMPUTED_VALUE"""),2681.82)</f>
        <v>2681.82</v>
      </c>
      <c r="Z1545" s="6" t="str">
        <f t="shared" ca="1" si="441"/>
        <v>20225</v>
      </c>
      <c r="AA1545" s="6">
        <f t="shared" ca="1" si="442"/>
        <v>2022</v>
      </c>
      <c r="AB1545" s="6">
        <f t="shared" ca="1" si="443"/>
        <v>5</v>
      </c>
      <c r="AC1545" s="68">
        <f ca="1">IFERROR(__xludf.DUMMYFUNCTION("""COMPUTED_VALUE"""),44694.9986111111)</f>
        <v>44694.998611111099</v>
      </c>
      <c r="AD1545" s="6">
        <f ca="1">IFERROR(__xludf.DUMMYFUNCTION("""COMPUTED_VALUE"""),1278.36)</f>
        <v>1278.3599999999999</v>
      </c>
      <c r="AH1545" s="6" t="str">
        <f t="shared" ca="1" si="444"/>
        <v>20223</v>
      </c>
      <c r="AI1545" s="6">
        <f t="shared" ca="1" si="445"/>
        <v>2022</v>
      </c>
      <c r="AJ1545" s="6">
        <f t="shared" ca="1" si="446"/>
        <v>3</v>
      </c>
      <c r="AK1545" s="68">
        <f ca="1">IFERROR(__xludf.DUMMYFUNCTION("""COMPUTED_VALUE"""),44638.9986111111)</f>
        <v>44638.998611111099</v>
      </c>
      <c r="AL1545" s="6">
        <f ca="1">IFERROR(__xludf.DUMMYFUNCTION("""COMPUTED_VALUE"""),41768.4)</f>
        <v>41768.400000000001</v>
      </c>
      <c r="AP1545" s="6" t="str">
        <f t="shared" ca="1" si="447"/>
        <v>20242</v>
      </c>
      <c r="AQ1545" s="6">
        <f t="shared" ca="1" si="448"/>
        <v>2024</v>
      </c>
      <c r="AR1545" s="6">
        <f t="shared" ca="1" si="449"/>
        <v>2</v>
      </c>
      <c r="AS1545" s="68">
        <f ca="1">IFERROR(__xludf.DUMMYFUNCTION("""COMPUTED_VALUE"""),45350.9986111111)</f>
        <v>45350.998611111099</v>
      </c>
      <c r="AT1545" s="6">
        <f ca="1">IFERROR(__xludf.DUMMYFUNCTION("""COMPUTED_VALUE"""),2042.7)</f>
        <v>2042.7</v>
      </c>
    </row>
    <row r="1546" spans="2:46" x14ac:dyDescent="0.35">
      <c r="B1546" s="6" t="str">
        <f t="shared" ca="1" si="432"/>
        <v>20242</v>
      </c>
      <c r="C1546" s="6">
        <f t="shared" ca="1" si="433"/>
        <v>2024</v>
      </c>
      <c r="D1546" s="6">
        <f t="shared" ca="1" si="434"/>
        <v>2</v>
      </c>
      <c r="E1546" s="68">
        <f ca="1">IFERROR(__xludf.DUMMYFUNCTION("""COMPUTED_VALUE"""),45344.6666666666)</f>
        <v>45344.666666666599</v>
      </c>
      <c r="F1546" s="6">
        <f ca="1">IFERROR(__xludf.DUMMYFUNCTION("""COMPUTED_VALUE"""),5087.03)</f>
        <v>5087.03</v>
      </c>
      <c r="J1546" s="6" t="str">
        <f t="shared" ca="1" si="435"/>
        <v>20242</v>
      </c>
      <c r="K1546" s="6">
        <f t="shared" ca="1" si="436"/>
        <v>2024</v>
      </c>
      <c r="L1546" s="6">
        <f t="shared" ca="1" si="437"/>
        <v>2</v>
      </c>
      <c r="M1546" s="68">
        <f ca="1">IFERROR(__xludf.DUMMYFUNCTION("""COMPUTED_VALUE"""),45335.6666666666)</f>
        <v>45335.666666666599</v>
      </c>
      <c r="N1546" s="6">
        <f ca="1">IFERROR(__xludf.DUMMYFUNCTION("""COMPUTED_VALUE"""),15655.6)</f>
        <v>15655.6</v>
      </c>
      <c r="R1546" s="6" t="str">
        <f t="shared" ca="1" si="438"/>
        <v>20244</v>
      </c>
      <c r="S1546" s="6">
        <f t="shared" ca="1" si="439"/>
        <v>2024</v>
      </c>
      <c r="T1546" s="6">
        <f t="shared" ca="1" si="440"/>
        <v>4</v>
      </c>
      <c r="U1546" s="68">
        <f ca="1">IFERROR(__xludf.DUMMYFUNCTION("""COMPUTED_VALUE"""),45397.6458333333)</f>
        <v>45397.645833333299</v>
      </c>
      <c r="V1546" s="6">
        <f ca="1">IFERROR(__xludf.DUMMYFUNCTION("""COMPUTED_VALUE"""),2670.43)</f>
        <v>2670.43</v>
      </c>
      <c r="Z1546" s="6" t="str">
        <f t="shared" ca="1" si="441"/>
        <v>20225</v>
      </c>
      <c r="AA1546" s="6">
        <f t="shared" ca="1" si="442"/>
        <v>2022</v>
      </c>
      <c r="AB1546" s="6">
        <f t="shared" ca="1" si="443"/>
        <v>5</v>
      </c>
      <c r="AC1546" s="68">
        <f ca="1">IFERROR(__xludf.DUMMYFUNCTION("""COMPUTED_VALUE"""),44695.9986111111)</f>
        <v>44695.998611111099</v>
      </c>
      <c r="AD1546" s="6">
        <f ca="1">IFERROR(__xludf.DUMMYFUNCTION("""COMPUTED_VALUE"""),1278.36)</f>
        <v>1278.3599999999999</v>
      </c>
      <c r="AH1546" s="6" t="str">
        <f t="shared" ca="1" si="444"/>
        <v>20223</v>
      </c>
      <c r="AI1546" s="6">
        <f t="shared" ca="1" si="445"/>
        <v>2022</v>
      </c>
      <c r="AJ1546" s="6">
        <f t="shared" ca="1" si="446"/>
        <v>3</v>
      </c>
      <c r="AK1546" s="68">
        <f ca="1">IFERROR(__xludf.DUMMYFUNCTION("""COMPUTED_VALUE"""),44639.9986111111)</f>
        <v>44639.998611111099</v>
      </c>
      <c r="AL1546" s="6">
        <f ca="1">IFERROR(__xludf.DUMMYFUNCTION("""COMPUTED_VALUE"""),42216.27)</f>
        <v>42216.27</v>
      </c>
      <c r="AP1546" s="6" t="str">
        <f t="shared" ca="1" si="447"/>
        <v>20242</v>
      </c>
      <c r="AQ1546" s="6">
        <f t="shared" ca="1" si="448"/>
        <v>2024</v>
      </c>
      <c r="AR1546" s="6">
        <f t="shared" ca="1" si="449"/>
        <v>2</v>
      </c>
      <c r="AS1546" s="68">
        <f ca="1">IFERROR(__xludf.DUMMYFUNCTION("""COMPUTED_VALUE"""),45351.9986111111)</f>
        <v>45351.998611111099</v>
      </c>
      <c r="AT1546" s="6">
        <f ca="1">IFERROR(__xludf.DUMMYFUNCTION("""COMPUTED_VALUE"""),2054.7)</f>
        <v>2054.6999999999998</v>
      </c>
    </row>
    <row r="1547" spans="2:46" x14ac:dyDescent="0.35">
      <c r="B1547" s="6" t="str">
        <f t="shared" ca="1" si="432"/>
        <v>20242</v>
      </c>
      <c r="C1547" s="6">
        <f t="shared" ca="1" si="433"/>
        <v>2024</v>
      </c>
      <c r="D1547" s="6">
        <f t="shared" ca="1" si="434"/>
        <v>2</v>
      </c>
      <c r="E1547" s="68">
        <f ca="1">IFERROR(__xludf.DUMMYFUNCTION("""COMPUTED_VALUE"""),45345.6666666666)</f>
        <v>45345.666666666599</v>
      </c>
      <c r="F1547" s="6">
        <f ca="1">IFERROR(__xludf.DUMMYFUNCTION("""COMPUTED_VALUE"""),5088.8)</f>
        <v>5088.8</v>
      </c>
      <c r="J1547" s="6" t="str">
        <f t="shared" ca="1" si="435"/>
        <v>20242</v>
      </c>
      <c r="K1547" s="6">
        <f t="shared" ca="1" si="436"/>
        <v>2024</v>
      </c>
      <c r="L1547" s="6">
        <f t="shared" ca="1" si="437"/>
        <v>2</v>
      </c>
      <c r="M1547" s="68">
        <f ca="1">IFERROR(__xludf.DUMMYFUNCTION("""COMPUTED_VALUE"""),45336.6666666666)</f>
        <v>45336.666666666599</v>
      </c>
      <c r="N1547" s="6">
        <f ca="1">IFERROR(__xludf.DUMMYFUNCTION("""COMPUTED_VALUE"""),15859.15)</f>
        <v>15859.15</v>
      </c>
      <c r="R1547" s="6" t="str">
        <f t="shared" ca="1" si="438"/>
        <v>20244</v>
      </c>
      <c r="S1547" s="6">
        <f t="shared" ca="1" si="439"/>
        <v>2024</v>
      </c>
      <c r="T1547" s="6">
        <f t="shared" ca="1" si="440"/>
        <v>4</v>
      </c>
      <c r="U1547" s="68">
        <f ca="1">IFERROR(__xludf.DUMMYFUNCTION("""COMPUTED_VALUE"""),45398.6458333333)</f>
        <v>45398.645833333299</v>
      </c>
      <c r="V1547" s="6">
        <f ca="1">IFERROR(__xludf.DUMMYFUNCTION("""COMPUTED_VALUE"""),2609.63)</f>
        <v>2609.63</v>
      </c>
      <c r="Z1547" s="6" t="str">
        <f t="shared" ca="1" si="441"/>
        <v>20225</v>
      </c>
      <c r="AA1547" s="6">
        <f t="shared" ca="1" si="442"/>
        <v>2022</v>
      </c>
      <c r="AB1547" s="6">
        <f t="shared" ca="1" si="443"/>
        <v>5</v>
      </c>
      <c r="AC1547" s="68">
        <f ca="1">IFERROR(__xludf.DUMMYFUNCTION("""COMPUTED_VALUE"""),44696.9986111111)</f>
        <v>44696.998611111099</v>
      </c>
      <c r="AD1547" s="6">
        <f ca="1">IFERROR(__xludf.DUMMYFUNCTION("""COMPUTED_VALUE"""),1277.57)</f>
        <v>1277.57</v>
      </c>
      <c r="AH1547" s="6" t="str">
        <f t="shared" ca="1" si="444"/>
        <v>20223</v>
      </c>
      <c r="AI1547" s="6">
        <f t="shared" ca="1" si="445"/>
        <v>2022</v>
      </c>
      <c r="AJ1547" s="6">
        <f t="shared" ca="1" si="446"/>
        <v>3</v>
      </c>
      <c r="AK1547" s="68">
        <f ca="1">IFERROR(__xludf.DUMMYFUNCTION("""COMPUTED_VALUE"""),44640.9986111111)</f>
        <v>44640.998611111099</v>
      </c>
      <c r="AL1547" s="6">
        <f ca="1">IFERROR(__xludf.DUMMYFUNCTION("""COMPUTED_VALUE"""),41255.24)</f>
        <v>41255.24</v>
      </c>
      <c r="AP1547" s="6" t="str">
        <f t="shared" ca="1" si="447"/>
        <v>20243</v>
      </c>
      <c r="AQ1547" s="6">
        <f t="shared" ca="1" si="448"/>
        <v>2024</v>
      </c>
      <c r="AR1547" s="6">
        <f t="shared" ca="1" si="449"/>
        <v>3</v>
      </c>
      <c r="AS1547" s="68">
        <f ca="1">IFERROR(__xludf.DUMMYFUNCTION("""COMPUTED_VALUE"""),45352.9986111111)</f>
        <v>45352.998611111099</v>
      </c>
      <c r="AT1547" s="6">
        <f ca="1">IFERROR(__xludf.DUMMYFUNCTION("""COMPUTED_VALUE"""),2095.7)</f>
        <v>2095.6999999999998</v>
      </c>
    </row>
    <row r="1548" spans="2:46" x14ac:dyDescent="0.35">
      <c r="B1548" s="6" t="str">
        <f t="shared" ca="1" si="432"/>
        <v>20242</v>
      </c>
      <c r="C1548" s="6">
        <f t="shared" ca="1" si="433"/>
        <v>2024</v>
      </c>
      <c r="D1548" s="6">
        <f t="shared" ca="1" si="434"/>
        <v>2</v>
      </c>
      <c r="E1548" s="68">
        <f ca="1">IFERROR(__xludf.DUMMYFUNCTION("""COMPUTED_VALUE"""),45348.6666666666)</f>
        <v>45348.666666666599</v>
      </c>
      <c r="F1548" s="6">
        <f ca="1">IFERROR(__xludf.DUMMYFUNCTION("""COMPUTED_VALUE"""),5069.53)</f>
        <v>5069.53</v>
      </c>
      <c r="J1548" s="6" t="str">
        <f t="shared" ca="1" si="435"/>
        <v>20242</v>
      </c>
      <c r="K1548" s="6">
        <f t="shared" ca="1" si="436"/>
        <v>2024</v>
      </c>
      <c r="L1548" s="6">
        <f t="shared" ca="1" si="437"/>
        <v>2</v>
      </c>
      <c r="M1548" s="68">
        <f ca="1">IFERROR(__xludf.DUMMYFUNCTION("""COMPUTED_VALUE"""),45337.6666666666)</f>
        <v>45337.666666666599</v>
      </c>
      <c r="N1548" s="6">
        <f ca="1">IFERROR(__xludf.DUMMYFUNCTION("""COMPUTED_VALUE"""),15906.17)</f>
        <v>15906.17</v>
      </c>
      <c r="R1548" s="6" t="str">
        <f t="shared" ca="1" si="438"/>
        <v>20244</v>
      </c>
      <c r="S1548" s="6">
        <f t="shared" ca="1" si="439"/>
        <v>2024</v>
      </c>
      <c r="T1548" s="6">
        <f t="shared" ca="1" si="440"/>
        <v>4</v>
      </c>
      <c r="U1548" s="68">
        <f ca="1">IFERROR(__xludf.DUMMYFUNCTION("""COMPUTED_VALUE"""),45399.6458333333)</f>
        <v>45399.645833333299</v>
      </c>
      <c r="V1548" s="6">
        <f ca="1">IFERROR(__xludf.DUMMYFUNCTION("""COMPUTED_VALUE"""),2584.18)</f>
        <v>2584.1799999999998</v>
      </c>
      <c r="Z1548" s="6" t="str">
        <f t="shared" ca="1" si="441"/>
        <v>20225</v>
      </c>
      <c r="AA1548" s="6">
        <f t="shared" ca="1" si="442"/>
        <v>2022</v>
      </c>
      <c r="AB1548" s="6">
        <f t="shared" ca="1" si="443"/>
        <v>5</v>
      </c>
      <c r="AC1548" s="68">
        <f ca="1">IFERROR(__xludf.DUMMYFUNCTION("""COMPUTED_VALUE"""),44697.9986111111)</f>
        <v>44697.998611111099</v>
      </c>
      <c r="AD1548" s="6">
        <f ca="1">IFERROR(__xludf.DUMMYFUNCTION("""COMPUTED_VALUE"""),1279.85)</f>
        <v>1279.8499999999999</v>
      </c>
      <c r="AH1548" s="6" t="str">
        <f t="shared" ca="1" si="444"/>
        <v>20223</v>
      </c>
      <c r="AI1548" s="6">
        <f t="shared" ca="1" si="445"/>
        <v>2022</v>
      </c>
      <c r="AJ1548" s="6">
        <f t="shared" ca="1" si="446"/>
        <v>3</v>
      </c>
      <c r="AK1548" s="68">
        <f ca="1">IFERROR(__xludf.DUMMYFUNCTION("""COMPUTED_VALUE"""),44641.9986111111)</f>
        <v>44641.998611111099</v>
      </c>
      <c r="AL1548" s="6">
        <f ca="1">IFERROR(__xludf.DUMMYFUNCTION("""COMPUTED_VALUE"""),41035.93)</f>
        <v>41035.93</v>
      </c>
      <c r="AP1548" s="6" t="str">
        <f t="shared" ca="1" si="447"/>
        <v>20243</v>
      </c>
      <c r="AQ1548" s="6">
        <f t="shared" ca="1" si="448"/>
        <v>2024</v>
      </c>
      <c r="AR1548" s="6">
        <f t="shared" ca="1" si="449"/>
        <v>3</v>
      </c>
      <c r="AS1548" s="68">
        <f ca="1">IFERROR(__xludf.DUMMYFUNCTION("""COMPUTED_VALUE"""),45355.9986111111)</f>
        <v>45355.998611111099</v>
      </c>
      <c r="AT1548" s="6">
        <f ca="1">IFERROR(__xludf.DUMMYFUNCTION("""COMPUTED_VALUE"""),2126.3)</f>
        <v>2126.3000000000002</v>
      </c>
    </row>
    <row r="1549" spans="2:46" x14ac:dyDescent="0.35">
      <c r="B1549" s="6" t="str">
        <f t="shared" ca="1" si="432"/>
        <v>20242</v>
      </c>
      <c r="C1549" s="6">
        <f t="shared" ca="1" si="433"/>
        <v>2024</v>
      </c>
      <c r="D1549" s="6">
        <f t="shared" ca="1" si="434"/>
        <v>2</v>
      </c>
      <c r="E1549" s="68">
        <f ca="1">IFERROR(__xludf.DUMMYFUNCTION("""COMPUTED_VALUE"""),45349.6666666666)</f>
        <v>45349.666666666599</v>
      </c>
      <c r="F1549" s="6">
        <f ca="1">IFERROR(__xludf.DUMMYFUNCTION("""COMPUTED_VALUE"""),5078.18)</f>
        <v>5078.18</v>
      </c>
      <c r="J1549" s="6" t="str">
        <f t="shared" ca="1" si="435"/>
        <v>20242</v>
      </c>
      <c r="K1549" s="6">
        <f t="shared" ca="1" si="436"/>
        <v>2024</v>
      </c>
      <c r="L1549" s="6">
        <f t="shared" ca="1" si="437"/>
        <v>2</v>
      </c>
      <c r="M1549" s="68">
        <f ca="1">IFERROR(__xludf.DUMMYFUNCTION("""COMPUTED_VALUE"""),45338.6666666666)</f>
        <v>45338.666666666599</v>
      </c>
      <c r="N1549" s="6">
        <f ca="1">IFERROR(__xludf.DUMMYFUNCTION("""COMPUTED_VALUE"""),15775.65)</f>
        <v>15775.65</v>
      </c>
      <c r="R1549" s="6" t="str">
        <f t="shared" ca="1" si="438"/>
        <v>20244</v>
      </c>
      <c r="S1549" s="6">
        <f t="shared" ca="1" si="439"/>
        <v>2024</v>
      </c>
      <c r="T1549" s="6">
        <f t="shared" ca="1" si="440"/>
        <v>4</v>
      </c>
      <c r="U1549" s="68">
        <f ca="1">IFERROR(__xludf.DUMMYFUNCTION("""COMPUTED_VALUE"""),45400.6458333333)</f>
        <v>45400.645833333299</v>
      </c>
      <c r="V1549" s="6">
        <f ca="1">IFERROR(__xludf.DUMMYFUNCTION("""COMPUTED_VALUE"""),2634.7)</f>
        <v>2634.7</v>
      </c>
      <c r="Z1549" s="6" t="str">
        <f t="shared" ca="1" si="441"/>
        <v>20225</v>
      </c>
      <c r="AA1549" s="6">
        <f t="shared" ca="1" si="442"/>
        <v>2022</v>
      </c>
      <c r="AB1549" s="6">
        <f t="shared" ca="1" si="443"/>
        <v>5</v>
      </c>
      <c r="AC1549" s="68">
        <f ca="1">IFERROR(__xludf.DUMMYFUNCTION("""COMPUTED_VALUE"""),44698.9986111111)</f>
        <v>44698.998611111099</v>
      </c>
      <c r="AD1549" s="6">
        <f ca="1">IFERROR(__xludf.DUMMYFUNCTION("""COMPUTED_VALUE"""),1266.66)</f>
        <v>1266.6600000000001</v>
      </c>
      <c r="AH1549" s="6" t="str">
        <f t="shared" ca="1" si="444"/>
        <v>20223</v>
      </c>
      <c r="AI1549" s="6">
        <f t="shared" ca="1" si="445"/>
        <v>2022</v>
      </c>
      <c r="AJ1549" s="6">
        <f t="shared" ca="1" si="446"/>
        <v>3</v>
      </c>
      <c r="AK1549" s="68">
        <f ca="1">IFERROR(__xludf.DUMMYFUNCTION("""COMPUTED_VALUE"""),44642.9986111111)</f>
        <v>44642.998611111099</v>
      </c>
      <c r="AL1549" s="6">
        <f ca="1">IFERROR(__xludf.DUMMYFUNCTION("""COMPUTED_VALUE"""),42370.4)</f>
        <v>42370.400000000001</v>
      </c>
      <c r="AP1549" s="6" t="str">
        <f t="shared" ca="1" si="447"/>
        <v>20243</v>
      </c>
      <c r="AQ1549" s="6">
        <f t="shared" ca="1" si="448"/>
        <v>2024</v>
      </c>
      <c r="AR1549" s="6">
        <f t="shared" ca="1" si="449"/>
        <v>3</v>
      </c>
      <c r="AS1549" s="68">
        <f ca="1">IFERROR(__xludf.DUMMYFUNCTION("""COMPUTED_VALUE"""),45356.9986111111)</f>
        <v>45356.998611111099</v>
      </c>
      <c r="AT1549" s="6">
        <f ca="1">IFERROR(__xludf.DUMMYFUNCTION("""COMPUTED_VALUE"""),2141.9)</f>
        <v>2141.9</v>
      </c>
    </row>
    <row r="1550" spans="2:46" x14ac:dyDescent="0.35">
      <c r="B1550" s="6" t="str">
        <f t="shared" ca="1" si="432"/>
        <v>20242</v>
      </c>
      <c r="C1550" s="6">
        <f t="shared" ca="1" si="433"/>
        <v>2024</v>
      </c>
      <c r="D1550" s="6">
        <f t="shared" ca="1" si="434"/>
        <v>2</v>
      </c>
      <c r="E1550" s="68">
        <f ca="1">IFERROR(__xludf.DUMMYFUNCTION("""COMPUTED_VALUE"""),45350.6666666666)</f>
        <v>45350.666666666599</v>
      </c>
      <c r="F1550" s="6">
        <f ca="1">IFERROR(__xludf.DUMMYFUNCTION("""COMPUTED_VALUE"""),5069.76)</f>
        <v>5069.76</v>
      </c>
      <c r="J1550" s="6" t="str">
        <f t="shared" ca="1" si="435"/>
        <v>20242</v>
      </c>
      <c r="K1550" s="6">
        <f t="shared" ca="1" si="436"/>
        <v>2024</v>
      </c>
      <c r="L1550" s="6">
        <f t="shared" ca="1" si="437"/>
        <v>2</v>
      </c>
      <c r="M1550" s="68">
        <f ca="1">IFERROR(__xludf.DUMMYFUNCTION("""COMPUTED_VALUE"""),45342.6666666666)</f>
        <v>45342.666666666599</v>
      </c>
      <c r="N1550" s="6">
        <f ca="1">IFERROR(__xludf.DUMMYFUNCTION("""COMPUTED_VALUE"""),15630.78)</f>
        <v>15630.78</v>
      </c>
      <c r="R1550" s="6" t="str">
        <f t="shared" ca="1" si="438"/>
        <v>20244</v>
      </c>
      <c r="S1550" s="6">
        <f t="shared" ca="1" si="439"/>
        <v>2024</v>
      </c>
      <c r="T1550" s="6">
        <f t="shared" ca="1" si="440"/>
        <v>4</v>
      </c>
      <c r="U1550" s="68">
        <f ca="1">IFERROR(__xludf.DUMMYFUNCTION("""COMPUTED_VALUE"""),45401.6458333333)</f>
        <v>45401.645833333299</v>
      </c>
      <c r="V1550" s="6">
        <f ca="1">IFERROR(__xludf.DUMMYFUNCTION("""COMPUTED_VALUE"""),2591.86)</f>
        <v>2591.86</v>
      </c>
      <c r="Z1550" s="6" t="str">
        <f t="shared" ca="1" si="441"/>
        <v>20225</v>
      </c>
      <c r="AA1550" s="6">
        <f t="shared" ca="1" si="442"/>
        <v>2022</v>
      </c>
      <c r="AB1550" s="6">
        <f t="shared" ca="1" si="443"/>
        <v>5</v>
      </c>
      <c r="AC1550" s="68">
        <f ca="1">IFERROR(__xludf.DUMMYFUNCTION("""COMPUTED_VALUE"""),44699.9986111111)</f>
        <v>44699.998611111099</v>
      </c>
      <c r="AD1550" s="6">
        <f ca="1">IFERROR(__xludf.DUMMYFUNCTION("""COMPUTED_VALUE"""),1275.58)</f>
        <v>1275.58</v>
      </c>
      <c r="AH1550" s="6" t="str">
        <f t="shared" ca="1" si="444"/>
        <v>20223</v>
      </c>
      <c r="AI1550" s="6">
        <f t="shared" ca="1" si="445"/>
        <v>2022</v>
      </c>
      <c r="AJ1550" s="6">
        <f t="shared" ca="1" si="446"/>
        <v>3</v>
      </c>
      <c r="AK1550" s="68">
        <f ca="1">IFERROR(__xludf.DUMMYFUNCTION("""COMPUTED_VALUE"""),44643.9986111111)</f>
        <v>44643.998611111099</v>
      </c>
      <c r="AL1550" s="6">
        <f ca="1">IFERROR(__xludf.DUMMYFUNCTION("""COMPUTED_VALUE"""),42906.23)</f>
        <v>42906.23</v>
      </c>
      <c r="AP1550" s="6" t="str">
        <f t="shared" ca="1" si="447"/>
        <v>20243</v>
      </c>
      <c r="AQ1550" s="6">
        <f t="shared" ca="1" si="448"/>
        <v>2024</v>
      </c>
      <c r="AR1550" s="6">
        <f t="shared" ca="1" si="449"/>
        <v>3</v>
      </c>
      <c r="AS1550" s="68">
        <f ca="1">IFERROR(__xludf.DUMMYFUNCTION("""COMPUTED_VALUE"""),45357.9986111111)</f>
        <v>45357.998611111099</v>
      </c>
      <c r="AT1550" s="6">
        <f ca="1">IFERROR(__xludf.DUMMYFUNCTION("""COMPUTED_VALUE"""),2158.2)</f>
        <v>2158.1999999999998</v>
      </c>
    </row>
    <row r="1551" spans="2:46" x14ac:dyDescent="0.35">
      <c r="B1551" s="6" t="str">
        <f t="shared" ca="1" si="432"/>
        <v>20242</v>
      </c>
      <c r="C1551" s="6">
        <f t="shared" ca="1" si="433"/>
        <v>2024</v>
      </c>
      <c r="D1551" s="6">
        <f t="shared" ca="1" si="434"/>
        <v>2</v>
      </c>
      <c r="E1551" s="68">
        <f ca="1">IFERROR(__xludf.DUMMYFUNCTION("""COMPUTED_VALUE"""),45351.6666666666)</f>
        <v>45351.666666666599</v>
      </c>
      <c r="F1551" s="6">
        <f ca="1">IFERROR(__xludf.DUMMYFUNCTION("""COMPUTED_VALUE"""),5096.27)</f>
        <v>5096.2700000000004</v>
      </c>
      <c r="J1551" s="6" t="str">
        <f t="shared" ca="1" si="435"/>
        <v>20242</v>
      </c>
      <c r="K1551" s="6">
        <f t="shared" ca="1" si="436"/>
        <v>2024</v>
      </c>
      <c r="L1551" s="6">
        <f t="shared" ca="1" si="437"/>
        <v>2</v>
      </c>
      <c r="M1551" s="68">
        <f ca="1">IFERROR(__xludf.DUMMYFUNCTION("""COMPUTED_VALUE"""),45343.6666666666)</f>
        <v>45343.666666666599</v>
      </c>
      <c r="N1551" s="6">
        <f ca="1">IFERROR(__xludf.DUMMYFUNCTION("""COMPUTED_VALUE"""),15580.87)</f>
        <v>15580.87</v>
      </c>
      <c r="R1551" s="6" t="str">
        <f t="shared" ca="1" si="438"/>
        <v>20244</v>
      </c>
      <c r="S1551" s="6">
        <f t="shared" ca="1" si="439"/>
        <v>2024</v>
      </c>
      <c r="T1551" s="6">
        <f t="shared" ca="1" si="440"/>
        <v>4</v>
      </c>
      <c r="U1551" s="68">
        <f ca="1">IFERROR(__xludf.DUMMYFUNCTION("""COMPUTED_VALUE"""),45404.6458333333)</f>
        <v>45404.645833333299</v>
      </c>
      <c r="V1551" s="6">
        <f ca="1">IFERROR(__xludf.DUMMYFUNCTION("""COMPUTED_VALUE"""),2629.44)</f>
        <v>2629.44</v>
      </c>
      <c r="Z1551" s="6" t="str">
        <f t="shared" ca="1" si="441"/>
        <v>20225</v>
      </c>
      <c r="AA1551" s="6">
        <f t="shared" ca="1" si="442"/>
        <v>2022</v>
      </c>
      <c r="AB1551" s="6">
        <f t="shared" ca="1" si="443"/>
        <v>5</v>
      </c>
      <c r="AC1551" s="68">
        <f ca="1">IFERROR(__xludf.DUMMYFUNCTION("""COMPUTED_VALUE"""),44700.9986111111)</f>
        <v>44700.998611111099</v>
      </c>
      <c r="AD1551" s="6">
        <f ca="1">IFERROR(__xludf.DUMMYFUNCTION("""COMPUTED_VALUE"""),1263.55)</f>
        <v>1263.55</v>
      </c>
      <c r="AH1551" s="6" t="str">
        <f t="shared" ca="1" si="444"/>
        <v>20223</v>
      </c>
      <c r="AI1551" s="6">
        <f t="shared" ca="1" si="445"/>
        <v>2022</v>
      </c>
      <c r="AJ1551" s="6">
        <f t="shared" ca="1" si="446"/>
        <v>3</v>
      </c>
      <c r="AK1551" s="68">
        <f ca="1">IFERROR(__xludf.DUMMYFUNCTION("""COMPUTED_VALUE"""),44644.9986111111)</f>
        <v>44644.998611111099</v>
      </c>
      <c r="AL1551" s="6">
        <f ca="1">IFERROR(__xludf.DUMMYFUNCTION("""COMPUTED_VALUE"""),44008.34)</f>
        <v>44008.34</v>
      </c>
      <c r="AP1551" s="6" t="str">
        <f t="shared" ca="1" si="447"/>
        <v>20243</v>
      </c>
      <c r="AQ1551" s="6">
        <f t="shared" ca="1" si="448"/>
        <v>2024</v>
      </c>
      <c r="AR1551" s="6">
        <f t="shared" ca="1" si="449"/>
        <v>3</v>
      </c>
      <c r="AS1551" s="68">
        <f ca="1">IFERROR(__xludf.DUMMYFUNCTION("""COMPUTED_VALUE"""),45358.9986111111)</f>
        <v>45358.998611111099</v>
      </c>
      <c r="AT1551" s="6">
        <f ca="1">IFERROR(__xludf.DUMMYFUNCTION("""COMPUTED_VALUE"""),2165.2)</f>
        <v>2165.1999999999998</v>
      </c>
    </row>
    <row r="1552" spans="2:46" x14ac:dyDescent="0.35">
      <c r="B1552" s="6" t="str">
        <f t="shared" ca="1" si="432"/>
        <v>20243</v>
      </c>
      <c r="C1552" s="6">
        <f t="shared" ca="1" si="433"/>
        <v>2024</v>
      </c>
      <c r="D1552" s="6">
        <f t="shared" ca="1" si="434"/>
        <v>3</v>
      </c>
      <c r="E1552" s="68">
        <f ca="1">IFERROR(__xludf.DUMMYFUNCTION("""COMPUTED_VALUE"""),45352.6666666666)</f>
        <v>45352.666666666599</v>
      </c>
      <c r="F1552" s="6">
        <f ca="1">IFERROR(__xludf.DUMMYFUNCTION("""COMPUTED_VALUE"""),5137.08)</f>
        <v>5137.08</v>
      </c>
      <c r="J1552" s="6" t="str">
        <f t="shared" ca="1" si="435"/>
        <v>20242</v>
      </c>
      <c r="K1552" s="6">
        <f t="shared" ca="1" si="436"/>
        <v>2024</v>
      </c>
      <c r="L1552" s="6">
        <f t="shared" ca="1" si="437"/>
        <v>2</v>
      </c>
      <c r="M1552" s="68">
        <f ca="1">IFERROR(__xludf.DUMMYFUNCTION("""COMPUTED_VALUE"""),45344.6666666666)</f>
        <v>45344.666666666599</v>
      </c>
      <c r="N1552" s="6">
        <f ca="1">IFERROR(__xludf.DUMMYFUNCTION("""COMPUTED_VALUE"""),16041.62)</f>
        <v>16041.62</v>
      </c>
      <c r="R1552" s="6" t="str">
        <f t="shared" ca="1" si="438"/>
        <v>20244</v>
      </c>
      <c r="S1552" s="6">
        <f t="shared" ca="1" si="439"/>
        <v>2024</v>
      </c>
      <c r="T1552" s="6">
        <f t="shared" ca="1" si="440"/>
        <v>4</v>
      </c>
      <c r="U1552" s="68">
        <f ca="1">IFERROR(__xludf.DUMMYFUNCTION("""COMPUTED_VALUE"""),45405.6458333333)</f>
        <v>45405.645833333299</v>
      </c>
      <c r="V1552" s="6">
        <f ca="1">IFERROR(__xludf.DUMMYFUNCTION("""COMPUTED_VALUE"""),2623.02)</f>
        <v>2623.02</v>
      </c>
      <c r="Z1552" s="6" t="str">
        <f t="shared" ca="1" si="441"/>
        <v>20225</v>
      </c>
      <c r="AA1552" s="6">
        <f t="shared" ca="1" si="442"/>
        <v>2022</v>
      </c>
      <c r="AB1552" s="6">
        <f t="shared" ca="1" si="443"/>
        <v>5</v>
      </c>
      <c r="AC1552" s="68">
        <f ca="1">IFERROR(__xludf.DUMMYFUNCTION("""COMPUTED_VALUE"""),44701.9986111111)</f>
        <v>44701.998611111099</v>
      </c>
      <c r="AD1552" s="6">
        <f ca="1">IFERROR(__xludf.DUMMYFUNCTION("""COMPUTED_VALUE"""),1273.64)</f>
        <v>1273.6400000000001</v>
      </c>
      <c r="AH1552" s="6" t="str">
        <f t="shared" ca="1" si="444"/>
        <v>20223</v>
      </c>
      <c r="AI1552" s="6">
        <f t="shared" ca="1" si="445"/>
        <v>2022</v>
      </c>
      <c r="AJ1552" s="6">
        <f t="shared" ca="1" si="446"/>
        <v>3</v>
      </c>
      <c r="AK1552" s="68">
        <f ca="1">IFERROR(__xludf.DUMMYFUNCTION("""COMPUTED_VALUE"""),44645.9986111111)</f>
        <v>44645.998611111099</v>
      </c>
      <c r="AL1552" s="6">
        <f ca="1">IFERROR(__xludf.DUMMYFUNCTION("""COMPUTED_VALUE"""),44334.06)</f>
        <v>44334.06</v>
      </c>
      <c r="AP1552" s="6" t="str">
        <f t="shared" ca="1" si="447"/>
        <v>20243</v>
      </c>
      <c r="AQ1552" s="6">
        <f t="shared" ca="1" si="448"/>
        <v>2024</v>
      </c>
      <c r="AR1552" s="6">
        <f t="shared" ca="1" si="449"/>
        <v>3</v>
      </c>
      <c r="AS1552" s="68">
        <f ca="1">IFERROR(__xludf.DUMMYFUNCTION("""COMPUTED_VALUE"""),45359.9986111111)</f>
        <v>45359.998611111099</v>
      </c>
      <c r="AT1552" s="6">
        <f ca="1">IFERROR(__xludf.DUMMYFUNCTION("""COMPUTED_VALUE"""),2185.5)</f>
        <v>2185.5</v>
      </c>
    </row>
    <row r="1553" spans="2:46" x14ac:dyDescent="0.35">
      <c r="B1553" s="6" t="str">
        <f t="shared" ca="1" si="432"/>
        <v>20243</v>
      </c>
      <c r="C1553" s="6">
        <f t="shared" ca="1" si="433"/>
        <v>2024</v>
      </c>
      <c r="D1553" s="6">
        <f t="shared" ca="1" si="434"/>
        <v>3</v>
      </c>
      <c r="E1553" s="68">
        <f ca="1">IFERROR(__xludf.DUMMYFUNCTION("""COMPUTED_VALUE"""),45355.6666666666)</f>
        <v>45355.666666666599</v>
      </c>
      <c r="F1553" s="6">
        <f ca="1">IFERROR(__xludf.DUMMYFUNCTION("""COMPUTED_VALUE"""),5130.95)</f>
        <v>5130.95</v>
      </c>
      <c r="J1553" s="6" t="str">
        <f t="shared" ca="1" si="435"/>
        <v>20242</v>
      </c>
      <c r="K1553" s="6">
        <f t="shared" ca="1" si="436"/>
        <v>2024</v>
      </c>
      <c r="L1553" s="6">
        <f t="shared" ca="1" si="437"/>
        <v>2</v>
      </c>
      <c r="M1553" s="68">
        <f ca="1">IFERROR(__xludf.DUMMYFUNCTION("""COMPUTED_VALUE"""),45345.6666666666)</f>
        <v>45345.666666666599</v>
      </c>
      <c r="N1553" s="6">
        <f ca="1">IFERROR(__xludf.DUMMYFUNCTION("""COMPUTED_VALUE"""),15996.82)</f>
        <v>15996.82</v>
      </c>
      <c r="R1553" s="6" t="str">
        <f t="shared" ca="1" si="438"/>
        <v>20244</v>
      </c>
      <c r="S1553" s="6">
        <f t="shared" ca="1" si="439"/>
        <v>2024</v>
      </c>
      <c r="T1553" s="6">
        <f t="shared" ca="1" si="440"/>
        <v>4</v>
      </c>
      <c r="U1553" s="68">
        <f ca="1">IFERROR(__xludf.DUMMYFUNCTION("""COMPUTED_VALUE"""),45406.6458333333)</f>
        <v>45406.645833333299</v>
      </c>
      <c r="V1553" s="6">
        <f ca="1">IFERROR(__xludf.DUMMYFUNCTION("""COMPUTED_VALUE"""),2675.75)</f>
        <v>2675.75</v>
      </c>
      <c r="Z1553" s="6" t="str">
        <f t="shared" ca="1" si="441"/>
        <v>20225</v>
      </c>
      <c r="AA1553" s="6">
        <f t="shared" ca="1" si="442"/>
        <v>2022</v>
      </c>
      <c r="AB1553" s="6">
        <f t="shared" ca="1" si="443"/>
        <v>5</v>
      </c>
      <c r="AC1553" s="68">
        <f ca="1">IFERROR(__xludf.DUMMYFUNCTION("""COMPUTED_VALUE"""),44702.9986111111)</f>
        <v>44702.998611111099</v>
      </c>
      <c r="AD1553" s="6">
        <f ca="1">IFERROR(__xludf.DUMMYFUNCTION("""COMPUTED_VALUE"""),1273.64)</f>
        <v>1273.6400000000001</v>
      </c>
      <c r="AH1553" s="6" t="str">
        <f t="shared" ca="1" si="444"/>
        <v>20223</v>
      </c>
      <c r="AI1553" s="6">
        <f t="shared" ca="1" si="445"/>
        <v>2022</v>
      </c>
      <c r="AJ1553" s="6">
        <f t="shared" ca="1" si="446"/>
        <v>3</v>
      </c>
      <c r="AK1553" s="68">
        <f ca="1">IFERROR(__xludf.DUMMYFUNCTION("""COMPUTED_VALUE"""),44646.9986111111)</f>
        <v>44646.998611111099</v>
      </c>
      <c r="AL1553" s="6">
        <f ca="1">IFERROR(__xludf.DUMMYFUNCTION("""COMPUTED_VALUE"""),44550.53)</f>
        <v>44550.53</v>
      </c>
      <c r="AP1553" s="6" t="str">
        <f t="shared" ca="1" si="447"/>
        <v>20243</v>
      </c>
      <c r="AQ1553" s="6">
        <f t="shared" ca="1" si="448"/>
        <v>2024</v>
      </c>
      <c r="AR1553" s="6">
        <f t="shared" ca="1" si="449"/>
        <v>3</v>
      </c>
      <c r="AS1553" s="68">
        <f ca="1">IFERROR(__xludf.DUMMYFUNCTION("""COMPUTED_VALUE"""),45362.9986111111)</f>
        <v>45362.998611111099</v>
      </c>
      <c r="AT1553" s="6">
        <f ca="1">IFERROR(__xludf.DUMMYFUNCTION("""COMPUTED_VALUE"""),2188.6)</f>
        <v>2188.6</v>
      </c>
    </row>
    <row r="1554" spans="2:46" x14ac:dyDescent="0.35">
      <c r="B1554" s="6" t="str">
        <f t="shared" ca="1" si="432"/>
        <v>20243</v>
      </c>
      <c r="C1554" s="6">
        <f t="shared" ca="1" si="433"/>
        <v>2024</v>
      </c>
      <c r="D1554" s="6">
        <f t="shared" ca="1" si="434"/>
        <v>3</v>
      </c>
      <c r="E1554" s="68">
        <f ca="1">IFERROR(__xludf.DUMMYFUNCTION("""COMPUTED_VALUE"""),45356.6666666666)</f>
        <v>45356.666666666599</v>
      </c>
      <c r="F1554" s="6">
        <f ca="1">IFERROR(__xludf.DUMMYFUNCTION("""COMPUTED_VALUE"""),5078.65)</f>
        <v>5078.6499999999996</v>
      </c>
      <c r="J1554" s="6" t="str">
        <f t="shared" ca="1" si="435"/>
        <v>20242</v>
      </c>
      <c r="K1554" s="6">
        <f t="shared" ca="1" si="436"/>
        <v>2024</v>
      </c>
      <c r="L1554" s="6">
        <f t="shared" ca="1" si="437"/>
        <v>2</v>
      </c>
      <c r="M1554" s="68">
        <f ca="1">IFERROR(__xludf.DUMMYFUNCTION("""COMPUTED_VALUE"""),45348.6666666666)</f>
        <v>45348.666666666599</v>
      </c>
      <c r="N1554" s="6">
        <f ca="1">IFERROR(__xludf.DUMMYFUNCTION("""COMPUTED_VALUE"""),15976.25)</f>
        <v>15976.25</v>
      </c>
      <c r="R1554" s="6" t="str">
        <f t="shared" ca="1" si="438"/>
        <v>20244</v>
      </c>
      <c r="S1554" s="6">
        <f t="shared" ca="1" si="439"/>
        <v>2024</v>
      </c>
      <c r="T1554" s="6">
        <f t="shared" ca="1" si="440"/>
        <v>4</v>
      </c>
      <c r="U1554" s="68">
        <f ca="1">IFERROR(__xludf.DUMMYFUNCTION("""COMPUTED_VALUE"""),45407.6458333333)</f>
        <v>45407.645833333299</v>
      </c>
      <c r="V1554" s="6">
        <f ca="1">IFERROR(__xludf.DUMMYFUNCTION("""COMPUTED_VALUE"""),2628.62)</f>
        <v>2628.62</v>
      </c>
      <c r="Z1554" s="6" t="str">
        <f t="shared" ca="1" si="441"/>
        <v>20225</v>
      </c>
      <c r="AA1554" s="6">
        <f t="shared" ca="1" si="442"/>
        <v>2022</v>
      </c>
      <c r="AB1554" s="6">
        <f t="shared" ca="1" si="443"/>
        <v>5</v>
      </c>
      <c r="AC1554" s="68">
        <f ca="1">IFERROR(__xludf.DUMMYFUNCTION("""COMPUTED_VALUE"""),44703.9986111111)</f>
        <v>44703.998611111099</v>
      </c>
      <c r="AD1554" s="6">
        <f ca="1">IFERROR(__xludf.DUMMYFUNCTION("""COMPUTED_VALUE"""),1273.21)</f>
        <v>1273.21</v>
      </c>
      <c r="AH1554" s="6" t="str">
        <f t="shared" ca="1" si="444"/>
        <v>20223</v>
      </c>
      <c r="AI1554" s="6">
        <f t="shared" ca="1" si="445"/>
        <v>2022</v>
      </c>
      <c r="AJ1554" s="6">
        <f t="shared" ca="1" si="446"/>
        <v>3</v>
      </c>
      <c r="AK1554" s="68">
        <f ca="1">IFERROR(__xludf.DUMMYFUNCTION("""COMPUTED_VALUE"""),44647.9986111111)</f>
        <v>44647.998611111099</v>
      </c>
      <c r="AL1554" s="6">
        <f ca="1">IFERROR(__xludf.DUMMYFUNCTION("""COMPUTED_VALUE"""),46843.74)</f>
        <v>46843.74</v>
      </c>
      <c r="AP1554" s="6" t="str">
        <f t="shared" ca="1" si="447"/>
        <v>20243</v>
      </c>
      <c r="AQ1554" s="6">
        <f t="shared" ca="1" si="448"/>
        <v>2024</v>
      </c>
      <c r="AR1554" s="6">
        <f t="shared" ca="1" si="449"/>
        <v>3</v>
      </c>
      <c r="AS1554" s="68">
        <f ca="1">IFERROR(__xludf.DUMMYFUNCTION("""COMPUTED_VALUE"""),45363.9986111111)</f>
        <v>45363.998611111099</v>
      </c>
      <c r="AT1554" s="6">
        <f ca="1">IFERROR(__xludf.DUMMYFUNCTION("""COMPUTED_VALUE"""),2166.1)</f>
        <v>2166.1</v>
      </c>
    </row>
    <row r="1555" spans="2:46" x14ac:dyDescent="0.35">
      <c r="B1555" s="6" t="str">
        <f t="shared" ca="1" si="432"/>
        <v>20243</v>
      </c>
      <c r="C1555" s="6">
        <f t="shared" ca="1" si="433"/>
        <v>2024</v>
      </c>
      <c r="D1555" s="6">
        <f t="shared" ca="1" si="434"/>
        <v>3</v>
      </c>
      <c r="E1555" s="68">
        <f ca="1">IFERROR(__xludf.DUMMYFUNCTION("""COMPUTED_VALUE"""),45357.6666666666)</f>
        <v>45357.666666666599</v>
      </c>
      <c r="F1555" s="6">
        <f ca="1">IFERROR(__xludf.DUMMYFUNCTION("""COMPUTED_VALUE"""),5104.76)</f>
        <v>5104.76</v>
      </c>
      <c r="J1555" s="6" t="str">
        <f t="shared" ca="1" si="435"/>
        <v>20242</v>
      </c>
      <c r="K1555" s="6">
        <f t="shared" ca="1" si="436"/>
        <v>2024</v>
      </c>
      <c r="L1555" s="6">
        <f t="shared" ca="1" si="437"/>
        <v>2</v>
      </c>
      <c r="M1555" s="68">
        <f ca="1">IFERROR(__xludf.DUMMYFUNCTION("""COMPUTED_VALUE"""),45349.6666666666)</f>
        <v>45349.666666666599</v>
      </c>
      <c r="N1555" s="6">
        <f ca="1">IFERROR(__xludf.DUMMYFUNCTION("""COMPUTED_VALUE"""),16035.3)</f>
        <v>16035.3</v>
      </c>
      <c r="R1555" s="6" t="str">
        <f t="shared" ca="1" si="438"/>
        <v>20244</v>
      </c>
      <c r="S1555" s="6">
        <f t="shared" ca="1" si="439"/>
        <v>2024</v>
      </c>
      <c r="T1555" s="6">
        <f t="shared" ca="1" si="440"/>
        <v>4</v>
      </c>
      <c r="U1555" s="68">
        <f ca="1">IFERROR(__xludf.DUMMYFUNCTION("""COMPUTED_VALUE"""),45408.6458333333)</f>
        <v>45408.645833333299</v>
      </c>
      <c r="V1555" s="6">
        <f ca="1">IFERROR(__xludf.DUMMYFUNCTION("""COMPUTED_VALUE"""),2656.33)</f>
        <v>2656.33</v>
      </c>
      <c r="Z1555" s="6" t="str">
        <f t="shared" ca="1" si="441"/>
        <v>20225</v>
      </c>
      <c r="AA1555" s="6">
        <f t="shared" ca="1" si="442"/>
        <v>2022</v>
      </c>
      <c r="AB1555" s="6">
        <f t="shared" ca="1" si="443"/>
        <v>5</v>
      </c>
      <c r="AC1555" s="68">
        <f ca="1">IFERROR(__xludf.DUMMYFUNCTION("""COMPUTED_VALUE"""),44704.9986111111)</f>
        <v>44704.998611111099</v>
      </c>
      <c r="AD1555" s="6">
        <f ca="1">IFERROR(__xludf.DUMMYFUNCTION("""COMPUTED_VALUE"""),1258.82)</f>
        <v>1258.82</v>
      </c>
      <c r="AH1555" s="6" t="str">
        <f t="shared" ca="1" si="444"/>
        <v>20223</v>
      </c>
      <c r="AI1555" s="6">
        <f t="shared" ca="1" si="445"/>
        <v>2022</v>
      </c>
      <c r="AJ1555" s="6">
        <f t="shared" ca="1" si="446"/>
        <v>3</v>
      </c>
      <c r="AK1555" s="68">
        <f ca="1">IFERROR(__xludf.DUMMYFUNCTION("""COMPUTED_VALUE"""),44648.9986111111)</f>
        <v>44648.998611111099</v>
      </c>
      <c r="AL1555" s="6">
        <f ca="1">IFERROR(__xludf.DUMMYFUNCTION("""COMPUTED_VALUE"""),47102.41)</f>
        <v>47102.41</v>
      </c>
      <c r="AP1555" s="6" t="str">
        <f t="shared" ca="1" si="447"/>
        <v>20243</v>
      </c>
      <c r="AQ1555" s="6">
        <f t="shared" ca="1" si="448"/>
        <v>2024</v>
      </c>
      <c r="AR1555" s="6">
        <f t="shared" ca="1" si="449"/>
        <v>3</v>
      </c>
      <c r="AS1555" s="68">
        <f ca="1">IFERROR(__xludf.DUMMYFUNCTION("""COMPUTED_VALUE"""),45364.9986111111)</f>
        <v>45364.998611111099</v>
      </c>
      <c r="AT1555" s="6">
        <f ca="1">IFERROR(__xludf.DUMMYFUNCTION("""COMPUTED_VALUE"""),2180.8)</f>
        <v>2180.8000000000002</v>
      </c>
    </row>
    <row r="1556" spans="2:46" x14ac:dyDescent="0.35">
      <c r="B1556" s="6" t="str">
        <f t="shared" ca="1" si="432"/>
        <v>20243</v>
      </c>
      <c r="C1556" s="6">
        <f t="shared" ca="1" si="433"/>
        <v>2024</v>
      </c>
      <c r="D1556" s="6">
        <f t="shared" ca="1" si="434"/>
        <v>3</v>
      </c>
      <c r="E1556" s="68">
        <f ca="1">IFERROR(__xludf.DUMMYFUNCTION("""COMPUTED_VALUE"""),45358.6666666666)</f>
        <v>45358.666666666599</v>
      </c>
      <c r="F1556" s="6">
        <f ca="1">IFERROR(__xludf.DUMMYFUNCTION("""COMPUTED_VALUE"""),5157.36)</f>
        <v>5157.3599999999997</v>
      </c>
      <c r="J1556" s="6" t="str">
        <f t="shared" ca="1" si="435"/>
        <v>20242</v>
      </c>
      <c r="K1556" s="6">
        <f t="shared" ca="1" si="436"/>
        <v>2024</v>
      </c>
      <c r="L1556" s="6">
        <f t="shared" ca="1" si="437"/>
        <v>2</v>
      </c>
      <c r="M1556" s="68">
        <f ca="1">IFERROR(__xludf.DUMMYFUNCTION("""COMPUTED_VALUE"""),45350.6666666666)</f>
        <v>45350.666666666599</v>
      </c>
      <c r="N1556" s="6">
        <f ca="1">IFERROR(__xludf.DUMMYFUNCTION("""COMPUTED_VALUE"""),15947.74)</f>
        <v>15947.74</v>
      </c>
      <c r="R1556" s="6" t="str">
        <f t="shared" ca="1" si="438"/>
        <v>20244</v>
      </c>
      <c r="S1556" s="6">
        <f t="shared" ca="1" si="439"/>
        <v>2024</v>
      </c>
      <c r="T1556" s="6">
        <f t="shared" ca="1" si="440"/>
        <v>4</v>
      </c>
      <c r="U1556" s="68">
        <f ca="1">IFERROR(__xludf.DUMMYFUNCTION("""COMPUTED_VALUE"""),45411.6458333333)</f>
        <v>45411.645833333299</v>
      </c>
      <c r="V1556" s="6">
        <f ca="1">IFERROR(__xludf.DUMMYFUNCTION("""COMPUTED_VALUE"""),2687.44)</f>
        <v>2687.44</v>
      </c>
      <c r="Z1556" s="6" t="str">
        <f t="shared" ca="1" si="441"/>
        <v>20225</v>
      </c>
      <c r="AA1556" s="6">
        <f t="shared" ca="1" si="442"/>
        <v>2022</v>
      </c>
      <c r="AB1556" s="6">
        <f t="shared" ca="1" si="443"/>
        <v>5</v>
      </c>
      <c r="AC1556" s="68">
        <f ca="1">IFERROR(__xludf.DUMMYFUNCTION("""COMPUTED_VALUE"""),44705.9986111111)</f>
        <v>44705.998611111099</v>
      </c>
      <c r="AD1556" s="6">
        <f ca="1">IFERROR(__xludf.DUMMYFUNCTION("""COMPUTED_VALUE"""),1260.99)</f>
        <v>1260.99</v>
      </c>
      <c r="AH1556" s="6" t="str">
        <f t="shared" ca="1" si="444"/>
        <v>20223</v>
      </c>
      <c r="AI1556" s="6">
        <f t="shared" ca="1" si="445"/>
        <v>2022</v>
      </c>
      <c r="AJ1556" s="6">
        <f t="shared" ca="1" si="446"/>
        <v>3</v>
      </c>
      <c r="AK1556" s="68">
        <f ca="1">IFERROR(__xludf.DUMMYFUNCTION("""COMPUTED_VALUE"""),44649.9986111111)</f>
        <v>44649.998611111099</v>
      </c>
      <c r="AL1556" s="6">
        <f ca="1">IFERROR(__xludf.DUMMYFUNCTION("""COMPUTED_VALUE"""),47451.56)</f>
        <v>47451.56</v>
      </c>
      <c r="AP1556" s="6" t="str">
        <f t="shared" ca="1" si="447"/>
        <v>20243</v>
      </c>
      <c r="AQ1556" s="6">
        <f t="shared" ca="1" si="448"/>
        <v>2024</v>
      </c>
      <c r="AR1556" s="6">
        <f t="shared" ca="1" si="449"/>
        <v>3</v>
      </c>
      <c r="AS1556" s="68">
        <f ca="1">IFERROR(__xludf.DUMMYFUNCTION("""COMPUTED_VALUE"""),45365.9986111111)</f>
        <v>45365.998611111099</v>
      </c>
      <c r="AT1556" s="6">
        <f ca="1">IFERROR(__xludf.DUMMYFUNCTION("""COMPUTED_VALUE"""),2167.5)</f>
        <v>2167.5</v>
      </c>
    </row>
    <row r="1557" spans="2:46" x14ac:dyDescent="0.35">
      <c r="B1557" s="6" t="str">
        <f t="shared" ca="1" si="432"/>
        <v>20243</v>
      </c>
      <c r="C1557" s="6">
        <f t="shared" ca="1" si="433"/>
        <v>2024</v>
      </c>
      <c r="D1557" s="6">
        <f t="shared" ca="1" si="434"/>
        <v>3</v>
      </c>
      <c r="E1557" s="68">
        <f ca="1">IFERROR(__xludf.DUMMYFUNCTION("""COMPUTED_VALUE"""),45359.6666666666)</f>
        <v>45359.666666666599</v>
      </c>
      <c r="F1557" s="6">
        <f ca="1">IFERROR(__xludf.DUMMYFUNCTION("""COMPUTED_VALUE"""),5123.69)</f>
        <v>5123.6899999999996</v>
      </c>
      <c r="J1557" s="6" t="str">
        <f t="shared" ca="1" si="435"/>
        <v>20242</v>
      </c>
      <c r="K1557" s="6">
        <f t="shared" ca="1" si="436"/>
        <v>2024</v>
      </c>
      <c r="L1557" s="6">
        <f t="shared" ca="1" si="437"/>
        <v>2</v>
      </c>
      <c r="M1557" s="68">
        <f ca="1">IFERROR(__xludf.DUMMYFUNCTION("""COMPUTED_VALUE"""),45351.6666666666)</f>
        <v>45351.666666666599</v>
      </c>
      <c r="N1557" s="6">
        <f ca="1">IFERROR(__xludf.DUMMYFUNCTION("""COMPUTED_VALUE"""),16091.92)</f>
        <v>16091.92</v>
      </c>
      <c r="R1557" s="6" t="str">
        <f t="shared" ca="1" si="438"/>
        <v>20244</v>
      </c>
      <c r="S1557" s="6">
        <f t="shared" ca="1" si="439"/>
        <v>2024</v>
      </c>
      <c r="T1557" s="6">
        <f t="shared" ca="1" si="440"/>
        <v>4</v>
      </c>
      <c r="U1557" s="68">
        <f ca="1">IFERROR(__xludf.DUMMYFUNCTION("""COMPUTED_VALUE"""),45412.6458333333)</f>
        <v>45412.645833333299</v>
      </c>
      <c r="V1557" s="6">
        <f ca="1">IFERROR(__xludf.DUMMYFUNCTION("""COMPUTED_VALUE"""),2692.06)</f>
        <v>2692.06</v>
      </c>
      <c r="Z1557" s="6" t="str">
        <f t="shared" ca="1" si="441"/>
        <v>20225</v>
      </c>
      <c r="AA1557" s="6">
        <f t="shared" ca="1" si="442"/>
        <v>2022</v>
      </c>
      <c r="AB1557" s="6">
        <f t="shared" ca="1" si="443"/>
        <v>5</v>
      </c>
      <c r="AC1557" s="68">
        <f ca="1">IFERROR(__xludf.DUMMYFUNCTION("""COMPUTED_VALUE"""),44706.9986111111)</f>
        <v>44706.998611111099</v>
      </c>
      <c r="AD1557" s="6">
        <f ca="1">IFERROR(__xludf.DUMMYFUNCTION("""COMPUTED_VALUE"""),1266.6)</f>
        <v>1266.5999999999999</v>
      </c>
      <c r="AH1557" s="6" t="str">
        <f t="shared" ca="1" si="444"/>
        <v>20223</v>
      </c>
      <c r="AI1557" s="6">
        <f t="shared" ca="1" si="445"/>
        <v>2022</v>
      </c>
      <c r="AJ1557" s="6">
        <f t="shared" ca="1" si="446"/>
        <v>3</v>
      </c>
      <c r="AK1557" s="68">
        <f ca="1">IFERROR(__xludf.DUMMYFUNCTION("""COMPUTED_VALUE"""),44650.9986111111)</f>
        <v>44650.998611111099</v>
      </c>
      <c r="AL1557" s="6">
        <f ca="1">IFERROR(__xludf.DUMMYFUNCTION("""COMPUTED_VALUE"""),47049.11)</f>
        <v>47049.11</v>
      </c>
      <c r="AP1557" s="6" t="str">
        <f t="shared" ca="1" si="447"/>
        <v>20243</v>
      </c>
      <c r="AQ1557" s="6">
        <f t="shared" ca="1" si="448"/>
        <v>2024</v>
      </c>
      <c r="AR1557" s="6">
        <f t="shared" ca="1" si="449"/>
        <v>3</v>
      </c>
      <c r="AS1557" s="68">
        <f ca="1">IFERROR(__xludf.DUMMYFUNCTION("""COMPUTED_VALUE"""),45366.9986111111)</f>
        <v>45366.998611111099</v>
      </c>
      <c r="AT1557" s="6">
        <f ca="1">IFERROR(__xludf.DUMMYFUNCTION("""COMPUTED_VALUE"""),2161.5)</f>
        <v>2161.5</v>
      </c>
    </row>
    <row r="1558" spans="2:46" x14ac:dyDescent="0.35">
      <c r="B1558" s="6" t="str">
        <f t="shared" ca="1" si="432"/>
        <v>20243</v>
      </c>
      <c r="C1558" s="6">
        <f t="shared" ca="1" si="433"/>
        <v>2024</v>
      </c>
      <c r="D1558" s="6">
        <f t="shared" ca="1" si="434"/>
        <v>3</v>
      </c>
      <c r="E1558" s="68">
        <f ca="1">IFERROR(__xludf.DUMMYFUNCTION("""COMPUTED_VALUE"""),45362.6666666666)</f>
        <v>45362.666666666599</v>
      </c>
      <c r="F1558" s="6">
        <f ca="1">IFERROR(__xludf.DUMMYFUNCTION("""COMPUTED_VALUE"""),5117.94)</f>
        <v>5117.9399999999996</v>
      </c>
      <c r="J1558" s="6" t="str">
        <f t="shared" ca="1" si="435"/>
        <v>20243</v>
      </c>
      <c r="K1558" s="6">
        <f t="shared" ca="1" si="436"/>
        <v>2024</v>
      </c>
      <c r="L1558" s="6">
        <f t="shared" ca="1" si="437"/>
        <v>3</v>
      </c>
      <c r="M1558" s="68">
        <f ca="1">IFERROR(__xludf.DUMMYFUNCTION("""COMPUTED_VALUE"""),45352.6666666666)</f>
        <v>45352.666666666599</v>
      </c>
      <c r="N1558" s="6">
        <f ca="1">IFERROR(__xludf.DUMMYFUNCTION("""COMPUTED_VALUE"""),16274.94)</f>
        <v>16274.94</v>
      </c>
      <c r="R1558" s="6" t="str">
        <f t="shared" ca="1" si="438"/>
        <v>20245</v>
      </c>
      <c r="S1558" s="6">
        <f t="shared" ca="1" si="439"/>
        <v>2024</v>
      </c>
      <c r="T1558" s="6">
        <f t="shared" ca="1" si="440"/>
        <v>5</v>
      </c>
      <c r="U1558" s="68">
        <f ca="1">IFERROR(__xludf.DUMMYFUNCTION("""COMPUTED_VALUE"""),45414.6458333333)</f>
        <v>45414.645833333299</v>
      </c>
      <c r="V1558" s="6">
        <f ca="1">IFERROR(__xludf.DUMMYFUNCTION("""COMPUTED_VALUE"""),2683.65)</f>
        <v>2683.65</v>
      </c>
      <c r="Z1558" s="6" t="str">
        <f t="shared" ca="1" si="441"/>
        <v>20225</v>
      </c>
      <c r="AA1558" s="6">
        <f t="shared" ca="1" si="442"/>
        <v>2022</v>
      </c>
      <c r="AB1558" s="6">
        <f t="shared" ca="1" si="443"/>
        <v>5</v>
      </c>
      <c r="AC1558" s="68">
        <f ca="1">IFERROR(__xludf.DUMMYFUNCTION("""COMPUTED_VALUE"""),44707.9986111111)</f>
        <v>44707.998611111099</v>
      </c>
      <c r="AD1558" s="6">
        <f ca="1">IFERROR(__xludf.DUMMYFUNCTION("""COMPUTED_VALUE"""),1258.89)</f>
        <v>1258.8900000000001</v>
      </c>
      <c r="AH1558" s="6" t="str">
        <f t="shared" ca="1" si="444"/>
        <v>20223</v>
      </c>
      <c r="AI1558" s="6">
        <f t="shared" ca="1" si="445"/>
        <v>2022</v>
      </c>
      <c r="AJ1558" s="6">
        <f t="shared" ca="1" si="446"/>
        <v>3</v>
      </c>
      <c r="AK1558" s="68">
        <f ca="1">IFERROR(__xludf.DUMMYFUNCTION("""COMPUTED_VALUE"""),44651.9986111111)</f>
        <v>44651.998611111099</v>
      </c>
      <c r="AL1558" s="6">
        <f ca="1">IFERROR(__xludf.DUMMYFUNCTION("""COMPUTED_VALUE"""),45521.5)</f>
        <v>45521.5</v>
      </c>
      <c r="AP1558" s="6" t="str">
        <f t="shared" ca="1" si="447"/>
        <v>20243</v>
      </c>
      <c r="AQ1558" s="6">
        <f t="shared" ca="1" si="448"/>
        <v>2024</v>
      </c>
      <c r="AR1558" s="6">
        <f t="shared" ca="1" si="449"/>
        <v>3</v>
      </c>
      <c r="AS1558" s="68">
        <f ca="1">IFERROR(__xludf.DUMMYFUNCTION("""COMPUTED_VALUE"""),45369.9986111111)</f>
        <v>45369.998611111099</v>
      </c>
      <c r="AT1558" s="6">
        <f ca="1">IFERROR(__xludf.DUMMYFUNCTION("""COMPUTED_VALUE"""),2164.3)</f>
        <v>2164.3000000000002</v>
      </c>
    </row>
    <row r="1559" spans="2:46" x14ac:dyDescent="0.35">
      <c r="B1559" s="6" t="str">
        <f t="shared" ca="1" si="432"/>
        <v>20243</v>
      </c>
      <c r="C1559" s="6">
        <f t="shared" ca="1" si="433"/>
        <v>2024</v>
      </c>
      <c r="D1559" s="6">
        <f t="shared" ca="1" si="434"/>
        <v>3</v>
      </c>
      <c r="E1559" s="68">
        <f ca="1">IFERROR(__xludf.DUMMYFUNCTION("""COMPUTED_VALUE"""),45363.6666666666)</f>
        <v>45363.666666666599</v>
      </c>
      <c r="F1559" s="6">
        <f ca="1">IFERROR(__xludf.DUMMYFUNCTION("""COMPUTED_VALUE"""),5175.27)</f>
        <v>5175.2700000000004</v>
      </c>
      <c r="J1559" s="6" t="str">
        <f t="shared" ca="1" si="435"/>
        <v>20243</v>
      </c>
      <c r="K1559" s="6">
        <f t="shared" ca="1" si="436"/>
        <v>2024</v>
      </c>
      <c r="L1559" s="6">
        <f t="shared" ca="1" si="437"/>
        <v>3</v>
      </c>
      <c r="M1559" s="68">
        <f ca="1">IFERROR(__xludf.DUMMYFUNCTION("""COMPUTED_VALUE"""),45355.6666666666)</f>
        <v>45355.666666666599</v>
      </c>
      <c r="N1559" s="6">
        <f ca="1">IFERROR(__xludf.DUMMYFUNCTION("""COMPUTED_VALUE"""),16207.51)</f>
        <v>16207.51</v>
      </c>
      <c r="R1559" s="6" t="str">
        <f t="shared" ca="1" si="438"/>
        <v>20245</v>
      </c>
      <c r="S1559" s="6">
        <f t="shared" ca="1" si="439"/>
        <v>2024</v>
      </c>
      <c r="T1559" s="6">
        <f t="shared" ca="1" si="440"/>
        <v>5</v>
      </c>
      <c r="U1559" s="68">
        <f ca="1">IFERROR(__xludf.DUMMYFUNCTION("""COMPUTED_VALUE"""),45415.6458333333)</f>
        <v>45415.645833333299</v>
      </c>
      <c r="V1559" s="6">
        <f ca="1">IFERROR(__xludf.DUMMYFUNCTION("""COMPUTED_VALUE"""),2676.63)</f>
        <v>2676.63</v>
      </c>
      <c r="Z1559" s="6" t="str">
        <f t="shared" ca="1" si="441"/>
        <v>20225</v>
      </c>
      <c r="AA1559" s="6">
        <f t="shared" ca="1" si="442"/>
        <v>2022</v>
      </c>
      <c r="AB1559" s="6">
        <f t="shared" ca="1" si="443"/>
        <v>5</v>
      </c>
      <c r="AC1559" s="68">
        <f ca="1">IFERROR(__xludf.DUMMYFUNCTION("""COMPUTED_VALUE"""),44708.9986111111)</f>
        <v>44708.998611111099</v>
      </c>
      <c r="AD1559" s="6">
        <f ca="1">IFERROR(__xludf.DUMMYFUNCTION("""COMPUTED_VALUE"""),1252.7)</f>
        <v>1252.7</v>
      </c>
      <c r="AH1559" s="6" t="str">
        <f t="shared" ca="1" si="444"/>
        <v>20224</v>
      </c>
      <c r="AI1559" s="6">
        <f t="shared" ca="1" si="445"/>
        <v>2022</v>
      </c>
      <c r="AJ1559" s="6">
        <f t="shared" ca="1" si="446"/>
        <v>4</v>
      </c>
      <c r="AK1559" s="68">
        <f ca="1">IFERROR(__xludf.DUMMYFUNCTION("""COMPUTED_VALUE"""),44652.9986111111)</f>
        <v>44652.998611111099</v>
      </c>
      <c r="AL1559" s="6">
        <f ca="1">IFERROR(__xludf.DUMMYFUNCTION("""COMPUTED_VALUE"""),46304)</f>
        <v>46304</v>
      </c>
      <c r="AP1559" s="6" t="str">
        <f t="shared" ca="1" si="447"/>
        <v>20243</v>
      </c>
      <c r="AQ1559" s="6">
        <f t="shared" ca="1" si="448"/>
        <v>2024</v>
      </c>
      <c r="AR1559" s="6">
        <f t="shared" ca="1" si="449"/>
        <v>3</v>
      </c>
      <c r="AS1559" s="68">
        <f ca="1">IFERROR(__xludf.DUMMYFUNCTION("""COMPUTED_VALUE"""),45370.9986111111)</f>
        <v>45370.998611111099</v>
      </c>
      <c r="AT1559" s="6">
        <f ca="1">IFERROR(__xludf.DUMMYFUNCTION("""COMPUTED_VALUE"""),2181.2)</f>
        <v>2181.1999999999998</v>
      </c>
    </row>
    <row r="1560" spans="2:46" x14ac:dyDescent="0.35">
      <c r="B1560" s="6" t="str">
        <f t="shared" ca="1" si="432"/>
        <v>20243</v>
      </c>
      <c r="C1560" s="6">
        <f t="shared" ca="1" si="433"/>
        <v>2024</v>
      </c>
      <c r="D1560" s="6">
        <f t="shared" ca="1" si="434"/>
        <v>3</v>
      </c>
      <c r="E1560" s="68">
        <f ca="1">IFERROR(__xludf.DUMMYFUNCTION("""COMPUTED_VALUE"""),45364.6666666666)</f>
        <v>45364.666666666599</v>
      </c>
      <c r="F1560" s="6">
        <f ca="1">IFERROR(__xludf.DUMMYFUNCTION("""COMPUTED_VALUE"""),5165.31)</f>
        <v>5165.3100000000004</v>
      </c>
      <c r="J1560" s="6" t="str">
        <f t="shared" ca="1" si="435"/>
        <v>20243</v>
      </c>
      <c r="K1560" s="6">
        <f t="shared" ca="1" si="436"/>
        <v>2024</v>
      </c>
      <c r="L1560" s="6">
        <f t="shared" ca="1" si="437"/>
        <v>3</v>
      </c>
      <c r="M1560" s="68">
        <f ca="1">IFERROR(__xludf.DUMMYFUNCTION("""COMPUTED_VALUE"""),45356.6666666666)</f>
        <v>45356.666666666599</v>
      </c>
      <c r="N1560" s="6">
        <f ca="1">IFERROR(__xludf.DUMMYFUNCTION("""COMPUTED_VALUE"""),15939.59)</f>
        <v>15939.59</v>
      </c>
      <c r="R1560" s="6" t="str">
        <f t="shared" ca="1" si="438"/>
        <v>20245</v>
      </c>
      <c r="S1560" s="6">
        <f t="shared" ca="1" si="439"/>
        <v>2024</v>
      </c>
      <c r="T1560" s="6">
        <f t="shared" ca="1" si="440"/>
        <v>5</v>
      </c>
      <c r="U1560" s="68">
        <f ca="1">IFERROR(__xludf.DUMMYFUNCTION("""COMPUTED_VALUE"""),45419.6458333333)</f>
        <v>45419.645833333299</v>
      </c>
      <c r="V1560" s="6">
        <f ca="1">IFERROR(__xludf.DUMMYFUNCTION("""COMPUTED_VALUE"""),2734.36)</f>
        <v>2734.36</v>
      </c>
      <c r="Z1560" s="6" t="str">
        <f t="shared" ca="1" si="441"/>
        <v>20225</v>
      </c>
      <c r="AA1560" s="6">
        <f t="shared" ca="1" si="442"/>
        <v>2022</v>
      </c>
      <c r="AB1560" s="6">
        <f t="shared" ca="1" si="443"/>
        <v>5</v>
      </c>
      <c r="AC1560" s="68">
        <f ca="1">IFERROR(__xludf.DUMMYFUNCTION("""COMPUTED_VALUE"""),44709.9986111111)</f>
        <v>44709.998611111099</v>
      </c>
      <c r="AD1560" s="6">
        <f ca="1">IFERROR(__xludf.DUMMYFUNCTION("""COMPUTED_VALUE"""),1252.7)</f>
        <v>1252.7</v>
      </c>
      <c r="AH1560" s="6" t="str">
        <f t="shared" ca="1" si="444"/>
        <v>20224</v>
      </c>
      <c r="AI1560" s="6">
        <f t="shared" ca="1" si="445"/>
        <v>2022</v>
      </c>
      <c r="AJ1560" s="6">
        <f t="shared" ca="1" si="446"/>
        <v>4</v>
      </c>
      <c r="AK1560" s="68">
        <f ca="1">IFERROR(__xludf.DUMMYFUNCTION("""COMPUTED_VALUE"""),44653.9986111111)</f>
        <v>44653.998611111099</v>
      </c>
      <c r="AL1560" s="6">
        <f ca="1">IFERROR(__xludf.DUMMYFUNCTION("""COMPUTED_VALUE"""),45806.01)</f>
        <v>45806.01</v>
      </c>
      <c r="AP1560" s="6" t="str">
        <f t="shared" ca="1" si="447"/>
        <v>20243</v>
      </c>
      <c r="AQ1560" s="6">
        <f t="shared" ca="1" si="448"/>
        <v>2024</v>
      </c>
      <c r="AR1560" s="6">
        <f t="shared" ca="1" si="449"/>
        <v>3</v>
      </c>
      <c r="AS1560" s="68">
        <f ca="1">IFERROR(__xludf.DUMMYFUNCTION("""COMPUTED_VALUE"""),45371.9986111111)</f>
        <v>45371.998611111099</v>
      </c>
      <c r="AT1560" s="6">
        <f ca="1">IFERROR(__xludf.DUMMYFUNCTION("""COMPUTED_VALUE"""),2182.4)</f>
        <v>2182.4</v>
      </c>
    </row>
    <row r="1561" spans="2:46" x14ac:dyDescent="0.35">
      <c r="B1561" s="6" t="str">
        <f t="shared" ca="1" si="432"/>
        <v>20243</v>
      </c>
      <c r="C1561" s="6">
        <f t="shared" ca="1" si="433"/>
        <v>2024</v>
      </c>
      <c r="D1561" s="6">
        <f t="shared" ca="1" si="434"/>
        <v>3</v>
      </c>
      <c r="E1561" s="68">
        <f ca="1">IFERROR(__xludf.DUMMYFUNCTION("""COMPUTED_VALUE"""),45365.6666666666)</f>
        <v>45365.666666666599</v>
      </c>
      <c r="F1561" s="6">
        <f ca="1">IFERROR(__xludf.DUMMYFUNCTION("""COMPUTED_VALUE"""),5150.48)</f>
        <v>5150.4799999999996</v>
      </c>
      <c r="J1561" s="6" t="str">
        <f t="shared" ca="1" si="435"/>
        <v>20243</v>
      </c>
      <c r="K1561" s="6">
        <f t="shared" ca="1" si="436"/>
        <v>2024</v>
      </c>
      <c r="L1561" s="6">
        <f t="shared" ca="1" si="437"/>
        <v>3</v>
      </c>
      <c r="M1561" s="68">
        <f ca="1">IFERROR(__xludf.DUMMYFUNCTION("""COMPUTED_VALUE"""),45357.6666666666)</f>
        <v>45357.666666666599</v>
      </c>
      <c r="N1561" s="6">
        <f ca="1">IFERROR(__xludf.DUMMYFUNCTION("""COMPUTED_VALUE"""),16031.54)</f>
        <v>16031.54</v>
      </c>
      <c r="R1561" s="6" t="str">
        <f t="shared" ca="1" si="438"/>
        <v>20245</v>
      </c>
      <c r="S1561" s="6">
        <f t="shared" ca="1" si="439"/>
        <v>2024</v>
      </c>
      <c r="T1561" s="6">
        <f t="shared" ca="1" si="440"/>
        <v>5</v>
      </c>
      <c r="U1561" s="68">
        <f ca="1">IFERROR(__xludf.DUMMYFUNCTION("""COMPUTED_VALUE"""),45420.6458333333)</f>
        <v>45420.645833333299</v>
      </c>
      <c r="V1561" s="6">
        <f ca="1">IFERROR(__xludf.DUMMYFUNCTION("""COMPUTED_VALUE"""),2745.05)</f>
        <v>2745.05</v>
      </c>
      <c r="Z1561" s="6" t="str">
        <f t="shared" ca="1" si="441"/>
        <v>20225</v>
      </c>
      <c r="AA1561" s="6">
        <f t="shared" ca="1" si="442"/>
        <v>2022</v>
      </c>
      <c r="AB1561" s="6">
        <f t="shared" ca="1" si="443"/>
        <v>5</v>
      </c>
      <c r="AC1561" s="68">
        <f ca="1">IFERROR(__xludf.DUMMYFUNCTION("""COMPUTED_VALUE"""),44710.9986111111)</f>
        <v>44710.998611111099</v>
      </c>
      <c r="AD1561" s="6">
        <f ca="1">IFERROR(__xludf.DUMMYFUNCTION("""COMPUTED_VALUE"""),1251.59)</f>
        <v>1251.5899999999999</v>
      </c>
      <c r="AH1561" s="6" t="str">
        <f t="shared" ca="1" si="444"/>
        <v>20224</v>
      </c>
      <c r="AI1561" s="6">
        <f t="shared" ca="1" si="445"/>
        <v>2022</v>
      </c>
      <c r="AJ1561" s="6">
        <f t="shared" ca="1" si="446"/>
        <v>4</v>
      </c>
      <c r="AK1561" s="68">
        <f ca="1">IFERROR(__xludf.DUMMYFUNCTION("""COMPUTED_VALUE"""),44654.9986111111)</f>
        <v>44654.998611111099</v>
      </c>
      <c r="AL1561" s="6">
        <f ca="1">IFERROR(__xludf.DUMMYFUNCTION("""COMPUTED_VALUE"""),46401.85)</f>
        <v>46401.85</v>
      </c>
      <c r="AP1561" s="6" t="str">
        <f t="shared" ca="1" si="447"/>
        <v>20243</v>
      </c>
      <c r="AQ1561" s="6">
        <f t="shared" ca="1" si="448"/>
        <v>2024</v>
      </c>
      <c r="AR1561" s="6">
        <f t="shared" ca="1" si="449"/>
        <v>3</v>
      </c>
      <c r="AS1561" s="68">
        <f ca="1">IFERROR(__xludf.DUMMYFUNCTION("""COMPUTED_VALUE"""),45372.9986111111)</f>
        <v>45372.998611111099</v>
      </c>
      <c r="AT1561" s="6">
        <f ca="1">IFERROR(__xludf.DUMMYFUNCTION("""COMPUTED_VALUE"""),2206.5)</f>
        <v>2206.5</v>
      </c>
    </row>
    <row r="1562" spans="2:46" x14ac:dyDescent="0.35">
      <c r="B1562" s="6" t="str">
        <f t="shared" ca="1" si="432"/>
        <v>20243</v>
      </c>
      <c r="C1562" s="6">
        <f t="shared" ca="1" si="433"/>
        <v>2024</v>
      </c>
      <c r="D1562" s="6">
        <f t="shared" ca="1" si="434"/>
        <v>3</v>
      </c>
      <c r="E1562" s="68">
        <f ca="1">IFERROR(__xludf.DUMMYFUNCTION("""COMPUTED_VALUE"""),45366.6666666666)</f>
        <v>45366.666666666599</v>
      </c>
      <c r="F1562" s="6">
        <f ca="1">IFERROR(__xludf.DUMMYFUNCTION("""COMPUTED_VALUE"""),5117.09)</f>
        <v>5117.09</v>
      </c>
      <c r="J1562" s="6" t="str">
        <f t="shared" ca="1" si="435"/>
        <v>20243</v>
      </c>
      <c r="K1562" s="6">
        <f t="shared" ca="1" si="436"/>
        <v>2024</v>
      </c>
      <c r="L1562" s="6">
        <f t="shared" ca="1" si="437"/>
        <v>3</v>
      </c>
      <c r="M1562" s="68">
        <f ca="1">IFERROR(__xludf.DUMMYFUNCTION("""COMPUTED_VALUE"""),45358.6666666666)</f>
        <v>45358.666666666599</v>
      </c>
      <c r="N1562" s="6">
        <f ca="1">IFERROR(__xludf.DUMMYFUNCTION("""COMPUTED_VALUE"""),16273.38)</f>
        <v>16273.38</v>
      </c>
      <c r="R1562" s="6" t="str">
        <f t="shared" ca="1" si="438"/>
        <v>20245</v>
      </c>
      <c r="S1562" s="6">
        <f t="shared" ca="1" si="439"/>
        <v>2024</v>
      </c>
      <c r="T1562" s="6">
        <f t="shared" ca="1" si="440"/>
        <v>5</v>
      </c>
      <c r="U1562" s="68">
        <f ca="1">IFERROR(__xludf.DUMMYFUNCTION("""COMPUTED_VALUE"""),45421.6458333333)</f>
        <v>45421.645833333299</v>
      </c>
      <c r="V1562" s="6">
        <f ca="1">IFERROR(__xludf.DUMMYFUNCTION("""COMPUTED_VALUE"""),2712.14)</f>
        <v>2712.14</v>
      </c>
      <c r="Z1562" s="6" t="str">
        <f t="shared" ca="1" si="441"/>
        <v>20225</v>
      </c>
      <c r="AA1562" s="6">
        <f t="shared" ca="1" si="442"/>
        <v>2022</v>
      </c>
      <c r="AB1562" s="6">
        <f t="shared" ca="1" si="443"/>
        <v>5</v>
      </c>
      <c r="AC1562" s="68">
        <f ca="1">IFERROR(__xludf.DUMMYFUNCTION("""COMPUTED_VALUE"""),44711.9986111111)</f>
        <v>44711.998611111099</v>
      </c>
      <c r="AD1562" s="6">
        <f ca="1">IFERROR(__xludf.DUMMYFUNCTION("""COMPUTED_VALUE"""),1236.17)</f>
        <v>1236.17</v>
      </c>
      <c r="AH1562" s="6" t="str">
        <f t="shared" ca="1" si="444"/>
        <v>20224</v>
      </c>
      <c r="AI1562" s="6">
        <f t="shared" ca="1" si="445"/>
        <v>2022</v>
      </c>
      <c r="AJ1562" s="6">
        <f t="shared" ca="1" si="446"/>
        <v>4</v>
      </c>
      <c r="AK1562" s="68">
        <f ca="1">IFERROR(__xludf.DUMMYFUNCTION("""COMPUTED_VALUE"""),44655.9986111111)</f>
        <v>44655.998611111099</v>
      </c>
      <c r="AL1562" s="6">
        <f ca="1">IFERROR(__xludf.DUMMYFUNCTION("""COMPUTED_VALUE"""),46603.81)</f>
        <v>46603.81</v>
      </c>
      <c r="AP1562" s="6" t="str">
        <f t="shared" ca="1" si="447"/>
        <v>20243</v>
      </c>
      <c r="AQ1562" s="6">
        <f t="shared" ca="1" si="448"/>
        <v>2024</v>
      </c>
      <c r="AR1562" s="6">
        <f t="shared" ca="1" si="449"/>
        <v>3</v>
      </c>
      <c r="AS1562" s="68">
        <f ca="1">IFERROR(__xludf.DUMMYFUNCTION("""COMPUTED_VALUE"""),45373.9986111111)</f>
        <v>45373.998611111099</v>
      </c>
      <c r="AT1562" s="6">
        <f ca="1">IFERROR(__xludf.DUMMYFUNCTION("""COMPUTED_VALUE"""),2181.6)</f>
        <v>2181.6</v>
      </c>
    </row>
    <row r="1563" spans="2:46" x14ac:dyDescent="0.35">
      <c r="B1563" s="6" t="str">
        <f t="shared" ca="1" si="432"/>
        <v>20243</v>
      </c>
      <c r="C1563" s="6">
        <f t="shared" ca="1" si="433"/>
        <v>2024</v>
      </c>
      <c r="D1563" s="6">
        <f t="shared" ca="1" si="434"/>
        <v>3</v>
      </c>
      <c r="E1563" s="68">
        <f ca="1">IFERROR(__xludf.DUMMYFUNCTION("""COMPUTED_VALUE"""),45369.6666666666)</f>
        <v>45369.666666666599</v>
      </c>
      <c r="F1563" s="6">
        <f ca="1">IFERROR(__xludf.DUMMYFUNCTION("""COMPUTED_VALUE"""),5149.42)</f>
        <v>5149.42</v>
      </c>
      <c r="J1563" s="6" t="str">
        <f t="shared" ca="1" si="435"/>
        <v>20243</v>
      </c>
      <c r="K1563" s="6">
        <f t="shared" ca="1" si="436"/>
        <v>2024</v>
      </c>
      <c r="L1563" s="6">
        <f t="shared" ca="1" si="437"/>
        <v>3</v>
      </c>
      <c r="M1563" s="68">
        <f ca="1">IFERROR(__xludf.DUMMYFUNCTION("""COMPUTED_VALUE"""),45359.6666666666)</f>
        <v>45359.666666666599</v>
      </c>
      <c r="N1563" s="6">
        <f ca="1">IFERROR(__xludf.DUMMYFUNCTION("""COMPUTED_VALUE"""),16085.11)</f>
        <v>16085.11</v>
      </c>
      <c r="R1563" s="6" t="str">
        <f t="shared" ca="1" si="438"/>
        <v>20245</v>
      </c>
      <c r="S1563" s="6">
        <f t="shared" ca="1" si="439"/>
        <v>2024</v>
      </c>
      <c r="T1563" s="6">
        <f t="shared" ca="1" si="440"/>
        <v>5</v>
      </c>
      <c r="U1563" s="68">
        <f ca="1">IFERROR(__xludf.DUMMYFUNCTION("""COMPUTED_VALUE"""),45422.6458333333)</f>
        <v>45422.645833333299</v>
      </c>
      <c r="V1563" s="6">
        <f ca="1">IFERROR(__xludf.DUMMYFUNCTION("""COMPUTED_VALUE"""),2727.63)</f>
        <v>2727.63</v>
      </c>
      <c r="Z1563" s="6" t="str">
        <f t="shared" ca="1" si="441"/>
        <v>20225</v>
      </c>
      <c r="AA1563" s="6">
        <f t="shared" ca="1" si="442"/>
        <v>2022</v>
      </c>
      <c r="AB1563" s="6">
        <f t="shared" ca="1" si="443"/>
        <v>5</v>
      </c>
      <c r="AC1563" s="68">
        <f ca="1">IFERROR(__xludf.DUMMYFUNCTION("""COMPUTED_VALUE"""),44712.9986111111)</f>
        <v>44712.998611111099</v>
      </c>
      <c r="AD1563" s="6">
        <f ca="1">IFERROR(__xludf.DUMMYFUNCTION("""COMPUTED_VALUE"""),1241.74)</f>
        <v>1241.74</v>
      </c>
      <c r="AH1563" s="6" t="str">
        <f t="shared" ca="1" si="444"/>
        <v>20224</v>
      </c>
      <c r="AI1563" s="6">
        <f t="shared" ca="1" si="445"/>
        <v>2022</v>
      </c>
      <c r="AJ1563" s="6">
        <f t="shared" ca="1" si="446"/>
        <v>4</v>
      </c>
      <c r="AK1563" s="68">
        <f ca="1">IFERROR(__xludf.DUMMYFUNCTION("""COMPUTED_VALUE"""),44656.9986111111)</f>
        <v>44656.998611111099</v>
      </c>
      <c r="AL1563" s="6">
        <f ca="1">IFERROR(__xludf.DUMMYFUNCTION("""COMPUTED_VALUE"""),45500.39)</f>
        <v>45500.39</v>
      </c>
      <c r="AP1563" s="6" t="str">
        <f t="shared" ca="1" si="447"/>
        <v>20243</v>
      </c>
      <c r="AQ1563" s="6">
        <f t="shared" ca="1" si="448"/>
        <v>2024</v>
      </c>
      <c r="AR1563" s="6">
        <f t="shared" ca="1" si="449"/>
        <v>3</v>
      </c>
      <c r="AS1563" s="68">
        <f ca="1">IFERROR(__xludf.DUMMYFUNCTION("""COMPUTED_VALUE"""),45376.9986111111)</f>
        <v>45376.998611111099</v>
      </c>
      <c r="AT1563" s="6">
        <f ca="1">IFERROR(__xludf.DUMMYFUNCTION("""COMPUTED_VALUE"""),2198.2)</f>
        <v>2198.1999999999998</v>
      </c>
    </row>
    <row r="1564" spans="2:46" x14ac:dyDescent="0.35">
      <c r="B1564" s="6" t="str">
        <f t="shared" ca="1" si="432"/>
        <v>20243</v>
      </c>
      <c r="C1564" s="6">
        <f t="shared" ca="1" si="433"/>
        <v>2024</v>
      </c>
      <c r="D1564" s="6">
        <f t="shared" ca="1" si="434"/>
        <v>3</v>
      </c>
      <c r="E1564" s="68">
        <f ca="1">IFERROR(__xludf.DUMMYFUNCTION("""COMPUTED_VALUE"""),45370.6666666666)</f>
        <v>45370.666666666599</v>
      </c>
      <c r="F1564" s="6">
        <f ca="1">IFERROR(__xludf.DUMMYFUNCTION("""COMPUTED_VALUE"""),5178.51)</f>
        <v>5178.51</v>
      </c>
      <c r="J1564" s="6" t="str">
        <f t="shared" ca="1" si="435"/>
        <v>20243</v>
      </c>
      <c r="K1564" s="6">
        <f t="shared" ca="1" si="436"/>
        <v>2024</v>
      </c>
      <c r="L1564" s="6">
        <f t="shared" ca="1" si="437"/>
        <v>3</v>
      </c>
      <c r="M1564" s="68">
        <f ca="1">IFERROR(__xludf.DUMMYFUNCTION("""COMPUTED_VALUE"""),45362.6666666666)</f>
        <v>45362.666666666599</v>
      </c>
      <c r="N1564" s="6">
        <f ca="1">IFERROR(__xludf.DUMMYFUNCTION("""COMPUTED_VALUE"""),16019.27)</f>
        <v>16019.27</v>
      </c>
      <c r="R1564" s="6" t="str">
        <f t="shared" ca="1" si="438"/>
        <v>20245</v>
      </c>
      <c r="S1564" s="6">
        <f t="shared" ca="1" si="439"/>
        <v>2024</v>
      </c>
      <c r="T1564" s="6">
        <f t="shared" ca="1" si="440"/>
        <v>5</v>
      </c>
      <c r="U1564" s="68">
        <f ca="1">IFERROR(__xludf.DUMMYFUNCTION("""COMPUTED_VALUE"""),45425.6458333333)</f>
        <v>45425.645833333299</v>
      </c>
      <c r="V1564" s="6">
        <f ca="1">IFERROR(__xludf.DUMMYFUNCTION("""COMPUTED_VALUE"""),2727.21)</f>
        <v>2727.21</v>
      </c>
      <c r="Z1564" s="6" t="str">
        <f t="shared" ca="1" si="441"/>
        <v>20226</v>
      </c>
      <c r="AA1564" s="6">
        <f t="shared" ca="1" si="442"/>
        <v>2022</v>
      </c>
      <c r="AB1564" s="6">
        <f t="shared" ca="1" si="443"/>
        <v>6</v>
      </c>
      <c r="AC1564" s="68">
        <f ca="1">IFERROR(__xludf.DUMMYFUNCTION("""COMPUTED_VALUE"""),44713.9986111111)</f>
        <v>44713.998611111099</v>
      </c>
      <c r="AD1564" s="6">
        <f ca="1">IFERROR(__xludf.DUMMYFUNCTION("""COMPUTED_VALUE"""),1246.95)</f>
        <v>1246.95</v>
      </c>
      <c r="AH1564" s="6" t="str">
        <f t="shared" ca="1" si="444"/>
        <v>20224</v>
      </c>
      <c r="AI1564" s="6">
        <f t="shared" ca="1" si="445"/>
        <v>2022</v>
      </c>
      <c r="AJ1564" s="6">
        <f t="shared" ca="1" si="446"/>
        <v>4</v>
      </c>
      <c r="AK1564" s="68">
        <f ca="1">IFERROR(__xludf.DUMMYFUNCTION("""COMPUTED_VALUE"""),44657.9986111111)</f>
        <v>44657.998611111099</v>
      </c>
      <c r="AL1564" s="6">
        <f ca="1">IFERROR(__xludf.DUMMYFUNCTION("""COMPUTED_VALUE"""),43185.37)</f>
        <v>43185.37</v>
      </c>
      <c r="AP1564" s="6" t="str">
        <f t="shared" ca="1" si="447"/>
        <v>20243</v>
      </c>
      <c r="AQ1564" s="6">
        <f t="shared" ca="1" si="448"/>
        <v>2024</v>
      </c>
      <c r="AR1564" s="6">
        <f t="shared" ca="1" si="449"/>
        <v>3</v>
      </c>
      <c r="AS1564" s="68">
        <f ca="1">IFERROR(__xludf.DUMMYFUNCTION("""COMPUTED_VALUE"""),45377.9986111111)</f>
        <v>45377.998611111099</v>
      </c>
      <c r="AT1564" s="6">
        <f ca="1">IFERROR(__xludf.DUMMYFUNCTION("""COMPUTED_VALUE"""),2199.2)</f>
        <v>2199.1999999999998</v>
      </c>
    </row>
    <row r="1565" spans="2:46" x14ac:dyDescent="0.35">
      <c r="B1565" s="6" t="str">
        <f t="shared" ca="1" si="432"/>
        <v>20243</v>
      </c>
      <c r="C1565" s="6">
        <f t="shared" ca="1" si="433"/>
        <v>2024</v>
      </c>
      <c r="D1565" s="6">
        <f t="shared" ca="1" si="434"/>
        <v>3</v>
      </c>
      <c r="E1565" s="68">
        <f ca="1">IFERROR(__xludf.DUMMYFUNCTION("""COMPUTED_VALUE"""),45371.6666666666)</f>
        <v>45371.666666666599</v>
      </c>
      <c r="F1565" s="6">
        <f ca="1">IFERROR(__xludf.DUMMYFUNCTION("""COMPUTED_VALUE"""),5224.62)</f>
        <v>5224.62</v>
      </c>
      <c r="J1565" s="6" t="str">
        <f t="shared" ca="1" si="435"/>
        <v>20243</v>
      </c>
      <c r="K1565" s="6">
        <f t="shared" ca="1" si="436"/>
        <v>2024</v>
      </c>
      <c r="L1565" s="6">
        <f t="shared" ca="1" si="437"/>
        <v>3</v>
      </c>
      <c r="M1565" s="68">
        <f ca="1">IFERROR(__xludf.DUMMYFUNCTION("""COMPUTED_VALUE"""),45363.6666666666)</f>
        <v>45363.666666666599</v>
      </c>
      <c r="N1565" s="6">
        <f ca="1">IFERROR(__xludf.DUMMYFUNCTION("""COMPUTED_VALUE"""),16265.64)</f>
        <v>16265.64</v>
      </c>
      <c r="R1565" s="6" t="str">
        <f t="shared" ca="1" si="438"/>
        <v>20245</v>
      </c>
      <c r="S1565" s="6">
        <f t="shared" ca="1" si="439"/>
        <v>2024</v>
      </c>
      <c r="T1565" s="6">
        <f t="shared" ca="1" si="440"/>
        <v>5</v>
      </c>
      <c r="U1565" s="68">
        <f ca="1">IFERROR(__xludf.DUMMYFUNCTION("""COMPUTED_VALUE"""),45426.6458333333)</f>
        <v>45426.645833333299</v>
      </c>
      <c r="V1565" s="6">
        <f ca="1">IFERROR(__xludf.DUMMYFUNCTION("""COMPUTED_VALUE"""),2730.34)</f>
        <v>2730.34</v>
      </c>
      <c r="Z1565" s="6" t="str">
        <f t="shared" ca="1" si="441"/>
        <v>20226</v>
      </c>
      <c r="AA1565" s="6">
        <f t="shared" ca="1" si="442"/>
        <v>2022</v>
      </c>
      <c r="AB1565" s="6">
        <f t="shared" ca="1" si="443"/>
        <v>6</v>
      </c>
      <c r="AC1565" s="68">
        <f ca="1">IFERROR(__xludf.DUMMYFUNCTION("""COMPUTED_VALUE"""),44714.9986111111)</f>
        <v>44714.998611111099</v>
      </c>
      <c r="AD1565" s="6">
        <f ca="1">IFERROR(__xludf.DUMMYFUNCTION("""COMPUTED_VALUE"""),1240.84)</f>
        <v>1240.8399999999999</v>
      </c>
      <c r="AH1565" s="6" t="str">
        <f t="shared" ca="1" si="444"/>
        <v>20224</v>
      </c>
      <c r="AI1565" s="6">
        <f t="shared" ca="1" si="445"/>
        <v>2022</v>
      </c>
      <c r="AJ1565" s="6">
        <f t="shared" ca="1" si="446"/>
        <v>4</v>
      </c>
      <c r="AK1565" s="68">
        <f ca="1">IFERROR(__xludf.DUMMYFUNCTION("""COMPUTED_VALUE"""),44658.9986111111)</f>
        <v>44658.998611111099</v>
      </c>
      <c r="AL1565" s="6">
        <f ca="1">IFERROR(__xludf.DUMMYFUNCTION("""COMPUTED_VALUE"""),43464.14)</f>
        <v>43464.14</v>
      </c>
      <c r="AP1565" s="6" t="str">
        <f t="shared" ca="1" si="447"/>
        <v>20243</v>
      </c>
      <c r="AQ1565" s="6">
        <f t="shared" ca="1" si="448"/>
        <v>2024</v>
      </c>
      <c r="AR1565" s="6">
        <f t="shared" ca="1" si="449"/>
        <v>3</v>
      </c>
      <c r="AS1565" s="68">
        <f ca="1">IFERROR(__xludf.DUMMYFUNCTION("""COMPUTED_VALUE"""),45378.9986111111)</f>
        <v>45378.998611111099</v>
      </c>
      <c r="AT1565" s="6">
        <f ca="1">IFERROR(__xludf.DUMMYFUNCTION("""COMPUTED_VALUE"""),2212.7)</f>
        <v>2212.6999999999998</v>
      </c>
    </row>
    <row r="1566" spans="2:46" x14ac:dyDescent="0.35">
      <c r="B1566" s="6" t="str">
        <f t="shared" ca="1" si="432"/>
        <v>20243</v>
      </c>
      <c r="C1566" s="6">
        <f t="shared" ca="1" si="433"/>
        <v>2024</v>
      </c>
      <c r="D1566" s="6">
        <f t="shared" ca="1" si="434"/>
        <v>3</v>
      </c>
      <c r="E1566" s="68">
        <f ca="1">IFERROR(__xludf.DUMMYFUNCTION("""COMPUTED_VALUE"""),45372.6666666666)</f>
        <v>45372.666666666599</v>
      </c>
      <c r="F1566" s="6">
        <f ca="1">IFERROR(__xludf.DUMMYFUNCTION("""COMPUTED_VALUE"""),5241.53)</f>
        <v>5241.53</v>
      </c>
      <c r="J1566" s="6" t="str">
        <f t="shared" ca="1" si="435"/>
        <v>20243</v>
      </c>
      <c r="K1566" s="6">
        <f t="shared" ca="1" si="436"/>
        <v>2024</v>
      </c>
      <c r="L1566" s="6">
        <f t="shared" ca="1" si="437"/>
        <v>3</v>
      </c>
      <c r="M1566" s="68">
        <f ca="1">IFERROR(__xludf.DUMMYFUNCTION("""COMPUTED_VALUE"""),45364.6666666666)</f>
        <v>45364.666666666599</v>
      </c>
      <c r="N1566" s="6">
        <f ca="1">IFERROR(__xludf.DUMMYFUNCTION("""COMPUTED_VALUE"""),16177.77)</f>
        <v>16177.77</v>
      </c>
      <c r="R1566" s="6" t="str">
        <f t="shared" ca="1" si="438"/>
        <v>20245</v>
      </c>
      <c r="S1566" s="6">
        <f t="shared" ca="1" si="439"/>
        <v>2024</v>
      </c>
      <c r="T1566" s="6">
        <f t="shared" ca="1" si="440"/>
        <v>5</v>
      </c>
      <c r="U1566" s="68">
        <f ca="1">IFERROR(__xludf.DUMMYFUNCTION("""COMPUTED_VALUE"""),45428.6458333333)</f>
        <v>45428.645833333299</v>
      </c>
      <c r="V1566" s="6">
        <f ca="1">IFERROR(__xludf.DUMMYFUNCTION("""COMPUTED_VALUE"""),2753)</f>
        <v>2753</v>
      </c>
      <c r="Z1566" s="6" t="str">
        <f t="shared" ca="1" si="441"/>
        <v>20226</v>
      </c>
      <c r="AA1566" s="6">
        <f t="shared" ca="1" si="442"/>
        <v>2022</v>
      </c>
      <c r="AB1566" s="6">
        <f t="shared" ca="1" si="443"/>
        <v>6</v>
      </c>
      <c r="AC1566" s="68">
        <f ca="1">IFERROR(__xludf.DUMMYFUNCTION("""COMPUTED_VALUE"""),44715.9986111111)</f>
        <v>44715.998611111099</v>
      </c>
      <c r="AD1566" s="6">
        <f ca="1">IFERROR(__xludf.DUMMYFUNCTION("""COMPUTED_VALUE"""),1251.4)</f>
        <v>1251.4000000000001</v>
      </c>
      <c r="AH1566" s="6" t="str">
        <f t="shared" ca="1" si="444"/>
        <v>20224</v>
      </c>
      <c r="AI1566" s="6">
        <f t="shared" ca="1" si="445"/>
        <v>2022</v>
      </c>
      <c r="AJ1566" s="6">
        <f t="shared" ca="1" si="446"/>
        <v>4</v>
      </c>
      <c r="AK1566" s="68">
        <f ca="1">IFERROR(__xludf.DUMMYFUNCTION("""COMPUTED_VALUE"""),44659.9986111111)</f>
        <v>44659.998611111099</v>
      </c>
      <c r="AL1566" s="6">
        <f ca="1">IFERROR(__xludf.DUMMYFUNCTION("""COMPUTED_VALUE"""),42265.17)</f>
        <v>42265.17</v>
      </c>
      <c r="AP1566" s="6" t="str">
        <f t="shared" ca="1" si="447"/>
        <v>20243</v>
      </c>
      <c r="AQ1566" s="6">
        <f t="shared" ca="1" si="448"/>
        <v>2024</v>
      </c>
      <c r="AR1566" s="6">
        <f t="shared" ca="1" si="449"/>
        <v>3</v>
      </c>
      <c r="AS1566" s="68">
        <f ca="1">IFERROR(__xludf.DUMMYFUNCTION("""COMPUTED_VALUE"""),45379.9986111111)</f>
        <v>45379.998611111099</v>
      </c>
      <c r="AT1566" s="6">
        <f ca="1">IFERROR(__xludf.DUMMYFUNCTION("""COMPUTED_VALUE"""),2238.4)</f>
        <v>2238.4</v>
      </c>
    </row>
    <row r="1567" spans="2:46" x14ac:dyDescent="0.35">
      <c r="B1567" s="6" t="str">
        <f t="shared" ca="1" si="432"/>
        <v>20243</v>
      </c>
      <c r="C1567" s="6">
        <f t="shared" ca="1" si="433"/>
        <v>2024</v>
      </c>
      <c r="D1567" s="6">
        <f t="shared" ca="1" si="434"/>
        <v>3</v>
      </c>
      <c r="E1567" s="68">
        <f ca="1">IFERROR(__xludf.DUMMYFUNCTION("""COMPUTED_VALUE"""),45373.6666666666)</f>
        <v>45373.666666666599</v>
      </c>
      <c r="F1567" s="6">
        <f ca="1">IFERROR(__xludf.DUMMYFUNCTION("""COMPUTED_VALUE"""),5234.18)</f>
        <v>5234.18</v>
      </c>
      <c r="J1567" s="6" t="str">
        <f t="shared" ca="1" si="435"/>
        <v>20243</v>
      </c>
      <c r="K1567" s="6">
        <f t="shared" ca="1" si="436"/>
        <v>2024</v>
      </c>
      <c r="L1567" s="6">
        <f t="shared" ca="1" si="437"/>
        <v>3</v>
      </c>
      <c r="M1567" s="68">
        <f ca="1">IFERROR(__xludf.DUMMYFUNCTION("""COMPUTED_VALUE"""),45365.6666666666)</f>
        <v>45365.666666666599</v>
      </c>
      <c r="N1567" s="6">
        <f ca="1">IFERROR(__xludf.DUMMYFUNCTION("""COMPUTED_VALUE"""),16128.53)</f>
        <v>16128.53</v>
      </c>
      <c r="R1567" s="6" t="str">
        <f t="shared" ca="1" si="438"/>
        <v>20245</v>
      </c>
      <c r="S1567" s="6">
        <f t="shared" ca="1" si="439"/>
        <v>2024</v>
      </c>
      <c r="T1567" s="6">
        <f t="shared" ca="1" si="440"/>
        <v>5</v>
      </c>
      <c r="U1567" s="68">
        <f ca="1">IFERROR(__xludf.DUMMYFUNCTION("""COMPUTED_VALUE"""),45429.6458333333)</f>
        <v>45429.645833333299</v>
      </c>
      <c r="V1567" s="6">
        <f ca="1">IFERROR(__xludf.DUMMYFUNCTION("""COMPUTED_VALUE"""),2724.62)</f>
        <v>2724.62</v>
      </c>
      <c r="Z1567" s="6" t="str">
        <f t="shared" ca="1" si="441"/>
        <v>20226</v>
      </c>
      <c r="AA1567" s="6">
        <f t="shared" ca="1" si="442"/>
        <v>2022</v>
      </c>
      <c r="AB1567" s="6">
        <f t="shared" ca="1" si="443"/>
        <v>6</v>
      </c>
      <c r="AC1567" s="68">
        <f ca="1">IFERROR(__xludf.DUMMYFUNCTION("""COMPUTED_VALUE"""),44716.9986111111)</f>
        <v>44716.998611111099</v>
      </c>
      <c r="AD1567" s="6">
        <f ca="1">IFERROR(__xludf.DUMMYFUNCTION("""COMPUTED_VALUE"""),1250.4)</f>
        <v>1250.4000000000001</v>
      </c>
      <c r="AH1567" s="6" t="str">
        <f t="shared" ca="1" si="444"/>
        <v>20224</v>
      </c>
      <c r="AI1567" s="6">
        <f t="shared" ca="1" si="445"/>
        <v>2022</v>
      </c>
      <c r="AJ1567" s="6">
        <f t="shared" ca="1" si="446"/>
        <v>4</v>
      </c>
      <c r="AK1567" s="68">
        <f ca="1">IFERROR(__xludf.DUMMYFUNCTION("""COMPUTED_VALUE"""),44660.9986111111)</f>
        <v>44660.998611111099</v>
      </c>
      <c r="AL1567" s="6">
        <f ca="1">IFERROR(__xludf.DUMMYFUNCTION("""COMPUTED_VALUE"""),42761.67)</f>
        <v>42761.67</v>
      </c>
      <c r="AP1567" s="6" t="str">
        <f t="shared" ca="1" si="447"/>
        <v>20244</v>
      </c>
      <c r="AQ1567" s="6">
        <f t="shared" ca="1" si="448"/>
        <v>2024</v>
      </c>
      <c r="AR1567" s="6">
        <f t="shared" ca="1" si="449"/>
        <v>4</v>
      </c>
      <c r="AS1567" s="68">
        <f ca="1">IFERROR(__xludf.DUMMYFUNCTION("""COMPUTED_VALUE"""),45383.9986111111)</f>
        <v>45383.998611111099</v>
      </c>
      <c r="AT1567" s="6">
        <f ca="1">IFERROR(__xludf.DUMMYFUNCTION("""COMPUTED_VALUE"""),2257.1)</f>
        <v>2257.1</v>
      </c>
    </row>
    <row r="1568" spans="2:46" x14ac:dyDescent="0.35">
      <c r="B1568" s="6" t="str">
        <f t="shared" ca="1" si="432"/>
        <v>20243</v>
      </c>
      <c r="C1568" s="6">
        <f t="shared" ca="1" si="433"/>
        <v>2024</v>
      </c>
      <c r="D1568" s="6">
        <f t="shared" ca="1" si="434"/>
        <v>3</v>
      </c>
      <c r="E1568" s="68">
        <f ca="1">IFERROR(__xludf.DUMMYFUNCTION("""COMPUTED_VALUE"""),45376.6666666666)</f>
        <v>45376.666666666599</v>
      </c>
      <c r="F1568" s="6">
        <f ca="1">IFERROR(__xludf.DUMMYFUNCTION("""COMPUTED_VALUE"""),5218.19)</f>
        <v>5218.1899999999996</v>
      </c>
      <c r="J1568" s="6" t="str">
        <f t="shared" ca="1" si="435"/>
        <v>20243</v>
      </c>
      <c r="K1568" s="6">
        <f t="shared" ca="1" si="436"/>
        <v>2024</v>
      </c>
      <c r="L1568" s="6">
        <f t="shared" ca="1" si="437"/>
        <v>3</v>
      </c>
      <c r="M1568" s="68">
        <f ca="1">IFERROR(__xludf.DUMMYFUNCTION("""COMPUTED_VALUE"""),45366.6666666666)</f>
        <v>45366.666666666599</v>
      </c>
      <c r="N1568" s="6">
        <f ca="1">IFERROR(__xludf.DUMMYFUNCTION("""COMPUTED_VALUE"""),15973.17)</f>
        <v>15973.17</v>
      </c>
      <c r="R1568" s="6" t="str">
        <f t="shared" ca="1" si="438"/>
        <v>20245</v>
      </c>
      <c r="S1568" s="6">
        <f t="shared" ca="1" si="439"/>
        <v>2024</v>
      </c>
      <c r="T1568" s="6">
        <f t="shared" ca="1" si="440"/>
        <v>5</v>
      </c>
      <c r="U1568" s="68">
        <f ca="1">IFERROR(__xludf.DUMMYFUNCTION("""COMPUTED_VALUE"""),45432.6458333333)</f>
        <v>45432.645833333299</v>
      </c>
      <c r="V1568" s="6">
        <f ca="1">IFERROR(__xludf.DUMMYFUNCTION("""COMPUTED_VALUE"""),2742.14)</f>
        <v>2742.14</v>
      </c>
      <c r="Z1568" s="6" t="str">
        <f t="shared" ca="1" si="441"/>
        <v>20226</v>
      </c>
      <c r="AA1568" s="6">
        <f t="shared" ca="1" si="442"/>
        <v>2022</v>
      </c>
      <c r="AB1568" s="6">
        <f t="shared" ca="1" si="443"/>
        <v>6</v>
      </c>
      <c r="AC1568" s="68">
        <f ca="1">IFERROR(__xludf.DUMMYFUNCTION("""COMPUTED_VALUE"""),44717.9986111111)</f>
        <v>44717.998611111099</v>
      </c>
      <c r="AD1568" s="6">
        <f ca="1">IFERROR(__xludf.DUMMYFUNCTION("""COMPUTED_VALUE"""),1250.53)</f>
        <v>1250.53</v>
      </c>
      <c r="AH1568" s="6" t="str">
        <f t="shared" ca="1" si="444"/>
        <v>20224</v>
      </c>
      <c r="AI1568" s="6">
        <f t="shared" ca="1" si="445"/>
        <v>2022</v>
      </c>
      <c r="AJ1568" s="6">
        <f t="shared" ca="1" si="446"/>
        <v>4</v>
      </c>
      <c r="AK1568" s="68">
        <f ca="1">IFERROR(__xludf.DUMMYFUNCTION("""COMPUTED_VALUE"""),44661.9986111111)</f>
        <v>44661.998611111099</v>
      </c>
      <c r="AL1568" s="6">
        <f ca="1">IFERROR(__xludf.DUMMYFUNCTION("""COMPUTED_VALUE"""),42152.54)</f>
        <v>42152.54</v>
      </c>
      <c r="AP1568" s="6" t="str">
        <f t="shared" ca="1" si="447"/>
        <v>20244</v>
      </c>
      <c r="AQ1568" s="6">
        <f t="shared" ca="1" si="448"/>
        <v>2024</v>
      </c>
      <c r="AR1568" s="6">
        <f t="shared" ca="1" si="449"/>
        <v>4</v>
      </c>
      <c r="AS1568" s="68">
        <f ca="1">IFERROR(__xludf.DUMMYFUNCTION("""COMPUTED_VALUE"""),45384.9986111111)</f>
        <v>45384.998611111099</v>
      </c>
      <c r="AT1568" s="6">
        <f ca="1">IFERROR(__xludf.DUMMYFUNCTION("""COMPUTED_VALUE"""),2281.8)</f>
        <v>2281.8000000000002</v>
      </c>
    </row>
    <row r="1569" spans="2:46" x14ac:dyDescent="0.35">
      <c r="B1569" s="6" t="str">
        <f t="shared" ca="1" si="432"/>
        <v>20243</v>
      </c>
      <c r="C1569" s="6">
        <f t="shared" ca="1" si="433"/>
        <v>2024</v>
      </c>
      <c r="D1569" s="6">
        <f t="shared" ca="1" si="434"/>
        <v>3</v>
      </c>
      <c r="E1569" s="68">
        <f ca="1">IFERROR(__xludf.DUMMYFUNCTION("""COMPUTED_VALUE"""),45377.6666666666)</f>
        <v>45377.666666666599</v>
      </c>
      <c r="F1569" s="6">
        <f ca="1">IFERROR(__xludf.DUMMYFUNCTION("""COMPUTED_VALUE"""),5203.58)</f>
        <v>5203.58</v>
      </c>
      <c r="J1569" s="6" t="str">
        <f t="shared" ca="1" si="435"/>
        <v>20243</v>
      </c>
      <c r="K1569" s="6">
        <f t="shared" ca="1" si="436"/>
        <v>2024</v>
      </c>
      <c r="L1569" s="6">
        <f t="shared" ca="1" si="437"/>
        <v>3</v>
      </c>
      <c r="M1569" s="68">
        <f ca="1">IFERROR(__xludf.DUMMYFUNCTION("""COMPUTED_VALUE"""),45369.6666666666)</f>
        <v>45369.666666666599</v>
      </c>
      <c r="N1569" s="6">
        <f ca="1">IFERROR(__xludf.DUMMYFUNCTION("""COMPUTED_VALUE"""),16103.45)</f>
        <v>16103.45</v>
      </c>
      <c r="R1569" s="6" t="str">
        <f t="shared" ca="1" si="438"/>
        <v>20245</v>
      </c>
      <c r="S1569" s="6">
        <f t="shared" ca="1" si="439"/>
        <v>2024</v>
      </c>
      <c r="T1569" s="6">
        <f t="shared" ca="1" si="440"/>
        <v>5</v>
      </c>
      <c r="U1569" s="68">
        <f ca="1">IFERROR(__xludf.DUMMYFUNCTION("""COMPUTED_VALUE"""),45433.6458333333)</f>
        <v>45433.645833333299</v>
      </c>
      <c r="V1569" s="6">
        <f ca="1">IFERROR(__xludf.DUMMYFUNCTION("""COMPUTED_VALUE"""),2724.18)</f>
        <v>2724.18</v>
      </c>
      <c r="Z1569" s="6" t="str">
        <f t="shared" ca="1" si="441"/>
        <v>20226</v>
      </c>
      <c r="AA1569" s="6">
        <f t="shared" ca="1" si="442"/>
        <v>2022</v>
      </c>
      <c r="AB1569" s="6">
        <f t="shared" ca="1" si="443"/>
        <v>6</v>
      </c>
      <c r="AC1569" s="68">
        <f ca="1">IFERROR(__xludf.DUMMYFUNCTION("""COMPUTED_VALUE"""),44718.9986111111)</f>
        <v>44718.998611111099</v>
      </c>
      <c r="AD1569" s="6">
        <f ca="1">IFERROR(__xludf.DUMMYFUNCTION("""COMPUTED_VALUE"""),1254.48)</f>
        <v>1254.48</v>
      </c>
      <c r="AH1569" s="6" t="str">
        <f t="shared" ca="1" si="444"/>
        <v>20224</v>
      </c>
      <c r="AI1569" s="6">
        <f t="shared" ca="1" si="445"/>
        <v>2022</v>
      </c>
      <c r="AJ1569" s="6">
        <f t="shared" ca="1" si="446"/>
        <v>4</v>
      </c>
      <c r="AK1569" s="68">
        <f ca="1">IFERROR(__xludf.DUMMYFUNCTION("""COMPUTED_VALUE"""),44662.9986111111)</f>
        <v>44662.998611111099</v>
      </c>
      <c r="AL1569" s="6">
        <f ca="1">IFERROR(__xludf.DUMMYFUNCTION("""COMPUTED_VALUE"""),39497.65)</f>
        <v>39497.65</v>
      </c>
      <c r="AP1569" s="6" t="str">
        <f t="shared" ca="1" si="447"/>
        <v>20244</v>
      </c>
      <c r="AQ1569" s="6">
        <f t="shared" ca="1" si="448"/>
        <v>2024</v>
      </c>
      <c r="AR1569" s="6">
        <f t="shared" ca="1" si="449"/>
        <v>4</v>
      </c>
      <c r="AS1569" s="68">
        <f ca="1">IFERROR(__xludf.DUMMYFUNCTION("""COMPUTED_VALUE"""),45385.9986111111)</f>
        <v>45385.998611111099</v>
      </c>
      <c r="AT1569" s="6">
        <f ca="1">IFERROR(__xludf.DUMMYFUNCTION("""COMPUTED_VALUE"""),2315)</f>
        <v>2315</v>
      </c>
    </row>
    <row r="1570" spans="2:46" x14ac:dyDescent="0.35">
      <c r="B1570" s="6" t="str">
        <f t="shared" ca="1" si="432"/>
        <v>20243</v>
      </c>
      <c r="C1570" s="6">
        <f t="shared" ca="1" si="433"/>
        <v>2024</v>
      </c>
      <c r="D1570" s="6">
        <f t="shared" ca="1" si="434"/>
        <v>3</v>
      </c>
      <c r="E1570" s="68">
        <f ca="1">IFERROR(__xludf.DUMMYFUNCTION("""COMPUTED_VALUE"""),45378.6666666666)</f>
        <v>45378.666666666599</v>
      </c>
      <c r="F1570" s="6">
        <f ca="1">IFERROR(__xludf.DUMMYFUNCTION("""COMPUTED_VALUE"""),5248.49)</f>
        <v>5248.49</v>
      </c>
      <c r="J1570" s="6" t="str">
        <f t="shared" ca="1" si="435"/>
        <v>20243</v>
      </c>
      <c r="K1570" s="6">
        <f t="shared" ca="1" si="436"/>
        <v>2024</v>
      </c>
      <c r="L1570" s="6">
        <f t="shared" ca="1" si="437"/>
        <v>3</v>
      </c>
      <c r="M1570" s="68">
        <f ca="1">IFERROR(__xludf.DUMMYFUNCTION("""COMPUTED_VALUE"""),45370.6666666666)</f>
        <v>45370.666666666599</v>
      </c>
      <c r="N1570" s="6">
        <f ca="1">IFERROR(__xludf.DUMMYFUNCTION("""COMPUTED_VALUE"""),16166.79)</f>
        <v>16166.79</v>
      </c>
      <c r="R1570" s="6" t="str">
        <f t="shared" ca="1" si="438"/>
        <v>20245</v>
      </c>
      <c r="S1570" s="6">
        <f t="shared" ca="1" si="439"/>
        <v>2024</v>
      </c>
      <c r="T1570" s="6">
        <f t="shared" ca="1" si="440"/>
        <v>5</v>
      </c>
      <c r="U1570" s="68">
        <f ca="1">IFERROR(__xludf.DUMMYFUNCTION("""COMPUTED_VALUE"""),45434.6458333333)</f>
        <v>45434.645833333299</v>
      </c>
      <c r="V1570" s="6">
        <f ca="1">IFERROR(__xludf.DUMMYFUNCTION("""COMPUTED_VALUE"""),2723.46)</f>
        <v>2723.46</v>
      </c>
      <c r="Z1570" s="6" t="str">
        <f t="shared" ca="1" si="441"/>
        <v>20226</v>
      </c>
      <c r="AA1570" s="6">
        <f t="shared" ca="1" si="442"/>
        <v>2022</v>
      </c>
      <c r="AB1570" s="6">
        <f t="shared" ca="1" si="443"/>
        <v>6</v>
      </c>
      <c r="AC1570" s="68">
        <f ca="1">IFERROR(__xludf.DUMMYFUNCTION("""COMPUTED_VALUE"""),44719.9986111111)</f>
        <v>44719.998611111099</v>
      </c>
      <c r="AD1570" s="6">
        <f ca="1">IFERROR(__xludf.DUMMYFUNCTION("""COMPUTED_VALUE"""),1254.58)</f>
        <v>1254.58</v>
      </c>
      <c r="AH1570" s="6" t="str">
        <f t="shared" ca="1" si="444"/>
        <v>20224</v>
      </c>
      <c r="AI1570" s="6">
        <f t="shared" ca="1" si="445"/>
        <v>2022</v>
      </c>
      <c r="AJ1570" s="6">
        <f t="shared" ca="1" si="446"/>
        <v>4</v>
      </c>
      <c r="AK1570" s="68">
        <f ca="1">IFERROR(__xludf.DUMMYFUNCTION("""COMPUTED_VALUE"""),44663.9986111111)</f>
        <v>44663.998611111099</v>
      </c>
      <c r="AL1570" s="6">
        <f ca="1">IFERROR(__xludf.DUMMYFUNCTION("""COMPUTED_VALUE"""),40079.43)</f>
        <v>40079.43</v>
      </c>
      <c r="AP1570" s="6" t="str">
        <f t="shared" ca="1" si="447"/>
        <v>20244</v>
      </c>
      <c r="AQ1570" s="6">
        <f t="shared" ca="1" si="448"/>
        <v>2024</v>
      </c>
      <c r="AR1570" s="6">
        <f t="shared" ca="1" si="449"/>
        <v>4</v>
      </c>
      <c r="AS1570" s="68">
        <f ca="1">IFERROR(__xludf.DUMMYFUNCTION("""COMPUTED_VALUE"""),45386.9986111111)</f>
        <v>45386.998611111099</v>
      </c>
      <c r="AT1570" s="6">
        <f ca="1">IFERROR(__xludf.DUMMYFUNCTION("""COMPUTED_VALUE"""),2308.5)</f>
        <v>2308.5</v>
      </c>
    </row>
    <row r="1571" spans="2:46" x14ac:dyDescent="0.35">
      <c r="B1571" s="6" t="str">
        <f t="shared" ca="1" si="432"/>
        <v>20243</v>
      </c>
      <c r="C1571" s="6">
        <f t="shared" ca="1" si="433"/>
        <v>2024</v>
      </c>
      <c r="D1571" s="6">
        <f t="shared" ca="1" si="434"/>
        <v>3</v>
      </c>
      <c r="E1571" s="68">
        <f ca="1">IFERROR(__xludf.DUMMYFUNCTION("""COMPUTED_VALUE"""),45379.6666666666)</f>
        <v>45379.666666666599</v>
      </c>
      <c r="F1571" s="6">
        <f ca="1">IFERROR(__xludf.DUMMYFUNCTION("""COMPUTED_VALUE"""),5254.35)</f>
        <v>5254.35</v>
      </c>
      <c r="J1571" s="6" t="str">
        <f t="shared" ca="1" si="435"/>
        <v>20243</v>
      </c>
      <c r="K1571" s="6">
        <f t="shared" ca="1" si="436"/>
        <v>2024</v>
      </c>
      <c r="L1571" s="6">
        <f t="shared" ca="1" si="437"/>
        <v>3</v>
      </c>
      <c r="M1571" s="68">
        <f ca="1">IFERROR(__xludf.DUMMYFUNCTION("""COMPUTED_VALUE"""),45371.6666666666)</f>
        <v>45371.666666666599</v>
      </c>
      <c r="N1571" s="6">
        <f ca="1">IFERROR(__xludf.DUMMYFUNCTION("""COMPUTED_VALUE"""),16369.41)</f>
        <v>16369.41</v>
      </c>
      <c r="R1571" s="6" t="str">
        <f t="shared" ca="1" si="438"/>
        <v>20245</v>
      </c>
      <c r="S1571" s="6">
        <f t="shared" ca="1" si="439"/>
        <v>2024</v>
      </c>
      <c r="T1571" s="6">
        <f t="shared" ca="1" si="440"/>
        <v>5</v>
      </c>
      <c r="U1571" s="68">
        <f ca="1">IFERROR(__xludf.DUMMYFUNCTION("""COMPUTED_VALUE"""),45435.6458333333)</f>
        <v>45435.645833333299</v>
      </c>
      <c r="V1571" s="6">
        <f ca="1">IFERROR(__xludf.DUMMYFUNCTION("""COMPUTED_VALUE"""),2721.81)</f>
        <v>2721.81</v>
      </c>
      <c r="Z1571" s="6" t="str">
        <f t="shared" ca="1" si="441"/>
        <v>20226</v>
      </c>
      <c r="AA1571" s="6">
        <f t="shared" ca="1" si="442"/>
        <v>2022</v>
      </c>
      <c r="AB1571" s="6">
        <f t="shared" ca="1" si="443"/>
        <v>6</v>
      </c>
      <c r="AC1571" s="68">
        <f ca="1">IFERROR(__xludf.DUMMYFUNCTION("""COMPUTED_VALUE"""),44720.9986111111)</f>
        <v>44720.998611111099</v>
      </c>
      <c r="AD1571" s="6">
        <f ca="1">IFERROR(__xludf.DUMMYFUNCTION("""COMPUTED_VALUE"""),1256.74)</f>
        <v>1256.74</v>
      </c>
      <c r="AH1571" s="6" t="str">
        <f t="shared" ca="1" si="444"/>
        <v>20224</v>
      </c>
      <c r="AI1571" s="6">
        <f t="shared" ca="1" si="445"/>
        <v>2022</v>
      </c>
      <c r="AJ1571" s="6">
        <f t="shared" ca="1" si="446"/>
        <v>4</v>
      </c>
      <c r="AK1571" s="68">
        <f ca="1">IFERROR(__xludf.DUMMYFUNCTION("""COMPUTED_VALUE"""),44664.9986111111)</f>
        <v>44664.998611111099</v>
      </c>
      <c r="AL1571" s="6">
        <f ca="1">IFERROR(__xludf.DUMMYFUNCTION("""COMPUTED_VALUE"""),41139.08)</f>
        <v>41139.08</v>
      </c>
      <c r="AP1571" s="6" t="str">
        <f t="shared" ca="1" si="447"/>
        <v>20244</v>
      </c>
      <c r="AQ1571" s="6">
        <f t="shared" ca="1" si="448"/>
        <v>2024</v>
      </c>
      <c r="AR1571" s="6">
        <f t="shared" ca="1" si="449"/>
        <v>4</v>
      </c>
      <c r="AS1571" s="68">
        <f ca="1">IFERROR(__xludf.DUMMYFUNCTION("""COMPUTED_VALUE"""),45387.9986111111)</f>
        <v>45387.998611111099</v>
      </c>
      <c r="AT1571" s="6">
        <f ca="1">IFERROR(__xludf.DUMMYFUNCTION("""COMPUTED_VALUE"""),2345.4)</f>
        <v>2345.4</v>
      </c>
    </row>
    <row r="1572" spans="2:46" x14ac:dyDescent="0.35">
      <c r="B1572" s="6" t="str">
        <f t="shared" ca="1" si="432"/>
        <v>20244</v>
      </c>
      <c r="C1572" s="6">
        <f t="shared" ca="1" si="433"/>
        <v>2024</v>
      </c>
      <c r="D1572" s="6">
        <f t="shared" ca="1" si="434"/>
        <v>4</v>
      </c>
      <c r="E1572" s="68">
        <f ca="1">IFERROR(__xludf.DUMMYFUNCTION("""COMPUTED_VALUE"""),45383.6666666666)</f>
        <v>45383.666666666599</v>
      </c>
      <c r="F1572" s="6">
        <f ca="1">IFERROR(__xludf.DUMMYFUNCTION("""COMPUTED_VALUE"""),5243.77)</f>
        <v>5243.77</v>
      </c>
      <c r="J1572" s="6" t="str">
        <f t="shared" ca="1" si="435"/>
        <v>20243</v>
      </c>
      <c r="K1572" s="6">
        <f t="shared" ca="1" si="436"/>
        <v>2024</v>
      </c>
      <c r="L1572" s="6">
        <f t="shared" ca="1" si="437"/>
        <v>3</v>
      </c>
      <c r="M1572" s="68">
        <f ca="1">IFERROR(__xludf.DUMMYFUNCTION("""COMPUTED_VALUE"""),45372.6666666666)</f>
        <v>45372.666666666599</v>
      </c>
      <c r="N1572" s="6">
        <f ca="1">IFERROR(__xludf.DUMMYFUNCTION("""COMPUTED_VALUE"""),16401.84)</f>
        <v>16401.84</v>
      </c>
      <c r="R1572" s="6" t="str">
        <f t="shared" ca="1" si="438"/>
        <v>20245</v>
      </c>
      <c r="S1572" s="6">
        <f t="shared" ca="1" si="439"/>
        <v>2024</v>
      </c>
      <c r="T1572" s="6">
        <f t="shared" ca="1" si="440"/>
        <v>5</v>
      </c>
      <c r="U1572" s="68">
        <f ca="1">IFERROR(__xludf.DUMMYFUNCTION("""COMPUTED_VALUE"""),45436.6458333333)</f>
        <v>45436.645833333299</v>
      </c>
      <c r="V1572" s="6">
        <f ca="1">IFERROR(__xludf.DUMMYFUNCTION("""COMPUTED_VALUE"""),2687.6)</f>
        <v>2687.6</v>
      </c>
      <c r="Z1572" s="6" t="str">
        <f t="shared" ca="1" si="441"/>
        <v>20226</v>
      </c>
      <c r="AA1572" s="6">
        <f t="shared" ca="1" si="442"/>
        <v>2022</v>
      </c>
      <c r="AB1572" s="6">
        <f t="shared" ca="1" si="443"/>
        <v>6</v>
      </c>
      <c r="AC1572" s="68">
        <f ca="1">IFERROR(__xludf.DUMMYFUNCTION("""COMPUTED_VALUE"""),44721.9986111111)</f>
        <v>44721.998611111099</v>
      </c>
      <c r="AD1572" s="6">
        <f ca="1">IFERROR(__xludf.DUMMYFUNCTION("""COMPUTED_VALUE"""),1264.02)</f>
        <v>1264.02</v>
      </c>
      <c r="AH1572" s="6" t="str">
        <f t="shared" ca="1" si="444"/>
        <v>20224</v>
      </c>
      <c r="AI1572" s="6">
        <f t="shared" ca="1" si="445"/>
        <v>2022</v>
      </c>
      <c r="AJ1572" s="6">
        <f t="shared" ca="1" si="446"/>
        <v>4</v>
      </c>
      <c r="AK1572" s="68">
        <f ca="1">IFERROR(__xludf.DUMMYFUNCTION("""COMPUTED_VALUE"""),44665.9986111111)</f>
        <v>44665.998611111099</v>
      </c>
      <c r="AL1572" s="6">
        <f ca="1">IFERROR(__xludf.DUMMYFUNCTION("""COMPUTED_VALUE"""),39940.07)</f>
        <v>39940.07</v>
      </c>
      <c r="AP1572" s="6" t="str">
        <f t="shared" ca="1" si="447"/>
        <v>20244</v>
      </c>
      <c r="AQ1572" s="6">
        <f t="shared" ca="1" si="448"/>
        <v>2024</v>
      </c>
      <c r="AR1572" s="6">
        <f t="shared" ca="1" si="449"/>
        <v>4</v>
      </c>
      <c r="AS1572" s="68">
        <f ca="1">IFERROR(__xludf.DUMMYFUNCTION("""COMPUTED_VALUE"""),45390.9986111111)</f>
        <v>45390.998611111099</v>
      </c>
      <c r="AT1572" s="6">
        <f ca="1">IFERROR(__xludf.DUMMYFUNCTION("""COMPUTED_VALUE"""),2351)</f>
        <v>2351</v>
      </c>
    </row>
    <row r="1573" spans="2:46" x14ac:dyDescent="0.35">
      <c r="B1573" s="6" t="str">
        <f t="shared" ca="1" si="432"/>
        <v>20244</v>
      </c>
      <c r="C1573" s="6">
        <f t="shared" ca="1" si="433"/>
        <v>2024</v>
      </c>
      <c r="D1573" s="6">
        <f t="shared" ca="1" si="434"/>
        <v>4</v>
      </c>
      <c r="E1573" s="68">
        <f ca="1">IFERROR(__xludf.DUMMYFUNCTION("""COMPUTED_VALUE"""),45384.6666666666)</f>
        <v>45384.666666666599</v>
      </c>
      <c r="F1573" s="6">
        <f ca="1">IFERROR(__xludf.DUMMYFUNCTION("""COMPUTED_VALUE"""),5205.81)</f>
        <v>5205.8100000000004</v>
      </c>
      <c r="J1573" s="6" t="str">
        <f t="shared" ca="1" si="435"/>
        <v>20243</v>
      </c>
      <c r="K1573" s="6">
        <f t="shared" ca="1" si="436"/>
        <v>2024</v>
      </c>
      <c r="L1573" s="6">
        <f t="shared" ca="1" si="437"/>
        <v>3</v>
      </c>
      <c r="M1573" s="68">
        <f ca="1">IFERROR(__xludf.DUMMYFUNCTION("""COMPUTED_VALUE"""),45373.6666666666)</f>
        <v>45373.666666666599</v>
      </c>
      <c r="N1573" s="6">
        <f ca="1">IFERROR(__xludf.DUMMYFUNCTION("""COMPUTED_VALUE"""),16428.82)</f>
        <v>16428.82</v>
      </c>
      <c r="R1573" s="6" t="str">
        <f t="shared" ca="1" si="438"/>
        <v>20245</v>
      </c>
      <c r="S1573" s="6">
        <f t="shared" ca="1" si="439"/>
        <v>2024</v>
      </c>
      <c r="T1573" s="6">
        <f t="shared" ca="1" si="440"/>
        <v>5</v>
      </c>
      <c r="U1573" s="68">
        <f ca="1">IFERROR(__xludf.DUMMYFUNCTION("""COMPUTED_VALUE"""),45439.6458333333)</f>
        <v>45439.645833333299</v>
      </c>
      <c r="V1573" s="6">
        <f ca="1">IFERROR(__xludf.DUMMYFUNCTION("""COMPUTED_VALUE"""),2722.99)</f>
        <v>2722.99</v>
      </c>
      <c r="Z1573" s="6" t="str">
        <f t="shared" ca="1" si="441"/>
        <v>20226</v>
      </c>
      <c r="AA1573" s="6">
        <f t="shared" ca="1" si="442"/>
        <v>2022</v>
      </c>
      <c r="AB1573" s="6">
        <f t="shared" ca="1" si="443"/>
        <v>6</v>
      </c>
      <c r="AC1573" s="68">
        <f ca="1">IFERROR(__xludf.DUMMYFUNCTION("""COMPUTED_VALUE"""),44722.9986111111)</f>
        <v>44722.998611111099</v>
      </c>
      <c r="AD1573" s="6">
        <f ca="1">IFERROR(__xludf.DUMMYFUNCTION("""COMPUTED_VALUE"""),1278.36)</f>
        <v>1278.3599999999999</v>
      </c>
      <c r="AH1573" s="6" t="str">
        <f t="shared" ca="1" si="444"/>
        <v>20224</v>
      </c>
      <c r="AI1573" s="6">
        <f t="shared" ca="1" si="445"/>
        <v>2022</v>
      </c>
      <c r="AJ1573" s="6">
        <f t="shared" ca="1" si="446"/>
        <v>4</v>
      </c>
      <c r="AK1573" s="68">
        <f ca="1">IFERROR(__xludf.DUMMYFUNCTION("""COMPUTED_VALUE"""),44666.9986111111)</f>
        <v>44666.998611111099</v>
      </c>
      <c r="AL1573" s="6">
        <f ca="1">IFERROR(__xludf.DUMMYFUNCTION("""COMPUTED_VALUE"""),40557.21)</f>
        <v>40557.21</v>
      </c>
      <c r="AP1573" s="6" t="str">
        <f t="shared" ca="1" si="447"/>
        <v>20244</v>
      </c>
      <c r="AQ1573" s="6">
        <f t="shared" ca="1" si="448"/>
        <v>2024</v>
      </c>
      <c r="AR1573" s="6">
        <f t="shared" ca="1" si="449"/>
        <v>4</v>
      </c>
      <c r="AS1573" s="68">
        <f ca="1">IFERROR(__xludf.DUMMYFUNCTION("""COMPUTED_VALUE"""),45391.9986111111)</f>
        <v>45391.998611111099</v>
      </c>
      <c r="AT1573" s="6">
        <f ca="1">IFERROR(__xludf.DUMMYFUNCTION("""COMPUTED_VALUE"""),2362.4)</f>
        <v>2362.4</v>
      </c>
    </row>
    <row r="1574" spans="2:46" x14ac:dyDescent="0.35">
      <c r="B1574" s="6" t="str">
        <f t="shared" ca="1" si="432"/>
        <v>20244</v>
      </c>
      <c r="C1574" s="6">
        <f t="shared" ca="1" si="433"/>
        <v>2024</v>
      </c>
      <c r="D1574" s="6">
        <f t="shared" ca="1" si="434"/>
        <v>4</v>
      </c>
      <c r="E1574" s="68">
        <f ca="1">IFERROR(__xludf.DUMMYFUNCTION("""COMPUTED_VALUE"""),45385.6666666666)</f>
        <v>45385.666666666599</v>
      </c>
      <c r="F1574" s="6">
        <f ca="1">IFERROR(__xludf.DUMMYFUNCTION("""COMPUTED_VALUE"""),5211.49)</f>
        <v>5211.49</v>
      </c>
      <c r="J1574" s="6" t="str">
        <f t="shared" ca="1" si="435"/>
        <v>20243</v>
      </c>
      <c r="K1574" s="6">
        <f t="shared" ca="1" si="436"/>
        <v>2024</v>
      </c>
      <c r="L1574" s="6">
        <f t="shared" ca="1" si="437"/>
        <v>3</v>
      </c>
      <c r="M1574" s="68">
        <f ca="1">IFERROR(__xludf.DUMMYFUNCTION("""COMPUTED_VALUE"""),45376.6666666666)</f>
        <v>45376.666666666599</v>
      </c>
      <c r="N1574" s="6">
        <f ca="1">IFERROR(__xludf.DUMMYFUNCTION("""COMPUTED_VALUE"""),16384.47)</f>
        <v>16384.47</v>
      </c>
      <c r="R1574" s="6" t="str">
        <f t="shared" ca="1" si="438"/>
        <v>20245</v>
      </c>
      <c r="S1574" s="6">
        <f t="shared" ca="1" si="439"/>
        <v>2024</v>
      </c>
      <c r="T1574" s="6">
        <f t="shared" ca="1" si="440"/>
        <v>5</v>
      </c>
      <c r="U1574" s="68">
        <f ca="1">IFERROR(__xludf.DUMMYFUNCTION("""COMPUTED_VALUE"""),45440.6458333333)</f>
        <v>45440.645833333299</v>
      </c>
      <c r="V1574" s="6">
        <f ca="1">IFERROR(__xludf.DUMMYFUNCTION("""COMPUTED_VALUE"""),2722.85)</f>
        <v>2722.85</v>
      </c>
      <c r="Z1574" s="6" t="str">
        <f t="shared" ca="1" si="441"/>
        <v>20226</v>
      </c>
      <c r="AA1574" s="6">
        <f t="shared" ca="1" si="442"/>
        <v>2022</v>
      </c>
      <c r="AB1574" s="6">
        <f t="shared" ca="1" si="443"/>
        <v>6</v>
      </c>
      <c r="AC1574" s="68">
        <f ca="1">IFERROR(__xludf.DUMMYFUNCTION("""COMPUTED_VALUE"""),44723.9986111111)</f>
        <v>44723.998611111099</v>
      </c>
      <c r="AD1574" s="6">
        <f ca="1">IFERROR(__xludf.DUMMYFUNCTION("""COMPUTED_VALUE"""),1277.76)</f>
        <v>1277.76</v>
      </c>
      <c r="AH1574" s="6" t="str">
        <f t="shared" ca="1" si="444"/>
        <v>20224</v>
      </c>
      <c r="AI1574" s="6">
        <f t="shared" ca="1" si="445"/>
        <v>2022</v>
      </c>
      <c r="AJ1574" s="6">
        <f t="shared" ca="1" si="446"/>
        <v>4</v>
      </c>
      <c r="AK1574" s="68">
        <f ca="1">IFERROR(__xludf.DUMMYFUNCTION("""COMPUTED_VALUE"""),44667.9986111111)</f>
        <v>44667.998611111099</v>
      </c>
      <c r="AL1574" s="6">
        <f ca="1">IFERROR(__xludf.DUMMYFUNCTION("""COMPUTED_VALUE"""),40390.67)</f>
        <v>40390.67</v>
      </c>
      <c r="AP1574" s="6" t="str">
        <f t="shared" ca="1" si="447"/>
        <v>20244</v>
      </c>
      <c r="AQ1574" s="6">
        <f t="shared" ca="1" si="448"/>
        <v>2024</v>
      </c>
      <c r="AR1574" s="6">
        <f t="shared" ca="1" si="449"/>
        <v>4</v>
      </c>
      <c r="AS1574" s="68">
        <f ca="1">IFERROR(__xludf.DUMMYFUNCTION("""COMPUTED_VALUE"""),45392.9986111111)</f>
        <v>45392.998611111099</v>
      </c>
      <c r="AT1574" s="6">
        <f ca="1">IFERROR(__xludf.DUMMYFUNCTION("""COMPUTED_VALUE"""),2348.4)</f>
        <v>2348.4</v>
      </c>
    </row>
    <row r="1575" spans="2:46" x14ac:dyDescent="0.35">
      <c r="B1575" s="6" t="str">
        <f t="shared" ca="1" si="432"/>
        <v>20244</v>
      </c>
      <c r="C1575" s="6">
        <f t="shared" ca="1" si="433"/>
        <v>2024</v>
      </c>
      <c r="D1575" s="6">
        <f t="shared" ca="1" si="434"/>
        <v>4</v>
      </c>
      <c r="E1575" s="68">
        <f ca="1">IFERROR(__xludf.DUMMYFUNCTION("""COMPUTED_VALUE"""),45386.6666666666)</f>
        <v>45386.666666666599</v>
      </c>
      <c r="F1575" s="6">
        <f ca="1">IFERROR(__xludf.DUMMYFUNCTION("""COMPUTED_VALUE"""),5147.21)</f>
        <v>5147.21</v>
      </c>
      <c r="J1575" s="6" t="str">
        <f t="shared" ca="1" si="435"/>
        <v>20243</v>
      </c>
      <c r="K1575" s="6">
        <f t="shared" ca="1" si="436"/>
        <v>2024</v>
      </c>
      <c r="L1575" s="6">
        <f t="shared" ca="1" si="437"/>
        <v>3</v>
      </c>
      <c r="M1575" s="68">
        <f ca="1">IFERROR(__xludf.DUMMYFUNCTION("""COMPUTED_VALUE"""),45377.6666666666)</f>
        <v>45377.666666666599</v>
      </c>
      <c r="N1575" s="6">
        <f ca="1">IFERROR(__xludf.DUMMYFUNCTION("""COMPUTED_VALUE"""),16315.7)</f>
        <v>16315.7</v>
      </c>
      <c r="R1575" s="6" t="str">
        <f t="shared" ca="1" si="438"/>
        <v>20245</v>
      </c>
      <c r="S1575" s="6">
        <f t="shared" ca="1" si="439"/>
        <v>2024</v>
      </c>
      <c r="T1575" s="6">
        <f t="shared" ca="1" si="440"/>
        <v>5</v>
      </c>
      <c r="U1575" s="68">
        <f ca="1">IFERROR(__xludf.DUMMYFUNCTION("""COMPUTED_VALUE"""),45441.6458333333)</f>
        <v>45441.645833333299</v>
      </c>
      <c r="V1575" s="6">
        <f ca="1">IFERROR(__xludf.DUMMYFUNCTION("""COMPUTED_VALUE"""),2677.3)</f>
        <v>2677.3</v>
      </c>
      <c r="Z1575" s="6" t="str">
        <f t="shared" ca="1" si="441"/>
        <v>20226</v>
      </c>
      <c r="AA1575" s="6">
        <f t="shared" ca="1" si="442"/>
        <v>2022</v>
      </c>
      <c r="AB1575" s="6">
        <f t="shared" ca="1" si="443"/>
        <v>6</v>
      </c>
      <c r="AC1575" s="68">
        <f ca="1">IFERROR(__xludf.DUMMYFUNCTION("""COMPUTED_VALUE"""),44724.9986111111)</f>
        <v>44724.998611111099</v>
      </c>
      <c r="AD1575" s="6">
        <f ca="1">IFERROR(__xludf.DUMMYFUNCTION("""COMPUTED_VALUE"""),1278.28)</f>
        <v>1278.28</v>
      </c>
      <c r="AH1575" s="6" t="str">
        <f t="shared" ca="1" si="444"/>
        <v>20224</v>
      </c>
      <c r="AI1575" s="6">
        <f t="shared" ca="1" si="445"/>
        <v>2022</v>
      </c>
      <c r="AJ1575" s="6">
        <f t="shared" ca="1" si="446"/>
        <v>4</v>
      </c>
      <c r="AK1575" s="68">
        <f ca="1">IFERROR(__xludf.DUMMYFUNCTION("""COMPUTED_VALUE"""),44668.9986111111)</f>
        <v>44668.998611111099</v>
      </c>
      <c r="AL1575" s="6">
        <f ca="1">IFERROR(__xludf.DUMMYFUNCTION("""COMPUTED_VALUE"""),39692.88)</f>
        <v>39692.879999999997</v>
      </c>
      <c r="AP1575" s="6" t="str">
        <f t="shared" ca="1" si="447"/>
        <v>20244</v>
      </c>
      <c r="AQ1575" s="6">
        <f t="shared" ca="1" si="448"/>
        <v>2024</v>
      </c>
      <c r="AR1575" s="6">
        <f t="shared" ca="1" si="449"/>
        <v>4</v>
      </c>
      <c r="AS1575" s="68">
        <f ca="1">IFERROR(__xludf.DUMMYFUNCTION("""COMPUTED_VALUE"""),45393.9986111111)</f>
        <v>45393.998611111099</v>
      </c>
      <c r="AT1575" s="6">
        <f ca="1">IFERROR(__xludf.DUMMYFUNCTION("""COMPUTED_VALUE"""),2372.7)</f>
        <v>2372.6999999999998</v>
      </c>
    </row>
    <row r="1576" spans="2:46" x14ac:dyDescent="0.35">
      <c r="B1576" s="6" t="str">
        <f t="shared" ca="1" si="432"/>
        <v>20244</v>
      </c>
      <c r="C1576" s="6">
        <f t="shared" ca="1" si="433"/>
        <v>2024</v>
      </c>
      <c r="D1576" s="6">
        <f t="shared" ca="1" si="434"/>
        <v>4</v>
      </c>
      <c r="E1576" s="68">
        <f ca="1">IFERROR(__xludf.DUMMYFUNCTION("""COMPUTED_VALUE"""),45387.6666666666)</f>
        <v>45387.666666666599</v>
      </c>
      <c r="F1576" s="6">
        <f ca="1">IFERROR(__xludf.DUMMYFUNCTION("""COMPUTED_VALUE"""),5204.34)</f>
        <v>5204.34</v>
      </c>
      <c r="J1576" s="6" t="str">
        <f t="shared" ca="1" si="435"/>
        <v>20243</v>
      </c>
      <c r="K1576" s="6">
        <f t="shared" ca="1" si="436"/>
        <v>2024</v>
      </c>
      <c r="L1576" s="6">
        <f t="shared" ca="1" si="437"/>
        <v>3</v>
      </c>
      <c r="M1576" s="68">
        <f ca="1">IFERROR(__xludf.DUMMYFUNCTION("""COMPUTED_VALUE"""),45378.6666666666)</f>
        <v>45378.666666666599</v>
      </c>
      <c r="N1576" s="6">
        <f ca="1">IFERROR(__xludf.DUMMYFUNCTION("""COMPUTED_VALUE"""),16399.52)</f>
        <v>16399.52</v>
      </c>
      <c r="R1576" s="6" t="str">
        <f t="shared" ca="1" si="438"/>
        <v>20245</v>
      </c>
      <c r="S1576" s="6">
        <f t="shared" ca="1" si="439"/>
        <v>2024</v>
      </c>
      <c r="T1576" s="6">
        <f t="shared" ca="1" si="440"/>
        <v>5</v>
      </c>
      <c r="U1576" s="68">
        <f ca="1">IFERROR(__xludf.DUMMYFUNCTION("""COMPUTED_VALUE"""),45442.6458333333)</f>
        <v>45442.645833333299</v>
      </c>
      <c r="V1576" s="6">
        <f ca="1">IFERROR(__xludf.DUMMYFUNCTION("""COMPUTED_VALUE"""),2635.44)</f>
        <v>2635.44</v>
      </c>
      <c r="Z1576" s="6" t="str">
        <f t="shared" ca="1" si="441"/>
        <v>20226</v>
      </c>
      <c r="AA1576" s="6">
        <f t="shared" ca="1" si="442"/>
        <v>2022</v>
      </c>
      <c r="AB1576" s="6">
        <f t="shared" ca="1" si="443"/>
        <v>6</v>
      </c>
      <c r="AC1576" s="68">
        <f ca="1">IFERROR(__xludf.DUMMYFUNCTION("""COMPUTED_VALUE"""),44725.9986111111)</f>
        <v>44725.998611111099</v>
      </c>
      <c r="AD1576" s="6">
        <f ca="1">IFERROR(__xludf.DUMMYFUNCTION("""COMPUTED_VALUE"""),1291.8)</f>
        <v>1291.8</v>
      </c>
      <c r="AH1576" s="6" t="str">
        <f t="shared" ca="1" si="444"/>
        <v>20224</v>
      </c>
      <c r="AI1576" s="6">
        <f t="shared" ca="1" si="445"/>
        <v>2022</v>
      </c>
      <c r="AJ1576" s="6">
        <f t="shared" ca="1" si="446"/>
        <v>4</v>
      </c>
      <c r="AK1576" s="68">
        <f ca="1">IFERROR(__xludf.DUMMYFUNCTION("""COMPUTED_VALUE"""),44669.9986111111)</f>
        <v>44669.998611111099</v>
      </c>
      <c r="AL1576" s="6">
        <f ca="1">IFERROR(__xludf.DUMMYFUNCTION("""COMPUTED_VALUE"""),40802.55)</f>
        <v>40802.550000000003</v>
      </c>
      <c r="AP1576" s="6" t="str">
        <f t="shared" ca="1" si="447"/>
        <v>20244</v>
      </c>
      <c r="AQ1576" s="6">
        <f t="shared" ca="1" si="448"/>
        <v>2024</v>
      </c>
      <c r="AR1576" s="6">
        <f t="shared" ca="1" si="449"/>
        <v>4</v>
      </c>
      <c r="AS1576" s="68">
        <f ca="1">IFERROR(__xludf.DUMMYFUNCTION("""COMPUTED_VALUE"""),45394.9986111111)</f>
        <v>45394.998611111099</v>
      </c>
      <c r="AT1576" s="6">
        <f ca="1">IFERROR(__xludf.DUMMYFUNCTION("""COMPUTED_VALUE"""),2374.1)</f>
        <v>2374.1</v>
      </c>
    </row>
    <row r="1577" spans="2:46" x14ac:dyDescent="0.35">
      <c r="B1577" s="6" t="str">
        <f t="shared" ca="1" si="432"/>
        <v>20244</v>
      </c>
      <c r="C1577" s="6">
        <f t="shared" ca="1" si="433"/>
        <v>2024</v>
      </c>
      <c r="D1577" s="6">
        <f t="shared" ca="1" si="434"/>
        <v>4</v>
      </c>
      <c r="E1577" s="68">
        <f ca="1">IFERROR(__xludf.DUMMYFUNCTION("""COMPUTED_VALUE"""),45390.6666666666)</f>
        <v>45390.666666666599</v>
      </c>
      <c r="F1577" s="6">
        <f ca="1">IFERROR(__xludf.DUMMYFUNCTION("""COMPUTED_VALUE"""),5202.39)</f>
        <v>5202.3900000000003</v>
      </c>
      <c r="J1577" s="6" t="str">
        <f t="shared" ca="1" si="435"/>
        <v>20243</v>
      </c>
      <c r="K1577" s="6">
        <f t="shared" ca="1" si="436"/>
        <v>2024</v>
      </c>
      <c r="L1577" s="6">
        <f t="shared" ca="1" si="437"/>
        <v>3</v>
      </c>
      <c r="M1577" s="68">
        <f ca="1">IFERROR(__xludf.DUMMYFUNCTION("""COMPUTED_VALUE"""),45379.6666666666)</f>
        <v>45379.666666666599</v>
      </c>
      <c r="N1577" s="6">
        <f ca="1">IFERROR(__xludf.DUMMYFUNCTION("""COMPUTED_VALUE"""),16379.46)</f>
        <v>16379.46</v>
      </c>
      <c r="R1577" s="6" t="str">
        <f t="shared" ca="1" si="438"/>
        <v>20245</v>
      </c>
      <c r="S1577" s="6">
        <f t="shared" ca="1" si="439"/>
        <v>2024</v>
      </c>
      <c r="T1577" s="6">
        <f t="shared" ca="1" si="440"/>
        <v>5</v>
      </c>
      <c r="U1577" s="68">
        <f ca="1">IFERROR(__xludf.DUMMYFUNCTION("""COMPUTED_VALUE"""),45443.6458333333)</f>
        <v>45443.645833333299</v>
      </c>
      <c r="V1577" s="6">
        <f ca="1">IFERROR(__xludf.DUMMYFUNCTION("""COMPUTED_VALUE"""),2636.52)</f>
        <v>2636.52</v>
      </c>
      <c r="Z1577" s="6" t="str">
        <f t="shared" ca="1" si="441"/>
        <v>20226</v>
      </c>
      <c r="AA1577" s="6">
        <f t="shared" ca="1" si="442"/>
        <v>2022</v>
      </c>
      <c r="AB1577" s="6">
        <f t="shared" ca="1" si="443"/>
        <v>6</v>
      </c>
      <c r="AC1577" s="68">
        <f ca="1">IFERROR(__xludf.DUMMYFUNCTION("""COMPUTED_VALUE"""),44726.9986111111)</f>
        <v>44726.998611111099</v>
      </c>
      <c r="AD1577" s="6">
        <f ca="1">IFERROR(__xludf.DUMMYFUNCTION("""COMPUTED_VALUE"""),1289.48)</f>
        <v>1289.48</v>
      </c>
      <c r="AH1577" s="6" t="str">
        <f t="shared" ca="1" si="444"/>
        <v>20224</v>
      </c>
      <c r="AI1577" s="6">
        <f t="shared" ca="1" si="445"/>
        <v>2022</v>
      </c>
      <c r="AJ1577" s="6">
        <f t="shared" ca="1" si="446"/>
        <v>4</v>
      </c>
      <c r="AK1577" s="68">
        <f ca="1">IFERROR(__xludf.DUMMYFUNCTION("""COMPUTED_VALUE"""),44670.9986111111)</f>
        <v>44670.998611111099</v>
      </c>
      <c r="AL1577" s="6">
        <f ca="1">IFERROR(__xludf.DUMMYFUNCTION("""COMPUTED_VALUE"""),41498.5)</f>
        <v>41498.5</v>
      </c>
      <c r="AP1577" s="6" t="str">
        <f t="shared" ca="1" si="447"/>
        <v>20244</v>
      </c>
      <c r="AQ1577" s="6">
        <f t="shared" ca="1" si="448"/>
        <v>2024</v>
      </c>
      <c r="AR1577" s="6">
        <f t="shared" ca="1" si="449"/>
        <v>4</v>
      </c>
      <c r="AS1577" s="68">
        <f ca="1">IFERROR(__xludf.DUMMYFUNCTION("""COMPUTED_VALUE"""),45397.9986111111)</f>
        <v>45397.998611111099</v>
      </c>
      <c r="AT1577" s="6">
        <f ca="1">IFERROR(__xludf.DUMMYFUNCTION("""COMPUTED_VALUE"""),2383)</f>
        <v>2383</v>
      </c>
    </row>
    <row r="1578" spans="2:46" x14ac:dyDescent="0.35">
      <c r="B1578" s="6" t="str">
        <f t="shared" ca="1" si="432"/>
        <v>20244</v>
      </c>
      <c r="C1578" s="6">
        <f t="shared" ca="1" si="433"/>
        <v>2024</v>
      </c>
      <c r="D1578" s="6">
        <f t="shared" ca="1" si="434"/>
        <v>4</v>
      </c>
      <c r="E1578" s="68">
        <f ca="1">IFERROR(__xludf.DUMMYFUNCTION("""COMPUTED_VALUE"""),45391.6666666666)</f>
        <v>45391.666666666599</v>
      </c>
      <c r="F1578" s="6">
        <f ca="1">IFERROR(__xludf.DUMMYFUNCTION("""COMPUTED_VALUE"""),5209.91)</f>
        <v>5209.91</v>
      </c>
      <c r="J1578" s="6" t="str">
        <f t="shared" ca="1" si="435"/>
        <v>20244</v>
      </c>
      <c r="K1578" s="6">
        <f t="shared" ca="1" si="436"/>
        <v>2024</v>
      </c>
      <c r="L1578" s="6">
        <f t="shared" ca="1" si="437"/>
        <v>4</v>
      </c>
      <c r="M1578" s="68">
        <f ca="1">IFERROR(__xludf.DUMMYFUNCTION("""COMPUTED_VALUE"""),45383.6666666666)</f>
        <v>45383.666666666599</v>
      </c>
      <c r="N1578" s="6">
        <f ca="1">IFERROR(__xludf.DUMMYFUNCTION("""COMPUTED_VALUE"""),16396.83)</f>
        <v>16396.830000000002</v>
      </c>
      <c r="R1578" s="6" t="str">
        <f t="shared" ca="1" si="438"/>
        <v>20246</v>
      </c>
      <c r="S1578" s="6">
        <f t="shared" ca="1" si="439"/>
        <v>2024</v>
      </c>
      <c r="T1578" s="6">
        <f t="shared" ca="1" si="440"/>
        <v>6</v>
      </c>
      <c r="U1578" s="68">
        <f ca="1">IFERROR(__xludf.DUMMYFUNCTION("""COMPUTED_VALUE"""),45446.6458333333)</f>
        <v>45446.645833333299</v>
      </c>
      <c r="V1578" s="6">
        <f ca="1">IFERROR(__xludf.DUMMYFUNCTION("""COMPUTED_VALUE"""),2682.52)</f>
        <v>2682.52</v>
      </c>
      <c r="Z1578" s="6" t="str">
        <f t="shared" ca="1" si="441"/>
        <v>20226</v>
      </c>
      <c r="AA1578" s="6">
        <f t="shared" ca="1" si="442"/>
        <v>2022</v>
      </c>
      <c r="AB1578" s="6">
        <f t="shared" ca="1" si="443"/>
        <v>6</v>
      </c>
      <c r="AC1578" s="68">
        <f ca="1">IFERROR(__xludf.DUMMYFUNCTION("""COMPUTED_VALUE"""),44727.9986111111)</f>
        <v>44727.998611111099</v>
      </c>
      <c r="AD1578" s="6">
        <f ca="1">IFERROR(__xludf.DUMMYFUNCTION("""COMPUTED_VALUE"""),1278.16)</f>
        <v>1278.1600000000001</v>
      </c>
      <c r="AH1578" s="6" t="str">
        <f t="shared" ca="1" si="444"/>
        <v>20224</v>
      </c>
      <c r="AI1578" s="6">
        <f t="shared" ca="1" si="445"/>
        <v>2022</v>
      </c>
      <c r="AJ1578" s="6">
        <f t="shared" ca="1" si="446"/>
        <v>4</v>
      </c>
      <c r="AK1578" s="68">
        <f ca="1">IFERROR(__xludf.DUMMYFUNCTION("""COMPUTED_VALUE"""),44671.9986111111)</f>
        <v>44671.998611111099</v>
      </c>
      <c r="AL1578" s="6">
        <f ca="1">IFERROR(__xludf.DUMMYFUNCTION("""COMPUTED_VALUE"""),41362.92)</f>
        <v>41362.92</v>
      </c>
      <c r="AP1578" s="6" t="str">
        <f t="shared" ca="1" si="447"/>
        <v>20244</v>
      </c>
      <c r="AQ1578" s="6">
        <f t="shared" ca="1" si="448"/>
        <v>2024</v>
      </c>
      <c r="AR1578" s="6">
        <f t="shared" ca="1" si="449"/>
        <v>4</v>
      </c>
      <c r="AS1578" s="68">
        <f ca="1">IFERROR(__xludf.DUMMYFUNCTION("""COMPUTED_VALUE"""),45398.9986111111)</f>
        <v>45398.998611111099</v>
      </c>
      <c r="AT1578" s="6">
        <f ca="1">IFERROR(__xludf.DUMMYFUNCTION("""COMPUTED_VALUE"""),2407.8)</f>
        <v>2407.8000000000002</v>
      </c>
    </row>
    <row r="1579" spans="2:46" x14ac:dyDescent="0.35">
      <c r="B1579" s="6" t="str">
        <f t="shared" ca="1" si="432"/>
        <v>20244</v>
      </c>
      <c r="C1579" s="6">
        <f t="shared" ca="1" si="433"/>
        <v>2024</v>
      </c>
      <c r="D1579" s="6">
        <f t="shared" ca="1" si="434"/>
        <v>4</v>
      </c>
      <c r="E1579" s="68">
        <f ca="1">IFERROR(__xludf.DUMMYFUNCTION("""COMPUTED_VALUE"""),45392.6666666666)</f>
        <v>45392.666666666599</v>
      </c>
      <c r="F1579" s="6">
        <f ca="1">IFERROR(__xludf.DUMMYFUNCTION("""COMPUTED_VALUE"""),5160.64)</f>
        <v>5160.6400000000003</v>
      </c>
      <c r="J1579" s="6" t="str">
        <f t="shared" ca="1" si="435"/>
        <v>20244</v>
      </c>
      <c r="K1579" s="6">
        <f t="shared" ca="1" si="436"/>
        <v>2024</v>
      </c>
      <c r="L1579" s="6">
        <f t="shared" ca="1" si="437"/>
        <v>4</v>
      </c>
      <c r="M1579" s="68">
        <f ca="1">IFERROR(__xludf.DUMMYFUNCTION("""COMPUTED_VALUE"""),45384.6666666666)</f>
        <v>45384.666666666599</v>
      </c>
      <c r="N1579" s="6">
        <f ca="1">IFERROR(__xludf.DUMMYFUNCTION("""COMPUTED_VALUE"""),16240.45)</f>
        <v>16240.45</v>
      </c>
      <c r="R1579" s="6" t="str">
        <f t="shared" ca="1" si="438"/>
        <v>20246</v>
      </c>
      <c r="S1579" s="6">
        <f t="shared" ca="1" si="439"/>
        <v>2024</v>
      </c>
      <c r="T1579" s="6">
        <f t="shared" ca="1" si="440"/>
        <v>6</v>
      </c>
      <c r="U1579" s="68">
        <f ca="1">IFERROR(__xludf.DUMMYFUNCTION("""COMPUTED_VALUE"""),45447.6458333333)</f>
        <v>45447.645833333299</v>
      </c>
      <c r="V1579" s="6">
        <f ca="1">IFERROR(__xludf.DUMMYFUNCTION("""COMPUTED_VALUE"""),2662.1)</f>
        <v>2662.1</v>
      </c>
      <c r="Z1579" s="6" t="str">
        <f t="shared" ca="1" si="441"/>
        <v>20226</v>
      </c>
      <c r="AA1579" s="6">
        <f t="shared" ca="1" si="442"/>
        <v>2022</v>
      </c>
      <c r="AB1579" s="6">
        <f t="shared" ca="1" si="443"/>
        <v>6</v>
      </c>
      <c r="AC1579" s="68">
        <f ca="1">IFERROR(__xludf.DUMMYFUNCTION("""COMPUTED_VALUE"""),44728.9986111111)</f>
        <v>44728.998611111099</v>
      </c>
      <c r="AD1579" s="6">
        <f ca="1">IFERROR(__xludf.DUMMYFUNCTION("""COMPUTED_VALUE"""),1288.18)</f>
        <v>1288.18</v>
      </c>
      <c r="AH1579" s="6" t="str">
        <f t="shared" ca="1" si="444"/>
        <v>20224</v>
      </c>
      <c r="AI1579" s="6">
        <f t="shared" ca="1" si="445"/>
        <v>2022</v>
      </c>
      <c r="AJ1579" s="6">
        <f t="shared" ca="1" si="446"/>
        <v>4</v>
      </c>
      <c r="AK1579" s="68">
        <f ca="1">IFERROR(__xludf.DUMMYFUNCTION("""COMPUTED_VALUE"""),44672.9986111111)</f>
        <v>44672.998611111099</v>
      </c>
      <c r="AL1579" s="6">
        <f ca="1">IFERROR(__xludf.DUMMYFUNCTION("""COMPUTED_VALUE"""),40475.13)</f>
        <v>40475.129999999997</v>
      </c>
      <c r="AP1579" s="6" t="str">
        <f t="shared" ca="1" si="447"/>
        <v>20244</v>
      </c>
      <c r="AQ1579" s="6">
        <f t="shared" ca="1" si="448"/>
        <v>2024</v>
      </c>
      <c r="AR1579" s="6">
        <f t="shared" ca="1" si="449"/>
        <v>4</v>
      </c>
      <c r="AS1579" s="68">
        <f ca="1">IFERROR(__xludf.DUMMYFUNCTION("""COMPUTED_VALUE"""),45399.9986111111)</f>
        <v>45399.998611111099</v>
      </c>
      <c r="AT1579" s="6">
        <f ca="1">IFERROR(__xludf.DUMMYFUNCTION("""COMPUTED_VALUE"""),2388.4)</f>
        <v>2388.4</v>
      </c>
    </row>
    <row r="1580" spans="2:46" x14ac:dyDescent="0.35">
      <c r="B1580" s="6" t="str">
        <f t="shared" ca="1" si="432"/>
        <v>20244</v>
      </c>
      <c r="C1580" s="6">
        <f t="shared" ca="1" si="433"/>
        <v>2024</v>
      </c>
      <c r="D1580" s="6">
        <f t="shared" ca="1" si="434"/>
        <v>4</v>
      </c>
      <c r="E1580" s="68">
        <f ca="1">IFERROR(__xludf.DUMMYFUNCTION("""COMPUTED_VALUE"""),45393.6666666666)</f>
        <v>45393.666666666599</v>
      </c>
      <c r="F1580" s="6">
        <f ca="1">IFERROR(__xludf.DUMMYFUNCTION("""COMPUTED_VALUE"""),5199.06)</f>
        <v>5199.0600000000004</v>
      </c>
      <c r="J1580" s="6" t="str">
        <f t="shared" ca="1" si="435"/>
        <v>20244</v>
      </c>
      <c r="K1580" s="6">
        <f t="shared" ca="1" si="436"/>
        <v>2024</v>
      </c>
      <c r="L1580" s="6">
        <f t="shared" ca="1" si="437"/>
        <v>4</v>
      </c>
      <c r="M1580" s="68">
        <f ca="1">IFERROR(__xludf.DUMMYFUNCTION("""COMPUTED_VALUE"""),45385.6666666666)</f>
        <v>45385.666666666599</v>
      </c>
      <c r="N1580" s="6">
        <f ca="1">IFERROR(__xludf.DUMMYFUNCTION("""COMPUTED_VALUE"""),16277.46)</f>
        <v>16277.46</v>
      </c>
      <c r="R1580" s="6" t="str">
        <f t="shared" ca="1" si="438"/>
        <v>20246</v>
      </c>
      <c r="S1580" s="6">
        <f t="shared" ca="1" si="439"/>
        <v>2024</v>
      </c>
      <c r="T1580" s="6">
        <f t="shared" ca="1" si="440"/>
        <v>6</v>
      </c>
      <c r="U1580" s="68">
        <f ca="1">IFERROR(__xludf.DUMMYFUNCTION("""COMPUTED_VALUE"""),45448.6458333333)</f>
        <v>45448.645833333299</v>
      </c>
      <c r="V1580" s="6">
        <f ca="1">IFERROR(__xludf.DUMMYFUNCTION("""COMPUTED_VALUE"""),2689.5)</f>
        <v>2689.5</v>
      </c>
      <c r="Z1580" s="6" t="str">
        <f t="shared" ca="1" si="441"/>
        <v>20226</v>
      </c>
      <c r="AA1580" s="6">
        <f t="shared" ca="1" si="442"/>
        <v>2022</v>
      </c>
      <c r="AB1580" s="6">
        <f t="shared" ca="1" si="443"/>
        <v>6</v>
      </c>
      <c r="AC1580" s="68">
        <f ca="1">IFERROR(__xludf.DUMMYFUNCTION("""COMPUTED_VALUE"""),44729.9986111111)</f>
        <v>44729.998611111099</v>
      </c>
      <c r="AD1580" s="6">
        <f ca="1">IFERROR(__xludf.DUMMYFUNCTION("""COMPUTED_VALUE"""),1290.46)</f>
        <v>1290.46</v>
      </c>
      <c r="AH1580" s="6" t="str">
        <f t="shared" ca="1" si="444"/>
        <v>20224</v>
      </c>
      <c r="AI1580" s="6">
        <f t="shared" ca="1" si="445"/>
        <v>2022</v>
      </c>
      <c r="AJ1580" s="6">
        <f t="shared" ca="1" si="446"/>
        <v>4</v>
      </c>
      <c r="AK1580" s="68">
        <f ca="1">IFERROR(__xludf.DUMMYFUNCTION("""COMPUTED_VALUE"""),44673.9986111111)</f>
        <v>44673.998611111099</v>
      </c>
      <c r="AL1580" s="6">
        <f ca="1">IFERROR(__xludf.DUMMYFUNCTION("""COMPUTED_VALUE"""),39707.38)</f>
        <v>39707.379999999997</v>
      </c>
      <c r="AP1580" s="6" t="str">
        <f t="shared" ca="1" si="447"/>
        <v>20244</v>
      </c>
      <c r="AQ1580" s="6">
        <f t="shared" ca="1" si="448"/>
        <v>2024</v>
      </c>
      <c r="AR1580" s="6">
        <f t="shared" ca="1" si="449"/>
        <v>4</v>
      </c>
      <c r="AS1580" s="68">
        <f ca="1">IFERROR(__xludf.DUMMYFUNCTION("""COMPUTED_VALUE"""),45400.9986111111)</f>
        <v>45400.998611111099</v>
      </c>
      <c r="AT1580" s="6">
        <f ca="1">IFERROR(__xludf.DUMMYFUNCTION("""COMPUTED_VALUE"""),2398)</f>
        <v>2398</v>
      </c>
    </row>
    <row r="1581" spans="2:46" x14ac:dyDescent="0.35">
      <c r="B1581" s="6" t="str">
        <f t="shared" ca="1" si="432"/>
        <v>20244</v>
      </c>
      <c r="C1581" s="6">
        <f t="shared" ca="1" si="433"/>
        <v>2024</v>
      </c>
      <c r="D1581" s="6">
        <f t="shared" ca="1" si="434"/>
        <v>4</v>
      </c>
      <c r="E1581" s="68">
        <f ca="1">IFERROR(__xludf.DUMMYFUNCTION("""COMPUTED_VALUE"""),45394.6666666666)</f>
        <v>45394.666666666599</v>
      </c>
      <c r="F1581" s="6">
        <f ca="1">IFERROR(__xludf.DUMMYFUNCTION("""COMPUTED_VALUE"""),5123.41)</f>
        <v>5123.41</v>
      </c>
      <c r="J1581" s="6" t="str">
        <f t="shared" ca="1" si="435"/>
        <v>20244</v>
      </c>
      <c r="K1581" s="6">
        <f t="shared" ca="1" si="436"/>
        <v>2024</v>
      </c>
      <c r="L1581" s="6">
        <f t="shared" ca="1" si="437"/>
        <v>4</v>
      </c>
      <c r="M1581" s="68">
        <f ca="1">IFERROR(__xludf.DUMMYFUNCTION("""COMPUTED_VALUE"""),45386.6666666666)</f>
        <v>45386.666666666599</v>
      </c>
      <c r="N1581" s="6">
        <f ca="1">IFERROR(__xludf.DUMMYFUNCTION("""COMPUTED_VALUE"""),16049.08)</f>
        <v>16049.08</v>
      </c>
      <c r="R1581" s="6" t="str">
        <f t="shared" ca="1" si="438"/>
        <v>20246</v>
      </c>
      <c r="S1581" s="6">
        <f t="shared" ca="1" si="439"/>
        <v>2024</v>
      </c>
      <c r="T1581" s="6">
        <f t="shared" ca="1" si="440"/>
        <v>6</v>
      </c>
      <c r="U1581" s="68">
        <f ca="1">IFERROR(__xludf.DUMMYFUNCTION("""COMPUTED_VALUE"""),45450.6458333333)</f>
        <v>45450.645833333299</v>
      </c>
      <c r="V1581" s="6">
        <f ca="1">IFERROR(__xludf.DUMMYFUNCTION("""COMPUTED_VALUE"""),2722.67)</f>
        <v>2722.67</v>
      </c>
      <c r="Z1581" s="6" t="str">
        <f t="shared" ca="1" si="441"/>
        <v>20226</v>
      </c>
      <c r="AA1581" s="6">
        <f t="shared" ca="1" si="442"/>
        <v>2022</v>
      </c>
      <c r="AB1581" s="6">
        <f t="shared" ca="1" si="443"/>
        <v>6</v>
      </c>
      <c r="AC1581" s="68">
        <f ca="1">IFERROR(__xludf.DUMMYFUNCTION("""COMPUTED_VALUE"""),44730.9986111111)</f>
        <v>44730.998611111099</v>
      </c>
      <c r="AD1581" s="6">
        <f ca="1">IFERROR(__xludf.DUMMYFUNCTION("""COMPUTED_VALUE"""),1289.5)</f>
        <v>1289.5</v>
      </c>
      <c r="AH1581" s="6" t="str">
        <f t="shared" ca="1" si="444"/>
        <v>20224</v>
      </c>
      <c r="AI1581" s="6">
        <f t="shared" ca="1" si="445"/>
        <v>2022</v>
      </c>
      <c r="AJ1581" s="6">
        <f t="shared" ca="1" si="446"/>
        <v>4</v>
      </c>
      <c r="AK1581" s="68">
        <f ca="1">IFERROR(__xludf.DUMMYFUNCTION("""COMPUTED_VALUE"""),44674.9986111111)</f>
        <v>44674.998611111099</v>
      </c>
      <c r="AL1581" s="6">
        <f ca="1">IFERROR(__xludf.DUMMYFUNCTION("""COMPUTED_VALUE"""),39444.2)</f>
        <v>39444.199999999997</v>
      </c>
      <c r="AP1581" s="6" t="str">
        <f t="shared" ca="1" si="447"/>
        <v>20244</v>
      </c>
      <c r="AQ1581" s="6">
        <f t="shared" ca="1" si="448"/>
        <v>2024</v>
      </c>
      <c r="AR1581" s="6">
        <f t="shared" ca="1" si="449"/>
        <v>4</v>
      </c>
      <c r="AS1581" s="68">
        <f ca="1">IFERROR(__xludf.DUMMYFUNCTION("""COMPUTED_VALUE"""),45401.9986111111)</f>
        <v>45401.998611111099</v>
      </c>
      <c r="AT1581" s="6">
        <f ca="1">IFERROR(__xludf.DUMMYFUNCTION("""COMPUTED_VALUE"""),2413.8)</f>
        <v>2413.8000000000002</v>
      </c>
    </row>
    <row r="1582" spans="2:46" x14ac:dyDescent="0.35">
      <c r="B1582" s="6" t="str">
        <f t="shared" ca="1" si="432"/>
        <v>20244</v>
      </c>
      <c r="C1582" s="6">
        <f t="shared" ca="1" si="433"/>
        <v>2024</v>
      </c>
      <c r="D1582" s="6">
        <f t="shared" ca="1" si="434"/>
        <v>4</v>
      </c>
      <c r="E1582" s="68">
        <f ca="1">IFERROR(__xludf.DUMMYFUNCTION("""COMPUTED_VALUE"""),45397.6666666666)</f>
        <v>45397.666666666599</v>
      </c>
      <c r="F1582" s="6">
        <f ca="1">IFERROR(__xludf.DUMMYFUNCTION("""COMPUTED_VALUE"""),5061.82)</f>
        <v>5061.82</v>
      </c>
      <c r="J1582" s="6" t="str">
        <f t="shared" ca="1" si="435"/>
        <v>20244</v>
      </c>
      <c r="K1582" s="6">
        <f t="shared" ca="1" si="436"/>
        <v>2024</v>
      </c>
      <c r="L1582" s="6">
        <f t="shared" ca="1" si="437"/>
        <v>4</v>
      </c>
      <c r="M1582" s="68">
        <f ca="1">IFERROR(__xludf.DUMMYFUNCTION("""COMPUTED_VALUE"""),45387.6666666666)</f>
        <v>45387.666666666599</v>
      </c>
      <c r="N1582" s="6">
        <f ca="1">IFERROR(__xludf.DUMMYFUNCTION("""COMPUTED_VALUE"""),16248.52)</f>
        <v>16248.52</v>
      </c>
      <c r="R1582" s="6" t="str">
        <f t="shared" ca="1" si="438"/>
        <v>20246</v>
      </c>
      <c r="S1582" s="6">
        <f t="shared" ca="1" si="439"/>
        <v>2024</v>
      </c>
      <c r="T1582" s="6">
        <f t="shared" ca="1" si="440"/>
        <v>6</v>
      </c>
      <c r="U1582" s="68">
        <f ca="1">IFERROR(__xludf.DUMMYFUNCTION("""COMPUTED_VALUE"""),45453.6458333333)</f>
        <v>45453.645833333299</v>
      </c>
      <c r="V1582" s="6">
        <f ca="1">IFERROR(__xludf.DUMMYFUNCTION("""COMPUTED_VALUE"""),2701.17)</f>
        <v>2701.17</v>
      </c>
      <c r="Z1582" s="6" t="str">
        <f t="shared" ca="1" si="441"/>
        <v>20226</v>
      </c>
      <c r="AA1582" s="6">
        <f t="shared" ca="1" si="442"/>
        <v>2022</v>
      </c>
      <c r="AB1582" s="6">
        <f t="shared" ca="1" si="443"/>
        <v>6</v>
      </c>
      <c r="AC1582" s="68">
        <f ca="1">IFERROR(__xludf.DUMMYFUNCTION("""COMPUTED_VALUE"""),44731.9986111111)</f>
        <v>44731.998611111099</v>
      </c>
      <c r="AD1582" s="6">
        <f ca="1">IFERROR(__xludf.DUMMYFUNCTION("""COMPUTED_VALUE"""),1290.5)</f>
        <v>1290.5</v>
      </c>
      <c r="AH1582" s="6" t="str">
        <f t="shared" ca="1" si="444"/>
        <v>20224</v>
      </c>
      <c r="AI1582" s="6">
        <f t="shared" ca="1" si="445"/>
        <v>2022</v>
      </c>
      <c r="AJ1582" s="6">
        <f t="shared" ca="1" si="446"/>
        <v>4</v>
      </c>
      <c r="AK1582" s="68">
        <f ca="1">IFERROR(__xludf.DUMMYFUNCTION("""COMPUTED_VALUE"""),44675.9986111111)</f>
        <v>44675.998611111099</v>
      </c>
      <c r="AL1582" s="6">
        <f ca="1">IFERROR(__xludf.DUMMYFUNCTION("""COMPUTED_VALUE"""),39467.37)</f>
        <v>39467.370000000003</v>
      </c>
      <c r="AP1582" s="6" t="str">
        <f t="shared" ca="1" si="447"/>
        <v>20244</v>
      </c>
      <c r="AQ1582" s="6">
        <f t="shared" ca="1" si="448"/>
        <v>2024</v>
      </c>
      <c r="AR1582" s="6">
        <f t="shared" ca="1" si="449"/>
        <v>4</v>
      </c>
      <c r="AS1582" s="68">
        <f ca="1">IFERROR(__xludf.DUMMYFUNCTION("""COMPUTED_VALUE"""),45404.9986111111)</f>
        <v>45404.998611111099</v>
      </c>
      <c r="AT1582" s="6">
        <f ca="1">IFERROR(__xludf.DUMMYFUNCTION("""COMPUTED_VALUE"""),2346.4)</f>
        <v>2346.4</v>
      </c>
    </row>
    <row r="1583" spans="2:46" x14ac:dyDescent="0.35">
      <c r="B1583" s="6" t="str">
        <f t="shared" ca="1" si="432"/>
        <v>20244</v>
      </c>
      <c r="C1583" s="6">
        <f t="shared" ca="1" si="433"/>
        <v>2024</v>
      </c>
      <c r="D1583" s="6">
        <f t="shared" ca="1" si="434"/>
        <v>4</v>
      </c>
      <c r="E1583" s="68">
        <f ca="1">IFERROR(__xludf.DUMMYFUNCTION("""COMPUTED_VALUE"""),45398.6666666666)</f>
        <v>45398.666666666599</v>
      </c>
      <c r="F1583" s="6">
        <f ca="1">IFERROR(__xludf.DUMMYFUNCTION("""COMPUTED_VALUE"""),5051.41)</f>
        <v>5051.41</v>
      </c>
      <c r="J1583" s="6" t="str">
        <f t="shared" ca="1" si="435"/>
        <v>20244</v>
      </c>
      <c r="K1583" s="6">
        <f t="shared" ca="1" si="436"/>
        <v>2024</v>
      </c>
      <c r="L1583" s="6">
        <f t="shared" ca="1" si="437"/>
        <v>4</v>
      </c>
      <c r="M1583" s="68">
        <f ca="1">IFERROR(__xludf.DUMMYFUNCTION("""COMPUTED_VALUE"""),45390.6666666666)</f>
        <v>45390.666666666599</v>
      </c>
      <c r="N1583" s="6">
        <f ca="1">IFERROR(__xludf.DUMMYFUNCTION("""COMPUTED_VALUE"""),16253.96)</f>
        <v>16253.96</v>
      </c>
      <c r="R1583" s="6" t="str">
        <f t="shared" ca="1" si="438"/>
        <v>20246</v>
      </c>
      <c r="S1583" s="6">
        <f t="shared" ca="1" si="439"/>
        <v>2024</v>
      </c>
      <c r="T1583" s="6">
        <f t="shared" ca="1" si="440"/>
        <v>6</v>
      </c>
      <c r="U1583" s="68">
        <f ca="1">IFERROR(__xludf.DUMMYFUNCTION("""COMPUTED_VALUE"""),45454.6458333333)</f>
        <v>45454.645833333299</v>
      </c>
      <c r="V1583" s="6">
        <f ca="1">IFERROR(__xludf.DUMMYFUNCTION("""COMPUTED_VALUE"""),2705.32)</f>
        <v>2705.32</v>
      </c>
      <c r="Z1583" s="6" t="str">
        <f t="shared" ca="1" si="441"/>
        <v>20226</v>
      </c>
      <c r="AA1583" s="6">
        <f t="shared" ca="1" si="442"/>
        <v>2022</v>
      </c>
      <c r="AB1583" s="6">
        <f t="shared" ca="1" si="443"/>
        <v>6</v>
      </c>
      <c r="AC1583" s="68">
        <f ca="1">IFERROR(__xludf.DUMMYFUNCTION("""COMPUTED_VALUE"""),44732.9986111111)</f>
        <v>44732.998611111099</v>
      </c>
      <c r="AD1583" s="6">
        <f ca="1">IFERROR(__xludf.DUMMYFUNCTION("""COMPUTED_VALUE"""),1292.38)</f>
        <v>1292.3800000000001</v>
      </c>
      <c r="AH1583" s="6" t="str">
        <f t="shared" ca="1" si="444"/>
        <v>20224</v>
      </c>
      <c r="AI1583" s="6">
        <f t="shared" ca="1" si="445"/>
        <v>2022</v>
      </c>
      <c r="AJ1583" s="6">
        <f t="shared" ca="1" si="446"/>
        <v>4</v>
      </c>
      <c r="AK1583" s="68">
        <f ca="1">IFERROR(__xludf.DUMMYFUNCTION("""COMPUTED_VALUE"""),44676.9986111111)</f>
        <v>44676.998611111099</v>
      </c>
      <c r="AL1583" s="6">
        <f ca="1">IFERROR(__xludf.DUMMYFUNCTION("""COMPUTED_VALUE"""),40433.51)</f>
        <v>40433.51</v>
      </c>
      <c r="AP1583" s="6" t="str">
        <f t="shared" ca="1" si="447"/>
        <v>20244</v>
      </c>
      <c r="AQ1583" s="6">
        <f t="shared" ca="1" si="448"/>
        <v>2024</v>
      </c>
      <c r="AR1583" s="6">
        <f t="shared" ca="1" si="449"/>
        <v>4</v>
      </c>
      <c r="AS1583" s="68">
        <f ca="1">IFERROR(__xludf.DUMMYFUNCTION("""COMPUTED_VALUE"""),45405.9986111111)</f>
        <v>45405.998611111099</v>
      </c>
      <c r="AT1583" s="6">
        <f ca="1">IFERROR(__xludf.DUMMYFUNCTION("""COMPUTED_VALUE"""),2342.1)</f>
        <v>2342.1</v>
      </c>
    </row>
    <row r="1584" spans="2:46" x14ac:dyDescent="0.35">
      <c r="B1584" s="6" t="str">
        <f t="shared" ca="1" si="432"/>
        <v>20244</v>
      </c>
      <c r="C1584" s="6">
        <f t="shared" ca="1" si="433"/>
        <v>2024</v>
      </c>
      <c r="D1584" s="6">
        <f t="shared" ca="1" si="434"/>
        <v>4</v>
      </c>
      <c r="E1584" s="68">
        <f ca="1">IFERROR(__xludf.DUMMYFUNCTION("""COMPUTED_VALUE"""),45399.6666666666)</f>
        <v>45399.666666666599</v>
      </c>
      <c r="F1584" s="6">
        <f ca="1">IFERROR(__xludf.DUMMYFUNCTION("""COMPUTED_VALUE"""),5022.21)</f>
        <v>5022.21</v>
      </c>
      <c r="J1584" s="6" t="str">
        <f t="shared" ca="1" si="435"/>
        <v>20244</v>
      </c>
      <c r="K1584" s="6">
        <f t="shared" ca="1" si="436"/>
        <v>2024</v>
      </c>
      <c r="L1584" s="6">
        <f t="shared" ca="1" si="437"/>
        <v>4</v>
      </c>
      <c r="M1584" s="68">
        <f ca="1">IFERROR(__xludf.DUMMYFUNCTION("""COMPUTED_VALUE"""),45391.6666666666)</f>
        <v>45391.666666666599</v>
      </c>
      <c r="N1584" s="6">
        <f ca="1">IFERROR(__xludf.DUMMYFUNCTION("""COMPUTED_VALUE"""),16306.64)</f>
        <v>16306.64</v>
      </c>
      <c r="R1584" s="6" t="str">
        <f t="shared" ca="1" si="438"/>
        <v>20246</v>
      </c>
      <c r="S1584" s="6">
        <f t="shared" ca="1" si="439"/>
        <v>2024</v>
      </c>
      <c r="T1584" s="6">
        <f t="shared" ca="1" si="440"/>
        <v>6</v>
      </c>
      <c r="U1584" s="68">
        <f ca="1">IFERROR(__xludf.DUMMYFUNCTION("""COMPUTED_VALUE"""),45455.6458333333)</f>
        <v>45455.645833333299</v>
      </c>
      <c r="V1584" s="6">
        <f ca="1">IFERROR(__xludf.DUMMYFUNCTION("""COMPUTED_VALUE"""),2728.17)</f>
        <v>2728.17</v>
      </c>
      <c r="Z1584" s="6" t="str">
        <f t="shared" ca="1" si="441"/>
        <v>20226</v>
      </c>
      <c r="AA1584" s="6">
        <f t="shared" ca="1" si="442"/>
        <v>2022</v>
      </c>
      <c r="AB1584" s="6">
        <f t="shared" ca="1" si="443"/>
        <v>6</v>
      </c>
      <c r="AC1584" s="68">
        <f ca="1">IFERROR(__xludf.DUMMYFUNCTION("""COMPUTED_VALUE"""),44733.9986111111)</f>
        <v>44733.998611111099</v>
      </c>
      <c r="AD1584" s="6">
        <f ca="1">IFERROR(__xludf.DUMMYFUNCTION("""COMPUTED_VALUE"""),1291.6)</f>
        <v>1291.5999999999999</v>
      </c>
      <c r="AH1584" s="6" t="str">
        <f t="shared" ca="1" si="444"/>
        <v>20224</v>
      </c>
      <c r="AI1584" s="6">
        <f t="shared" ca="1" si="445"/>
        <v>2022</v>
      </c>
      <c r="AJ1584" s="6">
        <f t="shared" ca="1" si="446"/>
        <v>4</v>
      </c>
      <c r="AK1584" s="68">
        <f ca="1">IFERROR(__xludf.DUMMYFUNCTION("""COMPUTED_VALUE"""),44677.9986111111)</f>
        <v>44677.998611111099</v>
      </c>
      <c r="AL1584" s="6">
        <f ca="1">IFERROR(__xludf.DUMMYFUNCTION("""COMPUTED_VALUE"""),38126.08)</f>
        <v>38126.080000000002</v>
      </c>
      <c r="AP1584" s="6" t="str">
        <f t="shared" ca="1" si="447"/>
        <v>20244</v>
      </c>
      <c r="AQ1584" s="6">
        <f t="shared" ca="1" si="448"/>
        <v>2024</v>
      </c>
      <c r="AR1584" s="6">
        <f t="shared" ca="1" si="449"/>
        <v>4</v>
      </c>
      <c r="AS1584" s="68">
        <f ca="1">IFERROR(__xludf.DUMMYFUNCTION("""COMPUTED_VALUE"""),45406.9986111111)</f>
        <v>45406.998611111099</v>
      </c>
      <c r="AT1584" s="6">
        <f ca="1">IFERROR(__xludf.DUMMYFUNCTION("""COMPUTED_VALUE"""),2338.4)</f>
        <v>2338.4</v>
      </c>
    </row>
    <row r="1585" spans="2:46" x14ac:dyDescent="0.35">
      <c r="B1585" s="6" t="str">
        <f t="shared" ca="1" si="432"/>
        <v>20244</v>
      </c>
      <c r="C1585" s="6">
        <f t="shared" ca="1" si="433"/>
        <v>2024</v>
      </c>
      <c r="D1585" s="6">
        <f t="shared" ca="1" si="434"/>
        <v>4</v>
      </c>
      <c r="E1585" s="68">
        <f ca="1">IFERROR(__xludf.DUMMYFUNCTION("""COMPUTED_VALUE"""),45400.6666666666)</f>
        <v>45400.666666666599</v>
      </c>
      <c r="F1585" s="6">
        <f ca="1">IFERROR(__xludf.DUMMYFUNCTION("""COMPUTED_VALUE"""),5011.12)</f>
        <v>5011.12</v>
      </c>
      <c r="J1585" s="6" t="str">
        <f t="shared" ca="1" si="435"/>
        <v>20244</v>
      </c>
      <c r="K1585" s="6">
        <f t="shared" ca="1" si="436"/>
        <v>2024</v>
      </c>
      <c r="L1585" s="6">
        <f t="shared" ca="1" si="437"/>
        <v>4</v>
      </c>
      <c r="M1585" s="68">
        <f ca="1">IFERROR(__xludf.DUMMYFUNCTION("""COMPUTED_VALUE"""),45392.6666666666)</f>
        <v>45392.666666666599</v>
      </c>
      <c r="N1585" s="6">
        <f ca="1">IFERROR(__xludf.DUMMYFUNCTION("""COMPUTED_VALUE"""),16170.36)</f>
        <v>16170.36</v>
      </c>
      <c r="R1585" s="6" t="str">
        <f t="shared" ca="1" si="438"/>
        <v>20246</v>
      </c>
      <c r="S1585" s="6">
        <f t="shared" ca="1" si="439"/>
        <v>2024</v>
      </c>
      <c r="T1585" s="6">
        <f t="shared" ca="1" si="440"/>
        <v>6</v>
      </c>
      <c r="U1585" s="68">
        <f ca="1">IFERROR(__xludf.DUMMYFUNCTION("""COMPUTED_VALUE"""),45456.6458333333)</f>
        <v>45456.645833333299</v>
      </c>
      <c r="V1585" s="6">
        <f ca="1">IFERROR(__xludf.DUMMYFUNCTION("""COMPUTED_VALUE"""),2754.89)</f>
        <v>2754.89</v>
      </c>
      <c r="Z1585" s="6" t="str">
        <f t="shared" ca="1" si="441"/>
        <v>20226</v>
      </c>
      <c r="AA1585" s="6">
        <f t="shared" ca="1" si="442"/>
        <v>2022</v>
      </c>
      <c r="AB1585" s="6">
        <f t="shared" ca="1" si="443"/>
        <v>6</v>
      </c>
      <c r="AC1585" s="68">
        <f ca="1">IFERROR(__xludf.DUMMYFUNCTION("""COMPUTED_VALUE"""),44734.9986111111)</f>
        <v>44734.998611111099</v>
      </c>
      <c r="AD1585" s="6">
        <f ca="1">IFERROR(__xludf.DUMMYFUNCTION("""COMPUTED_VALUE"""),1297.68)</f>
        <v>1297.68</v>
      </c>
      <c r="AH1585" s="6" t="str">
        <f t="shared" ca="1" si="444"/>
        <v>20224</v>
      </c>
      <c r="AI1585" s="6">
        <f t="shared" ca="1" si="445"/>
        <v>2022</v>
      </c>
      <c r="AJ1585" s="6">
        <f t="shared" ca="1" si="446"/>
        <v>4</v>
      </c>
      <c r="AK1585" s="68">
        <f ca="1">IFERROR(__xludf.DUMMYFUNCTION("""COMPUTED_VALUE"""),44678.9986111111)</f>
        <v>44678.998611111099</v>
      </c>
      <c r="AL1585" s="6">
        <f ca="1">IFERROR(__xludf.DUMMYFUNCTION("""COMPUTED_VALUE"""),39242.54)</f>
        <v>39242.54</v>
      </c>
      <c r="AP1585" s="6" t="str">
        <f t="shared" ca="1" si="447"/>
        <v>20244</v>
      </c>
      <c r="AQ1585" s="6">
        <f t="shared" ca="1" si="448"/>
        <v>2024</v>
      </c>
      <c r="AR1585" s="6">
        <f t="shared" ca="1" si="449"/>
        <v>4</v>
      </c>
      <c r="AS1585" s="68">
        <f ca="1">IFERROR(__xludf.DUMMYFUNCTION("""COMPUTED_VALUE"""),45407.9986111111)</f>
        <v>45407.998611111099</v>
      </c>
      <c r="AT1585" s="6">
        <f ca="1">IFERROR(__xludf.DUMMYFUNCTION("""COMPUTED_VALUE"""),2342.5)</f>
        <v>2342.5</v>
      </c>
    </row>
    <row r="1586" spans="2:46" x14ac:dyDescent="0.35">
      <c r="B1586" s="6" t="str">
        <f t="shared" ca="1" si="432"/>
        <v>20244</v>
      </c>
      <c r="C1586" s="6">
        <f t="shared" ca="1" si="433"/>
        <v>2024</v>
      </c>
      <c r="D1586" s="6">
        <f t="shared" ca="1" si="434"/>
        <v>4</v>
      </c>
      <c r="E1586" s="68">
        <f ca="1">IFERROR(__xludf.DUMMYFUNCTION("""COMPUTED_VALUE"""),45401.6666666666)</f>
        <v>45401.666666666599</v>
      </c>
      <c r="F1586" s="6">
        <f ca="1">IFERROR(__xludf.DUMMYFUNCTION("""COMPUTED_VALUE"""),4967.23)</f>
        <v>4967.2299999999996</v>
      </c>
      <c r="J1586" s="6" t="str">
        <f t="shared" ca="1" si="435"/>
        <v>20244</v>
      </c>
      <c r="K1586" s="6">
        <f t="shared" ca="1" si="436"/>
        <v>2024</v>
      </c>
      <c r="L1586" s="6">
        <f t="shared" ca="1" si="437"/>
        <v>4</v>
      </c>
      <c r="M1586" s="68">
        <f ca="1">IFERROR(__xludf.DUMMYFUNCTION("""COMPUTED_VALUE"""),45393.6666666666)</f>
        <v>45393.666666666599</v>
      </c>
      <c r="N1586" s="6">
        <f ca="1">IFERROR(__xludf.DUMMYFUNCTION("""COMPUTED_VALUE"""),16442.2)</f>
        <v>16442.2</v>
      </c>
      <c r="R1586" s="6" t="str">
        <f t="shared" ca="1" si="438"/>
        <v>20246</v>
      </c>
      <c r="S1586" s="6">
        <f t="shared" ca="1" si="439"/>
        <v>2024</v>
      </c>
      <c r="T1586" s="6">
        <f t="shared" ca="1" si="440"/>
        <v>6</v>
      </c>
      <c r="U1586" s="68">
        <f ca="1">IFERROR(__xludf.DUMMYFUNCTION("""COMPUTED_VALUE"""),45457.6458333333)</f>
        <v>45457.645833333299</v>
      </c>
      <c r="V1586" s="6">
        <f ca="1">IFERROR(__xludf.DUMMYFUNCTION("""COMPUTED_VALUE"""),2758.42)</f>
        <v>2758.42</v>
      </c>
      <c r="Z1586" s="6" t="str">
        <f t="shared" ca="1" si="441"/>
        <v>20226</v>
      </c>
      <c r="AA1586" s="6">
        <f t="shared" ca="1" si="442"/>
        <v>2022</v>
      </c>
      <c r="AB1586" s="6">
        <f t="shared" ca="1" si="443"/>
        <v>6</v>
      </c>
      <c r="AC1586" s="68">
        <f ca="1">IFERROR(__xludf.DUMMYFUNCTION("""COMPUTED_VALUE"""),44735.9986111111)</f>
        <v>44735.998611111099</v>
      </c>
      <c r="AD1586" s="6">
        <f ca="1">IFERROR(__xludf.DUMMYFUNCTION("""COMPUTED_VALUE"""),1299.81)</f>
        <v>1299.81</v>
      </c>
      <c r="AH1586" s="6" t="str">
        <f t="shared" ca="1" si="444"/>
        <v>20224</v>
      </c>
      <c r="AI1586" s="6">
        <f t="shared" ca="1" si="445"/>
        <v>2022</v>
      </c>
      <c r="AJ1586" s="6">
        <f t="shared" ca="1" si="446"/>
        <v>4</v>
      </c>
      <c r="AK1586" s="68">
        <f ca="1">IFERROR(__xludf.DUMMYFUNCTION("""COMPUTED_VALUE"""),44679.9986111111)</f>
        <v>44679.998611111099</v>
      </c>
      <c r="AL1586" s="6">
        <f ca="1">IFERROR(__xludf.DUMMYFUNCTION("""COMPUTED_VALUE"""),39749.89)</f>
        <v>39749.89</v>
      </c>
      <c r="AP1586" s="6" t="str">
        <f t="shared" ca="1" si="447"/>
        <v>20244</v>
      </c>
      <c r="AQ1586" s="6">
        <f t="shared" ca="1" si="448"/>
        <v>2024</v>
      </c>
      <c r="AR1586" s="6">
        <f t="shared" ca="1" si="449"/>
        <v>4</v>
      </c>
      <c r="AS1586" s="68">
        <f ca="1">IFERROR(__xludf.DUMMYFUNCTION("""COMPUTED_VALUE"""),45408.9986111111)</f>
        <v>45408.998611111099</v>
      </c>
      <c r="AT1586" s="6">
        <f ca="1">IFERROR(__xludf.DUMMYFUNCTION("""COMPUTED_VALUE"""),2347.2)</f>
        <v>2347.1999999999998</v>
      </c>
    </row>
    <row r="1587" spans="2:46" x14ac:dyDescent="0.35">
      <c r="B1587" s="6" t="str">
        <f t="shared" ca="1" si="432"/>
        <v>20244</v>
      </c>
      <c r="C1587" s="6">
        <f t="shared" ca="1" si="433"/>
        <v>2024</v>
      </c>
      <c r="D1587" s="6">
        <f t="shared" ca="1" si="434"/>
        <v>4</v>
      </c>
      <c r="E1587" s="68">
        <f ca="1">IFERROR(__xludf.DUMMYFUNCTION("""COMPUTED_VALUE"""),45404.6666666666)</f>
        <v>45404.666666666599</v>
      </c>
      <c r="F1587" s="6">
        <f ca="1">IFERROR(__xludf.DUMMYFUNCTION("""COMPUTED_VALUE"""),5010.6)</f>
        <v>5010.6000000000004</v>
      </c>
      <c r="J1587" s="6" t="str">
        <f t="shared" ca="1" si="435"/>
        <v>20244</v>
      </c>
      <c r="K1587" s="6">
        <f t="shared" ca="1" si="436"/>
        <v>2024</v>
      </c>
      <c r="L1587" s="6">
        <f t="shared" ca="1" si="437"/>
        <v>4</v>
      </c>
      <c r="M1587" s="68">
        <f ca="1">IFERROR(__xludf.DUMMYFUNCTION("""COMPUTED_VALUE"""),45394.6666666666)</f>
        <v>45394.666666666599</v>
      </c>
      <c r="N1587" s="6">
        <f ca="1">IFERROR(__xludf.DUMMYFUNCTION("""COMPUTED_VALUE"""),16175.09)</f>
        <v>16175.09</v>
      </c>
      <c r="R1587" s="6" t="str">
        <f t="shared" ca="1" si="438"/>
        <v>20246</v>
      </c>
      <c r="S1587" s="6">
        <f t="shared" ca="1" si="439"/>
        <v>2024</v>
      </c>
      <c r="T1587" s="6">
        <f t="shared" ca="1" si="440"/>
        <v>6</v>
      </c>
      <c r="U1587" s="68">
        <f ca="1">IFERROR(__xludf.DUMMYFUNCTION("""COMPUTED_VALUE"""),45460.6458333333)</f>
        <v>45460.645833333299</v>
      </c>
      <c r="V1587" s="6">
        <f ca="1">IFERROR(__xludf.DUMMYFUNCTION("""COMPUTED_VALUE"""),2744.1)</f>
        <v>2744.1</v>
      </c>
      <c r="Z1587" s="6" t="str">
        <f t="shared" ca="1" si="441"/>
        <v>20226</v>
      </c>
      <c r="AA1587" s="6">
        <f t="shared" ca="1" si="442"/>
        <v>2022</v>
      </c>
      <c r="AB1587" s="6">
        <f t="shared" ca="1" si="443"/>
        <v>6</v>
      </c>
      <c r="AC1587" s="68">
        <f ca="1">IFERROR(__xludf.DUMMYFUNCTION("""COMPUTED_VALUE"""),44736.9986111111)</f>
        <v>44736.998611111099</v>
      </c>
      <c r="AD1587" s="6">
        <f ca="1">IFERROR(__xludf.DUMMYFUNCTION("""COMPUTED_VALUE"""),1288.8)</f>
        <v>1288.8</v>
      </c>
      <c r="AH1587" s="6" t="str">
        <f t="shared" ca="1" si="444"/>
        <v>20224</v>
      </c>
      <c r="AI1587" s="6">
        <f t="shared" ca="1" si="445"/>
        <v>2022</v>
      </c>
      <c r="AJ1587" s="6">
        <f t="shared" ca="1" si="446"/>
        <v>4</v>
      </c>
      <c r="AK1587" s="68">
        <f ca="1">IFERROR(__xludf.DUMMYFUNCTION("""COMPUTED_VALUE"""),44680.9986111111)</f>
        <v>44680.998611111099</v>
      </c>
      <c r="AL1587" s="6">
        <f ca="1">IFERROR(__xludf.DUMMYFUNCTION("""COMPUTED_VALUE"""),38586.69)</f>
        <v>38586.69</v>
      </c>
      <c r="AP1587" s="6" t="str">
        <f t="shared" ca="1" si="447"/>
        <v>20244</v>
      </c>
      <c r="AQ1587" s="6">
        <f t="shared" ca="1" si="448"/>
        <v>2024</v>
      </c>
      <c r="AR1587" s="6">
        <f t="shared" ca="1" si="449"/>
        <v>4</v>
      </c>
      <c r="AS1587" s="68">
        <f ca="1">IFERROR(__xludf.DUMMYFUNCTION("""COMPUTED_VALUE"""),45411.9986111111)</f>
        <v>45411.998611111099</v>
      </c>
      <c r="AT1587" s="6">
        <f ca="1">IFERROR(__xludf.DUMMYFUNCTION("""COMPUTED_VALUE"""),2357.7)</f>
        <v>2357.6999999999998</v>
      </c>
    </row>
    <row r="1588" spans="2:46" x14ac:dyDescent="0.35">
      <c r="B1588" s="6" t="str">
        <f t="shared" ca="1" si="432"/>
        <v>20244</v>
      </c>
      <c r="C1588" s="6">
        <f t="shared" ca="1" si="433"/>
        <v>2024</v>
      </c>
      <c r="D1588" s="6">
        <f t="shared" ca="1" si="434"/>
        <v>4</v>
      </c>
      <c r="E1588" s="68">
        <f ca="1">IFERROR(__xludf.DUMMYFUNCTION("""COMPUTED_VALUE"""),45405.6666666666)</f>
        <v>45405.666666666599</v>
      </c>
      <c r="F1588" s="6">
        <f ca="1">IFERROR(__xludf.DUMMYFUNCTION("""COMPUTED_VALUE"""),5070.55)</f>
        <v>5070.55</v>
      </c>
      <c r="J1588" s="6" t="str">
        <f t="shared" ca="1" si="435"/>
        <v>20244</v>
      </c>
      <c r="K1588" s="6">
        <f t="shared" ca="1" si="436"/>
        <v>2024</v>
      </c>
      <c r="L1588" s="6">
        <f t="shared" ca="1" si="437"/>
        <v>4</v>
      </c>
      <c r="M1588" s="68">
        <f ca="1">IFERROR(__xludf.DUMMYFUNCTION("""COMPUTED_VALUE"""),45397.6666666666)</f>
        <v>45397.666666666599</v>
      </c>
      <c r="N1588" s="6">
        <f ca="1">IFERROR(__xludf.DUMMYFUNCTION("""COMPUTED_VALUE"""),15885.02)</f>
        <v>15885.02</v>
      </c>
      <c r="R1588" s="6" t="str">
        <f t="shared" ca="1" si="438"/>
        <v>20246</v>
      </c>
      <c r="S1588" s="6">
        <f t="shared" ca="1" si="439"/>
        <v>2024</v>
      </c>
      <c r="T1588" s="6">
        <f t="shared" ca="1" si="440"/>
        <v>6</v>
      </c>
      <c r="U1588" s="68">
        <f ca="1">IFERROR(__xludf.DUMMYFUNCTION("""COMPUTED_VALUE"""),45461.6458333333)</f>
        <v>45461.645833333299</v>
      </c>
      <c r="V1588" s="6">
        <f ca="1">IFERROR(__xludf.DUMMYFUNCTION("""COMPUTED_VALUE"""),2763.92)</f>
        <v>2763.92</v>
      </c>
      <c r="Z1588" s="6" t="str">
        <f t="shared" ca="1" si="441"/>
        <v>20226</v>
      </c>
      <c r="AA1588" s="6">
        <f t="shared" ca="1" si="442"/>
        <v>2022</v>
      </c>
      <c r="AB1588" s="6">
        <f t="shared" ca="1" si="443"/>
        <v>6</v>
      </c>
      <c r="AC1588" s="68">
        <f ca="1">IFERROR(__xludf.DUMMYFUNCTION("""COMPUTED_VALUE"""),44737.9986111111)</f>
        <v>44737.998611111099</v>
      </c>
      <c r="AD1588" s="6">
        <f ca="1">IFERROR(__xludf.DUMMYFUNCTION("""COMPUTED_VALUE"""),1288.8)</f>
        <v>1288.8</v>
      </c>
      <c r="AH1588" s="6" t="str">
        <f t="shared" ca="1" si="444"/>
        <v>20224</v>
      </c>
      <c r="AI1588" s="6">
        <f t="shared" ca="1" si="445"/>
        <v>2022</v>
      </c>
      <c r="AJ1588" s="6">
        <f t="shared" ca="1" si="446"/>
        <v>4</v>
      </c>
      <c r="AK1588" s="68">
        <f ca="1">IFERROR(__xludf.DUMMYFUNCTION("""COMPUTED_VALUE"""),44681.9986111111)</f>
        <v>44681.998611111099</v>
      </c>
      <c r="AL1588" s="6">
        <f ca="1">IFERROR(__xludf.DUMMYFUNCTION("""COMPUTED_VALUE"""),37648.9)</f>
        <v>37648.9</v>
      </c>
      <c r="AP1588" s="6" t="str">
        <f t="shared" ca="1" si="447"/>
        <v>20244</v>
      </c>
      <c r="AQ1588" s="6">
        <f t="shared" ca="1" si="448"/>
        <v>2024</v>
      </c>
      <c r="AR1588" s="6">
        <f t="shared" ca="1" si="449"/>
        <v>4</v>
      </c>
      <c r="AS1588" s="68">
        <f ca="1">IFERROR(__xludf.DUMMYFUNCTION("""COMPUTED_VALUE"""),45412.9986111111)</f>
        <v>45412.998611111099</v>
      </c>
      <c r="AT1588" s="6">
        <f ca="1">IFERROR(__xludf.DUMMYFUNCTION("""COMPUTED_VALUE"""),2302.9)</f>
        <v>2302.9</v>
      </c>
    </row>
    <row r="1589" spans="2:46" x14ac:dyDescent="0.35">
      <c r="B1589" s="6" t="str">
        <f t="shared" ca="1" si="432"/>
        <v>20244</v>
      </c>
      <c r="C1589" s="6">
        <f t="shared" ca="1" si="433"/>
        <v>2024</v>
      </c>
      <c r="D1589" s="6">
        <f t="shared" ca="1" si="434"/>
        <v>4</v>
      </c>
      <c r="E1589" s="68">
        <f ca="1">IFERROR(__xludf.DUMMYFUNCTION("""COMPUTED_VALUE"""),45406.6666666666)</f>
        <v>45406.666666666599</v>
      </c>
      <c r="F1589" s="6">
        <f ca="1">IFERROR(__xludf.DUMMYFUNCTION("""COMPUTED_VALUE"""),5071.63)</f>
        <v>5071.63</v>
      </c>
      <c r="J1589" s="6" t="str">
        <f t="shared" ca="1" si="435"/>
        <v>20244</v>
      </c>
      <c r="K1589" s="6">
        <f t="shared" ca="1" si="436"/>
        <v>2024</v>
      </c>
      <c r="L1589" s="6">
        <f t="shared" ca="1" si="437"/>
        <v>4</v>
      </c>
      <c r="M1589" s="68">
        <f ca="1">IFERROR(__xludf.DUMMYFUNCTION("""COMPUTED_VALUE"""),45398.6666666666)</f>
        <v>45398.666666666599</v>
      </c>
      <c r="N1589" s="6">
        <f ca="1">IFERROR(__xludf.DUMMYFUNCTION("""COMPUTED_VALUE"""),15865.25)</f>
        <v>15865.25</v>
      </c>
      <c r="R1589" s="6" t="str">
        <f t="shared" ca="1" si="438"/>
        <v>20246</v>
      </c>
      <c r="S1589" s="6">
        <f t="shared" ca="1" si="439"/>
        <v>2024</v>
      </c>
      <c r="T1589" s="6">
        <f t="shared" ca="1" si="440"/>
        <v>6</v>
      </c>
      <c r="U1589" s="68">
        <f ca="1">IFERROR(__xludf.DUMMYFUNCTION("""COMPUTED_VALUE"""),45462.6458333333)</f>
        <v>45462.645833333299</v>
      </c>
      <c r="V1589" s="6">
        <f ca="1">IFERROR(__xludf.DUMMYFUNCTION("""COMPUTED_VALUE"""),2797.33)</f>
        <v>2797.33</v>
      </c>
      <c r="Z1589" s="6" t="str">
        <f t="shared" ca="1" si="441"/>
        <v>20226</v>
      </c>
      <c r="AA1589" s="6">
        <f t="shared" ca="1" si="442"/>
        <v>2022</v>
      </c>
      <c r="AB1589" s="6">
        <f t="shared" ca="1" si="443"/>
        <v>6</v>
      </c>
      <c r="AC1589" s="68">
        <f ca="1">IFERROR(__xludf.DUMMYFUNCTION("""COMPUTED_VALUE"""),44738.9986111111)</f>
        <v>44738.998611111099</v>
      </c>
      <c r="AD1589" s="6">
        <f ca="1">IFERROR(__xludf.DUMMYFUNCTION("""COMPUTED_VALUE"""),1288.29)</f>
        <v>1288.29</v>
      </c>
      <c r="AH1589" s="6" t="str">
        <f t="shared" ca="1" si="444"/>
        <v>20225</v>
      </c>
      <c r="AI1589" s="6">
        <f t="shared" ca="1" si="445"/>
        <v>2022</v>
      </c>
      <c r="AJ1589" s="6">
        <f t="shared" ca="1" si="446"/>
        <v>5</v>
      </c>
      <c r="AK1589" s="68">
        <f ca="1">IFERROR(__xludf.DUMMYFUNCTION("""COMPUTED_VALUE"""),44682.9986111111)</f>
        <v>44682.998611111099</v>
      </c>
      <c r="AL1589" s="6">
        <f ca="1">IFERROR(__xludf.DUMMYFUNCTION("""COMPUTED_VALUE"""),38481.88)</f>
        <v>38481.879999999997</v>
      </c>
      <c r="AP1589" s="6" t="str">
        <f t="shared" ca="1" si="447"/>
        <v>20245</v>
      </c>
      <c r="AQ1589" s="6">
        <f t="shared" ca="1" si="448"/>
        <v>2024</v>
      </c>
      <c r="AR1589" s="6">
        <f t="shared" ca="1" si="449"/>
        <v>5</v>
      </c>
      <c r="AS1589" s="68">
        <f ca="1">IFERROR(__xludf.DUMMYFUNCTION("""COMPUTED_VALUE"""),45413.9986111111)</f>
        <v>45413.998611111099</v>
      </c>
      <c r="AT1589" s="6">
        <f ca="1">IFERROR(__xludf.DUMMYFUNCTION("""COMPUTED_VALUE"""),2311)</f>
        <v>2311</v>
      </c>
    </row>
    <row r="1590" spans="2:46" x14ac:dyDescent="0.35">
      <c r="B1590" s="6" t="str">
        <f t="shared" ca="1" si="432"/>
        <v>20244</v>
      </c>
      <c r="C1590" s="6">
        <f t="shared" ca="1" si="433"/>
        <v>2024</v>
      </c>
      <c r="D1590" s="6">
        <f t="shared" ca="1" si="434"/>
        <v>4</v>
      </c>
      <c r="E1590" s="68">
        <f ca="1">IFERROR(__xludf.DUMMYFUNCTION("""COMPUTED_VALUE"""),45407.6666666666)</f>
        <v>45407.666666666599</v>
      </c>
      <c r="F1590" s="6">
        <f ca="1">IFERROR(__xludf.DUMMYFUNCTION("""COMPUTED_VALUE"""),5048.42)</f>
        <v>5048.42</v>
      </c>
      <c r="J1590" s="6" t="str">
        <f t="shared" ca="1" si="435"/>
        <v>20244</v>
      </c>
      <c r="K1590" s="6">
        <f t="shared" ca="1" si="436"/>
        <v>2024</v>
      </c>
      <c r="L1590" s="6">
        <f t="shared" ca="1" si="437"/>
        <v>4</v>
      </c>
      <c r="M1590" s="68">
        <f ca="1">IFERROR(__xludf.DUMMYFUNCTION("""COMPUTED_VALUE"""),45399.6666666666)</f>
        <v>45399.666666666599</v>
      </c>
      <c r="N1590" s="6">
        <f ca="1">IFERROR(__xludf.DUMMYFUNCTION("""COMPUTED_VALUE"""),15683.37)</f>
        <v>15683.37</v>
      </c>
      <c r="R1590" s="6" t="str">
        <f t="shared" ca="1" si="438"/>
        <v>20246</v>
      </c>
      <c r="S1590" s="6">
        <f t="shared" ca="1" si="439"/>
        <v>2024</v>
      </c>
      <c r="T1590" s="6">
        <f t="shared" ca="1" si="440"/>
        <v>6</v>
      </c>
      <c r="U1590" s="68">
        <f ca="1">IFERROR(__xludf.DUMMYFUNCTION("""COMPUTED_VALUE"""),45463.6458333333)</f>
        <v>45463.645833333299</v>
      </c>
      <c r="V1590" s="6">
        <f ca="1">IFERROR(__xludf.DUMMYFUNCTION("""COMPUTED_VALUE"""),2807.63)</f>
        <v>2807.63</v>
      </c>
      <c r="Z1590" s="6" t="str">
        <f t="shared" ca="1" si="441"/>
        <v>20226</v>
      </c>
      <c r="AA1590" s="6">
        <f t="shared" ca="1" si="442"/>
        <v>2022</v>
      </c>
      <c r="AB1590" s="6">
        <f t="shared" ca="1" si="443"/>
        <v>6</v>
      </c>
      <c r="AC1590" s="68">
        <f ca="1">IFERROR(__xludf.DUMMYFUNCTION("""COMPUTED_VALUE"""),44739.9986111111)</f>
        <v>44739.998611111099</v>
      </c>
      <c r="AD1590" s="6">
        <f ca="1">IFERROR(__xludf.DUMMYFUNCTION("""COMPUTED_VALUE"""),1286.2)</f>
        <v>1286.2</v>
      </c>
      <c r="AH1590" s="6" t="str">
        <f t="shared" ca="1" si="444"/>
        <v>20225</v>
      </c>
      <c r="AI1590" s="6">
        <f t="shared" ca="1" si="445"/>
        <v>2022</v>
      </c>
      <c r="AJ1590" s="6">
        <f t="shared" ca="1" si="446"/>
        <v>5</v>
      </c>
      <c r="AK1590" s="68">
        <f ca="1">IFERROR(__xludf.DUMMYFUNCTION("""COMPUTED_VALUE"""),44683.9986111111)</f>
        <v>44683.998611111099</v>
      </c>
      <c r="AL1590" s="6">
        <f ca="1">IFERROR(__xludf.DUMMYFUNCTION("""COMPUTED_VALUE"""),38508.14)</f>
        <v>38508.14</v>
      </c>
      <c r="AP1590" s="6" t="str">
        <f t="shared" ca="1" si="447"/>
        <v>20245</v>
      </c>
      <c r="AQ1590" s="6">
        <f t="shared" ca="1" si="448"/>
        <v>2024</v>
      </c>
      <c r="AR1590" s="6">
        <f t="shared" ca="1" si="449"/>
        <v>5</v>
      </c>
      <c r="AS1590" s="68">
        <f ca="1">IFERROR(__xludf.DUMMYFUNCTION("""COMPUTED_VALUE"""),45414.9986111111)</f>
        <v>45414.998611111099</v>
      </c>
      <c r="AT1590" s="6">
        <f ca="1">IFERROR(__xludf.DUMMYFUNCTION("""COMPUTED_VALUE"""),2309.6)</f>
        <v>2309.6</v>
      </c>
    </row>
    <row r="1591" spans="2:46" x14ac:dyDescent="0.35">
      <c r="B1591" s="6" t="str">
        <f t="shared" ca="1" si="432"/>
        <v>20244</v>
      </c>
      <c r="C1591" s="6">
        <f t="shared" ca="1" si="433"/>
        <v>2024</v>
      </c>
      <c r="D1591" s="6">
        <f t="shared" ca="1" si="434"/>
        <v>4</v>
      </c>
      <c r="E1591" s="68">
        <f ca="1">IFERROR(__xludf.DUMMYFUNCTION("""COMPUTED_VALUE"""),45408.6666666666)</f>
        <v>45408.666666666599</v>
      </c>
      <c r="F1591" s="6">
        <f ca="1">IFERROR(__xludf.DUMMYFUNCTION("""COMPUTED_VALUE"""),5099.96)</f>
        <v>5099.96</v>
      </c>
      <c r="J1591" s="6" t="str">
        <f t="shared" ca="1" si="435"/>
        <v>20244</v>
      </c>
      <c r="K1591" s="6">
        <f t="shared" ca="1" si="436"/>
        <v>2024</v>
      </c>
      <c r="L1591" s="6">
        <f t="shared" ca="1" si="437"/>
        <v>4</v>
      </c>
      <c r="M1591" s="68">
        <f ca="1">IFERROR(__xludf.DUMMYFUNCTION("""COMPUTED_VALUE"""),45400.6666666666)</f>
        <v>45400.666666666599</v>
      </c>
      <c r="N1591" s="6">
        <f ca="1">IFERROR(__xludf.DUMMYFUNCTION("""COMPUTED_VALUE"""),15601.5)</f>
        <v>15601.5</v>
      </c>
      <c r="R1591" s="6" t="str">
        <f t="shared" ca="1" si="438"/>
        <v>20246</v>
      </c>
      <c r="S1591" s="6">
        <f t="shared" ca="1" si="439"/>
        <v>2024</v>
      </c>
      <c r="T1591" s="6">
        <f t="shared" ca="1" si="440"/>
        <v>6</v>
      </c>
      <c r="U1591" s="68">
        <f ca="1">IFERROR(__xludf.DUMMYFUNCTION("""COMPUTED_VALUE"""),45464.6458333333)</f>
        <v>45464.645833333299</v>
      </c>
      <c r="V1591" s="6">
        <f ca="1">IFERROR(__xludf.DUMMYFUNCTION("""COMPUTED_VALUE"""),2784.26)</f>
        <v>2784.26</v>
      </c>
      <c r="Z1591" s="6" t="str">
        <f t="shared" ca="1" si="441"/>
        <v>20226</v>
      </c>
      <c r="AA1591" s="6">
        <f t="shared" ca="1" si="442"/>
        <v>2022</v>
      </c>
      <c r="AB1591" s="6">
        <f t="shared" ca="1" si="443"/>
        <v>6</v>
      </c>
      <c r="AC1591" s="68">
        <f ca="1">IFERROR(__xludf.DUMMYFUNCTION("""COMPUTED_VALUE"""),44740.9986111111)</f>
        <v>44740.998611111099</v>
      </c>
      <c r="AD1591" s="6">
        <f ca="1">IFERROR(__xludf.DUMMYFUNCTION("""COMPUTED_VALUE"""),1292.03)</f>
        <v>1292.03</v>
      </c>
      <c r="AH1591" s="6" t="str">
        <f t="shared" ca="1" si="444"/>
        <v>20225</v>
      </c>
      <c r="AI1591" s="6">
        <f t="shared" ca="1" si="445"/>
        <v>2022</v>
      </c>
      <c r="AJ1591" s="6">
        <f t="shared" ca="1" si="446"/>
        <v>5</v>
      </c>
      <c r="AK1591" s="68">
        <f ca="1">IFERROR(__xludf.DUMMYFUNCTION("""COMPUTED_VALUE"""),44684.9986111111)</f>
        <v>44684.998611111099</v>
      </c>
      <c r="AL1591" s="6">
        <f ca="1">IFERROR(__xludf.DUMMYFUNCTION("""COMPUTED_VALUE"""),37719.81)</f>
        <v>37719.81</v>
      </c>
      <c r="AP1591" s="6" t="str">
        <f t="shared" ca="1" si="447"/>
        <v>20245</v>
      </c>
      <c r="AQ1591" s="6">
        <f t="shared" ca="1" si="448"/>
        <v>2024</v>
      </c>
      <c r="AR1591" s="6">
        <f t="shared" ca="1" si="449"/>
        <v>5</v>
      </c>
      <c r="AS1591" s="68">
        <f ca="1">IFERROR(__xludf.DUMMYFUNCTION("""COMPUTED_VALUE"""),45415.9986111111)</f>
        <v>45415.998611111099</v>
      </c>
      <c r="AT1591" s="6">
        <f ca="1">IFERROR(__xludf.DUMMYFUNCTION("""COMPUTED_VALUE"""),2308.6)</f>
        <v>2308.6</v>
      </c>
    </row>
    <row r="1592" spans="2:46" x14ac:dyDescent="0.35">
      <c r="B1592" s="6" t="str">
        <f t="shared" ca="1" si="432"/>
        <v>20244</v>
      </c>
      <c r="C1592" s="6">
        <f t="shared" ca="1" si="433"/>
        <v>2024</v>
      </c>
      <c r="D1592" s="6">
        <f t="shared" ca="1" si="434"/>
        <v>4</v>
      </c>
      <c r="E1592" s="68">
        <f ca="1">IFERROR(__xludf.DUMMYFUNCTION("""COMPUTED_VALUE"""),45411.6666666666)</f>
        <v>45411.666666666599</v>
      </c>
      <c r="F1592" s="6">
        <f ca="1">IFERROR(__xludf.DUMMYFUNCTION("""COMPUTED_VALUE"""),5116.17)</f>
        <v>5116.17</v>
      </c>
      <c r="J1592" s="6" t="str">
        <f t="shared" ca="1" si="435"/>
        <v>20244</v>
      </c>
      <c r="K1592" s="6">
        <f t="shared" ca="1" si="436"/>
        <v>2024</v>
      </c>
      <c r="L1592" s="6">
        <f t="shared" ca="1" si="437"/>
        <v>4</v>
      </c>
      <c r="M1592" s="68">
        <f ca="1">IFERROR(__xludf.DUMMYFUNCTION("""COMPUTED_VALUE"""),45401.6666666666)</f>
        <v>45401.666666666599</v>
      </c>
      <c r="N1592" s="6">
        <f ca="1">IFERROR(__xludf.DUMMYFUNCTION("""COMPUTED_VALUE"""),15282.01)</f>
        <v>15282.01</v>
      </c>
      <c r="R1592" s="6" t="str">
        <f t="shared" ca="1" si="438"/>
        <v>20246</v>
      </c>
      <c r="S1592" s="6">
        <f t="shared" ca="1" si="439"/>
        <v>2024</v>
      </c>
      <c r="T1592" s="6">
        <f t="shared" ca="1" si="440"/>
        <v>6</v>
      </c>
      <c r="U1592" s="68">
        <f ca="1">IFERROR(__xludf.DUMMYFUNCTION("""COMPUTED_VALUE"""),45467.6458333333)</f>
        <v>45467.645833333299</v>
      </c>
      <c r="V1592" s="6">
        <f ca="1">IFERROR(__xludf.DUMMYFUNCTION("""COMPUTED_VALUE"""),2764.73)</f>
        <v>2764.73</v>
      </c>
      <c r="Z1592" s="6" t="str">
        <f t="shared" ca="1" si="441"/>
        <v>20226</v>
      </c>
      <c r="AA1592" s="6">
        <f t="shared" ca="1" si="442"/>
        <v>2022</v>
      </c>
      <c r="AB1592" s="6">
        <f t="shared" ca="1" si="443"/>
        <v>6</v>
      </c>
      <c r="AC1592" s="68">
        <f ca="1">IFERROR(__xludf.DUMMYFUNCTION("""COMPUTED_VALUE"""),44741.9986111111)</f>
        <v>44741.998611111099</v>
      </c>
      <c r="AD1592" s="6">
        <f ca="1">IFERROR(__xludf.DUMMYFUNCTION("""COMPUTED_VALUE"""),1301.73)</f>
        <v>1301.73</v>
      </c>
      <c r="AH1592" s="6" t="str">
        <f t="shared" ca="1" si="444"/>
        <v>20225</v>
      </c>
      <c r="AI1592" s="6">
        <f t="shared" ca="1" si="445"/>
        <v>2022</v>
      </c>
      <c r="AJ1592" s="6">
        <f t="shared" ca="1" si="446"/>
        <v>5</v>
      </c>
      <c r="AK1592" s="68">
        <f ca="1">IFERROR(__xludf.DUMMYFUNCTION("""COMPUTED_VALUE"""),44685.9986111111)</f>
        <v>44685.998611111099</v>
      </c>
      <c r="AL1592" s="6">
        <f ca="1">IFERROR(__xludf.DUMMYFUNCTION("""COMPUTED_VALUE"""),39680.81)</f>
        <v>39680.81</v>
      </c>
      <c r="AP1592" s="6" t="str">
        <f t="shared" ca="1" si="447"/>
        <v>20245</v>
      </c>
      <c r="AQ1592" s="6">
        <f t="shared" ca="1" si="448"/>
        <v>2024</v>
      </c>
      <c r="AR1592" s="6">
        <f t="shared" ca="1" si="449"/>
        <v>5</v>
      </c>
      <c r="AS1592" s="68">
        <f ca="1">IFERROR(__xludf.DUMMYFUNCTION("""COMPUTED_VALUE"""),45418.9986111111)</f>
        <v>45418.998611111099</v>
      </c>
      <c r="AT1592" s="6">
        <f ca="1">IFERROR(__xludf.DUMMYFUNCTION("""COMPUTED_VALUE"""),2331.2)</f>
        <v>2331.1999999999998</v>
      </c>
    </row>
    <row r="1593" spans="2:46" x14ac:dyDescent="0.35">
      <c r="B1593" s="6" t="str">
        <f t="shared" ca="1" si="432"/>
        <v>20244</v>
      </c>
      <c r="C1593" s="6">
        <f t="shared" ca="1" si="433"/>
        <v>2024</v>
      </c>
      <c r="D1593" s="6">
        <f t="shared" ca="1" si="434"/>
        <v>4</v>
      </c>
      <c r="E1593" s="68">
        <f ca="1">IFERROR(__xludf.DUMMYFUNCTION("""COMPUTED_VALUE"""),45412.6666666666)</f>
        <v>45412.666666666599</v>
      </c>
      <c r="F1593" s="6">
        <f ca="1">IFERROR(__xludf.DUMMYFUNCTION("""COMPUTED_VALUE"""),5035.69)</f>
        <v>5035.6899999999996</v>
      </c>
      <c r="J1593" s="6" t="str">
        <f t="shared" ca="1" si="435"/>
        <v>20244</v>
      </c>
      <c r="K1593" s="6">
        <f t="shared" ca="1" si="436"/>
        <v>2024</v>
      </c>
      <c r="L1593" s="6">
        <f t="shared" ca="1" si="437"/>
        <v>4</v>
      </c>
      <c r="M1593" s="68">
        <f ca="1">IFERROR(__xludf.DUMMYFUNCTION("""COMPUTED_VALUE"""),45404.6666666666)</f>
        <v>45404.666666666599</v>
      </c>
      <c r="N1593" s="6">
        <f ca="1">IFERROR(__xludf.DUMMYFUNCTION("""COMPUTED_VALUE"""),15451.31)</f>
        <v>15451.31</v>
      </c>
      <c r="R1593" s="6" t="str">
        <f t="shared" ca="1" si="438"/>
        <v>20246</v>
      </c>
      <c r="S1593" s="6">
        <f t="shared" ca="1" si="439"/>
        <v>2024</v>
      </c>
      <c r="T1593" s="6">
        <f t="shared" ca="1" si="440"/>
        <v>6</v>
      </c>
      <c r="U1593" s="68">
        <f ca="1">IFERROR(__xludf.DUMMYFUNCTION("""COMPUTED_VALUE"""),45468.6458333333)</f>
        <v>45468.645833333299</v>
      </c>
      <c r="V1593" s="6">
        <f ca="1">IFERROR(__xludf.DUMMYFUNCTION("""COMPUTED_VALUE"""),2774.39)</f>
        <v>2774.39</v>
      </c>
      <c r="Z1593" s="6" t="str">
        <f t="shared" ca="1" si="441"/>
        <v>20226</v>
      </c>
      <c r="AA1593" s="6">
        <f t="shared" ca="1" si="442"/>
        <v>2022</v>
      </c>
      <c r="AB1593" s="6">
        <f t="shared" ca="1" si="443"/>
        <v>6</v>
      </c>
      <c r="AC1593" s="68">
        <f ca="1">IFERROR(__xludf.DUMMYFUNCTION("""COMPUTED_VALUE"""),44742.9986111111)</f>
        <v>44742.998611111099</v>
      </c>
      <c r="AD1593" s="6">
        <f ca="1">IFERROR(__xludf.DUMMYFUNCTION("""COMPUTED_VALUE"""),1287.71)</f>
        <v>1287.71</v>
      </c>
      <c r="AH1593" s="6" t="str">
        <f t="shared" ca="1" si="444"/>
        <v>20225</v>
      </c>
      <c r="AI1593" s="6">
        <f t="shared" ca="1" si="445"/>
        <v>2022</v>
      </c>
      <c r="AJ1593" s="6">
        <f t="shared" ca="1" si="446"/>
        <v>5</v>
      </c>
      <c r="AK1593" s="68">
        <f ca="1">IFERROR(__xludf.DUMMYFUNCTION("""COMPUTED_VALUE"""),44686.9986111111)</f>
        <v>44686.998611111099</v>
      </c>
      <c r="AL1593" s="6">
        <f ca="1">IFERROR(__xludf.DUMMYFUNCTION("""COMPUTED_VALUE"""),36544.63)</f>
        <v>36544.629999999997</v>
      </c>
      <c r="AP1593" s="6" t="str">
        <f t="shared" ca="1" si="447"/>
        <v>20245</v>
      </c>
      <c r="AQ1593" s="6">
        <f t="shared" ca="1" si="448"/>
        <v>2024</v>
      </c>
      <c r="AR1593" s="6">
        <f t="shared" ca="1" si="449"/>
        <v>5</v>
      </c>
      <c r="AS1593" s="68">
        <f ca="1">IFERROR(__xludf.DUMMYFUNCTION("""COMPUTED_VALUE"""),45419.9986111111)</f>
        <v>45419.998611111099</v>
      </c>
      <c r="AT1593" s="6">
        <f ca="1">IFERROR(__xludf.DUMMYFUNCTION("""COMPUTED_VALUE"""),2324.2)</f>
        <v>2324.1999999999998</v>
      </c>
    </row>
    <row r="1594" spans="2:46" x14ac:dyDescent="0.35">
      <c r="B1594" s="6" t="str">
        <f t="shared" ca="1" si="432"/>
        <v>20245</v>
      </c>
      <c r="C1594" s="6">
        <f t="shared" ca="1" si="433"/>
        <v>2024</v>
      </c>
      <c r="D1594" s="6">
        <f t="shared" ca="1" si="434"/>
        <v>5</v>
      </c>
      <c r="E1594" s="68">
        <f ca="1">IFERROR(__xludf.DUMMYFUNCTION("""COMPUTED_VALUE"""),45413.6666666666)</f>
        <v>45413.666666666599</v>
      </c>
      <c r="F1594" s="6">
        <f ca="1">IFERROR(__xludf.DUMMYFUNCTION("""COMPUTED_VALUE"""),5018.39)</f>
        <v>5018.3900000000003</v>
      </c>
      <c r="J1594" s="6" t="str">
        <f t="shared" ca="1" si="435"/>
        <v>20244</v>
      </c>
      <c r="K1594" s="6">
        <f t="shared" ca="1" si="436"/>
        <v>2024</v>
      </c>
      <c r="L1594" s="6">
        <f t="shared" ca="1" si="437"/>
        <v>4</v>
      </c>
      <c r="M1594" s="68">
        <f ca="1">IFERROR(__xludf.DUMMYFUNCTION("""COMPUTED_VALUE"""),45405.6666666666)</f>
        <v>45405.666666666599</v>
      </c>
      <c r="N1594" s="6">
        <f ca="1">IFERROR(__xludf.DUMMYFUNCTION("""COMPUTED_VALUE"""),15696.64)</f>
        <v>15696.64</v>
      </c>
      <c r="R1594" s="6" t="str">
        <f t="shared" ca="1" si="438"/>
        <v>20246</v>
      </c>
      <c r="S1594" s="6">
        <f t="shared" ca="1" si="439"/>
        <v>2024</v>
      </c>
      <c r="T1594" s="6">
        <f t="shared" ca="1" si="440"/>
        <v>6</v>
      </c>
      <c r="U1594" s="68">
        <f ca="1">IFERROR(__xludf.DUMMYFUNCTION("""COMPUTED_VALUE"""),45469.6458333333)</f>
        <v>45469.645833333299</v>
      </c>
      <c r="V1594" s="6">
        <f ca="1">IFERROR(__xludf.DUMMYFUNCTION("""COMPUTED_VALUE"""),2792.05)</f>
        <v>2792.05</v>
      </c>
      <c r="Z1594" s="6" t="str">
        <f t="shared" ca="1" si="441"/>
        <v>20227</v>
      </c>
      <c r="AA1594" s="6">
        <f t="shared" ca="1" si="442"/>
        <v>2022</v>
      </c>
      <c r="AB1594" s="6">
        <f t="shared" ca="1" si="443"/>
        <v>7</v>
      </c>
      <c r="AC1594" s="68">
        <f ca="1">IFERROR(__xludf.DUMMYFUNCTION("""COMPUTED_VALUE"""),44743.9986111111)</f>
        <v>44743.998611111099</v>
      </c>
      <c r="AD1594" s="6">
        <f ca="1">IFERROR(__xludf.DUMMYFUNCTION("""COMPUTED_VALUE"""),1297.79)</f>
        <v>1297.79</v>
      </c>
      <c r="AH1594" s="6" t="str">
        <f t="shared" ca="1" si="444"/>
        <v>20225</v>
      </c>
      <c r="AI1594" s="6">
        <f t="shared" ca="1" si="445"/>
        <v>2022</v>
      </c>
      <c r="AJ1594" s="6">
        <f t="shared" ca="1" si="446"/>
        <v>5</v>
      </c>
      <c r="AK1594" s="68">
        <f ca="1">IFERROR(__xludf.DUMMYFUNCTION("""COMPUTED_VALUE"""),44687.9986111111)</f>
        <v>44687.998611111099</v>
      </c>
      <c r="AL1594" s="6">
        <f ca="1">IFERROR(__xludf.DUMMYFUNCTION("""COMPUTED_VALUE"""),36008.08)</f>
        <v>36008.080000000002</v>
      </c>
      <c r="AP1594" s="6" t="str">
        <f t="shared" ca="1" si="447"/>
        <v>20245</v>
      </c>
      <c r="AQ1594" s="6">
        <f t="shared" ca="1" si="448"/>
        <v>2024</v>
      </c>
      <c r="AR1594" s="6">
        <f t="shared" ca="1" si="449"/>
        <v>5</v>
      </c>
      <c r="AS1594" s="68">
        <f ca="1">IFERROR(__xludf.DUMMYFUNCTION("""COMPUTED_VALUE"""),45420.9986111111)</f>
        <v>45420.998611111099</v>
      </c>
      <c r="AT1594" s="6">
        <f ca="1">IFERROR(__xludf.DUMMYFUNCTION("""COMPUTED_VALUE"""),2322.3)</f>
        <v>2322.3000000000002</v>
      </c>
    </row>
    <row r="1595" spans="2:46" x14ac:dyDescent="0.35">
      <c r="B1595" s="6" t="str">
        <f t="shared" ca="1" si="432"/>
        <v>20245</v>
      </c>
      <c r="C1595" s="6">
        <f t="shared" ca="1" si="433"/>
        <v>2024</v>
      </c>
      <c r="D1595" s="6">
        <f t="shared" ca="1" si="434"/>
        <v>5</v>
      </c>
      <c r="E1595" s="68">
        <f ca="1">IFERROR(__xludf.DUMMYFUNCTION("""COMPUTED_VALUE"""),45414.6666666666)</f>
        <v>45414.666666666599</v>
      </c>
      <c r="F1595" s="6">
        <f ca="1">IFERROR(__xludf.DUMMYFUNCTION("""COMPUTED_VALUE"""),5064.2)</f>
        <v>5064.2</v>
      </c>
      <c r="J1595" s="6" t="str">
        <f t="shared" ca="1" si="435"/>
        <v>20244</v>
      </c>
      <c r="K1595" s="6">
        <f t="shared" ca="1" si="436"/>
        <v>2024</v>
      </c>
      <c r="L1595" s="6">
        <f t="shared" ca="1" si="437"/>
        <v>4</v>
      </c>
      <c r="M1595" s="68">
        <f ca="1">IFERROR(__xludf.DUMMYFUNCTION("""COMPUTED_VALUE"""),45406.6666666666)</f>
        <v>45406.666666666599</v>
      </c>
      <c r="N1595" s="6">
        <f ca="1">IFERROR(__xludf.DUMMYFUNCTION("""COMPUTED_VALUE"""),15712.75)</f>
        <v>15712.75</v>
      </c>
      <c r="R1595" s="6" t="str">
        <f t="shared" ca="1" si="438"/>
        <v>20246</v>
      </c>
      <c r="S1595" s="6">
        <f t="shared" ca="1" si="439"/>
        <v>2024</v>
      </c>
      <c r="T1595" s="6">
        <f t="shared" ca="1" si="440"/>
        <v>6</v>
      </c>
      <c r="U1595" s="68">
        <f ca="1">IFERROR(__xludf.DUMMYFUNCTION("""COMPUTED_VALUE"""),45470.6458333333)</f>
        <v>45470.645833333299</v>
      </c>
      <c r="V1595" s="6">
        <f ca="1">IFERROR(__xludf.DUMMYFUNCTION("""COMPUTED_VALUE"""),2784.06)</f>
        <v>2784.06</v>
      </c>
      <c r="Z1595" s="6" t="str">
        <f t="shared" ca="1" si="441"/>
        <v>20227</v>
      </c>
      <c r="AA1595" s="6">
        <f t="shared" ca="1" si="442"/>
        <v>2022</v>
      </c>
      <c r="AB1595" s="6">
        <f t="shared" ca="1" si="443"/>
        <v>7</v>
      </c>
      <c r="AC1595" s="68">
        <f ca="1">IFERROR(__xludf.DUMMYFUNCTION("""COMPUTED_VALUE"""),44744.9986111111)</f>
        <v>44744.998611111099</v>
      </c>
      <c r="AD1595" s="6">
        <f ca="1">IFERROR(__xludf.DUMMYFUNCTION("""COMPUTED_VALUE"""),1297.79)</f>
        <v>1297.79</v>
      </c>
      <c r="AH1595" s="6" t="str">
        <f t="shared" ca="1" si="444"/>
        <v>20225</v>
      </c>
      <c r="AI1595" s="6">
        <f t="shared" ca="1" si="445"/>
        <v>2022</v>
      </c>
      <c r="AJ1595" s="6">
        <f t="shared" ca="1" si="446"/>
        <v>5</v>
      </c>
      <c r="AK1595" s="68">
        <f ca="1">IFERROR(__xludf.DUMMYFUNCTION("""COMPUTED_VALUE"""),44688.9986111111)</f>
        <v>44688.998611111099</v>
      </c>
      <c r="AL1595" s="6">
        <f ca="1">IFERROR(__xludf.DUMMYFUNCTION("""COMPUTED_VALUE"""),35468.61)</f>
        <v>35468.61</v>
      </c>
      <c r="AP1595" s="6" t="str">
        <f t="shared" ca="1" si="447"/>
        <v>20245</v>
      </c>
      <c r="AQ1595" s="6">
        <f t="shared" ca="1" si="448"/>
        <v>2024</v>
      </c>
      <c r="AR1595" s="6">
        <f t="shared" ca="1" si="449"/>
        <v>5</v>
      </c>
      <c r="AS1595" s="68">
        <f ca="1">IFERROR(__xludf.DUMMYFUNCTION("""COMPUTED_VALUE"""),45421.9986111111)</f>
        <v>45421.998611111099</v>
      </c>
      <c r="AT1595" s="6">
        <f ca="1">IFERROR(__xludf.DUMMYFUNCTION("""COMPUTED_VALUE"""),2340.3)</f>
        <v>2340.3000000000002</v>
      </c>
    </row>
    <row r="1596" spans="2:46" x14ac:dyDescent="0.35">
      <c r="B1596" s="6" t="str">
        <f t="shared" ca="1" si="432"/>
        <v>20245</v>
      </c>
      <c r="C1596" s="6">
        <f t="shared" ca="1" si="433"/>
        <v>2024</v>
      </c>
      <c r="D1596" s="6">
        <f t="shared" ca="1" si="434"/>
        <v>5</v>
      </c>
      <c r="E1596" s="68">
        <f ca="1">IFERROR(__xludf.DUMMYFUNCTION("""COMPUTED_VALUE"""),45415.6666666666)</f>
        <v>45415.666666666599</v>
      </c>
      <c r="F1596" s="6">
        <f ca="1">IFERROR(__xludf.DUMMYFUNCTION("""COMPUTED_VALUE"""),5127.79)</f>
        <v>5127.79</v>
      </c>
      <c r="J1596" s="6" t="str">
        <f t="shared" ca="1" si="435"/>
        <v>20244</v>
      </c>
      <c r="K1596" s="6">
        <f t="shared" ca="1" si="436"/>
        <v>2024</v>
      </c>
      <c r="L1596" s="6">
        <f t="shared" ca="1" si="437"/>
        <v>4</v>
      </c>
      <c r="M1596" s="68">
        <f ca="1">IFERROR(__xludf.DUMMYFUNCTION("""COMPUTED_VALUE"""),45407.6666666666)</f>
        <v>45407.666666666599</v>
      </c>
      <c r="N1596" s="6">
        <f ca="1">IFERROR(__xludf.DUMMYFUNCTION("""COMPUTED_VALUE"""),15611.76)</f>
        <v>15611.76</v>
      </c>
      <c r="R1596" s="6" t="str">
        <f t="shared" ca="1" si="438"/>
        <v>20246</v>
      </c>
      <c r="S1596" s="6">
        <f t="shared" ca="1" si="439"/>
        <v>2024</v>
      </c>
      <c r="T1596" s="6">
        <f t="shared" ca="1" si="440"/>
        <v>6</v>
      </c>
      <c r="U1596" s="68">
        <f ca="1">IFERROR(__xludf.DUMMYFUNCTION("""COMPUTED_VALUE"""),45471.6458333333)</f>
        <v>45471.645833333299</v>
      </c>
      <c r="V1596" s="6">
        <f ca="1">IFERROR(__xludf.DUMMYFUNCTION("""COMPUTED_VALUE"""),2797.82)</f>
        <v>2797.82</v>
      </c>
      <c r="Z1596" s="6" t="str">
        <f t="shared" ca="1" si="441"/>
        <v>20227</v>
      </c>
      <c r="AA1596" s="6">
        <f t="shared" ca="1" si="442"/>
        <v>2022</v>
      </c>
      <c r="AB1596" s="6">
        <f t="shared" ca="1" si="443"/>
        <v>7</v>
      </c>
      <c r="AC1596" s="68">
        <f ca="1">IFERROR(__xludf.DUMMYFUNCTION("""COMPUTED_VALUE"""),44745.9986111111)</f>
        <v>44745.998611111099</v>
      </c>
      <c r="AD1596" s="6">
        <f ca="1">IFERROR(__xludf.DUMMYFUNCTION("""COMPUTED_VALUE"""),1297.89)</f>
        <v>1297.8900000000001</v>
      </c>
      <c r="AH1596" s="6" t="str">
        <f t="shared" ca="1" si="444"/>
        <v>20225</v>
      </c>
      <c r="AI1596" s="6">
        <f t="shared" ca="1" si="445"/>
        <v>2022</v>
      </c>
      <c r="AJ1596" s="6">
        <f t="shared" ca="1" si="446"/>
        <v>5</v>
      </c>
      <c r="AK1596" s="68">
        <f ca="1">IFERROR(__xludf.DUMMYFUNCTION("""COMPUTED_VALUE"""),44689.9986111111)</f>
        <v>44689.998611111099</v>
      </c>
      <c r="AL1596" s="6">
        <f ca="1">IFERROR(__xludf.DUMMYFUNCTION("""COMPUTED_VALUE"""),34036.79)</f>
        <v>34036.79</v>
      </c>
      <c r="AP1596" s="6" t="str">
        <f t="shared" ca="1" si="447"/>
        <v>20245</v>
      </c>
      <c r="AQ1596" s="6">
        <f t="shared" ca="1" si="448"/>
        <v>2024</v>
      </c>
      <c r="AR1596" s="6">
        <f t="shared" ca="1" si="449"/>
        <v>5</v>
      </c>
      <c r="AS1596" s="68">
        <f ca="1">IFERROR(__xludf.DUMMYFUNCTION("""COMPUTED_VALUE"""),45422.9986111111)</f>
        <v>45422.998611111099</v>
      </c>
      <c r="AT1596" s="6">
        <f ca="1">IFERROR(__xludf.DUMMYFUNCTION("""COMPUTED_VALUE"""),2375)</f>
        <v>2375</v>
      </c>
    </row>
    <row r="1597" spans="2:46" x14ac:dyDescent="0.35">
      <c r="B1597" s="6" t="str">
        <f t="shared" ca="1" si="432"/>
        <v>20245</v>
      </c>
      <c r="C1597" s="6">
        <f t="shared" ca="1" si="433"/>
        <v>2024</v>
      </c>
      <c r="D1597" s="6">
        <f t="shared" ca="1" si="434"/>
        <v>5</v>
      </c>
      <c r="E1597" s="68">
        <f ca="1">IFERROR(__xludf.DUMMYFUNCTION("""COMPUTED_VALUE"""),45418.6666666666)</f>
        <v>45418.666666666599</v>
      </c>
      <c r="F1597" s="6">
        <f ca="1">IFERROR(__xludf.DUMMYFUNCTION("""COMPUTED_VALUE"""),5180.74)</f>
        <v>5180.74</v>
      </c>
      <c r="J1597" s="6" t="str">
        <f t="shared" ca="1" si="435"/>
        <v>20244</v>
      </c>
      <c r="K1597" s="6">
        <f t="shared" ca="1" si="436"/>
        <v>2024</v>
      </c>
      <c r="L1597" s="6">
        <f t="shared" ca="1" si="437"/>
        <v>4</v>
      </c>
      <c r="M1597" s="68">
        <f ca="1">IFERROR(__xludf.DUMMYFUNCTION("""COMPUTED_VALUE"""),45408.6666666666)</f>
        <v>45408.666666666599</v>
      </c>
      <c r="N1597" s="6">
        <f ca="1">IFERROR(__xludf.DUMMYFUNCTION("""COMPUTED_VALUE"""),15927.9)</f>
        <v>15927.9</v>
      </c>
      <c r="R1597" s="6" t="str">
        <f t="shared" ca="1" si="438"/>
        <v>20247</v>
      </c>
      <c r="S1597" s="6">
        <f t="shared" ca="1" si="439"/>
        <v>2024</v>
      </c>
      <c r="T1597" s="6">
        <f t="shared" ca="1" si="440"/>
        <v>7</v>
      </c>
      <c r="U1597" s="68">
        <f ca="1">IFERROR(__xludf.DUMMYFUNCTION("""COMPUTED_VALUE"""),45474.6458333333)</f>
        <v>45474.645833333299</v>
      </c>
      <c r="V1597" s="6">
        <f ca="1">IFERROR(__xludf.DUMMYFUNCTION("""COMPUTED_VALUE"""),2804.31)</f>
        <v>2804.31</v>
      </c>
      <c r="Z1597" s="6" t="str">
        <f t="shared" ca="1" si="441"/>
        <v>20227</v>
      </c>
      <c r="AA1597" s="6">
        <f t="shared" ca="1" si="442"/>
        <v>2022</v>
      </c>
      <c r="AB1597" s="6">
        <f t="shared" ca="1" si="443"/>
        <v>7</v>
      </c>
      <c r="AC1597" s="68">
        <f ca="1">IFERROR(__xludf.DUMMYFUNCTION("""COMPUTED_VALUE"""),44746.9986111111)</f>
        <v>44746.998611111099</v>
      </c>
      <c r="AD1597" s="6">
        <f ca="1">IFERROR(__xludf.DUMMYFUNCTION("""COMPUTED_VALUE"""),1295.68)</f>
        <v>1295.68</v>
      </c>
      <c r="AH1597" s="6" t="str">
        <f t="shared" ca="1" si="444"/>
        <v>20225</v>
      </c>
      <c r="AI1597" s="6">
        <f t="shared" ca="1" si="445"/>
        <v>2022</v>
      </c>
      <c r="AJ1597" s="6">
        <f t="shared" ca="1" si="446"/>
        <v>5</v>
      </c>
      <c r="AK1597" s="68">
        <f ca="1">IFERROR(__xludf.DUMMYFUNCTION("""COMPUTED_VALUE"""),44690.9986111111)</f>
        <v>44690.998611111099</v>
      </c>
      <c r="AL1597" s="6">
        <f ca="1">IFERROR(__xludf.DUMMYFUNCTION("""COMPUTED_VALUE"""),30082.03)</f>
        <v>30082.03</v>
      </c>
      <c r="AP1597" s="6" t="str">
        <f t="shared" ca="1" si="447"/>
        <v>20245</v>
      </c>
      <c r="AQ1597" s="6">
        <f t="shared" ca="1" si="448"/>
        <v>2024</v>
      </c>
      <c r="AR1597" s="6">
        <f t="shared" ca="1" si="449"/>
        <v>5</v>
      </c>
      <c r="AS1597" s="68">
        <f ca="1">IFERROR(__xludf.DUMMYFUNCTION("""COMPUTED_VALUE"""),45425.9986111111)</f>
        <v>45425.998611111099</v>
      </c>
      <c r="AT1597" s="6">
        <f ca="1">IFERROR(__xludf.DUMMYFUNCTION("""COMPUTED_VALUE"""),2343)</f>
        <v>2343</v>
      </c>
    </row>
    <row r="1598" spans="2:46" x14ac:dyDescent="0.35">
      <c r="B1598" s="6" t="str">
        <f t="shared" ca="1" si="432"/>
        <v>20245</v>
      </c>
      <c r="C1598" s="6">
        <f t="shared" ca="1" si="433"/>
        <v>2024</v>
      </c>
      <c r="D1598" s="6">
        <f t="shared" ca="1" si="434"/>
        <v>5</v>
      </c>
      <c r="E1598" s="68">
        <f ca="1">IFERROR(__xludf.DUMMYFUNCTION("""COMPUTED_VALUE"""),45419.6666666666)</f>
        <v>45419.666666666599</v>
      </c>
      <c r="F1598" s="6">
        <f ca="1">IFERROR(__xludf.DUMMYFUNCTION("""COMPUTED_VALUE"""),5187.7)</f>
        <v>5187.7</v>
      </c>
      <c r="J1598" s="6" t="str">
        <f t="shared" ca="1" si="435"/>
        <v>20244</v>
      </c>
      <c r="K1598" s="6">
        <f t="shared" ca="1" si="436"/>
        <v>2024</v>
      </c>
      <c r="L1598" s="6">
        <f t="shared" ca="1" si="437"/>
        <v>4</v>
      </c>
      <c r="M1598" s="68">
        <f ca="1">IFERROR(__xludf.DUMMYFUNCTION("""COMPUTED_VALUE"""),45411.6666666666)</f>
        <v>45411.666666666599</v>
      </c>
      <c r="N1598" s="6">
        <f ca="1">IFERROR(__xludf.DUMMYFUNCTION("""COMPUTED_VALUE"""),15983.08)</f>
        <v>15983.08</v>
      </c>
      <c r="R1598" s="6" t="str">
        <f t="shared" ca="1" si="438"/>
        <v>20247</v>
      </c>
      <c r="S1598" s="6">
        <f t="shared" ca="1" si="439"/>
        <v>2024</v>
      </c>
      <c r="T1598" s="6">
        <f t="shared" ca="1" si="440"/>
        <v>7</v>
      </c>
      <c r="U1598" s="68">
        <f ca="1">IFERROR(__xludf.DUMMYFUNCTION("""COMPUTED_VALUE"""),45475.6458333333)</f>
        <v>45475.645833333299</v>
      </c>
      <c r="V1598" s="6">
        <f ca="1">IFERROR(__xludf.DUMMYFUNCTION("""COMPUTED_VALUE"""),2780.86)</f>
        <v>2780.86</v>
      </c>
      <c r="Z1598" s="6" t="str">
        <f t="shared" ca="1" si="441"/>
        <v>20227</v>
      </c>
      <c r="AA1598" s="6">
        <f t="shared" ca="1" si="442"/>
        <v>2022</v>
      </c>
      <c r="AB1598" s="6">
        <f t="shared" ca="1" si="443"/>
        <v>7</v>
      </c>
      <c r="AC1598" s="68">
        <f ca="1">IFERROR(__xludf.DUMMYFUNCTION("""COMPUTED_VALUE"""),44747.9986111111)</f>
        <v>44747.998611111099</v>
      </c>
      <c r="AD1598" s="6">
        <f ca="1">IFERROR(__xludf.DUMMYFUNCTION("""COMPUTED_VALUE"""),1308.66)</f>
        <v>1308.6600000000001</v>
      </c>
      <c r="AH1598" s="6" t="str">
        <f t="shared" ca="1" si="444"/>
        <v>20225</v>
      </c>
      <c r="AI1598" s="6">
        <f t="shared" ca="1" si="445"/>
        <v>2022</v>
      </c>
      <c r="AJ1598" s="6">
        <f t="shared" ca="1" si="446"/>
        <v>5</v>
      </c>
      <c r="AK1598" s="68">
        <f ca="1">IFERROR(__xludf.DUMMYFUNCTION("""COMPUTED_VALUE"""),44691.9986111111)</f>
        <v>44691.998611111099</v>
      </c>
      <c r="AL1598" s="6">
        <f ca="1">IFERROR(__xludf.DUMMYFUNCTION("""COMPUTED_VALUE"""),31004.42)</f>
        <v>31004.42</v>
      </c>
      <c r="AP1598" s="6" t="str">
        <f t="shared" ca="1" si="447"/>
        <v>20245</v>
      </c>
      <c r="AQ1598" s="6">
        <f t="shared" ca="1" si="448"/>
        <v>2024</v>
      </c>
      <c r="AR1598" s="6">
        <f t="shared" ca="1" si="449"/>
        <v>5</v>
      </c>
      <c r="AS1598" s="68">
        <f ca="1">IFERROR(__xludf.DUMMYFUNCTION("""COMPUTED_VALUE"""),45426.9986111111)</f>
        <v>45426.998611111099</v>
      </c>
      <c r="AT1598" s="6">
        <f ca="1">IFERROR(__xludf.DUMMYFUNCTION("""COMPUTED_VALUE"""),2359.9)</f>
        <v>2359.9</v>
      </c>
    </row>
    <row r="1599" spans="2:46" x14ac:dyDescent="0.35">
      <c r="B1599" s="6" t="str">
        <f t="shared" ca="1" si="432"/>
        <v>20245</v>
      </c>
      <c r="C1599" s="6">
        <f t="shared" ca="1" si="433"/>
        <v>2024</v>
      </c>
      <c r="D1599" s="6">
        <f t="shared" ca="1" si="434"/>
        <v>5</v>
      </c>
      <c r="E1599" s="68">
        <f ca="1">IFERROR(__xludf.DUMMYFUNCTION("""COMPUTED_VALUE"""),45420.6666666666)</f>
        <v>45420.666666666599</v>
      </c>
      <c r="F1599" s="6">
        <f ca="1">IFERROR(__xludf.DUMMYFUNCTION("""COMPUTED_VALUE"""),5187.67)</f>
        <v>5187.67</v>
      </c>
      <c r="J1599" s="6" t="str">
        <f t="shared" ca="1" si="435"/>
        <v>20244</v>
      </c>
      <c r="K1599" s="6">
        <f t="shared" ca="1" si="436"/>
        <v>2024</v>
      </c>
      <c r="L1599" s="6">
        <f t="shared" ca="1" si="437"/>
        <v>4</v>
      </c>
      <c r="M1599" s="68">
        <f ca="1">IFERROR(__xludf.DUMMYFUNCTION("""COMPUTED_VALUE"""),45412.6666666666)</f>
        <v>45412.666666666599</v>
      </c>
      <c r="N1599" s="6">
        <f ca="1">IFERROR(__xludf.DUMMYFUNCTION("""COMPUTED_VALUE"""),15657.82)</f>
        <v>15657.82</v>
      </c>
      <c r="R1599" s="6" t="str">
        <f t="shared" ca="1" si="438"/>
        <v>20247</v>
      </c>
      <c r="S1599" s="6">
        <f t="shared" ca="1" si="439"/>
        <v>2024</v>
      </c>
      <c r="T1599" s="6">
        <f t="shared" ca="1" si="440"/>
        <v>7</v>
      </c>
      <c r="U1599" s="68">
        <f ca="1">IFERROR(__xludf.DUMMYFUNCTION("""COMPUTED_VALUE"""),45476.6458333333)</f>
        <v>45476.645833333299</v>
      </c>
      <c r="V1599" s="6">
        <f ca="1">IFERROR(__xludf.DUMMYFUNCTION("""COMPUTED_VALUE"""),2794.01)</f>
        <v>2794.01</v>
      </c>
      <c r="Z1599" s="6" t="str">
        <f t="shared" ca="1" si="441"/>
        <v>20227</v>
      </c>
      <c r="AA1599" s="6">
        <f t="shared" ca="1" si="442"/>
        <v>2022</v>
      </c>
      <c r="AB1599" s="6">
        <f t="shared" ca="1" si="443"/>
        <v>7</v>
      </c>
      <c r="AC1599" s="68">
        <f ca="1">IFERROR(__xludf.DUMMYFUNCTION("""COMPUTED_VALUE"""),44748.9986111111)</f>
        <v>44748.998611111099</v>
      </c>
      <c r="AD1599" s="6">
        <f ca="1">IFERROR(__xludf.DUMMYFUNCTION("""COMPUTED_VALUE"""),1304.85)</f>
        <v>1304.8499999999999</v>
      </c>
      <c r="AH1599" s="6" t="str">
        <f t="shared" ca="1" si="444"/>
        <v>20225</v>
      </c>
      <c r="AI1599" s="6">
        <f t="shared" ca="1" si="445"/>
        <v>2022</v>
      </c>
      <c r="AJ1599" s="6">
        <f t="shared" ca="1" si="446"/>
        <v>5</v>
      </c>
      <c r="AK1599" s="68">
        <f ca="1">IFERROR(__xludf.DUMMYFUNCTION("""COMPUTED_VALUE"""),44692.9986111111)</f>
        <v>44692.998611111099</v>
      </c>
      <c r="AL1599" s="6">
        <f ca="1">IFERROR(__xludf.DUMMYFUNCTION("""COMPUTED_VALUE"""),28977.96)</f>
        <v>28977.96</v>
      </c>
      <c r="AP1599" s="6" t="str">
        <f t="shared" ca="1" si="447"/>
        <v>20245</v>
      </c>
      <c r="AQ1599" s="6">
        <f t="shared" ca="1" si="448"/>
        <v>2024</v>
      </c>
      <c r="AR1599" s="6">
        <f t="shared" ca="1" si="449"/>
        <v>5</v>
      </c>
      <c r="AS1599" s="68">
        <f ca="1">IFERROR(__xludf.DUMMYFUNCTION("""COMPUTED_VALUE"""),45427.9986111111)</f>
        <v>45427.998611111099</v>
      </c>
      <c r="AT1599" s="6">
        <f ca="1">IFERROR(__xludf.DUMMYFUNCTION("""COMPUTED_VALUE"""),2394.9)</f>
        <v>2394.9</v>
      </c>
    </row>
    <row r="1600" spans="2:46" x14ac:dyDescent="0.35">
      <c r="B1600" s="6" t="str">
        <f t="shared" ca="1" si="432"/>
        <v>20245</v>
      </c>
      <c r="C1600" s="6">
        <f t="shared" ca="1" si="433"/>
        <v>2024</v>
      </c>
      <c r="D1600" s="6">
        <f t="shared" ca="1" si="434"/>
        <v>5</v>
      </c>
      <c r="E1600" s="68">
        <f ca="1">IFERROR(__xludf.DUMMYFUNCTION("""COMPUTED_VALUE"""),45421.6666666666)</f>
        <v>45421.666666666599</v>
      </c>
      <c r="F1600" s="6">
        <f ca="1">IFERROR(__xludf.DUMMYFUNCTION("""COMPUTED_VALUE"""),5214.08)</f>
        <v>5214.08</v>
      </c>
      <c r="J1600" s="6" t="str">
        <f t="shared" ca="1" si="435"/>
        <v>20245</v>
      </c>
      <c r="K1600" s="6">
        <f t="shared" ca="1" si="436"/>
        <v>2024</v>
      </c>
      <c r="L1600" s="6">
        <f t="shared" ca="1" si="437"/>
        <v>5</v>
      </c>
      <c r="M1600" s="68">
        <f ca="1">IFERROR(__xludf.DUMMYFUNCTION("""COMPUTED_VALUE"""),45413.6666666666)</f>
        <v>45413.666666666599</v>
      </c>
      <c r="N1600" s="6">
        <f ca="1">IFERROR(__xludf.DUMMYFUNCTION("""COMPUTED_VALUE"""),15605.48)</f>
        <v>15605.48</v>
      </c>
      <c r="R1600" s="6" t="str">
        <f t="shared" ca="1" si="438"/>
        <v>20247</v>
      </c>
      <c r="S1600" s="6">
        <f t="shared" ca="1" si="439"/>
        <v>2024</v>
      </c>
      <c r="T1600" s="6">
        <f t="shared" ca="1" si="440"/>
        <v>7</v>
      </c>
      <c r="U1600" s="68">
        <f ca="1">IFERROR(__xludf.DUMMYFUNCTION("""COMPUTED_VALUE"""),45477.6458333333)</f>
        <v>45477.645833333299</v>
      </c>
      <c r="V1600" s="6">
        <f ca="1">IFERROR(__xludf.DUMMYFUNCTION("""COMPUTED_VALUE"""),2824.94)</f>
        <v>2824.94</v>
      </c>
      <c r="Z1600" s="6" t="str">
        <f t="shared" ca="1" si="441"/>
        <v>20227</v>
      </c>
      <c r="AA1600" s="6">
        <f t="shared" ca="1" si="442"/>
        <v>2022</v>
      </c>
      <c r="AB1600" s="6">
        <f t="shared" ca="1" si="443"/>
        <v>7</v>
      </c>
      <c r="AC1600" s="68">
        <f ca="1">IFERROR(__xludf.DUMMYFUNCTION("""COMPUTED_VALUE"""),44749.9986111111)</f>
        <v>44749.998611111099</v>
      </c>
      <c r="AD1600" s="6">
        <f ca="1">IFERROR(__xludf.DUMMYFUNCTION("""COMPUTED_VALUE"""),1297.65)</f>
        <v>1297.6500000000001</v>
      </c>
      <c r="AH1600" s="6" t="str">
        <f t="shared" ca="1" si="444"/>
        <v>20225</v>
      </c>
      <c r="AI1600" s="6">
        <f t="shared" ca="1" si="445"/>
        <v>2022</v>
      </c>
      <c r="AJ1600" s="6">
        <f t="shared" ca="1" si="446"/>
        <v>5</v>
      </c>
      <c r="AK1600" s="68">
        <f ca="1">IFERROR(__xludf.DUMMYFUNCTION("""COMPUTED_VALUE"""),44693.9986111111)</f>
        <v>44693.998611111099</v>
      </c>
      <c r="AL1600" s="6">
        <f ca="1">IFERROR(__xludf.DUMMYFUNCTION("""COMPUTED_VALUE"""),28979.68)</f>
        <v>28979.68</v>
      </c>
      <c r="AP1600" s="6" t="str">
        <f t="shared" ca="1" si="447"/>
        <v>20245</v>
      </c>
      <c r="AQ1600" s="6">
        <f t="shared" ca="1" si="448"/>
        <v>2024</v>
      </c>
      <c r="AR1600" s="6">
        <f t="shared" ca="1" si="449"/>
        <v>5</v>
      </c>
      <c r="AS1600" s="68">
        <f ca="1">IFERROR(__xludf.DUMMYFUNCTION("""COMPUTED_VALUE"""),45428.9986111111)</f>
        <v>45428.998611111099</v>
      </c>
      <c r="AT1600" s="6">
        <f ca="1">IFERROR(__xludf.DUMMYFUNCTION("""COMPUTED_VALUE"""),2385.5)</f>
        <v>2385.5</v>
      </c>
    </row>
    <row r="1601" spans="2:46" x14ac:dyDescent="0.35">
      <c r="B1601" s="6" t="str">
        <f t="shared" ca="1" si="432"/>
        <v>20245</v>
      </c>
      <c r="C1601" s="6">
        <f t="shared" ca="1" si="433"/>
        <v>2024</v>
      </c>
      <c r="D1601" s="6">
        <f t="shared" ca="1" si="434"/>
        <v>5</v>
      </c>
      <c r="E1601" s="68">
        <f ca="1">IFERROR(__xludf.DUMMYFUNCTION("""COMPUTED_VALUE"""),45422.6666666666)</f>
        <v>45422.666666666599</v>
      </c>
      <c r="F1601" s="6">
        <f ca="1">IFERROR(__xludf.DUMMYFUNCTION("""COMPUTED_VALUE"""),5222.68)</f>
        <v>5222.68</v>
      </c>
      <c r="J1601" s="6" t="str">
        <f t="shared" ca="1" si="435"/>
        <v>20245</v>
      </c>
      <c r="K1601" s="6">
        <f t="shared" ca="1" si="436"/>
        <v>2024</v>
      </c>
      <c r="L1601" s="6">
        <f t="shared" ca="1" si="437"/>
        <v>5</v>
      </c>
      <c r="M1601" s="68">
        <f ca="1">IFERROR(__xludf.DUMMYFUNCTION("""COMPUTED_VALUE"""),45414.6666666666)</f>
        <v>45414.666666666599</v>
      </c>
      <c r="N1601" s="6">
        <f ca="1">IFERROR(__xludf.DUMMYFUNCTION("""COMPUTED_VALUE"""),15840.96)</f>
        <v>15840.96</v>
      </c>
      <c r="R1601" s="6" t="str">
        <f t="shared" ca="1" si="438"/>
        <v>20247</v>
      </c>
      <c r="S1601" s="6">
        <f t="shared" ca="1" si="439"/>
        <v>2024</v>
      </c>
      <c r="T1601" s="6">
        <f t="shared" ca="1" si="440"/>
        <v>7</v>
      </c>
      <c r="U1601" s="68">
        <f ca="1">IFERROR(__xludf.DUMMYFUNCTION("""COMPUTED_VALUE"""),45478.6458333333)</f>
        <v>45478.645833333299</v>
      </c>
      <c r="V1601" s="6">
        <f ca="1">IFERROR(__xludf.DUMMYFUNCTION("""COMPUTED_VALUE"""),2862.23)</f>
        <v>2862.23</v>
      </c>
      <c r="Z1601" s="6" t="str">
        <f t="shared" ca="1" si="441"/>
        <v>20227</v>
      </c>
      <c r="AA1601" s="6">
        <f t="shared" ca="1" si="442"/>
        <v>2022</v>
      </c>
      <c r="AB1601" s="6">
        <f t="shared" ca="1" si="443"/>
        <v>7</v>
      </c>
      <c r="AC1601" s="68">
        <f ca="1">IFERROR(__xludf.DUMMYFUNCTION("""COMPUTED_VALUE"""),44750.9986111111)</f>
        <v>44750.998611111099</v>
      </c>
      <c r="AD1601" s="6">
        <f ca="1">IFERROR(__xludf.DUMMYFUNCTION("""COMPUTED_VALUE"""),1293.89)</f>
        <v>1293.8900000000001</v>
      </c>
      <c r="AH1601" s="6" t="str">
        <f t="shared" ca="1" si="444"/>
        <v>20225</v>
      </c>
      <c r="AI1601" s="6">
        <f t="shared" ca="1" si="445"/>
        <v>2022</v>
      </c>
      <c r="AJ1601" s="6">
        <f t="shared" ca="1" si="446"/>
        <v>5</v>
      </c>
      <c r="AK1601" s="68">
        <f ca="1">IFERROR(__xludf.DUMMYFUNCTION("""COMPUTED_VALUE"""),44694.9986111111)</f>
        <v>44694.998611111099</v>
      </c>
      <c r="AL1601" s="6">
        <f ca="1">IFERROR(__xludf.DUMMYFUNCTION("""COMPUTED_VALUE"""),29247.62)</f>
        <v>29247.62</v>
      </c>
      <c r="AP1601" s="6" t="str">
        <f t="shared" ca="1" si="447"/>
        <v>20245</v>
      </c>
      <c r="AQ1601" s="6">
        <f t="shared" ca="1" si="448"/>
        <v>2024</v>
      </c>
      <c r="AR1601" s="6">
        <f t="shared" ca="1" si="449"/>
        <v>5</v>
      </c>
      <c r="AS1601" s="68">
        <f ca="1">IFERROR(__xludf.DUMMYFUNCTION("""COMPUTED_VALUE"""),45429.9986111111)</f>
        <v>45429.998611111099</v>
      </c>
      <c r="AT1601" s="6">
        <f ca="1">IFERROR(__xludf.DUMMYFUNCTION("""COMPUTED_VALUE"""),2417.4)</f>
        <v>2417.4</v>
      </c>
    </row>
    <row r="1602" spans="2:46" x14ac:dyDescent="0.35">
      <c r="B1602" s="6" t="str">
        <f t="shared" ca="1" si="432"/>
        <v>20245</v>
      </c>
      <c r="C1602" s="6">
        <f t="shared" ca="1" si="433"/>
        <v>2024</v>
      </c>
      <c r="D1602" s="6">
        <f t="shared" ca="1" si="434"/>
        <v>5</v>
      </c>
      <c r="E1602" s="68">
        <f ca="1">IFERROR(__xludf.DUMMYFUNCTION("""COMPUTED_VALUE"""),45425.6666666666)</f>
        <v>45425.666666666599</v>
      </c>
      <c r="F1602" s="6">
        <f ca="1">IFERROR(__xludf.DUMMYFUNCTION("""COMPUTED_VALUE"""),5221.42)</f>
        <v>5221.42</v>
      </c>
      <c r="J1602" s="6" t="str">
        <f t="shared" ca="1" si="435"/>
        <v>20245</v>
      </c>
      <c r="K1602" s="6">
        <f t="shared" ca="1" si="436"/>
        <v>2024</v>
      </c>
      <c r="L1602" s="6">
        <f t="shared" ca="1" si="437"/>
        <v>5</v>
      </c>
      <c r="M1602" s="68">
        <f ca="1">IFERROR(__xludf.DUMMYFUNCTION("""COMPUTED_VALUE"""),45415.6666666666)</f>
        <v>45415.666666666599</v>
      </c>
      <c r="N1602" s="6">
        <f ca="1">IFERROR(__xludf.DUMMYFUNCTION("""COMPUTED_VALUE"""),16156.33)</f>
        <v>16156.33</v>
      </c>
      <c r="R1602" s="6" t="str">
        <f t="shared" ca="1" si="438"/>
        <v>20247</v>
      </c>
      <c r="S1602" s="6">
        <f t="shared" ca="1" si="439"/>
        <v>2024</v>
      </c>
      <c r="T1602" s="6">
        <f t="shared" ca="1" si="440"/>
        <v>7</v>
      </c>
      <c r="U1602" s="68">
        <f ca="1">IFERROR(__xludf.DUMMYFUNCTION("""COMPUTED_VALUE"""),45481.6458333333)</f>
        <v>45481.645833333299</v>
      </c>
      <c r="V1602" s="6">
        <f ca="1">IFERROR(__xludf.DUMMYFUNCTION("""COMPUTED_VALUE"""),2857.76)</f>
        <v>2857.76</v>
      </c>
      <c r="Z1602" s="6" t="str">
        <f t="shared" ca="1" si="441"/>
        <v>20227</v>
      </c>
      <c r="AA1602" s="6">
        <f t="shared" ca="1" si="442"/>
        <v>2022</v>
      </c>
      <c r="AB1602" s="6">
        <f t="shared" ca="1" si="443"/>
        <v>7</v>
      </c>
      <c r="AC1602" s="68">
        <f ca="1">IFERROR(__xludf.DUMMYFUNCTION("""COMPUTED_VALUE"""),44751.9986111111)</f>
        <v>44751.998611111099</v>
      </c>
      <c r="AD1602" s="6">
        <f ca="1">IFERROR(__xludf.DUMMYFUNCTION("""COMPUTED_VALUE"""),1293.49)</f>
        <v>1293.49</v>
      </c>
      <c r="AH1602" s="6" t="str">
        <f t="shared" ca="1" si="444"/>
        <v>20225</v>
      </c>
      <c r="AI1602" s="6">
        <f t="shared" ca="1" si="445"/>
        <v>2022</v>
      </c>
      <c r="AJ1602" s="6">
        <f t="shared" ca="1" si="446"/>
        <v>5</v>
      </c>
      <c r="AK1602" s="68">
        <f ca="1">IFERROR(__xludf.DUMMYFUNCTION("""COMPUTED_VALUE"""),44695.9986111111)</f>
        <v>44695.998611111099</v>
      </c>
      <c r="AL1602" s="6">
        <f ca="1">IFERROR(__xludf.DUMMYFUNCTION("""COMPUTED_VALUE"""),30054.1)</f>
        <v>30054.1</v>
      </c>
      <c r="AP1602" s="6" t="str">
        <f t="shared" ca="1" si="447"/>
        <v>20245</v>
      </c>
      <c r="AQ1602" s="6">
        <f t="shared" ca="1" si="448"/>
        <v>2024</v>
      </c>
      <c r="AR1602" s="6">
        <f t="shared" ca="1" si="449"/>
        <v>5</v>
      </c>
      <c r="AS1602" s="68">
        <f ca="1">IFERROR(__xludf.DUMMYFUNCTION("""COMPUTED_VALUE"""),45432.9986111111)</f>
        <v>45432.998611111099</v>
      </c>
      <c r="AT1602" s="6">
        <f ca="1">IFERROR(__xludf.DUMMYFUNCTION("""COMPUTED_VALUE"""),2438.5)</f>
        <v>2438.5</v>
      </c>
    </row>
    <row r="1603" spans="2:46" x14ac:dyDescent="0.35">
      <c r="B1603" s="6" t="str">
        <f t="shared" ca="1" si="432"/>
        <v>20245</v>
      </c>
      <c r="C1603" s="6">
        <f t="shared" ca="1" si="433"/>
        <v>2024</v>
      </c>
      <c r="D1603" s="6">
        <f t="shared" ca="1" si="434"/>
        <v>5</v>
      </c>
      <c r="E1603" s="68">
        <f ca="1">IFERROR(__xludf.DUMMYFUNCTION("""COMPUTED_VALUE"""),45426.6666666666)</f>
        <v>45426.666666666599</v>
      </c>
      <c r="F1603" s="6">
        <f ca="1">IFERROR(__xludf.DUMMYFUNCTION("""COMPUTED_VALUE"""),5246.68)</f>
        <v>5246.68</v>
      </c>
      <c r="J1603" s="6" t="str">
        <f t="shared" ca="1" si="435"/>
        <v>20245</v>
      </c>
      <c r="K1603" s="6">
        <f t="shared" ca="1" si="436"/>
        <v>2024</v>
      </c>
      <c r="L1603" s="6">
        <f t="shared" ca="1" si="437"/>
        <v>5</v>
      </c>
      <c r="M1603" s="68">
        <f ca="1">IFERROR(__xludf.DUMMYFUNCTION("""COMPUTED_VALUE"""),45418.6666666666)</f>
        <v>45418.666666666599</v>
      </c>
      <c r="N1603" s="6">
        <f ca="1">IFERROR(__xludf.DUMMYFUNCTION("""COMPUTED_VALUE"""),16349.25)</f>
        <v>16349.25</v>
      </c>
      <c r="R1603" s="6" t="str">
        <f t="shared" ca="1" si="438"/>
        <v>20247</v>
      </c>
      <c r="S1603" s="6">
        <f t="shared" ca="1" si="439"/>
        <v>2024</v>
      </c>
      <c r="T1603" s="6">
        <f t="shared" ca="1" si="440"/>
        <v>7</v>
      </c>
      <c r="U1603" s="68">
        <f ca="1">IFERROR(__xludf.DUMMYFUNCTION("""COMPUTED_VALUE"""),45482.6458333333)</f>
        <v>45482.645833333299</v>
      </c>
      <c r="V1603" s="6">
        <f ca="1">IFERROR(__xludf.DUMMYFUNCTION("""COMPUTED_VALUE"""),2867.38)</f>
        <v>2867.38</v>
      </c>
      <c r="Z1603" s="6" t="str">
        <f t="shared" ca="1" si="441"/>
        <v>20227</v>
      </c>
      <c r="AA1603" s="6">
        <f t="shared" ca="1" si="442"/>
        <v>2022</v>
      </c>
      <c r="AB1603" s="6">
        <f t="shared" ca="1" si="443"/>
        <v>7</v>
      </c>
      <c r="AC1603" s="68">
        <f ca="1">IFERROR(__xludf.DUMMYFUNCTION("""COMPUTED_VALUE"""),44752.9986111111)</f>
        <v>44752.998611111099</v>
      </c>
      <c r="AD1603" s="6">
        <f ca="1">IFERROR(__xludf.DUMMYFUNCTION("""COMPUTED_VALUE"""),1293.79)</f>
        <v>1293.79</v>
      </c>
      <c r="AH1603" s="6" t="str">
        <f t="shared" ca="1" si="444"/>
        <v>20225</v>
      </c>
      <c r="AI1603" s="6">
        <f t="shared" ca="1" si="445"/>
        <v>2022</v>
      </c>
      <c r="AJ1603" s="6">
        <f t="shared" ca="1" si="446"/>
        <v>5</v>
      </c>
      <c r="AK1603" s="68">
        <f ca="1">IFERROR(__xludf.DUMMYFUNCTION("""COMPUTED_VALUE"""),44696.9986111111)</f>
        <v>44696.998611111099</v>
      </c>
      <c r="AL1603" s="6">
        <f ca="1">IFERROR(__xludf.DUMMYFUNCTION("""COMPUTED_VALUE"""),31290.31)</f>
        <v>31290.31</v>
      </c>
      <c r="AP1603" s="6" t="str">
        <f t="shared" ca="1" si="447"/>
        <v>20245</v>
      </c>
      <c r="AQ1603" s="6">
        <f t="shared" ca="1" si="448"/>
        <v>2024</v>
      </c>
      <c r="AR1603" s="6">
        <f t="shared" ca="1" si="449"/>
        <v>5</v>
      </c>
      <c r="AS1603" s="68">
        <f ca="1">IFERROR(__xludf.DUMMYFUNCTION("""COMPUTED_VALUE"""),45433.9986111111)</f>
        <v>45433.998611111099</v>
      </c>
      <c r="AT1603" s="6">
        <f ca="1">IFERROR(__xludf.DUMMYFUNCTION("""COMPUTED_VALUE"""),2449.1)</f>
        <v>2449.1</v>
      </c>
    </row>
    <row r="1604" spans="2:46" x14ac:dyDescent="0.35">
      <c r="B1604" s="6" t="str">
        <f t="shared" ca="1" si="432"/>
        <v>20245</v>
      </c>
      <c r="C1604" s="6">
        <f t="shared" ca="1" si="433"/>
        <v>2024</v>
      </c>
      <c r="D1604" s="6">
        <f t="shared" ca="1" si="434"/>
        <v>5</v>
      </c>
      <c r="E1604" s="68">
        <f ca="1">IFERROR(__xludf.DUMMYFUNCTION("""COMPUTED_VALUE"""),45427.6666666666)</f>
        <v>45427.666666666599</v>
      </c>
      <c r="F1604" s="6">
        <f ca="1">IFERROR(__xludf.DUMMYFUNCTION("""COMPUTED_VALUE"""),5308.15)</f>
        <v>5308.15</v>
      </c>
      <c r="J1604" s="6" t="str">
        <f t="shared" ca="1" si="435"/>
        <v>20245</v>
      </c>
      <c r="K1604" s="6">
        <f t="shared" ca="1" si="436"/>
        <v>2024</v>
      </c>
      <c r="L1604" s="6">
        <f t="shared" ca="1" si="437"/>
        <v>5</v>
      </c>
      <c r="M1604" s="68">
        <f ca="1">IFERROR(__xludf.DUMMYFUNCTION("""COMPUTED_VALUE"""),45419.6666666666)</f>
        <v>45419.666666666599</v>
      </c>
      <c r="N1604" s="6">
        <f ca="1">IFERROR(__xludf.DUMMYFUNCTION("""COMPUTED_VALUE"""),16332.56)</f>
        <v>16332.56</v>
      </c>
      <c r="R1604" s="6" t="str">
        <f t="shared" ca="1" si="438"/>
        <v>20247</v>
      </c>
      <c r="S1604" s="6">
        <f t="shared" ca="1" si="439"/>
        <v>2024</v>
      </c>
      <c r="T1604" s="6">
        <f t="shared" ca="1" si="440"/>
        <v>7</v>
      </c>
      <c r="U1604" s="68">
        <f ca="1">IFERROR(__xludf.DUMMYFUNCTION("""COMPUTED_VALUE"""),45483.6458333333)</f>
        <v>45483.645833333299</v>
      </c>
      <c r="V1604" s="6">
        <f ca="1">IFERROR(__xludf.DUMMYFUNCTION("""COMPUTED_VALUE"""),2867.99)</f>
        <v>2867.99</v>
      </c>
      <c r="Z1604" s="6" t="str">
        <f t="shared" ca="1" si="441"/>
        <v>20227</v>
      </c>
      <c r="AA1604" s="6">
        <f t="shared" ca="1" si="442"/>
        <v>2022</v>
      </c>
      <c r="AB1604" s="6">
        <f t="shared" ca="1" si="443"/>
        <v>7</v>
      </c>
      <c r="AC1604" s="68">
        <f ca="1">IFERROR(__xludf.DUMMYFUNCTION("""COMPUTED_VALUE"""),44753.9986111111)</f>
        <v>44753.998611111099</v>
      </c>
      <c r="AD1604" s="6">
        <f ca="1">IFERROR(__xludf.DUMMYFUNCTION("""COMPUTED_VALUE"""),1310.86)</f>
        <v>1310.86</v>
      </c>
      <c r="AH1604" s="6" t="str">
        <f t="shared" ca="1" si="444"/>
        <v>20225</v>
      </c>
      <c r="AI1604" s="6">
        <f t="shared" ca="1" si="445"/>
        <v>2022</v>
      </c>
      <c r="AJ1604" s="6">
        <f t="shared" ca="1" si="446"/>
        <v>5</v>
      </c>
      <c r="AK1604" s="68">
        <f ca="1">IFERROR(__xludf.DUMMYFUNCTION("""COMPUTED_VALUE"""),44697.9986111111)</f>
        <v>44697.998611111099</v>
      </c>
      <c r="AL1604" s="6">
        <f ca="1">IFERROR(__xludf.DUMMYFUNCTION("""COMPUTED_VALUE"""),29833.7)</f>
        <v>29833.7</v>
      </c>
      <c r="AP1604" s="6" t="str">
        <f t="shared" ca="1" si="447"/>
        <v>20245</v>
      </c>
      <c r="AQ1604" s="6">
        <f t="shared" ca="1" si="448"/>
        <v>2024</v>
      </c>
      <c r="AR1604" s="6">
        <f t="shared" ca="1" si="449"/>
        <v>5</v>
      </c>
      <c r="AS1604" s="68">
        <f ca="1">IFERROR(__xludf.DUMMYFUNCTION("""COMPUTED_VALUE"""),45434.9986111111)</f>
        <v>45434.998611111099</v>
      </c>
      <c r="AT1604" s="6">
        <f ca="1">IFERROR(__xludf.DUMMYFUNCTION("""COMPUTED_VALUE"""),2415.7)</f>
        <v>2415.6999999999998</v>
      </c>
    </row>
    <row r="1605" spans="2:46" x14ac:dyDescent="0.35">
      <c r="B1605" s="6" t="str">
        <f t="shared" ca="1" si="432"/>
        <v>20245</v>
      </c>
      <c r="C1605" s="6">
        <f t="shared" ca="1" si="433"/>
        <v>2024</v>
      </c>
      <c r="D1605" s="6">
        <f t="shared" ca="1" si="434"/>
        <v>5</v>
      </c>
      <c r="E1605" s="68">
        <f ca="1">IFERROR(__xludf.DUMMYFUNCTION("""COMPUTED_VALUE"""),45428.6666666666)</f>
        <v>45428.666666666599</v>
      </c>
      <c r="F1605" s="6">
        <f ca="1">IFERROR(__xludf.DUMMYFUNCTION("""COMPUTED_VALUE"""),5297.1)</f>
        <v>5297.1</v>
      </c>
      <c r="J1605" s="6" t="str">
        <f t="shared" ca="1" si="435"/>
        <v>20245</v>
      </c>
      <c r="K1605" s="6">
        <f t="shared" ca="1" si="436"/>
        <v>2024</v>
      </c>
      <c r="L1605" s="6">
        <f t="shared" ca="1" si="437"/>
        <v>5</v>
      </c>
      <c r="M1605" s="68">
        <f ca="1">IFERROR(__xludf.DUMMYFUNCTION("""COMPUTED_VALUE"""),45420.6666666666)</f>
        <v>45420.666666666599</v>
      </c>
      <c r="N1605" s="6">
        <f ca="1">IFERROR(__xludf.DUMMYFUNCTION("""COMPUTED_VALUE"""),16302.76)</f>
        <v>16302.76</v>
      </c>
      <c r="R1605" s="6" t="str">
        <f t="shared" ca="1" si="438"/>
        <v>20247</v>
      </c>
      <c r="S1605" s="6">
        <f t="shared" ca="1" si="439"/>
        <v>2024</v>
      </c>
      <c r="T1605" s="6">
        <f t="shared" ca="1" si="440"/>
        <v>7</v>
      </c>
      <c r="U1605" s="68">
        <f ca="1">IFERROR(__xludf.DUMMYFUNCTION("""COMPUTED_VALUE"""),45484.6458333333)</f>
        <v>45484.645833333299</v>
      </c>
      <c r="V1605" s="6">
        <f ca="1">IFERROR(__xludf.DUMMYFUNCTION("""COMPUTED_VALUE"""),2891.35)</f>
        <v>2891.35</v>
      </c>
      <c r="Z1605" s="6" t="str">
        <f t="shared" ca="1" si="441"/>
        <v>20227</v>
      </c>
      <c r="AA1605" s="6">
        <f t="shared" ca="1" si="442"/>
        <v>2022</v>
      </c>
      <c r="AB1605" s="6">
        <f t="shared" ca="1" si="443"/>
        <v>7</v>
      </c>
      <c r="AC1605" s="68">
        <f ca="1">IFERROR(__xludf.DUMMYFUNCTION("""COMPUTED_VALUE"""),44754.9986111111)</f>
        <v>44754.998611111099</v>
      </c>
      <c r="AD1605" s="6">
        <f ca="1">IFERROR(__xludf.DUMMYFUNCTION("""COMPUTED_VALUE"""),1305.83)</f>
        <v>1305.83</v>
      </c>
      <c r="AH1605" s="6" t="str">
        <f t="shared" ca="1" si="444"/>
        <v>20225</v>
      </c>
      <c r="AI1605" s="6">
        <f t="shared" ca="1" si="445"/>
        <v>2022</v>
      </c>
      <c r="AJ1605" s="6">
        <f t="shared" ca="1" si="446"/>
        <v>5</v>
      </c>
      <c r="AK1605" s="68">
        <f ca="1">IFERROR(__xludf.DUMMYFUNCTION("""COMPUTED_VALUE"""),44698.9986111111)</f>
        <v>44698.998611111099</v>
      </c>
      <c r="AL1605" s="6">
        <f ca="1">IFERROR(__xludf.DUMMYFUNCTION("""COMPUTED_VALUE"""),30416.16)</f>
        <v>30416.16</v>
      </c>
      <c r="AP1605" s="6" t="str">
        <f t="shared" ca="1" si="447"/>
        <v>20245</v>
      </c>
      <c r="AQ1605" s="6">
        <f t="shared" ca="1" si="448"/>
        <v>2024</v>
      </c>
      <c r="AR1605" s="6">
        <f t="shared" ca="1" si="449"/>
        <v>5</v>
      </c>
      <c r="AS1605" s="68">
        <f ca="1">IFERROR(__xludf.DUMMYFUNCTION("""COMPUTED_VALUE"""),45435.9986111111)</f>
        <v>45435.998611111099</v>
      </c>
      <c r="AT1605" s="6">
        <f ca="1">IFERROR(__xludf.DUMMYFUNCTION("""COMPUTED_VALUE"""),2359.7)</f>
        <v>2359.6999999999998</v>
      </c>
    </row>
    <row r="1606" spans="2:46" x14ac:dyDescent="0.35">
      <c r="B1606" s="6" t="str">
        <f t="shared" ca="1" si="432"/>
        <v>20245</v>
      </c>
      <c r="C1606" s="6">
        <f t="shared" ca="1" si="433"/>
        <v>2024</v>
      </c>
      <c r="D1606" s="6">
        <f t="shared" ca="1" si="434"/>
        <v>5</v>
      </c>
      <c r="E1606" s="68">
        <f ca="1">IFERROR(__xludf.DUMMYFUNCTION("""COMPUTED_VALUE"""),45429.6666666666)</f>
        <v>45429.666666666599</v>
      </c>
      <c r="F1606" s="6">
        <f ca="1">IFERROR(__xludf.DUMMYFUNCTION("""COMPUTED_VALUE"""),5303.27)</f>
        <v>5303.27</v>
      </c>
      <c r="J1606" s="6" t="str">
        <f t="shared" ca="1" si="435"/>
        <v>20245</v>
      </c>
      <c r="K1606" s="6">
        <f t="shared" ca="1" si="436"/>
        <v>2024</v>
      </c>
      <c r="L1606" s="6">
        <f t="shared" ca="1" si="437"/>
        <v>5</v>
      </c>
      <c r="M1606" s="68">
        <f ca="1">IFERROR(__xludf.DUMMYFUNCTION("""COMPUTED_VALUE"""),45421.6666666666)</f>
        <v>45421.666666666599</v>
      </c>
      <c r="N1606" s="6">
        <f ca="1">IFERROR(__xludf.DUMMYFUNCTION("""COMPUTED_VALUE"""),16346.27)</f>
        <v>16346.27</v>
      </c>
      <c r="R1606" s="6" t="str">
        <f t="shared" ca="1" si="438"/>
        <v>20247</v>
      </c>
      <c r="S1606" s="6">
        <f t="shared" ca="1" si="439"/>
        <v>2024</v>
      </c>
      <c r="T1606" s="6">
        <f t="shared" ca="1" si="440"/>
        <v>7</v>
      </c>
      <c r="U1606" s="68">
        <f ca="1">IFERROR(__xludf.DUMMYFUNCTION("""COMPUTED_VALUE"""),45485.6458333333)</f>
        <v>45485.645833333299</v>
      </c>
      <c r="V1606" s="6">
        <f ca="1">IFERROR(__xludf.DUMMYFUNCTION("""COMPUTED_VALUE"""),2857)</f>
        <v>2857</v>
      </c>
      <c r="Z1606" s="6" t="str">
        <f t="shared" ca="1" si="441"/>
        <v>20227</v>
      </c>
      <c r="AA1606" s="6">
        <f t="shared" ca="1" si="442"/>
        <v>2022</v>
      </c>
      <c r="AB1606" s="6">
        <f t="shared" ca="1" si="443"/>
        <v>7</v>
      </c>
      <c r="AC1606" s="68">
        <f ca="1">IFERROR(__xludf.DUMMYFUNCTION("""COMPUTED_VALUE"""),44755.9986111111)</f>
        <v>44755.998611111099</v>
      </c>
      <c r="AD1606" s="6">
        <f ca="1">IFERROR(__xludf.DUMMYFUNCTION("""COMPUTED_VALUE"""),1304.85)</f>
        <v>1304.8499999999999</v>
      </c>
      <c r="AH1606" s="6" t="str">
        <f t="shared" ca="1" si="444"/>
        <v>20225</v>
      </c>
      <c r="AI1606" s="6">
        <f t="shared" ca="1" si="445"/>
        <v>2022</v>
      </c>
      <c r="AJ1606" s="6">
        <f t="shared" ca="1" si="446"/>
        <v>5</v>
      </c>
      <c r="AK1606" s="68">
        <f ca="1">IFERROR(__xludf.DUMMYFUNCTION("""COMPUTED_VALUE"""),44699.9986111111)</f>
        <v>44699.998611111099</v>
      </c>
      <c r="AL1606" s="6">
        <f ca="1">IFERROR(__xludf.DUMMYFUNCTION("""COMPUTED_VALUE"""),28664.44)</f>
        <v>28664.44</v>
      </c>
      <c r="AP1606" s="6" t="str">
        <f t="shared" ca="1" si="447"/>
        <v>20245</v>
      </c>
      <c r="AQ1606" s="6">
        <f t="shared" ca="1" si="448"/>
        <v>2024</v>
      </c>
      <c r="AR1606" s="6">
        <f t="shared" ca="1" si="449"/>
        <v>5</v>
      </c>
      <c r="AS1606" s="68">
        <f ca="1">IFERROR(__xludf.DUMMYFUNCTION("""COMPUTED_VALUE"""),45436.9986111111)</f>
        <v>45436.998611111099</v>
      </c>
      <c r="AT1606" s="6">
        <f ca="1">IFERROR(__xludf.DUMMYFUNCTION("""COMPUTED_VALUE"""),2356.9)</f>
        <v>2356.9</v>
      </c>
    </row>
    <row r="1607" spans="2:46" x14ac:dyDescent="0.35">
      <c r="B1607" s="6" t="str">
        <f t="shared" ref="B1607:B1670" ca="1" si="450">C1607&amp;D1607</f>
        <v>20245</v>
      </c>
      <c r="C1607" s="6">
        <f t="shared" ref="C1607:C1670" ca="1" si="451">YEAR(E1607)</f>
        <v>2024</v>
      </c>
      <c r="D1607" s="6">
        <f t="shared" ref="D1607:D1670" ca="1" si="452">MONTH(E1607)</f>
        <v>5</v>
      </c>
      <c r="E1607" s="68">
        <f ca="1">IFERROR(__xludf.DUMMYFUNCTION("""COMPUTED_VALUE"""),45432.6666666666)</f>
        <v>45432.666666666599</v>
      </c>
      <c r="F1607" s="6">
        <f ca="1">IFERROR(__xludf.DUMMYFUNCTION("""COMPUTED_VALUE"""),5308.13)</f>
        <v>5308.13</v>
      </c>
      <c r="J1607" s="6" t="str">
        <f t="shared" ref="J1607:J1670" ca="1" si="453">K1607&amp;L1607</f>
        <v>20245</v>
      </c>
      <c r="K1607" s="6">
        <f t="shared" ref="K1607:K1670" ca="1" si="454">YEAR(M1607)</f>
        <v>2024</v>
      </c>
      <c r="L1607" s="6">
        <f t="shared" ref="L1607:L1670" ca="1" si="455">MONTH(M1607)</f>
        <v>5</v>
      </c>
      <c r="M1607" s="68">
        <f ca="1">IFERROR(__xludf.DUMMYFUNCTION("""COMPUTED_VALUE"""),45422.6666666666)</f>
        <v>45422.666666666599</v>
      </c>
      <c r="N1607" s="6">
        <f ca="1">IFERROR(__xludf.DUMMYFUNCTION("""COMPUTED_VALUE"""),16340.87)</f>
        <v>16340.87</v>
      </c>
      <c r="R1607" s="6" t="str">
        <f t="shared" ref="R1607:R1670" ca="1" si="456">S1607&amp;T1607</f>
        <v>20247</v>
      </c>
      <c r="S1607" s="6">
        <f t="shared" ref="S1607:S1670" ca="1" si="457">YEAR(U1607)</f>
        <v>2024</v>
      </c>
      <c r="T1607" s="6">
        <f t="shared" ref="T1607:T1670" ca="1" si="458">MONTH(U1607)</f>
        <v>7</v>
      </c>
      <c r="U1607" s="68">
        <f ca="1">IFERROR(__xludf.DUMMYFUNCTION("""COMPUTED_VALUE"""),45488.6458333333)</f>
        <v>45488.645833333299</v>
      </c>
      <c r="V1607" s="6">
        <f ca="1">IFERROR(__xludf.DUMMYFUNCTION("""COMPUTED_VALUE"""),2860.92)</f>
        <v>2860.92</v>
      </c>
      <c r="Z1607" s="6" t="str">
        <f t="shared" ref="Z1607:Z1670" ca="1" si="459">AA1607&amp;AB1607</f>
        <v>20227</v>
      </c>
      <c r="AA1607" s="6">
        <f t="shared" ref="AA1607:AA1670" ca="1" si="460">YEAR(AC1607)</f>
        <v>2022</v>
      </c>
      <c r="AB1607" s="6">
        <f t="shared" ref="AB1607:AB1670" ca="1" si="461">MONTH(AC1607)</f>
        <v>7</v>
      </c>
      <c r="AC1607" s="68">
        <f ca="1">IFERROR(__xludf.DUMMYFUNCTION("""COMPUTED_VALUE"""),44756.9986111111)</f>
        <v>44756.998611111099</v>
      </c>
      <c r="AD1607" s="6">
        <f ca="1">IFERROR(__xludf.DUMMYFUNCTION("""COMPUTED_VALUE"""),1316.18)</f>
        <v>1316.18</v>
      </c>
      <c r="AH1607" s="6" t="str">
        <f t="shared" ref="AH1607:AH1670" ca="1" si="462">AI1607&amp;AJ1607</f>
        <v>20225</v>
      </c>
      <c r="AI1607" s="6">
        <f t="shared" ref="AI1607:AI1670" ca="1" si="463">YEAR(AK1607)</f>
        <v>2022</v>
      </c>
      <c r="AJ1607" s="6">
        <f t="shared" ref="AJ1607:AJ1670" ca="1" si="464">MONTH(AK1607)</f>
        <v>5</v>
      </c>
      <c r="AK1607" s="68">
        <f ca="1">IFERROR(__xludf.DUMMYFUNCTION("""COMPUTED_VALUE"""),44700.9986111111)</f>
        <v>44700.998611111099</v>
      </c>
      <c r="AL1607" s="6">
        <f ca="1">IFERROR(__xludf.DUMMYFUNCTION("""COMPUTED_VALUE"""),30280.26)</f>
        <v>30280.26</v>
      </c>
      <c r="AP1607" s="6" t="str">
        <f t="shared" ref="AP1607:AP1670" ca="1" si="465">AQ1607&amp;AR1607</f>
        <v>20245</v>
      </c>
      <c r="AQ1607" s="6">
        <f t="shared" ref="AQ1607:AQ1670" ca="1" si="466">YEAR(AS1607)</f>
        <v>2024</v>
      </c>
      <c r="AR1607" s="6">
        <f t="shared" ref="AR1607:AR1670" ca="1" si="467">MONTH(AS1607)</f>
        <v>5</v>
      </c>
      <c r="AS1607" s="68">
        <f ca="1">IFERROR(__xludf.DUMMYFUNCTION("""COMPUTED_VALUE"""),45440.9986111111)</f>
        <v>45440.998611111099</v>
      </c>
      <c r="AT1607" s="6">
        <f ca="1">IFERROR(__xludf.DUMMYFUNCTION("""COMPUTED_VALUE"""),2379.3)</f>
        <v>2379.3000000000002</v>
      </c>
    </row>
    <row r="1608" spans="2:46" x14ac:dyDescent="0.35">
      <c r="B1608" s="6" t="str">
        <f t="shared" ca="1" si="450"/>
        <v>20245</v>
      </c>
      <c r="C1608" s="6">
        <f t="shared" ca="1" si="451"/>
        <v>2024</v>
      </c>
      <c r="D1608" s="6">
        <f t="shared" ca="1" si="452"/>
        <v>5</v>
      </c>
      <c r="E1608" s="68">
        <f ca="1">IFERROR(__xludf.DUMMYFUNCTION("""COMPUTED_VALUE"""),45433.6666666666)</f>
        <v>45433.666666666599</v>
      </c>
      <c r="F1608" s="6">
        <f ca="1">IFERROR(__xludf.DUMMYFUNCTION("""COMPUTED_VALUE"""),5321.41)</f>
        <v>5321.41</v>
      </c>
      <c r="J1608" s="6" t="str">
        <f t="shared" ca="1" si="453"/>
        <v>20245</v>
      </c>
      <c r="K1608" s="6">
        <f t="shared" ca="1" si="454"/>
        <v>2024</v>
      </c>
      <c r="L1608" s="6">
        <f t="shared" ca="1" si="455"/>
        <v>5</v>
      </c>
      <c r="M1608" s="68">
        <f ca="1">IFERROR(__xludf.DUMMYFUNCTION("""COMPUTED_VALUE"""),45425.6666666666)</f>
        <v>45425.666666666599</v>
      </c>
      <c r="N1608" s="6">
        <f ca="1">IFERROR(__xludf.DUMMYFUNCTION("""COMPUTED_VALUE"""),16388.24)</f>
        <v>16388.240000000002</v>
      </c>
      <c r="R1608" s="6" t="str">
        <f t="shared" ca="1" si="456"/>
        <v>20247</v>
      </c>
      <c r="S1608" s="6">
        <f t="shared" ca="1" si="457"/>
        <v>2024</v>
      </c>
      <c r="T1608" s="6">
        <f t="shared" ca="1" si="458"/>
        <v>7</v>
      </c>
      <c r="U1608" s="68">
        <f ca="1">IFERROR(__xludf.DUMMYFUNCTION("""COMPUTED_VALUE"""),45489.6458333333)</f>
        <v>45489.645833333299</v>
      </c>
      <c r="V1608" s="6">
        <f ca="1">IFERROR(__xludf.DUMMYFUNCTION("""COMPUTED_VALUE"""),2866.09)</f>
        <v>2866.09</v>
      </c>
      <c r="Z1608" s="6" t="str">
        <f t="shared" ca="1" si="459"/>
        <v>20227</v>
      </c>
      <c r="AA1608" s="6">
        <f t="shared" ca="1" si="460"/>
        <v>2022</v>
      </c>
      <c r="AB1608" s="6">
        <f t="shared" ca="1" si="461"/>
        <v>7</v>
      </c>
      <c r="AC1608" s="68">
        <f ca="1">IFERROR(__xludf.DUMMYFUNCTION("""COMPUTED_VALUE"""),44757.9986111111)</f>
        <v>44757.998611111099</v>
      </c>
      <c r="AD1608" s="6">
        <f ca="1">IFERROR(__xludf.DUMMYFUNCTION("""COMPUTED_VALUE"""),1317.9)</f>
        <v>1317.9</v>
      </c>
      <c r="AH1608" s="6" t="str">
        <f t="shared" ca="1" si="462"/>
        <v>20225</v>
      </c>
      <c r="AI1608" s="6">
        <f t="shared" ca="1" si="463"/>
        <v>2022</v>
      </c>
      <c r="AJ1608" s="6">
        <f t="shared" ca="1" si="464"/>
        <v>5</v>
      </c>
      <c r="AK1608" s="68">
        <f ca="1">IFERROR(__xludf.DUMMYFUNCTION("""COMPUTED_VALUE"""),44701.9986111111)</f>
        <v>44701.998611111099</v>
      </c>
      <c r="AL1608" s="6">
        <f ca="1">IFERROR(__xludf.DUMMYFUNCTION("""COMPUTED_VALUE"""),29160.5)</f>
        <v>29160.5</v>
      </c>
      <c r="AP1608" s="6" t="str">
        <f t="shared" ca="1" si="465"/>
        <v>20245</v>
      </c>
      <c r="AQ1608" s="6">
        <f t="shared" ca="1" si="466"/>
        <v>2024</v>
      </c>
      <c r="AR1608" s="6">
        <f t="shared" ca="1" si="467"/>
        <v>5</v>
      </c>
      <c r="AS1608" s="68">
        <f ca="1">IFERROR(__xludf.DUMMYFUNCTION("""COMPUTED_VALUE"""),45441.9986111111)</f>
        <v>45441.998611111099</v>
      </c>
      <c r="AT1608" s="6">
        <f ca="1">IFERROR(__xludf.DUMMYFUNCTION("""COMPUTED_VALUE"""),2364.1)</f>
        <v>2364.1</v>
      </c>
    </row>
    <row r="1609" spans="2:46" x14ac:dyDescent="0.35">
      <c r="B1609" s="6" t="str">
        <f t="shared" ca="1" si="450"/>
        <v>20245</v>
      </c>
      <c r="C1609" s="6">
        <f t="shared" ca="1" si="451"/>
        <v>2024</v>
      </c>
      <c r="D1609" s="6">
        <f t="shared" ca="1" si="452"/>
        <v>5</v>
      </c>
      <c r="E1609" s="68">
        <f ca="1">IFERROR(__xludf.DUMMYFUNCTION("""COMPUTED_VALUE"""),45434.6666666666)</f>
        <v>45434.666666666599</v>
      </c>
      <c r="F1609" s="6">
        <f ca="1">IFERROR(__xludf.DUMMYFUNCTION("""COMPUTED_VALUE"""),5307.01)</f>
        <v>5307.01</v>
      </c>
      <c r="J1609" s="6" t="str">
        <f t="shared" ca="1" si="453"/>
        <v>20245</v>
      </c>
      <c r="K1609" s="6">
        <f t="shared" ca="1" si="454"/>
        <v>2024</v>
      </c>
      <c r="L1609" s="6">
        <f t="shared" ca="1" si="455"/>
        <v>5</v>
      </c>
      <c r="M1609" s="68">
        <f ca="1">IFERROR(__xludf.DUMMYFUNCTION("""COMPUTED_VALUE"""),45426.6666666666)</f>
        <v>45426.666666666599</v>
      </c>
      <c r="N1609" s="6">
        <f ca="1">IFERROR(__xludf.DUMMYFUNCTION("""COMPUTED_VALUE"""),16511.18)</f>
        <v>16511.18</v>
      </c>
      <c r="R1609" s="6" t="str">
        <f t="shared" ca="1" si="456"/>
        <v>20247</v>
      </c>
      <c r="S1609" s="6">
        <f t="shared" ca="1" si="457"/>
        <v>2024</v>
      </c>
      <c r="T1609" s="6">
        <f t="shared" ca="1" si="458"/>
        <v>7</v>
      </c>
      <c r="U1609" s="68">
        <f ca="1">IFERROR(__xludf.DUMMYFUNCTION("""COMPUTED_VALUE"""),45490.6458333333)</f>
        <v>45490.645833333299</v>
      </c>
      <c r="V1609" s="6">
        <f ca="1">IFERROR(__xludf.DUMMYFUNCTION("""COMPUTED_VALUE"""),2843.29)</f>
        <v>2843.29</v>
      </c>
      <c r="Z1609" s="6" t="str">
        <f t="shared" ca="1" si="459"/>
        <v>20227</v>
      </c>
      <c r="AA1609" s="6">
        <f t="shared" ca="1" si="460"/>
        <v>2022</v>
      </c>
      <c r="AB1609" s="6">
        <f t="shared" ca="1" si="461"/>
        <v>7</v>
      </c>
      <c r="AC1609" s="68">
        <f ca="1">IFERROR(__xludf.DUMMYFUNCTION("""COMPUTED_VALUE"""),44758.9986111111)</f>
        <v>44758.998611111099</v>
      </c>
      <c r="AD1609" s="6">
        <f ca="1">IFERROR(__xludf.DUMMYFUNCTION("""COMPUTED_VALUE"""),1317.23)</f>
        <v>1317.23</v>
      </c>
      <c r="AH1609" s="6" t="str">
        <f t="shared" ca="1" si="462"/>
        <v>20225</v>
      </c>
      <c r="AI1609" s="6">
        <f t="shared" ca="1" si="463"/>
        <v>2022</v>
      </c>
      <c r="AJ1609" s="6">
        <f t="shared" ca="1" si="464"/>
        <v>5</v>
      </c>
      <c r="AK1609" s="68">
        <f ca="1">IFERROR(__xludf.DUMMYFUNCTION("""COMPUTED_VALUE"""),44702.9986111111)</f>
        <v>44702.998611111099</v>
      </c>
      <c r="AL1609" s="6">
        <f ca="1">IFERROR(__xludf.DUMMYFUNCTION("""COMPUTED_VALUE"""),29410.01)</f>
        <v>29410.01</v>
      </c>
      <c r="AP1609" s="6" t="str">
        <f t="shared" ca="1" si="465"/>
        <v>20245</v>
      </c>
      <c r="AQ1609" s="6">
        <f t="shared" ca="1" si="466"/>
        <v>2024</v>
      </c>
      <c r="AR1609" s="6">
        <f t="shared" ca="1" si="467"/>
        <v>5</v>
      </c>
      <c r="AS1609" s="68">
        <f ca="1">IFERROR(__xludf.DUMMYFUNCTION("""COMPUTED_VALUE"""),45442.9986111111)</f>
        <v>45442.998611111099</v>
      </c>
      <c r="AT1609" s="6">
        <f ca="1">IFERROR(__xludf.DUMMYFUNCTION("""COMPUTED_VALUE"""),2366.5)</f>
        <v>2366.5</v>
      </c>
    </row>
    <row r="1610" spans="2:46" x14ac:dyDescent="0.35">
      <c r="B1610" s="6" t="str">
        <f t="shared" ca="1" si="450"/>
        <v>20245</v>
      </c>
      <c r="C1610" s="6">
        <f t="shared" ca="1" si="451"/>
        <v>2024</v>
      </c>
      <c r="D1610" s="6">
        <f t="shared" ca="1" si="452"/>
        <v>5</v>
      </c>
      <c r="E1610" s="68">
        <f ca="1">IFERROR(__xludf.DUMMYFUNCTION("""COMPUTED_VALUE"""),45435.6666666666)</f>
        <v>45435.666666666599</v>
      </c>
      <c r="F1610" s="6">
        <f ca="1">IFERROR(__xludf.DUMMYFUNCTION("""COMPUTED_VALUE"""),5267.84)</f>
        <v>5267.84</v>
      </c>
      <c r="J1610" s="6" t="str">
        <f t="shared" ca="1" si="453"/>
        <v>20245</v>
      </c>
      <c r="K1610" s="6">
        <f t="shared" ca="1" si="454"/>
        <v>2024</v>
      </c>
      <c r="L1610" s="6">
        <f t="shared" ca="1" si="455"/>
        <v>5</v>
      </c>
      <c r="M1610" s="68">
        <f ca="1">IFERROR(__xludf.DUMMYFUNCTION("""COMPUTED_VALUE"""),45427.6666666666)</f>
        <v>45427.666666666599</v>
      </c>
      <c r="N1610" s="6">
        <f ca="1">IFERROR(__xludf.DUMMYFUNCTION("""COMPUTED_VALUE"""),16742.39)</f>
        <v>16742.39</v>
      </c>
      <c r="R1610" s="6" t="str">
        <f t="shared" ca="1" si="456"/>
        <v>20247</v>
      </c>
      <c r="S1610" s="6">
        <f t="shared" ca="1" si="457"/>
        <v>2024</v>
      </c>
      <c r="T1610" s="6">
        <f t="shared" ca="1" si="458"/>
        <v>7</v>
      </c>
      <c r="U1610" s="68">
        <f ca="1">IFERROR(__xludf.DUMMYFUNCTION("""COMPUTED_VALUE"""),45491.6458333333)</f>
        <v>45491.645833333299</v>
      </c>
      <c r="V1610" s="6">
        <f ca="1">IFERROR(__xludf.DUMMYFUNCTION("""COMPUTED_VALUE"""),2824.35)</f>
        <v>2824.35</v>
      </c>
      <c r="Z1610" s="6" t="str">
        <f t="shared" ca="1" si="459"/>
        <v>20227</v>
      </c>
      <c r="AA1610" s="6">
        <f t="shared" ca="1" si="460"/>
        <v>2022</v>
      </c>
      <c r="AB1610" s="6">
        <f t="shared" ca="1" si="461"/>
        <v>7</v>
      </c>
      <c r="AC1610" s="68">
        <f ca="1">IFERROR(__xludf.DUMMYFUNCTION("""COMPUTED_VALUE"""),44759.9986111111)</f>
        <v>44759.998611111099</v>
      </c>
      <c r="AD1610" s="6">
        <f ca="1">IFERROR(__xludf.DUMMYFUNCTION("""COMPUTED_VALUE"""),1318.12)</f>
        <v>1318.12</v>
      </c>
      <c r="AH1610" s="6" t="str">
        <f t="shared" ca="1" si="462"/>
        <v>20225</v>
      </c>
      <c r="AI1610" s="6">
        <f t="shared" ca="1" si="463"/>
        <v>2022</v>
      </c>
      <c r="AJ1610" s="6">
        <f t="shared" ca="1" si="464"/>
        <v>5</v>
      </c>
      <c r="AK1610" s="68">
        <f ca="1">IFERROR(__xludf.DUMMYFUNCTION("""COMPUTED_VALUE"""),44703.9986111111)</f>
        <v>44703.998611111099</v>
      </c>
      <c r="AL1610" s="6">
        <f ca="1">IFERROR(__xludf.DUMMYFUNCTION("""COMPUTED_VALUE"""),30264.81)</f>
        <v>30264.81</v>
      </c>
      <c r="AP1610" s="6" t="str">
        <f t="shared" ca="1" si="465"/>
        <v>20245</v>
      </c>
      <c r="AQ1610" s="6">
        <f t="shared" ca="1" si="466"/>
        <v>2024</v>
      </c>
      <c r="AR1610" s="6">
        <f t="shared" ca="1" si="467"/>
        <v>5</v>
      </c>
      <c r="AS1610" s="68">
        <f ca="1">IFERROR(__xludf.DUMMYFUNCTION("""COMPUTED_VALUE"""),45443.9986111111)</f>
        <v>45443.998611111099</v>
      </c>
      <c r="AT1610" s="6">
        <f ca="1">IFERROR(__xludf.DUMMYFUNCTION("""COMPUTED_VALUE"""),2345.8)</f>
        <v>2345.8000000000002</v>
      </c>
    </row>
    <row r="1611" spans="2:46" x14ac:dyDescent="0.35">
      <c r="B1611" s="6" t="str">
        <f t="shared" ca="1" si="450"/>
        <v>20245</v>
      </c>
      <c r="C1611" s="6">
        <f t="shared" ca="1" si="451"/>
        <v>2024</v>
      </c>
      <c r="D1611" s="6">
        <f t="shared" ca="1" si="452"/>
        <v>5</v>
      </c>
      <c r="E1611" s="68">
        <f ca="1">IFERROR(__xludf.DUMMYFUNCTION("""COMPUTED_VALUE"""),45436.6666666666)</f>
        <v>45436.666666666599</v>
      </c>
      <c r="F1611" s="6">
        <f ca="1">IFERROR(__xludf.DUMMYFUNCTION("""COMPUTED_VALUE"""),5304.72)</f>
        <v>5304.72</v>
      </c>
      <c r="J1611" s="6" t="str">
        <f t="shared" ca="1" si="453"/>
        <v>20245</v>
      </c>
      <c r="K1611" s="6">
        <f t="shared" ca="1" si="454"/>
        <v>2024</v>
      </c>
      <c r="L1611" s="6">
        <f t="shared" ca="1" si="455"/>
        <v>5</v>
      </c>
      <c r="M1611" s="68">
        <f ca="1">IFERROR(__xludf.DUMMYFUNCTION("""COMPUTED_VALUE"""),45428.6666666666)</f>
        <v>45428.666666666599</v>
      </c>
      <c r="N1611" s="6">
        <f ca="1">IFERROR(__xludf.DUMMYFUNCTION("""COMPUTED_VALUE"""),16698.32)</f>
        <v>16698.32</v>
      </c>
      <c r="R1611" s="6" t="str">
        <f t="shared" ca="1" si="456"/>
        <v>20247</v>
      </c>
      <c r="S1611" s="6">
        <f t="shared" ca="1" si="457"/>
        <v>2024</v>
      </c>
      <c r="T1611" s="6">
        <f t="shared" ca="1" si="458"/>
        <v>7</v>
      </c>
      <c r="U1611" s="68">
        <f ca="1">IFERROR(__xludf.DUMMYFUNCTION("""COMPUTED_VALUE"""),45492.6458333333)</f>
        <v>45492.645833333299</v>
      </c>
      <c r="V1611" s="6">
        <f ca="1">IFERROR(__xludf.DUMMYFUNCTION("""COMPUTED_VALUE"""),2795.46)</f>
        <v>2795.46</v>
      </c>
      <c r="Z1611" s="6" t="str">
        <f t="shared" ca="1" si="459"/>
        <v>20227</v>
      </c>
      <c r="AA1611" s="6">
        <f t="shared" ca="1" si="460"/>
        <v>2022</v>
      </c>
      <c r="AB1611" s="6">
        <f t="shared" ca="1" si="461"/>
        <v>7</v>
      </c>
      <c r="AC1611" s="68">
        <f ca="1">IFERROR(__xludf.DUMMYFUNCTION("""COMPUTED_VALUE"""),44760.9986111111)</f>
        <v>44760.998611111099</v>
      </c>
      <c r="AD1611" s="6">
        <f ca="1">IFERROR(__xludf.DUMMYFUNCTION("""COMPUTED_VALUE"""),1318.91)</f>
        <v>1318.91</v>
      </c>
      <c r="AH1611" s="6" t="str">
        <f t="shared" ca="1" si="462"/>
        <v>20225</v>
      </c>
      <c r="AI1611" s="6">
        <f t="shared" ca="1" si="463"/>
        <v>2022</v>
      </c>
      <c r="AJ1611" s="6">
        <f t="shared" ca="1" si="464"/>
        <v>5</v>
      </c>
      <c r="AK1611" s="68">
        <f ca="1">IFERROR(__xludf.DUMMYFUNCTION("""COMPUTED_VALUE"""),44704.9986111111)</f>
        <v>44704.998611111099</v>
      </c>
      <c r="AL1611" s="6">
        <f ca="1">IFERROR(__xludf.DUMMYFUNCTION("""COMPUTED_VALUE"""),29075.09)</f>
        <v>29075.09</v>
      </c>
      <c r="AP1611" s="6" t="str">
        <f t="shared" ca="1" si="465"/>
        <v>20246</v>
      </c>
      <c r="AQ1611" s="6">
        <f t="shared" ca="1" si="466"/>
        <v>2024</v>
      </c>
      <c r="AR1611" s="6">
        <f t="shared" ca="1" si="467"/>
        <v>6</v>
      </c>
      <c r="AS1611" s="68">
        <f ca="1">IFERROR(__xludf.DUMMYFUNCTION("""COMPUTED_VALUE"""),45446.9986111111)</f>
        <v>45446.998611111099</v>
      </c>
      <c r="AT1611" s="6">
        <f ca="1">IFERROR(__xludf.DUMMYFUNCTION("""COMPUTED_VALUE"""),2369.3)</f>
        <v>2369.3000000000002</v>
      </c>
    </row>
    <row r="1612" spans="2:46" x14ac:dyDescent="0.35">
      <c r="B1612" s="6" t="str">
        <f t="shared" ca="1" si="450"/>
        <v>20245</v>
      </c>
      <c r="C1612" s="6">
        <f t="shared" ca="1" si="451"/>
        <v>2024</v>
      </c>
      <c r="D1612" s="6">
        <f t="shared" ca="1" si="452"/>
        <v>5</v>
      </c>
      <c r="E1612" s="68">
        <f ca="1">IFERROR(__xludf.DUMMYFUNCTION("""COMPUTED_VALUE"""),45440.6666666666)</f>
        <v>45440.666666666599</v>
      </c>
      <c r="F1612" s="6">
        <f ca="1">IFERROR(__xludf.DUMMYFUNCTION("""COMPUTED_VALUE"""),5306.04)</f>
        <v>5306.04</v>
      </c>
      <c r="J1612" s="6" t="str">
        <f t="shared" ca="1" si="453"/>
        <v>20245</v>
      </c>
      <c r="K1612" s="6">
        <f t="shared" ca="1" si="454"/>
        <v>2024</v>
      </c>
      <c r="L1612" s="6">
        <f t="shared" ca="1" si="455"/>
        <v>5</v>
      </c>
      <c r="M1612" s="68">
        <f ca="1">IFERROR(__xludf.DUMMYFUNCTION("""COMPUTED_VALUE"""),45429.6666666666)</f>
        <v>45429.666666666599</v>
      </c>
      <c r="N1612" s="6">
        <f ca="1">IFERROR(__xludf.DUMMYFUNCTION("""COMPUTED_VALUE"""),16685.97)</f>
        <v>16685.97</v>
      </c>
      <c r="R1612" s="6" t="str">
        <f t="shared" ca="1" si="456"/>
        <v>20247</v>
      </c>
      <c r="S1612" s="6">
        <f t="shared" ca="1" si="457"/>
        <v>2024</v>
      </c>
      <c r="T1612" s="6">
        <f t="shared" ca="1" si="458"/>
        <v>7</v>
      </c>
      <c r="U1612" s="68">
        <f ca="1">IFERROR(__xludf.DUMMYFUNCTION("""COMPUTED_VALUE"""),45495.6458333333)</f>
        <v>45495.645833333299</v>
      </c>
      <c r="V1612" s="6">
        <f ca="1">IFERROR(__xludf.DUMMYFUNCTION("""COMPUTED_VALUE"""),2763.51)</f>
        <v>2763.51</v>
      </c>
      <c r="Z1612" s="6" t="str">
        <f t="shared" ca="1" si="459"/>
        <v>20227</v>
      </c>
      <c r="AA1612" s="6">
        <f t="shared" ca="1" si="460"/>
        <v>2022</v>
      </c>
      <c r="AB1612" s="6">
        <f t="shared" ca="1" si="461"/>
        <v>7</v>
      </c>
      <c r="AC1612" s="68">
        <f ca="1">IFERROR(__xludf.DUMMYFUNCTION("""COMPUTED_VALUE"""),44761.9986111111)</f>
        <v>44761.998611111099</v>
      </c>
      <c r="AD1612" s="6">
        <f ca="1">IFERROR(__xludf.DUMMYFUNCTION("""COMPUTED_VALUE"""),1305.5)</f>
        <v>1305.5</v>
      </c>
      <c r="AH1612" s="6" t="str">
        <f t="shared" ca="1" si="462"/>
        <v>20225</v>
      </c>
      <c r="AI1612" s="6">
        <f t="shared" ca="1" si="463"/>
        <v>2022</v>
      </c>
      <c r="AJ1612" s="6">
        <f t="shared" ca="1" si="464"/>
        <v>5</v>
      </c>
      <c r="AK1612" s="68">
        <f ca="1">IFERROR(__xludf.DUMMYFUNCTION("""COMPUTED_VALUE"""),44705.9986111111)</f>
        <v>44705.998611111099</v>
      </c>
      <c r="AL1612" s="6">
        <f ca="1">IFERROR(__xludf.DUMMYFUNCTION("""COMPUTED_VALUE"""),29631.11)</f>
        <v>29631.11</v>
      </c>
      <c r="AP1612" s="6" t="str">
        <f t="shared" ca="1" si="465"/>
        <v>20246</v>
      </c>
      <c r="AQ1612" s="6">
        <f t="shared" ca="1" si="466"/>
        <v>2024</v>
      </c>
      <c r="AR1612" s="6">
        <f t="shared" ca="1" si="467"/>
        <v>6</v>
      </c>
      <c r="AS1612" s="68">
        <f ca="1">IFERROR(__xludf.DUMMYFUNCTION("""COMPUTED_VALUE"""),45447.9986111111)</f>
        <v>45447.998611111099</v>
      </c>
      <c r="AT1612" s="6">
        <f ca="1">IFERROR(__xludf.DUMMYFUNCTION("""COMPUTED_VALUE"""),2347.4)</f>
        <v>2347.4</v>
      </c>
    </row>
    <row r="1613" spans="2:46" x14ac:dyDescent="0.35">
      <c r="B1613" s="6" t="str">
        <f t="shared" ca="1" si="450"/>
        <v>20245</v>
      </c>
      <c r="C1613" s="6">
        <f t="shared" ca="1" si="451"/>
        <v>2024</v>
      </c>
      <c r="D1613" s="6">
        <f t="shared" ca="1" si="452"/>
        <v>5</v>
      </c>
      <c r="E1613" s="68">
        <f ca="1">IFERROR(__xludf.DUMMYFUNCTION("""COMPUTED_VALUE"""),45441.6666666666)</f>
        <v>45441.666666666599</v>
      </c>
      <c r="F1613" s="6">
        <f ca="1">IFERROR(__xludf.DUMMYFUNCTION("""COMPUTED_VALUE"""),5266.95)</f>
        <v>5266.95</v>
      </c>
      <c r="J1613" s="6" t="str">
        <f t="shared" ca="1" si="453"/>
        <v>20245</v>
      </c>
      <c r="K1613" s="6">
        <f t="shared" ca="1" si="454"/>
        <v>2024</v>
      </c>
      <c r="L1613" s="6">
        <f t="shared" ca="1" si="455"/>
        <v>5</v>
      </c>
      <c r="M1613" s="68">
        <f ca="1">IFERROR(__xludf.DUMMYFUNCTION("""COMPUTED_VALUE"""),45432.6666666666)</f>
        <v>45432.666666666599</v>
      </c>
      <c r="N1613" s="6">
        <f ca="1">IFERROR(__xludf.DUMMYFUNCTION("""COMPUTED_VALUE"""),16794.87)</f>
        <v>16794.87</v>
      </c>
      <c r="R1613" s="6" t="str">
        <f t="shared" ca="1" si="456"/>
        <v>20247</v>
      </c>
      <c r="S1613" s="6">
        <f t="shared" ca="1" si="457"/>
        <v>2024</v>
      </c>
      <c r="T1613" s="6">
        <f t="shared" ca="1" si="458"/>
        <v>7</v>
      </c>
      <c r="U1613" s="68">
        <f ca="1">IFERROR(__xludf.DUMMYFUNCTION("""COMPUTED_VALUE"""),45496.6458333333)</f>
        <v>45496.645833333299</v>
      </c>
      <c r="V1613" s="6">
        <f ca="1">IFERROR(__xludf.DUMMYFUNCTION("""COMPUTED_VALUE"""),2774.29)</f>
        <v>2774.29</v>
      </c>
      <c r="Z1613" s="6" t="str">
        <f t="shared" ca="1" si="459"/>
        <v>20227</v>
      </c>
      <c r="AA1613" s="6">
        <f t="shared" ca="1" si="460"/>
        <v>2022</v>
      </c>
      <c r="AB1613" s="6">
        <f t="shared" ca="1" si="461"/>
        <v>7</v>
      </c>
      <c r="AC1613" s="68">
        <f ca="1">IFERROR(__xludf.DUMMYFUNCTION("""COMPUTED_VALUE"""),44762.9986111111)</f>
        <v>44762.998611111099</v>
      </c>
      <c r="AD1613" s="6">
        <f ca="1">IFERROR(__xludf.DUMMYFUNCTION("""COMPUTED_VALUE"""),1312.87)</f>
        <v>1312.87</v>
      </c>
      <c r="AH1613" s="6" t="str">
        <f t="shared" ca="1" si="462"/>
        <v>20225</v>
      </c>
      <c r="AI1613" s="6">
        <f t="shared" ca="1" si="463"/>
        <v>2022</v>
      </c>
      <c r="AJ1613" s="6">
        <f t="shared" ca="1" si="464"/>
        <v>5</v>
      </c>
      <c r="AK1613" s="68">
        <f ca="1">IFERROR(__xludf.DUMMYFUNCTION("""COMPUTED_VALUE"""),44706.9986111111)</f>
        <v>44706.998611111099</v>
      </c>
      <c r="AL1613" s="6">
        <f ca="1">IFERROR(__xludf.DUMMYFUNCTION("""COMPUTED_VALUE"""),29506.05)</f>
        <v>29506.05</v>
      </c>
      <c r="AP1613" s="6" t="str">
        <f t="shared" ca="1" si="465"/>
        <v>20246</v>
      </c>
      <c r="AQ1613" s="6">
        <f t="shared" ca="1" si="466"/>
        <v>2024</v>
      </c>
      <c r="AR1613" s="6">
        <f t="shared" ca="1" si="467"/>
        <v>6</v>
      </c>
      <c r="AS1613" s="68">
        <f ca="1">IFERROR(__xludf.DUMMYFUNCTION("""COMPUTED_VALUE"""),45448.9986111111)</f>
        <v>45448.998611111099</v>
      </c>
      <c r="AT1613" s="6">
        <f ca="1">IFERROR(__xludf.DUMMYFUNCTION("""COMPUTED_VALUE"""),2375.5)</f>
        <v>2375.5</v>
      </c>
    </row>
    <row r="1614" spans="2:46" x14ac:dyDescent="0.35">
      <c r="B1614" s="6" t="str">
        <f t="shared" ca="1" si="450"/>
        <v>20245</v>
      </c>
      <c r="C1614" s="6">
        <f t="shared" ca="1" si="451"/>
        <v>2024</v>
      </c>
      <c r="D1614" s="6">
        <f t="shared" ca="1" si="452"/>
        <v>5</v>
      </c>
      <c r="E1614" s="68">
        <f ca="1">IFERROR(__xludf.DUMMYFUNCTION("""COMPUTED_VALUE"""),45442.6666666666)</f>
        <v>45442.666666666599</v>
      </c>
      <c r="F1614" s="6">
        <f ca="1">IFERROR(__xludf.DUMMYFUNCTION("""COMPUTED_VALUE"""),5235.48)</f>
        <v>5235.4799999999996</v>
      </c>
      <c r="J1614" s="6" t="str">
        <f t="shared" ca="1" si="453"/>
        <v>20245</v>
      </c>
      <c r="K1614" s="6">
        <f t="shared" ca="1" si="454"/>
        <v>2024</v>
      </c>
      <c r="L1614" s="6">
        <f t="shared" ca="1" si="455"/>
        <v>5</v>
      </c>
      <c r="M1614" s="68">
        <f ca="1">IFERROR(__xludf.DUMMYFUNCTION("""COMPUTED_VALUE"""),45433.6666666666)</f>
        <v>45433.666666666599</v>
      </c>
      <c r="N1614" s="6">
        <f ca="1">IFERROR(__xludf.DUMMYFUNCTION("""COMPUTED_VALUE"""),16832.62)</f>
        <v>16832.62</v>
      </c>
      <c r="R1614" s="6" t="str">
        <f t="shared" ca="1" si="456"/>
        <v>20247</v>
      </c>
      <c r="S1614" s="6">
        <f t="shared" ca="1" si="457"/>
        <v>2024</v>
      </c>
      <c r="T1614" s="6">
        <f t="shared" ca="1" si="458"/>
        <v>7</v>
      </c>
      <c r="U1614" s="68">
        <f ca="1">IFERROR(__xludf.DUMMYFUNCTION("""COMPUTED_VALUE"""),45497.6458333333)</f>
        <v>45497.645833333299</v>
      </c>
      <c r="V1614" s="6">
        <f ca="1">IFERROR(__xludf.DUMMYFUNCTION("""COMPUTED_VALUE"""),2758.71)</f>
        <v>2758.71</v>
      </c>
      <c r="Z1614" s="6" t="str">
        <f t="shared" ca="1" si="459"/>
        <v>20227</v>
      </c>
      <c r="AA1614" s="6">
        <f t="shared" ca="1" si="460"/>
        <v>2022</v>
      </c>
      <c r="AB1614" s="6">
        <f t="shared" ca="1" si="461"/>
        <v>7</v>
      </c>
      <c r="AC1614" s="68">
        <f ca="1">IFERROR(__xludf.DUMMYFUNCTION("""COMPUTED_VALUE"""),44763.9986111111)</f>
        <v>44763.998611111099</v>
      </c>
      <c r="AD1614" s="6">
        <f ca="1">IFERROR(__xludf.DUMMYFUNCTION("""COMPUTED_VALUE"""),1306.85)</f>
        <v>1306.8499999999999</v>
      </c>
      <c r="AH1614" s="6" t="str">
        <f t="shared" ca="1" si="462"/>
        <v>20225</v>
      </c>
      <c r="AI1614" s="6">
        <f t="shared" ca="1" si="463"/>
        <v>2022</v>
      </c>
      <c r="AJ1614" s="6">
        <f t="shared" ca="1" si="464"/>
        <v>5</v>
      </c>
      <c r="AK1614" s="68">
        <f ca="1">IFERROR(__xludf.DUMMYFUNCTION("""COMPUTED_VALUE"""),44707.9986111111)</f>
        <v>44707.998611111099</v>
      </c>
      <c r="AL1614" s="6">
        <f ca="1">IFERROR(__xludf.DUMMYFUNCTION("""COMPUTED_VALUE"""),29187.76)</f>
        <v>29187.759999999998</v>
      </c>
      <c r="AP1614" s="6" t="str">
        <f t="shared" ca="1" si="465"/>
        <v>20246</v>
      </c>
      <c r="AQ1614" s="6">
        <f t="shared" ca="1" si="466"/>
        <v>2024</v>
      </c>
      <c r="AR1614" s="6">
        <f t="shared" ca="1" si="467"/>
        <v>6</v>
      </c>
      <c r="AS1614" s="68">
        <f ca="1">IFERROR(__xludf.DUMMYFUNCTION("""COMPUTED_VALUE"""),45449.9986111111)</f>
        <v>45449.998611111099</v>
      </c>
      <c r="AT1614" s="6">
        <f ca="1">IFERROR(__xludf.DUMMYFUNCTION("""COMPUTED_VALUE"""),2390.9)</f>
        <v>2390.9</v>
      </c>
    </row>
    <row r="1615" spans="2:46" x14ac:dyDescent="0.35">
      <c r="B1615" s="6" t="str">
        <f t="shared" ca="1" si="450"/>
        <v>20245</v>
      </c>
      <c r="C1615" s="6">
        <f t="shared" ca="1" si="451"/>
        <v>2024</v>
      </c>
      <c r="D1615" s="6">
        <f t="shared" ca="1" si="452"/>
        <v>5</v>
      </c>
      <c r="E1615" s="68">
        <f ca="1">IFERROR(__xludf.DUMMYFUNCTION("""COMPUTED_VALUE"""),45443.6666666666)</f>
        <v>45443.666666666599</v>
      </c>
      <c r="F1615" s="6">
        <f ca="1">IFERROR(__xludf.DUMMYFUNCTION("""COMPUTED_VALUE"""),5277.51)</f>
        <v>5277.51</v>
      </c>
      <c r="J1615" s="6" t="str">
        <f t="shared" ca="1" si="453"/>
        <v>20245</v>
      </c>
      <c r="K1615" s="6">
        <f t="shared" ca="1" si="454"/>
        <v>2024</v>
      </c>
      <c r="L1615" s="6">
        <f t="shared" ca="1" si="455"/>
        <v>5</v>
      </c>
      <c r="M1615" s="68">
        <f ca="1">IFERROR(__xludf.DUMMYFUNCTION("""COMPUTED_VALUE"""),45434.6666666666)</f>
        <v>45434.666666666599</v>
      </c>
      <c r="N1615" s="6">
        <f ca="1">IFERROR(__xludf.DUMMYFUNCTION("""COMPUTED_VALUE"""),16801.54)</f>
        <v>16801.54</v>
      </c>
      <c r="R1615" s="6" t="str">
        <f t="shared" ca="1" si="456"/>
        <v>20247</v>
      </c>
      <c r="S1615" s="6">
        <f t="shared" ca="1" si="457"/>
        <v>2024</v>
      </c>
      <c r="T1615" s="6">
        <f t="shared" ca="1" si="458"/>
        <v>7</v>
      </c>
      <c r="U1615" s="68">
        <f ca="1">IFERROR(__xludf.DUMMYFUNCTION("""COMPUTED_VALUE"""),45498.6458333333)</f>
        <v>45498.645833333299</v>
      </c>
      <c r="V1615" s="6">
        <f ca="1">IFERROR(__xludf.DUMMYFUNCTION("""COMPUTED_VALUE"""),2710.65)</f>
        <v>2710.65</v>
      </c>
      <c r="Z1615" s="6" t="str">
        <f t="shared" ca="1" si="459"/>
        <v>20227</v>
      </c>
      <c r="AA1615" s="6">
        <f t="shared" ca="1" si="460"/>
        <v>2022</v>
      </c>
      <c r="AB1615" s="6">
        <f t="shared" ca="1" si="461"/>
        <v>7</v>
      </c>
      <c r="AC1615" s="68">
        <f ca="1">IFERROR(__xludf.DUMMYFUNCTION("""COMPUTED_VALUE"""),44764.9986111111)</f>
        <v>44764.998611111099</v>
      </c>
      <c r="AD1615" s="6">
        <f ca="1">IFERROR(__xludf.DUMMYFUNCTION("""COMPUTED_VALUE"""),1309.23)</f>
        <v>1309.23</v>
      </c>
      <c r="AH1615" s="6" t="str">
        <f t="shared" ca="1" si="462"/>
        <v>20225</v>
      </c>
      <c r="AI1615" s="6">
        <f t="shared" ca="1" si="463"/>
        <v>2022</v>
      </c>
      <c r="AJ1615" s="6">
        <f t="shared" ca="1" si="464"/>
        <v>5</v>
      </c>
      <c r="AK1615" s="68">
        <f ca="1">IFERROR(__xludf.DUMMYFUNCTION("""COMPUTED_VALUE"""),44708.9986111111)</f>
        <v>44708.998611111099</v>
      </c>
      <c r="AL1615" s="6">
        <f ca="1">IFERROR(__xludf.DUMMYFUNCTION("""COMPUTED_VALUE"""),28594.66)</f>
        <v>28594.66</v>
      </c>
      <c r="AP1615" s="6" t="str">
        <f t="shared" ca="1" si="465"/>
        <v>20246</v>
      </c>
      <c r="AQ1615" s="6">
        <f t="shared" ca="1" si="466"/>
        <v>2024</v>
      </c>
      <c r="AR1615" s="6">
        <f t="shared" ca="1" si="467"/>
        <v>6</v>
      </c>
      <c r="AS1615" s="68">
        <f ca="1">IFERROR(__xludf.DUMMYFUNCTION("""COMPUTED_VALUE"""),45450.9986111111)</f>
        <v>45450.998611111099</v>
      </c>
      <c r="AT1615" s="6">
        <f ca="1">IFERROR(__xludf.DUMMYFUNCTION("""COMPUTED_VALUE"""),2325)</f>
        <v>2325</v>
      </c>
    </row>
    <row r="1616" spans="2:46" x14ac:dyDescent="0.35">
      <c r="B1616" s="6" t="str">
        <f t="shared" ca="1" si="450"/>
        <v>20246</v>
      </c>
      <c r="C1616" s="6">
        <f t="shared" ca="1" si="451"/>
        <v>2024</v>
      </c>
      <c r="D1616" s="6">
        <f t="shared" ca="1" si="452"/>
        <v>6</v>
      </c>
      <c r="E1616" s="68">
        <f ca="1">IFERROR(__xludf.DUMMYFUNCTION("""COMPUTED_VALUE"""),45446.6666666666)</f>
        <v>45446.666666666599</v>
      </c>
      <c r="F1616" s="6">
        <f ca="1">IFERROR(__xludf.DUMMYFUNCTION("""COMPUTED_VALUE"""),5283.4)</f>
        <v>5283.4</v>
      </c>
      <c r="J1616" s="6" t="str">
        <f t="shared" ca="1" si="453"/>
        <v>20245</v>
      </c>
      <c r="K1616" s="6">
        <f t="shared" ca="1" si="454"/>
        <v>2024</v>
      </c>
      <c r="L1616" s="6">
        <f t="shared" ca="1" si="455"/>
        <v>5</v>
      </c>
      <c r="M1616" s="68">
        <f ca="1">IFERROR(__xludf.DUMMYFUNCTION("""COMPUTED_VALUE"""),45435.6666666666)</f>
        <v>45435.666666666599</v>
      </c>
      <c r="N1616" s="6">
        <f ca="1">IFERROR(__xludf.DUMMYFUNCTION("""COMPUTED_VALUE"""),16736.03)</f>
        <v>16736.03</v>
      </c>
      <c r="R1616" s="6" t="str">
        <f t="shared" ca="1" si="456"/>
        <v>20247</v>
      </c>
      <c r="S1616" s="6">
        <f t="shared" ca="1" si="457"/>
        <v>2024</v>
      </c>
      <c r="T1616" s="6">
        <f t="shared" ca="1" si="458"/>
        <v>7</v>
      </c>
      <c r="U1616" s="68">
        <f ca="1">IFERROR(__xludf.DUMMYFUNCTION("""COMPUTED_VALUE"""),45499.6458333333)</f>
        <v>45499.645833333299</v>
      </c>
      <c r="V1616" s="6">
        <f ca="1">IFERROR(__xludf.DUMMYFUNCTION("""COMPUTED_VALUE"""),2731.9)</f>
        <v>2731.9</v>
      </c>
      <c r="Z1616" s="6" t="str">
        <f t="shared" ca="1" si="459"/>
        <v>20227</v>
      </c>
      <c r="AA1616" s="6">
        <f t="shared" ca="1" si="460"/>
        <v>2022</v>
      </c>
      <c r="AB1616" s="6">
        <f t="shared" ca="1" si="461"/>
        <v>7</v>
      </c>
      <c r="AC1616" s="68">
        <f ca="1">IFERROR(__xludf.DUMMYFUNCTION("""COMPUTED_VALUE"""),44765.9986111111)</f>
        <v>44765.998611111099</v>
      </c>
      <c r="AD1616" s="6">
        <f ca="1">IFERROR(__xludf.DUMMYFUNCTION("""COMPUTED_VALUE"""),1308.63)</f>
        <v>1308.6300000000001</v>
      </c>
      <c r="AH1616" s="6" t="str">
        <f t="shared" ca="1" si="462"/>
        <v>20225</v>
      </c>
      <c r="AI1616" s="6">
        <f t="shared" ca="1" si="463"/>
        <v>2022</v>
      </c>
      <c r="AJ1616" s="6">
        <f t="shared" ca="1" si="464"/>
        <v>5</v>
      </c>
      <c r="AK1616" s="68">
        <f ca="1">IFERROR(__xludf.DUMMYFUNCTION("""COMPUTED_VALUE"""),44709.9986111111)</f>
        <v>44709.998611111099</v>
      </c>
      <c r="AL1616" s="6">
        <f ca="1">IFERROR(__xludf.DUMMYFUNCTION("""COMPUTED_VALUE"""),29013.92)</f>
        <v>29013.919999999998</v>
      </c>
      <c r="AP1616" s="6" t="str">
        <f t="shared" ca="1" si="465"/>
        <v>20246</v>
      </c>
      <c r="AQ1616" s="6">
        <f t="shared" ca="1" si="466"/>
        <v>2024</v>
      </c>
      <c r="AR1616" s="6">
        <f t="shared" ca="1" si="467"/>
        <v>6</v>
      </c>
      <c r="AS1616" s="68">
        <f ca="1">IFERROR(__xludf.DUMMYFUNCTION("""COMPUTED_VALUE"""),45453.9986111111)</f>
        <v>45453.998611111099</v>
      </c>
      <c r="AT1616" s="6">
        <f ca="1">IFERROR(__xludf.DUMMYFUNCTION("""COMPUTED_VALUE"""),2327)</f>
        <v>2327</v>
      </c>
    </row>
    <row r="1617" spans="2:46" x14ac:dyDescent="0.35">
      <c r="B1617" s="6" t="str">
        <f t="shared" ca="1" si="450"/>
        <v>20246</v>
      </c>
      <c r="C1617" s="6">
        <f t="shared" ca="1" si="451"/>
        <v>2024</v>
      </c>
      <c r="D1617" s="6">
        <f t="shared" ca="1" si="452"/>
        <v>6</v>
      </c>
      <c r="E1617" s="68">
        <f ca="1">IFERROR(__xludf.DUMMYFUNCTION("""COMPUTED_VALUE"""),45447.6666666666)</f>
        <v>45447.666666666599</v>
      </c>
      <c r="F1617" s="6">
        <f ca="1">IFERROR(__xludf.DUMMYFUNCTION("""COMPUTED_VALUE"""),5291.34)</f>
        <v>5291.34</v>
      </c>
      <c r="J1617" s="6" t="str">
        <f t="shared" ca="1" si="453"/>
        <v>20245</v>
      </c>
      <c r="K1617" s="6">
        <f t="shared" ca="1" si="454"/>
        <v>2024</v>
      </c>
      <c r="L1617" s="6">
        <f t="shared" ca="1" si="455"/>
        <v>5</v>
      </c>
      <c r="M1617" s="68">
        <f ca="1">IFERROR(__xludf.DUMMYFUNCTION("""COMPUTED_VALUE"""),45436.6666666666)</f>
        <v>45436.666666666599</v>
      </c>
      <c r="N1617" s="6">
        <f ca="1">IFERROR(__xludf.DUMMYFUNCTION("""COMPUTED_VALUE"""),16920.79)</f>
        <v>16920.79</v>
      </c>
      <c r="R1617" s="6" t="str">
        <f t="shared" ca="1" si="456"/>
        <v>20247</v>
      </c>
      <c r="S1617" s="6">
        <f t="shared" ca="1" si="457"/>
        <v>2024</v>
      </c>
      <c r="T1617" s="6">
        <f t="shared" ca="1" si="458"/>
        <v>7</v>
      </c>
      <c r="U1617" s="68">
        <f ca="1">IFERROR(__xludf.DUMMYFUNCTION("""COMPUTED_VALUE"""),45502.6458333333)</f>
        <v>45502.645833333299</v>
      </c>
      <c r="V1617" s="6">
        <f ca="1">IFERROR(__xludf.DUMMYFUNCTION("""COMPUTED_VALUE"""),2765.53)</f>
        <v>2765.53</v>
      </c>
      <c r="Z1617" s="6" t="str">
        <f t="shared" ca="1" si="459"/>
        <v>20227</v>
      </c>
      <c r="AA1617" s="6">
        <f t="shared" ca="1" si="460"/>
        <v>2022</v>
      </c>
      <c r="AB1617" s="6">
        <f t="shared" ca="1" si="461"/>
        <v>7</v>
      </c>
      <c r="AC1617" s="68">
        <f ca="1">IFERROR(__xludf.DUMMYFUNCTION("""COMPUTED_VALUE"""),44766.9986111111)</f>
        <v>44766.998611111099</v>
      </c>
      <c r="AD1617" s="6">
        <f ca="1">IFERROR(__xludf.DUMMYFUNCTION("""COMPUTED_VALUE"""),1309.32)</f>
        <v>1309.32</v>
      </c>
      <c r="AH1617" s="6" t="str">
        <f t="shared" ca="1" si="462"/>
        <v>20225</v>
      </c>
      <c r="AI1617" s="6">
        <f t="shared" ca="1" si="463"/>
        <v>2022</v>
      </c>
      <c r="AJ1617" s="6">
        <f t="shared" ca="1" si="464"/>
        <v>5</v>
      </c>
      <c r="AK1617" s="68">
        <f ca="1">IFERROR(__xludf.DUMMYFUNCTION("""COMPUTED_VALUE"""),44710.9986111111)</f>
        <v>44710.998611111099</v>
      </c>
      <c r="AL1617" s="6">
        <f ca="1">IFERROR(__xludf.DUMMYFUNCTION("""COMPUTED_VALUE"""),29453.97)</f>
        <v>29453.97</v>
      </c>
      <c r="AP1617" s="6" t="str">
        <f t="shared" ca="1" si="465"/>
        <v>20246</v>
      </c>
      <c r="AQ1617" s="6">
        <f t="shared" ca="1" si="466"/>
        <v>2024</v>
      </c>
      <c r="AR1617" s="6">
        <f t="shared" ca="1" si="467"/>
        <v>6</v>
      </c>
      <c r="AS1617" s="68">
        <f ca="1">IFERROR(__xludf.DUMMYFUNCTION("""COMPUTED_VALUE"""),45454.9986111111)</f>
        <v>45454.998611111099</v>
      </c>
      <c r="AT1617" s="6">
        <f ca="1">IFERROR(__xludf.DUMMYFUNCTION("""COMPUTED_VALUE"""),2326.6)</f>
        <v>2326.6</v>
      </c>
    </row>
    <row r="1618" spans="2:46" x14ac:dyDescent="0.35">
      <c r="B1618" s="6" t="str">
        <f t="shared" ca="1" si="450"/>
        <v>20246</v>
      </c>
      <c r="C1618" s="6">
        <f t="shared" ca="1" si="451"/>
        <v>2024</v>
      </c>
      <c r="D1618" s="6">
        <f t="shared" ca="1" si="452"/>
        <v>6</v>
      </c>
      <c r="E1618" s="68">
        <f ca="1">IFERROR(__xludf.DUMMYFUNCTION("""COMPUTED_VALUE"""),45448.6666666666)</f>
        <v>45448.666666666599</v>
      </c>
      <c r="F1618" s="6">
        <f ca="1">IFERROR(__xludf.DUMMYFUNCTION("""COMPUTED_VALUE"""),5354.03)</f>
        <v>5354.03</v>
      </c>
      <c r="J1618" s="6" t="str">
        <f t="shared" ca="1" si="453"/>
        <v>20245</v>
      </c>
      <c r="K1618" s="6">
        <f t="shared" ca="1" si="454"/>
        <v>2024</v>
      </c>
      <c r="L1618" s="6">
        <f t="shared" ca="1" si="455"/>
        <v>5</v>
      </c>
      <c r="M1618" s="68">
        <f ca="1">IFERROR(__xludf.DUMMYFUNCTION("""COMPUTED_VALUE"""),45440.6666666666)</f>
        <v>45440.666666666599</v>
      </c>
      <c r="N1618" s="6">
        <f ca="1">IFERROR(__xludf.DUMMYFUNCTION("""COMPUTED_VALUE"""),17019.88)</f>
        <v>17019.88</v>
      </c>
      <c r="R1618" s="6" t="str">
        <f t="shared" ca="1" si="456"/>
        <v>20247</v>
      </c>
      <c r="S1618" s="6">
        <f t="shared" ca="1" si="457"/>
        <v>2024</v>
      </c>
      <c r="T1618" s="6">
        <f t="shared" ca="1" si="458"/>
        <v>7</v>
      </c>
      <c r="U1618" s="68">
        <f ca="1">IFERROR(__xludf.DUMMYFUNCTION("""COMPUTED_VALUE"""),45503.6458333333)</f>
        <v>45503.645833333299</v>
      </c>
      <c r="V1618" s="6">
        <f ca="1">IFERROR(__xludf.DUMMYFUNCTION("""COMPUTED_VALUE"""),2738.19)</f>
        <v>2738.19</v>
      </c>
      <c r="Z1618" s="6" t="str">
        <f t="shared" ca="1" si="459"/>
        <v>20227</v>
      </c>
      <c r="AA1618" s="6">
        <f t="shared" ca="1" si="460"/>
        <v>2022</v>
      </c>
      <c r="AB1618" s="6">
        <f t="shared" ca="1" si="461"/>
        <v>7</v>
      </c>
      <c r="AC1618" s="68">
        <f ca="1">IFERROR(__xludf.DUMMYFUNCTION("""COMPUTED_VALUE"""),44767.9986111111)</f>
        <v>44767.998611111099</v>
      </c>
      <c r="AD1618" s="6">
        <f ca="1">IFERROR(__xludf.DUMMYFUNCTION("""COMPUTED_VALUE"""),1310.4)</f>
        <v>1310.4000000000001</v>
      </c>
      <c r="AH1618" s="6" t="str">
        <f t="shared" ca="1" si="462"/>
        <v>20225</v>
      </c>
      <c r="AI1618" s="6">
        <f t="shared" ca="1" si="463"/>
        <v>2022</v>
      </c>
      <c r="AJ1618" s="6">
        <f t="shared" ca="1" si="464"/>
        <v>5</v>
      </c>
      <c r="AK1618" s="68">
        <f ca="1">IFERROR(__xludf.DUMMYFUNCTION("""COMPUTED_VALUE"""),44711.9986111111)</f>
        <v>44711.998611111099</v>
      </c>
      <c r="AL1618" s="6">
        <f ca="1">IFERROR(__xludf.DUMMYFUNCTION("""COMPUTED_VALUE"""),31716.84)</f>
        <v>31716.84</v>
      </c>
      <c r="AP1618" s="6" t="str">
        <f t="shared" ca="1" si="465"/>
        <v>20246</v>
      </c>
      <c r="AQ1618" s="6">
        <f t="shared" ca="1" si="466"/>
        <v>2024</v>
      </c>
      <c r="AR1618" s="6">
        <f t="shared" ca="1" si="467"/>
        <v>6</v>
      </c>
      <c r="AS1618" s="68">
        <f ca="1">IFERROR(__xludf.DUMMYFUNCTION("""COMPUTED_VALUE"""),45455.9986111111)</f>
        <v>45455.998611111099</v>
      </c>
      <c r="AT1618" s="6">
        <f ca="1">IFERROR(__xludf.DUMMYFUNCTION("""COMPUTED_VALUE"""),2354.8)</f>
        <v>2354.8000000000002</v>
      </c>
    </row>
    <row r="1619" spans="2:46" x14ac:dyDescent="0.35">
      <c r="B1619" s="6" t="str">
        <f t="shared" ca="1" si="450"/>
        <v>20246</v>
      </c>
      <c r="C1619" s="6">
        <f t="shared" ca="1" si="451"/>
        <v>2024</v>
      </c>
      <c r="D1619" s="6">
        <f t="shared" ca="1" si="452"/>
        <v>6</v>
      </c>
      <c r="E1619" s="68">
        <f ca="1">IFERROR(__xludf.DUMMYFUNCTION("""COMPUTED_VALUE"""),45449.6666666666)</f>
        <v>45449.666666666599</v>
      </c>
      <c r="F1619" s="6">
        <f ca="1">IFERROR(__xludf.DUMMYFUNCTION("""COMPUTED_VALUE"""),5352.96)</f>
        <v>5352.96</v>
      </c>
      <c r="J1619" s="6" t="str">
        <f t="shared" ca="1" si="453"/>
        <v>20245</v>
      </c>
      <c r="K1619" s="6">
        <f t="shared" ca="1" si="454"/>
        <v>2024</v>
      </c>
      <c r="L1619" s="6">
        <f t="shared" ca="1" si="455"/>
        <v>5</v>
      </c>
      <c r="M1619" s="68">
        <f ca="1">IFERROR(__xludf.DUMMYFUNCTION("""COMPUTED_VALUE"""),45441.6666666666)</f>
        <v>45441.666666666599</v>
      </c>
      <c r="N1619" s="6">
        <f ca="1">IFERROR(__xludf.DUMMYFUNCTION("""COMPUTED_VALUE"""),16920.58)</f>
        <v>16920.580000000002</v>
      </c>
      <c r="R1619" s="6" t="str">
        <f t="shared" ca="1" si="456"/>
        <v>20247</v>
      </c>
      <c r="S1619" s="6">
        <f t="shared" ca="1" si="457"/>
        <v>2024</v>
      </c>
      <c r="T1619" s="6">
        <f t="shared" ca="1" si="458"/>
        <v>7</v>
      </c>
      <c r="U1619" s="68">
        <f ca="1">IFERROR(__xludf.DUMMYFUNCTION("""COMPUTED_VALUE"""),45504.6458333333)</f>
        <v>45504.645833333299</v>
      </c>
      <c r="V1619" s="6">
        <f ca="1">IFERROR(__xludf.DUMMYFUNCTION("""COMPUTED_VALUE"""),2770.69)</f>
        <v>2770.69</v>
      </c>
      <c r="Z1619" s="6" t="str">
        <f t="shared" ca="1" si="459"/>
        <v>20227</v>
      </c>
      <c r="AA1619" s="6">
        <f t="shared" ca="1" si="460"/>
        <v>2022</v>
      </c>
      <c r="AB1619" s="6">
        <f t="shared" ca="1" si="461"/>
        <v>7</v>
      </c>
      <c r="AC1619" s="68">
        <f ca="1">IFERROR(__xludf.DUMMYFUNCTION("""COMPUTED_VALUE"""),44768.9986111111)</f>
        <v>44768.998611111099</v>
      </c>
      <c r="AD1619" s="6">
        <f ca="1">IFERROR(__xludf.DUMMYFUNCTION("""COMPUTED_VALUE"""),1310.9)</f>
        <v>1310.9</v>
      </c>
      <c r="AH1619" s="6" t="str">
        <f t="shared" ca="1" si="462"/>
        <v>20225</v>
      </c>
      <c r="AI1619" s="6">
        <f t="shared" ca="1" si="463"/>
        <v>2022</v>
      </c>
      <c r="AJ1619" s="6">
        <f t="shared" ca="1" si="464"/>
        <v>5</v>
      </c>
      <c r="AK1619" s="68">
        <f ca="1">IFERROR(__xludf.DUMMYFUNCTION("""COMPUTED_VALUE"""),44712.9986111111)</f>
        <v>44712.998611111099</v>
      </c>
      <c r="AL1619" s="6">
        <f ca="1">IFERROR(__xludf.DUMMYFUNCTION("""COMPUTED_VALUE"""),31772.85)</f>
        <v>31772.85</v>
      </c>
      <c r="AP1619" s="6" t="str">
        <f t="shared" ca="1" si="465"/>
        <v>20246</v>
      </c>
      <c r="AQ1619" s="6">
        <f t="shared" ca="1" si="466"/>
        <v>2024</v>
      </c>
      <c r="AR1619" s="6">
        <f t="shared" ca="1" si="467"/>
        <v>6</v>
      </c>
      <c r="AS1619" s="68">
        <f ca="1">IFERROR(__xludf.DUMMYFUNCTION("""COMPUTED_VALUE"""),45456.9986111111)</f>
        <v>45456.998611111099</v>
      </c>
      <c r="AT1619" s="6">
        <f ca="1">IFERROR(__xludf.DUMMYFUNCTION("""COMPUTED_VALUE"""),2318)</f>
        <v>2318</v>
      </c>
    </row>
    <row r="1620" spans="2:46" x14ac:dyDescent="0.35">
      <c r="B1620" s="6" t="str">
        <f t="shared" ca="1" si="450"/>
        <v>20246</v>
      </c>
      <c r="C1620" s="6">
        <f t="shared" ca="1" si="451"/>
        <v>2024</v>
      </c>
      <c r="D1620" s="6">
        <f t="shared" ca="1" si="452"/>
        <v>6</v>
      </c>
      <c r="E1620" s="68">
        <f ca="1">IFERROR(__xludf.DUMMYFUNCTION("""COMPUTED_VALUE"""),45450.6666666666)</f>
        <v>45450.666666666599</v>
      </c>
      <c r="F1620" s="6">
        <f ca="1">IFERROR(__xludf.DUMMYFUNCTION("""COMPUTED_VALUE"""),5346.99)</f>
        <v>5346.99</v>
      </c>
      <c r="J1620" s="6" t="str">
        <f t="shared" ca="1" si="453"/>
        <v>20245</v>
      </c>
      <c r="K1620" s="6">
        <f t="shared" ca="1" si="454"/>
        <v>2024</v>
      </c>
      <c r="L1620" s="6">
        <f t="shared" ca="1" si="455"/>
        <v>5</v>
      </c>
      <c r="M1620" s="68">
        <f ca="1">IFERROR(__xludf.DUMMYFUNCTION("""COMPUTED_VALUE"""),45442.6666666666)</f>
        <v>45442.666666666599</v>
      </c>
      <c r="N1620" s="6">
        <f ca="1">IFERROR(__xludf.DUMMYFUNCTION("""COMPUTED_VALUE"""),16737.08)</f>
        <v>16737.080000000002</v>
      </c>
      <c r="R1620" s="6" t="str">
        <f t="shared" ca="1" si="456"/>
        <v>20248</v>
      </c>
      <c r="S1620" s="6">
        <f t="shared" ca="1" si="457"/>
        <v>2024</v>
      </c>
      <c r="T1620" s="6">
        <f t="shared" ca="1" si="458"/>
        <v>8</v>
      </c>
      <c r="U1620" s="68">
        <f ca="1">IFERROR(__xludf.DUMMYFUNCTION("""COMPUTED_VALUE"""),45505.6458333333)</f>
        <v>45505.645833333299</v>
      </c>
      <c r="V1620" s="6">
        <f ca="1">IFERROR(__xludf.DUMMYFUNCTION("""COMPUTED_VALUE"""),2777.68)</f>
        <v>2777.68</v>
      </c>
      <c r="Z1620" s="6" t="str">
        <f t="shared" ca="1" si="459"/>
        <v>20227</v>
      </c>
      <c r="AA1620" s="6">
        <f t="shared" ca="1" si="460"/>
        <v>2022</v>
      </c>
      <c r="AB1620" s="6">
        <f t="shared" ca="1" si="461"/>
        <v>7</v>
      </c>
      <c r="AC1620" s="68">
        <f ca="1">IFERROR(__xludf.DUMMYFUNCTION("""COMPUTED_VALUE"""),44769.9986111111)</f>
        <v>44769.998611111099</v>
      </c>
      <c r="AD1620" s="6">
        <f ca="1">IFERROR(__xludf.DUMMYFUNCTION("""COMPUTED_VALUE"""),1305.95)</f>
        <v>1305.95</v>
      </c>
      <c r="AH1620" s="6" t="str">
        <f t="shared" ca="1" si="462"/>
        <v>20226</v>
      </c>
      <c r="AI1620" s="6">
        <f t="shared" ca="1" si="463"/>
        <v>2022</v>
      </c>
      <c r="AJ1620" s="6">
        <f t="shared" ca="1" si="464"/>
        <v>6</v>
      </c>
      <c r="AK1620" s="68">
        <f ca="1">IFERROR(__xludf.DUMMYFUNCTION("""COMPUTED_VALUE"""),44713.9986111111)</f>
        <v>44713.998611111099</v>
      </c>
      <c r="AL1620" s="6">
        <f ca="1">IFERROR(__xludf.DUMMYFUNCTION("""COMPUTED_VALUE"""),29789.13)</f>
        <v>29789.13</v>
      </c>
      <c r="AP1620" s="6" t="str">
        <f t="shared" ca="1" si="465"/>
        <v>20246</v>
      </c>
      <c r="AQ1620" s="6">
        <f t="shared" ca="1" si="466"/>
        <v>2024</v>
      </c>
      <c r="AR1620" s="6">
        <f t="shared" ca="1" si="467"/>
        <v>6</v>
      </c>
      <c r="AS1620" s="68">
        <f ca="1">IFERROR(__xludf.DUMMYFUNCTION("""COMPUTED_VALUE"""),45457.9986111111)</f>
        <v>45457.998611111099</v>
      </c>
      <c r="AT1620" s="6">
        <f ca="1">IFERROR(__xludf.DUMMYFUNCTION("""COMPUTED_VALUE"""),2349.1)</f>
        <v>2349.1</v>
      </c>
    </row>
    <row r="1621" spans="2:46" x14ac:dyDescent="0.35">
      <c r="B1621" s="6" t="str">
        <f t="shared" ca="1" si="450"/>
        <v>20246</v>
      </c>
      <c r="C1621" s="6">
        <f t="shared" ca="1" si="451"/>
        <v>2024</v>
      </c>
      <c r="D1621" s="6">
        <f t="shared" ca="1" si="452"/>
        <v>6</v>
      </c>
      <c r="E1621" s="68">
        <f ca="1">IFERROR(__xludf.DUMMYFUNCTION("""COMPUTED_VALUE"""),45453.6666666666)</f>
        <v>45453.666666666599</v>
      </c>
      <c r="F1621" s="6">
        <f ca="1">IFERROR(__xludf.DUMMYFUNCTION("""COMPUTED_VALUE"""),5360.79)</f>
        <v>5360.79</v>
      </c>
      <c r="J1621" s="6" t="str">
        <f t="shared" ca="1" si="453"/>
        <v>20245</v>
      </c>
      <c r="K1621" s="6">
        <f t="shared" ca="1" si="454"/>
        <v>2024</v>
      </c>
      <c r="L1621" s="6">
        <f t="shared" ca="1" si="455"/>
        <v>5</v>
      </c>
      <c r="M1621" s="68">
        <f ca="1">IFERROR(__xludf.DUMMYFUNCTION("""COMPUTED_VALUE"""),45443.6666666666)</f>
        <v>45443.666666666599</v>
      </c>
      <c r="N1621" s="6">
        <f ca="1">IFERROR(__xludf.DUMMYFUNCTION("""COMPUTED_VALUE"""),16735.02)</f>
        <v>16735.02</v>
      </c>
      <c r="R1621" s="6" t="str">
        <f t="shared" ca="1" si="456"/>
        <v>20248</v>
      </c>
      <c r="S1621" s="6">
        <f t="shared" ca="1" si="457"/>
        <v>2024</v>
      </c>
      <c r="T1621" s="6">
        <f t="shared" ca="1" si="458"/>
        <v>8</v>
      </c>
      <c r="U1621" s="68">
        <f ca="1">IFERROR(__xludf.DUMMYFUNCTION("""COMPUTED_VALUE"""),45506.6458333333)</f>
        <v>45506.645833333299</v>
      </c>
      <c r="V1621" s="6">
        <f ca="1">IFERROR(__xludf.DUMMYFUNCTION("""COMPUTED_VALUE"""),2676.19)</f>
        <v>2676.19</v>
      </c>
      <c r="Z1621" s="6" t="str">
        <f t="shared" ca="1" si="459"/>
        <v>20227</v>
      </c>
      <c r="AA1621" s="6">
        <f t="shared" ca="1" si="460"/>
        <v>2022</v>
      </c>
      <c r="AB1621" s="6">
        <f t="shared" ca="1" si="461"/>
        <v>7</v>
      </c>
      <c r="AC1621" s="68">
        <f ca="1">IFERROR(__xludf.DUMMYFUNCTION("""COMPUTED_VALUE"""),44770.9986111111)</f>
        <v>44770.998611111099</v>
      </c>
      <c r="AD1621" s="6">
        <f ca="1">IFERROR(__xludf.DUMMYFUNCTION("""COMPUTED_VALUE"""),1295.15)</f>
        <v>1295.1500000000001</v>
      </c>
      <c r="AH1621" s="6" t="str">
        <f t="shared" ca="1" si="462"/>
        <v>20226</v>
      </c>
      <c r="AI1621" s="6">
        <f t="shared" ca="1" si="463"/>
        <v>2022</v>
      </c>
      <c r="AJ1621" s="6">
        <f t="shared" ca="1" si="464"/>
        <v>6</v>
      </c>
      <c r="AK1621" s="68">
        <f ca="1">IFERROR(__xludf.DUMMYFUNCTION("""COMPUTED_VALUE"""),44714.9986111111)</f>
        <v>44714.998611111099</v>
      </c>
      <c r="AL1621" s="6">
        <f ca="1">IFERROR(__xludf.DUMMYFUNCTION("""COMPUTED_VALUE"""),30441.68)</f>
        <v>30441.68</v>
      </c>
      <c r="AP1621" s="6" t="str">
        <f t="shared" ca="1" si="465"/>
        <v>20246</v>
      </c>
      <c r="AQ1621" s="6">
        <f t="shared" ca="1" si="466"/>
        <v>2024</v>
      </c>
      <c r="AR1621" s="6">
        <f t="shared" ca="1" si="467"/>
        <v>6</v>
      </c>
      <c r="AS1621" s="68">
        <f ca="1">IFERROR(__xludf.DUMMYFUNCTION("""COMPUTED_VALUE"""),45460.9986111111)</f>
        <v>45460.998611111099</v>
      </c>
      <c r="AT1621" s="6">
        <f ca="1">IFERROR(__xludf.DUMMYFUNCTION("""COMPUTED_VALUE"""),2329)</f>
        <v>2329</v>
      </c>
    </row>
    <row r="1622" spans="2:46" x14ac:dyDescent="0.35">
      <c r="B1622" s="6" t="str">
        <f t="shared" ca="1" si="450"/>
        <v>20246</v>
      </c>
      <c r="C1622" s="6">
        <f t="shared" ca="1" si="451"/>
        <v>2024</v>
      </c>
      <c r="D1622" s="6">
        <f t="shared" ca="1" si="452"/>
        <v>6</v>
      </c>
      <c r="E1622" s="68">
        <f ca="1">IFERROR(__xludf.DUMMYFUNCTION("""COMPUTED_VALUE"""),45454.6666666666)</f>
        <v>45454.666666666599</v>
      </c>
      <c r="F1622" s="6">
        <f ca="1">IFERROR(__xludf.DUMMYFUNCTION("""COMPUTED_VALUE"""),5375.32)</f>
        <v>5375.32</v>
      </c>
      <c r="J1622" s="6" t="str">
        <f t="shared" ca="1" si="453"/>
        <v>20246</v>
      </c>
      <c r="K1622" s="6">
        <f t="shared" ca="1" si="454"/>
        <v>2024</v>
      </c>
      <c r="L1622" s="6">
        <f t="shared" ca="1" si="455"/>
        <v>6</v>
      </c>
      <c r="M1622" s="68">
        <f ca="1">IFERROR(__xludf.DUMMYFUNCTION("""COMPUTED_VALUE"""),45446.6666666666)</f>
        <v>45446.666666666599</v>
      </c>
      <c r="N1622" s="6">
        <f ca="1">IFERROR(__xludf.DUMMYFUNCTION("""COMPUTED_VALUE"""),16828.67)</f>
        <v>16828.669999999998</v>
      </c>
      <c r="R1622" s="6" t="str">
        <f t="shared" ca="1" si="456"/>
        <v>20248</v>
      </c>
      <c r="S1622" s="6">
        <f t="shared" ca="1" si="457"/>
        <v>2024</v>
      </c>
      <c r="T1622" s="6">
        <f t="shared" ca="1" si="458"/>
        <v>8</v>
      </c>
      <c r="U1622" s="68">
        <f ca="1">IFERROR(__xludf.DUMMYFUNCTION("""COMPUTED_VALUE"""),45509.6458333333)</f>
        <v>45509.645833333299</v>
      </c>
      <c r="V1622" s="6">
        <f ca="1">IFERROR(__xludf.DUMMYFUNCTION("""COMPUTED_VALUE"""),2441.55)</f>
        <v>2441.5500000000002</v>
      </c>
      <c r="Z1622" s="6" t="str">
        <f t="shared" ca="1" si="459"/>
        <v>20227</v>
      </c>
      <c r="AA1622" s="6">
        <f t="shared" ca="1" si="460"/>
        <v>2022</v>
      </c>
      <c r="AB1622" s="6">
        <f t="shared" ca="1" si="461"/>
        <v>7</v>
      </c>
      <c r="AC1622" s="68">
        <f ca="1">IFERROR(__xludf.DUMMYFUNCTION("""COMPUTED_VALUE"""),44771.9986111111)</f>
        <v>44771.998611111099</v>
      </c>
      <c r="AD1622" s="6">
        <f ca="1">IFERROR(__xludf.DUMMYFUNCTION("""COMPUTED_VALUE"""),1302.87)</f>
        <v>1302.8699999999999</v>
      </c>
      <c r="AH1622" s="6" t="str">
        <f t="shared" ca="1" si="462"/>
        <v>20226</v>
      </c>
      <c r="AI1622" s="6">
        <f t="shared" ca="1" si="463"/>
        <v>2022</v>
      </c>
      <c r="AJ1622" s="6">
        <f t="shared" ca="1" si="464"/>
        <v>6</v>
      </c>
      <c r="AK1622" s="68">
        <f ca="1">IFERROR(__xludf.DUMMYFUNCTION("""COMPUTED_VALUE"""),44715.9986111111)</f>
        <v>44715.998611111099</v>
      </c>
      <c r="AL1622" s="6">
        <f ca="1">IFERROR(__xludf.DUMMYFUNCTION("""COMPUTED_VALUE"""),29681.62)</f>
        <v>29681.62</v>
      </c>
      <c r="AP1622" s="6" t="str">
        <f t="shared" ca="1" si="465"/>
        <v>20246</v>
      </c>
      <c r="AQ1622" s="6">
        <f t="shared" ca="1" si="466"/>
        <v>2024</v>
      </c>
      <c r="AR1622" s="6">
        <f t="shared" ca="1" si="467"/>
        <v>6</v>
      </c>
      <c r="AS1622" s="68">
        <f ca="1">IFERROR(__xludf.DUMMYFUNCTION("""COMPUTED_VALUE"""),45461.9986111111)</f>
        <v>45461.998611111099</v>
      </c>
      <c r="AT1622" s="6">
        <f ca="1">IFERROR(__xludf.DUMMYFUNCTION("""COMPUTED_VALUE"""),2346.9)</f>
        <v>2346.9</v>
      </c>
    </row>
    <row r="1623" spans="2:46" x14ac:dyDescent="0.35">
      <c r="B1623" s="6" t="str">
        <f t="shared" ca="1" si="450"/>
        <v>20246</v>
      </c>
      <c r="C1623" s="6">
        <f t="shared" ca="1" si="451"/>
        <v>2024</v>
      </c>
      <c r="D1623" s="6">
        <f t="shared" ca="1" si="452"/>
        <v>6</v>
      </c>
      <c r="E1623" s="68">
        <f ca="1">IFERROR(__xludf.DUMMYFUNCTION("""COMPUTED_VALUE"""),45455.6666666666)</f>
        <v>45455.666666666599</v>
      </c>
      <c r="F1623" s="6">
        <f ca="1">IFERROR(__xludf.DUMMYFUNCTION("""COMPUTED_VALUE"""),5421.03)</f>
        <v>5421.03</v>
      </c>
      <c r="J1623" s="6" t="str">
        <f t="shared" ca="1" si="453"/>
        <v>20246</v>
      </c>
      <c r="K1623" s="6">
        <f t="shared" ca="1" si="454"/>
        <v>2024</v>
      </c>
      <c r="L1623" s="6">
        <f t="shared" ca="1" si="455"/>
        <v>6</v>
      </c>
      <c r="M1623" s="68">
        <f ca="1">IFERROR(__xludf.DUMMYFUNCTION("""COMPUTED_VALUE"""),45447.6666666666)</f>
        <v>45447.666666666599</v>
      </c>
      <c r="N1623" s="6">
        <f ca="1">IFERROR(__xludf.DUMMYFUNCTION("""COMPUTED_VALUE"""),16857.05)</f>
        <v>16857.05</v>
      </c>
      <c r="R1623" s="6" t="str">
        <f t="shared" ca="1" si="456"/>
        <v>20248</v>
      </c>
      <c r="S1623" s="6">
        <f t="shared" ca="1" si="457"/>
        <v>2024</v>
      </c>
      <c r="T1623" s="6">
        <f t="shared" ca="1" si="458"/>
        <v>8</v>
      </c>
      <c r="U1623" s="68">
        <f ca="1">IFERROR(__xludf.DUMMYFUNCTION("""COMPUTED_VALUE"""),45510.6458333333)</f>
        <v>45510.645833333299</v>
      </c>
      <c r="V1623" s="6">
        <f ca="1">IFERROR(__xludf.DUMMYFUNCTION("""COMPUTED_VALUE"""),2522.15)</f>
        <v>2522.15</v>
      </c>
      <c r="Z1623" s="6" t="str">
        <f t="shared" ca="1" si="459"/>
        <v>20227</v>
      </c>
      <c r="AA1623" s="6">
        <f t="shared" ca="1" si="460"/>
        <v>2022</v>
      </c>
      <c r="AB1623" s="6">
        <f t="shared" ca="1" si="461"/>
        <v>7</v>
      </c>
      <c r="AC1623" s="68">
        <f ca="1">IFERROR(__xludf.DUMMYFUNCTION("""COMPUTED_VALUE"""),44772.9986111111)</f>
        <v>44772.998611111099</v>
      </c>
      <c r="AD1623" s="6">
        <f ca="1">IFERROR(__xludf.DUMMYFUNCTION("""COMPUTED_VALUE"""),1302.87)</f>
        <v>1302.8699999999999</v>
      </c>
      <c r="AH1623" s="6" t="str">
        <f t="shared" ca="1" si="462"/>
        <v>20226</v>
      </c>
      <c r="AI1623" s="6">
        <f t="shared" ca="1" si="463"/>
        <v>2022</v>
      </c>
      <c r="AJ1623" s="6">
        <f t="shared" ca="1" si="464"/>
        <v>6</v>
      </c>
      <c r="AK1623" s="68">
        <f ca="1">IFERROR(__xludf.DUMMYFUNCTION("""COMPUTED_VALUE"""),44716.9986111111)</f>
        <v>44716.998611111099</v>
      </c>
      <c r="AL1623" s="6">
        <f ca="1">IFERROR(__xludf.DUMMYFUNCTION("""COMPUTED_VALUE"""),29849.81)</f>
        <v>29849.81</v>
      </c>
      <c r="AP1623" s="6" t="str">
        <f t="shared" ca="1" si="465"/>
        <v>20246</v>
      </c>
      <c r="AQ1623" s="6">
        <f t="shared" ca="1" si="466"/>
        <v>2024</v>
      </c>
      <c r="AR1623" s="6">
        <f t="shared" ca="1" si="467"/>
        <v>6</v>
      </c>
      <c r="AS1623" s="68">
        <f ca="1">IFERROR(__xludf.DUMMYFUNCTION("""COMPUTED_VALUE"""),45463.9986111111)</f>
        <v>45463.998611111099</v>
      </c>
      <c r="AT1623" s="6">
        <f ca="1">IFERROR(__xludf.DUMMYFUNCTION("""COMPUTED_VALUE"""),2369)</f>
        <v>2369</v>
      </c>
    </row>
    <row r="1624" spans="2:46" x14ac:dyDescent="0.35">
      <c r="B1624" s="6" t="str">
        <f t="shared" ca="1" si="450"/>
        <v>20246</v>
      </c>
      <c r="C1624" s="6">
        <f t="shared" ca="1" si="451"/>
        <v>2024</v>
      </c>
      <c r="D1624" s="6">
        <f t="shared" ca="1" si="452"/>
        <v>6</v>
      </c>
      <c r="E1624" s="68">
        <f ca="1">IFERROR(__xludf.DUMMYFUNCTION("""COMPUTED_VALUE"""),45456.6666666666)</f>
        <v>45456.666666666599</v>
      </c>
      <c r="F1624" s="6">
        <f ca="1">IFERROR(__xludf.DUMMYFUNCTION("""COMPUTED_VALUE"""),5433.74)</f>
        <v>5433.74</v>
      </c>
      <c r="J1624" s="6" t="str">
        <f t="shared" ca="1" si="453"/>
        <v>20246</v>
      </c>
      <c r="K1624" s="6">
        <f t="shared" ca="1" si="454"/>
        <v>2024</v>
      </c>
      <c r="L1624" s="6">
        <f t="shared" ca="1" si="455"/>
        <v>6</v>
      </c>
      <c r="M1624" s="68">
        <f ca="1">IFERROR(__xludf.DUMMYFUNCTION("""COMPUTED_VALUE"""),45448.6666666666)</f>
        <v>45448.666666666599</v>
      </c>
      <c r="N1624" s="6">
        <f ca="1">IFERROR(__xludf.DUMMYFUNCTION("""COMPUTED_VALUE"""),17187.91)</f>
        <v>17187.91</v>
      </c>
      <c r="R1624" s="6" t="str">
        <f t="shared" ca="1" si="456"/>
        <v>20248</v>
      </c>
      <c r="S1624" s="6">
        <f t="shared" ca="1" si="457"/>
        <v>2024</v>
      </c>
      <c r="T1624" s="6">
        <f t="shared" ca="1" si="458"/>
        <v>8</v>
      </c>
      <c r="U1624" s="68">
        <f ca="1">IFERROR(__xludf.DUMMYFUNCTION("""COMPUTED_VALUE"""),45511.6458333333)</f>
        <v>45511.645833333299</v>
      </c>
      <c r="V1624" s="6">
        <f ca="1">IFERROR(__xludf.DUMMYFUNCTION("""COMPUTED_VALUE"""),2568.41)</f>
        <v>2568.41</v>
      </c>
      <c r="Z1624" s="6" t="str">
        <f t="shared" ca="1" si="459"/>
        <v>20227</v>
      </c>
      <c r="AA1624" s="6">
        <f t="shared" ca="1" si="460"/>
        <v>2022</v>
      </c>
      <c r="AB1624" s="6">
        <f t="shared" ca="1" si="461"/>
        <v>7</v>
      </c>
      <c r="AC1624" s="68">
        <f ca="1">IFERROR(__xludf.DUMMYFUNCTION("""COMPUTED_VALUE"""),44773.9986111111)</f>
        <v>44773.998611111099</v>
      </c>
      <c r="AD1624" s="6">
        <f ca="1">IFERROR(__xludf.DUMMYFUNCTION("""COMPUTED_VALUE"""),1302.28)</f>
        <v>1302.28</v>
      </c>
      <c r="AH1624" s="6" t="str">
        <f t="shared" ca="1" si="462"/>
        <v>20226</v>
      </c>
      <c r="AI1624" s="6">
        <f t="shared" ca="1" si="463"/>
        <v>2022</v>
      </c>
      <c r="AJ1624" s="6">
        <f t="shared" ca="1" si="464"/>
        <v>6</v>
      </c>
      <c r="AK1624" s="68">
        <f ca="1">IFERROR(__xludf.DUMMYFUNCTION("""COMPUTED_VALUE"""),44717.9986111111)</f>
        <v>44717.998611111099</v>
      </c>
      <c r="AL1624" s="6">
        <f ca="1">IFERROR(__xludf.DUMMYFUNCTION("""COMPUTED_VALUE"""),29904.38)</f>
        <v>29904.38</v>
      </c>
      <c r="AP1624" s="6" t="str">
        <f t="shared" ca="1" si="465"/>
        <v>20246</v>
      </c>
      <c r="AQ1624" s="6">
        <f t="shared" ca="1" si="466"/>
        <v>2024</v>
      </c>
      <c r="AR1624" s="6">
        <f t="shared" ca="1" si="467"/>
        <v>6</v>
      </c>
      <c r="AS1624" s="68">
        <f ca="1">IFERROR(__xludf.DUMMYFUNCTION("""COMPUTED_VALUE"""),45464.9986111111)</f>
        <v>45464.998611111099</v>
      </c>
      <c r="AT1624" s="6">
        <f ca="1">IFERROR(__xludf.DUMMYFUNCTION("""COMPUTED_VALUE"""),2331.2)</f>
        <v>2331.1999999999998</v>
      </c>
    </row>
    <row r="1625" spans="2:46" x14ac:dyDescent="0.35">
      <c r="B1625" s="6" t="str">
        <f t="shared" ca="1" si="450"/>
        <v>20246</v>
      </c>
      <c r="C1625" s="6">
        <f t="shared" ca="1" si="451"/>
        <v>2024</v>
      </c>
      <c r="D1625" s="6">
        <f t="shared" ca="1" si="452"/>
        <v>6</v>
      </c>
      <c r="E1625" s="68">
        <f ca="1">IFERROR(__xludf.DUMMYFUNCTION("""COMPUTED_VALUE"""),45457.6666666666)</f>
        <v>45457.666666666599</v>
      </c>
      <c r="F1625" s="6">
        <f ca="1">IFERROR(__xludf.DUMMYFUNCTION("""COMPUTED_VALUE"""),5431.6)</f>
        <v>5431.6</v>
      </c>
      <c r="J1625" s="6" t="str">
        <f t="shared" ca="1" si="453"/>
        <v>20246</v>
      </c>
      <c r="K1625" s="6">
        <f t="shared" ca="1" si="454"/>
        <v>2024</v>
      </c>
      <c r="L1625" s="6">
        <f t="shared" ca="1" si="455"/>
        <v>6</v>
      </c>
      <c r="M1625" s="68">
        <f ca="1">IFERROR(__xludf.DUMMYFUNCTION("""COMPUTED_VALUE"""),45449.6666666666)</f>
        <v>45449.666666666599</v>
      </c>
      <c r="N1625" s="6">
        <f ca="1">IFERROR(__xludf.DUMMYFUNCTION("""COMPUTED_VALUE"""),17173.12)</f>
        <v>17173.12</v>
      </c>
      <c r="R1625" s="6" t="str">
        <f t="shared" ca="1" si="456"/>
        <v>20248</v>
      </c>
      <c r="S1625" s="6">
        <f t="shared" ca="1" si="457"/>
        <v>2024</v>
      </c>
      <c r="T1625" s="6">
        <f t="shared" ca="1" si="458"/>
        <v>8</v>
      </c>
      <c r="U1625" s="68">
        <f ca="1">IFERROR(__xludf.DUMMYFUNCTION("""COMPUTED_VALUE"""),45512.6458333333)</f>
        <v>45512.645833333299</v>
      </c>
      <c r="V1625" s="6">
        <f ca="1">IFERROR(__xludf.DUMMYFUNCTION("""COMPUTED_VALUE"""),2556.73)</f>
        <v>2556.73</v>
      </c>
      <c r="Z1625" s="6" t="str">
        <f t="shared" ca="1" si="459"/>
        <v>20228</v>
      </c>
      <c r="AA1625" s="6">
        <f t="shared" ca="1" si="460"/>
        <v>2022</v>
      </c>
      <c r="AB1625" s="6">
        <f t="shared" ca="1" si="461"/>
        <v>8</v>
      </c>
      <c r="AC1625" s="68">
        <f ca="1">IFERROR(__xludf.DUMMYFUNCTION("""COMPUTED_VALUE"""),44774.9986111111)</f>
        <v>44774.998611111099</v>
      </c>
      <c r="AD1625" s="6">
        <f ca="1">IFERROR(__xludf.DUMMYFUNCTION("""COMPUTED_VALUE"""),1306.75)</f>
        <v>1306.75</v>
      </c>
      <c r="AH1625" s="6" t="str">
        <f t="shared" ca="1" si="462"/>
        <v>20226</v>
      </c>
      <c r="AI1625" s="6">
        <f t="shared" ca="1" si="463"/>
        <v>2022</v>
      </c>
      <c r="AJ1625" s="6">
        <f t="shared" ca="1" si="464"/>
        <v>6</v>
      </c>
      <c r="AK1625" s="68">
        <f ca="1">IFERROR(__xludf.DUMMYFUNCTION("""COMPUTED_VALUE"""),44718.9986111111)</f>
        <v>44718.998611111099</v>
      </c>
      <c r="AL1625" s="6">
        <f ca="1">IFERROR(__xludf.DUMMYFUNCTION("""COMPUTED_VALUE"""),31363.37)</f>
        <v>31363.37</v>
      </c>
      <c r="AP1625" s="6" t="str">
        <f t="shared" ca="1" si="465"/>
        <v>20246</v>
      </c>
      <c r="AQ1625" s="6">
        <f t="shared" ca="1" si="466"/>
        <v>2024</v>
      </c>
      <c r="AR1625" s="6">
        <f t="shared" ca="1" si="467"/>
        <v>6</v>
      </c>
      <c r="AS1625" s="68">
        <f ca="1">IFERROR(__xludf.DUMMYFUNCTION("""COMPUTED_VALUE"""),45467.9986111111)</f>
        <v>45467.998611111099</v>
      </c>
      <c r="AT1625" s="6">
        <f ca="1">IFERROR(__xludf.DUMMYFUNCTION("""COMPUTED_VALUE"""),2344.4)</f>
        <v>2344.4</v>
      </c>
    </row>
    <row r="1626" spans="2:46" x14ac:dyDescent="0.35">
      <c r="B1626" s="6" t="str">
        <f t="shared" ca="1" si="450"/>
        <v>20246</v>
      </c>
      <c r="C1626" s="6">
        <f t="shared" ca="1" si="451"/>
        <v>2024</v>
      </c>
      <c r="D1626" s="6">
        <f t="shared" ca="1" si="452"/>
        <v>6</v>
      </c>
      <c r="E1626" s="68">
        <f ca="1">IFERROR(__xludf.DUMMYFUNCTION("""COMPUTED_VALUE"""),45460.6666666666)</f>
        <v>45460.666666666599</v>
      </c>
      <c r="F1626" s="6">
        <f ca="1">IFERROR(__xludf.DUMMYFUNCTION("""COMPUTED_VALUE"""),5473.23)</f>
        <v>5473.23</v>
      </c>
      <c r="J1626" s="6" t="str">
        <f t="shared" ca="1" si="453"/>
        <v>20246</v>
      </c>
      <c r="K1626" s="6">
        <f t="shared" ca="1" si="454"/>
        <v>2024</v>
      </c>
      <c r="L1626" s="6">
        <f t="shared" ca="1" si="455"/>
        <v>6</v>
      </c>
      <c r="M1626" s="68">
        <f ca="1">IFERROR(__xludf.DUMMYFUNCTION("""COMPUTED_VALUE"""),45450.6666666666)</f>
        <v>45450.666666666599</v>
      </c>
      <c r="N1626" s="6">
        <f ca="1">IFERROR(__xludf.DUMMYFUNCTION("""COMPUTED_VALUE"""),17133.13)</f>
        <v>17133.13</v>
      </c>
      <c r="R1626" s="6" t="str">
        <f t="shared" ca="1" si="456"/>
        <v>20248</v>
      </c>
      <c r="S1626" s="6">
        <f t="shared" ca="1" si="457"/>
        <v>2024</v>
      </c>
      <c r="T1626" s="6">
        <f t="shared" ca="1" si="458"/>
        <v>8</v>
      </c>
      <c r="U1626" s="68">
        <f ca="1">IFERROR(__xludf.DUMMYFUNCTION("""COMPUTED_VALUE"""),45513.6458333333)</f>
        <v>45513.645833333299</v>
      </c>
      <c r="V1626" s="6">
        <f ca="1">IFERROR(__xludf.DUMMYFUNCTION("""COMPUTED_VALUE"""),2588.43)</f>
        <v>2588.4299999999998</v>
      </c>
      <c r="Z1626" s="6" t="str">
        <f t="shared" ca="1" si="459"/>
        <v>20228</v>
      </c>
      <c r="AA1626" s="6">
        <f t="shared" ca="1" si="460"/>
        <v>2022</v>
      </c>
      <c r="AB1626" s="6">
        <f t="shared" ca="1" si="461"/>
        <v>8</v>
      </c>
      <c r="AC1626" s="68">
        <f ca="1">IFERROR(__xludf.DUMMYFUNCTION("""COMPUTED_VALUE"""),44775.9986111111)</f>
        <v>44775.998611111099</v>
      </c>
      <c r="AD1626" s="6">
        <f ca="1">IFERROR(__xludf.DUMMYFUNCTION("""COMPUTED_VALUE"""),1314.63)</f>
        <v>1314.63</v>
      </c>
      <c r="AH1626" s="6" t="str">
        <f t="shared" ca="1" si="462"/>
        <v>20226</v>
      </c>
      <c r="AI1626" s="6">
        <f t="shared" ca="1" si="463"/>
        <v>2022</v>
      </c>
      <c r="AJ1626" s="6">
        <f t="shared" ca="1" si="464"/>
        <v>6</v>
      </c>
      <c r="AK1626" s="68">
        <f ca="1">IFERROR(__xludf.DUMMYFUNCTION("""COMPUTED_VALUE"""),44719.9986111111)</f>
        <v>44719.998611111099</v>
      </c>
      <c r="AL1626" s="6">
        <f ca="1">IFERROR(__xludf.DUMMYFUNCTION("""COMPUTED_VALUE"""),31110.29)</f>
        <v>31110.29</v>
      </c>
      <c r="AP1626" s="6" t="str">
        <f t="shared" ca="1" si="465"/>
        <v>20246</v>
      </c>
      <c r="AQ1626" s="6">
        <f t="shared" ca="1" si="466"/>
        <v>2024</v>
      </c>
      <c r="AR1626" s="6">
        <f t="shared" ca="1" si="467"/>
        <v>6</v>
      </c>
      <c r="AS1626" s="68">
        <f ca="1">IFERROR(__xludf.DUMMYFUNCTION("""COMPUTED_VALUE"""),45468.9986111111)</f>
        <v>45468.998611111099</v>
      </c>
      <c r="AT1626" s="6">
        <f ca="1">IFERROR(__xludf.DUMMYFUNCTION("""COMPUTED_VALUE"""),2330.8)</f>
        <v>2330.8000000000002</v>
      </c>
    </row>
    <row r="1627" spans="2:46" x14ac:dyDescent="0.35">
      <c r="B1627" s="6" t="str">
        <f t="shared" ca="1" si="450"/>
        <v>20246</v>
      </c>
      <c r="C1627" s="6">
        <f t="shared" ca="1" si="451"/>
        <v>2024</v>
      </c>
      <c r="D1627" s="6">
        <f t="shared" ca="1" si="452"/>
        <v>6</v>
      </c>
      <c r="E1627" s="68">
        <f ca="1">IFERROR(__xludf.DUMMYFUNCTION("""COMPUTED_VALUE"""),45461.6666666666)</f>
        <v>45461.666666666599</v>
      </c>
      <c r="F1627" s="6">
        <f ca="1">IFERROR(__xludf.DUMMYFUNCTION("""COMPUTED_VALUE"""),5487.03)</f>
        <v>5487.03</v>
      </c>
      <c r="J1627" s="6" t="str">
        <f t="shared" ca="1" si="453"/>
        <v>20246</v>
      </c>
      <c r="K1627" s="6">
        <f t="shared" ca="1" si="454"/>
        <v>2024</v>
      </c>
      <c r="L1627" s="6">
        <f t="shared" ca="1" si="455"/>
        <v>6</v>
      </c>
      <c r="M1627" s="68">
        <f ca="1">IFERROR(__xludf.DUMMYFUNCTION("""COMPUTED_VALUE"""),45453.6666666666)</f>
        <v>45453.666666666599</v>
      </c>
      <c r="N1627" s="6">
        <f ca="1">IFERROR(__xludf.DUMMYFUNCTION("""COMPUTED_VALUE"""),17192.53)</f>
        <v>17192.53</v>
      </c>
      <c r="R1627" s="6" t="str">
        <f t="shared" ca="1" si="456"/>
        <v>20248</v>
      </c>
      <c r="S1627" s="6">
        <f t="shared" ca="1" si="457"/>
        <v>2024</v>
      </c>
      <c r="T1627" s="6">
        <f t="shared" ca="1" si="458"/>
        <v>8</v>
      </c>
      <c r="U1627" s="68">
        <f ca="1">IFERROR(__xludf.DUMMYFUNCTION("""COMPUTED_VALUE"""),45516.6458333333)</f>
        <v>45516.645833333299</v>
      </c>
      <c r="V1627" s="6">
        <f ca="1">IFERROR(__xludf.DUMMYFUNCTION("""COMPUTED_VALUE"""),2618.3)</f>
        <v>2618.3000000000002</v>
      </c>
      <c r="Z1627" s="6" t="str">
        <f t="shared" ca="1" si="459"/>
        <v>20228</v>
      </c>
      <c r="AA1627" s="6">
        <f t="shared" ca="1" si="460"/>
        <v>2022</v>
      </c>
      <c r="AB1627" s="6">
        <f t="shared" ca="1" si="461"/>
        <v>8</v>
      </c>
      <c r="AC1627" s="68">
        <f ca="1">IFERROR(__xludf.DUMMYFUNCTION("""COMPUTED_VALUE"""),44776.9986111111)</f>
        <v>44776.998611111099</v>
      </c>
      <c r="AD1627" s="6">
        <f ca="1">IFERROR(__xludf.DUMMYFUNCTION("""COMPUTED_VALUE"""),1307.38)</f>
        <v>1307.3800000000001</v>
      </c>
      <c r="AH1627" s="6" t="str">
        <f t="shared" ca="1" si="462"/>
        <v>20226</v>
      </c>
      <c r="AI1627" s="6">
        <f t="shared" ca="1" si="463"/>
        <v>2022</v>
      </c>
      <c r="AJ1627" s="6">
        <f t="shared" ca="1" si="464"/>
        <v>6</v>
      </c>
      <c r="AK1627" s="68">
        <f ca="1">IFERROR(__xludf.DUMMYFUNCTION("""COMPUTED_VALUE"""),44720.9986111111)</f>
        <v>44720.998611111099</v>
      </c>
      <c r="AL1627" s="6">
        <f ca="1">IFERROR(__xludf.DUMMYFUNCTION("""COMPUTED_VALUE"""),30197.43)</f>
        <v>30197.43</v>
      </c>
      <c r="AP1627" s="6" t="str">
        <f t="shared" ca="1" si="465"/>
        <v>20246</v>
      </c>
      <c r="AQ1627" s="6">
        <f t="shared" ca="1" si="466"/>
        <v>2024</v>
      </c>
      <c r="AR1627" s="6">
        <f t="shared" ca="1" si="467"/>
        <v>6</v>
      </c>
      <c r="AS1627" s="68">
        <f ca="1">IFERROR(__xludf.DUMMYFUNCTION("""COMPUTED_VALUE"""),45469.9986111111)</f>
        <v>45469.998611111099</v>
      </c>
      <c r="AT1627" s="6">
        <f ca="1">IFERROR(__xludf.DUMMYFUNCTION("""COMPUTED_VALUE"""),2313.2)</f>
        <v>2313.1999999999998</v>
      </c>
    </row>
    <row r="1628" spans="2:46" x14ac:dyDescent="0.35">
      <c r="B1628" s="6" t="str">
        <f t="shared" ca="1" si="450"/>
        <v>20246</v>
      </c>
      <c r="C1628" s="6">
        <f t="shared" ca="1" si="451"/>
        <v>2024</v>
      </c>
      <c r="D1628" s="6">
        <f t="shared" ca="1" si="452"/>
        <v>6</v>
      </c>
      <c r="E1628" s="68">
        <f ca="1">IFERROR(__xludf.DUMMYFUNCTION("""COMPUTED_VALUE"""),45463.6666666666)</f>
        <v>45463.666666666599</v>
      </c>
      <c r="F1628" s="6">
        <f ca="1">IFERROR(__xludf.DUMMYFUNCTION("""COMPUTED_VALUE"""),5473.17)</f>
        <v>5473.17</v>
      </c>
      <c r="J1628" s="6" t="str">
        <f t="shared" ca="1" si="453"/>
        <v>20246</v>
      </c>
      <c r="K1628" s="6">
        <f t="shared" ca="1" si="454"/>
        <v>2024</v>
      </c>
      <c r="L1628" s="6">
        <f t="shared" ca="1" si="455"/>
        <v>6</v>
      </c>
      <c r="M1628" s="68">
        <f ca="1">IFERROR(__xludf.DUMMYFUNCTION("""COMPUTED_VALUE"""),45454.6666666666)</f>
        <v>45454.666666666599</v>
      </c>
      <c r="N1628" s="6">
        <f ca="1">IFERROR(__xludf.DUMMYFUNCTION("""COMPUTED_VALUE"""),17343.55)</f>
        <v>17343.55</v>
      </c>
      <c r="R1628" s="6" t="str">
        <f t="shared" ca="1" si="456"/>
        <v>20248</v>
      </c>
      <c r="S1628" s="6">
        <f t="shared" ca="1" si="457"/>
        <v>2024</v>
      </c>
      <c r="T1628" s="6">
        <f t="shared" ca="1" si="458"/>
        <v>8</v>
      </c>
      <c r="U1628" s="68">
        <f ca="1">IFERROR(__xludf.DUMMYFUNCTION("""COMPUTED_VALUE"""),45517.6458333333)</f>
        <v>45517.645833333299</v>
      </c>
      <c r="V1628" s="6">
        <f ca="1">IFERROR(__xludf.DUMMYFUNCTION("""COMPUTED_VALUE"""),2621.5)</f>
        <v>2621.5</v>
      </c>
      <c r="Z1628" s="6" t="str">
        <f t="shared" ca="1" si="459"/>
        <v>20228</v>
      </c>
      <c r="AA1628" s="6">
        <f t="shared" ca="1" si="460"/>
        <v>2022</v>
      </c>
      <c r="AB1628" s="6">
        <f t="shared" ca="1" si="461"/>
        <v>8</v>
      </c>
      <c r="AC1628" s="68">
        <f ca="1">IFERROR(__xludf.DUMMYFUNCTION("""COMPUTED_VALUE"""),44777.9986111111)</f>
        <v>44777.998611111099</v>
      </c>
      <c r="AD1628" s="6">
        <f ca="1">IFERROR(__xludf.DUMMYFUNCTION("""COMPUTED_VALUE"""),1302.08)</f>
        <v>1302.08</v>
      </c>
      <c r="AH1628" s="6" t="str">
        <f t="shared" ca="1" si="462"/>
        <v>20226</v>
      </c>
      <c r="AI1628" s="6">
        <f t="shared" ca="1" si="463"/>
        <v>2022</v>
      </c>
      <c r="AJ1628" s="6">
        <f t="shared" ca="1" si="464"/>
        <v>6</v>
      </c>
      <c r="AK1628" s="68">
        <f ca="1">IFERROR(__xludf.DUMMYFUNCTION("""COMPUTED_VALUE"""),44721.9986111111)</f>
        <v>44721.998611111099</v>
      </c>
      <c r="AL1628" s="6">
        <f ca="1">IFERROR(__xludf.DUMMYFUNCTION("""COMPUTED_VALUE"""),30090.58)</f>
        <v>30090.58</v>
      </c>
      <c r="AP1628" s="6" t="str">
        <f t="shared" ca="1" si="465"/>
        <v>20246</v>
      </c>
      <c r="AQ1628" s="6">
        <f t="shared" ca="1" si="466"/>
        <v>2024</v>
      </c>
      <c r="AR1628" s="6">
        <f t="shared" ca="1" si="467"/>
        <v>6</v>
      </c>
      <c r="AS1628" s="68">
        <f ca="1">IFERROR(__xludf.DUMMYFUNCTION("""COMPUTED_VALUE"""),45470.9986111111)</f>
        <v>45470.998611111099</v>
      </c>
      <c r="AT1628" s="6">
        <f ca="1">IFERROR(__xludf.DUMMYFUNCTION("""COMPUTED_VALUE"""),2336.6)</f>
        <v>2336.6</v>
      </c>
    </row>
    <row r="1629" spans="2:46" x14ac:dyDescent="0.35">
      <c r="B1629" s="6" t="str">
        <f t="shared" ca="1" si="450"/>
        <v>20246</v>
      </c>
      <c r="C1629" s="6">
        <f t="shared" ca="1" si="451"/>
        <v>2024</v>
      </c>
      <c r="D1629" s="6">
        <f t="shared" ca="1" si="452"/>
        <v>6</v>
      </c>
      <c r="E1629" s="68">
        <f ca="1">IFERROR(__xludf.DUMMYFUNCTION("""COMPUTED_VALUE"""),45464.6666666666)</f>
        <v>45464.666666666599</v>
      </c>
      <c r="F1629" s="6">
        <f ca="1">IFERROR(__xludf.DUMMYFUNCTION("""COMPUTED_VALUE"""),5464.62)</f>
        <v>5464.62</v>
      </c>
      <c r="J1629" s="6" t="str">
        <f t="shared" ca="1" si="453"/>
        <v>20246</v>
      </c>
      <c r="K1629" s="6">
        <f t="shared" ca="1" si="454"/>
        <v>2024</v>
      </c>
      <c r="L1629" s="6">
        <f t="shared" ca="1" si="455"/>
        <v>6</v>
      </c>
      <c r="M1629" s="68">
        <f ca="1">IFERROR(__xludf.DUMMYFUNCTION("""COMPUTED_VALUE"""),45455.6666666666)</f>
        <v>45455.666666666599</v>
      </c>
      <c r="N1629" s="6">
        <f ca="1">IFERROR(__xludf.DUMMYFUNCTION("""COMPUTED_VALUE"""),17608.44)</f>
        <v>17608.439999999999</v>
      </c>
      <c r="R1629" s="6" t="str">
        <f t="shared" ca="1" si="456"/>
        <v>20248</v>
      </c>
      <c r="S1629" s="6">
        <f t="shared" ca="1" si="457"/>
        <v>2024</v>
      </c>
      <c r="T1629" s="6">
        <f t="shared" ca="1" si="458"/>
        <v>8</v>
      </c>
      <c r="U1629" s="68">
        <f ca="1">IFERROR(__xludf.DUMMYFUNCTION("""COMPUTED_VALUE"""),45518.6458333333)</f>
        <v>45518.645833333299</v>
      </c>
      <c r="V1629" s="6">
        <f ca="1">IFERROR(__xludf.DUMMYFUNCTION("""COMPUTED_VALUE"""),2644.5)</f>
        <v>2644.5</v>
      </c>
      <c r="Z1629" s="6" t="str">
        <f t="shared" ca="1" si="459"/>
        <v>20228</v>
      </c>
      <c r="AA1629" s="6">
        <f t="shared" ca="1" si="460"/>
        <v>2022</v>
      </c>
      <c r="AB1629" s="6">
        <f t="shared" ca="1" si="461"/>
        <v>8</v>
      </c>
      <c r="AC1629" s="68">
        <f ca="1">IFERROR(__xludf.DUMMYFUNCTION("""COMPUTED_VALUE"""),44778.9986111111)</f>
        <v>44778.998611111099</v>
      </c>
      <c r="AD1629" s="6">
        <f ca="1">IFERROR(__xludf.DUMMYFUNCTION("""COMPUTED_VALUE"""),1302.64)</f>
        <v>1302.6400000000001</v>
      </c>
      <c r="AH1629" s="6" t="str">
        <f t="shared" ca="1" si="462"/>
        <v>20226</v>
      </c>
      <c r="AI1629" s="6">
        <f t="shared" ca="1" si="463"/>
        <v>2022</v>
      </c>
      <c r="AJ1629" s="6">
        <f t="shared" ca="1" si="464"/>
        <v>6</v>
      </c>
      <c r="AK1629" s="68">
        <f ca="1">IFERROR(__xludf.DUMMYFUNCTION("""COMPUTED_VALUE"""),44722.9986111111)</f>
        <v>44722.998611111099</v>
      </c>
      <c r="AL1629" s="6">
        <f ca="1">IFERROR(__xludf.DUMMYFUNCTION("""COMPUTED_VALUE"""),29061.1)</f>
        <v>29061.1</v>
      </c>
      <c r="AP1629" s="6" t="str">
        <f t="shared" ca="1" si="465"/>
        <v>20246</v>
      </c>
      <c r="AQ1629" s="6">
        <f t="shared" ca="1" si="466"/>
        <v>2024</v>
      </c>
      <c r="AR1629" s="6">
        <f t="shared" ca="1" si="467"/>
        <v>6</v>
      </c>
      <c r="AS1629" s="68">
        <f ca="1">IFERROR(__xludf.DUMMYFUNCTION("""COMPUTED_VALUE"""),45471.9986111111)</f>
        <v>45471.998611111099</v>
      </c>
      <c r="AT1629" s="6">
        <f ca="1">IFERROR(__xludf.DUMMYFUNCTION("""COMPUTED_VALUE"""),2339.6)</f>
        <v>2339.6</v>
      </c>
    </row>
    <row r="1630" spans="2:46" x14ac:dyDescent="0.35">
      <c r="B1630" s="6" t="str">
        <f t="shared" ca="1" si="450"/>
        <v>20246</v>
      </c>
      <c r="C1630" s="6">
        <f t="shared" ca="1" si="451"/>
        <v>2024</v>
      </c>
      <c r="D1630" s="6">
        <f t="shared" ca="1" si="452"/>
        <v>6</v>
      </c>
      <c r="E1630" s="68">
        <f ca="1">IFERROR(__xludf.DUMMYFUNCTION("""COMPUTED_VALUE"""),45467.6666666666)</f>
        <v>45467.666666666599</v>
      </c>
      <c r="F1630" s="6">
        <f ca="1">IFERROR(__xludf.DUMMYFUNCTION("""COMPUTED_VALUE"""),5447.87)</f>
        <v>5447.87</v>
      </c>
      <c r="J1630" s="6" t="str">
        <f t="shared" ca="1" si="453"/>
        <v>20246</v>
      </c>
      <c r="K1630" s="6">
        <f t="shared" ca="1" si="454"/>
        <v>2024</v>
      </c>
      <c r="L1630" s="6">
        <f t="shared" ca="1" si="455"/>
        <v>6</v>
      </c>
      <c r="M1630" s="68">
        <f ca="1">IFERROR(__xludf.DUMMYFUNCTION("""COMPUTED_VALUE"""),45456.6666666666)</f>
        <v>45456.666666666599</v>
      </c>
      <c r="N1630" s="6">
        <f ca="1">IFERROR(__xludf.DUMMYFUNCTION("""COMPUTED_VALUE"""),17667.56)</f>
        <v>17667.560000000001</v>
      </c>
      <c r="R1630" s="6" t="str">
        <f t="shared" ca="1" si="456"/>
        <v>20248</v>
      </c>
      <c r="S1630" s="6">
        <f t="shared" ca="1" si="457"/>
        <v>2024</v>
      </c>
      <c r="T1630" s="6">
        <f t="shared" ca="1" si="458"/>
        <v>8</v>
      </c>
      <c r="U1630" s="68">
        <f ca="1">IFERROR(__xludf.DUMMYFUNCTION("""COMPUTED_VALUE"""),45520.6458333333)</f>
        <v>45520.645833333299</v>
      </c>
      <c r="V1630" s="6">
        <f ca="1">IFERROR(__xludf.DUMMYFUNCTION("""COMPUTED_VALUE"""),2697.23)</f>
        <v>2697.23</v>
      </c>
      <c r="Z1630" s="6" t="str">
        <f t="shared" ca="1" si="459"/>
        <v>20228</v>
      </c>
      <c r="AA1630" s="6">
        <f t="shared" ca="1" si="460"/>
        <v>2022</v>
      </c>
      <c r="AB1630" s="6">
        <f t="shared" ca="1" si="461"/>
        <v>8</v>
      </c>
      <c r="AC1630" s="68">
        <f ca="1">IFERROR(__xludf.DUMMYFUNCTION("""COMPUTED_VALUE"""),44779.9986111111)</f>
        <v>44779.998611111099</v>
      </c>
      <c r="AD1630" s="6">
        <f ca="1">IFERROR(__xludf.DUMMYFUNCTION("""COMPUTED_VALUE"""),1302.24)</f>
        <v>1302.24</v>
      </c>
      <c r="AH1630" s="6" t="str">
        <f t="shared" ca="1" si="462"/>
        <v>20226</v>
      </c>
      <c r="AI1630" s="6">
        <f t="shared" ca="1" si="463"/>
        <v>2022</v>
      </c>
      <c r="AJ1630" s="6">
        <f t="shared" ca="1" si="464"/>
        <v>6</v>
      </c>
      <c r="AK1630" s="68">
        <f ca="1">IFERROR(__xludf.DUMMYFUNCTION("""COMPUTED_VALUE"""),44723.9986111111)</f>
        <v>44723.998611111099</v>
      </c>
      <c r="AL1630" s="6">
        <f ca="1">IFERROR(__xludf.DUMMYFUNCTION("""COMPUTED_VALUE"""),28384.03)</f>
        <v>28384.03</v>
      </c>
      <c r="AP1630" s="6" t="str">
        <f t="shared" ca="1" si="465"/>
        <v>20247</v>
      </c>
      <c r="AQ1630" s="6">
        <f t="shared" ca="1" si="466"/>
        <v>2024</v>
      </c>
      <c r="AR1630" s="6">
        <f t="shared" ca="1" si="467"/>
        <v>7</v>
      </c>
      <c r="AS1630" s="68">
        <f ca="1">IFERROR(__xludf.DUMMYFUNCTION("""COMPUTED_VALUE"""),45474.9986111111)</f>
        <v>45474.998611111099</v>
      </c>
      <c r="AT1630" s="6">
        <f ca="1">IFERROR(__xludf.DUMMYFUNCTION("""COMPUTED_VALUE"""),2338.9)</f>
        <v>2338.9</v>
      </c>
    </row>
    <row r="1631" spans="2:46" x14ac:dyDescent="0.35">
      <c r="B1631" s="6" t="str">
        <f t="shared" ca="1" si="450"/>
        <v>20246</v>
      </c>
      <c r="C1631" s="6">
        <f t="shared" ca="1" si="451"/>
        <v>2024</v>
      </c>
      <c r="D1631" s="6">
        <f t="shared" ca="1" si="452"/>
        <v>6</v>
      </c>
      <c r="E1631" s="68">
        <f ca="1">IFERROR(__xludf.DUMMYFUNCTION("""COMPUTED_VALUE"""),45468.6666666666)</f>
        <v>45468.666666666599</v>
      </c>
      <c r="F1631" s="6">
        <f ca="1">IFERROR(__xludf.DUMMYFUNCTION("""COMPUTED_VALUE"""),5469.3)</f>
        <v>5469.3</v>
      </c>
      <c r="J1631" s="6" t="str">
        <f t="shared" ca="1" si="453"/>
        <v>20246</v>
      </c>
      <c r="K1631" s="6">
        <f t="shared" ca="1" si="454"/>
        <v>2024</v>
      </c>
      <c r="L1631" s="6">
        <f t="shared" ca="1" si="455"/>
        <v>6</v>
      </c>
      <c r="M1631" s="68">
        <f ca="1">IFERROR(__xludf.DUMMYFUNCTION("""COMPUTED_VALUE"""),45457.6666666666)</f>
        <v>45457.666666666599</v>
      </c>
      <c r="N1631" s="6">
        <f ca="1">IFERROR(__xludf.DUMMYFUNCTION("""COMPUTED_VALUE"""),17688.88)</f>
        <v>17688.88</v>
      </c>
      <c r="R1631" s="6" t="str">
        <f t="shared" ca="1" si="456"/>
        <v>20248</v>
      </c>
      <c r="S1631" s="6">
        <f t="shared" ca="1" si="457"/>
        <v>2024</v>
      </c>
      <c r="T1631" s="6">
        <f t="shared" ca="1" si="458"/>
        <v>8</v>
      </c>
      <c r="U1631" s="68">
        <f ca="1">IFERROR(__xludf.DUMMYFUNCTION("""COMPUTED_VALUE"""),45523.6458333333)</f>
        <v>45523.645833333299</v>
      </c>
      <c r="V1631" s="6">
        <f ca="1">IFERROR(__xludf.DUMMYFUNCTION("""COMPUTED_VALUE"""),2674.36)</f>
        <v>2674.36</v>
      </c>
      <c r="Z1631" s="6" t="str">
        <f t="shared" ca="1" si="459"/>
        <v>20228</v>
      </c>
      <c r="AA1631" s="6">
        <f t="shared" ca="1" si="460"/>
        <v>2022</v>
      </c>
      <c r="AB1631" s="6">
        <f t="shared" ca="1" si="461"/>
        <v>8</v>
      </c>
      <c r="AC1631" s="68">
        <f ca="1">IFERROR(__xludf.DUMMYFUNCTION("""COMPUTED_VALUE"""),44780.9986111111)</f>
        <v>44780.998611111099</v>
      </c>
      <c r="AD1631" s="6">
        <f ca="1">IFERROR(__xludf.DUMMYFUNCTION("""COMPUTED_VALUE"""),1302.74)</f>
        <v>1302.74</v>
      </c>
      <c r="AH1631" s="6" t="str">
        <f t="shared" ca="1" si="462"/>
        <v>20226</v>
      </c>
      <c r="AI1631" s="6">
        <f t="shared" ca="1" si="463"/>
        <v>2022</v>
      </c>
      <c r="AJ1631" s="6">
        <f t="shared" ca="1" si="464"/>
        <v>6</v>
      </c>
      <c r="AK1631" s="68">
        <f ca="1">IFERROR(__xludf.DUMMYFUNCTION("""COMPUTED_VALUE"""),44724.9986111111)</f>
        <v>44724.998611111099</v>
      </c>
      <c r="AL1631" s="6">
        <f ca="1">IFERROR(__xludf.DUMMYFUNCTION("""COMPUTED_VALUE"""),26599.2)</f>
        <v>26599.200000000001</v>
      </c>
      <c r="AP1631" s="6" t="str">
        <f t="shared" ca="1" si="465"/>
        <v>20247</v>
      </c>
      <c r="AQ1631" s="6">
        <f t="shared" ca="1" si="466"/>
        <v>2024</v>
      </c>
      <c r="AR1631" s="6">
        <f t="shared" ca="1" si="467"/>
        <v>7</v>
      </c>
      <c r="AS1631" s="68">
        <f ca="1">IFERROR(__xludf.DUMMYFUNCTION("""COMPUTED_VALUE"""),45475.9986111111)</f>
        <v>45475.998611111099</v>
      </c>
      <c r="AT1631" s="6">
        <f ca="1">IFERROR(__xludf.DUMMYFUNCTION("""COMPUTED_VALUE"""),2333.4)</f>
        <v>2333.4</v>
      </c>
    </row>
    <row r="1632" spans="2:46" x14ac:dyDescent="0.35">
      <c r="B1632" s="6" t="str">
        <f t="shared" ca="1" si="450"/>
        <v>20246</v>
      </c>
      <c r="C1632" s="6">
        <f t="shared" ca="1" si="451"/>
        <v>2024</v>
      </c>
      <c r="D1632" s="6">
        <f t="shared" ca="1" si="452"/>
        <v>6</v>
      </c>
      <c r="E1632" s="68">
        <f ca="1">IFERROR(__xludf.DUMMYFUNCTION("""COMPUTED_VALUE"""),45469.6666666666)</f>
        <v>45469.666666666599</v>
      </c>
      <c r="F1632" s="6">
        <f ca="1">IFERROR(__xludf.DUMMYFUNCTION("""COMPUTED_VALUE"""),5477.9)</f>
        <v>5477.9</v>
      </c>
      <c r="J1632" s="6" t="str">
        <f t="shared" ca="1" si="453"/>
        <v>20246</v>
      </c>
      <c r="K1632" s="6">
        <f t="shared" ca="1" si="454"/>
        <v>2024</v>
      </c>
      <c r="L1632" s="6">
        <f t="shared" ca="1" si="455"/>
        <v>6</v>
      </c>
      <c r="M1632" s="68">
        <f ca="1">IFERROR(__xludf.DUMMYFUNCTION("""COMPUTED_VALUE"""),45460.6666666666)</f>
        <v>45460.666666666599</v>
      </c>
      <c r="N1632" s="6">
        <f ca="1">IFERROR(__xludf.DUMMYFUNCTION("""COMPUTED_VALUE"""),17857.02)</f>
        <v>17857.02</v>
      </c>
      <c r="R1632" s="6" t="str">
        <f t="shared" ca="1" si="456"/>
        <v>20248</v>
      </c>
      <c r="S1632" s="6">
        <f t="shared" ca="1" si="457"/>
        <v>2024</v>
      </c>
      <c r="T1632" s="6">
        <f t="shared" ca="1" si="458"/>
        <v>8</v>
      </c>
      <c r="U1632" s="68">
        <f ca="1">IFERROR(__xludf.DUMMYFUNCTION("""COMPUTED_VALUE"""),45524.6458333333)</f>
        <v>45524.645833333299</v>
      </c>
      <c r="V1632" s="6">
        <f ca="1">IFERROR(__xludf.DUMMYFUNCTION("""COMPUTED_VALUE"""),2696.63)</f>
        <v>2696.63</v>
      </c>
      <c r="Z1632" s="6" t="str">
        <f t="shared" ca="1" si="459"/>
        <v>20228</v>
      </c>
      <c r="AA1632" s="6">
        <f t="shared" ca="1" si="460"/>
        <v>2022</v>
      </c>
      <c r="AB1632" s="6">
        <f t="shared" ca="1" si="461"/>
        <v>8</v>
      </c>
      <c r="AC1632" s="68">
        <f ca="1">IFERROR(__xludf.DUMMYFUNCTION("""COMPUTED_VALUE"""),44781.9986111111)</f>
        <v>44781.998611111099</v>
      </c>
      <c r="AD1632" s="6">
        <f ca="1">IFERROR(__xludf.DUMMYFUNCTION("""COMPUTED_VALUE"""),1299.03)</f>
        <v>1299.03</v>
      </c>
      <c r="AH1632" s="6" t="str">
        <f t="shared" ca="1" si="462"/>
        <v>20226</v>
      </c>
      <c r="AI1632" s="6">
        <f t="shared" ca="1" si="463"/>
        <v>2022</v>
      </c>
      <c r="AJ1632" s="6">
        <f t="shared" ca="1" si="464"/>
        <v>6</v>
      </c>
      <c r="AK1632" s="68">
        <f ca="1">IFERROR(__xludf.DUMMYFUNCTION("""COMPUTED_VALUE"""),44725.9986111111)</f>
        <v>44725.998611111099</v>
      </c>
      <c r="AL1632" s="6">
        <f ca="1">IFERROR(__xludf.DUMMYFUNCTION("""COMPUTED_VALUE"""),22439.37)</f>
        <v>22439.37</v>
      </c>
      <c r="AP1632" s="6" t="str">
        <f t="shared" ca="1" si="465"/>
        <v>20247</v>
      </c>
      <c r="AQ1632" s="6">
        <f t="shared" ca="1" si="466"/>
        <v>2024</v>
      </c>
      <c r="AR1632" s="6">
        <f t="shared" ca="1" si="467"/>
        <v>7</v>
      </c>
      <c r="AS1632" s="68">
        <f ca="1">IFERROR(__xludf.DUMMYFUNCTION("""COMPUTED_VALUE"""),45476.5416666666)</f>
        <v>45476.541666666599</v>
      </c>
      <c r="AT1632" s="6">
        <f ca="1">IFERROR(__xludf.DUMMYFUNCTION("""COMPUTED_VALUE"""),2369.4)</f>
        <v>2369.4</v>
      </c>
    </row>
    <row r="1633" spans="2:46" x14ac:dyDescent="0.35">
      <c r="B1633" s="6" t="str">
        <f t="shared" ca="1" si="450"/>
        <v>20246</v>
      </c>
      <c r="C1633" s="6">
        <f t="shared" ca="1" si="451"/>
        <v>2024</v>
      </c>
      <c r="D1633" s="6">
        <f t="shared" ca="1" si="452"/>
        <v>6</v>
      </c>
      <c r="E1633" s="68">
        <f ca="1">IFERROR(__xludf.DUMMYFUNCTION("""COMPUTED_VALUE"""),45470.6666666666)</f>
        <v>45470.666666666599</v>
      </c>
      <c r="F1633" s="6">
        <f ca="1">IFERROR(__xludf.DUMMYFUNCTION("""COMPUTED_VALUE"""),5482.87)</f>
        <v>5482.87</v>
      </c>
      <c r="J1633" s="6" t="str">
        <f t="shared" ca="1" si="453"/>
        <v>20246</v>
      </c>
      <c r="K1633" s="6">
        <f t="shared" ca="1" si="454"/>
        <v>2024</v>
      </c>
      <c r="L1633" s="6">
        <f t="shared" ca="1" si="455"/>
        <v>6</v>
      </c>
      <c r="M1633" s="68">
        <f ca="1">IFERROR(__xludf.DUMMYFUNCTION("""COMPUTED_VALUE"""),45461.6666666666)</f>
        <v>45461.666666666599</v>
      </c>
      <c r="N1633" s="6">
        <f ca="1">IFERROR(__xludf.DUMMYFUNCTION("""COMPUTED_VALUE"""),17862.23)</f>
        <v>17862.23</v>
      </c>
      <c r="R1633" s="6" t="str">
        <f t="shared" ca="1" si="456"/>
        <v>20248</v>
      </c>
      <c r="S1633" s="6">
        <f t="shared" ca="1" si="457"/>
        <v>2024</v>
      </c>
      <c r="T1633" s="6">
        <f t="shared" ca="1" si="458"/>
        <v>8</v>
      </c>
      <c r="U1633" s="68">
        <f ca="1">IFERROR(__xludf.DUMMYFUNCTION("""COMPUTED_VALUE"""),45525.6458333333)</f>
        <v>45525.645833333299</v>
      </c>
      <c r="V1633" s="6">
        <f ca="1">IFERROR(__xludf.DUMMYFUNCTION("""COMPUTED_VALUE"""),2701.13)</f>
        <v>2701.13</v>
      </c>
      <c r="Z1633" s="6" t="str">
        <f t="shared" ca="1" si="459"/>
        <v>20228</v>
      </c>
      <c r="AA1633" s="6">
        <f t="shared" ca="1" si="460"/>
        <v>2022</v>
      </c>
      <c r="AB1633" s="6">
        <f t="shared" ca="1" si="461"/>
        <v>8</v>
      </c>
      <c r="AC1633" s="68">
        <f ca="1">IFERROR(__xludf.DUMMYFUNCTION("""COMPUTED_VALUE"""),44782.9986111111)</f>
        <v>44782.998611111099</v>
      </c>
      <c r="AD1633" s="6">
        <f ca="1">IFERROR(__xludf.DUMMYFUNCTION("""COMPUTED_VALUE"""),1307.56)</f>
        <v>1307.56</v>
      </c>
      <c r="AH1633" s="6" t="str">
        <f t="shared" ca="1" si="462"/>
        <v>20226</v>
      </c>
      <c r="AI1633" s="6">
        <f t="shared" ca="1" si="463"/>
        <v>2022</v>
      </c>
      <c r="AJ1633" s="6">
        <f t="shared" ca="1" si="464"/>
        <v>6</v>
      </c>
      <c r="AK1633" s="68">
        <f ca="1">IFERROR(__xludf.DUMMYFUNCTION("""COMPUTED_VALUE"""),44726.9986111111)</f>
        <v>44726.998611111099</v>
      </c>
      <c r="AL1633" s="6">
        <f ca="1">IFERROR(__xludf.DUMMYFUNCTION("""COMPUTED_VALUE"""),22145.76)</f>
        <v>22145.759999999998</v>
      </c>
      <c r="AP1633" s="6" t="str">
        <f t="shared" ca="1" si="465"/>
        <v>20247</v>
      </c>
      <c r="AQ1633" s="6">
        <f t="shared" ca="1" si="466"/>
        <v>2024</v>
      </c>
      <c r="AR1633" s="6">
        <f t="shared" ca="1" si="467"/>
        <v>7</v>
      </c>
      <c r="AS1633" s="68">
        <f ca="1">IFERROR(__xludf.DUMMYFUNCTION("""COMPUTED_VALUE"""),45478.9986111111)</f>
        <v>45478.998611111099</v>
      </c>
      <c r="AT1633" s="6">
        <f ca="1">IFERROR(__xludf.DUMMYFUNCTION("""COMPUTED_VALUE"""),2397.7)</f>
        <v>2397.6999999999998</v>
      </c>
    </row>
    <row r="1634" spans="2:46" x14ac:dyDescent="0.35">
      <c r="B1634" s="6" t="str">
        <f t="shared" ca="1" si="450"/>
        <v>20246</v>
      </c>
      <c r="C1634" s="6">
        <f t="shared" ca="1" si="451"/>
        <v>2024</v>
      </c>
      <c r="D1634" s="6">
        <f t="shared" ca="1" si="452"/>
        <v>6</v>
      </c>
      <c r="E1634" s="68">
        <f ca="1">IFERROR(__xludf.DUMMYFUNCTION("""COMPUTED_VALUE"""),45471.6666666666)</f>
        <v>45471.666666666599</v>
      </c>
      <c r="F1634" s="6">
        <f ca="1">IFERROR(__xludf.DUMMYFUNCTION("""COMPUTED_VALUE"""),5460.48)</f>
        <v>5460.48</v>
      </c>
      <c r="J1634" s="6" t="str">
        <f t="shared" ca="1" si="453"/>
        <v>20246</v>
      </c>
      <c r="K1634" s="6">
        <f t="shared" ca="1" si="454"/>
        <v>2024</v>
      </c>
      <c r="L1634" s="6">
        <f t="shared" ca="1" si="455"/>
        <v>6</v>
      </c>
      <c r="M1634" s="68">
        <f ca="1">IFERROR(__xludf.DUMMYFUNCTION("""COMPUTED_VALUE"""),45463.6666666666)</f>
        <v>45463.666666666599</v>
      </c>
      <c r="N1634" s="6">
        <f ca="1">IFERROR(__xludf.DUMMYFUNCTION("""COMPUTED_VALUE"""),17721.59)</f>
        <v>17721.59</v>
      </c>
      <c r="R1634" s="6" t="str">
        <f t="shared" ca="1" si="456"/>
        <v>20248</v>
      </c>
      <c r="S1634" s="6">
        <f t="shared" ca="1" si="457"/>
        <v>2024</v>
      </c>
      <c r="T1634" s="6">
        <f t="shared" ca="1" si="458"/>
        <v>8</v>
      </c>
      <c r="U1634" s="68">
        <f ca="1">IFERROR(__xludf.DUMMYFUNCTION("""COMPUTED_VALUE"""),45526.6458333333)</f>
        <v>45526.645833333299</v>
      </c>
      <c r="V1634" s="6">
        <f ca="1">IFERROR(__xludf.DUMMYFUNCTION("""COMPUTED_VALUE"""),2707.67)</f>
        <v>2707.67</v>
      </c>
      <c r="Z1634" s="6" t="str">
        <f t="shared" ca="1" si="459"/>
        <v>20228</v>
      </c>
      <c r="AA1634" s="6">
        <f t="shared" ca="1" si="460"/>
        <v>2022</v>
      </c>
      <c r="AB1634" s="6">
        <f t="shared" ca="1" si="461"/>
        <v>8</v>
      </c>
      <c r="AC1634" s="68">
        <f ca="1">IFERROR(__xludf.DUMMYFUNCTION("""COMPUTED_VALUE"""),44783.9986111111)</f>
        <v>44783.998611111099</v>
      </c>
      <c r="AD1634" s="6">
        <f ca="1">IFERROR(__xludf.DUMMYFUNCTION("""COMPUTED_VALUE"""),1296.7)</f>
        <v>1296.7</v>
      </c>
      <c r="AH1634" s="6" t="str">
        <f t="shared" ca="1" si="462"/>
        <v>20226</v>
      </c>
      <c r="AI1634" s="6">
        <f t="shared" ca="1" si="463"/>
        <v>2022</v>
      </c>
      <c r="AJ1634" s="6">
        <f t="shared" ca="1" si="464"/>
        <v>6</v>
      </c>
      <c r="AK1634" s="68">
        <f ca="1">IFERROR(__xludf.DUMMYFUNCTION("""COMPUTED_VALUE"""),44727.9986111111)</f>
        <v>44727.998611111099</v>
      </c>
      <c r="AL1634" s="6">
        <f ca="1">IFERROR(__xludf.DUMMYFUNCTION("""COMPUTED_VALUE"""),22567.14)</f>
        <v>22567.14</v>
      </c>
      <c r="AP1634" s="6" t="str">
        <f t="shared" ca="1" si="465"/>
        <v>20247</v>
      </c>
      <c r="AQ1634" s="6">
        <f t="shared" ca="1" si="466"/>
        <v>2024</v>
      </c>
      <c r="AR1634" s="6">
        <f t="shared" ca="1" si="467"/>
        <v>7</v>
      </c>
      <c r="AS1634" s="68">
        <f ca="1">IFERROR(__xludf.DUMMYFUNCTION("""COMPUTED_VALUE"""),45481.9986111111)</f>
        <v>45481.998611111099</v>
      </c>
      <c r="AT1634" s="6">
        <f ca="1">IFERROR(__xludf.DUMMYFUNCTION("""COMPUTED_VALUE"""),2363.5)</f>
        <v>2363.5</v>
      </c>
    </row>
    <row r="1635" spans="2:46" x14ac:dyDescent="0.35">
      <c r="B1635" s="6" t="str">
        <f t="shared" ca="1" si="450"/>
        <v>20247</v>
      </c>
      <c r="C1635" s="6">
        <f t="shared" ca="1" si="451"/>
        <v>2024</v>
      </c>
      <c r="D1635" s="6">
        <f t="shared" ca="1" si="452"/>
        <v>7</v>
      </c>
      <c r="E1635" s="68">
        <f ca="1">IFERROR(__xludf.DUMMYFUNCTION("""COMPUTED_VALUE"""),45474.6666666666)</f>
        <v>45474.666666666599</v>
      </c>
      <c r="F1635" s="6">
        <f ca="1">IFERROR(__xludf.DUMMYFUNCTION("""COMPUTED_VALUE"""),5475.09)</f>
        <v>5475.09</v>
      </c>
      <c r="J1635" s="6" t="str">
        <f t="shared" ca="1" si="453"/>
        <v>20246</v>
      </c>
      <c r="K1635" s="6">
        <f t="shared" ca="1" si="454"/>
        <v>2024</v>
      </c>
      <c r="L1635" s="6">
        <f t="shared" ca="1" si="455"/>
        <v>6</v>
      </c>
      <c r="M1635" s="68">
        <f ca="1">IFERROR(__xludf.DUMMYFUNCTION("""COMPUTED_VALUE"""),45464.6666666666)</f>
        <v>45464.666666666599</v>
      </c>
      <c r="N1635" s="6">
        <f ca="1">IFERROR(__xludf.DUMMYFUNCTION("""COMPUTED_VALUE"""),17689.36)</f>
        <v>17689.36</v>
      </c>
      <c r="R1635" s="6" t="str">
        <f t="shared" ca="1" si="456"/>
        <v>20248</v>
      </c>
      <c r="S1635" s="6">
        <f t="shared" ca="1" si="457"/>
        <v>2024</v>
      </c>
      <c r="T1635" s="6">
        <f t="shared" ca="1" si="458"/>
        <v>8</v>
      </c>
      <c r="U1635" s="68">
        <f ca="1">IFERROR(__xludf.DUMMYFUNCTION("""COMPUTED_VALUE"""),45527.6458333333)</f>
        <v>45527.645833333299</v>
      </c>
      <c r="V1635" s="6">
        <f ca="1">IFERROR(__xludf.DUMMYFUNCTION("""COMPUTED_VALUE"""),2701.69)</f>
        <v>2701.69</v>
      </c>
      <c r="Z1635" s="6" t="str">
        <f t="shared" ca="1" si="459"/>
        <v>20228</v>
      </c>
      <c r="AA1635" s="6">
        <f t="shared" ca="1" si="460"/>
        <v>2022</v>
      </c>
      <c r="AB1635" s="6">
        <f t="shared" ca="1" si="461"/>
        <v>8</v>
      </c>
      <c r="AC1635" s="68">
        <f ca="1">IFERROR(__xludf.DUMMYFUNCTION("""COMPUTED_VALUE"""),44784.9986111111)</f>
        <v>44784.998611111099</v>
      </c>
      <c r="AD1635" s="6">
        <f ca="1">IFERROR(__xludf.DUMMYFUNCTION("""COMPUTED_VALUE"""),1306.83)</f>
        <v>1306.83</v>
      </c>
      <c r="AH1635" s="6" t="str">
        <f t="shared" ca="1" si="462"/>
        <v>20226</v>
      </c>
      <c r="AI1635" s="6">
        <f t="shared" ca="1" si="463"/>
        <v>2022</v>
      </c>
      <c r="AJ1635" s="6">
        <f t="shared" ca="1" si="464"/>
        <v>6</v>
      </c>
      <c r="AK1635" s="68">
        <f ca="1">IFERROR(__xludf.DUMMYFUNCTION("""COMPUTED_VALUE"""),44728.9986111111)</f>
        <v>44728.998611111099</v>
      </c>
      <c r="AL1635" s="6">
        <f ca="1">IFERROR(__xludf.DUMMYFUNCTION("""COMPUTED_VALUE"""),20375.4)</f>
        <v>20375.400000000001</v>
      </c>
      <c r="AP1635" s="6" t="str">
        <f t="shared" ca="1" si="465"/>
        <v>20247</v>
      </c>
      <c r="AQ1635" s="6">
        <f t="shared" ca="1" si="466"/>
        <v>2024</v>
      </c>
      <c r="AR1635" s="6">
        <f t="shared" ca="1" si="467"/>
        <v>7</v>
      </c>
      <c r="AS1635" s="68">
        <f ca="1">IFERROR(__xludf.DUMMYFUNCTION("""COMPUTED_VALUE"""),45482.9986111111)</f>
        <v>45482.998611111099</v>
      </c>
      <c r="AT1635" s="6">
        <f ca="1">IFERROR(__xludf.DUMMYFUNCTION("""COMPUTED_VALUE"""),2367.9)</f>
        <v>2367.9</v>
      </c>
    </row>
    <row r="1636" spans="2:46" x14ac:dyDescent="0.35">
      <c r="B1636" s="6" t="str">
        <f t="shared" ca="1" si="450"/>
        <v>20247</v>
      </c>
      <c r="C1636" s="6">
        <f t="shared" ca="1" si="451"/>
        <v>2024</v>
      </c>
      <c r="D1636" s="6">
        <f t="shared" ca="1" si="452"/>
        <v>7</v>
      </c>
      <c r="E1636" s="68">
        <f ca="1">IFERROR(__xludf.DUMMYFUNCTION("""COMPUTED_VALUE"""),45475.6666666666)</f>
        <v>45475.666666666599</v>
      </c>
      <c r="F1636" s="6">
        <f ca="1">IFERROR(__xludf.DUMMYFUNCTION("""COMPUTED_VALUE"""),5509.01)</f>
        <v>5509.01</v>
      </c>
      <c r="J1636" s="6" t="str">
        <f t="shared" ca="1" si="453"/>
        <v>20246</v>
      </c>
      <c r="K1636" s="6">
        <f t="shared" ca="1" si="454"/>
        <v>2024</v>
      </c>
      <c r="L1636" s="6">
        <f t="shared" ca="1" si="455"/>
        <v>6</v>
      </c>
      <c r="M1636" s="68">
        <f ca="1">IFERROR(__xludf.DUMMYFUNCTION("""COMPUTED_VALUE"""),45467.6666666666)</f>
        <v>45467.666666666599</v>
      </c>
      <c r="N1636" s="6">
        <f ca="1">IFERROR(__xludf.DUMMYFUNCTION("""COMPUTED_VALUE"""),17496.82)</f>
        <v>17496.82</v>
      </c>
      <c r="R1636" s="6" t="str">
        <f t="shared" ca="1" si="456"/>
        <v>20248</v>
      </c>
      <c r="S1636" s="6">
        <f t="shared" ca="1" si="457"/>
        <v>2024</v>
      </c>
      <c r="T1636" s="6">
        <f t="shared" ca="1" si="458"/>
        <v>8</v>
      </c>
      <c r="U1636" s="68">
        <f ca="1">IFERROR(__xludf.DUMMYFUNCTION("""COMPUTED_VALUE"""),45530.6458333333)</f>
        <v>45530.645833333299</v>
      </c>
      <c r="V1636" s="6">
        <f ca="1">IFERROR(__xludf.DUMMYFUNCTION("""COMPUTED_VALUE"""),2698.01)</f>
        <v>2698.01</v>
      </c>
      <c r="Z1636" s="6" t="str">
        <f t="shared" ca="1" si="459"/>
        <v>20228</v>
      </c>
      <c r="AA1636" s="6">
        <f t="shared" ca="1" si="460"/>
        <v>2022</v>
      </c>
      <c r="AB1636" s="6">
        <f t="shared" ca="1" si="461"/>
        <v>8</v>
      </c>
      <c r="AC1636" s="68">
        <f ca="1">IFERROR(__xludf.DUMMYFUNCTION("""COMPUTED_VALUE"""),44785.9986111111)</f>
        <v>44785.998611111099</v>
      </c>
      <c r="AD1636" s="6">
        <f ca="1">IFERROR(__xludf.DUMMYFUNCTION("""COMPUTED_VALUE"""),1301.28)</f>
        <v>1301.28</v>
      </c>
      <c r="AH1636" s="6" t="str">
        <f t="shared" ca="1" si="462"/>
        <v>20226</v>
      </c>
      <c r="AI1636" s="6">
        <f t="shared" ca="1" si="463"/>
        <v>2022</v>
      </c>
      <c r="AJ1636" s="6">
        <f t="shared" ca="1" si="464"/>
        <v>6</v>
      </c>
      <c r="AK1636" s="68">
        <f ca="1">IFERROR(__xludf.DUMMYFUNCTION("""COMPUTED_VALUE"""),44729.9986111111)</f>
        <v>44729.998611111099</v>
      </c>
      <c r="AL1636" s="6">
        <f ca="1">IFERROR(__xludf.DUMMYFUNCTION("""COMPUTED_VALUE"""),20437.65)</f>
        <v>20437.650000000001</v>
      </c>
      <c r="AP1636" s="6" t="str">
        <f t="shared" ca="1" si="465"/>
        <v>20247</v>
      </c>
      <c r="AQ1636" s="6">
        <f t="shared" ca="1" si="466"/>
        <v>2024</v>
      </c>
      <c r="AR1636" s="6">
        <f t="shared" ca="1" si="467"/>
        <v>7</v>
      </c>
      <c r="AS1636" s="68">
        <f ca="1">IFERROR(__xludf.DUMMYFUNCTION("""COMPUTED_VALUE"""),45483.9986111111)</f>
        <v>45483.998611111099</v>
      </c>
      <c r="AT1636" s="6">
        <f ca="1">IFERROR(__xludf.DUMMYFUNCTION("""COMPUTED_VALUE"""),2379.7)</f>
        <v>2379.6999999999998</v>
      </c>
    </row>
    <row r="1637" spans="2:46" x14ac:dyDescent="0.35">
      <c r="B1637" s="6" t="str">
        <f t="shared" ca="1" si="450"/>
        <v>20247</v>
      </c>
      <c r="C1637" s="6">
        <f t="shared" ca="1" si="451"/>
        <v>2024</v>
      </c>
      <c r="D1637" s="6">
        <f t="shared" ca="1" si="452"/>
        <v>7</v>
      </c>
      <c r="E1637" s="68">
        <f ca="1">IFERROR(__xludf.DUMMYFUNCTION("""COMPUTED_VALUE"""),45476.5416666666)</f>
        <v>45476.541666666599</v>
      </c>
      <c r="F1637" s="6">
        <f ca="1">IFERROR(__xludf.DUMMYFUNCTION("""COMPUTED_VALUE"""),5537.02)</f>
        <v>5537.02</v>
      </c>
      <c r="J1637" s="6" t="str">
        <f t="shared" ca="1" si="453"/>
        <v>20246</v>
      </c>
      <c r="K1637" s="6">
        <f t="shared" ca="1" si="454"/>
        <v>2024</v>
      </c>
      <c r="L1637" s="6">
        <f t="shared" ca="1" si="455"/>
        <v>6</v>
      </c>
      <c r="M1637" s="68">
        <f ca="1">IFERROR(__xludf.DUMMYFUNCTION("""COMPUTED_VALUE"""),45468.6666666666)</f>
        <v>45468.666666666599</v>
      </c>
      <c r="N1637" s="6">
        <f ca="1">IFERROR(__xludf.DUMMYFUNCTION("""COMPUTED_VALUE"""),17717.65)</f>
        <v>17717.650000000001</v>
      </c>
      <c r="R1637" s="6" t="str">
        <f t="shared" ca="1" si="456"/>
        <v>20248</v>
      </c>
      <c r="S1637" s="6">
        <f t="shared" ca="1" si="457"/>
        <v>2024</v>
      </c>
      <c r="T1637" s="6">
        <f t="shared" ca="1" si="458"/>
        <v>8</v>
      </c>
      <c r="U1637" s="68">
        <f ca="1">IFERROR(__xludf.DUMMYFUNCTION("""COMPUTED_VALUE"""),45531.6458333333)</f>
        <v>45531.645833333299</v>
      </c>
      <c r="V1637" s="6">
        <f ca="1">IFERROR(__xludf.DUMMYFUNCTION("""COMPUTED_VALUE"""),2689.25)</f>
        <v>2689.25</v>
      </c>
      <c r="Z1637" s="6" t="str">
        <f t="shared" ca="1" si="459"/>
        <v>20228</v>
      </c>
      <c r="AA1637" s="6">
        <f t="shared" ca="1" si="460"/>
        <v>2022</v>
      </c>
      <c r="AB1637" s="6">
        <f t="shared" ca="1" si="461"/>
        <v>8</v>
      </c>
      <c r="AC1637" s="68">
        <f ca="1">IFERROR(__xludf.DUMMYFUNCTION("""COMPUTED_VALUE"""),44786.9986111111)</f>
        <v>44786.998611111099</v>
      </c>
      <c r="AD1637" s="6">
        <f ca="1">IFERROR(__xludf.DUMMYFUNCTION("""COMPUTED_VALUE"""),1301.28)</f>
        <v>1301.28</v>
      </c>
      <c r="AH1637" s="6" t="str">
        <f t="shared" ca="1" si="462"/>
        <v>20226</v>
      </c>
      <c r="AI1637" s="6">
        <f t="shared" ca="1" si="463"/>
        <v>2022</v>
      </c>
      <c r="AJ1637" s="6">
        <f t="shared" ca="1" si="464"/>
        <v>6</v>
      </c>
      <c r="AK1637" s="68">
        <f ca="1">IFERROR(__xludf.DUMMYFUNCTION("""COMPUTED_VALUE"""),44730.9986111111)</f>
        <v>44730.998611111099</v>
      </c>
      <c r="AL1637" s="6">
        <f ca="1">IFERROR(__xludf.DUMMYFUNCTION("""COMPUTED_VALUE"""),18971.42)</f>
        <v>18971.419999999998</v>
      </c>
      <c r="AP1637" s="6" t="str">
        <f t="shared" ca="1" si="465"/>
        <v>20247</v>
      </c>
      <c r="AQ1637" s="6">
        <f t="shared" ca="1" si="466"/>
        <v>2024</v>
      </c>
      <c r="AR1637" s="6">
        <f t="shared" ca="1" si="467"/>
        <v>7</v>
      </c>
      <c r="AS1637" s="68">
        <f ca="1">IFERROR(__xludf.DUMMYFUNCTION("""COMPUTED_VALUE"""),45484.9986111111)</f>
        <v>45484.998611111099</v>
      </c>
      <c r="AT1637" s="6">
        <f ca="1">IFERROR(__xludf.DUMMYFUNCTION("""COMPUTED_VALUE"""),2421.9)</f>
        <v>2421.9</v>
      </c>
    </row>
    <row r="1638" spans="2:46" x14ac:dyDescent="0.35">
      <c r="B1638" s="6" t="str">
        <f t="shared" ca="1" si="450"/>
        <v>20247</v>
      </c>
      <c r="C1638" s="6">
        <f t="shared" ca="1" si="451"/>
        <v>2024</v>
      </c>
      <c r="D1638" s="6">
        <f t="shared" ca="1" si="452"/>
        <v>7</v>
      </c>
      <c r="E1638" s="68">
        <f ca="1">IFERROR(__xludf.DUMMYFUNCTION("""COMPUTED_VALUE"""),45478.6666666666)</f>
        <v>45478.666666666599</v>
      </c>
      <c r="F1638" s="6">
        <f ca="1">IFERROR(__xludf.DUMMYFUNCTION("""COMPUTED_VALUE"""),5567.19)</f>
        <v>5567.19</v>
      </c>
      <c r="J1638" s="6" t="str">
        <f t="shared" ca="1" si="453"/>
        <v>20246</v>
      </c>
      <c r="K1638" s="6">
        <f t="shared" ca="1" si="454"/>
        <v>2024</v>
      </c>
      <c r="L1638" s="6">
        <f t="shared" ca="1" si="455"/>
        <v>6</v>
      </c>
      <c r="M1638" s="68">
        <f ca="1">IFERROR(__xludf.DUMMYFUNCTION("""COMPUTED_VALUE"""),45469.6666666666)</f>
        <v>45469.666666666599</v>
      </c>
      <c r="N1638" s="6">
        <f ca="1">IFERROR(__xludf.DUMMYFUNCTION("""COMPUTED_VALUE"""),17805.16)</f>
        <v>17805.16</v>
      </c>
      <c r="R1638" s="6" t="str">
        <f t="shared" ca="1" si="456"/>
        <v>20248</v>
      </c>
      <c r="S1638" s="6">
        <f t="shared" ca="1" si="457"/>
        <v>2024</v>
      </c>
      <c r="T1638" s="6">
        <f t="shared" ca="1" si="458"/>
        <v>8</v>
      </c>
      <c r="U1638" s="68">
        <f ca="1">IFERROR(__xludf.DUMMYFUNCTION("""COMPUTED_VALUE"""),45532.6458333333)</f>
        <v>45532.645833333299</v>
      </c>
      <c r="V1638" s="6">
        <f ca="1">IFERROR(__xludf.DUMMYFUNCTION("""COMPUTED_VALUE"""),2689.83)</f>
        <v>2689.83</v>
      </c>
      <c r="Z1638" s="6" t="str">
        <f t="shared" ca="1" si="459"/>
        <v>20228</v>
      </c>
      <c r="AA1638" s="6">
        <f t="shared" ca="1" si="460"/>
        <v>2022</v>
      </c>
      <c r="AB1638" s="6">
        <f t="shared" ca="1" si="461"/>
        <v>8</v>
      </c>
      <c r="AC1638" s="68">
        <f ca="1">IFERROR(__xludf.DUMMYFUNCTION("""COMPUTED_VALUE"""),44787.9986111111)</f>
        <v>44787.998611111099</v>
      </c>
      <c r="AD1638" s="6">
        <f ca="1">IFERROR(__xludf.DUMMYFUNCTION("""COMPUTED_VALUE"""),1301.38)</f>
        <v>1301.3800000000001</v>
      </c>
      <c r="AH1638" s="6" t="str">
        <f t="shared" ca="1" si="462"/>
        <v>20226</v>
      </c>
      <c r="AI1638" s="6">
        <f t="shared" ca="1" si="463"/>
        <v>2022</v>
      </c>
      <c r="AJ1638" s="6">
        <f t="shared" ca="1" si="464"/>
        <v>6</v>
      </c>
      <c r="AK1638" s="68">
        <f ca="1">IFERROR(__xludf.DUMMYFUNCTION("""COMPUTED_VALUE"""),44731.9986111111)</f>
        <v>44731.998611111099</v>
      </c>
      <c r="AL1638" s="6">
        <f ca="1">IFERROR(__xludf.DUMMYFUNCTION("""COMPUTED_VALUE"""),20559.79)</f>
        <v>20559.79</v>
      </c>
      <c r="AP1638" s="6" t="str">
        <f t="shared" ca="1" si="465"/>
        <v>20247</v>
      </c>
      <c r="AQ1638" s="6">
        <f t="shared" ca="1" si="466"/>
        <v>2024</v>
      </c>
      <c r="AR1638" s="6">
        <f t="shared" ca="1" si="467"/>
        <v>7</v>
      </c>
      <c r="AS1638" s="68">
        <f ca="1">IFERROR(__xludf.DUMMYFUNCTION("""COMPUTED_VALUE"""),45485.9986111111)</f>
        <v>45485.998611111099</v>
      </c>
      <c r="AT1638" s="6">
        <f ca="1">IFERROR(__xludf.DUMMYFUNCTION("""COMPUTED_VALUE"""),2420.7)</f>
        <v>2420.6999999999998</v>
      </c>
    </row>
    <row r="1639" spans="2:46" x14ac:dyDescent="0.35">
      <c r="B1639" s="6" t="str">
        <f t="shared" ca="1" si="450"/>
        <v>20247</v>
      </c>
      <c r="C1639" s="6">
        <f t="shared" ca="1" si="451"/>
        <v>2024</v>
      </c>
      <c r="D1639" s="6">
        <f t="shared" ca="1" si="452"/>
        <v>7</v>
      </c>
      <c r="E1639" s="68">
        <f ca="1">IFERROR(__xludf.DUMMYFUNCTION("""COMPUTED_VALUE"""),45481.6666666666)</f>
        <v>45481.666666666599</v>
      </c>
      <c r="F1639" s="6">
        <f ca="1">IFERROR(__xludf.DUMMYFUNCTION("""COMPUTED_VALUE"""),5572.85)</f>
        <v>5572.85</v>
      </c>
      <c r="J1639" s="6" t="str">
        <f t="shared" ca="1" si="453"/>
        <v>20246</v>
      </c>
      <c r="K1639" s="6">
        <f t="shared" ca="1" si="454"/>
        <v>2024</v>
      </c>
      <c r="L1639" s="6">
        <f t="shared" ca="1" si="455"/>
        <v>6</v>
      </c>
      <c r="M1639" s="68">
        <f ca="1">IFERROR(__xludf.DUMMYFUNCTION("""COMPUTED_VALUE"""),45470.6666666666)</f>
        <v>45470.666666666599</v>
      </c>
      <c r="N1639" s="6">
        <f ca="1">IFERROR(__xludf.DUMMYFUNCTION("""COMPUTED_VALUE"""),17858.68)</f>
        <v>17858.68</v>
      </c>
      <c r="R1639" s="6" t="str">
        <f t="shared" ca="1" si="456"/>
        <v>20248</v>
      </c>
      <c r="S1639" s="6">
        <f t="shared" ca="1" si="457"/>
        <v>2024</v>
      </c>
      <c r="T1639" s="6">
        <f t="shared" ca="1" si="458"/>
        <v>8</v>
      </c>
      <c r="U1639" s="68">
        <f ca="1">IFERROR(__xludf.DUMMYFUNCTION("""COMPUTED_VALUE"""),45533.6458333333)</f>
        <v>45533.645833333299</v>
      </c>
      <c r="V1639" s="6">
        <f ca="1">IFERROR(__xludf.DUMMYFUNCTION("""COMPUTED_VALUE"""),2662.28)</f>
        <v>2662.28</v>
      </c>
      <c r="Z1639" s="6" t="str">
        <f t="shared" ca="1" si="459"/>
        <v>20228</v>
      </c>
      <c r="AA1639" s="6">
        <f t="shared" ca="1" si="460"/>
        <v>2022</v>
      </c>
      <c r="AB1639" s="6">
        <f t="shared" ca="1" si="461"/>
        <v>8</v>
      </c>
      <c r="AC1639" s="68">
        <f ca="1">IFERROR(__xludf.DUMMYFUNCTION("""COMPUTED_VALUE"""),44788.9986111111)</f>
        <v>44788.998611111099</v>
      </c>
      <c r="AD1639" s="6">
        <f ca="1">IFERROR(__xludf.DUMMYFUNCTION("""COMPUTED_VALUE"""),1313.18)</f>
        <v>1313.18</v>
      </c>
      <c r="AH1639" s="6" t="str">
        <f t="shared" ca="1" si="462"/>
        <v>20226</v>
      </c>
      <c r="AI1639" s="6">
        <f t="shared" ca="1" si="463"/>
        <v>2022</v>
      </c>
      <c r="AJ1639" s="6">
        <f t="shared" ca="1" si="464"/>
        <v>6</v>
      </c>
      <c r="AK1639" s="68">
        <f ca="1">IFERROR(__xludf.DUMMYFUNCTION("""COMPUTED_VALUE"""),44732.9986111111)</f>
        <v>44732.998611111099</v>
      </c>
      <c r="AL1639" s="6">
        <f ca="1">IFERROR(__xludf.DUMMYFUNCTION("""COMPUTED_VALUE"""),20568.29)</f>
        <v>20568.29</v>
      </c>
      <c r="AP1639" s="6" t="str">
        <f t="shared" ca="1" si="465"/>
        <v>20247</v>
      </c>
      <c r="AQ1639" s="6">
        <f t="shared" ca="1" si="466"/>
        <v>2024</v>
      </c>
      <c r="AR1639" s="6">
        <f t="shared" ca="1" si="467"/>
        <v>7</v>
      </c>
      <c r="AS1639" s="68">
        <f ca="1">IFERROR(__xludf.DUMMYFUNCTION("""COMPUTED_VALUE"""),45488.9986111111)</f>
        <v>45488.998611111099</v>
      </c>
      <c r="AT1639" s="6">
        <f ca="1">IFERROR(__xludf.DUMMYFUNCTION("""COMPUTED_VALUE"""),2428.9)</f>
        <v>2428.9</v>
      </c>
    </row>
    <row r="1640" spans="2:46" x14ac:dyDescent="0.35">
      <c r="B1640" s="6" t="str">
        <f t="shared" ca="1" si="450"/>
        <v>20247</v>
      </c>
      <c r="C1640" s="6">
        <f t="shared" ca="1" si="451"/>
        <v>2024</v>
      </c>
      <c r="D1640" s="6">
        <f t="shared" ca="1" si="452"/>
        <v>7</v>
      </c>
      <c r="E1640" s="68">
        <f ca="1">IFERROR(__xludf.DUMMYFUNCTION("""COMPUTED_VALUE"""),45482.6666666666)</f>
        <v>45482.666666666599</v>
      </c>
      <c r="F1640" s="6">
        <f ca="1">IFERROR(__xludf.DUMMYFUNCTION("""COMPUTED_VALUE"""),5576.98)</f>
        <v>5576.98</v>
      </c>
      <c r="J1640" s="6" t="str">
        <f t="shared" ca="1" si="453"/>
        <v>20246</v>
      </c>
      <c r="K1640" s="6">
        <f t="shared" ca="1" si="454"/>
        <v>2024</v>
      </c>
      <c r="L1640" s="6">
        <f t="shared" ca="1" si="455"/>
        <v>6</v>
      </c>
      <c r="M1640" s="68">
        <f ca="1">IFERROR(__xludf.DUMMYFUNCTION("""COMPUTED_VALUE"""),45471.6666666666)</f>
        <v>45471.666666666599</v>
      </c>
      <c r="N1640" s="6">
        <f ca="1">IFERROR(__xludf.DUMMYFUNCTION("""COMPUTED_VALUE"""),17732.6)</f>
        <v>17732.599999999999</v>
      </c>
      <c r="R1640" s="6" t="str">
        <f t="shared" ca="1" si="456"/>
        <v>20248</v>
      </c>
      <c r="S1640" s="6">
        <f t="shared" ca="1" si="457"/>
        <v>2024</v>
      </c>
      <c r="T1640" s="6">
        <f t="shared" ca="1" si="458"/>
        <v>8</v>
      </c>
      <c r="U1640" s="68">
        <f ca="1">IFERROR(__xludf.DUMMYFUNCTION("""COMPUTED_VALUE"""),45534.6458333333)</f>
        <v>45534.645833333299</v>
      </c>
      <c r="V1640" s="6">
        <f ca="1">IFERROR(__xludf.DUMMYFUNCTION("""COMPUTED_VALUE"""),2674.31)</f>
        <v>2674.31</v>
      </c>
      <c r="Z1640" s="6" t="str">
        <f t="shared" ca="1" si="459"/>
        <v>20228</v>
      </c>
      <c r="AA1640" s="6">
        <f t="shared" ca="1" si="460"/>
        <v>2022</v>
      </c>
      <c r="AB1640" s="6">
        <f t="shared" ca="1" si="461"/>
        <v>8</v>
      </c>
      <c r="AC1640" s="68">
        <f ca="1">IFERROR(__xludf.DUMMYFUNCTION("""COMPUTED_VALUE"""),44789.9986111111)</f>
        <v>44789.998611111099</v>
      </c>
      <c r="AD1640" s="6">
        <f ca="1">IFERROR(__xludf.DUMMYFUNCTION("""COMPUTED_VALUE"""),1311)</f>
        <v>1311</v>
      </c>
      <c r="AH1640" s="6" t="str">
        <f t="shared" ca="1" si="462"/>
        <v>20226</v>
      </c>
      <c r="AI1640" s="6">
        <f t="shared" ca="1" si="463"/>
        <v>2022</v>
      </c>
      <c r="AJ1640" s="6">
        <f t="shared" ca="1" si="464"/>
        <v>6</v>
      </c>
      <c r="AK1640" s="68">
        <f ca="1">IFERROR(__xludf.DUMMYFUNCTION("""COMPUTED_VALUE"""),44733.9986111111)</f>
        <v>44733.998611111099</v>
      </c>
      <c r="AL1640" s="6">
        <f ca="1">IFERROR(__xludf.DUMMYFUNCTION("""COMPUTED_VALUE"""),20702.51)</f>
        <v>20702.509999999998</v>
      </c>
      <c r="AP1640" s="6" t="str">
        <f t="shared" ca="1" si="465"/>
        <v>20247</v>
      </c>
      <c r="AQ1640" s="6">
        <f t="shared" ca="1" si="466"/>
        <v>2024</v>
      </c>
      <c r="AR1640" s="6">
        <f t="shared" ca="1" si="467"/>
        <v>7</v>
      </c>
      <c r="AS1640" s="68">
        <f ca="1">IFERROR(__xludf.DUMMYFUNCTION("""COMPUTED_VALUE"""),45489.9986111111)</f>
        <v>45489.998611111099</v>
      </c>
      <c r="AT1640" s="6">
        <f ca="1">IFERROR(__xludf.DUMMYFUNCTION("""COMPUTED_VALUE"""),2467.8)</f>
        <v>2467.8000000000002</v>
      </c>
    </row>
    <row r="1641" spans="2:46" x14ac:dyDescent="0.35">
      <c r="B1641" s="6" t="str">
        <f t="shared" ca="1" si="450"/>
        <v>20247</v>
      </c>
      <c r="C1641" s="6">
        <f t="shared" ca="1" si="451"/>
        <v>2024</v>
      </c>
      <c r="D1641" s="6">
        <f t="shared" ca="1" si="452"/>
        <v>7</v>
      </c>
      <c r="E1641" s="68">
        <f ca="1">IFERROR(__xludf.DUMMYFUNCTION("""COMPUTED_VALUE"""),45483.6666666666)</f>
        <v>45483.666666666599</v>
      </c>
      <c r="F1641" s="6">
        <f ca="1">IFERROR(__xludf.DUMMYFUNCTION("""COMPUTED_VALUE"""),5633.91)</f>
        <v>5633.91</v>
      </c>
      <c r="J1641" s="6" t="str">
        <f t="shared" ca="1" si="453"/>
        <v>20247</v>
      </c>
      <c r="K1641" s="6">
        <f t="shared" ca="1" si="454"/>
        <v>2024</v>
      </c>
      <c r="L1641" s="6">
        <f t="shared" ca="1" si="455"/>
        <v>7</v>
      </c>
      <c r="M1641" s="68">
        <f ca="1">IFERROR(__xludf.DUMMYFUNCTION("""COMPUTED_VALUE"""),45474.6666666666)</f>
        <v>45474.666666666599</v>
      </c>
      <c r="N1641" s="6">
        <f ca="1">IFERROR(__xludf.DUMMYFUNCTION("""COMPUTED_VALUE"""),17879.3)</f>
        <v>17879.3</v>
      </c>
      <c r="R1641" s="6" t="str">
        <f t="shared" ca="1" si="456"/>
        <v>20249</v>
      </c>
      <c r="S1641" s="6">
        <f t="shared" ca="1" si="457"/>
        <v>2024</v>
      </c>
      <c r="T1641" s="6">
        <f t="shared" ca="1" si="458"/>
        <v>9</v>
      </c>
      <c r="U1641" s="68">
        <f ca="1">IFERROR(__xludf.DUMMYFUNCTION("""COMPUTED_VALUE"""),45537.6458333333)</f>
        <v>45537.645833333299</v>
      </c>
      <c r="V1641" s="6">
        <f ca="1">IFERROR(__xludf.DUMMYFUNCTION("""COMPUTED_VALUE"""),2681)</f>
        <v>2681</v>
      </c>
      <c r="Z1641" s="6" t="str">
        <f t="shared" ca="1" si="459"/>
        <v>20228</v>
      </c>
      <c r="AA1641" s="6">
        <f t="shared" ca="1" si="460"/>
        <v>2022</v>
      </c>
      <c r="AB1641" s="6">
        <f t="shared" ca="1" si="461"/>
        <v>8</v>
      </c>
      <c r="AC1641" s="68">
        <f ca="1">IFERROR(__xludf.DUMMYFUNCTION("""COMPUTED_VALUE"""),44790.9986111111)</f>
        <v>44790.998611111099</v>
      </c>
      <c r="AD1641" s="6">
        <f ca="1">IFERROR(__xludf.DUMMYFUNCTION("""COMPUTED_VALUE"""),1314.83)</f>
        <v>1314.83</v>
      </c>
      <c r="AH1641" s="6" t="str">
        <f t="shared" ca="1" si="462"/>
        <v>20226</v>
      </c>
      <c r="AI1641" s="6">
        <f t="shared" ca="1" si="463"/>
        <v>2022</v>
      </c>
      <c r="AJ1641" s="6">
        <f t="shared" ca="1" si="464"/>
        <v>6</v>
      </c>
      <c r="AK1641" s="68">
        <f ca="1">IFERROR(__xludf.DUMMYFUNCTION("""COMPUTED_VALUE"""),44734.9986111111)</f>
        <v>44734.998611111099</v>
      </c>
      <c r="AL1641" s="6">
        <f ca="1">IFERROR(__xludf.DUMMYFUNCTION("""COMPUTED_VALUE"""),19960.41)</f>
        <v>19960.41</v>
      </c>
      <c r="AP1641" s="6" t="str">
        <f t="shared" ca="1" si="465"/>
        <v>20247</v>
      </c>
      <c r="AQ1641" s="6">
        <f t="shared" ca="1" si="466"/>
        <v>2024</v>
      </c>
      <c r="AR1641" s="6">
        <f t="shared" ca="1" si="467"/>
        <v>7</v>
      </c>
      <c r="AS1641" s="68">
        <f ca="1">IFERROR(__xludf.DUMMYFUNCTION("""COMPUTED_VALUE"""),45490.9986111111)</f>
        <v>45490.998611111099</v>
      </c>
      <c r="AT1641" s="6">
        <f ca="1">IFERROR(__xludf.DUMMYFUNCTION("""COMPUTED_VALUE"""),2459.9)</f>
        <v>2459.9</v>
      </c>
    </row>
    <row r="1642" spans="2:46" x14ac:dyDescent="0.35">
      <c r="B1642" s="6" t="str">
        <f t="shared" ca="1" si="450"/>
        <v>20247</v>
      </c>
      <c r="C1642" s="6">
        <f t="shared" ca="1" si="451"/>
        <v>2024</v>
      </c>
      <c r="D1642" s="6">
        <f t="shared" ca="1" si="452"/>
        <v>7</v>
      </c>
      <c r="E1642" s="68">
        <f ca="1">IFERROR(__xludf.DUMMYFUNCTION("""COMPUTED_VALUE"""),45484.6666666666)</f>
        <v>45484.666666666599</v>
      </c>
      <c r="F1642" s="6">
        <f ca="1">IFERROR(__xludf.DUMMYFUNCTION("""COMPUTED_VALUE"""),5584.54)</f>
        <v>5584.54</v>
      </c>
      <c r="J1642" s="6" t="str">
        <f t="shared" ca="1" si="453"/>
        <v>20247</v>
      </c>
      <c r="K1642" s="6">
        <f t="shared" ca="1" si="454"/>
        <v>2024</v>
      </c>
      <c r="L1642" s="6">
        <f t="shared" ca="1" si="455"/>
        <v>7</v>
      </c>
      <c r="M1642" s="68">
        <f ca="1">IFERROR(__xludf.DUMMYFUNCTION("""COMPUTED_VALUE"""),45475.6666666666)</f>
        <v>45475.666666666599</v>
      </c>
      <c r="N1642" s="6">
        <f ca="1">IFERROR(__xludf.DUMMYFUNCTION("""COMPUTED_VALUE"""),18028.76)</f>
        <v>18028.759999999998</v>
      </c>
      <c r="R1642" s="6" t="str">
        <f t="shared" ca="1" si="456"/>
        <v>20249</v>
      </c>
      <c r="S1642" s="6">
        <f t="shared" ca="1" si="457"/>
        <v>2024</v>
      </c>
      <c r="T1642" s="6">
        <f t="shared" ca="1" si="458"/>
        <v>9</v>
      </c>
      <c r="U1642" s="68">
        <f ca="1">IFERROR(__xludf.DUMMYFUNCTION("""COMPUTED_VALUE"""),45538.6458333333)</f>
        <v>45538.645833333299</v>
      </c>
      <c r="V1642" s="6">
        <f ca="1">IFERROR(__xludf.DUMMYFUNCTION("""COMPUTED_VALUE"""),2664.63)</f>
        <v>2664.63</v>
      </c>
      <c r="Z1642" s="6" t="str">
        <f t="shared" ca="1" si="459"/>
        <v>20228</v>
      </c>
      <c r="AA1642" s="6">
        <f t="shared" ca="1" si="460"/>
        <v>2022</v>
      </c>
      <c r="AB1642" s="6">
        <f t="shared" ca="1" si="461"/>
        <v>8</v>
      </c>
      <c r="AC1642" s="68">
        <f ca="1">IFERROR(__xludf.DUMMYFUNCTION("""COMPUTED_VALUE"""),44791.9986111111)</f>
        <v>44791.998611111099</v>
      </c>
      <c r="AD1642" s="6">
        <f ca="1">IFERROR(__xludf.DUMMYFUNCTION("""COMPUTED_VALUE"""),1326.91)</f>
        <v>1326.91</v>
      </c>
      <c r="AH1642" s="6" t="str">
        <f t="shared" ca="1" si="462"/>
        <v>20226</v>
      </c>
      <c r="AI1642" s="6">
        <f t="shared" ca="1" si="463"/>
        <v>2022</v>
      </c>
      <c r="AJ1642" s="6">
        <f t="shared" ca="1" si="464"/>
        <v>6</v>
      </c>
      <c r="AK1642" s="68">
        <f ca="1">IFERROR(__xludf.DUMMYFUNCTION("""COMPUTED_VALUE"""),44735.9986111111)</f>
        <v>44735.998611111099</v>
      </c>
      <c r="AL1642" s="6">
        <f ca="1">IFERROR(__xludf.DUMMYFUNCTION("""COMPUTED_VALUE"""),21088.29)</f>
        <v>21088.29</v>
      </c>
      <c r="AP1642" s="6" t="str">
        <f t="shared" ca="1" si="465"/>
        <v>20247</v>
      </c>
      <c r="AQ1642" s="6">
        <f t="shared" ca="1" si="466"/>
        <v>2024</v>
      </c>
      <c r="AR1642" s="6">
        <f t="shared" ca="1" si="467"/>
        <v>7</v>
      </c>
      <c r="AS1642" s="68">
        <f ca="1">IFERROR(__xludf.DUMMYFUNCTION("""COMPUTED_VALUE"""),45491.9986111111)</f>
        <v>45491.998611111099</v>
      </c>
      <c r="AT1642" s="6">
        <f ca="1">IFERROR(__xludf.DUMMYFUNCTION("""COMPUTED_VALUE"""),2456.4)</f>
        <v>2456.4</v>
      </c>
    </row>
    <row r="1643" spans="2:46" x14ac:dyDescent="0.35">
      <c r="B1643" s="6" t="str">
        <f t="shared" ca="1" si="450"/>
        <v>20247</v>
      </c>
      <c r="C1643" s="6">
        <f t="shared" ca="1" si="451"/>
        <v>2024</v>
      </c>
      <c r="D1643" s="6">
        <f t="shared" ca="1" si="452"/>
        <v>7</v>
      </c>
      <c r="E1643" s="68">
        <f ca="1">IFERROR(__xludf.DUMMYFUNCTION("""COMPUTED_VALUE"""),45485.6666666666)</f>
        <v>45485.666666666599</v>
      </c>
      <c r="F1643" s="6">
        <f ca="1">IFERROR(__xludf.DUMMYFUNCTION("""COMPUTED_VALUE"""),5615.35)</f>
        <v>5615.35</v>
      </c>
      <c r="J1643" s="6" t="str">
        <f t="shared" ca="1" si="453"/>
        <v>20247</v>
      </c>
      <c r="K1643" s="6">
        <f t="shared" ca="1" si="454"/>
        <v>2024</v>
      </c>
      <c r="L1643" s="6">
        <f t="shared" ca="1" si="455"/>
        <v>7</v>
      </c>
      <c r="M1643" s="68">
        <f ca="1">IFERROR(__xludf.DUMMYFUNCTION("""COMPUTED_VALUE"""),45476.5451388888)</f>
        <v>45476.545138888803</v>
      </c>
      <c r="N1643" s="6">
        <f ca="1">IFERROR(__xludf.DUMMYFUNCTION("""COMPUTED_VALUE"""),18188.3)</f>
        <v>18188.3</v>
      </c>
      <c r="R1643" s="6" t="str">
        <f t="shared" ca="1" si="456"/>
        <v>20249</v>
      </c>
      <c r="S1643" s="6">
        <f t="shared" ca="1" si="457"/>
        <v>2024</v>
      </c>
      <c r="T1643" s="6">
        <f t="shared" ca="1" si="458"/>
        <v>9</v>
      </c>
      <c r="U1643" s="68">
        <f ca="1">IFERROR(__xludf.DUMMYFUNCTION("""COMPUTED_VALUE"""),45539.6458333333)</f>
        <v>45539.645833333299</v>
      </c>
      <c r="V1643" s="6">
        <f ca="1">IFERROR(__xludf.DUMMYFUNCTION("""COMPUTED_VALUE"""),2580.8)</f>
        <v>2580.8000000000002</v>
      </c>
      <c r="Z1643" s="6" t="str">
        <f t="shared" ca="1" si="459"/>
        <v>20228</v>
      </c>
      <c r="AA1643" s="6">
        <f t="shared" ca="1" si="460"/>
        <v>2022</v>
      </c>
      <c r="AB1643" s="6">
        <f t="shared" ca="1" si="461"/>
        <v>8</v>
      </c>
      <c r="AC1643" s="68">
        <f ca="1">IFERROR(__xludf.DUMMYFUNCTION("""COMPUTED_VALUE"""),44792.9986111111)</f>
        <v>44792.998611111099</v>
      </c>
      <c r="AD1643" s="6">
        <f ca="1">IFERROR(__xludf.DUMMYFUNCTION("""COMPUTED_VALUE"""),1334.76)</f>
        <v>1334.76</v>
      </c>
      <c r="AH1643" s="6" t="str">
        <f t="shared" ca="1" si="462"/>
        <v>20226</v>
      </c>
      <c r="AI1643" s="6">
        <f t="shared" ca="1" si="463"/>
        <v>2022</v>
      </c>
      <c r="AJ1643" s="6">
        <f t="shared" ca="1" si="464"/>
        <v>6</v>
      </c>
      <c r="AK1643" s="68">
        <f ca="1">IFERROR(__xludf.DUMMYFUNCTION("""COMPUTED_VALUE"""),44736.9986111111)</f>
        <v>44736.998611111099</v>
      </c>
      <c r="AL1643" s="6">
        <f ca="1">IFERROR(__xludf.DUMMYFUNCTION("""COMPUTED_VALUE"""),21218.06)</f>
        <v>21218.06</v>
      </c>
      <c r="AP1643" s="6" t="str">
        <f t="shared" ca="1" si="465"/>
        <v>20247</v>
      </c>
      <c r="AQ1643" s="6">
        <f t="shared" ca="1" si="466"/>
        <v>2024</v>
      </c>
      <c r="AR1643" s="6">
        <f t="shared" ca="1" si="467"/>
        <v>7</v>
      </c>
      <c r="AS1643" s="68">
        <f ca="1">IFERROR(__xludf.DUMMYFUNCTION("""COMPUTED_VALUE"""),45492.9986111111)</f>
        <v>45492.998611111099</v>
      </c>
      <c r="AT1643" s="6">
        <f ca="1">IFERROR(__xludf.DUMMYFUNCTION("""COMPUTED_VALUE"""),2399.1)</f>
        <v>2399.1</v>
      </c>
    </row>
    <row r="1644" spans="2:46" x14ac:dyDescent="0.35">
      <c r="B1644" s="6" t="str">
        <f t="shared" ca="1" si="450"/>
        <v>20247</v>
      </c>
      <c r="C1644" s="6">
        <f t="shared" ca="1" si="451"/>
        <v>2024</v>
      </c>
      <c r="D1644" s="6">
        <f t="shared" ca="1" si="452"/>
        <v>7</v>
      </c>
      <c r="E1644" s="68">
        <f ca="1">IFERROR(__xludf.DUMMYFUNCTION("""COMPUTED_VALUE"""),45488.6666666666)</f>
        <v>45488.666666666599</v>
      </c>
      <c r="F1644" s="6">
        <f ca="1">IFERROR(__xludf.DUMMYFUNCTION("""COMPUTED_VALUE"""),5631.22)</f>
        <v>5631.22</v>
      </c>
      <c r="J1644" s="6" t="str">
        <f t="shared" ca="1" si="453"/>
        <v>20247</v>
      </c>
      <c r="K1644" s="6">
        <f t="shared" ca="1" si="454"/>
        <v>2024</v>
      </c>
      <c r="L1644" s="6">
        <f t="shared" ca="1" si="455"/>
        <v>7</v>
      </c>
      <c r="M1644" s="68">
        <f ca="1">IFERROR(__xludf.DUMMYFUNCTION("""COMPUTED_VALUE"""),45478.6666666666)</f>
        <v>45478.666666666599</v>
      </c>
      <c r="N1644" s="6">
        <f ca="1">IFERROR(__xludf.DUMMYFUNCTION("""COMPUTED_VALUE"""),18352.76)</f>
        <v>18352.759999999998</v>
      </c>
      <c r="R1644" s="6" t="str">
        <f t="shared" ca="1" si="456"/>
        <v>20249</v>
      </c>
      <c r="S1644" s="6">
        <f t="shared" ca="1" si="457"/>
        <v>2024</v>
      </c>
      <c r="T1644" s="6">
        <f t="shared" ca="1" si="458"/>
        <v>9</v>
      </c>
      <c r="U1644" s="68">
        <f ca="1">IFERROR(__xludf.DUMMYFUNCTION("""COMPUTED_VALUE"""),45540.6458333333)</f>
        <v>45540.645833333299</v>
      </c>
      <c r="V1644" s="6">
        <f ca="1">IFERROR(__xludf.DUMMYFUNCTION("""COMPUTED_VALUE"""),2575.5)</f>
        <v>2575.5</v>
      </c>
      <c r="Z1644" s="6" t="str">
        <f t="shared" ca="1" si="459"/>
        <v>20228</v>
      </c>
      <c r="AA1644" s="6">
        <f t="shared" ca="1" si="460"/>
        <v>2022</v>
      </c>
      <c r="AB1644" s="6">
        <f t="shared" ca="1" si="461"/>
        <v>8</v>
      </c>
      <c r="AC1644" s="68">
        <f ca="1">IFERROR(__xludf.DUMMYFUNCTION("""COMPUTED_VALUE"""),44793.9986111111)</f>
        <v>44793.998611111099</v>
      </c>
      <c r="AD1644" s="6">
        <f ca="1">IFERROR(__xludf.DUMMYFUNCTION("""COMPUTED_VALUE"""),1334.36)</f>
        <v>1334.36</v>
      </c>
      <c r="AH1644" s="6" t="str">
        <f t="shared" ca="1" si="462"/>
        <v>20226</v>
      </c>
      <c r="AI1644" s="6">
        <f t="shared" ca="1" si="463"/>
        <v>2022</v>
      </c>
      <c r="AJ1644" s="6">
        <f t="shared" ca="1" si="464"/>
        <v>6</v>
      </c>
      <c r="AK1644" s="68">
        <f ca="1">IFERROR(__xludf.DUMMYFUNCTION("""COMPUTED_VALUE"""),44737.9986111111)</f>
        <v>44737.998611111099</v>
      </c>
      <c r="AL1644" s="6">
        <f ca="1">IFERROR(__xludf.DUMMYFUNCTION("""COMPUTED_VALUE"""),21483.74)</f>
        <v>21483.74</v>
      </c>
      <c r="AP1644" s="6" t="str">
        <f t="shared" ca="1" si="465"/>
        <v>20247</v>
      </c>
      <c r="AQ1644" s="6">
        <f t="shared" ca="1" si="466"/>
        <v>2024</v>
      </c>
      <c r="AR1644" s="6">
        <f t="shared" ca="1" si="467"/>
        <v>7</v>
      </c>
      <c r="AS1644" s="68">
        <f ca="1">IFERROR(__xludf.DUMMYFUNCTION("""COMPUTED_VALUE"""),45495.9986111111)</f>
        <v>45495.998611111099</v>
      </c>
      <c r="AT1644" s="6">
        <f ca="1">IFERROR(__xludf.DUMMYFUNCTION("""COMPUTED_VALUE"""),2442.1)</f>
        <v>2442.1</v>
      </c>
    </row>
    <row r="1645" spans="2:46" x14ac:dyDescent="0.35">
      <c r="B1645" s="6" t="str">
        <f t="shared" ca="1" si="450"/>
        <v>20247</v>
      </c>
      <c r="C1645" s="6">
        <f t="shared" ca="1" si="451"/>
        <v>2024</v>
      </c>
      <c r="D1645" s="6">
        <f t="shared" ca="1" si="452"/>
        <v>7</v>
      </c>
      <c r="E1645" s="68">
        <f ca="1">IFERROR(__xludf.DUMMYFUNCTION("""COMPUTED_VALUE"""),45489.6666666666)</f>
        <v>45489.666666666599</v>
      </c>
      <c r="F1645" s="6">
        <f ca="1">IFERROR(__xludf.DUMMYFUNCTION("""COMPUTED_VALUE"""),5667.2)</f>
        <v>5667.2</v>
      </c>
      <c r="J1645" s="6" t="str">
        <f t="shared" ca="1" si="453"/>
        <v>20247</v>
      </c>
      <c r="K1645" s="6">
        <f t="shared" ca="1" si="454"/>
        <v>2024</v>
      </c>
      <c r="L1645" s="6">
        <f t="shared" ca="1" si="455"/>
        <v>7</v>
      </c>
      <c r="M1645" s="68">
        <f ca="1">IFERROR(__xludf.DUMMYFUNCTION("""COMPUTED_VALUE"""),45481.6666666666)</f>
        <v>45481.666666666599</v>
      </c>
      <c r="N1645" s="6">
        <f ca="1">IFERROR(__xludf.DUMMYFUNCTION("""COMPUTED_VALUE"""),18403.74)</f>
        <v>18403.740000000002</v>
      </c>
      <c r="R1645" s="6" t="str">
        <f t="shared" ca="1" si="456"/>
        <v>20249</v>
      </c>
      <c r="S1645" s="6">
        <f t="shared" ca="1" si="457"/>
        <v>2024</v>
      </c>
      <c r="T1645" s="6">
        <f t="shared" ca="1" si="458"/>
        <v>9</v>
      </c>
      <c r="U1645" s="68">
        <f ca="1">IFERROR(__xludf.DUMMYFUNCTION("""COMPUTED_VALUE"""),45541.6458333333)</f>
        <v>45541.645833333299</v>
      </c>
      <c r="V1645" s="6">
        <f ca="1">IFERROR(__xludf.DUMMYFUNCTION("""COMPUTED_VALUE"""),2544.28)</f>
        <v>2544.2800000000002</v>
      </c>
      <c r="Z1645" s="6" t="str">
        <f t="shared" ca="1" si="459"/>
        <v>20228</v>
      </c>
      <c r="AA1645" s="6">
        <f t="shared" ca="1" si="460"/>
        <v>2022</v>
      </c>
      <c r="AB1645" s="6">
        <f t="shared" ca="1" si="461"/>
        <v>8</v>
      </c>
      <c r="AC1645" s="68">
        <f ca="1">IFERROR(__xludf.DUMMYFUNCTION("""COMPUTED_VALUE"""),44794.9986111111)</f>
        <v>44794.998611111099</v>
      </c>
      <c r="AD1645" s="6">
        <f ca="1">IFERROR(__xludf.DUMMYFUNCTION("""COMPUTED_VALUE"""),1334.86)</f>
        <v>1334.86</v>
      </c>
      <c r="AH1645" s="6" t="str">
        <f t="shared" ca="1" si="462"/>
        <v>20226</v>
      </c>
      <c r="AI1645" s="6">
        <f t="shared" ca="1" si="463"/>
        <v>2022</v>
      </c>
      <c r="AJ1645" s="6">
        <f t="shared" ca="1" si="464"/>
        <v>6</v>
      </c>
      <c r="AK1645" s="68">
        <f ca="1">IFERROR(__xludf.DUMMYFUNCTION("""COMPUTED_VALUE"""),44738.9986111111)</f>
        <v>44738.998611111099</v>
      </c>
      <c r="AL1645" s="6">
        <f ca="1">IFERROR(__xludf.DUMMYFUNCTION("""COMPUTED_VALUE"""),21036.57)</f>
        <v>21036.57</v>
      </c>
      <c r="AP1645" s="6" t="str">
        <f t="shared" ca="1" si="465"/>
        <v>20247</v>
      </c>
      <c r="AQ1645" s="6">
        <f t="shared" ca="1" si="466"/>
        <v>2024</v>
      </c>
      <c r="AR1645" s="6">
        <f t="shared" ca="1" si="467"/>
        <v>7</v>
      </c>
      <c r="AS1645" s="68">
        <f ca="1">IFERROR(__xludf.DUMMYFUNCTION("""COMPUTED_VALUE"""),45496.9986111111)</f>
        <v>45496.998611111099</v>
      </c>
      <c r="AT1645" s="6">
        <f ca="1">IFERROR(__xludf.DUMMYFUNCTION("""COMPUTED_VALUE"""),2455.2)</f>
        <v>2455.1999999999998</v>
      </c>
    </row>
    <row r="1646" spans="2:46" x14ac:dyDescent="0.35">
      <c r="B1646" s="6" t="str">
        <f t="shared" ca="1" si="450"/>
        <v>20247</v>
      </c>
      <c r="C1646" s="6">
        <f t="shared" ca="1" si="451"/>
        <v>2024</v>
      </c>
      <c r="D1646" s="6">
        <f t="shared" ca="1" si="452"/>
        <v>7</v>
      </c>
      <c r="E1646" s="68">
        <f ca="1">IFERROR(__xludf.DUMMYFUNCTION("""COMPUTED_VALUE"""),45490.6666666666)</f>
        <v>45490.666666666599</v>
      </c>
      <c r="F1646" s="6">
        <f ca="1">IFERROR(__xludf.DUMMYFUNCTION("""COMPUTED_VALUE"""),5588.27)</f>
        <v>5588.27</v>
      </c>
      <c r="J1646" s="6" t="str">
        <f t="shared" ca="1" si="453"/>
        <v>20247</v>
      </c>
      <c r="K1646" s="6">
        <f t="shared" ca="1" si="454"/>
        <v>2024</v>
      </c>
      <c r="L1646" s="6">
        <f t="shared" ca="1" si="455"/>
        <v>7</v>
      </c>
      <c r="M1646" s="68">
        <f ca="1">IFERROR(__xludf.DUMMYFUNCTION("""COMPUTED_VALUE"""),45482.6666666666)</f>
        <v>45482.666666666599</v>
      </c>
      <c r="N1646" s="6">
        <f ca="1">IFERROR(__xludf.DUMMYFUNCTION("""COMPUTED_VALUE"""),18429.29)</f>
        <v>18429.29</v>
      </c>
      <c r="R1646" s="6" t="str">
        <f t="shared" ca="1" si="456"/>
        <v>20249</v>
      </c>
      <c r="S1646" s="6">
        <f t="shared" ca="1" si="457"/>
        <v>2024</v>
      </c>
      <c r="T1646" s="6">
        <f t="shared" ca="1" si="458"/>
        <v>9</v>
      </c>
      <c r="U1646" s="68">
        <f ca="1">IFERROR(__xludf.DUMMYFUNCTION("""COMPUTED_VALUE"""),45544.6458333333)</f>
        <v>45544.645833333299</v>
      </c>
      <c r="V1646" s="6">
        <f ca="1">IFERROR(__xludf.DUMMYFUNCTION("""COMPUTED_VALUE"""),2535.93)</f>
        <v>2535.9299999999998</v>
      </c>
      <c r="Z1646" s="6" t="str">
        <f t="shared" ca="1" si="459"/>
        <v>20228</v>
      </c>
      <c r="AA1646" s="6">
        <f t="shared" ca="1" si="460"/>
        <v>2022</v>
      </c>
      <c r="AB1646" s="6">
        <f t="shared" ca="1" si="461"/>
        <v>8</v>
      </c>
      <c r="AC1646" s="68">
        <f ca="1">IFERROR(__xludf.DUMMYFUNCTION("""COMPUTED_VALUE"""),44795.9986111111)</f>
        <v>44795.998611111099</v>
      </c>
      <c r="AD1646" s="6">
        <f ca="1">IFERROR(__xludf.DUMMYFUNCTION("""COMPUTED_VALUE"""),1343.36)</f>
        <v>1343.36</v>
      </c>
      <c r="AH1646" s="6" t="str">
        <f t="shared" ca="1" si="462"/>
        <v>20226</v>
      </c>
      <c r="AI1646" s="6">
        <f t="shared" ca="1" si="463"/>
        <v>2022</v>
      </c>
      <c r="AJ1646" s="6">
        <f t="shared" ca="1" si="464"/>
        <v>6</v>
      </c>
      <c r="AK1646" s="68">
        <f ca="1">IFERROR(__xludf.DUMMYFUNCTION("""COMPUTED_VALUE"""),44739.9986111111)</f>
        <v>44739.998611111099</v>
      </c>
      <c r="AL1646" s="6">
        <f ca="1">IFERROR(__xludf.DUMMYFUNCTION("""COMPUTED_VALUE"""),20709.37)</f>
        <v>20709.37</v>
      </c>
      <c r="AP1646" s="6" t="str">
        <f t="shared" ca="1" si="465"/>
        <v>20247</v>
      </c>
      <c r="AQ1646" s="6">
        <f t="shared" ca="1" si="466"/>
        <v>2024</v>
      </c>
      <c r="AR1646" s="6">
        <f t="shared" ca="1" si="467"/>
        <v>7</v>
      </c>
      <c r="AS1646" s="68">
        <f ca="1">IFERROR(__xludf.DUMMYFUNCTION("""COMPUTED_VALUE"""),45497.9986111111)</f>
        <v>45497.998611111099</v>
      </c>
      <c r="AT1646" s="6">
        <f ca="1">IFERROR(__xludf.DUMMYFUNCTION("""COMPUTED_VALUE"""),2464)</f>
        <v>2464</v>
      </c>
    </row>
    <row r="1647" spans="2:46" x14ac:dyDescent="0.35">
      <c r="B1647" s="6" t="str">
        <f t="shared" ca="1" si="450"/>
        <v>20247</v>
      </c>
      <c r="C1647" s="6">
        <f t="shared" ca="1" si="451"/>
        <v>2024</v>
      </c>
      <c r="D1647" s="6">
        <f t="shared" ca="1" si="452"/>
        <v>7</v>
      </c>
      <c r="E1647" s="68">
        <f ca="1">IFERROR(__xludf.DUMMYFUNCTION("""COMPUTED_VALUE"""),45491.6666666666)</f>
        <v>45491.666666666599</v>
      </c>
      <c r="F1647" s="6">
        <f ca="1">IFERROR(__xludf.DUMMYFUNCTION("""COMPUTED_VALUE"""),5544.59)</f>
        <v>5544.59</v>
      </c>
      <c r="J1647" s="6" t="str">
        <f t="shared" ca="1" si="453"/>
        <v>20247</v>
      </c>
      <c r="K1647" s="6">
        <f t="shared" ca="1" si="454"/>
        <v>2024</v>
      </c>
      <c r="L1647" s="6">
        <f t="shared" ca="1" si="455"/>
        <v>7</v>
      </c>
      <c r="M1647" s="68">
        <f ca="1">IFERROR(__xludf.DUMMYFUNCTION("""COMPUTED_VALUE"""),45483.6666666666)</f>
        <v>45483.666666666599</v>
      </c>
      <c r="N1647" s="6">
        <f ca="1">IFERROR(__xludf.DUMMYFUNCTION("""COMPUTED_VALUE"""),18647.45)</f>
        <v>18647.45</v>
      </c>
      <c r="R1647" s="6" t="str">
        <f t="shared" ca="1" si="456"/>
        <v>20249</v>
      </c>
      <c r="S1647" s="6">
        <f t="shared" ca="1" si="457"/>
        <v>2024</v>
      </c>
      <c r="T1647" s="6">
        <f t="shared" ca="1" si="458"/>
        <v>9</v>
      </c>
      <c r="U1647" s="68">
        <f ca="1">IFERROR(__xludf.DUMMYFUNCTION("""COMPUTED_VALUE"""),45545.6458333333)</f>
        <v>45545.645833333299</v>
      </c>
      <c r="V1647" s="6">
        <f ca="1">IFERROR(__xludf.DUMMYFUNCTION("""COMPUTED_VALUE"""),2523.43)</f>
        <v>2523.4299999999998</v>
      </c>
      <c r="Z1647" s="6" t="str">
        <f t="shared" ca="1" si="459"/>
        <v>20228</v>
      </c>
      <c r="AA1647" s="6">
        <f t="shared" ca="1" si="460"/>
        <v>2022</v>
      </c>
      <c r="AB1647" s="6">
        <f t="shared" ca="1" si="461"/>
        <v>8</v>
      </c>
      <c r="AC1647" s="68">
        <f ca="1">IFERROR(__xludf.DUMMYFUNCTION("""COMPUTED_VALUE"""),44796.9986111111)</f>
        <v>44796.998611111099</v>
      </c>
      <c r="AD1647" s="6">
        <f ca="1">IFERROR(__xludf.DUMMYFUNCTION("""COMPUTED_VALUE"""),1339.08)</f>
        <v>1339.08</v>
      </c>
      <c r="AH1647" s="6" t="str">
        <f t="shared" ca="1" si="462"/>
        <v>20226</v>
      </c>
      <c r="AI1647" s="6">
        <f t="shared" ca="1" si="463"/>
        <v>2022</v>
      </c>
      <c r="AJ1647" s="6">
        <f t="shared" ca="1" si="464"/>
        <v>6</v>
      </c>
      <c r="AK1647" s="68">
        <f ca="1">IFERROR(__xludf.DUMMYFUNCTION("""COMPUTED_VALUE"""),44740.9986111111)</f>
        <v>44740.998611111099</v>
      </c>
      <c r="AL1647" s="6">
        <f ca="1">IFERROR(__xludf.DUMMYFUNCTION("""COMPUTED_VALUE"""),20261.63)</f>
        <v>20261.63</v>
      </c>
      <c r="AP1647" s="6" t="str">
        <f t="shared" ca="1" si="465"/>
        <v>20247</v>
      </c>
      <c r="AQ1647" s="6">
        <f t="shared" ca="1" si="466"/>
        <v>2024</v>
      </c>
      <c r="AR1647" s="6">
        <f t="shared" ca="1" si="467"/>
        <v>7</v>
      </c>
      <c r="AS1647" s="68">
        <f ca="1">IFERROR(__xludf.DUMMYFUNCTION("""COMPUTED_VALUE"""),45498.9986111111)</f>
        <v>45498.998611111099</v>
      </c>
      <c r="AT1647" s="6">
        <f ca="1">IFERROR(__xludf.DUMMYFUNCTION("""COMPUTED_VALUE"""),2399.9)</f>
        <v>2399.9</v>
      </c>
    </row>
    <row r="1648" spans="2:46" x14ac:dyDescent="0.35">
      <c r="B1648" s="6" t="str">
        <f t="shared" ca="1" si="450"/>
        <v>20247</v>
      </c>
      <c r="C1648" s="6">
        <f t="shared" ca="1" si="451"/>
        <v>2024</v>
      </c>
      <c r="D1648" s="6">
        <f t="shared" ca="1" si="452"/>
        <v>7</v>
      </c>
      <c r="E1648" s="68">
        <f ca="1">IFERROR(__xludf.DUMMYFUNCTION("""COMPUTED_VALUE"""),45492.6666666666)</f>
        <v>45492.666666666599</v>
      </c>
      <c r="F1648" s="6">
        <f ca="1">IFERROR(__xludf.DUMMYFUNCTION("""COMPUTED_VALUE"""),5505)</f>
        <v>5505</v>
      </c>
      <c r="J1648" s="6" t="str">
        <f t="shared" ca="1" si="453"/>
        <v>20247</v>
      </c>
      <c r="K1648" s="6">
        <f t="shared" ca="1" si="454"/>
        <v>2024</v>
      </c>
      <c r="L1648" s="6">
        <f t="shared" ca="1" si="455"/>
        <v>7</v>
      </c>
      <c r="M1648" s="68">
        <f ca="1">IFERROR(__xludf.DUMMYFUNCTION("""COMPUTED_VALUE"""),45484.6666666666)</f>
        <v>45484.666666666599</v>
      </c>
      <c r="N1648" s="6">
        <f ca="1">IFERROR(__xludf.DUMMYFUNCTION("""COMPUTED_VALUE"""),18283.41)</f>
        <v>18283.41</v>
      </c>
      <c r="R1648" s="6" t="str">
        <f t="shared" ca="1" si="456"/>
        <v>20249</v>
      </c>
      <c r="S1648" s="6">
        <f t="shared" ca="1" si="457"/>
        <v>2024</v>
      </c>
      <c r="T1648" s="6">
        <f t="shared" ca="1" si="458"/>
        <v>9</v>
      </c>
      <c r="U1648" s="68">
        <f ca="1">IFERROR(__xludf.DUMMYFUNCTION("""COMPUTED_VALUE"""),45546.6458333333)</f>
        <v>45546.645833333299</v>
      </c>
      <c r="V1648" s="6">
        <f ca="1">IFERROR(__xludf.DUMMYFUNCTION("""COMPUTED_VALUE"""),2513.37)</f>
        <v>2513.37</v>
      </c>
      <c r="Z1648" s="6" t="str">
        <f t="shared" ca="1" si="459"/>
        <v>20228</v>
      </c>
      <c r="AA1648" s="6">
        <f t="shared" ca="1" si="460"/>
        <v>2022</v>
      </c>
      <c r="AB1648" s="6">
        <f t="shared" ca="1" si="461"/>
        <v>8</v>
      </c>
      <c r="AC1648" s="68">
        <f ca="1">IFERROR(__xludf.DUMMYFUNCTION("""COMPUTED_VALUE"""),44797.9986111111)</f>
        <v>44797.998611111099</v>
      </c>
      <c r="AD1648" s="6">
        <f ca="1">IFERROR(__xludf.DUMMYFUNCTION("""COMPUTED_VALUE"""),1340)</f>
        <v>1340</v>
      </c>
      <c r="AH1648" s="6" t="str">
        <f t="shared" ca="1" si="462"/>
        <v>20226</v>
      </c>
      <c r="AI1648" s="6">
        <f t="shared" ca="1" si="463"/>
        <v>2022</v>
      </c>
      <c r="AJ1648" s="6">
        <f t="shared" ca="1" si="464"/>
        <v>6</v>
      </c>
      <c r="AK1648" s="68">
        <f ca="1">IFERROR(__xludf.DUMMYFUNCTION("""COMPUTED_VALUE"""),44741.9986111111)</f>
        <v>44741.998611111099</v>
      </c>
      <c r="AL1648" s="6">
        <f ca="1">IFERROR(__xludf.DUMMYFUNCTION("""COMPUTED_VALUE"""),20097.49)</f>
        <v>20097.490000000002</v>
      </c>
      <c r="AP1648" s="6" t="str">
        <f t="shared" ca="1" si="465"/>
        <v>20247</v>
      </c>
      <c r="AQ1648" s="6">
        <f t="shared" ca="1" si="466"/>
        <v>2024</v>
      </c>
      <c r="AR1648" s="6">
        <f t="shared" ca="1" si="467"/>
        <v>7</v>
      </c>
      <c r="AS1648" s="68">
        <f ca="1">IFERROR(__xludf.DUMMYFUNCTION("""COMPUTED_VALUE"""),45499.9986111111)</f>
        <v>45499.998611111099</v>
      </c>
      <c r="AT1648" s="6">
        <f ca="1">IFERROR(__xludf.DUMMYFUNCTION("""COMPUTED_VALUE"""),2427.9)</f>
        <v>2427.9</v>
      </c>
    </row>
    <row r="1649" spans="2:46" x14ac:dyDescent="0.35">
      <c r="B1649" s="6" t="str">
        <f t="shared" ca="1" si="450"/>
        <v>20247</v>
      </c>
      <c r="C1649" s="6">
        <f t="shared" ca="1" si="451"/>
        <v>2024</v>
      </c>
      <c r="D1649" s="6">
        <f t="shared" ca="1" si="452"/>
        <v>7</v>
      </c>
      <c r="E1649" s="68">
        <f ca="1">IFERROR(__xludf.DUMMYFUNCTION("""COMPUTED_VALUE"""),45495.6666666666)</f>
        <v>45495.666666666599</v>
      </c>
      <c r="F1649" s="6">
        <f ca="1">IFERROR(__xludf.DUMMYFUNCTION("""COMPUTED_VALUE"""),5564.41)</f>
        <v>5564.41</v>
      </c>
      <c r="J1649" s="6" t="str">
        <f t="shared" ca="1" si="453"/>
        <v>20247</v>
      </c>
      <c r="K1649" s="6">
        <f t="shared" ca="1" si="454"/>
        <v>2024</v>
      </c>
      <c r="L1649" s="6">
        <f t="shared" ca="1" si="455"/>
        <v>7</v>
      </c>
      <c r="M1649" s="68">
        <f ca="1">IFERROR(__xludf.DUMMYFUNCTION("""COMPUTED_VALUE"""),45485.6666666666)</f>
        <v>45485.666666666599</v>
      </c>
      <c r="N1649" s="6">
        <f ca="1">IFERROR(__xludf.DUMMYFUNCTION("""COMPUTED_VALUE"""),18398.45)</f>
        <v>18398.45</v>
      </c>
      <c r="R1649" s="6" t="str">
        <f t="shared" ca="1" si="456"/>
        <v>20249</v>
      </c>
      <c r="S1649" s="6">
        <f t="shared" ca="1" si="457"/>
        <v>2024</v>
      </c>
      <c r="T1649" s="6">
        <f t="shared" ca="1" si="458"/>
        <v>9</v>
      </c>
      <c r="U1649" s="68">
        <f ca="1">IFERROR(__xludf.DUMMYFUNCTION("""COMPUTED_VALUE"""),45547.6458333333)</f>
        <v>45547.645833333299</v>
      </c>
      <c r="V1649" s="6">
        <f ca="1">IFERROR(__xludf.DUMMYFUNCTION("""COMPUTED_VALUE"""),2572.09)</f>
        <v>2572.09</v>
      </c>
      <c r="Z1649" s="6" t="str">
        <f t="shared" ca="1" si="459"/>
        <v>20228</v>
      </c>
      <c r="AA1649" s="6">
        <f t="shared" ca="1" si="460"/>
        <v>2022</v>
      </c>
      <c r="AB1649" s="6">
        <f t="shared" ca="1" si="461"/>
        <v>8</v>
      </c>
      <c r="AC1649" s="68">
        <f ca="1">IFERROR(__xludf.DUMMYFUNCTION("""COMPUTED_VALUE"""),44798.9986111111)</f>
        <v>44798.998611111099</v>
      </c>
      <c r="AD1649" s="6">
        <f ca="1">IFERROR(__xludf.DUMMYFUNCTION("""COMPUTED_VALUE"""),1334.44)</f>
        <v>1334.44</v>
      </c>
      <c r="AH1649" s="6" t="str">
        <f t="shared" ca="1" si="462"/>
        <v>20226</v>
      </c>
      <c r="AI1649" s="6">
        <f t="shared" ca="1" si="463"/>
        <v>2022</v>
      </c>
      <c r="AJ1649" s="6">
        <f t="shared" ca="1" si="464"/>
        <v>6</v>
      </c>
      <c r="AK1649" s="68">
        <f ca="1">IFERROR(__xludf.DUMMYFUNCTION("""COMPUTED_VALUE"""),44742.9986111111)</f>
        <v>44742.998611111099</v>
      </c>
      <c r="AL1649" s="6">
        <f ca="1">IFERROR(__xludf.DUMMYFUNCTION("""COMPUTED_VALUE"""),19913.14)</f>
        <v>19913.14</v>
      </c>
      <c r="AP1649" s="6" t="str">
        <f t="shared" ca="1" si="465"/>
        <v>20247</v>
      </c>
      <c r="AQ1649" s="6">
        <f t="shared" ca="1" si="466"/>
        <v>2024</v>
      </c>
      <c r="AR1649" s="6">
        <f t="shared" ca="1" si="467"/>
        <v>7</v>
      </c>
      <c r="AS1649" s="68">
        <f ca="1">IFERROR(__xludf.DUMMYFUNCTION("""COMPUTED_VALUE"""),45502.9986111111)</f>
        <v>45502.998611111099</v>
      </c>
      <c r="AT1649" s="6">
        <f ca="1">IFERROR(__xludf.DUMMYFUNCTION("""COMPUTED_VALUE"""),2425.5)</f>
        <v>2425.5</v>
      </c>
    </row>
    <row r="1650" spans="2:46" x14ac:dyDescent="0.35">
      <c r="B1650" s="6" t="str">
        <f t="shared" ca="1" si="450"/>
        <v>20247</v>
      </c>
      <c r="C1650" s="6">
        <f t="shared" ca="1" si="451"/>
        <v>2024</v>
      </c>
      <c r="D1650" s="6">
        <f t="shared" ca="1" si="452"/>
        <v>7</v>
      </c>
      <c r="E1650" s="68">
        <f ca="1">IFERROR(__xludf.DUMMYFUNCTION("""COMPUTED_VALUE"""),45496.6666666666)</f>
        <v>45496.666666666599</v>
      </c>
      <c r="F1650" s="6">
        <f ca="1">IFERROR(__xludf.DUMMYFUNCTION("""COMPUTED_VALUE"""),5555.74)</f>
        <v>5555.74</v>
      </c>
      <c r="J1650" s="6" t="str">
        <f t="shared" ca="1" si="453"/>
        <v>20247</v>
      </c>
      <c r="K1650" s="6">
        <f t="shared" ca="1" si="454"/>
        <v>2024</v>
      </c>
      <c r="L1650" s="6">
        <f t="shared" ca="1" si="455"/>
        <v>7</v>
      </c>
      <c r="M1650" s="68">
        <f ca="1">IFERROR(__xludf.DUMMYFUNCTION("""COMPUTED_VALUE"""),45488.6666666666)</f>
        <v>45488.666666666599</v>
      </c>
      <c r="N1650" s="6">
        <f ca="1">IFERROR(__xludf.DUMMYFUNCTION("""COMPUTED_VALUE"""),18472.57)</f>
        <v>18472.57</v>
      </c>
      <c r="R1650" s="6" t="str">
        <f t="shared" ca="1" si="456"/>
        <v>20249</v>
      </c>
      <c r="S1650" s="6">
        <f t="shared" ca="1" si="457"/>
        <v>2024</v>
      </c>
      <c r="T1650" s="6">
        <f t="shared" ca="1" si="458"/>
        <v>9</v>
      </c>
      <c r="U1650" s="68">
        <f ca="1">IFERROR(__xludf.DUMMYFUNCTION("""COMPUTED_VALUE"""),45548.6458333333)</f>
        <v>45548.645833333299</v>
      </c>
      <c r="V1650" s="6">
        <f ca="1">IFERROR(__xludf.DUMMYFUNCTION("""COMPUTED_VALUE"""),2575.41)</f>
        <v>2575.41</v>
      </c>
      <c r="Z1650" s="6" t="str">
        <f t="shared" ca="1" si="459"/>
        <v>20228</v>
      </c>
      <c r="AA1650" s="6">
        <f t="shared" ca="1" si="460"/>
        <v>2022</v>
      </c>
      <c r="AB1650" s="6">
        <f t="shared" ca="1" si="461"/>
        <v>8</v>
      </c>
      <c r="AC1650" s="68">
        <f ca="1">IFERROR(__xludf.DUMMYFUNCTION("""COMPUTED_VALUE"""),44799.9986111111)</f>
        <v>44799.998611111099</v>
      </c>
      <c r="AD1650" s="6">
        <f ca="1">IFERROR(__xludf.DUMMYFUNCTION("""COMPUTED_VALUE"""),1341.82)</f>
        <v>1341.82</v>
      </c>
      <c r="AH1650" s="6" t="str">
        <f t="shared" ca="1" si="462"/>
        <v>20227</v>
      </c>
      <c r="AI1650" s="6">
        <f t="shared" ca="1" si="463"/>
        <v>2022</v>
      </c>
      <c r="AJ1650" s="6">
        <f t="shared" ca="1" si="464"/>
        <v>7</v>
      </c>
      <c r="AK1650" s="68">
        <f ca="1">IFERROR(__xludf.DUMMYFUNCTION("""COMPUTED_VALUE"""),44743.9986111111)</f>
        <v>44743.998611111099</v>
      </c>
      <c r="AL1650" s="6">
        <f ca="1">IFERROR(__xludf.DUMMYFUNCTION("""COMPUTED_VALUE"""),19249.26)</f>
        <v>19249.259999999998</v>
      </c>
      <c r="AP1650" s="6" t="str">
        <f t="shared" ca="1" si="465"/>
        <v>20247</v>
      </c>
      <c r="AQ1650" s="6">
        <f t="shared" ca="1" si="466"/>
        <v>2024</v>
      </c>
      <c r="AR1650" s="6">
        <f t="shared" ca="1" si="467"/>
        <v>7</v>
      </c>
      <c r="AS1650" s="68">
        <f ca="1">IFERROR(__xludf.DUMMYFUNCTION("""COMPUTED_VALUE"""),45503.9986111111)</f>
        <v>45503.998611111099</v>
      </c>
      <c r="AT1650" s="6">
        <f ca="1">IFERROR(__xludf.DUMMYFUNCTION("""COMPUTED_VALUE"""),2451.9)</f>
        <v>2451.9</v>
      </c>
    </row>
    <row r="1651" spans="2:46" x14ac:dyDescent="0.35">
      <c r="B1651" s="6" t="str">
        <f t="shared" ca="1" si="450"/>
        <v>20247</v>
      </c>
      <c r="C1651" s="6">
        <f t="shared" ca="1" si="451"/>
        <v>2024</v>
      </c>
      <c r="D1651" s="6">
        <f t="shared" ca="1" si="452"/>
        <v>7</v>
      </c>
      <c r="E1651" s="68">
        <f ca="1">IFERROR(__xludf.DUMMYFUNCTION("""COMPUTED_VALUE"""),45497.6666666666)</f>
        <v>45497.666666666599</v>
      </c>
      <c r="F1651" s="6">
        <f ca="1">IFERROR(__xludf.DUMMYFUNCTION("""COMPUTED_VALUE"""),5427.13)</f>
        <v>5427.13</v>
      </c>
      <c r="J1651" s="6" t="str">
        <f t="shared" ca="1" si="453"/>
        <v>20247</v>
      </c>
      <c r="K1651" s="6">
        <f t="shared" ca="1" si="454"/>
        <v>2024</v>
      </c>
      <c r="L1651" s="6">
        <f t="shared" ca="1" si="455"/>
        <v>7</v>
      </c>
      <c r="M1651" s="68">
        <f ca="1">IFERROR(__xludf.DUMMYFUNCTION("""COMPUTED_VALUE"""),45489.6666666666)</f>
        <v>45489.666666666599</v>
      </c>
      <c r="N1651" s="6">
        <f ca="1">IFERROR(__xludf.DUMMYFUNCTION("""COMPUTED_VALUE"""),18509.34)</f>
        <v>18509.34</v>
      </c>
      <c r="R1651" s="6" t="str">
        <f t="shared" ca="1" si="456"/>
        <v>20249</v>
      </c>
      <c r="S1651" s="6">
        <f t="shared" ca="1" si="457"/>
        <v>2024</v>
      </c>
      <c r="T1651" s="6">
        <f t="shared" ca="1" si="458"/>
        <v>9</v>
      </c>
      <c r="U1651" s="68">
        <f ca="1">IFERROR(__xludf.DUMMYFUNCTION("""COMPUTED_VALUE"""),45554.6458333333)</f>
        <v>45554.645833333299</v>
      </c>
      <c r="V1651" s="6">
        <f ca="1">IFERROR(__xludf.DUMMYFUNCTION("""COMPUTED_VALUE"""),2580.8)</f>
        <v>2580.8000000000002</v>
      </c>
      <c r="Z1651" s="6" t="str">
        <f t="shared" ca="1" si="459"/>
        <v>20228</v>
      </c>
      <c r="AA1651" s="6">
        <f t="shared" ca="1" si="460"/>
        <v>2022</v>
      </c>
      <c r="AB1651" s="6">
        <f t="shared" ca="1" si="461"/>
        <v>8</v>
      </c>
      <c r="AC1651" s="68">
        <f ca="1">IFERROR(__xludf.DUMMYFUNCTION("""COMPUTED_VALUE"""),44800.9986111111)</f>
        <v>44800.998611111099</v>
      </c>
      <c r="AD1651" s="6">
        <f ca="1">IFERROR(__xludf.DUMMYFUNCTION("""COMPUTED_VALUE"""),1341.72)</f>
        <v>1341.72</v>
      </c>
      <c r="AH1651" s="6" t="str">
        <f t="shared" ca="1" si="462"/>
        <v>20227</v>
      </c>
      <c r="AI1651" s="6">
        <f t="shared" ca="1" si="463"/>
        <v>2022</v>
      </c>
      <c r="AJ1651" s="6">
        <f t="shared" ca="1" si="464"/>
        <v>7</v>
      </c>
      <c r="AK1651" s="68">
        <f ca="1">IFERROR(__xludf.DUMMYFUNCTION("""COMPUTED_VALUE"""),44744.9986111111)</f>
        <v>44744.998611111099</v>
      </c>
      <c r="AL1651" s="6">
        <f ca="1">IFERROR(__xludf.DUMMYFUNCTION("""COMPUTED_VALUE"""),19228.16)</f>
        <v>19228.16</v>
      </c>
      <c r="AP1651" s="6" t="str">
        <f t="shared" ca="1" si="465"/>
        <v>20247</v>
      </c>
      <c r="AQ1651" s="6">
        <f t="shared" ca="1" si="466"/>
        <v>2024</v>
      </c>
      <c r="AR1651" s="6">
        <f t="shared" ca="1" si="467"/>
        <v>7</v>
      </c>
      <c r="AS1651" s="68">
        <f ca="1">IFERROR(__xludf.DUMMYFUNCTION("""COMPUTED_VALUE"""),45504.9986111111)</f>
        <v>45504.998611111099</v>
      </c>
      <c r="AT1651" s="6">
        <f ca="1">IFERROR(__xludf.DUMMYFUNCTION("""COMPUTED_VALUE"""),2473)</f>
        <v>2473</v>
      </c>
    </row>
    <row r="1652" spans="2:46" x14ac:dyDescent="0.35">
      <c r="B1652" s="6" t="str">
        <f t="shared" ca="1" si="450"/>
        <v>20247</v>
      </c>
      <c r="C1652" s="6">
        <f t="shared" ca="1" si="451"/>
        <v>2024</v>
      </c>
      <c r="D1652" s="6">
        <f t="shared" ca="1" si="452"/>
        <v>7</v>
      </c>
      <c r="E1652" s="68">
        <f ca="1">IFERROR(__xludf.DUMMYFUNCTION("""COMPUTED_VALUE"""),45498.6666666666)</f>
        <v>45498.666666666599</v>
      </c>
      <c r="F1652" s="6">
        <f ca="1">IFERROR(__xludf.DUMMYFUNCTION("""COMPUTED_VALUE"""),5399.22)</f>
        <v>5399.22</v>
      </c>
      <c r="J1652" s="6" t="str">
        <f t="shared" ca="1" si="453"/>
        <v>20247</v>
      </c>
      <c r="K1652" s="6">
        <f t="shared" ca="1" si="454"/>
        <v>2024</v>
      </c>
      <c r="L1652" s="6">
        <f t="shared" ca="1" si="455"/>
        <v>7</v>
      </c>
      <c r="M1652" s="68">
        <f ca="1">IFERROR(__xludf.DUMMYFUNCTION("""COMPUTED_VALUE"""),45490.6666666666)</f>
        <v>45490.666666666599</v>
      </c>
      <c r="N1652" s="6">
        <f ca="1">IFERROR(__xludf.DUMMYFUNCTION("""COMPUTED_VALUE"""),17996.93)</f>
        <v>17996.93</v>
      </c>
      <c r="R1652" s="6" t="str">
        <f t="shared" ca="1" si="456"/>
        <v>20249</v>
      </c>
      <c r="S1652" s="6">
        <f t="shared" ca="1" si="457"/>
        <v>2024</v>
      </c>
      <c r="T1652" s="6">
        <f t="shared" ca="1" si="458"/>
        <v>9</v>
      </c>
      <c r="U1652" s="68">
        <f ca="1">IFERROR(__xludf.DUMMYFUNCTION("""COMPUTED_VALUE"""),45555.6458333333)</f>
        <v>45555.645833333299</v>
      </c>
      <c r="V1652" s="6">
        <f ca="1">IFERROR(__xludf.DUMMYFUNCTION("""COMPUTED_VALUE"""),2593.37)</f>
        <v>2593.37</v>
      </c>
      <c r="Z1652" s="6" t="str">
        <f t="shared" ca="1" si="459"/>
        <v>20228</v>
      </c>
      <c r="AA1652" s="6">
        <f t="shared" ca="1" si="460"/>
        <v>2022</v>
      </c>
      <c r="AB1652" s="6">
        <f t="shared" ca="1" si="461"/>
        <v>8</v>
      </c>
      <c r="AC1652" s="68">
        <f ca="1">IFERROR(__xludf.DUMMYFUNCTION("""COMPUTED_VALUE"""),44801.9986111111)</f>
        <v>44801.998611111099</v>
      </c>
      <c r="AD1652" s="6">
        <f ca="1">IFERROR(__xludf.DUMMYFUNCTION("""COMPUTED_VALUE"""),1341.18)</f>
        <v>1341.18</v>
      </c>
      <c r="AH1652" s="6" t="str">
        <f t="shared" ca="1" si="462"/>
        <v>20227</v>
      </c>
      <c r="AI1652" s="6">
        <f t="shared" ca="1" si="463"/>
        <v>2022</v>
      </c>
      <c r="AJ1652" s="6">
        <f t="shared" ca="1" si="464"/>
        <v>7</v>
      </c>
      <c r="AK1652" s="68">
        <f ca="1">IFERROR(__xludf.DUMMYFUNCTION("""COMPUTED_VALUE"""),44745.9986111111)</f>
        <v>44745.998611111099</v>
      </c>
      <c r="AL1652" s="6">
        <f ca="1">IFERROR(__xludf.DUMMYFUNCTION("""COMPUTED_VALUE"""),19296.46)</f>
        <v>19296.46</v>
      </c>
      <c r="AP1652" s="6" t="str">
        <f t="shared" ca="1" si="465"/>
        <v>20248</v>
      </c>
      <c r="AQ1652" s="6">
        <f t="shared" ca="1" si="466"/>
        <v>2024</v>
      </c>
      <c r="AR1652" s="6">
        <f t="shared" ca="1" si="467"/>
        <v>8</v>
      </c>
      <c r="AS1652" s="68">
        <f ca="1">IFERROR(__xludf.DUMMYFUNCTION("""COMPUTED_VALUE"""),45505.9986111111)</f>
        <v>45505.998611111099</v>
      </c>
      <c r="AT1652" s="6">
        <f ca="1">IFERROR(__xludf.DUMMYFUNCTION("""COMPUTED_VALUE"""),2480.8)</f>
        <v>2480.8000000000002</v>
      </c>
    </row>
    <row r="1653" spans="2:46" x14ac:dyDescent="0.35">
      <c r="B1653" s="6" t="str">
        <f t="shared" ca="1" si="450"/>
        <v>20247</v>
      </c>
      <c r="C1653" s="6">
        <f t="shared" ca="1" si="451"/>
        <v>2024</v>
      </c>
      <c r="D1653" s="6">
        <f t="shared" ca="1" si="452"/>
        <v>7</v>
      </c>
      <c r="E1653" s="68">
        <f ca="1">IFERROR(__xludf.DUMMYFUNCTION("""COMPUTED_VALUE"""),45499.6666666666)</f>
        <v>45499.666666666599</v>
      </c>
      <c r="F1653" s="6">
        <f ca="1">IFERROR(__xludf.DUMMYFUNCTION("""COMPUTED_VALUE"""),5459.1)</f>
        <v>5459.1</v>
      </c>
      <c r="J1653" s="6" t="str">
        <f t="shared" ca="1" si="453"/>
        <v>20247</v>
      </c>
      <c r="K1653" s="6">
        <f t="shared" ca="1" si="454"/>
        <v>2024</v>
      </c>
      <c r="L1653" s="6">
        <f t="shared" ca="1" si="455"/>
        <v>7</v>
      </c>
      <c r="M1653" s="68">
        <f ca="1">IFERROR(__xludf.DUMMYFUNCTION("""COMPUTED_VALUE"""),45491.6666666666)</f>
        <v>45491.666666666599</v>
      </c>
      <c r="N1653" s="6">
        <f ca="1">IFERROR(__xludf.DUMMYFUNCTION("""COMPUTED_VALUE"""),17871.22)</f>
        <v>17871.22</v>
      </c>
      <c r="R1653" s="6" t="str">
        <f t="shared" ca="1" si="456"/>
        <v>20249</v>
      </c>
      <c r="S1653" s="6">
        <f t="shared" ca="1" si="457"/>
        <v>2024</v>
      </c>
      <c r="T1653" s="6">
        <f t="shared" ca="1" si="458"/>
        <v>9</v>
      </c>
      <c r="U1653" s="68">
        <f ca="1">IFERROR(__xludf.DUMMYFUNCTION("""COMPUTED_VALUE"""),45558.6458333333)</f>
        <v>45558.645833333299</v>
      </c>
      <c r="V1653" s="6">
        <f ca="1">IFERROR(__xludf.DUMMYFUNCTION("""COMPUTED_VALUE"""),2602.01)</f>
        <v>2602.0100000000002</v>
      </c>
      <c r="Z1653" s="6" t="str">
        <f t="shared" ca="1" si="459"/>
        <v>20228</v>
      </c>
      <c r="AA1653" s="6">
        <f t="shared" ca="1" si="460"/>
        <v>2022</v>
      </c>
      <c r="AB1653" s="6">
        <f t="shared" ca="1" si="461"/>
        <v>8</v>
      </c>
      <c r="AC1653" s="68">
        <f ca="1">IFERROR(__xludf.DUMMYFUNCTION("""COMPUTED_VALUE"""),44802.9986111111)</f>
        <v>44802.998611111099</v>
      </c>
      <c r="AD1653" s="6">
        <f ca="1">IFERROR(__xludf.DUMMYFUNCTION("""COMPUTED_VALUE"""),1345.73)</f>
        <v>1345.73</v>
      </c>
      <c r="AH1653" s="6" t="str">
        <f t="shared" ca="1" si="462"/>
        <v>20227</v>
      </c>
      <c r="AI1653" s="6">
        <f t="shared" ca="1" si="463"/>
        <v>2022</v>
      </c>
      <c r="AJ1653" s="6">
        <f t="shared" ca="1" si="464"/>
        <v>7</v>
      </c>
      <c r="AK1653" s="68">
        <f ca="1">IFERROR(__xludf.DUMMYFUNCTION("""COMPUTED_VALUE"""),44746.9986111111)</f>
        <v>44746.998611111099</v>
      </c>
      <c r="AL1653" s="6">
        <f ca="1">IFERROR(__xludf.DUMMYFUNCTION("""COMPUTED_VALUE"""),20212.47)</f>
        <v>20212.47</v>
      </c>
      <c r="AP1653" s="6" t="str">
        <f t="shared" ca="1" si="465"/>
        <v>20248</v>
      </c>
      <c r="AQ1653" s="6">
        <f t="shared" ca="1" si="466"/>
        <v>2024</v>
      </c>
      <c r="AR1653" s="6">
        <f t="shared" ca="1" si="467"/>
        <v>8</v>
      </c>
      <c r="AS1653" s="68">
        <f ca="1">IFERROR(__xludf.DUMMYFUNCTION("""COMPUTED_VALUE"""),45506.9986111111)</f>
        <v>45506.998611111099</v>
      </c>
      <c r="AT1653" s="6">
        <f ca="1">IFERROR(__xludf.DUMMYFUNCTION("""COMPUTED_VALUE"""),2469.8)</f>
        <v>2469.8000000000002</v>
      </c>
    </row>
    <row r="1654" spans="2:46" x14ac:dyDescent="0.35">
      <c r="B1654" s="6" t="str">
        <f t="shared" ca="1" si="450"/>
        <v>20247</v>
      </c>
      <c r="C1654" s="6">
        <f t="shared" ca="1" si="451"/>
        <v>2024</v>
      </c>
      <c r="D1654" s="6">
        <f t="shared" ca="1" si="452"/>
        <v>7</v>
      </c>
      <c r="E1654" s="68">
        <f ca="1">IFERROR(__xludf.DUMMYFUNCTION("""COMPUTED_VALUE"""),45502.6666666666)</f>
        <v>45502.666666666599</v>
      </c>
      <c r="F1654" s="6">
        <f ca="1">IFERROR(__xludf.DUMMYFUNCTION("""COMPUTED_VALUE"""),5463.54)</f>
        <v>5463.54</v>
      </c>
      <c r="J1654" s="6" t="str">
        <f t="shared" ca="1" si="453"/>
        <v>20247</v>
      </c>
      <c r="K1654" s="6">
        <f t="shared" ca="1" si="454"/>
        <v>2024</v>
      </c>
      <c r="L1654" s="6">
        <f t="shared" ca="1" si="455"/>
        <v>7</v>
      </c>
      <c r="M1654" s="68">
        <f ca="1">IFERROR(__xludf.DUMMYFUNCTION("""COMPUTED_VALUE"""),45492.6666666666)</f>
        <v>45492.666666666599</v>
      </c>
      <c r="N1654" s="6">
        <f ca="1">IFERROR(__xludf.DUMMYFUNCTION("""COMPUTED_VALUE"""),17726.94)</f>
        <v>17726.939999999999</v>
      </c>
      <c r="R1654" s="6" t="str">
        <f t="shared" ca="1" si="456"/>
        <v>20249</v>
      </c>
      <c r="S1654" s="6">
        <f t="shared" ca="1" si="457"/>
        <v>2024</v>
      </c>
      <c r="T1654" s="6">
        <f t="shared" ca="1" si="458"/>
        <v>9</v>
      </c>
      <c r="U1654" s="68">
        <f ca="1">IFERROR(__xludf.DUMMYFUNCTION("""COMPUTED_VALUE"""),45559.6458333333)</f>
        <v>45559.645833333299</v>
      </c>
      <c r="V1654" s="6">
        <f ca="1">IFERROR(__xludf.DUMMYFUNCTION("""COMPUTED_VALUE"""),2631.68)</f>
        <v>2631.68</v>
      </c>
      <c r="Z1654" s="6" t="str">
        <f t="shared" ca="1" si="459"/>
        <v>20228</v>
      </c>
      <c r="AA1654" s="6">
        <f t="shared" ca="1" si="460"/>
        <v>2022</v>
      </c>
      <c r="AB1654" s="6">
        <f t="shared" ca="1" si="461"/>
        <v>8</v>
      </c>
      <c r="AC1654" s="68">
        <f ca="1">IFERROR(__xludf.DUMMYFUNCTION("""COMPUTED_VALUE"""),44803.9986111111)</f>
        <v>44803.998611111099</v>
      </c>
      <c r="AD1654" s="6">
        <f ca="1">IFERROR(__xludf.DUMMYFUNCTION("""COMPUTED_VALUE"""),1350.19)</f>
        <v>1350.19</v>
      </c>
      <c r="AH1654" s="6" t="str">
        <f t="shared" ca="1" si="462"/>
        <v>20227</v>
      </c>
      <c r="AI1654" s="6">
        <f t="shared" ca="1" si="463"/>
        <v>2022</v>
      </c>
      <c r="AJ1654" s="6">
        <f t="shared" ca="1" si="464"/>
        <v>7</v>
      </c>
      <c r="AK1654" s="68">
        <f ca="1">IFERROR(__xludf.DUMMYFUNCTION("""COMPUTED_VALUE"""),44747.9986111111)</f>
        <v>44747.998611111099</v>
      </c>
      <c r="AL1654" s="6">
        <f ca="1">IFERROR(__xludf.DUMMYFUNCTION("""COMPUTED_VALUE"""),20175)</f>
        <v>20175</v>
      </c>
      <c r="AP1654" s="6" t="str">
        <f t="shared" ca="1" si="465"/>
        <v>20248</v>
      </c>
      <c r="AQ1654" s="6">
        <f t="shared" ca="1" si="466"/>
        <v>2024</v>
      </c>
      <c r="AR1654" s="6">
        <f t="shared" ca="1" si="467"/>
        <v>8</v>
      </c>
      <c r="AS1654" s="68">
        <f ca="1">IFERROR(__xludf.DUMMYFUNCTION("""COMPUTED_VALUE"""),45509.9986111111)</f>
        <v>45509.998611111099</v>
      </c>
      <c r="AT1654" s="6">
        <f ca="1">IFERROR(__xludf.DUMMYFUNCTION("""COMPUTED_VALUE"""),2444.4)</f>
        <v>2444.4</v>
      </c>
    </row>
    <row r="1655" spans="2:46" x14ac:dyDescent="0.35">
      <c r="B1655" s="6" t="str">
        <f t="shared" ca="1" si="450"/>
        <v>20247</v>
      </c>
      <c r="C1655" s="6">
        <f t="shared" ca="1" si="451"/>
        <v>2024</v>
      </c>
      <c r="D1655" s="6">
        <f t="shared" ca="1" si="452"/>
        <v>7</v>
      </c>
      <c r="E1655" s="68">
        <f ca="1">IFERROR(__xludf.DUMMYFUNCTION("""COMPUTED_VALUE"""),45503.6666666666)</f>
        <v>45503.666666666599</v>
      </c>
      <c r="F1655" s="6">
        <f ca="1">IFERROR(__xludf.DUMMYFUNCTION("""COMPUTED_VALUE"""),5436.44)</f>
        <v>5436.44</v>
      </c>
      <c r="J1655" s="6" t="str">
        <f t="shared" ca="1" si="453"/>
        <v>20247</v>
      </c>
      <c r="K1655" s="6">
        <f t="shared" ca="1" si="454"/>
        <v>2024</v>
      </c>
      <c r="L1655" s="6">
        <f t="shared" ca="1" si="455"/>
        <v>7</v>
      </c>
      <c r="M1655" s="68">
        <f ca="1">IFERROR(__xludf.DUMMYFUNCTION("""COMPUTED_VALUE"""),45495.6666666666)</f>
        <v>45495.666666666599</v>
      </c>
      <c r="N1655" s="6">
        <f ca="1">IFERROR(__xludf.DUMMYFUNCTION("""COMPUTED_VALUE"""),18007.57)</f>
        <v>18007.57</v>
      </c>
      <c r="R1655" s="6" t="str">
        <f t="shared" ca="1" si="456"/>
        <v>20249</v>
      </c>
      <c r="S1655" s="6">
        <f t="shared" ca="1" si="457"/>
        <v>2024</v>
      </c>
      <c r="T1655" s="6">
        <f t="shared" ca="1" si="458"/>
        <v>9</v>
      </c>
      <c r="U1655" s="68">
        <f ca="1">IFERROR(__xludf.DUMMYFUNCTION("""COMPUTED_VALUE"""),45560.6458333333)</f>
        <v>45560.645833333299</v>
      </c>
      <c r="V1655" s="6">
        <f ca="1">IFERROR(__xludf.DUMMYFUNCTION("""COMPUTED_VALUE"""),2596.32)</f>
        <v>2596.3200000000002</v>
      </c>
      <c r="Z1655" s="6" t="str">
        <f t="shared" ca="1" si="459"/>
        <v>20228</v>
      </c>
      <c r="AA1655" s="6">
        <f t="shared" ca="1" si="460"/>
        <v>2022</v>
      </c>
      <c r="AB1655" s="6">
        <f t="shared" ca="1" si="461"/>
        <v>8</v>
      </c>
      <c r="AC1655" s="68">
        <f ca="1">IFERROR(__xludf.DUMMYFUNCTION("""COMPUTED_VALUE"""),44804.9986111111)</f>
        <v>44804.998611111099</v>
      </c>
      <c r="AD1655" s="6">
        <f ca="1">IFERROR(__xludf.DUMMYFUNCTION("""COMPUTED_VALUE"""),1342.26)</f>
        <v>1342.26</v>
      </c>
      <c r="AH1655" s="6" t="str">
        <f t="shared" ca="1" si="462"/>
        <v>20227</v>
      </c>
      <c r="AI1655" s="6">
        <f t="shared" ca="1" si="463"/>
        <v>2022</v>
      </c>
      <c r="AJ1655" s="6">
        <f t="shared" ca="1" si="464"/>
        <v>7</v>
      </c>
      <c r="AK1655" s="68">
        <f ca="1">IFERROR(__xludf.DUMMYFUNCTION("""COMPUTED_VALUE"""),44748.9986111111)</f>
        <v>44748.998611111099</v>
      </c>
      <c r="AL1655" s="6">
        <f ca="1">IFERROR(__xludf.DUMMYFUNCTION("""COMPUTED_VALUE"""),20548.82)</f>
        <v>20548.82</v>
      </c>
      <c r="AP1655" s="6" t="str">
        <f t="shared" ca="1" si="465"/>
        <v>20248</v>
      </c>
      <c r="AQ1655" s="6">
        <f t="shared" ca="1" si="466"/>
        <v>2024</v>
      </c>
      <c r="AR1655" s="6">
        <f t="shared" ca="1" si="467"/>
        <v>8</v>
      </c>
      <c r="AS1655" s="68">
        <f ca="1">IFERROR(__xludf.DUMMYFUNCTION("""COMPUTED_VALUE"""),45510.9986111111)</f>
        <v>45510.998611111099</v>
      </c>
      <c r="AT1655" s="6">
        <f ca="1">IFERROR(__xludf.DUMMYFUNCTION("""COMPUTED_VALUE"""),2431.6)</f>
        <v>2431.6</v>
      </c>
    </row>
    <row r="1656" spans="2:46" x14ac:dyDescent="0.35">
      <c r="B1656" s="6" t="str">
        <f t="shared" ca="1" si="450"/>
        <v>20247</v>
      </c>
      <c r="C1656" s="6">
        <f t="shared" ca="1" si="451"/>
        <v>2024</v>
      </c>
      <c r="D1656" s="6">
        <f t="shared" ca="1" si="452"/>
        <v>7</v>
      </c>
      <c r="E1656" s="68">
        <f ca="1">IFERROR(__xludf.DUMMYFUNCTION("""COMPUTED_VALUE"""),45504.6666666666)</f>
        <v>45504.666666666599</v>
      </c>
      <c r="F1656" s="6">
        <f ca="1">IFERROR(__xludf.DUMMYFUNCTION("""COMPUTED_VALUE"""),5522.3)</f>
        <v>5522.3</v>
      </c>
      <c r="J1656" s="6" t="str">
        <f t="shared" ca="1" si="453"/>
        <v>20247</v>
      </c>
      <c r="K1656" s="6">
        <f t="shared" ca="1" si="454"/>
        <v>2024</v>
      </c>
      <c r="L1656" s="6">
        <f t="shared" ca="1" si="455"/>
        <v>7</v>
      </c>
      <c r="M1656" s="68">
        <f ca="1">IFERROR(__xludf.DUMMYFUNCTION("""COMPUTED_VALUE"""),45496.6666666666)</f>
        <v>45496.666666666599</v>
      </c>
      <c r="N1656" s="6">
        <f ca="1">IFERROR(__xludf.DUMMYFUNCTION("""COMPUTED_VALUE"""),17997.35)</f>
        <v>17997.349999999999</v>
      </c>
      <c r="R1656" s="6" t="str">
        <f t="shared" ca="1" si="456"/>
        <v>20249</v>
      </c>
      <c r="S1656" s="6">
        <f t="shared" ca="1" si="457"/>
        <v>2024</v>
      </c>
      <c r="T1656" s="6">
        <f t="shared" ca="1" si="458"/>
        <v>9</v>
      </c>
      <c r="U1656" s="68">
        <f ca="1">IFERROR(__xludf.DUMMYFUNCTION("""COMPUTED_VALUE"""),45561.6458333333)</f>
        <v>45561.645833333299</v>
      </c>
      <c r="V1656" s="6">
        <f ca="1">IFERROR(__xludf.DUMMYFUNCTION("""COMPUTED_VALUE"""),2671.57)</f>
        <v>2671.57</v>
      </c>
      <c r="Z1656" s="6" t="str">
        <f t="shared" ca="1" si="459"/>
        <v>20229</v>
      </c>
      <c r="AA1656" s="6">
        <f t="shared" ca="1" si="460"/>
        <v>2022</v>
      </c>
      <c r="AB1656" s="6">
        <f t="shared" ca="1" si="461"/>
        <v>9</v>
      </c>
      <c r="AC1656" s="68">
        <f ca="1">IFERROR(__xludf.DUMMYFUNCTION("""COMPUTED_VALUE"""),44805.9986111111)</f>
        <v>44805.998611111099</v>
      </c>
      <c r="AD1656" s="6">
        <f ca="1">IFERROR(__xludf.DUMMYFUNCTION("""COMPUTED_VALUE"""),1355.1)</f>
        <v>1355.1</v>
      </c>
      <c r="AH1656" s="6" t="str">
        <f t="shared" ca="1" si="462"/>
        <v>20227</v>
      </c>
      <c r="AI1656" s="6">
        <f t="shared" ca="1" si="463"/>
        <v>2022</v>
      </c>
      <c r="AJ1656" s="6">
        <f t="shared" ca="1" si="464"/>
        <v>7</v>
      </c>
      <c r="AK1656" s="68">
        <f ca="1">IFERROR(__xludf.DUMMYFUNCTION("""COMPUTED_VALUE"""),44749.9986111111)</f>
        <v>44749.998611111099</v>
      </c>
      <c r="AL1656" s="6">
        <f ca="1">IFERROR(__xludf.DUMMYFUNCTION("""COMPUTED_VALUE"""),21631.71)</f>
        <v>21631.71</v>
      </c>
      <c r="AP1656" s="6" t="str">
        <f t="shared" ca="1" si="465"/>
        <v>20248</v>
      </c>
      <c r="AQ1656" s="6">
        <f t="shared" ca="1" si="466"/>
        <v>2024</v>
      </c>
      <c r="AR1656" s="6">
        <f t="shared" ca="1" si="467"/>
        <v>8</v>
      </c>
      <c r="AS1656" s="68">
        <f ca="1">IFERROR(__xludf.DUMMYFUNCTION("""COMPUTED_VALUE"""),45511.9986111111)</f>
        <v>45511.998611111099</v>
      </c>
      <c r="AT1656" s="6">
        <f ca="1">IFERROR(__xludf.DUMMYFUNCTION("""COMPUTED_VALUE"""),2432.4)</f>
        <v>2432.4</v>
      </c>
    </row>
    <row r="1657" spans="2:46" x14ac:dyDescent="0.35">
      <c r="B1657" s="6" t="str">
        <f t="shared" ca="1" si="450"/>
        <v>20248</v>
      </c>
      <c r="C1657" s="6">
        <f t="shared" ca="1" si="451"/>
        <v>2024</v>
      </c>
      <c r="D1657" s="6">
        <f t="shared" ca="1" si="452"/>
        <v>8</v>
      </c>
      <c r="E1657" s="68">
        <f ca="1">IFERROR(__xludf.DUMMYFUNCTION("""COMPUTED_VALUE"""),45505.6666666666)</f>
        <v>45505.666666666599</v>
      </c>
      <c r="F1657" s="6">
        <f ca="1">IFERROR(__xludf.DUMMYFUNCTION("""COMPUTED_VALUE"""),5446.68)</f>
        <v>5446.68</v>
      </c>
      <c r="J1657" s="6" t="str">
        <f t="shared" ca="1" si="453"/>
        <v>20247</v>
      </c>
      <c r="K1657" s="6">
        <f t="shared" ca="1" si="454"/>
        <v>2024</v>
      </c>
      <c r="L1657" s="6">
        <f t="shared" ca="1" si="455"/>
        <v>7</v>
      </c>
      <c r="M1657" s="68">
        <f ca="1">IFERROR(__xludf.DUMMYFUNCTION("""COMPUTED_VALUE"""),45497.6666666666)</f>
        <v>45497.666666666599</v>
      </c>
      <c r="N1657" s="6">
        <f ca="1">IFERROR(__xludf.DUMMYFUNCTION("""COMPUTED_VALUE"""),17342.41)</f>
        <v>17342.41</v>
      </c>
      <c r="R1657" s="6" t="str">
        <f t="shared" ca="1" si="456"/>
        <v>20249</v>
      </c>
      <c r="S1657" s="6">
        <f t="shared" ca="1" si="457"/>
        <v>2024</v>
      </c>
      <c r="T1657" s="6">
        <f t="shared" ca="1" si="458"/>
        <v>9</v>
      </c>
      <c r="U1657" s="68">
        <f ca="1">IFERROR(__xludf.DUMMYFUNCTION("""COMPUTED_VALUE"""),45562.6458333333)</f>
        <v>45562.645833333299</v>
      </c>
      <c r="V1657" s="6">
        <f ca="1">IFERROR(__xludf.DUMMYFUNCTION("""COMPUTED_VALUE"""),2649.78)</f>
        <v>2649.78</v>
      </c>
      <c r="Z1657" s="6" t="str">
        <f t="shared" ca="1" si="459"/>
        <v>20229</v>
      </c>
      <c r="AA1657" s="6">
        <f t="shared" ca="1" si="460"/>
        <v>2022</v>
      </c>
      <c r="AB1657" s="6">
        <f t="shared" ca="1" si="461"/>
        <v>9</v>
      </c>
      <c r="AC1657" s="68">
        <f ca="1">IFERROR(__xludf.DUMMYFUNCTION("""COMPUTED_VALUE"""),44806.9986111111)</f>
        <v>44806.998611111099</v>
      </c>
      <c r="AD1657" s="6">
        <f ca="1">IFERROR(__xludf.DUMMYFUNCTION("""COMPUTED_VALUE"""),1360.91)</f>
        <v>1360.91</v>
      </c>
      <c r="AH1657" s="6" t="str">
        <f t="shared" ca="1" si="462"/>
        <v>20227</v>
      </c>
      <c r="AI1657" s="6">
        <f t="shared" ca="1" si="463"/>
        <v>2022</v>
      </c>
      <c r="AJ1657" s="6">
        <f t="shared" ca="1" si="464"/>
        <v>7</v>
      </c>
      <c r="AK1657" s="68">
        <f ca="1">IFERROR(__xludf.DUMMYFUNCTION("""COMPUTED_VALUE"""),44750.9986111111)</f>
        <v>44750.998611111099</v>
      </c>
      <c r="AL1657" s="6">
        <f ca="1">IFERROR(__xludf.DUMMYFUNCTION("""COMPUTED_VALUE"""),21606.68)</f>
        <v>21606.68</v>
      </c>
      <c r="AP1657" s="6" t="str">
        <f t="shared" ca="1" si="465"/>
        <v>20248</v>
      </c>
      <c r="AQ1657" s="6">
        <f t="shared" ca="1" si="466"/>
        <v>2024</v>
      </c>
      <c r="AR1657" s="6">
        <f t="shared" ca="1" si="467"/>
        <v>8</v>
      </c>
      <c r="AS1657" s="68">
        <f ca="1">IFERROR(__xludf.DUMMYFUNCTION("""COMPUTED_VALUE"""),45512.9986111111)</f>
        <v>45512.998611111099</v>
      </c>
      <c r="AT1657" s="6">
        <f ca="1">IFERROR(__xludf.DUMMYFUNCTION("""COMPUTED_VALUE"""),2463.3)</f>
        <v>2463.3000000000002</v>
      </c>
    </row>
    <row r="1658" spans="2:46" x14ac:dyDescent="0.35">
      <c r="B1658" s="6" t="str">
        <f t="shared" ca="1" si="450"/>
        <v>20248</v>
      </c>
      <c r="C1658" s="6">
        <f t="shared" ca="1" si="451"/>
        <v>2024</v>
      </c>
      <c r="D1658" s="6">
        <f t="shared" ca="1" si="452"/>
        <v>8</v>
      </c>
      <c r="E1658" s="68">
        <f ca="1">IFERROR(__xludf.DUMMYFUNCTION("""COMPUTED_VALUE"""),45506.6666666666)</f>
        <v>45506.666666666599</v>
      </c>
      <c r="F1658" s="6">
        <f ca="1">IFERROR(__xludf.DUMMYFUNCTION("""COMPUTED_VALUE"""),5346.56)</f>
        <v>5346.56</v>
      </c>
      <c r="J1658" s="6" t="str">
        <f t="shared" ca="1" si="453"/>
        <v>20247</v>
      </c>
      <c r="K1658" s="6">
        <f t="shared" ca="1" si="454"/>
        <v>2024</v>
      </c>
      <c r="L1658" s="6">
        <f t="shared" ca="1" si="455"/>
        <v>7</v>
      </c>
      <c r="M1658" s="68">
        <f ca="1">IFERROR(__xludf.DUMMYFUNCTION("""COMPUTED_VALUE"""),45498.6666666666)</f>
        <v>45498.666666666599</v>
      </c>
      <c r="N1658" s="6">
        <f ca="1">IFERROR(__xludf.DUMMYFUNCTION("""COMPUTED_VALUE"""),17181.72)</f>
        <v>17181.72</v>
      </c>
      <c r="R1658" s="6" t="str">
        <f t="shared" ca="1" si="456"/>
        <v>20249</v>
      </c>
      <c r="S1658" s="6">
        <f t="shared" ca="1" si="457"/>
        <v>2024</v>
      </c>
      <c r="T1658" s="6">
        <f t="shared" ca="1" si="458"/>
        <v>9</v>
      </c>
      <c r="U1658" s="68">
        <f ca="1">IFERROR(__xludf.DUMMYFUNCTION("""COMPUTED_VALUE"""),45565.6458333333)</f>
        <v>45565.645833333299</v>
      </c>
      <c r="V1658" s="6">
        <f ca="1">IFERROR(__xludf.DUMMYFUNCTION("""COMPUTED_VALUE"""),2593.27)</f>
        <v>2593.27</v>
      </c>
      <c r="Z1658" s="6" t="str">
        <f t="shared" ca="1" si="459"/>
        <v>20229</v>
      </c>
      <c r="AA1658" s="6">
        <f t="shared" ca="1" si="460"/>
        <v>2022</v>
      </c>
      <c r="AB1658" s="6">
        <f t="shared" ca="1" si="461"/>
        <v>9</v>
      </c>
      <c r="AC1658" s="68">
        <f ca="1">IFERROR(__xludf.DUMMYFUNCTION("""COMPUTED_VALUE"""),44807.9986111111)</f>
        <v>44807.998611111099</v>
      </c>
      <c r="AD1658" s="6">
        <f ca="1">IFERROR(__xludf.DUMMYFUNCTION("""COMPUTED_VALUE"""),1360.91)</f>
        <v>1360.91</v>
      </c>
      <c r="AH1658" s="6" t="str">
        <f t="shared" ca="1" si="462"/>
        <v>20227</v>
      </c>
      <c r="AI1658" s="6">
        <f t="shared" ca="1" si="463"/>
        <v>2022</v>
      </c>
      <c r="AJ1658" s="6">
        <f t="shared" ca="1" si="464"/>
        <v>7</v>
      </c>
      <c r="AK1658" s="68">
        <f ca="1">IFERROR(__xludf.DUMMYFUNCTION("""COMPUTED_VALUE"""),44751.9986111111)</f>
        <v>44751.998611111099</v>
      </c>
      <c r="AL1658" s="6">
        <f ca="1">IFERROR(__xludf.DUMMYFUNCTION("""COMPUTED_VALUE"""),21581.61)</f>
        <v>21581.61</v>
      </c>
      <c r="AP1658" s="6" t="str">
        <f t="shared" ca="1" si="465"/>
        <v>20248</v>
      </c>
      <c r="AQ1658" s="6">
        <f t="shared" ca="1" si="466"/>
        <v>2024</v>
      </c>
      <c r="AR1658" s="6">
        <f t="shared" ca="1" si="467"/>
        <v>8</v>
      </c>
      <c r="AS1658" s="68">
        <f ca="1">IFERROR(__xludf.DUMMYFUNCTION("""COMPUTED_VALUE"""),45513.9986111111)</f>
        <v>45513.998611111099</v>
      </c>
      <c r="AT1658" s="6">
        <f ca="1">IFERROR(__xludf.DUMMYFUNCTION("""COMPUTED_VALUE"""),2473.4)</f>
        <v>2473.4</v>
      </c>
    </row>
    <row r="1659" spans="2:46" x14ac:dyDescent="0.35">
      <c r="B1659" s="6" t="str">
        <f t="shared" ca="1" si="450"/>
        <v>20248</v>
      </c>
      <c r="C1659" s="6">
        <f t="shared" ca="1" si="451"/>
        <v>2024</v>
      </c>
      <c r="D1659" s="6">
        <f t="shared" ca="1" si="452"/>
        <v>8</v>
      </c>
      <c r="E1659" s="68">
        <f ca="1">IFERROR(__xludf.DUMMYFUNCTION("""COMPUTED_VALUE"""),45509.6666666666)</f>
        <v>45509.666666666599</v>
      </c>
      <c r="F1659" s="6">
        <f ca="1">IFERROR(__xludf.DUMMYFUNCTION("""COMPUTED_VALUE"""),5186.33)</f>
        <v>5186.33</v>
      </c>
      <c r="J1659" s="6" t="str">
        <f t="shared" ca="1" si="453"/>
        <v>20247</v>
      </c>
      <c r="K1659" s="6">
        <f t="shared" ca="1" si="454"/>
        <v>2024</v>
      </c>
      <c r="L1659" s="6">
        <f t="shared" ca="1" si="455"/>
        <v>7</v>
      </c>
      <c r="M1659" s="68">
        <f ca="1">IFERROR(__xludf.DUMMYFUNCTION("""COMPUTED_VALUE"""),45499.6666666666)</f>
        <v>45499.666666666599</v>
      </c>
      <c r="N1659" s="6">
        <f ca="1">IFERROR(__xludf.DUMMYFUNCTION("""COMPUTED_VALUE"""),17357.88)</f>
        <v>17357.88</v>
      </c>
      <c r="R1659" s="6" t="str">
        <f t="shared" ca="1" si="456"/>
        <v>202410</v>
      </c>
      <c r="S1659" s="6">
        <f t="shared" ca="1" si="457"/>
        <v>2024</v>
      </c>
      <c r="T1659" s="6">
        <f t="shared" ca="1" si="458"/>
        <v>10</v>
      </c>
      <c r="U1659" s="68">
        <f ca="1">IFERROR(__xludf.DUMMYFUNCTION("""COMPUTED_VALUE"""),45567.6458333333)</f>
        <v>45567.645833333299</v>
      </c>
      <c r="V1659" s="6">
        <f ca="1">IFERROR(__xludf.DUMMYFUNCTION("""COMPUTED_VALUE"""),2561.69)</f>
        <v>2561.69</v>
      </c>
      <c r="Z1659" s="6" t="str">
        <f t="shared" ca="1" si="459"/>
        <v>20229</v>
      </c>
      <c r="AA1659" s="6">
        <f t="shared" ca="1" si="460"/>
        <v>2022</v>
      </c>
      <c r="AB1659" s="6">
        <f t="shared" ca="1" si="461"/>
        <v>9</v>
      </c>
      <c r="AC1659" s="68">
        <f ca="1">IFERROR(__xludf.DUMMYFUNCTION("""COMPUTED_VALUE"""),44808.9986111111)</f>
        <v>44808.998611111099</v>
      </c>
      <c r="AD1659" s="6">
        <f ca="1">IFERROR(__xludf.DUMMYFUNCTION("""COMPUTED_VALUE"""),1361.51)</f>
        <v>1361.51</v>
      </c>
      <c r="AH1659" s="6" t="str">
        <f t="shared" ca="1" si="462"/>
        <v>20227</v>
      </c>
      <c r="AI1659" s="6">
        <f t="shared" ca="1" si="463"/>
        <v>2022</v>
      </c>
      <c r="AJ1659" s="6">
        <f t="shared" ca="1" si="464"/>
        <v>7</v>
      </c>
      <c r="AK1659" s="68">
        <f ca="1">IFERROR(__xludf.DUMMYFUNCTION("""COMPUTED_VALUE"""),44752.9986111111)</f>
        <v>44752.998611111099</v>
      </c>
      <c r="AL1659" s="6">
        <f ca="1">IFERROR(__xludf.DUMMYFUNCTION("""COMPUTED_VALUE"""),20843.7)</f>
        <v>20843.7</v>
      </c>
      <c r="AP1659" s="6" t="str">
        <f t="shared" ca="1" si="465"/>
        <v>20248</v>
      </c>
      <c r="AQ1659" s="6">
        <f t="shared" ca="1" si="466"/>
        <v>2024</v>
      </c>
      <c r="AR1659" s="6">
        <f t="shared" ca="1" si="467"/>
        <v>8</v>
      </c>
      <c r="AS1659" s="68">
        <f ca="1">IFERROR(__xludf.DUMMYFUNCTION("""COMPUTED_VALUE"""),45516.9986111111)</f>
        <v>45516.998611111099</v>
      </c>
      <c r="AT1659" s="6">
        <f ca="1">IFERROR(__xludf.DUMMYFUNCTION("""COMPUTED_VALUE"""),2504)</f>
        <v>2504</v>
      </c>
    </row>
    <row r="1660" spans="2:46" x14ac:dyDescent="0.35">
      <c r="B1660" s="6" t="str">
        <f t="shared" ca="1" si="450"/>
        <v>20248</v>
      </c>
      <c r="C1660" s="6">
        <f t="shared" ca="1" si="451"/>
        <v>2024</v>
      </c>
      <c r="D1660" s="6">
        <f t="shared" ca="1" si="452"/>
        <v>8</v>
      </c>
      <c r="E1660" s="68">
        <f ca="1">IFERROR(__xludf.DUMMYFUNCTION("""COMPUTED_VALUE"""),45510.6666666666)</f>
        <v>45510.666666666599</v>
      </c>
      <c r="F1660" s="6">
        <f ca="1">IFERROR(__xludf.DUMMYFUNCTION("""COMPUTED_VALUE"""),5240.03)</f>
        <v>5240.03</v>
      </c>
      <c r="J1660" s="6" t="str">
        <f t="shared" ca="1" si="453"/>
        <v>20247</v>
      </c>
      <c r="K1660" s="6">
        <f t="shared" ca="1" si="454"/>
        <v>2024</v>
      </c>
      <c r="L1660" s="6">
        <f t="shared" ca="1" si="455"/>
        <v>7</v>
      </c>
      <c r="M1660" s="68">
        <f ca="1">IFERROR(__xludf.DUMMYFUNCTION("""COMPUTED_VALUE"""),45502.6666666666)</f>
        <v>45502.666666666599</v>
      </c>
      <c r="N1660" s="6">
        <f ca="1">IFERROR(__xludf.DUMMYFUNCTION("""COMPUTED_VALUE"""),17370.2)</f>
        <v>17370.2</v>
      </c>
      <c r="R1660" s="6" t="str">
        <f t="shared" ca="1" si="456"/>
        <v>202410</v>
      </c>
      <c r="S1660" s="6">
        <f t="shared" ca="1" si="457"/>
        <v>2024</v>
      </c>
      <c r="T1660" s="6">
        <f t="shared" ca="1" si="458"/>
        <v>10</v>
      </c>
      <c r="U1660" s="68">
        <f ca="1">IFERROR(__xludf.DUMMYFUNCTION("""COMPUTED_VALUE"""),45569.6458333333)</f>
        <v>45569.645833333299</v>
      </c>
      <c r="V1660" s="6">
        <f ca="1">IFERROR(__xludf.DUMMYFUNCTION("""COMPUTED_VALUE"""),2569.71)</f>
        <v>2569.71</v>
      </c>
      <c r="Z1660" s="6" t="str">
        <f t="shared" ca="1" si="459"/>
        <v>20229</v>
      </c>
      <c r="AA1660" s="6">
        <f t="shared" ca="1" si="460"/>
        <v>2022</v>
      </c>
      <c r="AB1660" s="6">
        <f t="shared" ca="1" si="461"/>
        <v>9</v>
      </c>
      <c r="AC1660" s="68">
        <f ca="1">IFERROR(__xludf.DUMMYFUNCTION("""COMPUTED_VALUE"""),44809.9986111111)</f>
        <v>44809.998611111099</v>
      </c>
      <c r="AD1660" s="6">
        <f ca="1">IFERROR(__xludf.DUMMYFUNCTION("""COMPUTED_VALUE"""),1361.81)</f>
        <v>1361.81</v>
      </c>
      <c r="AH1660" s="6" t="str">
        <f t="shared" ca="1" si="462"/>
        <v>20227</v>
      </c>
      <c r="AI1660" s="6">
        <f t="shared" ca="1" si="463"/>
        <v>2022</v>
      </c>
      <c r="AJ1660" s="6">
        <f t="shared" ca="1" si="464"/>
        <v>7</v>
      </c>
      <c r="AK1660" s="68">
        <f ca="1">IFERROR(__xludf.DUMMYFUNCTION("""COMPUTED_VALUE"""),44753.9986111111)</f>
        <v>44753.998611111099</v>
      </c>
      <c r="AL1660" s="6">
        <f ca="1">IFERROR(__xludf.DUMMYFUNCTION("""COMPUTED_VALUE"""),19947.45)</f>
        <v>19947.45</v>
      </c>
      <c r="AP1660" s="6" t="str">
        <f t="shared" ca="1" si="465"/>
        <v>20248</v>
      </c>
      <c r="AQ1660" s="6">
        <f t="shared" ca="1" si="466"/>
        <v>2024</v>
      </c>
      <c r="AR1660" s="6">
        <f t="shared" ca="1" si="467"/>
        <v>8</v>
      </c>
      <c r="AS1660" s="68">
        <f ca="1">IFERROR(__xludf.DUMMYFUNCTION("""COMPUTED_VALUE"""),45517.9986111111)</f>
        <v>45517.998611111099</v>
      </c>
      <c r="AT1660" s="6">
        <f ca="1">IFERROR(__xludf.DUMMYFUNCTION("""COMPUTED_VALUE"""),2507.8)</f>
        <v>2507.8000000000002</v>
      </c>
    </row>
    <row r="1661" spans="2:46" x14ac:dyDescent="0.35">
      <c r="B1661" s="6" t="str">
        <f t="shared" ca="1" si="450"/>
        <v>20248</v>
      </c>
      <c r="C1661" s="6">
        <f t="shared" ca="1" si="451"/>
        <v>2024</v>
      </c>
      <c r="D1661" s="6">
        <f t="shared" ca="1" si="452"/>
        <v>8</v>
      </c>
      <c r="E1661" s="68">
        <f ca="1">IFERROR(__xludf.DUMMYFUNCTION("""COMPUTED_VALUE"""),45511.6666666666)</f>
        <v>45511.666666666599</v>
      </c>
      <c r="F1661" s="6">
        <f ca="1">IFERROR(__xludf.DUMMYFUNCTION("""COMPUTED_VALUE"""),5199.5)</f>
        <v>5199.5</v>
      </c>
      <c r="J1661" s="6" t="str">
        <f t="shared" ca="1" si="453"/>
        <v>20247</v>
      </c>
      <c r="K1661" s="6">
        <f t="shared" ca="1" si="454"/>
        <v>2024</v>
      </c>
      <c r="L1661" s="6">
        <f t="shared" ca="1" si="455"/>
        <v>7</v>
      </c>
      <c r="M1661" s="68">
        <f ca="1">IFERROR(__xludf.DUMMYFUNCTION("""COMPUTED_VALUE"""),45503.6666666666)</f>
        <v>45503.666666666599</v>
      </c>
      <c r="N1661" s="6">
        <f ca="1">IFERROR(__xludf.DUMMYFUNCTION("""COMPUTED_VALUE"""),17147.42)</f>
        <v>17147.419999999998</v>
      </c>
      <c r="R1661" s="6" t="str">
        <f t="shared" ca="1" si="456"/>
        <v>202410</v>
      </c>
      <c r="S1661" s="6">
        <f t="shared" ca="1" si="457"/>
        <v>2024</v>
      </c>
      <c r="T1661" s="6">
        <f t="shared" ca="1" si="458"/>
        <v>10</v>
      </c>
      <c r="U1661" s="68">
        <f ca="1">IFERROR(__xludf.DUMMYFUNCTION("""COMPUTED_VALUE"""),45572.6458333333)</f>
        <v>45572.645833333299</v>
      </c>
      <c r="V1661" s="6">
        <f ca="1">IFERROR(__xludf.DUMMYFUNCTION("""COMPUTED_VALUE"""),2610.38)</f>
        <v>2610.38</v>
      </c>
      <c r="Z1661" s="6" t="str">
        <f t="shared" ca="1" si="459"/>
        <v>20229</v>
      </c>
      <c r="AA1661" s="6">
        <f t="shared" ca="1" si="460"/>
        <v>2022</v>
      </c>
      <c r="AB1661" s="6">
        <f t="shared" ca="1" si="461"/>
        <v>9</v>
      </c>
      <c r="AC1661" s="68">
        <f ca="1">IFERROR(__xludf.DUMMYFUNCTION("""COMPUTED_VALUE"""),44810.9986111111)</f>
        <v>44810.998611111099</v>
      </c>
      <c r="AD1661" s="6">
        <f ca="1">IFERROR(__xludf.DUMMYFUNCTION("""COMPUTED_VALUE"""),1378.11)</f>
        <v>1378.11</v>
      </c>
      <c r="AH1661" s="6" t="str">
        <f t="shared" ca="1" si="462"/>
        <v>20227</v>
      </c>
      <c r="AI1661" s="6">
        <f t="shared" ca="1" si="463"/>
        <v>2022</v>
      </c>
      <c r="AJ1661" s="6">
        <f t="shared" ca="1" si="464"/>
        <v>7</v>
      </c>
      <c r="AK1661" s="68">
        <f ca="1">IFERROR(__xludf.DUMMYFUNCTION("""COMPUTED_VALUE"""),44754.9986111111)</f>
        <v>44754.998611111099</v>
      </c>
      <c r="AL1661" s="6">
        <f ca="1">IFERROR(__xludf.DUMMYFUNCTION("""COMPUTED_VALUE"""),19316.26)</f>
        <v>19316.259999999998</v>
      </c>
      <c r="AP1661" s="6" t="str">
        <f t="shared" ca="1" si="465"/>
        <v>20248</v>
      </c>
      <c r="AQ1661" s="6">
        <f t="shared" ca="1" si="466"/>
        <v>2024</v>
      </c>
      <c r="AR1661" s="6">
        <f t="shared" ca="1" si="467"/>
        <v>8</v>
      </c>
      <c r="AS1661" s="68">
        <f ca="1">IFERROR(__xludf.DUMMYFUNCTION("""COMPUTED_VALUE"""),45518.9986111111)</f>
        <v>45518.998611111099</v>
      </c>
      <c r="AT1661" s="6">
        <f ca="1">IFERROR(__xludf.DUMMYFUNCTION("""COMPUTED_VALUE"""),2479.7)</f>
        <v>2479.6999999999998</v>
      </c>
    </row>
    <row r="1662" spans="2:46" x14ac:dyDescent="0.35">
      <c r="B1662" s="6" t="str">
        <f t="shared" ca="1" si="450"/>
        <v>20248</v>
      </c>
      <c r="C1662" s="6">
        <f t="shared" ca="1" si="451"/>
        <v>2024</v>
      </c>
      <c r="D1662" s="6">
        <f t="shared" ca="1" si="452"/>
        <v>8</v>
      </c>
      <c r="E1662" s="68">
        <f ca="1">IFERROR(__xludf.DUMMYFUNCTION("""COMPUTED_VALUE"""),45512.6666666666)</f>
        <v>45512.666666666599</v>
      </c>
      <c r="F1662" s="6">
        <f ca="1">IFERROR(__xludf.DUMMYFUNCTION("""COMPUTED_VALUE"""),5319.31)</f>
        <v>5319.31</v>
      </c>
      <c r="J1662" s="6" t="str">
        <f t="shared" ca="1" si="453"/>
        <v>20247</v>
      </c>
      <c r="K1662" s="6">
        <f t="shared" ca="1" si="454"/>
        <v>2024</v>
      </c>
      <c r="L1662" s="6">
        <f t="shared" ca="1" si="455"/>
        <v>7</v>
      </c>
      <c r="M1662" s="68">
        <f ca="1">IFERROR(__xludf.DUMMYFUNCTION("""COMPUTED_VALUE"""),45504.6666666666)</f>
        <v>45504.666666666599</v>
      </c>
      <c r="N1662" s="6">
        <f ca="1">IFERROR(__xludf.DUMMYFUNCTION("""COMPUTED_VALUE"""),17599.4)</f>
        <v>17599.400000000001</v>
      </c>
      <c r="R1662" s="6" t="str">
        <f t="shared" ca="1" si="456"/>
        <v>202410</v>
      </c>
      <c r="S1662" s="6">
        <f t="shared" ca="1" si="457"/>
        <v>2024</v>
      </c>
      <c r="T1662" s="6">
        <f t="shared" ca="1" si="458"/>
        <v>10</v>
      </c>
      <c r="U1662" s="68">
        <f ca="1">IFERROR(__xludf.DUMMYFUNCTION("""COMPUTED_VALUE"""),45573.6458333333)</f>
        <v>45573.645833333299</v>
      </c>
      <c r="V1662" s="6">
        <f ca="1">IFERROR(__xludf.DUMMYFUNCTION("""COMPUTED_VALUE"""),2594.36)</f>
        <v>2594.36</v>
      </c>
      <c r="Z1662" s="6" t="str">
        <f t="shared" ca="1" si="459"/>
        <v>20229</v>
      </c>
      <c r="AA1662" s="6">
        <f t="shared" ca="1" si="460"/>
        <v>2022</v>
      </c>
      <c r="AB1662" s="6">
        <f t="shared" ca="1" si="461"/>
        <v>9</v>
      </c>
      <c r="AC1662" s="68">
        <f ca="1">IFERROR(__xludf.DUMMYFUNCTION("""COMPUTED_VALUE"""),44811.9986111111)</f>
        <v>44811.998611111099</v>
      </c>
      <c r="AD1662" s="6">
        <f ca="1">IFERROR(__xludf.DUMMYFUNCTION("""COMPUTED_VALUE"""),1374.31)</f>
        <v>1374.31</v>
      </c>
      <c r="AH1662" s="6" t="str">
        <f t="shared" ca="1" si="462"/>
        <v>20227</v>
      </c>
      <c r="AI1662" s="6">
        <f t="shared" ca="1" si="463"/>
        <v>2022</v>
      </c>
      <c r="AJ1662" s="6">
        <f t="shared" ca="1" si="464"/>
        <v>7</v>
      </c>
      <c r="AK1662" s="68">
        <f ca="1">IFERROR(__xludf.DUMMYFUNCTION("""COMPUTED_VALUE"""),44755.9986111111)</f>
        <v>44755.998611111099</v>
      </c>
      <c r="AL1662" s="6">
        <f ca="1">IFERROR(__xludf.DUMMYFUNCTION("""COMPUTED_VALUE"""),20240.1)</f>
        <v>20240.099999999999</v>
      </c>
      <c r="AP1662" s="6" t="str">
        <f t="shared" ca="1" si="465"/>
        <v>20248</v>
      </c>
      <c r="AQ1662" s="6">
        <f t="shared" ca="1" si="466"/>
        <v>2024</v>
      </c>
      <c r="AR1662" s="6">
        <f t="shared" ca="1" si="467"/>
        <v>8</v>
      </c>
      <c r="AS1662" s="68">
        <f ca="1">IFERROR(__xludf.DUMMYFUNCTION("""COMPUTED_VALUE"""),45519.9986111111)</f>
        <v>45519.998611111099</v>
      </c>
      <c r="AT1662" s="6">
        <f ca="1">IFERROR(__xludf.DUMMYFUNCTION("""COMPUTED_VALUE"""),2492.4)</f>
        <v>2492.4</v>
      </c>
    </row>
    <row r="1663" spans="2:46" x14ac:dyDescent="0.35">
      <c r="B1663" s="6" t="str">
        <f t="shared" ca="1" si="450"/>
        <v>20248</v>
      </c>
      <c r="C1663" s="6">
        <f t="shared" ca="1" si="451"/>
        <v>2024</v>
      </c>
      <c r="D1663" s="6">
        <f t="shared" ca="1" si="452"/>
        <v>8</v>
      </c>
      <c r="E1663" s="68">
        <f ca="1">IFERROR(__xludf.DUMMYFUNCTION("""COMPUTED_VALUE"""),45513.6666666666)</f>
        <v>45513.666666666599</v>
      </c>
      <c r="F1663" s="6">
        <f ca="1">IFERROR(__xludf.DUMMYFUNCTION("""COMPUTED_VALUE"""),5344.16)</f>
        <v>5344.16</v>
      </c>
      <c r="J1663" s="6" t="str">
        <f t="shared" ca="1" si="453"/>
        <v>20248</v>
      </c>
      <c r="K1663" s="6">
        <f t="shared" ca="1" si="454"/>
        <v>2024</v>
      </c>
      <c r="L1663" s="6">
        <f t="shared" ca="1" si="455"/>
        <v>8</v>
      </c>
      <c r="M1663" s="68">
        <f ca="1">IFERROR(__xludf.DUMMYFUNCTION("""COMPUTED_VALUE"""),45505.6666666666)</f>
        <v>45505.666666666599</v>
      </c>
      <c r="N1663" s="6">
        <f ca="1">IFERROR(__xludf.DUMMYFUNCTION("""COMPUTED_VALUE"""),17194.15)</f>
        <v>17194.150000000001</v>
      </c>
      <c r="R1663" s="6" t="str">
        <f t="shared" ca="1" si="456"/>
        <v>202410</v>
      </c>
      <c r="S1663" s="6">
        <f t="shared" ca="1" si="457"/>
        <v>2024</v>
      </c>
      <c r="T1663" s="6">
        <f t="shared" ca="1" si="458"/>
        <v>10</v>
      </c>
      <c r="U1663" s="68">
        <f ca="1">IFERROR(__xludf.DUMMYFUNCTION("""COMPUTED_VALUE"""),45575.6458333333)</f>
        <v>45575.645833333299</v>
      </c>
      <c r="V1663" s="6">
        <f ca="1">IFERROR(__xludf.DUMMYFUNCTION("""COMPUTED_VALUE"""),2599.16)</f>
        <v>2599.16</v>
      </c>
      <c r="Z1663" s="6" t="str">
        <f t="shared" ca="1" si="459"/>
        <v>20229</v>
      </c>
      <c r="AA1663" s="6">
        <f t="shared" ca="1" si="460"/>
        <v>2022</v>
      </c>
      <c r="AB1663" s="6">
        <f t="shared" ca="1" si="461"/>
        <v>9</v>
      </c>
      <c r="AC1663" s="68">
        <f ca="1">IFERROR(__xludf.DUMMYFUNCTION("""COMPUTED_VALUE"""),44812.9986111111)</f>
        <v>44812.998611111099</v>
      </c>
      <c r="AD1663" s="6">
        <f ca="1">IFERROR(__xludf.DUMMYFUNCTION("""COMPUTED_VALUE"""),1383)</f>
        <v>1383</v>
      </c>
      <c r="AH1663" s="6" t="str">
        <f t="shared" ca="1" si="462"/>
        <v>20227</v>
      </c>
      <c r="AI1663" s="6">
        <f t="shared" ca="1" si="463"/>
        <v>2022</v>
      </c>
      <c r="AJ1663" s="6">
        <f t="shared" ca="1" si="464"/>
        <v>7</v>
      </c>
      <c r="AK1663" s="68">
        <f ca="1">IFERROR(__xludf.DUMMYFUNCTION("""COMPUTED_VALUE"""),44756.9986111111)</f>
        <v>44756.998611111099</v>
      </c>
      <c r="AL1663" s="6">
        <f ca="1">IFERROR(__xludf.DUMMYFUNCTION("""COMPUTED_VALUE"""),20577.69)</f>
        <v>20577.689999999999</v>
      </c>
      <c r="AP1663" s="6" t="str">
        <f t="shared" ca="1" si="465"/>
        <v>20248</v>
      </c>
      <c r="AQ1663" s="6">
        <f t="shared" ca="1" si="466"/>
        <v>2024</v>
      </c>
      <c r="AR1663" s="6">
        <f t="shared" ca="1" si="467"/>
        <v>8</v>
      </c>
      <c r="AS1663" s="68">
        <f ca="1">IFERROR(__xludf.DUMMYFUNCTION("""COMPUTED_VALUE"""),45520.9986111111)</f>
        <v>45520.998611111099</v>
      </c>
      <c r="AT1663" s="6">
        <f ca="1">IFERROR(__xludf.DUMMYFUNCTION("""COMPUTED_VALUE"""),2537.8)</f>
        <v>2537.8000000000002</v>
      </c>
    </row>
    <row r="1664" spans="2:46" x14ac:dyDescent="0.35">
      <c r="B1664" s="6" t="str">
        <f t="shared" ca="1" si="450"/>
        <v>20248</v>
      </c>
      <c r="C1664" s="6">
        <f t="shared" ca="1" si="451"/>
        <v>2024</v>
      </c>
      <c r="D1664" s="6">
        <f t="shared" ca="1" si="452"/>
        <v>8</v>
      </c>
      <c r="E1664" s="68">
        <f ca="1">IFERROR(__xludf.DUMMYFUNCTION("""COMPUTED_VALUE"""),45516.6666666666)</f>
        <v>45516.666666666599</v>
      </c>
      <c r="F1664" s="6">
        <f ca="1">IFERROR(__xludf.DUMMYFUNCTION("""COMPUTED_VALUE"""),5344.39)</f>
        <v>5344.39</v>
      </c>
      <c r="J1664" s="6" t="str">
        <f t="shared" ca="1" si="453"/>
        <v>20248</v>
      </c>
      <c r="K1664" s="6">
        <f t="shared" ca="1" si="454"/>
        <v>2024</v>
      </c>
      <c r="L1664" s="6">
        <f t="shared" ca="1" si="455"/>
        <v>8</v>
      </c>
      <c r="M1664" s="68">
        <f ca="1">IFERROR(__xludf.DUMMYFUNCTION("""COMPUTED_VALUE"""),45506.6666666666)</f>
        <v>45506.666666666599</v>
      </c>
      <c r="N1664" s="6">
        <f ca="1">IFERROR(__xludf.DUMMYFUNCTION("""COMPUTED_VALUE"""),16776.16)</f>
        <v>16776.16</v>
      </c>
      <c r="R1664" s="6" t="str">
        <f t="shared" ca="1" si="456"/>
        <v>202410</v>
      </c>
      <c r="S1664" s="6">
        <f t="shared" ca="1" si="457"/>
        <v>2024</v>
      </c>
      <c r="T1664" s="6">
        <f t="shared" ca="1" si="458"/>
        <v>10</v>
      </c>
      <c r="U1664" s="68">
        <f ca="1">IFERROR(__xludf.DUMMYFUNCTION("""COMPUTED_VALUE"""),45576.6458333333)</f>
        <v>45576.645833333299</v>
      </c>
      <c r="V1664" s="6">
        <f ca="1">IFERROR(__xludf.DUMMYFUNCTION("""COMPUTED_VALUE"""),2596.91)</f>
        <v>2596.91</v>
      </c>
      <c r="Z1664" s="6" t="str">
        <f t="shared" ca="1" si="459"/>
        <v>20229</v>
      </c>
      <c r="AA1664" s="6">
        <f t="shared" ca="1" si="460"/>
        <v>2022</v>
      </c>
      <c r="AB1664" s="6">
        <f t="shared" ca="1" si="461"/>
        <v>9</v>
      </c>
      <c r="AC1664" s="68">
        <f ca="1">IFERROR(__xludf.DUMMYFUNCTION("""COMPUTED_VALUE"""),44813.9986111111)</f>
        <v>44813.998611111099</v>
      </c>
      <c r="AD1664" s="6">
        <f ca="1">IFERROR(__xludf.DUMMYFUNCTION("""COMPUTED_VALUE"""),1379.06)</f>
        <v>1379.06</v>
      </c>
      <c r="AH1664" s="6" t="str">
        <f t="shared" ca="1" si="462"/>
        <v>20227</v>
      </c>
      <c r="AI1664" s="6">
        <f t="shared" ca="1" si="463"/>
        <v>2022</v>
      </c>
      <c r="AJ1664" s="6">
        <f t="shared" ca="1" si="464"/>
        <v>7</v>
      </c>
      <c r="AK1664" s="68">
        <f ca="1">IFERROR(__xludf.DUMMYFUNCTION("""COMPUTED_VALUE"""),44757.9986111111)</f>
        <v>44757.998611111099</v>
      </c>
      <c r="AL1664" s="6">
        <f ca="1">IFERROR(__xludf.DUMMYFUNCTION("""COMPUTED_VALUE"""),20825.41)</f>
        <v>20825.41</v>
      </c>
      <c r="AP1664" s="6" t="str">
        <f t="shared" ca="1" si="465"/>
        <v>20248</v>
      </c>
      <c r="AQ1664" s="6">
        <f t="shared" ca="1" si="466"/>
        <v>2024</v>
      </c>
      <c r="AR1664" s="6">
        <f t="shared" ca="1" si="467"/>
        <v>8</v>
      </c>
      <c r="AS1664" s="68">
        <f ca="1">IFERROR(__xludf.DUMMYFUNCTION("""COMPUTED_VALUE"""),45523.9986111111)</f>
        <v>45523.998611111099</v>
      </c>
      <c r="AT1664" s="6">
        <f ca="1">IFERROR(__xludf.DUMMYFUNCTION("""COMPUTED_VALUE"""),2541.3)</f>
        <v>2541.3000000000002</v>
      </c>
    </row>
    <row r="1665" spans="2:46" x14ac:dyDescent="0.35">
      <c r="B1665" s="6" t="str">
        <f t="shared" ca="1" si="450"/>
        <v>20248</v>
      </c>
      <c r="C1665" s="6">
        <f t="shared" ca="1" si="451"/>
        <v>2024</v>
      </c>
      <c r="D1665" s="6">
        <f t="shared" ca="1" si="452"/>
        <v>8</v>
      </c>
      <c r="E1665" s="68">
        <f ca="1">IFERROR(__xludf.DUMMYFUNCTION("""COMPUTED_VALUE"""),45517.6666666666)</f>
        <v>45517.666666666599</v>
      </c>
      <c r="F1665" s="6">
        <f ca="1">IFERROR(__xludf.DUMMYFUNCTION("""COMPUTED_VALUE"""),5434.43)</f>
        <v>5434.43</v>
      </c>
      <c r="J1665" s="6" t="str">
        <f t="shared" ca="1" si="453"/>
        <v>20248</v>
      </c>
      <c r="K1665" s="6">
        <f t="shared" ca="1" si="454"/>
        <v>2024</v>
      </c>
      <c r="L1665" s="6">
        <f t="shared" ca="1" si="455"/>
        <v>8</v>
      </c>
      <c r="M1665" s="68">
        <f ca="1">IFERROR(__xludf.DUMMYFUNCTION("""COMPUTED_VALUE"""),45509.6666666666)</f>
        <v>45509.666666666599</v>
      </c>
      <c r="N1665" s="6">
        <f ca="1">IFERROR(__xludf.DUMMYFUNCTION("""COMPUTED_VALUE"""),16200.08)</f>
        <v>16200.08</v>
      </c>
      <c r="R1665" s="6" t="str">
        <f t="shared" ca="1" si="456"/>
        <v>202410</v>
      </c>
      <c r="S1665" s="6">
        <f t="shared" ca="1" si="457"/>
        <v>2024</v>
      </c>
      <c r="T1665" s="6">
        <f t="shared" ca="1" si="458"/>
        <v>10</v>
      </c>
      <c r="U1665" s="68">
        <f ca="1">IFERROR(__xludf.DUMMYFUNCTION("""COMPUTED_VALUE"""),45579.6458333333)</f>
        <v>45579.645833333299</v>
      </c>
      <c r="V1665" s="6">
        <f ca="1">IFERROR(__xludf.DUMMYFUNCTION("""COMPUTED_VALUE"""),2623.29)</f>
        <v>2623.29</v>
      </c>
      <c r="Z1665" s="6" t="str">
        <f t="shared" ca="1" si="459"/>
        <v>20229</v>
      </c>
      <c r="AA1665" s="6">
        <f t="shared" ca="1" si="460"/>
        <v>2022</v>
      </c>
      <c r="AB1665" s="6">
        <f t="shared" ca="1" si="461"/>
        <v>9</v>
      </c>
      <c r="AC1665" s="68">
        <f ca="1">IFERROR(__xludf.DUMMYFUNCTION("""COMPUTED_VALUE"""),44814.9986111111)</f>
        <v>44814.998611111099</v>
      </c>
      <c r="AD1665" s="6">
        <f ca="1">IFERROR(__xludf.DUMMYFUNCTION("""COMPUTED_VALUE"""),1378.96)</f>
        <v>1378.96</v>
      </c>
      <c r="AH1665" s="6" t="str">
        <f t="shared" ca="1" si="462"/>
        <v>20227</v>
      </c>
      <c r="AI1665" s="6">
        <f t="shared" ca="1" si="463"/>
        <v>2022</v>
      </c>
      <c r="AJ1665" s="6">
        <f t="shared" ca="1" si="464"/>
        <v>7</v>
      </c>
      <c r="AK1665" s="68">
        <f ca="1">IFERROR(__xludf.DUMMYFUNCTION("""COMPUTED_VALUE"""),44758.9986111111)</f>
        <v>44758.998611111099</v>
      </c>
      <c r="AL1665" s="6">
        <f ca="1">IFERROR(__xludf.DUMMYFUNCTION("""COMPUTED_VALUE"""),21198.3)</f>
        <v>21198.3</v>
      </c>
      <c r="AP1665" s="6" t="str">
        <f t="shared" ca="1" si="465"/>
        <v>20248</v>
      </c>
      <c r="AQ1665" s="6">
        <f t="shared" ca="1" si="466"/>
        <v>2024</v>
      </c>
      <c r="AR1665" s="6">
        <f t="shared" ca="1" si="467"/>
        <v>8</v>
      </c>
      <c r="AS1665" s="68">
        <f ca="1">IFERROR(__xludf.DUMMYFUNCTION("""COMPUTED_VALUE"""),45524.9986111111)</f>
        <v>45524.998611111099</v>
      </c>
      <c r="AT1665" s="6">
        <f ca="1">IFERROR(__xludf.DUMMYFUNCTION("""COMPUTED_VALUE"""),2550.6)</f>
        <v>2550.6</v>
      </c>
    </row>
    <row r="1666" spans="2:46" x14ac:dyDescent="0.35">
      <c r="B1666" s="6" t="str">
        <f t="shared" ca="1" si="450"/>
        <v>20248</v>
      </c>
      <c r="C1666" s="6">
        <f t="shared" ca="1" si="451"/>
        <v>2024</v>
      </c>
      <c r="D1666" s="6">
        <f t="shared" ca="1" si="452"/>
        <v>8</v>
      </c>
      <c r="E1666" s="68">
        <f ca="1">IFERROR(__xludf.DUMMYFUNCTION("""COMPUTED_VALUE"""),45518.6666666666)</f>
        <v>45518.666666666599</v>
      </c>
      <c r="F1666" s="6">
        <f ca="1">IFERROR(__xludf.DUMMYFUNCTION("""COMPUTED_VALUE"""),5455.21)</f>
        <v>5455.21</v>
      </c>
      <c r="J1666" s="6" t="str">
        <f t="shared" ca="1" si="453"/>
        <v>20248</v>
      </c>
      <c r="K1666" s="6">
        <f t="shared" ca="1" si="454"/>
        <v>2024</v>
      </c>
      <c r="L1666" s="6">
        <f t="shared" ca="1" si="455"/>
        <v>8</v>
      </c>
      <c r="M1666" s="68">
        <f ca="1">IFERROR(__xludf.DUMMYFUNCTION("""COMPUTED_VALUE"""),45510.6666666666)</f>
        <v>45510.666666666599</v>
      </c>
      <c r="N1666" s="6">
        <f ca="1">IFERROR(__xludf.DUMMYFUNCTION("""COMPUTED_VALUE"""),16366.86)</f>
        <v>16366.86</v>
      </c>
      <c r="R1666" s="6" t="str">
        <f t="shared" ca="1" si="456"/>
        <v>202410</v>
      </c>
      <c r="S1666" s="6">
        <f t="shared" ca="1" si="457"/>
        <v>2024</v>
      </c>
      <c r="T1666" s="6">
        <f t="shared" ca="1" si="458"/>
        <v>10</v>
      </c>
      <c r="U1666" s="68">
        <f ca="1">IFERROR(__xludf.DUMMYFUNCTION("""COMPUTED_VALUE"""),45580.6458333333)</f>
        <v>45580.645833333299</v>
      </c>
      <c r="V1666" s="6">
        <f ca="1">IFERROR(__xludf.DUMMYFUNCTION("""COMPUTED_VALUE"""),2633.45)</f>
        <v>2633.45</v>
      </c>
      <c r="Z1666" s="6" t="str">
        <f t="shared" ca="1" si="459"/>
        <v>20229</v>
      </c>
      <c r="AA1666" s="6">
        <f t="shared" ca="1" si="460"/>
        <v>2022</v>
      </c>
      <c r="AB1666" s="6">
        <f t="shared" ca="1" si="461"/>
        <v>9</v>
      </c>
      <c r="AC1666" s="68">
        <f ca="1">IFERROR(__xludf.DUMMYFUNCTION("""COMPUTED_VALUE"""),44815.9986111111)</f>
        <v>44815.998611111099</v>
      </c>
      <c r="AD1666" s="6">
        <f ca="1">IFERROR(__xludf.DUMMYFUNCTION("""COMPUTED_VALUE"""),1379.06)</f>
        <v>1379.06</v>
      </c>
      <c r="AH1666" s="6" t="str">
        <f t="shared" ca="1" si="462"/>
        <v>20227</v>
      </c>
      <c r="AI1666" s="6">
        <f t="shared" ca="1" si="463"/>
        <v>2022</v>
      </c>
      <c r="AJ1666" s="6">
        <f t="shared" ca="1" si="464"/>
        <v>7</v>
      </c>
      <c r="AK1666" s="68">
        <f ca="1">IFERROR(__xludf.DUMMYFUNCTION("""COMPUTED_VALUE"""),44759.9986111111)</f>
        <v>44759.998611111099</v>
      </c>
      <c r="AL1666" s="6">
        <f ca="1">IFERROR(__xludf.DUMMYFUNCTION("""COMPUTED_VALUE"""),20788.07)</f>
        <v>20788.07</v>
      </c>
      <c r="AP1666" s="6" t="str">
        <f t="shared" ca="1" si="465"/>
        <v>20248</v>
      </c>
      <c r="AQ1666" s="6">
        <f t="shared" ca="1" si="466"/>
        <v>2024</v>
      </c>
      <c r="AR1666" s="6">
        <f t="shared" ca="1" si="467"/>
        <v>8</v>
      </c>
      <c r="AS1666" s="68">
        <f ca="1">IFERROR(__xludf.DUMMYFUNCTION("""COMPUTED_VALUE"""),45525.9986111111)</f>
        <v>45525.998611111099</v>
      </c>
      <c r="AT1666" s="6">
        <f ca="1">IFERROR(__xludf.DUMMYFUNCTION("""COMPUTED_VALUE"""),2547.5)</f>
        <v>2547.5</v>
      </c>
    </row>
    <row r="1667" spans="2:46" x14ac:dyDescent="0.35">
      <c r="B1667" s="6" t="str">
        <f t="shared" ca="1" si="450"/>
        <v>20248</v>
      </c>
      <c r="C1667" s="6">
        <f t="shared" ca="1" si="451"/>
        <v>2024</v>
      </c>
      <c r="D1667" s="6">
        <f t="shared" ca="1" si="452"/>
        <v>8</v>
      </c>
      <c r="E1667" s="68">
        <f ca="1">IFERROR(__xludf.DUMMYFUNCTION("""COMPUTED_VALUE"""),45519.6666666666)</f>
        <v>45519.666666666599</v>
      </c>
      <c r="F1667" s="6">
        <f ca="1">IFERROR(__xludf.DUMMYFUNCTION("""COMPUTED_VALUE"""),5543.22)</f>
        <v>5543.22</v>
      </c>
      <c r="J1667" s="6" t="str">
        <f t="shared" ca="1" si="453"/>
        <v>20248</v>
      </c>
      <c r="K1667" s="6">
        <f t="shared" ca="1" si="454"/>
        <v>2024</v>
      </c>
      <c r="L1667" s="6">
        <f t="shared" ca="1" si="455"/>
        <v>8</v>
      </c>
      <c r="M1667" s="68">
        <f ca="1">IFERROR(__xludf.DUMMYFUNCTION("""COMPUTED_VALUE"""),45511.6666666666)</f>
        <v>45511.666666666599</v>
      </c>
      <c r="N1667" s="6">
        <f ca="1">IFERROR(__xludf.DUMMYFUNCTION("""COMPUTED_VALUE"""),16195.81)</f>
        <v>16195.81</v>
      </c>
      <c r="R1667" s="6" t="str">
        <f t="shared" ca="1" si="456"/>
        <v>202410</v>
      </c>
      <c r="S1667" s="6">
        <f t="shared" ca="1" si="457"/>
        <v>2024</v>
      </c>
      <c r="T1667" s="6">
        <f t="shared" ca="1" si="458"/>
        <v>10</v>
      </c>
      <c r="U1667" s="68">
        <f ca="1">IFERROR(__xludf.DUMMYFUNCTION("""COMPUTED_VALUE"""),45581.6458333333)</f>
        <v>45581.645833333299</v>
      </c>
      <c r="V1667" s="6">
        <f ca="1">IFERROR(__xludf.DUMMYFUNCTION("""COMPUTED_VALUE"""),2610.36)</f>
        <v>2610.36</v>
      </c>
      <c r="Z1667" s="6" t="str">
        <f t="shared" ca="1" si="459"/>
        <v>20229</v>
      </c>
      <c r="AA1667" s="6">
        <f t="shared" ca="1" si="460"/>
        <v>2022</v>
      </c>
      <c r="AB1667" s="6">
        <f t="shared" ca="1" si="461"/>
        <v>9</v>
      </c>
      <c r="AC1667" s="68">
        <f ca="1">IFERROR(__xludf.DUMMYFUNCTION("""COMPUTED_VALUE"""),44816.9986111111)</f>
        <v>44816.998611111099</v>
      </c>
      <c r="AD1667" s="6">
        <f ca="1">IFERROR(__xludf.DUMMYFUNCTION("""COMPUTED_VALUE"""),1375.81)</f>
        <v>1375.81</v>
      </c>
      <c r="AH1667" s="6" t="str">
        <f t="shared" ca="1" si="462"/>
        <v>20227</v>
      </c>
      <c r="AI1667" s="6">
        <f t="shared" ca="1" si="463"/>
        <v>2022</v>
      </c>
      <c r="AJ1667" s="6">
        <f t="shared" ca="1" si="464"/>
        <v>7</v>
      </c>
      <c r="AK1667" s="68">
        <f ca="1">IFERROR(__xludf.DUMMYFUNCTION("""COMPUTED_VALUE"""),44760.9986111111)</f>
        <v>44760.998611111099</v>
      </c>
      <c r="AL1667" s="6">
        <f ca="1">IFERROR(__xludf.DUMMYFUNCTION("""COMPUTED_VALUE"""),22495.43)</f>
        <v>22495.43</v>
      </c>
      <c r="AP1667" s="6" t="str">
        <f t="shared" ca="1" si="465"/>
        <v>20248</v>
      </c>
      <c r="AQ1667" s="6">
        <f t="shared" ca="1" si="466"/>
        <v>2024</v>
      </c>
      <c r="AR1667" s="6">
        <f t="shared" ca="1" si="467"/>
        <v>8</v>
      </c>
      <c r="AS1667" s="68">
        <f ca="1">IFERROR(__xludf.DUMMYFUNCTION("""COMPUTED_VALUE"""),45526.9986111111)</f>
        <v>45526.998611111099</v>
      </c>
      <c r="AT1667" s="6">
        <f ca="1">IFERROR(__xludf.DUMMYFUNCTION("""COMPUTED_VALUE"""),2516.7)</f>
        <v>2516.6999999999998</v>
      </c>
    </row>
    <row r="1668" spans="2:46" x14ac:dyDescent="0.35">
      <c r="B1668" s="6" t="str">
        <f t="shared" ca="1" si="450"/>
        <v>20248</v>
      </c>
      <c r="C1668" s="6">
        <f t="shared" ca="1" si="451"/>
        <v>2024</v>
      </c>
      <c r="D1668" s="6">
        <f t="shared" ca="1" si="452"/>
        <v>8</v>
      </c>
      <c r="E1668" s="68">
        <f ca="1">IFERROR(__xludf.DUMMYFUNCTION("""COMPUTED_VALUE"""),45520.6666666666)</f>
        <v>45520.666666666599</v>
      </c>
      <c r="F1668" s="6">
        <f ca="1">IFERROR(__xludf.DUMMYFUNCTION("""COMPUTED_VALUE"""),5554.25)</f>
        <v>5554.25</v>
      </c>
      <c r="J1668" s="6" t="str">
        <f t="shared" ca="1" si="453"/>
        <v>20248</v>
      </c>
      <c r="K1668" s="6">
        <f t="shared" ca="1" si="454"/>
        <v>2024</v>
      </c>
      <c r="L1668" s="6">
        <f t="shared" ca="1" si="455"/>
        <v>8</v>
      </c>
      <c r="M1668" s="68">
        <f ca="1">IFERROR(__xludf.DUMMYFUNCTION("""COMPUTED_VALUE"""),45512.6666666666)</f>
        <v>45512.666666666599</v>
      </c>
      <c r="N1668" s="6">
        <f ca="1">IFERROR(__xludf.DUMMYFUNCTION("""COMPUTED_VALUE"""),16660.02)</f>
        <v>16660.02</v>
      </c>
      <c r="R1668" s="6" t="str">
        <f t="shared" ca="1" si="456"/>
        <v>202410</v>
      </c>
      <c r="S1668" s="6">
        <f t="shared" ca="1" si="457"/>
        <v>2024</v>
      </c>
      <c r="T1668" s="6">
        <f t="shared" ca="1" si="458"/>
        <v>10</v>
      </c>
      <c r="U1668" s="68">
        <f ca="1">IFERROR(__xludf.DUMMYFUNCTION("""COMPUTED_VALUE"""),45582.6458333333)</f>
        <v>45582.645833333299</v>
      </c>
      <c r="V1668" s="6">
        <f ca="1">IFERROR(__xludf.DUMMYFUNCTION("""COMPUTED_VALUE"""),2609.3)</f>
        <v>2609.3000000000002</v>
      </c>
      <c r="Z1668" s="6" t="str">
        <f t="shared" ca="1" si="459"/>
        <v>20229</v>
      </c>
      <c r="AA1668" s="6">
        <f t="shared" ca="1" si="460"/>
        <v>2022</v>
      </c>
      <c r="AB1668" s="6">
        <f t="shared" ca="1" si="461"/>
        <v>9</v>
      </c>
      <c r="AC1668" s="68">
        <f ca="1">IFERROR(__xludf.DUMMYFUNCTION("""COMPUTED_VALUE"""),44817.9986111111)</f>
        <v>44817.998611111099</v>
      </c>
      <c r="AD1668" s="6">
        <f ca="1">IFERROR(__xludf.DUMMYFUNCTION("""COMPUTED_VALUE"""),1393.47)</f>
        <v>1393.47</v>
      </c>
      <c r="AH1668" s="6" t="str">
        <f t="shared" ca="1" si="462"/>
        <v>20227</v>
      </c>
      <c r="AI1668" s="6">
        <f t="shared" ca="1" si="463"/>
        <v>2022</v>
      </c>
      <c r="AJ1668" s="6">
        <f t="shared" ca="1" si="464"/>
        <v>7</v>
      </c>
      <c r="AK1668" s="68">
        <f ca="1">IFERROR(__xludf.DUMMYFUNCTION("""COMPUTED_VALUE"""),44761.9986111111)</f>
        <v>44761.998611111099</v>
      </c>
      <c r="AL1668" s="6">
        <f ca="1">IFERROR(__xludf.DUMMYFUNCTION("""COMPUTED_VALUE"""),23405.52)</f>
        <v>23405.52</v>
      </c>
      <c r="AP1668" s="6" t="str">
        <f t="shared" ca="1" si="465"/>
        <v>20248</v>
      </c>
      <c r="AQ1668" s="6">
        <f t="shared" ca="1" si="466"/>
        <v>2024</v>
      </c>
      <c r="AR1668" s="6">
        <f t="shared" ca="1" si="467"/>
        <v>8</v>
      </c>
      <c r="AS1668" s="68">
        <f ca="1">IFERROR(__xludf.DUMMYFUNCTION("""COMPUTED_VALUE"""),45527.9986111111)</f>
        <v>45527.998611111099</v>
      </c>
      <c r="AT1668" s="6">
        <f ca="1">IFERROR(__xludf.DUMMYFUNCTION("""COMPUTED_VALUE"""),2546.3)</f>
        <v>2546.3000000000002</v>
      </c>
    </row>
    <row r="1669" spans="2:46" x14ac:dyDescent="0.35">
      <c r="B1669" s="6" t="str">
        <f t="shared" ca="1" si="450"/>
        <v>20248</v>
      </c>
      <c r="C1669" s="6">
        <f t="shared" ca="1" si="451"/>
        <v>2024</v>
      </c>
      <c r="D1669" s="6">
        <f t="shared" ca="1" si="452"/>
        <v>8</v>
      </c>
      <c r="E1669" s="68">
        <f ca="1">IFERROR(__xludf.DUMMYFUNCTION("""COMPUTED_VALUE"""),45523.6666666666)</f>
        <v>45523.666666666599</v>
      </c>
      <c r="F1669" s="6">
        <f ca="1">IFERROR(__xludf.DUMMYFUNCTION("""COMPUTED_VALUE"""),5608.25)</f>
        <v>5608.25</v>
      </c>
      <c r="J1669" s="6" t="str">
        <f t="shared" ca="1" si="453"/>
        <v>20248</v>
      </c>
      <c r="K1669" s="6">
        <f t="shared" ca="1" si="454"/>
        <v>2024</v>
      </c>
      <c r="L1669" s="6">
        <f t="shared" ca="1" si="455"/>
        <v>8</v>
      </c>
      <c r="M1669" s="68">
        <f ca="1">IFERROR(__xludf.DUMMYFUNCTION("""COMPUTED_VALUE"""),45513.6666666666)</f>
        <v>45513.666666666599</v>
      </c>
      <c r="N1669" s="6">
        <f ca="1">IFERROR(__xludf.DUMMYFUNCTION("""COMPUTED_VALUE"""),16745.3)</f>
        <v>16745.3</v>
      </c>
      <c r="R1669" s="6" t="str">
        <f t="shared" ca="1" si="456"/>
        <v>202410</v>
      </c>
      <c r="S1669" s="6">
        <f t="shared" ca="1" si="457"/>
        <v>2024</v>
      </c>
      <c r="T1669" s="6">
        <f t="shared" ca="1" si="458"/>
        <v>10</v>
      </c>
      <c r="U1669" s="68">
        <f ca="1">IFERROR(__xludf.DUMMYFUNCTION("""COMPUTED_VALUE"""),45583.6458333333)</f>
        <v>45583.645833333299</v>
      </c>
      <c r="V1669" s="6">
        <f ca="1">IFERROR(__xludf.DUMMYFUNCTION("""COMPUTED_VALUE"""),2593.82)</f>
        <v>2593.8200000000002</v>
      </c>
      <c r="Z1669" s="6" t="str">
        <f t="shared" ca="1" si="459"/>
        <v>20229</v>
      </c>
      <c r="AA1669" s="6">
        <f t="shared" ca="1" si="460"/>
        <v>2022</v>
      </c>
      <c r="AB1669" s="6">
        <f t="shared" ca="1" si="461"/>
        <v>9</v>
      </c>
      <c r="AC1669" s="68">
        <f ca="1">IFERROR(__xludf.DUMMYFUNCTION("""COMPUTED_VALUE"""),44818.9986111111)</f>
        <v>44818.998611111099</v>
      </c>
      <c r="AD1669" s="6">
        <f ca="1">IFERROR(__xludf.DUMMYFUNCTION("""COMPUTED_VALUE"""),1391.18)</f>
        <v>1391.18</v>
      </c>
      <c r="AH1669" s="6" t="str">
        <f t="shared" ca="1" si="462"/>
        <v>20227</v>
      </c>
      <c r="AI1669" s="6">
        <f t="shared" ca="1" si="463"/>
        <v>2022</v>
      </c>
      <c r="AJ1669" s="6">
        <f t="shared" ca="1" si="464"/>
        <v>7</v>
      </c>
      <c r="AK1669" s="68">
        <f ca="1">IFERROR(__xludf.DUMMYFUNCTION("""COMPUTED_VALUE"""),44762.9986111111)</f>
        <v>44762.998611111099</v>
      </c>
      <c r="AL1669" s="6">
        <f ca="1">IFERROR(__xludf.DUMMYFUNCTION("""COMPUTED_VALUE"""),23221.96)</f>
        <v>23221.96</v>
      </c>
      <c r="AP1669" s="6" t="str">
        <f t="shared" ca="1" si="465"/>
        <v>20248</v>
      </c>
      <c r="AQ1669" s="6">
        <f t="shared" ca="1" si="466"/>
        <v>2024</v>
      </c>
      <c r="AR1669" s="6">
        <f t="shared" ca="1" si="467"/>
        <v>8</v>
      </c>
      <c r="AS1669" s="68">
        <f ca="1">IFERROR(__xludf.DUMMYFUNCTION("""COMPUTED_VALUE"""),45530.9986111111)</f>
        <v>45530.998611111099</v>
      </c>
      <c r="AT1669" s="6">
        <f ca="1">IFERROR(__xludf.DUMMYFUNCTION("""COMPUTED_VALUE"""),2555.2)</f>
        <v>2555.1999999999998</v>
      </c>
    </row>
    <row r="1670" spans="2:46" x14ac:dyDescent="0.35">
      <c r="B1670" s="6" t="str">
        <f t="shared" ca="1" si="450"/>
        <v>20248</v>
      </c>
      <c r="C1670" s="6">
        <f t="shared" ca="1" si="451"/>
        <v>2024</v>
      </c>
      <c r="D1670" s="6">
        <f t="shared" ca="1" si="452"/>
        <v>8</v>
      </c>
      <c r="E1670" s="68">
        <f ca="1">IFERROR(__xludf.DUMMYFUNCTION("""COMPUTED_VALUE"""),45524.6666666666)</f>
        <v>45524.666666666599</v>
      </c>
      <c r="F1670" s="6">
        <f ca="1">IFERROR(__xludf.DUMMYFUNCTION("""COMPUTED_VALUE"""),5597.12)</f>
        <v>5597.12</v>
      </c>
      <c r="J1670" s="6" t="str">
        <f t="shared" ca="1" si="453"/>
        <v>20248</v>
      </c>
      <c r="K1670" s="6">
        <f t="shared" ca="1" si="454"/>
        <v>2024</v>
      </c>
      <c r="L1670" s="6">
        <f t="shared" ca="1" si="455"/>
        <v>8</v>
      </c>
      <c r="M1670" s="68">
        <f ca="1">IFERROR(__xludf.DUMMYFUNCTION("""COMPUTED_VALUE"""),45516.6666666666)</f>
        <v>45516.666666666599</v>
      </c>
      <c r="N1670" s="6">
        <f ca="1">IFERROR(__xludf.DUMMYFUNCTION("""COMPUTED_VALUE"""),16780.61)</f>
        <v>16780.61</v>
      </c>
      <c r="R1670" s="6" t="str">
        <f t="shared" ca="1" si="456"/>
        <v>202410</v>
      </c>
      <c r="S1670" s="6">
        <f t="shared" ca="1" si="457"/>
        <v>2024</v>
      </c>
      <c r="T1670" s="6">
        <f t="shared" ca="1" si="458"/>
        <v>10</v>
      </c>
      <c r="U1670" s="68">
        <f ca="1">IFERROR(__xludf.DUMMYFUNCTION("""COMPUTED_VALUE"""),45586.6458333333)</f>
        <v>45586.645833333299</v>
      </c>
      <c r="V1670" s="6">
        <f ca="1">IFERROR(__xludf.DUMMYFUNCTION("""COMPUTED_VALUE"""),2604.92)</f>
        <v>2604.92</v>
      </c>
      <c r="Z1670" s="6" t="str">
        <f t="shared" ca="1" si="459"/>
        <v>20229</v>
      </c>
      <c r="AA1670" s="6">
        <f t="shared" ca="1" si="460"/>
        <v>2022</v>
      </c>
      <c r="AB1670" s="6">
        <f t="shared" ca="1" si="461"/>
        <v>9</v>
      </c>
      <c r="AC1670" s="68">
        <f ca="1">IFERROR(__xludf.DUMMYFUNCTION("""COMPUTED_VALUE"""),44819.9986111111)</f>
        <v>44819.998611111099</v>
      </c>
      <c r="AD1670" s="6">
        <f ca="1">IFERROR(__xludf.DUMMYFUNCTION("""COMPUTED_VALUE"""),1398.63)</f>
        <v>1398.63</v>
      </c>
      <c r="AH1670" s="6" t="str">
        <f t="shared" ca="1" si="462"/>
        <v>20227</v>
      </c>
      <c r="AI1670" s="6">
        <f t="shared" ca="1" si="463"/>
        <v>2022</v>
      </c>
      <c r="AJ1670" s="6">
        <f t="shared" ca="1" si="464"/>
        <v>7</v>
      </c>
      <c r="AK1670" s="68">
        <f ca="1">IFERROR(__xludf.DUMMYFUNCTION("""COMPUTED_VALUE"""),44763.9986111111)</f>
        <v>44763.998611111099</v>
      </c>
      <c r="AL1670" s="6">
        <f ca="1">IFERROR(__xludf.DUMMYFUNCTION("""COMPUTED_VALUE"""),23145.74)</f>
        <v>23145.74</v>
      </c>
      <c r="AP1670" s="6" t="str">
        <f t="shared" ca="1" si="465"/>
        <v>20248</v>
      </c>
      <c r="AQ1670" s="6">
        <f t="shared" ca="1" si="466"/>
        <v>2024</v>
      </c>
      <c r="AR1670" s="6">
        <f t="shared" ca="1" si="467"/>
        <v>8</v>
      </c>
      <c r="AS1670" s="68">
        <f ca="1">IFERROR(__xludf.DUMMYFUNCTION("""COMPUTED_VALUE"""),45531.9986111111)</f>
        <v>45531.998611111099</v>
      </c>
      <c r="AT1670" s="6">
        <f ca="1">IFERROR(__xludf.DUMMYFUNCTION("""COMPUTED_VALUE"""),2552.9)</f>
        <v>2552.9</v>
      </c>
    </row>
    <row r="1671" spans="2:46" x14ac:dyDescent="0.35">
      <c r="B1671" s="6" t="str">
        <f t="shared" ref="B1671:B1734" ca="1" si="468">C1671&amp;D1671</f>
        <v>20248</v>
      </c>
      <c r="C1671" s="6">
        <f t="shared" ref="C1671:C1734" ca="1" si="469">YEAR(E1671)</f>
        <v>2024</v>
      </c>
      <c r="D1671" s="6">
        <f t="shared" ref="D1671:D1734" ca="1" si="470">MONTH(E1671)</f>
        <v>8</v>
      </c>
      <c r="E1671" s="68">
        <f ca="1">IFERROR(__xludf.DUMMYFUNCTION("""COMPUTED_VALUE"""),45525.6666666666)</f>
        <v>45525.666666666599</v>
      </c>
      <c r="F1671" s="6">
        <f ca="1">IFERROR(__xludf.DUMMYFUNCTION("""COMPUTED_VALUE"""),5620.85)</f>
        <v>5620.85</v>
      </c>
      <c r="J1671" s="6" t="str">
        <f t="shared" ref="J1671:J1734" ca="1" si="471">K1671&amp;L1671</f>
        <v>20248</v>
      </c>
      <c r="K1671" s="6">
        <f t="shared" ref="K1671:K1734" ca="1" si="472">YEAR(M1671)</f>
        <v>2024</v>
      </c>
      <c r="L1671" s="6">
        <f t="shared" ref="L1671:L1734" ca="1" si="473">MONTH(M1671)</f>
        <v>8</v>
      </c>
      <c r="M1671" s="68">
        <f ca="1">IFERROR(__xludf.DUMMYFUNCTION("""COMPUTED_VALUE"""),45517.6666666666)</f>
        <v>45517.666666666599</v>
      </c>
      <c r="N1671" s="6">
        <f ca="1">IFERROR(__xludf.DUMMYFUNCTION("""COMPUTED_VALUE"""),17187.61)</f>
        <v>17187.61</v>
      </c>
      <c r="R1671" s="6" t="str">
        <f t="shared" ref="R1671:R1734" ca="1" si="474">S1671&amp;T1671</f>
        <v>202410</v>
      </c>
      <c r="S1671" s="6">
        <f t="shared" ref="S1671:S1734" ca="1" si="475">YEAR(U1671)</f>
        <v>2024</v>
      </c>
      <c r="T1671" s="6">
        <f t="shared" ref="T1671:T1734" ca="1" si="476">MONTH(U1671)</f>
        <v>10</v>
      </c>
      <c r="U1671" s="68">
        <f ca="1">IFERROR(__xludf.DUMMYFUNCTION("""COMPUTED_VALUE"""),45587.6458333333)</f>
        <v>45587.645833333299</v>
      </c>
      <c r="V1671" s="6">
        <f ca="1">IFERROR(__xludf.DUMMYFUNCTION("""COMPUTED_VALUE"""),2570.7)</f>
        <v>2570.6999999999998</v>
      </c>
      <c r="Z1671" s="6" t="str">
        <f t="shared" ref="Z1671:Z1734" ca="1" si="477">AA1671&amp;AB1671</f>
        <v>20229</v>
      </c>
      <c r="AA1671" s="6">
        <f t="shared" ref="AA1671:AA1734" ca="1" si="478">YEAR(AC1671)</f>
        <v>2022</v>
      </c>
      <c r="AB1671" s="6">
        <f t="shared" ref="AB1671:AB1734" ca="1" si="479">MONTH(AC1671)</f>
        <v>9</v>
      </c>
      <c r="AC1671" s="68">
        <f ca="1">IFERROR(__xludf.DUMMYFUNCTION("""COMPUTED_VALUE"""),44820.9986111111)</f>
        <v>44820.998611111099</v>
      </c>
      <c r="AD1671" s="6">
        <f ca="1">IFERROR(__xludf.DUMMYFUNCTION("""COMPUTED_VALUE"""),1386.11)</f>
        <v>1386.11</v>
      </c>
      <c r="AH1671" s="6" t="str">
        <f t="shared" ref="AH1671:AH1734" ca="1" si="480">AI1671&amp;AJ1671</f>
        <v>20227</v>
      </c>
      <c r="AI1671" s="6">
        <f t="shared" ref="AI1671:AI1734" ca="1" si="481">YEAR(AK1671)</f>
        <v>2022</v>
      </c>
      <c r="AJ1671" s="6">
        <f t="shared" ref="AJ1671:AJ1734" ca="1" si="482">MONTH(AK1671)</f>
        <v>7</v>
      </c>
      <c r="AK1671" s="68">
        <f ca="1">IFERROR(__xludf.DUMMYFUNCTION("""COMPUTED_VALUE"""),44764.9986111111)</f>
        <v>44764.998611111099</v>
      </c>
      <c r="AL1671" s="6">
        <f ca="1">IFERROR(__xludf.DUMMYFUNCTION("""COMPUTED_VALUE"""),22680.97)</f>
        <v>22680.97</v>
      </c>
      <c r="AP1671" s="6" t="str">
        <f t="shared" ref="AP1671:AP1734" ca="1" si="483">AQ1671&amp;AR1671</f>
        <v>20248</v>
      </c>
      <c r="AQ1671" s="6">
        <f t="shared" ref="AQ1671:AQ1734" ca="1" si="484">YEAR(AS1671)</f>
        <v>2024</v>
      </c>
      <c r="AR1671" s="6">
        <f t="shared" ref="AR1671:AR1734" ca="1" si="485">MONTH(AS1671)</f>
        <v>8</v>
      </c>
      <c r="AS1671" s="68">
        <f ca="1">IFERROR(__xludf.DUMMYFUNCTION("""COMPUTED_VALUE"""),45532.9986111111)</f>
        <v>45532.998611111099</v>
      </c>
      <c r="AT1671" s="6">
        <f ca="1">IFERROR(__xludf.DUMMYFUNCTION("""COMPUTED_VALUE"""),2537.8)</f>
        <v>2537.8000000000002</v>
      </c>
    </row>
    <row r="1672" spans="2:46" x14ac:dyDescent="0.35">
      <c r="B1672" s="6" t="str">
        <f t="shared" ca="1" si="468"/>
        <v>20248</v>
      </c>
      <c r="C1672" s="6">
        <f t="shared" ca="1" si="469"/>
        <v>2024</v>
      </c>
      <c r="D1672" s="6">
        <f t="shared" ca="1" si="470"/>
        <v>8</v>
      </c>
      <c r="E1672" s="68">
        <f ca="1">IFERROR(__xludf.DUMMYFUNCTION("""COMPUTED_VALUE"""),45526.6666666666)</f>
        <v>45526.666666666599</v>
      </c>
      <c r="F1672" s="6">
        <f ca="1">IFERROR(__xludf.DUMMYFUNCTION("""COMPUTED_VALUE"""),5570.64)</f>
        <v>5570.64</v>
      </c>
      <c r="J1672" s="6" t="str">
        <f t="shared" ca="1" si="471"/>
        <v>20248</v>
      </c>
      <c r="K1672" s="6">
        <f t="shared" ca="1" si="472"/>
        <v>2024</v>
      </c>
      <c r="L1672" s="6">
        <f t="shared" ca="1" si="473"/>
        <v>8</v>
      </c>
      <c r="M1672" s="68">
        <f ca="1">IFERROR(__xludf.DUMMYFUNCTION("""COMPUTED_VALUE"""),45518.6666666666)</f>
        <v>45518.666666666599</v>
      </c>
      <c r="N1672" s="6">
        <f ca="1">IFERROR(__xludf.DUMMYFUNCTION("""COMPUTED_VALUE"""),17192.6)</f>
        <v>17192.599999999999</v>
      </c>
      <c r="R1672" s="6" t="str">
        <f t="shared" ca="1" si="474"/>
        <v>202410</v>
      </c>
      <c r="S1672" s="6">
        <f t="shared" ca="1" si="475"/>
        <v>2024</v>
      </c>
      <c r="T1672" s="6">
        <f t="shared" ca="1" si="476"/>
        <v>10</v>
      </c>
      <c r="U1672" s="68">
        <f ca="1">IFERROR(__xludf.DUMMYFUNCTION("""COMPUTED_VALUE"""),45588.6458333333)</f>
        <v>45588.645833333299</v>
      </c>
      <c r="V1672" s="6">
        <f ca="1">IFERROR(__xludf.DUMMYFUNCTION("""COMPUTED_VALUE"""),2599.62)</f>
        <v>2599.62</v>
      </c>
      <c r="Z1672" s="6" t="str">
        <f t="shared" ca="1" si="477"/>
        <v>20229</v>
      </c>
      <c r="AA1672" s="6">
        <f t="shared" ca="1" si="478"/>
        <v>2022</v>
      </c>
      <c r="AB1672" s="6">
        <f t="shared" ca="1" si="479"/>
        <v>9</v>
      </c>
      <c r="AC1672" s="68">
        <f ca="1">IFERROR(__xludf.DUMMYFUNCTION("""COMPUTED_VALUE"""),44821.9986111111)</f>
        <v>44821.998611111099</v>
      </c>
      <c r="AD1672" s="6">
        <f ca="1">IFERROR(__xludf.DUMMYFUNCTION("""COMPUTED_VALUE"""),1385.51)</f>
        <v>1385.51</v>
      </c>
      <c r="AH1672" s="6" t="str">
        <f t="shared" ca="1" si="480"/>
        <v>20227</v>
      </c>
      <c r="AI1672" s="6">
        <f t="shared" ca="1" si="481"/>
        <v>2022</v>
      </c>
      <c r="AJ1672" s="6">
        <f t="shared" ca="1" si="482"/>
        <v>7</v>
      </c>
      <c r="AK1672" s="68">
        <f ca="1">IFERROR(__xludf.DUMMYFUNCTION("""COMPUTED_VALUE"""),44765.9986111111)</f>
        <v>44765.998611111099</v>
      </c>
      <c r="AL1672" s="6">
        <f ca="1">IFERROR(__xludf.DUMMYFUNCTION("""COMPUTED_VALUE"""),22450.51)</f>
        <v>22450.51</v>
      </c>
      <c r="AP1672" s="6" t="str">
        <f t="shared" ca="1" si="483"/>
        <v>20248</v>
      </c>
      <c r="AQ1672" s="6">
        <f t="shared" ca="1" si="484"/>
        <v>2024</v>
      </c>
      <c r="AR1672" s="6">
        <f t="shared" ca="1" si="485"/>
        <v>8</v>
      </c>
      <c r="AS1672" s="68">
        <f ca="1">IFERROR(__xludf.DUMMYFUNCTION("""COMPUTED_VALUE"""),45533.9986111111)</f>
        <v>45533.998611111099</v>
      </c>
      <c r="AT1672" s="6">
        <f ca="1">IFERROR(__xludf.DUMMYFUNCTION("""COMPUTED_VALUE"""),2560.3)</f>
        <v>2560.3000000000002</v>
      </c>
    </row>
    <row r="1673" spans="2:46" x14ac:dyDescent="0.35">
      <c r="B1673" s="6" t="str">
        <f t="shared" ca="1" si="468"/>
        <v>20248</v>
      </c>
      <c r="C1673" s="6">
        <f t="shared" ca="1" si="469"/>
        <v>2024</v>
      </c>
      <c r="D1673" s="6">
        <f t="shared" ca="1" si="470"/>
        <v>8</v>
      </c>
      <c r="E1673" s="68">
        <f ca="1">IFERROR(__xludf.DUMMYFUNCTION("""COMPUTED_VALUE"""),45527.6666666666)</f>
        <v>45527.666666666599</v>
      </c>
      <c r="F1673" s="6">
        <f ca="1">IFERROR(__xludf.DUMMYFUNCTION("""COMPUTED_VALUE"""),5634.61)</f>
        <v>5634.61</v>
      </c>
      <c r="J1673" s="6" t="str">
        <f t="shared" ca="1" si="471"/>
        <v>20248</v>
      </c>
      <c r="K1673" s="6">
        <f t="shared" ca="1" si="472"/>
        <v>2024</v>
      </c>
      <c r="L1673" s="6">
        <f t="shared" ca="1" si="473"/>
        <v>8</v>
      </c>
      <c r="M1673" s="68">
        <f ca="1">IFERROR(__xludf.DUMMYFUNCTION("""COMPUTED_VALUE"""),45519.6666666666)</f>
        <v>45519.666666666599</v>
      </c>
      <c r="N1673" s="6">
        <f ca="1">IFERROR(__xludf.DUMMYFUNCTION("""COMPUTED_VALUE"""),17594.5)</f>
        <v>17594.5</v>
      </c>
      <c r="R1673" s="6" t="str">
        <f t="shared" ca="1" si="474"/>
        <v>202410</v>
      </c>
      <c r="S1673" s="6">
        <f t="shared" ca="1" si="475"/>
        <v>2024</v>
      </c>
      <c r="T1673" s="6">
        <f t="shared" ca="1" si="476"/>
        <v>10</v>
      </c>
      <c r="U1673" s="68">
        <f ca="1">IFERROR(__xludf.DUMMYFUNCTION("""COMPUTED_VALUE"""),45589.6458333333)</f>
        <v>45589.645833333299</v>
      </c>
      <c r="V1673" s="6">
        <f ca="1">IFERROR(__xludf.DUMMYFUNCTION("""COMPUTED_VALUE"""),2581.03)</f>
        <v>2581.0300000000002</v>
      </c>
      <c r="Z1673" s="6" t="str">
        <f t="shared" ca="1" si="477"/>
        <v>20229</v>
      </c>
      <c r="AA1673" s="6">
        <f t="shared" ca="1" si="478"/>
        <v>2022</v>
      </c>
      <c r="AB1673" s="6">
        <f t="shared" ca="1" si="479"/>
        <v>9</v>
      </c>
      <c r="AC1673" s="68">
        <f ca="1">IFERROR(__xludf.DUMMYFUNCTION("""COMPUTED_VALUE"""),44822.9986111111)</f>
        <v>44822.998611111099</v>
      </c>
      <c r="AD1673" s="6">
        <f ca="1">IFERROR(__xludf.DUMMYFUNCTION("""COMPUTED_VALUE"""),1385.23)</f>
        <v>1385.23</v>
      </c>
      <c r="AH1673" s="6" t="str">
        <f t="shared" ca="1" si="480"/>
        <v>20227</v>
      </c>
      <c r="AI1673" s="6">
        <f t="shared" ca="1" si="481"/>
        <v>2022</v>
      </c>
      <c r="AJ1673" s="6">
        <f t="shared" ca="1" si="482"/>
        <v>7</v>
      </c>
      <c r="AK1673" s="68">
        <f ca="1">IFERROR(__xludf.DUMMYFUNCTION("""COMPUTED_VALUE"""),44766.9986111111)</f>
        <v>44766.998611111099</v>
      </c>
      <c r="AL1673" s="6">
        <f ca="1">IFERROR(__xludf.DUMMYFUNCTION("""COMPUTED_VALUE"""),22582.44)</f>
        <v>22582.44</v>
      </c>
      <c r="AP1673" s="6" t="str">
        <f t="shared" ca="1" si="483"/>
        <v>20248</v>
      </c>
      <c r="AQ1673" s="6">
        <f t="shared" ca="1" si="484"/>
        <v>2024</v>
      </c>
      <c r="AR1673" s="6">
        <f t="shared" ca="1" si="485"/>
        <v>8</v>
      </c>
      <c r="AS1673" s="68">
        <f ca="1">IFERROR(__xludf.DUMMYFUNCTION("""COMPUTED_VALUE"""),45534.9986111111)</f>
        <v>45534.998611111099</v>
      </c>
      <c r="AT1673" s="6">
        <f ca="1">IFERROR(__xludf.DUMMYFUNCTION("""COMPUTED_VALUE"""),2527.6)</f>
        <v>2527.6</v>
      </c>
    </row>
    <row r="1674" spans="2:46" x14ac:dyDescent="0.35">
      <c r="B1674" s="6" t="str">
        <f t="shared" ca="1" si="468"/>
        <v>20248</v>
      </c>
      <c r="C1674" s="6">
        <f t="shared" ca="1" si="469"/>
        <v>2024</v>
      </c>
      <c r="D1674" s="6">
        <f t="shared" ca="1" si="470"/>
        <v>8</v>
      </c>
      <c r="E1674" s="68">
        <f ca="1">IFERROR(__xludf.DUMMYFUNCTION("""COMPUTED_VALUE"""),45530.6666666666)</f>
        <v>45530.666666666599</v>
      </c>
      <c r="F1674" s="6">
        <f ca="1">IFERROR(__xludf.DUMMYFUNCTION("""COMPUTED_VALUE"""),5616.84)</f>
        <v>5616.84</v>
      </c>
      <c r="J1674" s="6" t="str">
        <f t="shared" ca="1" si="471"/>
        <v>20248</v>
      </c>
      <c r="K1674" s="6">
        <f t="shared" ca="1" si="472"/>
        <v>2024</v>
      </c>
      <c r="L1674" s="6">
        <f t="shared" ca="1" si="473"/>
        <v>8</v>
      </c>
      <c r="M1674" s="68">
        <f ca="1">IFERROR(__xludf.DUMMYFUNCTION("""COMPUTED_VALUE"""),45520.6666666666)</f>
        <v>45520.666666666599</v>
      </c>
      <c r="N1674" s="6">
        <f ca="1">IFERROR(__xludf.DUMMYFUNCTION("""COMPUTED_VALUE"""),17631.72)</f>
        <v>17631.72</v>
      </c>
      <c r="R1674" s="6" t="str">
        <f t="shared" ca="1" si="474"/>
        <v>202410</v>
      </c>
      <c r="S1674" s="6">
        <f t="shared" ca="1" si="475"/>
        <v>2024</v>
      </c>
      <c r="T1674" s="6">
        <f t="shared" ca="1" si="476"/>
        <v>10</v>
      </c>
      <c r="U1674" s="68">
        <f ca="1">IFERROR(__xludf.DUMMYFUNCTION("""COMPUTED_VALUE"""),45590.6458333333)</f>
        <v>45590.645833333299</v>
      </c>
      <c r="V1674" s="6">
        <f ca="1">IFERROR(__xludf.DUMMYFUNCTION("""COMPUTED_VALUE"""),2583.27)</f>
        <v>2583.27</v>
      </c>
      <c r="Z1674" s="6" t="str">
        <f t="shared" ca="1" si="477"/>
        <v>20229</v>
      </c>
      <c r="AA1674" s="6">
        <f t="shared" ca="1" si="478"/>
        <v>2022</v>
      </c>
      <c r="AB1674" s="6">
        <f t="shared" ca="1" si="479"/>
        <v>9</v>
      </c>
      <c r="AC1674" s="68">
        <f ca="1">IFERROR(__xludf.DUMMYFUNCTION("""COMPUTED_VALUE"""),44823.9986111111)</f>
        <v>44823.998611111099</v>
      </c>
      <c r="AD1674" s="6">
        <f ca="1">IFERROR(__xludf.DUMMYFUNCTION("""COMPUTED_VALUE"""),1390.11)</f>
        <v>1390.11</v>
      </c>
      <c r="AH1674" s="6" t="str">
        <f t="shared" ca="1" si="480"/>
        <v>20227</v>
      </c>
      <c r="AI1674" s="6">
        <f t="shared" ca="1" si="481"/>
        <v>2022</v>
      </c>
      <c r="AJ1674" s="6">
        <f t="shared" ca="1" si="482"/>
        <v>7</v>
      </c>
      <c r="AK1674" s="68">
        <f ca="1">IFERROR(__xludf.DUMMYFUNCTION("""COMPUTED_VALUE"""),44767.9986111111)</f>
        <v>44767.998611111099</v>
      </c>
      <c r="AL1674" s="6">
        <f ca="1">IFERROR(__xludf.DUMMYFUNCTION("""COMPUTED_VALUE"""),21296.21)</f>
        <v>21296.21</v>
      </c>
      <c r="AP1674" s="6" t="str">
        <f t="shared" ca="1" si="483"/>
        <v>20249</v>
      </c>
      <c r="AQ1674" s="6">
        <f t="shared" ca="1" si="484"/>
        <v>2024</v>
      </c>
      <c r="AR1674" s="6">
        <f t="shared" ca="1" si="485"/>
        <v>9</v>
      </c>
      <c r="AS1674" s="68">
        <f ca="1">IFERROR(__xludf.DUMMYFUNCTION("""COMPUTED_VALUE"""),45538.9986111111)</f>
        <v>45538.998611111099</v>
      </c>
      <c r="AT1674" s="6">
        <f ca="1">IFERROR(__xludf.DUMMYFUNCTION("""COMPUTED_VALUE"""),2523)</f>
        <v>2523</v>
      </c>
    </row>
    <row r="1675" spans="2:46" x14ac:dyDescent="0.35">
      <c r="B1675" s="6" t="str">
        <f t="shared" ca="1" si="468"/>
        <v>20248</v>
      </c>
      <c r="C1675" s="6">
        <f t="shared" ca="1" si="469"/>
        <v>2024</v>
      </c>
      <c r="D1675" s="6">
        <f t="shared" ca="1" si="470"/>
        <v>8</v>
      </c>
      <c r="E1675" s="68">
        <f ca="1">IFERROR(__xludf.DUMMYFUNCTION("""COMPUTED_VALUE"""),45531.6666666666)</f>
        <v>45531.666666666599</v>
      </c>
      <c r="F1675" s="6">
        <f ca="1">IFERROR(__xludf.DUMMYFUNCTION("""COMPUTED_VALUE"""),5625.8)</f>
        <v>5625.8</v>
      </c>
      <c r="J1675" s="6" t="str">
        <f t="shared" ca="1" si="471"/>
        <v>20248</v>
      </c>
      <c r="K1675" s="6">
        <f t="shared" ca="1" si="472"/>
        <v>2024</v>
      </c>
      <c r="L1675" s="6">
        <f t="shared" ca="1" si="473"/>
        <v>8</v>
      </c>
      <c r="M1675" s="68">
        <f ca="1">IFERROR(__xludf.DUMMYFUNCTION("""COMPUTED_VALUE"""),45523.6666666666)</f>
        <v>45523.666666666599</v>
      </c>
      <c r="N1675" s="6">
        <f ca="1">IFERROR(__xludf.DUMMYFUNCTION("""COMPUTED_VALUE"""),17876.77)</f>
        <v>17876.77</v>
      </c>
      <c r="R1675" s="6" t="str">
        <f t="shared" ca="1" si="474"/>
        <v>202410</v>
      </c>
      <c r="S1675" s="6">
        <f t="shared" ca="1" si="475"/>
        <v>2024</v>
      </c>
      <c r="T1675" s="6">
        <f t="shared" ca="1" si="476"/>
        <v>10</v>
      </c>
      <c r="U1675" s="68">
        <f ca="1">IFERROR(__xludf.DUMMYFUNCTION("""COMPUTED_VALUE"""),45593.6458333333)</f>
        <v>45593.645833333299</v>
      </c>
      <c r="V1675" s="6">
        <f ca="1">IFERROR(__xludf.DUMMYFUNCTION("""COMPUTED_VALUE"""),2612.43)</f>
        <v>2612.4299999999998</v>
      </c>
      <c r="Z1675" s="6" t="str">
        <f t="shared" ca="1" si="477"/>
        <v>20229</v>
      </c>
      <c r="AA1675" s="6">
        <f t="shared" ca="1" si="478"/>
        <v>2022</v>
      </c>
      <c r="AB1675" s="6">
        <f t="shared" ca="1" si="479"/>
        <v>9</v>
      </c>
      <c r="AC1675" s="68">
        <f ca="1">IFERROR(__xludf.DUMMYFUNCTION("""COMPUTED_VALUE"""),44824.9986111111)</f>
        <v>44824.998611111099</v>
      </c>
      <c r="AD1675" s="6">
        <f ca="1">IFERROR(__xludf.DUMMYFUNCTION("""COMPUTED_VALUE"""),1392.51)</f>
        <v>1392.51</v>
      </c>
      <c r="AH1675" s="6" t="str">
        <f t="shared" ca="1" si="480"/>
        <v>20227</v>
      </c>
      <c r="AI1675" s="6">
        <f t="shared" ca="1" si="481"/>
        <v>2022</v>
      </c>
      <c r="AJ1675" s="6">
        <f t="shared" ca="1" si="482"/>
        <v>7</v>
      </c>
      <c r="AK1675" s="68">
        <f ca="1">IFERROR(__xludf.DUMMYFUNCTION("""COMPUTED_VALUE"""),44768.9986111111)</f>
        <v>44768.998611111099</v>
      </c>
      <c r="AL1675" s="6">
        <f ca="1">IFERROR(__xludf.DUMMYFUNCTION("""COMPUTED_VALUE"""),21265.27)</f>
        <v>21265.27</v>
      </c>
      <c r="AP1675" s="6" t="str">
        <f t="shared" ca="1" si="483"/>
        <v>20249</v>
      </c>
      <c r="AQ1675" s="6">
        <f t="shared" ca="1" si="484"/>
        <v>2024</v>
      </c>
      <c r="AR1675" s="6">
        <f t="shared" ca="1" si="485"/>
        <v>9</v>
      </c>
      <c r="AS1675" s="68">
        <f ca="1">IFERROR(__xludf.DUMMYFUNCTION("""COMPUTED_VALUE"""),45539.9986111111)</f>
        <v>45539.998611111099</v>
      </c>
      <c r="AT1675" s="6">
        <f ca="1">IFERROR(__xludf.DUMMYFUNCTION("""COMPUTED_VALUE"""),2526)</f>
        <v>2526</v>
      </c>
    </row>
    <row r="1676" spans="2:46" x14ac:dyDescent="0.35">
      <c r="B1676" s="6" t="str">
        <f t="shared" ca="1" si="468"/>
        <v>20248</v>
      </c>
      <c r="C1676" s="6">
        <f t="shared" ca="1" si="469"/>
        <v>2024</v>
      </c>
      <c r="D1676" s="6">
        <f t="shared" ca="1" si="470"/>
        <v>8</v>
      </c>
      <c r="E1676" s="68">
        <f ca="1">IFERROR(__xludf.DUMMYFUNCTION("""COMPUTED_VALUE"""),45532.6666666666)</f>
        <v>45532.666666666599</v>
      </c>
      <c r="F1676" s="6">
        <f ca="1">IFERROR(__xludf.DUMMYFUNCTION("""COMPUTED_VALUE"""),5592.18)</f>
        <v>5592.18</v>
      </c>
      <c r="J1676" s="6" t="str">
        <f t="shared" ca="1" si="471"/>
        <v>20248</v>
      </c>
      <c r="K1676" s="6">
        <f t="shared" ca="1" si="472"/>
        <v>2024</v>
      </c>
      <c r="L1676" s="6">
        <f t="shared" ca="1" si="473"/>
        <v>8</v>
      </c>
      <c r="M1676" s="68">
        <f ca="1">IFERROR(__xludf.DUMMYFUNCTION("""COMPUTED_VALUE"""),45524.6666666666)</f>
        <v>45524.666666666599</v>
      </c>
      <c r="N1676" s="6">
        <f ca="1">IFERROR(__xludf.DUMMYFUNCTION("""COMPUTED_VALUE"""),17816.94)</f>
        <v>17816.939999999999</v>
      </c>
      <c r="R1676" s="6" t="str">
        <f t="shared" ca="1" si="474"/>
        <v>202410</v>
      </c>
      <c r="S1676" s="6">
        <f t="shared" ca="1" si="475"/>
        <v>2024</v>
      </c>
      <c r="T1676" s="6">
        <f t="shared" ca="1" si="476"/>
        <v>10</v>
      </c>
      <c r="U1676" s="68">
        <f ca="1">IFERROR(__xludf.DUMMYFUNCTION("""COMPUTED_VALUE"""),45594.6458333333)</f>
        <v>45594.645833333299</v>
      </c>
      <c r="V1676" s="6">
        <f ca="1">IFERROR(__xludf.DUMMYFUNCTION("""COMPUTED_VALUE"""),2617.8)</f>
        <v>2617.8000000000002</v>
      </c>
      <c r="Z1676" s="6" t="str">
        <f t="shared" ca="1" si="477"/>
        <v>20229</v>
      </c>
      <c r="AA1676" s="6">
        <f t="shared" ca="1" si="478"/>
        <v>2022</v>
      </c>
      <c r="AB1676" s="6">
        <f t="shared" ca="1" si="479"/>
        <v>9</v>
      </c>
      <c r="AC1676" s="68">
        <f ca="1">IFERROR(__xludf.DUMMYFUNCTION("""COMPUTED_VALUE"""),44825.9986111111)</f>
        <v>44825.998611111099</v>
      </c>
      <c r="AD1676" s="6">
        <f ca="1">IFERROR(__xludf.DUMMYFUNCTION("""COMPUTED_VALUE"""),1397.56)</f>
        <v>1397.56</v>
      </c>
      <c r="AH1676" s="6" t="str">
        <f t="shared" ca="1" si="480"/>
        <v>20227</v>
      </c>
      <c r="AI1676" s="6">
        <f t="shared" ca="1" si="481"/>
        <v>2022</v>
      </c>
      <c r="AJ1676" s="6">
        <f t="shared" ca="1" si="482"/>
        <v>7</v>
      </c>
      <c r="AK1676" s="68">
        <f ca="1">IFERROR(__xludf.DUMMYFUNCTION("""COMPUTED_VALUE"""),44769.9986111111)</f>
        <v>44769.998611111099</v>
      </c>
      <c r="AL1676" s="6">
        <f ca="1">IFERROR(__xludf.DUMMYFUNCTION("""COMPUTED_VALUE"""),22956.37)</f>
        <v>22956.37</v>
      </c>
      <c r="AP1676" s="6" t="str">
        <f t="shared" ca="1" si="483"/>
        <v>20249</v>
      </c>
      <c r="AQ1676" s="6">
        <f t="shared" ca="1" si="484"/>
        <v>2024</v>
      </c>
      <c r="AR1676" s="6">
        <f t="shared" ca="1" si="485"/>
        <v>9</v>
      </c>
      <c r="AS1676" s="68">
        <f ca="1">IFERROR(__xludf.DUMMYFUNCTION("""COMPUTED_VALUE"""),45540.9986111111)</f>
        <v>45540.998611111099</v>
      </c>
      <c r="AT1676" s="6">
        <f ca="1">IFERROR(__xludf.DUMMYFUNCTION("""COMPUTED_VALUE"""),2543.1)</f>
        <v>2543.1</v>
      </c>
    </row>
    <row r="1677" spans="2:46" x14ac:dyDescent="0.35">
      <c r="B1677" s="6" t="str">
        <f t="shared" ca="1" si="468"/>
        <v>20248</v>
      </c>
      <c r="C1677" s="6">
        <f t="shared" ca="1" si="469"/>
        <v>2024</v>
      </c>
      <c r="D1677" s="6">
        <f t="shared" ca="1" si="470"/>
        <v>8</v>
      </c>
      <c r="E1677" s="68">
        <f ca="1">IFERROR(__xludf.DUMMYFUNCTION("""COMPUTED_VALUE"""),45533.6666666666)</f>
        <v>45533.666666666599</v>
      </c>
      <c r="F1677" s="6">
        <f ca="1">IFERROR(__xludf.DUMMYFUNCTION("""COMPUTED_VALUE"""),5591.96)</f>
        <v>5591.96</v>
      </c>
      <c r="J1677" s="6" t="str">
        <f t="shared" ca="1" si="471"/>
        <v>20248</v>
      </c>
      <c r="K1677" s="6">
        <f t="shared" ca="1" si="472"/>
        <v>2024</v>
      </c>
      <c r="L1677" s="6">
        <f t="shared" ca="1" si="473"/>
        <v>8</v>
      </c>
      <c r="M1677" s="68">
        <f ca="1">IFERROR(__xludf.DUMMYFUNCTION("""COMPUTED_VALUE"""),45525.6666666666)</f>
        <v>45525.666666666599</v>
      </c>
      <c r="N1677" s="6">
        <f ca="1">IFERROR(__xludf.DUMMYFUNCTION("""COMPUTED_VALUE"""),17918.99)</f>
        <v>17918.990000000002</v>
      </c>
      <c r="R1677" s="6" t="str">
        <f t="shared" ca="1" si="474"/>
        <v>202410</v>
      </c>
      <c r="S1677" s="6">
        <f t="shared" ca="1" si="475"/>
        <v>2024</v>
      </c>
      <c r="T1677" s="6">
        <f t="shared" ca="1" si="476"/>
        <v>10</v>
      </c>
      <c r="U1677" s="68">
        <f ca="1">IFERROR(__xludf.DUMMYFUNCTION("""COMPUTED_VALUE"""),45595.6458333333)</f>
        <v>45595.645833333299</v>
      </c>
      <c r="V1677" s="6">
        <f ca="1">IFERROR(__xludf.DUMMYFUNCTION("""COMPUTED_VALUE"""),2593.79)</f>
        <v>2593.79</v>
      </c>
      <c r="Z1677" s="6" t="str">
        <f t="shared" ca="1" si="477"/>
        <v>20229</v>
      </c>
      <c r="AA1677" s="6">
        <f t="shared" ca="1" si="478"/>
        <v>2022</v>
      </c>
      <c r="AB1677" s="6">
        <f t="shared" ca="1" si="479"/>
        <v>9</v>
      </c>
      <c r="AC1677" s="68">
        <f ca="1">IFERROR(__xludf.DUMMYFUNCTION("""COMPUTED_VALUE"""),44826.9986111111)</f>
        <v>44826.998611111099</v>
      </c>
      <c r="AD1677" s="6">
        <f ca="1">IFERROR(__xludf.DUMMYFUNCTION("""COMPUTED_VALUE"""),1403.66)</f>
        <v>1403.66</v>
      </c>
      <c r="AH1677" s="6" t="str">
        <f t="shared" ca="1" si="480"/>
        <v>20227</v>
      </c>
      <c r="AI1677" s="6">
        <f t="shared" ca="1" si="481"/>
        <v>2022</v>
      </c>
      <c r="AJ1677" s="6">
        <f t="shared" ca="1" si="482"/>
        <v>7</v>
      </c>
      <c r="AK1677" s="68">
        <f ca="1">IFERROR(__xludf.DUMMYFUNCTION("""COMPUTED_VALUE"""),44770.9986111111)</f>
        <v>44770.998611111099</v>
      </c>
      <c r="AL1677" s="6">
        <f ca="1">IFERROR(__xludf.DUMMYFUNCTION("""COMPUTED_VALUE"""),23853.65)</f>
        <v>23853.65</v>
      </c>
      <c r="AP1677" s="6" t="str">
        <f t="shared" ca="1" si="483"/>
        <v>20249</v>
      </c>
      <c r="AQ1677" s="6">
        <f t="shared" ca="1" si="484"/>
        <v>2024</v>
      </c>
      <c r="AR1677" s="6">
        <f t="shared" ca="1" si="485"/>
        <v>9</v>
      </c>
      <c r="AS1677" s="68">
        <f ca="1">IFERROR(__xludf.DUMMYFUNCTION("""COMPUTED_VALUE"""),45541.9986111111)</f>
        <v>45541.998611111099</v>
      </c>
      <c r="AT1677" s="6">
        <f ca="1">IFERROR(__xludf.DUMMYFUNCTION("""COMPUTED_VALUE"""),2524.6)</f>
        <v>2524.6</v>
      </c>
    </row>
    <row r="1678" spans="2:46" x14ac:dyDescent="0.35">
      <c r="B1678" s="6" t="str">
        <f t="shared" ca="1" si="468"/>
        <v>20248</v>
      </c>
      <c r="C1678" s="6">
        <f t="shared" ca="1" si="469"/>
        <v>2024</v>
      </c>
      <c r="D1678" s="6">
        <f t="shared" ca="1" si="470"/>
        <v>8</v>
      </c>
      <c r="E1678" s="68">
        <f ca="1">IFERROR(__xludf.DUMMYFUNCTION("""COMPUTED_VALUE"""),45534.6666666666)</f>
        <v>45534.666666666599</v>
      </c>
      <c r="F1678" s="6">
        <f ca="1">IFERROR(__xludf.DUMMYFUNCTION("""COMPUTED_VALUE"""),5648.4)</f>
        <v>5648.4</v>
      </c>
      <c r="J1678" s="6" t="str">
        <f t="shared" ca="1" si="471"/>
        <v>20248</v>
      </c>
      <c r="K1678" s="6">
        <f t="shared" ca="1" si="472"/>
        <v>2024</v>
      </c>
      <c r="L1678" s="6">
        <f t="shared" ca="1" si="473"/>
        <v>8</v>
      </c>
      <c r="M1678" s="68">
        <f ca="1">IFERROR(__xludf.DUMMYFUNCTION("""COMPUTED_VALUE"""),45526.6666666666)</f>
        <v>45526.666666666599</v>
      </c>
      <c r="N1678" s="6">
        <f ca="1">IFERROR(__xludf.DUMMYFUNCTION("""COMPUTED_VALUE"""),17619.35)</f>
        <v>17619.349999999999</v>
      </c>
      <c r="R1678" s="6" t="str">
        <f t="shared" ca="1" si="474"/>
        <v>202410</v>
      </c>
      <c r="S1678" s="6">
        <f t="shared" ca="1" si="475"/>
        <v>2024</v>
      </c>
      <c r="T1678" s="6">
        <f t="shared" ca="1" si="476"/>
        <v>10</v>
      </c>
      <c r="U1678" s="68">
        <f ca="1">IFERROR(__xludf.DUMMYFUNCTION("""COMPUTED_VALUE"""),45596.6458333333)</f>
        <v>45596.645833333299</v>
      </c>
      <c r="V1678" s="6">
        <f ca="1">IFERROR(__xludf.DUMMYFUNCTION("""COMPUTED_VALUE"""),2556.15)</f>
        <v>2556.15</v>
      </c>
      <c r="Z1678" s="6" t="str">
        <f t="shared" ca="1" si="477"/>
        <v>20229</v>
      </c>
      <c r="AA1678" s="6">
        <f t="shared" ca="1" si="478"/>
        <v>2022</v>
      </c>
      <c r="AB1678" s="6">
        <f t="shared" ca="1" si="479"/>
        <v>9</v>
      </c>
      <c r="AC1678" s="68">
        <f ca="1">IFERROR(__xludf.DUMMYFUNCTION("""COMPUTED_VALUE"""),44827.9986111111)</f>
        <v>44827.998611111099</v>
      </c>
      <c r="AD1678" s="6">
        <f ca="1">IFERROR(__xludf.DUMMYFUNCTION("""COMPUTED_VALUE"""),1420.32)</f>
        <v>1420.32</v>
      </c>
      <c r="AH1678" s="6" t="str">
        <f t="shared" ca="1" si="480"/>
        <v>20227</v>
      </c>
      <c r="AI1678" s="6">
        <f t="shared" ca="1" si="481"/>
        <v>2022</v>
      </c>
      <c r="AJ1678" s="6">
        <f t="shared" ca="1" si="482"/>
        <v>7</v>
      </c>
      <c r="AK1678" s="68">
        <f ca="1">IFERROR(__xludf.DUMMYFUNCTION("""COMPUTED_VALUE"""),44771.9986111111)</f>
        <v>44771.998611111099</v>
      </c>
      <c r="AL1678" s="6">
        <f ca="1">IFERROR(__xludf.DUMMYFUNCTION("""COMPUTED_VALUE"""),23776.16)</f>
        <v>23776.16</v>
      </c>
      <c r="AP1678" s="6" t="str">
        <f t="shared" ca="1" si="483"/>
        <v>20249</v>
      </c>
      <c r="AQ1678" s="6">
        <f t="shared" ca="1" si="484"/>
        <v>2024</v>
      </c>
      <c r="AR1678" s="6">
        <f t="shared" ca="1" si="485"/>
        <v>9</v>
      </c>
      <c r="AS1678" s="68">
        <f ca="1">IFERROR(__xludf.DUMMYFUNCTION("""COMPUTED_VALUE"""),45544.9986111111)</f>
        <v>45544.998611111099</v>
      </c>
      <c r="AT1678" s="6">
        <f ca="1">IFERROR(__xludf.DUMMYFUNCTION("""COMPUTED_VALUE"""),2532.7)</f>
        <v>2532.6999999999998</v>
      </c>
    </row>
    <row r="1679" spans="2:46" x14ac:dyDescent="0.35">
      <c r="B1679" s="6" t="str">
        <f t="shared" ca="1" si="468"/>
        <v>20249</v>
      </c>
      <c r="C1679" s="6">
        <f t="shared" ca="1" si="469"/>
        <v>2024</v>
      </c>
      <c r="D1679" s="6">
        <f t="shared" ca="1" si="470"/>
        <v>9</v>
      </c>
      <c r="E1679" s="68">
        <f ca="1">IFERROR(__xludf.DUMMYFUNCTION("""COMPUTED_VALUE"""),45538.6666666666)</f>
        <v>45538.666666666599</v>
      </c>
      <c r="F1679" s="6">
        <f ca="1">IFERROR(__xludf.DUMMYFUNCTION("""COMPUTED_VALUE"""),5528.93)</f>
        <v>5528.93</v>
      </c>
      <c r="J1679" s="6" t="str">
        <f t="shared" ca="1" si="471"/>
        <v>20248</v>
      </c>
      <c r="K1679" s="6">
        <f t="shared" ca="1" si="472"/>
        <v>2024</v>
      </c>
      <c r="L1679" s="6">
        <f t="shared" ca="1" si="473"/>
        <v>8</v>
      </c>
      <c r="M1679" s="68">
        <f ca="1">IFERROR(__xludf.DUMMYFUNCTION("""COMPUTED_VALUE"""),45527.6666666666)</f>
        <v>45527.666666666599</v>
      </c>
      <c r="N1679" s="6">
        <f ca="1">IFERROR(__xludf.DUMMYFUNCTION("""COMPUTED_VALUE"""),17877.79)</f>
        <v>17877.79</v>
      </c>
      <c r="R1679" s="6" t="str">
        <f t="shared" ca="1" si="474"/>
        <v>202411</v>
      </c>
      <c r="S1679" s="6">
        <f t="shared" ca="1" si="475"/>
        <v>2024</v>
      </c>
      <c r="T1679" s="6">
        <f t="shared" ca="1" si="476"/>
        <v>11</v>
      </c>
      <c r="U1679" s="68">
        <f ca="1">IFERROR(__xludf.DUMMYFUNCTION("""COMPUTED_VALUE"""),45597.6458333333)</f>
        <v>45597.645833333299</v>
      </c>
      <c r="V1679" s="6">
        <f ca="1">IFERROR(__xludf.DUMMYFUNCTION("""COMPUTED_VALUE"""),2542.36)</f>
        <v>2542.36</v>
      </c>
      <c r="Z1679" s="6" t="str">
        <f t="shared" ca="1" si="477"/>
        <v>20229</v>
      </c>
      <c r="AA1679" s="6">
        <f t="shared" ca="1" si="478"/>
        <v>2022</v>
      </c>
      <c r="AB1679" s="6">
        <f t="shared" ca="1" si="479"/>
        <v>9</v>
      </c>
      <c r="AC1679" s="68">
        <f ca="1">IFERROR(__xludf.DUMMYFUNCTION("""COMPUTED_VALUE"""),44828.9986111111)</f>
        <v>44828.998611111099</v>
      </c>
      <c r="AD1679" s="6">
        <f ca="1">IFERROR(__xludf.DUMMYFUNCTION("""COMPUTED_VALUE"""),1420.26)</f>
        <v>1420.26</v>
      </c>
      <c r="AH1679" s="6" t="str">
        <f t="shared" ca="1" si="480"/>
        <v>20227</v>
      </c>
      <c r="AI1679" s="6">
        <f t="shared" ca="1" si="481"/>
        <v>2022</v>
      </c>
      <c r="AJ1679" s="6">
        <f t="shared" ca="1" si="482"/>
        <v>7</v>
      </c>
      <c r="AK1679" s="68">
        <f ca="1">IFERROR(__xludf.DUMMYFUNCTION("""COMPUTED_VALUE"""),44772.9986111111)</f>
        <v>44772.998611111099</v>
      </c>
      <c r="AL1679" s="6">
        <f ca="1">IFERROR(__xludf.DUMMYFUNCTION("""COMPUTED_VALUE"""),23643.25)</f>
        <v>23643.25</v>
      </c>
      <c r="AP1679" s="6" t="str">
        <f t="shared" ca="1" si="483"/>
        <v>20249</v>
      </c>
      <c r="AQ1679" s="6">
        <f t="shared" ca="1" si="484"/>
        <v>2024</v>
      </c>
      <c r="AR1679" s="6">
        <f t="shared" ca="1" si="485"/>
        <v>9</v>
      </c>
      <c r="AS1679" s="68">
        <f ca="1">IFERROR(__xludf.DUMMYFUNCTION("""COMPUTED_VALUE"""),45545.9986111111)</f>
        <v>45545.998611111099</v>
      </c>
      <c r="AT1679" s="6">
        <f ca="1">IFERROR(__xludf.DUMMYFUNCTION("""COMPUTED_VALUE"""),2543.1)</f>
        <v>2543.1</v>
      </c>
    </row>
    <row r="1680" spans="2:46" x14ac:dyDescent="0.35">
      <c r="B1680" s="6" t="str">
        <f t="shared" ca="1" si="468"/>
        <v>20249</v>
      </c>
      <c r="C1680" s="6">
        <f t="shared" ca="1" si="469"/>
        <v>2024</v>
      </c>
      <c r="D1680" s="6">
        <f t="shared" ca="1" si="470"/>
        <v>9</v>
      </c>
      <c r="E1680" s="68">
        <f ca="1">IFERROR(__xludf.DUMMYFUNCTION("""COMPUTED_VALUE"""),45539.6666666666)</f>
        <v>45539.666666666599</v>
      </c>
      <c r="F1680" s="6">
        <f ca="1">IFERROR(__xludf.DUMMYFUNCTION("""COMPUTED_VALUE"""),5520.07)</f>
        <v>5520.07</v>
      </c>
      <c r="J1680" s="6" t="str">
        <f t="shared" ca="1" si="471"/>
        <v>20248</v>
      </c>
      <c r="K1680" s="6">
        <f t="shared" ca="1" si="472"/>
        <v>2024</v>
      </c>
      <c r="L1680" s="6">
        <f t="shared" ca="1" si="473"/>
        <v>8</v>
      </c>
      <c r="M1680" s="68">
        <f ca="1">IFERROR(__xludf.DUMMYFUNCTION("""COMPUTED_VALUE"""),45530.6666666666)</f>
        <v>45530.666666666599</v>
      </c>
      <c r="N1680" s="6">
        <f ca="1">IFERROR(__xludf.DUMMYFUNCTION("""COMPUTED_VALUE"""),17725.77)</f>
        <v>17725.77</v>
      </c>
      <c r="R1680" s="6" t="str">
        <f t="shared" ca="1" si="474"/>
        <v>202411</v>
      </c>
      <c r="S1680" s="6">
        <f t="shared" ca="1" si="475"/>
        <v>2024</v>
      </c>
      <c r="T1680" s="6">
        <f t="shared" ca="1" si="476"/>
        <v>11</v>
      </c>
      <c r="U1680" s="68">
        <f ca="1">IFERROR(__xludf.DUMMYFUNCTION("""COMPUTED_VALUE"""),45600.6458333333)</f>
        <v>45600.645833333299</v>
      </c>
      <c r="V1680" s="6">
        <f ca="1">IFERROR(__xludf.DUMMYFUNCTION("""COMPUTED_VALUE"""),2588.97)</f>
        <v>2588.9699999999998</v>
      </c>
      <c r="Z1680" s="6" t="str">
        <f t="shared" ca="1" si="477"/>
        <v>20229</v>
      </c>
      <c r="AA1680" s="6">
        <f t="shared" ca="1" si="478"/>
        <v>2022</v>
      </c>
      <c r="AB1680" s="6">
        <f t="shared" ca="1" si="479"/>
        <v>9</v>
      </c>
      <c r="AC1680" s="68">
        <f ca="1">IFERROR(__xludf.DUMMYFUNCTION("""COMPUTED_VALUE"""),44829.9986111111)</f>
        <v>44829.998611111099</v>
      </c>
      <c r="AD1680" s="6">
        <f ca="1">IFERROR(__xludf.DUMMYFUNCTION("""COMPUTED_VALUE"""),1421.81)</f>
        <v>1421.81</v>
      </c>
      <c r="AH1680" s="6" t="str">
        <f t="shared" ca="1" si="480"/>
        <v>20227</v>
      </c>
      <c r="AI1680" s="6">
        <f t="shared" ca="1" si="481"/>
        <v>2022</v>
      </c>
      <c r="AJ1680" s="6">
        <f t="shared" ca="1" si="482"/>
        <v>7</v>
      </c>
      <c r="AK1680" s="68">
        <f ca="1">IFERROR(__xludf.DUMMYFUNCTION("""COMPUTED_VALUE"""),44773.9986111111)</f>
        <v>44773.998611111099</v>
      </c>
      <c r="AL1680" s="6">
        <f ca="1">IFERROR(__xludf.DUMMYFUNCTION("""COMPUTED_VALUE"""),23308.66)</f>
        <v>23308.66</v>
      </c>
      <c r="AP1680" s="6" t="str">
        <f t="shared" ca="1" si="483"/>
        <v>20249</v>
      </c>
      <c r="AQ1680" s="6">
        <f t="shared" ca="1" si="484"/>
        <v>2024</v>
      </c>
      <c r="AR1680" s="6">
        <f t="shared" ca="1" si="485"/>
        <v>9</v>
      </c>
      <c r="AS1680" s="68">
        <f ca="1">IFERROR(__xludf.DUMMYFUNCTION("""COMPUTED_VALUE"""),45546.9986111111)</f>
        <v>45546.998611111099</v>
      </c>
      <c r="AT1680" s="6">
        <f ca="1">IFERROR(__xludf.DUMMYFUNCTION("""COMPUTED_VALUE"""),2542.4)</f>
        <v>2542.4</v>
      </c>
    </row>
    <row r="1681" spans="2:46" x14ac:dyDescent="0.35">
      <c r="B1681" s="6" t="str">
        <f t="shared" ca="1" si="468"/>
        <v>20249</v>
      </c>
      <c r="C1681" s="6">
        <f t="shared" ca="1" si="469"/>
        <v>2024</v>
      </c>
      <c r="D1681" s="6">
        <f t="shared" ca="1" si="470"/>
        <v>9</v>
      </c>
      <c r="E1681" s="68">
        <f ca="1">IFERROR(__xludf.DUMMYFUNCTION("""COMPUTED_VALUE"""),45540.6666666666)</f>
        <v>45540.666666666599</v>
      </c>
      <c r="F1681" s="6">
        <f ca="1">IFERROR(__xludf.DUMMYFUNCTION("""COMPUTED_VALUE"""),5503.41)</f>
        <v>5503.41</v>
      </c>
      <c r="J1681" s="6" t="str">
        <f t="shared" ca="1" si="471"/>
        <v>20248</v>
      </c>
      <c r="K1681" s="6">
        <f t="shared" ca="1" si="472"/>
        <v>2024</v>
      </c>
      <c r="L1681" s="6">
        <f t="shared" ca="1" si="473"/>
        <v>8</v>
      </c>
      <c r="M1681" s="68">
        <f ca="1">IFERROR(__xludf.DUMMYFUNCTION("""COMPUTED_VALUE"""),45531.6666666666)</f>
        <v>45531.666666666599</v>
      </c>
      <c r="N1681" s="6">
        <f ca="1">IFERROR(__xludf.DUMMYFUNCTION("""COMPUTED_VALUE"""),17754.82)</f>
        <v>17754.82</v>
      </c>
      <c r="R1681" s="6" t="str">
        <f t="shared" ca="1" si="474"/>
        <v>202411</v>
      </c>
      <c r="S1681" s="6">
        <f t="shared" ca="1" si="475"/>
        <v>2024</v>
      </c>
      <c r="T1681" s="6">
        <f t="shared" ca="1" si="476"/>
        <v>11</v>
      </c>
      <c r="U1681" s="68">
        <f ca="1">IFERROR(__xludf.DUMMYFUNCTION("""COMPUTED_VALUE"""),45601.6458333333)</f>
        <v>45601.645833333299</v>
      </c>
      <c r="V1681" s="6">
        <f ca="1">IFERROR(__xludf.DUMMYFUNCTION("""COMPUTED_VALUE"""),2576.88)</f>
        <v>2576.88</v>
      </c>
      <c r="Z1681" s="6" t="str">
        <f t="shared" ca="1" si="477"/>
        <v>20229</v>
      </c>
      <c r="AA1681" s="6">
        <f t="shared" ca="1" si="478"/>
        <v>2022</v>
      </c>
      <c r="AB1681" s="6">
        <f t="shared" ca="1" si="479"/>
        <v>9</v>
      </c>
      <c r="AC1681" s="68">
        <f ca="1">IFERROR(__xludf.DUMMYFUNCTION("""COMPUTED_VALUE"""),44830.9986111111)</f>
        <v>44830.998611111099</v>
      </c>
      <c r="AD1681" s="6">
        <f ca="1">IFERROR(__xludf.DUMMYFUNCTION("""COMPUTED_VALUE"""),1429.77)</f>
        <v>1429.77</v>
      </c>
      <c r="AH1681" s="6" t="str">
        <f t="shared" ca="1" si="480"/>
        <v>20228</v>
      </c>
      <c r="AI1681" s="6">
        <f t="shared" ca="1" si="481"/>
        <v>2022</v>
      </c>
      <c r="AJ1681" s="6">
        <f t="shared" ca="1" si="482"/>
        <v>8</v>
      </c>
      <c r="AK1681" s="68">
        <f ca="1">IFERROR(__xludf.DUMMYFUNCTION("""COMPUTED_VALUE"""),44774.9986111111)</f>
        <v>44774.998611111099</v>
      </c>
      <c r="AL1681" s="6">
        <f ca="1">IFERROR(__xludf.DUMMYFUNCTION("""COMPUTED_VALUE"""),23274.66)</f>
        <v>23274.66</v>
      </c>
      <c r="AP1681" s="6" t="str">
        <f t="shared" ca="1" si="483"/>
        <v>20249</v>
      </c>
      <c r="AQ1681" s="6">
        <f t="shared" ca="1" si="484"/>
        <v>2024</v>
      </c>
      <c r="AR1681" s="6">
        <f t="shared" ca="1" si="485"/>
        <v>9</v>
      </c>
      <c r="AS1681" s="68">
        <f ca="1">IFERROR(__xludf.DUMMYFUNCTION("""COMPUTED_VALUE"""),45547.9986111111)</f>
        <v>45547.998611111099</v>
      </c>
      <c r="AT1681" s="6">
        <f ca="1">IFERROR(__xludf.DUMMYFUNCTION("""COMPUTED_VALUE"""),2580.6)</f>
        <v>2580.6</v>
      </c>
    </row>
    <row r="1682" spans="2:46" x14ac:dyDescent="0.35">
      <c r="B1682" s="6" t="str">
        <f t="shared" ca="1" si="468"/>
        <v>20249</v>
      </c>
      <c r="C1682" s="6">
        <f t="shared" ca="1" si="469"/>
        <v>2024</v>
      </c>
      <c r="D1682" s="6">
        <f t="shared" ca="1" si="470"/>
        <v>9</v>
      </c>
      <c r="E1682" s="68">
        <f ca="1">IFERROR(__xludf.DUMMYFUNCTION("""COMPUTED_VALUE"""),45541.6666666666)</f>
        <v>45541.666666666599</v>
      </c>
      <c r="F1682" s="6">
        <f ca="1">IFERROR(__xludf.DUMMYFUNCTION("""COMPUTED_VALUE"""),5408.42)</f>
        <v>5408.42</v>
      </c>
      <c r="J1682" s="6" t="str">
        <f t="shared" ca="1" si="471"/>
        <v>20248</v>
      </c>
      <c r="K1682" s="6">
        <f t="shared" ca="1" si="472"/>
        <v>2024</v>
      </c>
      <c r="L1682" s="6">
        <f t="shared" ca="1" si="473"/>
        <v>8</v>
      </c>
      <c r="M1682" s="68">
        <f ca="1">IFERROR(__xludf.DUMMYFUNCTION("""COMPUTED_VALUE"""),45532.6666666666)</f>
        <v>45532.666666666599</v>
      </c>
      <c r="N1682" s="6">
        <f ca="1">IFERROR(__xludf.DUMMYFUNCTION("""COMPUTED_VALUE"""),17556.03)</f>
        <v>17556.03</v>
      </c>
      <c r="R1682" s="6" t="str">
        <f t="shared" ca="1" si="474"/>
        <v>202411</v>
      </c>
      <c r="S1682" s="6">
        <f t="shared" ca="1" si="475"/>
        <v>2024</v>
      </c>
      <c r="T1682" s="6">
        <f t="shared" ca="1" si="476"/>
        <v>11</v>
      </c>
      <c r="U1682" s="68">
        <f ca="1">IFERROR(__xludf.DUMMYFUNCTION("""COMPUTED_VALUE"""),45602.6458333333)</f>
        <v>45602.645833333299</v>
      </c>
      <c r="V1682" s="6">
        <f ca="1">IFERROR(__xludf.DUMMYFUNCTION("""COMPUTED_VALUE"""),2563.51)</f>
        <v>2563.5100000000002</v>
      </c>
      <c r="Z1682" s="6" t="str">
        <f t="shared" ca="1" si="477"/>
        <v>20229</v>
      </c>
      <c r="AA1682" s="6">
        <f t="shared" ca="1" si="478"/>
        <v>2022</v>
      </c>
      <c r="AB1682" s="6">
        <f t="shared" ca="1" si="479"/>
        <v>9</v>
      </c>
      <c r="AC1682" s="68">
        <f ca="1">IFERROR(__xludf.DUMMYFUNCTION("""COMPUTED_VALUE"""),44831.9986111111)</f>
        <v>44831.998611111099</v>
      </c>
      <c r="AD1682" s="6">
        <f ca="1">IFERROR(__xludf.DUMMYFUNCTION("""COMPUTED_VALUE"""),1426.26)</f>
        <v>1426.26</v>
      </c>
      <c r="AH1682" s="6" t="str">
        <f t="shared" ca="1" si="480"/>
        <v>20228</v>
      </c>
      <c r="AI1682" s="6">
        <f t="shared" ca="1" si="481"/>
        <v>2022</v>
      </c>
      <c r="AJ1682" s="6">
        <f t="shared" ca="1" si="482"/>
        <v>8</v>
      </c>
      <c r="AK1682" s="68">
        <f ca="1">IFERROR(__xludf.DUMMYFUNCTION("""COMPUTED_VALUE"""),44775.9986111111)</f>
        <v>44775.998611111099</v>
      </c>
      <c r="AL1682" s="6">
        <f ca="1">IFERROR(__xludf.DUMMYFUNCTION("""COMPUTED_VALUE"""),22990.85)</f>
        <v>22990.85</v>
      </c>
      <c r="AP1682" s="6" t="str">
        <f t="shared" ca="1" si="483"/>
        <v>20249</v>
      </c>
      <c r="AQ1682" s="6">
        <f t="shared" ca="1" si="484"/>
        <v>2024</v>
      </c>
      <c r="AR1682" s="6">
        <f t="shared" ca="1" si="485"/>
        <v>9</v>
      </c>
      <c r="AS1682" s="68">
        <f ca="1">IFERROR(__xludf.DUMMYFUNCTION("""COMPUTED_VALUE"""),45548.9986111111)</f>
        <v>45548.998611111099</v>
      </c>
      <c r="AT1682" s="6">
        <f ca="1">IFERROR(__xludf.DUMMYFUNCTION("""COMPUTED_VALUE"""),2610.7)</f>
        <v>2610.6999999999998</v>
      </c>
    </row>
    <row r="1683" spans="2:46" x14ac:dyDescent="0.35">
      <c r="B1683" s="6" t="str">
        <f t="shared" ca="1" si="468"/>
        <v>20249</v>
      </c>
      <c r="C1683" s="6">
        <f t="shared" ca="1" si="469"/>
        <v>2024</v>
      </c>
      <c r="D1683" s="6">
        <f t="shared" ca="1" si="470"/>
        <v>9</v>
      </c>
      <c r="E1683" s="68">
        <f ca="1">IFERROR(__xludf.DUMMYFUNCTION("""COMPUTED_VALUE"""),45544.6666666666)</f>
        <v>45544.666666666599</v>
      </c>
      <c r="F1683" s="6">
        <f ca="1">IFERROR(__xludf.DUMMYFUNCTION("""COMPUTED_VALUE"""),5471.05)</f>
        <v>5471.05</v>
      </c>
      <c r="J1683" s="6" t="str">
        <f t="shared" ca="1" si="471"/>
        <v>20248</v>
      </c>
      <c r="K1683" s="6">
        <f t="shared" ca="1" si="472"/>
        <v>2024</v>
      </c>
      <c r="L1683" s="6">
        <f t="shared" ca="1" si="473"/>
        <v>8</v>
      </c>
      <c r="M1683" s="68">
        <f ca="1">IFERROR(__xludf.DUMMYFUNCTION("""COMPUTED_VALUE"""),45533.6666666666)</f>
        <v>45533.666666666599</v>
      </c>
      <c r="N1683" s="6">
        <f ca="1">IFERROR(__xludf.DUMMYFUNCTION("""COMPUTED_VALUE"""),17516.43)</f>
        <v>17516.43</v>
      </c>
      <c r="R1683" s="6" t="str">
        <f t="shared" ca="1" si="474"/>
        <v>202411</v>
      </c>
      <c r="S1683" s="6">
        <f t="shared" ca="1" si="475"/>
        <v>2024</v>
      </c>
      <c r="T1683" s="6">
        <f t="shared" ca="1" si="476"/>
        <v>11</v>
      </c>
      <c r="U1683" s="68">
        <f ca="1">IFERROR(__xludf.DUMMYFUNCTION("""COMPUTED_VALUE"""),45603.6458333333)</f>
        <v>45603.645833333299</v>
      </c>
      <c r="V1683" s="6">
        <f ca="1">IFERROR(__xludf.DUMMYFUNCTION("""COMPUTED_VALUE"""),2564.63)</f>
        <v>2564.63</v>
      </c>
      <c r="Z1683" s="6" t="str">
        <f t="shared" ca="1" si="477"/>
        <v>20229</v>
      </c>
      <c r="AA1683" s="6">
        <f t="shared" ca="1" si="478"/>
        <v>2022</v>
      </c>
      <c r="AB1683" s="6">
        <f t="shared" ca="1" si="479"/>
        <v>9</v>
      </c>
      <c r="AC1683" s="68">
        <f ca="1">IFERROR(__xludf.DUMMYFUNCTION("""COMPUTED_VALUE"""),44832.9986111111)</f>
        <v>44832.998611111099</v>
      </c>
      <c r="AD1683" s="6">
        <f ca="1">IFERROR(__xludf.DUMMYFUNCTION("""COMPUTED_VALUE"""),1421.95)</f>
        <v>1421.95</v>
      </c>
      <c r="AH1683" s="6" t="str">
        <f t="shared" ca="1" si="480"/>
        <v>20228</v>
      </c>
      <c r="AI1683" s="6">
        <f t="shared" ca="1" si="481"/>
        <v>2022</v>
      </c>
      <c r="AJ1683" s="6">
        <f t="shared" ca="1" si="482"/>
        <v>8</v>
      </c>
      <c r="AK1683" s="68">
        <f ca="1">IFERROR(__xludf.DUMMYFUNCTION("""COMPUTED_VALUE"""),44776.9986111111)</f>
        <v>44776.998611111099</v>
      </c>
      <c r="AL1683" s="6">
        <f ca="1">IFERROR(__xludf.DUMMYFUNCTION("""COMPUTED_VALUE"""),22829.02)</f>
        <v>22829.02</v>
      </c>
      <c r="AP1683" s="6" t="str">
        <f t="shared" ca="1" si="483"/>
        <v>20249</v>
      </c>
      <c r="AQ1683" s="6">
        <f t="shared" ca="1" si="484"/>
        <v>2024</v>
      </c>
      <c r="AR1683" s="6">
        <f t="shared" ca="1" si="485"/>
        <v>9</v>
      </c>
      <c r="AS1683" s="68">
        <f ca="1">IFERROR(__xludf.DUMMYFUNCTION("""COMPUTED_VALUE"""),45551.9986111111)</f>
        <v>45551.998611111099</v>
      </c>
      <c r="AT1683" s="6">
        <f ca="1">IFERROR(__xludf.DUMMYFUNCTION("""COMPUTED_VALUE"""),2608.9)</f>
        <v>2608.9</v>
      </c>
    </row>
    <row r="1684" spans="2:46" x14ac:dyDescent="0.35">
      <c r="B1684" s="6" t="str">
        <f t="shared" ca="1" si="468"/>
        <v>20249</v>
      </c>
      <c r="C1684" s="6">
        <f t="shared" ca="1" si="469"/>
        <v>2024</v>
      </c>
      <c r="D1684" s="6">
        <f t="shared" ca="1" si="470"/>
        <v>9</v>
      </c>
      <c r="E1684" s="68">
        <f ca="1">IFERROR(__xludf.DUMMYFUNCTION("""COMPUTED_VALUE"""),45545.6666666666)</f>
        <v>45545.666666666599</v>
      </c>
      <c r="F1684" s="6">
        <f ca="1">IFERROR(__xludf.DUMMYFUNCTION("""COMPUTED_VALUE"""),5495.52)</f>
        <v>5495.52</v>
      </c>
      <c r="J1684" s="6" t="str">
        <f t="shared" ca="1" si="471"/>
        <v>20248</v>
      </c>
      <c r="K1684" s="6">
        <f t="shared" ca="1" si="472"/>
        <v>2024</v>
      </c>
      <c r="L1684" s="6">
        <f t="shared" ca="1" si="473"/>
        <v>8</v>
      </c>
      <c r="M1684" s="68">
        <f ca="1">IFERROR(__xludf.DUMMYFUNCTION("""COMPUTED_VALUE"""),45534.6666666666)</f>
        <v>45534.666666666599</v>
      </c>
      <c r="N1684" s="6">
        <f ca="1">IFERROR(__xludf.DUMMYFUNCTION("""COMPUTED_VALUE"""),17713.62)</f>
        <v>17713.62</v>
      </c>
      <c r="R1684" s="6" t="str">
        <f t="shared" ca="1" si="474"/>
        <v>202411</v>
      </c>
      <c r="S1684" s="6">
        <f t="shared" ca="1" si="475"/>
        <v>2024</v>
      </c>
      <c r="T1684" s="6">
        <f t="shared" ca="1" si="476"/>
        <v>11</v>
      </c>
      <c r="U1684" s="68">
        <f ca="1">IFERROR(__xludf.DUMMYFUNCTION("""COMPUTED_VALUE"""),45604.6458333333)</f>
        <v>45604.645833333299</v>
      </c>
      <c r="V1684" s="6">
        <f ca="1">IFERROR(__xludf.DUMMYFUNCTION("""COMPUTED_VALUE"""),2561.15)</f>
        <v>2561.15</v>
      </c>
      <c r="Z1684" s="6" t="str">
        <f t="shared" ca="1" si="477"/>
        <v>20229</v>
      </c>
      <c r="AA1684" s="6">
        <f t="shared" ca="1" si="478"/>
        <v>2022</v>
      </c>
      <c r="AB1684" s="6">
        <f t="shared" ca="1" si="479"/>
        <v>9</v>
      </c>
      <c r="AC1684" s="68">
        <f ca="1">IFERROR(__xludf.DUMMYFUNCTION("""COMPUTED_VALUE"""),44833.9986111111)</f>
        <v>44833.998611111099</v>
      </c>
      <c r="AD1684" s="6">
        <f ca="1">IFERROR(__xludf.DUMMYFUNCTION("""COMPUTED_VALUE"""),1430.17)</f>
        <v>1430.17</v>
      </c>
      <c r="AH1684" s="6" t="str">
        <f t="shared" ca="1" si="480"/>
        <v>20228</v>
      </c>
      <c r="AI1684" s="6">
        <f t="shared" ca="1" si="481"/>
        <v>2022</v>
      </c>
      <c r="AJ1684" s="6">
        <f t="shared" ca="1" si="482"/>
        <v>8</v>
      </c>
      <c r="AK1684" s="68">
        <f ca="1">IFERROR(__xludf.DUMMYFUNCTION("""COMPUTED_VALUE"""),44777.9986111111)</f>
        <v>44777.998611111099</v>
      </c>
      <c r="AL1684" s="6">
        <f ca="1">IFERROR(__xludf.DUMMYFUNCTION("""COMPUTED_VALUE"""),22611.98)</f>
        <v>22611.98</v>
      </c>
      <c r="AP1684" s="6" t="str">
        <f t="shared" ca="1" si="483"/>
        <v>20249</v>
      </c>
      <c r="AQ1684" s="6">
        <f t="shared" ca="1" si="484"/>
        <v>2024</v>
      </c>
      <c r="AR1684" s="6">
        <f t="shared" ca="1" si="485"/>
        <v>9</v>
      </c>
      <c r="AS1684" s="68">
        <f ca="1">IFERROR(__xludf.DUMMYFUNCTION("""COMPUTED_VALUE"""),45552.9986111111)</f>
        <v>45552.998611111099</v>
      </c>
      <c r="AT1684" s="6">
        <f ca="1">IFERROR(__xludf.DUMMYFUNCTION("""COMPUTED_VALUE"""),2592.4)</f>
        <v>2592.4</v>
      </c>
    </row>
    <row r="1685" spans="2:46" x14ac:dyDescent="0.35">
      <c r="B1685" s="6" t="str">
        <f t="shared" ca="1" si="468"/>
        <v>20249</v>
      </c>
      <c r="C1685" s="6">
        <f t="shared" ca="1" si="469"/>
        <v>2024</v>
      </c>
      <c r="D1685" s="6">
        <f t="shared" ca="1" si="470"/>
        <v>9</v>
      </c>
      <c r="E1685" s="68">
        <f ca="1">IFERROR(__xludf.DUMMYFUNCTION("""COMPUTED_VALUE"""),45546.6666666666)</f>
        <v>45546.666666666599</v>
      </c>
      <c r="F1685" s="6">
        <f ca="1">IFERROR(__xludf.DUMMYFUNCTION("""COMPUTED_VALUE"""),5554.13)</f>
        <v>5554.13</v>
      </c>
      <c r="J1685" s="6" t="str">
        <f t="shared" ca="1" si="471"/>
        <v>20249</v>
      </c>
      <c r="K1685" s="6">
        <f t="shared" ca="1" si="472"/>
        <v>2024</v>
      </c>
      <c r="L1685" s="6">
        <f t="shared" ca="1" si="473"/>
        <v>9</v>
      </c>
      <c r="M1685" s="68">
        <f ca="1">IFERROR(__xludf.DUMMYFUNCTION("""COMPUTED_VALUE"""),45538.6666666666)</f>
        <v>45538.666666666599</v>
      </c>
      <c r="N1685" s="6">
        <f ca="1">IFERROR(__xludf.DUMMYFUNCTION("""COMPUTED_VALUE"""),17136.3)</f>
        <v>17136.3</v>
      </c>
      <c r="R1685" s="6" t="str">
        <f t="shared" ca="1" si="474"/>
        <v>202411</v>
      </c>
      <c r="S1685" s="6">
        <f t="shared" ca="1" si="475"/>
        <v>2024</v>
      </c>
      <c r="T1685" s="6">
        <f t="shared" ca="1" si="476"/>
        <v>11</v>
      </c>
      <c r="U1685" s="68">
        <f ca="1">IFERROR(__xludf.DUMMYFUNCTION("""COMPUTED_VALUE"""),45607.6458333333)</f>
        <v>45607.645833333299</v>
      </c>
      <c r="V1685" s="6">
        <f ca="1">IFERROR(__xludf.DUMMYFUNCTION("""COMPUTED_VALUE"""),2531.66)</f>
        <v>2531.66</v>
      </c>
      <c r="Z1685" s="6" t="str">
        <f t="shared" ca="1" si="477"/>
        <v>20229</v>
      </c>
      <c r="AA1685" s="6">
        <f t="shared" ca="1" si="478"/>
        <v>2022</v>
      </c>
      <c r="AB1685" s="6">
        <f t="shared" ca="1" si="479"/>
        <v>9</v>
      </c>
      <c r="AC1685" s="68">
        <f ca="1">IFERROR(__xludf.DUMMYFUNCTION("""COMPUTED_VALUE"""),44834.9986111111)</f>
        <v>44834.998611111099</v>
      </c>
      <c r="AD1685" s="6">
        <f ca="1">IFERROR(__xludf.DUMMYFUNCTION("""COMPUTED_VALUE"""),1439.13)</f>
        <v>1439.13</v>
      </c>
      <c r="AH1685" s="6" t="str">
        <f t="shared" ca="1" si="480"/>
        <v>20228</v>
      </c>
      <c r="AI1685" s="6">
        <f t="shared" ca="1" si="481"/>
        <v>2022</v>
      </c>
      <c r="AJ1685" s="6">
        <f t="shared" ca="1" si="482"/>
        <v>8</v>
      </c>
      <c r="AK1685" s="68">
        <f ca="1">IFERROR(__xludf.DUMMYFUNCTION("""COMPUTED_VALUE"""),44778.9986111111)</f>
        <v>44778.998611111099</v>
      </c>
      <c r="AL1685" s="6">
        <f ca="1">IFERROR(__xludf.DUMMYFUNCTION("""COMPUTED_VALUE"""),23295.85)</f>
        <v>23295.85</v>
      </c>
      <c r="AP1685" s="6" t="str">
        <f t="shared" ca="1" si="483"/>
        <v>20249</v>
      </c>
      <c r="AQ1685" s="6">
        <f t="shared" ca="1" si="484"/>
        <v>2024</v>
      </c>
      <c r="AR1685" s="6">
        <f t="shared" ca="1" si="485"/>
        <v>9</v>
      </c>
      <c r="AS1685" s="68">
        <f ca="1">IFERROR(__xludf.DUMMYFUNCTION("""COMPUTED_VALUE"""),45553.9986111111)</f>
        <v>45553.998611111099</v>
      </c>
      <c r="AT1685" s="6">
        <f ca="1">IFERROR(__xludf.DUMMYFUNCTION("""COMPUTED_VALUE"""),2598.6)</f>
        <v>2598.6</v>
      </c>
    </row>
    <row r="1686" spans="2:46" x14ac:dyDescent="0.35">
      <c r="B1686" s="6" t="str">
        <f t="shared" ca="1" si="468"/>
        <v>20249</v>
      </c>
      <c r="C1686" s="6">
        <f t="shared" ca="1" si="469"/>
        <v>2024</v>
      </c>
      <c r="D1686" s="6">
        <f t="shared" ca="1" si="470"/>
        <v>9</v>
      </c>
      <c r="E1686" s="68">
        <f ca="1">IFERROR(__xludf.DUMMYFUNCTION("""COMPUTED_VALUE"""),45547.6666666666)</f>
        <v>45547.666666666599</v>
      </c>
      <c r="F1686" s="6">
        <f ca="1">IFERROR(__xludf.DUMMYFUNCTION("""COMPUTED_VALUE"""),5595.76)</f>
        <v>5595.76</v>
      </c>
      <c r="J1686" s="6" t="str">
        <f t="shared" ca="1" si="471"/>
        <v>20249</v>
      </c>
      <c r="K1686" s="6">
        <f t="shared" ca="1" si="472"/>
        <v>2024</v>
      </c>
      <c r="L1686" s="6">
        <f t="shared" ca="1" si="473"/>
        <v>9</v>
      </c>
      <c r="M1686" s="68">
        <f ca="1">IFERROR(__xludf.DUMMYFUNCTION("""COMPUTED_VALUE"""),45539.6666666666)</f>
        <v>45539.666666666599</v>
      </c>
      <c r="N1686" s="6">
        <f ca="1">IFERROR(__xludf.DUMMYFUNCTION("""COMPUTED_VALUE"""),17084.3)</f>
        <v>17084.3</v>
      </c>
      <c r="R1686" s="6" t="str">
        <f t="shared" ca="1" si="474"/>
        <v>202411</v>
      </c>
      <c r="S1686" s="6">
        <f t="shared" ca="1" si="475"/>
        <v>2024</v>
      </c>
      <c r="T1686" s="6">
        <f t="shared" ca="1" si="476"/>
        <v>11</v>
      </c>
      <c r="U1686" s="68">
        <f ca="1">IFERROR(__xludf.DUMMYFUNCTION("""COMPUTED_VALUE"""),45608.6458333333)</f>
        <v>45608.645833333299</v>
      </c>
      <c r="V1686" s="6">
        <f ca="1">IFERROR(__xludf.DUMMYFUNCTION("""COMPUTED_VALUE"""),2482.57)</f>
        <v>2482.5700000000002</v>
      </c>
      <c r="Z1686" s="6" t="str">
        <f t="shared" ca="1" si="477"/>
        <v>202210</v>
      </c>
      <c r="AA1686" s="6">
        <f t="shared" ca="1" si="478"/>
        <v>2022</v>
      </c>
      <c r="AB1686" s="6">
        <f t="shared" ca="1" si="479"/>
        <v>10</v>
      </c>
      <c r="AC1686" s="68">
        <f ca="1">IFERROR(__xludf.DUMMYFUNCTION("""COMPUTED_VALUE"""),44835.9986111111)</f>
        <v>44835.998611111099</v>
      </c>
      <c r="AD1686" s="6">
        <f ca="1">IFERROR(__xludf.DUMMYFUNCTION("""COMPUTED_VALUE"""),1439.13)</f>
        <v>1439.13</v>
      </c>
      <c r="AH1686" s="6" t="str">
        <f t="shared" ca="1" si="480"/>
        <v>20228</v>
      </c>
      <c r="AI1686" s="6">
        <f t="shared" ca="1" si="481"/>
        <v>2022</v>
      </c>
      <c r="AJ1686" s="6">
        <f t="shared" ca="1" si="482"/>
        <v>8</v>
      </c>
      <c r="AK1686" s="68">
        <f ca="1">IFERROR(__xludf.DUMMYFUNCTION("""COMPUTED_VALUE"""),44779.9986111111)</f>
        <v>44779.998611111099</v>
      </c>
      <c r="AL1686" s="6">
        <f ca="1">IFERROR(__xludf.DUMMYFUNCTION("""COMPUTED_VALUE"""),22947)</f>
        <v>22947</v>
      </c>
      <c r="AP1686" s="6" t="str">
        <f t="shared" ca="1" si="483"/>
        <v>20249</v>
      </c>
      <c r="AQ1686" s="6">
        <f t="shared" ca="1" si="484"/>
        <v>2024</v>
      </c>
      <c r="AR1686" s="6">
        <f t="shared" ca="1" si="485"/>
        <v>9</v>
      </c>
      <c r="AS1686" s="68">
        <f ca="1">IFERROR(__xludf.DUMMYFUNCTION("""COMPUTED_VALUE"""),45554.9986111111)</f>
        <v>45554.998611111099</v>
      </c>
      <c r="AT1686" s="6">
        <f ca="1">IFERROR(__xludf.DUMMYFUNCTION("""COMPUTED_VALUE"""),2614.6)</f>
        <v>2614.6</v>
      </c>
    </row>
    <row r="1687" spans="2:46" x14ac:dyDescent="0.35">
      <c r="B1687" s="6" t="str">
        <f t="shared" ca="1" si="468"/>
        <v>20249</v>
      </c>
      <c r="C1687" s="6">
        <f t="shared" ca="1" si="469"/>
        <v>2024</v>
      </c>
      <c r="D1687" s="6">
        <f t="shared" ca="1" si="470"/>
        <v>9</v>
      </c>
      <c r="E1687" s="68">
        <f ca="1">IFERROR(__xludf.DUMMYFUNCTION("""COMPUTED_VALUE"""),45548.6666666666)</f>
        <v>45548.666666666599</v>
      </c>
      <c r="F1687" s="6">
        <f ca="1">IFERROR(__xludf.DUMMYFUNCTION("""COMPUTED_VALUE"""),5626.02)</f>
        <v>5626.02</v>
      </c>
      <c r="J1687" s="6" t="str">
        <f t="shared" ca="1" si="471"/>
        <v>20249</v>
      </c>
      <c r="K1687" s="6">
        <f t="shared" ca="1" si="472"/>
        <v>2024</v>
      </c>
      <c r="L1687" s="6">
        <f t="shared" ca="1" si="473"/>
        <v>9</v>
      </c>
      <c r="M1687" s="68">
        <f ca="1">IFERROR(__xludf.DUMMYFUNCTION("""COMPUTED_VALUE"""),45540.6666666666)</f>
        <v>45540.666666666599</v>
      </c>
      <c r="N1687" s="6">
        <f ca="1">IFERROR(__xludf.DUMMYFUNCTION("""COMPUTED_VALUE"""),17127.66)</f>
        <v>17127.66</v>
      </c>
      <c r="R1687" s="6" t="str">
        <f t="shared" ca="1" si="474"/>
        <v>202411</v>
      </c>
      <c r="S1687" s="6">
        <f t="shared" ca="1" si="475"/>
        <v>2024</v>
      </c>
      <c r="T1687" s="6">
        <f t="shared" ca="1" si="476"/>
        <v>11</v>
      </c>
      <c r="U1687" s="68">
        <f ca="1">IFERROR(__xludf.DUMMYFUNCTION("""COMPUTED_VALUE"""),45609.6458333333)</f>
        <v>45609.645833333299</v>
      </c>
      <c r="V1687" s="6">
        <f ca="1">IFERROR(__xludf.DUMMYFUNCTION("""COMPUTED_VALUE"""),2417.08)</f>
        <v>2417.08</v>
      </c>
      <c r="Z1687" s="6" t="str">
        <f t="shared" ca="1" si="477"/>
        <v>202210</v>
      </c>
      <c r="AA1687" s="6">
        <f t="shared" ca="1" si="478"/>
        <v>2022</v>
      </c>
      <c r="AB1687" s="6">
        <f t="shared" ca="1" si="479"/>
        <v>10</v>
      </c>
      <c r="AC1687" s="68">
        <f ca="1">IFERROR(__xludf.DUMMYFUNCTION("""COMPUTED_VALUE"""),44836.9986111111)</f>
        <v>44836.998611111099</v>
      </c>
      <c r="AD1687" s="6">
        <f ca="1">IFERROR(__xludf.DUMMYFUNCTION("""COMPUTED_VALUE"""),1439.23)</f>
        <v>1439.23</v>
      </c>
      <c r="AH1687" s="6" t="str">
        <f t="shared" ca="1" si="480"/>
        <v>20228</v>
      </c>
      <c r="AI1687" s="6">
        <f t="shared" ca="1" si="481"/>
        <v>2022</v>
      </c>
      <c r="AJ1687" s="6">
        <f t="shared" ca="1" si="482"/>
        <v>8</v>
      </c>
      <c r="AK1687" s="68">
        <f ca="1">IFERROR(__xludf.DUMMYFUNCTION("""COMPUTED_VALUE"""),44780.9986111111)</f>
        <v>44780.998611111099</v>
      </c>
      <c r="AL1687" s="6">
        <f ca="1">IFERROR(__xludf.DUMMYFUNCTION("""COMPUTED_VALUE"""),23176.28)</f>
        <v>23176.28</v>
      </c>
      <c r="AP1687" s="6" t="str">
        <f t="shared" ca="1" si="483"/>
        <v>20249</v>
      </c>
      <c r="AQ1687" s="6">
        <f t="shared" ca="1" si="484"/>
        <v>2024</v>
      </c>
      <c r="AR1687" s="6">
        <f t="shared" ca="1" si="485"/>
        <v>9</v>
      </c>
      <c r="AS1687" s="68">
        <f ca="1">IFERROR(__xludf.DUMMYFUNCTION("""COMPUTED_VALUE"""),45555.9986111111)</f>
        <v>45555.998611111099</v>
      </c>
      <c r="AT1687" s="6">
        <f ca="1">IFERROR(__xludf.DUMMYFUNCTION("""COMPUTED_VALUE"""),2646.2)</f>
        <v>2646.2</v>
      </c>
    </row>
    <row r="1688" spans="2:46" x14ac:dyDescent="0.35">
      <c r="B1688" s="6" t="str">
        <f t="shared" ca="1" si="468"/>
        <v>20249</v>
      </c>
      <c r="C1688" s="6">
        <f t="shared" ca="1" si="469"/>
        <v>2024</v>
      </c>
      <c r="D1688" s="6">
        <f t="shared" ca="1" si="470"/>
        <v>9</v>
      </c>
      <c r="E1688" s="68">
        <f ca="1">IFERROR(__xludf.DUMMYFUNCTION("""COMPUTED_VALUE"""),45551.6666666666)</f>
        <v>45551.666666666599</v>
      </c>
      <c r="F1688" s="6">
        <f ca="1">IFERROR(__xludf.DUMMYFUNCTION("""COMPUTED_VALUE"""),5633.09)</f>
        <v>5633.09</v>
      </c>
      <c r="J1688" s="6" t="str">
        <f t="shared" ca="1" si="471"/>
        <v>20249</v>
      </c>
      <c r="K1688" s="6">
        <f t="shared" ca="1" si="472"/>
        <v>2024</v>
      </c>
      <c r="L1688" s="6">
        <f t="shared" ca="1" si="473"/>
        <v>9</v>
      </c>
      <c r="M1688" s="68">
        <f ca="1">IFERROR(__xludf.DUMMYFUNCTION("""COMPUTED_VALUE"""),45541.6666666666)</f>
        <v>45541.666666666599</v>
      </c>
      <c r="N1688" s="6">
        <f ca="1">IFERROR(__xludf.DUMMYFUNCTION("""COMPUTED_VALUE"""),16690.83)</f>
        <v>16690.830000000002</v>
      </c>
      <c r="R1688" s="6" t="str">
        <f t="shared" ca="1" si="474"/>
        <v>202411</v>
      </c>
      <c r="S1688" s="6">
        <f t="shared" ca="1" si="475"/>
        <v>2024</v>
      </c>
      <c r="T1688" s="6">
        <f t="shared" ca="1" si="476"/>
        <v>11</v>
      </c>
      <c r="U1688" s="68">
        <f ca="1">IFERROR(__xludf.DUMMYFUNCTION("""COMPUTED_VALUE"""),45610.6458333333)</f>
        <v>45610.645833333299</v>
      </c>
      <c r="V1688" s="6">
        <f ca="1">IFERROR(__xludf.DUMMYFUNCTION("""COMPUTED_VALUE"""),2418.86)</f>
        <v>2418.86</v>
      </c>
      <c r="Z1688" s="6" t="str">
        <f t="shared" ca="1" si="477"/>
        <v>202210</v>
      </c>
      <c r="AA1688" s="6">
        <f t="shared" ca="1" si="478"/>
        <v>2022</v>
      </c>
      <c r="AB1688" s="6">
        <f t="shared" ca="1" si="479"/>
        <v>10</v>
      </c>
      <c r="AC1688" s="68">
        <f ca="1">IFERROR(__xludf.DUMMYFUNCTION("""COMPUTED_VALUE"""),44837.9986111111)</f>
        <v>44837.998611111099</v>
      </c>
      <c r="AD1688" s="6">
        <f ca="1">IFERROR(__xludf.DUMMYFUNCTION("""COMPUTED_VALUE"""),1433.34)</f>
        <v>1433.34</v>
      </c>
      <c r="AH1688" s="6" t="str">
        <f t="shared" ca="1" si="480"/>
        <v>20228</v>
      </c>
      <c r="AI1688" s="6">
        <f t="shared" ca="1" si="481"/>
        <v>2022</v>
      </c>
      <c r="AJ1688" s="6">
        <f t="shared" ca="1" si="482"/>
        <v>8</v>
      </c>
      <c r="AK1688" s="68">
        <f ca="1">IFERROR(__xludf.DUMMYFUNCTION("""COMPUTED_VALUE"""),44781.9986111111)</f>
        <v>44781.998611111099</v>
      </c>
      <c r="AL1688" s="6">
        <f ca="1">IFERROR(__xludf.DUMMYFUNCTION("""COMPUTED_VALUE"""),23814.56)</f>
        <v>23814.560000000001</v>
      </c>
      <c r="AP1688" s="6" t="str">
        <f t="shared" ca="1" si="483"/>
        <v>20249</v>
      </c>
      <c r="AQ1688" s="6">
        <f t="shared" ca="1" si="484"/>
        <v>2024</v>
      </c>
      <c r="AR1688" s="6">
        <f t="shared" ca="1" si="485"/>
        <v>9</v>
      </c>
      <c r="AS1688" s="68">
        <f ca="1">IFERROR(__xludf.DUMMYFUNCTION("""COMPUTED_VALUE"""),45558.9986111111)</f>
        <v>45558.998611111099</v>
      </c>
      <c r="AT1688" s="6">
        <f ca="1">IFERROR(__xludf.DUMMYFUNCTION("""COMPUTED_VALUE"""),2652.5)</f>
        <v>2652.5</v>
      </c>
    </row>
    <row r="1689" spans="2:46" x14ac:dyDescent="0.35">
      <c r="B1689" s="6" t="str">
        <f t="shared" ca="1" si="468"/>
        <v>20249</v>
      </c>
      <c r="C1689" s="6">
        <f t="shared" ca="1" si="469"/>
        <v>2024</v>
      </c>
      <c r="D1689" s="6">
        <f t="shared" ca="1" si="470"/>
        <v>9</v>
      </c>
      <c r="E1689" s="68">
        <f ca="1">IFERROR(__xludf.DUMMYFUNCTION("""COMPUTED_VALUE"""),45552.6666666666)</f>
        <v>45552.666666666599</v>
      </c>
      <c r="F1689" s="6">
        <f ca="1">IFERROR(__xludf.DUMMYFUNCTION("""COMPUTED_VALUE"""),5634.58)</f>
        <v>5634.58</v>
      </c>
      <c r="J1689" s="6" t="str">
        <f t="shared" ca="1" si="471"/>
        <v>20249</v>
      </c>
      <c r="K1689" s="6">
        <f t="shared" ca="1" si="472"/>
        <v>2024</v>
      </c>
      <c r="L1689" s="6">
        <f t="shared" ca="1" si="473"/>
        <v>9</v>
      </c>
      <c r="M1689" s="68">
        <f ca="1">IFERROR(__xludf.DUMMYFUNCTION("""COMPUTED_VALUE"""),45544.6666666666)</f>
        <v>45544.666666666599</v>
      </c>
      <c r="N1689" s="6">
        <f ca="1">IFERROR(__xludf.DUMMYFUNCTION("""COMPUTED_VALUE"""),16884.6)</f>
        <v>16884.599999999999</v>
      </c>
      <c r="R1689" s="6" t="str">
        <f t="shared" ca="1" si="474"/>
        <v>202411</v>
      </c>
      <c r="S1689" s="6">
        <f t="shared" ca="1" si="475"/>
        <v>2024</v>
      </c>
      <c r="T1689" s="6">
        <f t="shared" ca="1" si="476"/>
        <v>11</v>
      </c>
      <c r="U1689" s="68">
        <f ca="1">IFERROR(__xludf.DUMMYFUNCTION("""COMPUTED_VALUE"""),45611.6458333333)</f>
        <v>45611.645833333299</v>
      </c>
      <c r="V1689" s="6">
        <f ca="1">IFERROR(__xludf.DUMMYFUNCTION("""COMPUTED_VALUE"""),2416.86)</f>
        <v>2416.86</v>
      </c>
      <c r="Z1689" s="6" t="str">
        <f t="shared" ca="1" si="477"/>
        <v>202210</v>
      </c>
      <c r="AA1689" s="6">
        <f t="shared" ca="1" si="478"/>
        <v>2022</v>
      </c>
      <c r="AB1689" s="6">
        <f t="shared" ca="1" si="479"/>
        <v>10</v>
      </c>
      <c r="AC1689" s="68">
        <f ca="1">IFERROR(__xludf.DUMMYFUNCTION("""COMPUTED_VALUE"""),44838.9986111111)</f>
        <v>44838.998611111099</v>
      </c>
      <c r="AD1689" s="6">
        <f ca="1">IFERROR(__xludf.DUMMYFUNCTION("""COMPUTED_VALUE"""),1416.53)</f>
        <v>1416.53</v>
      </c>
      <c r="AH1689" s="6" t="str">
        <f t="shared" ca="1" si="480"/>
        <v>20228</v>
      </c>
      <c r="AI1689" s="6">
        <f t="shared" ca="1" si="481"/>
        <v>2022</v>
      </c>
      <c r="AJ1689" s="6">
        <f t="shared" ca="1" si="482"/>
        <v>8</v>
      </c>
      <c r="AK1689" s="68">
        <f ca="1">IFERROR(__xludf.DUMMYFUNCTION("""COMPUTED_VALUE"""),44782.9986111111)</f>
        <v>44782.998611111099</v>
      </c>
      <c r="AL1689" s="6">
        <f ca="1">IFERROR(__xludf.DUMMYFUNCTION("""COMPUTED_VALUE"""),23151.76)</f>
        <v>23151.759999999998</v>
      </c>
      <c r="AP1689" s="6" t="str">
        <f t="shared" ca="1" si="483"/>
        <v>20249</v>
      </c>
      <c r="AQ1689" s="6">
        <f t="shared" ca="1" si="484"/>
        <v>2024</v>
      </c>
      <c r="AR1689" s="6">
        <f t="shared" ca="1" si="485"/>
        <v>9</v>
      </c>
      <c r="AS1689" s="68">
        <f ca="1">IFERROR(__xludf.DUMMYFUNCTION("""COMPUTED_VALUE"""),45559.9986111111)</f>
        <v>45559.998611111099</v>
      </c>
      <c r="AT1689" s="6">
        <f ca="1">IFERROR(__xludf.DUMMYFUNCTION("""COMPUTED_VALUE"""),2677)</f>
        <v>2677</v>
      </c>
    </row>
    <row r="1690" spans="2:46" x14ac:dyDescent="0.35">
      <c r="B1690" s="6" t="str">
        <f t="shared" ca="1" si="468"/>
        <v>20249</v>
      </c>
      <c r="C1690" s="6">
        <f t="shared" ca="1" si="469"/>
        <v>2024</v>
      </c>
      <c r="D1690" s="6">
        <f t="shared" ca="1" si="470"/>
        <v>9</v>
      </c>
      <c r="E1690" s="68">
        <f ca="1">IFERROR(__xludf.DUMMYFUNCTION("""COMPUTED_VALUE"""),45553.6666666666)</f>
        <v>45553.666666666599</v>
      </c>
      <c r="F1690" s="6">
        <f ca="1">IFERROR(__xludf.DUMMYFUNCTION("""COMPUTED_VALUE"""),5618.26)</f>
        <v>5618.26</v>
      </c>
      <c r="J1690" s="6" t="str">
        <f t="shared" ca="1" si="471"/>
        <v>20249</v>
      </c>
      <c r="K1690" s="6">
        <f t="shared" ca="1" si="472"/>
        <v>2024</v>
      </c>
      <c r="L1690" s="6">
        <f t="shared" ca="1" si="473"/>
        <v>9</v>
      </c>
      <c r="M1690" s="68">
        <f ca="1">IFERROR(__xludf.DUMMYFUNCTION("""COMPUTED_VALUE"""),45545.6666666666)</f>
        <v>45545.666666666599</v>
      </c>
      <c r="N1690" s="6">
        <f ca="1">IFERROR(__xludf.DUMMYFUNCTION("""COMPUTED_VALUE"""),17025.88)</f>
        <v>17025.88</v>
      </c>
      <c r="R1690" s="6" t="str">
        <f t="shared" ca="1" si="474"/>
        <v>202411</v>
      </c>
      <c r="S1690" s="6">
        <f t="shared" ca="1" si="475"/>
        <v>2024</v>
      </c>
      <c r="T1690" s="6">
        <f t="shared" ca="1" si="476"/>
        <v>11</v>
      </c>
      <c r="U1690" s="68">
        <f ca="1">IFERROR(__xludf.DUMMYFUNCTION("""COMPUTED_VALUE"""),45614.6458333333)</f>
        <v>45614.645833333299</v>
      </c>
      <c r="V1690" s="6">
        <f ca="1">IFERROR(__xludf.DUMMYFUNCTION("""COMPUTED_VALUE"""),2469.07)</f>
        <v>2469.0700000000002</v>
      </c>
      <c r="Z1690" s="6" t="str">
        <f t="shared" ca="1" si="477"/>
        <v>202210</v>
      </c>
      <c r="AA1690" s="6">
        <f t="shared" ca="1" si="478"/>
        <v>2022</v>
      </c>
      <c r="AB1690" s="6">
        <f t="shared" ca="1" si="479"/>
        <v>10</v>
      </c>
      <c r="AC1690" s="68">
        <f ca="1">IFERROR(__xludf.DUMMYFUNCTION("""COMPUTED_VALUE"""),44839.9986111111)</f>
        <v>44839.998611111099</v>
      </c>
      <c r="AD1690" s="6">
        <f ca="1">IFERROR(__xludf.DUMMYFUNCTION("""COMPUTED_VALUE"""),1416.76)</f>
        <v>1416.76</v>
      </c>
      <c r="AH1690" s="6" t="str">
        <f t="shared" ca="1" si="480"/>
        <v>20228</v>
      </c>
      <c r="AI1690" s="6">
        <f t="shared" ca="1" si="481"/>
        <v>2022</v>
      </c>
      <c r="AJ1690" s="6">
        <f t="shared" ca="1" si="482"/>
        <v>8</v>
      </c>
      <c r="AK1690" s="68">
        <f ca="1">IFERROR(__xludf.DUMMYFUNCTION("""COMPUTED_VALUE"""),44783.9986111111)</f>
        <v>44783.998611111099</v>
      </c>
      <c r="AL1690" s="6">
        <f ca="1">IFERROR(__xludf.DUMMYFUNCTION("""COMPUTED_VALUE"""),23955.45)</f>
        <v>23955.45</v>
      </c>
      <c r="AP1690" s="6" t="str">
        <f t="shared" ca="1" si="483"/>
        <v>20249</v>
      </c>
      <c r="AQ1690" s="6">
        <f t="shared" ca="1" si="484"/>
        <v>2024</v>
      </c>
      <c r="AR1690" s="6">
        <f t="shared" ca="1" si="485"/>
        <v>9</v>
      </c>
      <c r="AS1690" s="68">
        <f ca="1">IFERROR(__xludf.DUMMYFUNCTION("""COMPUTED_VALUE"""),45560.9986111111)</f>
        <v>45560.998611111099</v>
      </c>
      <c r="AT1690" s="6">
        <f ca="1">IFERROR(__xludf.DUMMYFUNCTION("""COMPUTED_VALUE"""),2684.7)</f>
        <v>2684.7</v>
      </c>
    </row>
    <row r="1691" spans="2:46" x14ac:dyDescent="0.35">
      <c r="B1691" s="6" t="str">
        <f t="shared" ca="1" si="468"/>
        <v>20249</v>
      </c>
      <c r="C1691" s="6">
        <f t="shared" ca="1" si="469"/>
        <v>2024</v>
      </c>
      <c r="D1691" s="6">
        <f t="shared" ca="1" si="470"/>
        <v>9</v>
      </c>
      <c r="E1691" s="68">
        <f ca="1">IFERROR(__xludf.DUMMYFUNCTION("""COMPUTED_VALUE"""),45554.6666666666)</f>
        <v>45554.666666666599</v>
      </c>
      <c r="F1691" s="6">
        <f ca="1">IFERROR(__xludf.DUMMYFUNCTION("""COMPUTED_VALUE"""),5713.64)</f>
        <v>5713.64</v>
      </c>
      <c r="J1691" s="6" t="str">
        <f t="shared" ca="1" si="471"/>
        <v>20249</v>
      </c>
      <c r="K1691" s="6">
        <f t="shared" ca="1" si="472"/>
        <v>2024</v>
      </c>
      <c r="L1691" s="6">
        <f t="shared" ca="1" si="473"/>
        <v>9</v>
      </c>
      <c r="M1691" s="68">
        <f ca="1">IFERROR(__xludf.DUMMYFUNCTION("""COMPUTED_VALUE"""),45546.6666666666)</f>
        <v>45546.666666666599</v>
      </c>
      <c r="N1691" s="6">
        <f ca="1">IFERROR(__xludf.DUMMYFUNCTION("""COMPUTED_VALUE"""),17395.53)</f>
        <v>17395.53</v>
      </c>
      <c r="R1691" s="6" t="str">
        <f t="shared" ca="1" si="474"/>
        <v>202411</v>
      </c>
      <c r="S1691" s="6">
        <f t="shared" ca="1" si="475"/>
        <v>2024</v>
      </c>
      <c r="T1691" s="6">
        <f t="shared" ca="1" si="476"/>
        <v>11</v>
      </c>
      <c r="U1691" s="68">
        <f ca="1">IFERROR(__xludf.DUMMYFUNCTION("""COMPUTED_VALUE"""),45615.6458333333)</f>
        <v>45615.645833333299</v>
      </c>
      <c r="V1691" s="6">
        <f ca="1">IFERROR(__xludf.DUMMYFUNCTION("""COMPUTED_VALUE"""),2471.95)</f>
        <v>2471.9499999999998</v>
      </c>
      <c r="Z1691" s="6" t="str">
        <f t="shared" ca="1" si="477"/>
        <v>202210</v>
      </c>
      <c r="AA1691" s="6">
        <f t="shared" ca="1" si="478"/>
        <v>2022</v>
      </c>
      <c r="AB1691" s="6">
        <f t="shared" ca="1" si="479"/>
        <v>10</v>
      </c>
      <c r="AC1691" s="68">
        <f ca="1">IFERROR(__xludf.DUMMYFUNCTION("""COMPUTED_VALUE"""),44840.9986111111)</f>
        <v>44840.998611111099</v>
      </c>
      <c r="AD1691" s="6">
        <f ca="1">IFERROR(__xludf.DUMMYFUNCTION("""COMPUTED_VALUE"""),1408.45)</f>
        <v>1408.45</v>
      </c>
      <c r="AH1691" s="6" t="str">
        <f t="shared" ca="1" si="480"/>
        <v>20228</v>
      </c>
      <c r="AI1691" s="6">
        <f t="shared" ca="1" si="481"/>
        <v>2022</v>
      </c>
      <c r="AJ1691" s="6">
        <f t="shared" ca="1" si="482"/>
        <v>8</v>
      </c>
      <c r="AK1691" s="68">
        <f ca="1">IFERROR(__xludf.DUMMYFUNCTION("""COMPUTED_VALUE"""),44784.9986111111)</f>
        <v>44784.998611111099</v>
      </c>
      <c r="AL1691" s="6">
        <f ca="1">IFERROR(__xludf.DUMMYFUNCTION("""COMPUTED_VALUE"""),23940.98)</f>
        <v>23940.98</v>
      </c>
      <c r="AP1691" s="6" t="str">
        <f t="shared" ca="1" si="483"/>
        <v>20249</v>
      </c>
      <c r="AQ1691" s="6">
        <f t="shared" ca="1" si="484"/>
        <v>2024</v>
      </c>
      <c r="AR1691" s="6">
        <f t="shared" ca="1" si="485"/>
        <v>9</v>
      </c>
      <c r="AS1691" s="68">
        <f ca="1">IFERROR(__xludf.DUMMYFUNCTION("""COMPUTED_VALUE"""),45561.9986111111)</f>
        <v>45561.998611111099</v>
      </c>
      <c r="AT1691" s="6">
        <f ca="1">IFERROR(__xludf.DUMMYFUNCTION("""COMPUTED_VALUE"""),2694.9)</f>
        <v>2694.9</v>
      </c>
    </row>
    <row r="1692" spans="2:46" x14ac:dyDescent="0.35">
      <c r="B1692" s="6" t="str">
        <f t="shared" ca="1" si="468"/>
        <v>20249</v>
      </c>
      <c r="C1692" s="6">
        <f t="shared" ca="1" si="469"/>
        <v>2024</v>
      </c>
      <c r="D1692" s="6">
        <f t="shared" ca="1" si="470"/>
        <v>9</v>
      </c>
      <c r="E1692" s="68">
        <f ca="1">IFERROR(__xludf.DUMMYFUNCTION("""COMPUTED_VALUE"""),45555.6666666666)</f>
        <v>45555.666666666599</v>
      </c>
      <c r="F1692" s="6">
        <f ca="1">IFERROR(__xludf.DUMMYFUNCTION("""COMPUTED_VALUE"""),5702.55)</f>
        <v>5702.55</v>
      </c>
      <c r="J1692" s="6" t="str">
        <f t="shared" ca="1" si="471"/>
        <v>20249</v>
      </c>
      <c r="K1692" s="6">
        <f t="shared" ca="1" si="472"/>
        <v>2024</v>
      </c>
      <c r="L1692" s="6">
        <f t="shared" ca="1" si="473"/>
        <v>9</v>
      </c>
      <c r="M1692" s="68">
        <f ca="1">IFERROR(__xludf.DUMMYFUNCTION("""COMPUTED_VALUE"""),45547.6666666666)</f>
        <v>45547.666666666599</v>
      </c>
      <c r="N1692" s="6">
        <f ca="1">IFERROR(__xludf.DUMMYFUNCTION("""COMPUTED_VALUE"""),17569.68)</f>
        <v>17569.68</v>
      </c>
      <c r="R1692" s="6" t="str">
        <f t="shared" ca="1" si="474"/>
        <v>202411</v>
      </c>
      <c r="S1692" s="6">
        <f t="shared" ca="1" si="475"/>
        <v>2024</v>
      </c>
      <c r="T1692" s="6">
        <f t="shared" ca="1" si="476"/>
        <v>11</v>
      </c>
      <c r="U1692" s="68">
        <f ca="1">IFERROR(__xludf.DUMMYFUNCTION("""COMPUTED_VALUE"""),45616.6458333333)</f>
        <v>45616.645833333299</v>
      </c>
      <c r="V1692" s="6">
        <f ca="1">IFERROR(__xludf.DUMMYFUNCTION("""COMPUTED_VALUE"""),2482.29)</f>
        <v>2482.29</v>
      </c>
      <c r="Z1692" s="6" t="str">
        <f t="shared" ca="1" si="477"/>
        <v>202210</v>
      </c>
      <c r="AA1692" s="6">
        <f t="shared" ca="1" si="478"/>
        <v>2022</v>
      </c>
      <c r="AB1692" s="6">
        <f t="shared" ca="1" si="479"/>
        <v>10</v>
      </c>
      <c r="AC1692" s="68">
        <f ca="1">IFERROR(__xludf.DUMMYFUNCTION("""COMPUTED_VALUE"""),44841.9986111111)</f>
        <v>44841.998611111099</v>
      </c>
      <c r="AD1692" s="6">
        <f ca="1">IFERROR(__xludf.DUMMYFUNCTION("""COMPUTED_VALUE"""),1424.66)</f>
        <v>1424.66</v>
      </c>
      <c r="AH1692" s="6" t="str">
        <f t="shared" ca="1" si="480"/>
        <v>20228</v>
      </c>
      <c r="AI1692" s="6">
        <f t="shared" ca="1" si="481"/>
        <v>2022</v>
      </c>
      <c r="AJ1692" s="6">
        <f t="shared" ca="1" si="482"/>
        <v>8</v>
      </c>
      <c r="AK1692" s="68">
        <f ca="1">IFERROR(__xludf.DUMMYFUNCTION("""COMPUTED_VALUE"""),44785.9986111111)</f>
        <v>44785.998611111099</v>
      </c>
      <c r="AL1692" s="6">
        <f ca="1">IFERROR(__xludf.DUMMYFUNCTION("""COMPUTED_VALUE"""),24406.11)</f>
        <v>24406.11</v>
      </c>
      <c r="AP1692" s="6" t="str">
        <f t="shared" ca="1" si="483"/>
        <v>20249</v>
      </c>
      <c r="AQ1692" s="6">
        <f t="shared" ca="1" si="484"/>
        <v>2024</v>
      </c>
      <c r="AR1692" s="6">
        <f t="shared" ca="1" si="485"/>
        <v>9</v>
      </c>
      <c r="AS1692" s="68">
        <f ca="1">IFERROR(__xludf.DUMMYFUNCTION("""COMPUTED_VALUE"""),45562.9986111111)</f>
        <v>45562.998611111099</v>
      </c>
      <c r="AT1692" s="6">
        <f ca="1">IFERROR(__xludf.DUMMYFUNCTION("""COMPUTED_VALUE"""),2668.1)</f>
        <v>2668.1</v>
      </c>
    </row>
    <row r="1693" spans="2:46" x14ac:dyDescent="0.35">
      <c r="B1693" s="6" t="str">
        <f t="shared" ca="1" si="468"/>
        <v>20249</v>
      </c>
      <c r="C1693" s="6">
        <f t="shared" ca="1" si="469"/>
        <v>2024</v>
      </c>
      <c r="D1693" s="6">
        <f t="shared" ca="1" si="470"/>
        <v>9</v>
      </c>
      <c r="E1693" s="68">
        <f ca="1">IFERROR(__xludf.DUMMYFUNCTION("""COMPUTED_VALUE"""),45558.6666666666)</f>
        <v>45558.666666666599</v>
      </c>
      <c r="F1693" s="6">
        <f ca="1">IFERROR(__xludf.DUMMYFUNCTION("""COMPUTED_VALUE"""),5718.57)</f>
        <v>5718.57</v>
      </c>
      <c r="J1693" s="6" t="str">
        <f t="shared" ca="1" si="471"/>
        <v>20249</v>
      </c>
      <c r="K1693" s="6">
        <f t="shared" ca="1" si="472"/>
        <v>2024</v>
      </c>
      <c r="L1693" s="6">
        <f t="shared" ca="1" si="473"/>
        <v>9</v>
      </c>
      <c r="M1693" s="68">
        <f ca="1">IFERROR(__xludf.DUMMYFUNCTION("""COMPUTED_VALUE"""),45548.6666666666)</f>
        <v>45548.666666666599</v>
      </c>
      <c r="N1693" s="6">
        <f ca="1">IFERROR(__xludf.DUMMYFUNCTION("""COMPUTED_VALUE"""),17683.98)</f>
        <v>17683.98</v>
      </c>
      <c r="R1693" s="6" t="str">
        <f t="shared" ca="1" si="474"/>
        <v>202411</v>
      </c>
      <c r="S1693" s="6">
        <f t="shared" ca="1" si="475"/>
        <v>2024</v>
      </c>
      <c r="T1693" s="6">
        <f t="shared" ca="1" si="476"/>
        <v>11</v>
      </c>
      <c r="U1693" s="68">
        <f ca="1">IFERROR(__xludf.DUMMYFUNCTION("""COMPUTED_VALUE"""),45617.6458333333)</f>
        <v>45617.645833333299</v>
      </c>
      <c r="V1693" s="6">
        <f ca="1">IFERROR(__xludf.DUMMYFUNCTION("""COMPUTED_VALUE"""),2480.63)</f>
        <v>2480.63</v>
      </c>
      <c r="Z1693" s="6" t="str">
        <f t="shared" ca="1" si="477"/>
        <v>202210</v>
      </c>
      <c r="AA1693" s="6">
        <f t="shared" ca="1" si="478"/>
        <v>2022</v>
      </c>
      <c r="AB1693" s="6">
        <f t="shared" ca="1" si="479"/>
        <v>10</v>
      </c>
      <c r="AC1693" s="68">
        <f ca="1">IFERROR(__xludf.DUMMYFUNCTION("""COMPUTED_VALUE"""),44842.9986111111)</f>
        <v>44842.998611111099</v>
      </c>
      <c r="AD1693" s="6">
        <f ca="1">IFERROR(__xludf.DUMMYFUNCTION("""COMPUTED_VALUE"""),1424.56)</f>
        <v>1424.56</v>
      </c>
      <c r="AH1693" s="6" t="str">
        <f t="shared" ca="1" si="480"/>
        <v>20228</v>
      </c>
      <c r="AI1693" s="6">
        <f t="shared" ca="1" si="481"/>
        <v>2022</v>
      </c>
      <c r="AJ1693" s="6">
        <f t="shared" ca="1" si="482"/>
        <v>8</v>
      </c>
      <c r="AK1693" s="68">
        <f ca="1">IFERROR(__xludf.DUMMYFUNCTION("""COMPUTED_VALUE"""),44786.9986111111)</f>
        <v>44786.998611111099</v>
      </c>
      <c r="AL1693" s="6">
        <f ca="1">IFERROR(__xludf.DUMMYFUNCTION("""COMPUTED_VALUE"""),24445.89)</f>
        <v>24445.89</v>
      </c>
      <c r="AP1693" s="6" t="str">
        <f t="shared" ca="1" si="483"/>
        <v>20249</v>
      </c>
      <c r="AQ1693" s="6">
        <f t="shared" ca="1" si="484"/>
        <v>2024</v>
      </c>
      <c r="AR1693" s="6">
        <f t="shared" ca="1" si="485"/>
        <v>9</v>
      </c>
      <c r="AS1693" s="68">
        <f ca="1">IFERROR(__xludf.DUMMYFUNCTION("""COMPUTED_VALUE"""),45565.9986111111)</f>
        <v>45565.998611111099</v>
      </c>
      <c r="AT1693" s="6">
        <f ca="1">IFERROR(__xludf.DUMMYFUNCTION("""COMPUTED_VALUE"""),2659.4)</f>
        <v>2659.4</v>
      </c>
    </row>
    <row r="1694" spans="2:46" x14ac:dyDescent="0.35">
      <c r="B1694" s="6" t="str">
        <f t="shared" ca="1" si="468"/>
        <v>20249</v>
      </c>
      <c r="C1694" s="6">
        <f t="shared" ca="1" si="469"/>
        <v>2024</v>
      </c>
      <c r="D1694" s="6">
        <f t="shared" ca="1" si="470"/>
        <v>9</v>
      </c>
      <c r="E1694" s="68">
        <f ca="1">IFERROR(__xludf.DUMMYFUNCTION("""COMPUTED_VALUE"""),45559.6666666666)</f>
        <v>45559.666666666599</v>
      </c>
      <c r="F1694" s="6">
        <f ca="1">IFERROR(__xludf.DUMMYFUNCTION("""COMPUTED_VALUE"""),5732.93)</f>
        <v>5732.93</v>
      </c>
      <c r="J1694" s="6" t="str">
        <f t="shared" ca="1" si="471"/>
        <v>20249</v>
      </c>
      <c r="K1694" s="6">
        <f t="shared" ca="1" si="472"/>
        <v>2024</v>
      </c>
      <c r="L1694" s="6">
        <f t="shared" ca="1" si="473"/>
        <v>9</v>
      </c>
      <c r="M1694" s="68">
        <f ca="1">IFERROR(__xludf.DUMMYFUNCTION("""COMPUTED_VALUE"""),45551.6666666666)</f>
        <v>45551.666666666599</v>
      </c>
      <c r="N1694" s="6">
        <f ca="1">IFERROR(__xludf.DUMMYFUNCTION("""COMPUTED_VALUE"""),17592.13)</f>
        <v>17592.13</v>
      </c>
      <c r="R1694" s="6" t="str">
        <f t="shared" ca="1" si="474"/>
        <v>202411</v>
      </c>
      <c r="S1694" s="6">
        <f t="shared" ca="1" si="475"/>
        <v>2024</v>
      </c>
      <c r="T1694" s="6">
        <f t="shared" ca="1" si="476"/>
        <v>11</v>
      </c>
      <c r="U1694" s="68">
        <f ca="1">IFERROR(__xludf.DUMMYFUNCTION("""COMPUTED_VALUE"""),45618.6458333333)</f>
        <v>45618.645833333299</v>
      </c>
      <c r="V1694" s="6">
        <f ca="1">IFERROR(__xludf.DUMMYFUNCTION("""COMPUTED_VALUE"""),2501.24)</f>
        <v>2501.2399999999998</v>
      </c>
      <c r="Z1694" s="6" t="str">
        <f t="shared" ca="1" si="477"/>
        <v>202210</v>
      </c>
      <c r="AA1694" s="6">
        <f t="shared" ca="1" si="478"/>
        <v>2022</v>
      </c>
      <c r="AB1694" s="6">
        <f t="shared" ca="1" si="479"/>
        <v>10</v>
      </c>
      <c r="AC1694" s="68">
        <f ca="1">IFERROR(__xludf.DUMMYFUNCTION("""COMPUTED_VALUE"""),44843.9986111111)</f>
        <v>44843.998611111099</v>
      </c>
      <c r="AD1694" s="6">
        <f ca="1">IFERROR(__xludf.DUMMYFUNCTION("""COMPUTED_VALUE"""),1415.98)</f>
        <v>1415.98</v>
      </c>
      <c r="AH1694" s="6" t="str">
        <f t="shared" ca="1" si="480"/>
        <v>20228</v>
      </c>
      <c r="AI1694" s="6">
        <f t="shared" ca="1" si="481"/>
        <v>2022</v>
      </c>
      <c r="AJ1694" s="6">
        <f t="shared" ca="1" si="482"/>
        <v>8</v>
      </c>
      <c r="AK1694" s="68">
        <f ca="1">IFERROR(__xludf.DUMMYFUNCTION("""COMPUTED_VALUE"""),44787.9986111111)</f>
        <v>44787.998611111099</v>
      </c>
      <c r="AL1694" s="6">
        <f ca="1">IFERROR(__xludf.DUMMYFUNCTION("""COMPUTED_VALUE"""),24310.07)</f>
        <v>24310.07</v>
      </c>
      <c r="AP1694" s="6" t="str">
        <f t="shared" ca="1" si="483"/>
        <v>202410</v>
      </c>
      <c r="AQ1694" s="6">
        <f t="shared" ca="1" si="484"/>
        <v>2024</v>
      </c>
      <c r="AR1694" s="6">
        <f t="shared" ca="1" si="485"/>
        <v>10</v>
      </c>
      <c r="AS1694" s="68">
        <f ca="1">IFERROR(__xludf.DUMMYFUNCTION("""COMPUTED_VALUE"""),45566.9986111111)</f>
        <v>45566.998611111099</v>
      </c>
      <c r="AT1694" s="6">
        <f ca="1">IFERROR(__xludf.DUMMYFUNCTION("""COMPUTED_VALUE"""),2690.3)</f>
        <v>2690.3</v>
      </c>
    </row>
    <row r="1695" spans="2:46" x14ac:dyDescent="0.35">
      <c r="B1695" s="6" t="str">
        <f t="shared" ca="1" si="468"/>
        <v>20249</v>
      </c>
      <c r="C1695" s="6">
        <f t="shared" ca="1" si="469"/>
        <v>2024</v>
      </c>
      <c r="D1695" s="6">
        <f t="shared" ca="1" si="470"/>
        <v>9</v>
      </c>
      <c r="E1695" s="68">
        <f ca="1">IFERROR(__xludf.DUMMYFUNCTION("""COMPUTED_VALUE"""),45560.6666666666)</f>
        <v>45560.666666666599</v>
      </c>
      <c r="F1695" s="6">
        <f ca="1">IFERROR(__xludf.DUMMYFUNCTION("""COMPUTED_VALUE"""),5722.26)</f>
        <v>5722.26</v>
      </c>
      <c r="J1695" s="6" t="str">
        <f t="shared" ca="1" si="471"/>
        <v>20249</v>
      </c>
      <c r="K1695" s="6">
        <f t="shared" ca="1" si="472"/>
        <v>2024</v>
      </c>
      <c r="L1695" s="6">
        <f t="shared" ca="1" si="473"/>
        <v>9</v>
      </c>
      <c r="M1695" s="68">
        <f ca="1">IFERROR(__xludf.DUMMYFUNCTION("""COMPUTED_VALUE"""),45552.6666666666)</f>
        <v>45552.666666666599</v>
      </c>
      <c r="N1695" s="6">
        <f ca="1">IFERROR(__xludf.DUMMYFUNCTION("""COMPUTED_VALUE"""),17628.06)</f>
        <v>17628.060000000001</v>
      </c>
      <c r="R1695" s="6" t="str">
        <f t="shared" ca="1" si="474"/>
        <v>202411</v>
      </c>
      <c r="S1695" s="6">
        <f t="shared" ca="1" si="475"/>
        <v>2024</v>
      </c>
      <c r="T1695" s="6">
        <f t="shared" ca="1" si="476"/>
        <v>11</v>
      </c>
      <c r="U1695" s="68">
        <f ca="1">IFERROR(__xludf.DUMMYFUNCTION("""COMPUTED_VALUE"""),45621.6458333333)</f>
        <v>45621.645833333299</v>
      </c>
      <c r="V1695" s="6">
        <f ca="1">IFERROR(__xludf.DUMMYFUNCTION("""COMPUTED_VALUE"""),2534.34)</f>
        <v>2534.34</v>
      </c>
      <c r="Z1695" s="6" t="str">
        <f t="shared" ca="1" si="477"/>
        <v>202210</v>
      </c>
      <c r="AA1695" s="6">
        <f t="shared" ca="1" si="478"/>
        <v>2022</v>
      </c>
      <c r="AB1695" s="6">
        <f t="shared" ca="1" si="479"/>
        <v>10</v>
      </c>
      <c r="AC1695" s="68">
        <f ca="1">IFERROR(__xludf.DUMMYFUNCTION("""COMPUTED_VALUE"""),44844.9986111111)</f>
        <v>44844.998611111099</v>
      </c>
      <c r="AD1695" s="6">
        <f ca="1">IFERROR(__xludf.DUMMYFUNCTION("""COMPUTED_VALUE"""),1428.35)</f>
        <v>1428.35</v>
      </c>
      <c r="AH1695" s="6" t="str">
        <f t="shared" ca="1" si="480"/>
        <v>20228</v>
      </c>
      <c r="AI1695" s="6">
        <f t="shared" ca="1" si="481"/>
        <v>2022</v>
      </c>
      <c r="AJ1695" s="6">
        <f t="shared" ca="1" si="482"/>
        <v>8</v>
      </c>
      <c r="AK1695" s="68">
        <f ca="1">IFERROR(__xludf.DUMMYFUNCTION("""COMPUTED_VALUE"""),44788.9986111111)</f>
        <v>44788.998611111099</v>
      </c>
      <c r="AL1695" s="6">
        <f ca="1">IFERROR(__xludf.DUMMYFUNCTION("""COMPUTED_VALUE"""),24101.31)</f>
        <v>24101.31</v>
      </c>
      <c r="AP1695" s="6" t="str">
        <f t="shared" ca="1" si="483"/>
        <v>202410</v>
      </c>
      <c r="AQ1695" s="6">
        <f t="shared" ca="1" si="484"/>
        <v>2024</v>
      </c>
      <c r="AR1695" s="6">
        <f t="shared" ca="1" si="485"/>
        <v>10</v>
      </c>
      <c r="AS1695" s="68">
        <f ca="1">IFERROR(__xludf.DUMMYFUNCTION("""COMPUTED_VALUE"""),45567.9986111111)</f>
        <v>45567.998611111099</v>
      </c>
      <c r="AT1695" s="6">
        <f ca="1">IFERROR(__xludf.DUMMYFUNCTION("""COMPUTED_VALUE"""),2669.7)</f>
        <v>2669.7</v>
      </c>
    </row>
    <row r="1696" spans="2:46" x14ac:dyDescent="0.35">
      <c r="B1696" s="6" t="str">
        <f t="shared" ca="1" si="468"/>
        <v>20249</v>
      </c>
      <c r="C1696" s="6">
        <f t="shared" ca="1" si="469"/>
        <v>2024</v>
      </c>
      <c r="D1696" s="6">
        <f t="shared" ca="1" si="470"/>
        <v>9</v>
      </c>
      <c r="E1696" s="68">
        <f ca="1">IFERROR(__xludf.DUMMYFUNCTION("""COMPUTED_VALUE"""),45561.6666666666)</f>
        <v>45561.666666666599</v>
      </c>
      <c r="F1696" s="6">
        <f ca="1">IFERROR(__xludf.DUMMYFUNCTION("""COMPUTED_VALUE"""),5745.37)</f>
        <v>5745.37</v>
      </c>
      <c r="J1696" s="6" t="str">
        <f t="shared" ca="1" si="471"/>
        <v>20249</v>
      </c>
      <c r="K1696" s="6">
        <f t="shared" ca="1" si="472"/>
        <v>2024</v>
      </c>
      <c r="L1696" s="6">
        <f t="shared" ca="1" si="473"/>
        <v>9</v>
      </c>
      <c r="M1696" s="68">
        <f ca="1">IFERROR(__xludf.DUMMYFUNCTION("""COMPUTED_VALUE"""),45553.6666666666)</f>
        <v>45553.666666666599</v>
      </c>
      <c r="N1696" s="6">
        <f ca="1">IFERROR(__xludf.DUMMYFUNCTION("""COMPUTED_VALUE"""),17573.3)</f>
        <v>17573.3</v>
      </c>
      <c r="R1696" s="6" t="str">
        <f t="shared" ca="1" si="474"/>
        <v>202411</v>
      </c>
      <c r="S1696" s="6">
        <f t="shared" ca="1" si="475"/>
        <v>2024</v>
      </c>
      <c r="T1696" s="6">
        <f t="shared" ca="1" si="476"/>
        <v>11</v>
      </c>
      <c r="U1696" s="68">
        <f ca="1">IFERROR(__xludf.DUMMYFUNCTION("""COMPUTED_VALUE"""),45622.6458333333)</f>
        <v>45622.645833333299</v>
      </c>
      <c r="V1696" s="6">
        <f ca="1">IFERROR(__xludf.DUMMYFUNCTION("""COMPUTED_VALUE"""),2520.36)</f>
        <v>2520.36</v>
      </c>
      <c r="Z1696" s="6" t="str">
        <f t="shared" ca="1" si="477"/>
        <v>202210</v>
      </c>
      <c r="AA1696" s="6">
        <f t="shared" ca="1" si="478"/>
        <v>2022</v>
      </c>
      <c r="AB1696" s="6">
        <f t="shared" ca="1" si="479"/>
        <v>10</v>
      </c>
      <c r="AC1696" s="68">
        <f ca="1">IFERROR(__xludf.DUMMYFUNCTION("""COMPUTED_VALUE"""),44845.9986111111)</f>
        <v>44845.998611111099</v>
      </c>
      <c r="AD1696" s="6">
        <f ca="1">IFERROR(__xludf.DUMMYFUNCTION("""COMPUTED_VALUE"""),1430.8)</f>
        <v>1430.8</v>
      </c>
      <c r="AH1696" s="6" t="str">
        <f t="shared" ca="1" si="480"/>
        <v>20228</v>
      </c>
      <c r="AI1696" s="6">
        <f t="shared" ca="1" si="481"/>
        <v>2022</v>
      </c>
      <c r="AJ1696" s="6">
        <f t="shared" ca="1" si="482"/>
        <v>8</v>
      </c>
      <c r="AK1696" s="68">
        <f ca="1">IFERROR(__xludf.DUMMYFUNCTION("""COMPUTED_VALUE"""),44789.9986111111)</f>
        <v>44789.998611111099</v>
      </c>
      <c r="AL1696" s="6">
        <f ca="1">IFERROR(__xludf.DUMMYFUNCTION("""COMPUTED_VALUE"""),23859.28)</f>
        <v>23859.279999999999</v>
      </c>
      <c r="AP1696" s="6" t="str">
        <f t="shared" ca="1" si="483"/>
        <v>202410</v>
      </c>
      <c r="AQ1696" s="6">
        <f t="shared" ca="1" si="484"/>
        <v>2024</v>
      </c>
      <c r="AR1696" s="6">
        <f t="shared" ca="1" si="485"/>
        <v>10</v>
      </c>
      <c r="AS1696" s="68">
        <f ca="1">IFERROR(__xludf.DUMMYFUNCTION("""COMPUTED_VALUE"""),45568.9986111111)</f>
        <v>45568.998611111099</v>
      </c>
      <c r="AT1696" s="6">
        <f ca="1">IFERROR(__xludf.DUMMYFUNCTION("""COMPUTED_VALUE"""),2679.2)</f>
        <v>2679.2</v>
      </c>
    </row>
    <row r="1697" spans="2:46" x14ac:dyDescent="0.35">
      <c r="B1697" s="6" t="str">
        <f t="shared" ca="1" si="468"/>
        <v>20249</v>
      </c>
      <c r="C1697" s="6">
        <f t="shared" ca="1" si="469"/>
        <v>2024</v>
      </c>
      <c r="D1697" s="6">
        <f t="shared" ca="1" si="470"/>
        <v>9</v>
      </c>
      <c r="E1697" s="68">
        <f ca="1">IFERROR(__xludf.DUMMYFUNCTION("""COMPUTED_VALUE"""),45562.6666666666)</f>
        <v>45562.666666666599</v>
      </c>
      <c r="F1697" s="6">
        <f ca="1">IFERROR(__xludf.DUMMYFUNCTION("""COMPUTED_VALUE"""),5738.17)</f>
        <v>5738.17</v>
      </c>
      <c r="J1697" s="6" t="str">
        <f t="shared" ca="1" si="471"/>
        <v>20249</v>
      </c>
      <c r="K1697" s="6">
        <f t="shared" ca="1" si="472"/>
        <v>2024</v>
      </c>
      <c r="L1697" s="6">
        <f t="shared" ca="1" si="473"/>
        <v>9</v>
      </c>
      <c r="M1697" s="68">
        <f ca="1">IFERROR(__xludf.DUMMYFUNCTION("""COMPUTED_VALUE"""),45554.6666666666)</f>
        <v>45554.666666666599</v>
      </c>
      <c r="N1697" s="6">
        <f ca="1">IFERROR(__xludf.DUMMYFUNCTION("""COMPUTED_VALUE"""),18013.98)</f>
        <v>18013.98</v>
      </c>
      <c r="R1697" s="6" t="str">
        <f t="shared" ca="1" si="474"/>
        <v>202411</v>
      </c>
      <c r="S1697" s="6">
        <f t="shared" ca="1" si="475"/>
        <v>2024</v>
      </c>
      <c r="T1697" s="6">
        <f t="shared" ca="1" si="476"/>
        <v>11</v>
      </c>
      <c r="U1697" s="68">
        <f ca="1">IFERROR(__xludf.DUMMYFUNCTION("""COMPUTED_VALUE"""),45623.6458333333)</f>
        <v>45623.645833333299</v>
      </c>
      <c r="V1697" s="6">
        <f ca="1">IFERROR(__xludf.DUMMYFUNCTION("""COMPUTED_VALUE"""),2503.06)</f>
        <v>2503.06</v>
      </c>
      <c r="Z1697" s="6" t="str">
        <f t="shared" ca="1" si="477"/>
        <v>202210</v>
      </c>
      <c r="AA1697" s="6">
        <f t="shared" ca="1" si="478"/>
        <v>2022</v>
      </c>
      <c r="AB1697" s="6">
        <f t="shared" ca="1" si="479"/>
        <v>10</v>
      </c>
      <c r="AC1697" s="68">
        <f ca="1">IFERROR(__xludf.DUMMYFUNCTION("""COMPUTED_VALUE"""),44846.9986111111)</f>
        <v>44846.998611111099</v>
      </c>
      <c r="AD1697" s="6">
        <f ca="1">IFERROR(__xludf.DUMMYFUNCTION("""COMPUTED_VALUE"""),1423.9)</f>
        <v>1423.9</v>
      </c>
      <c r="AH1697" s="6" t="str">
        <f t="shared" ca="1" si="480"/>
        <v>20228</v>
      </c>
      <c r="AI1697" s="6">
        <f t="shared" ca="1" si="481"/>
        <v>2022</v>
      </c>
      <c r="AJ1697" s="6">
        <f t="shared" ca="1" si="482"/>
        <v>8</v>
      </c>
      <c r="AK1697" s="68">
        <f ca="1">IFERROR(__xludf.DUMMYFUNCTION("""COMPUTED_VALUE"""),44790.9986111111)</f>
        <v>44790.998611111099</v>
      </c>
      <c r="AL1697" s="6">
        <f ca="1">IFERROR(__xludf.DUMMYFUNCTION("""COMPUTED_VALUE"""),23336.89)</f>
        <v>23336.89</v>
      </c>
      <c r="AP1697" s="6" t="str">
        <f t="shared" ca="1" si="483"/>
        <v>202410</v>
      </c>
      <c r="AQ1697" s="6">
        <f t="shared" ca="1" si="484"/>
        <v>2024</v>
      </c>
      <c r="AR1697" s="6">
        <f t="shared" ca="1" si="485"/>
        <v>10</v>
      </c>
      <c r="AS1697" s="68">
        <f ca="1">IFERROR(__xludf.DUMMYFUNCTION("""COMPUTED_VALUE"""),45569.9986111111)</f>
        <v>45569.998611111099</v>
      </c>
      <c r="AT1697" s="6">
        <f ca="1">IFERROR(__xludf.DUMMYFUNCTION("""COMPUTED_VALUE"""),2667.8)</f>
        <v>2667.8</v>
      </c>
    </row>
    <row r="1698" spans="2:46" x14ac:dyDescent="0.35">
      <c r="B1698" s="6" t="str">
        <f t="shared" ca="1" si="468"/>
        <v>20249</v>
      </c>
      <c r="C1698" s="6">
        <f t="shared" ca="1" si="469"/>
        <v>2024</v>
      </c>
      <c r="D1698" s="6">
        <f t="shared" ca="1" si="470"/>
        <v>9</v>
      </c>
      <c r="E1698" s="68">
        <f ca="1">IFERROR(__xludf.DUMMYFUNCTION("""COMPUTED_VALUE"""),45565.6666666666)</f>
        <v>45565.666666666599</v>
      </c>
      <c r="F1698" s="6">
        <f ca="1">IFERROR(__xludf.DUMMYFUNCTION("""COMPUTED_VALUE"""),5762.48)</f>
        <v>5762.48</v>
      </c>
      <c r="J1698" s="6" t="str">
        <f t="shared" ca="1" si="471"/>
        <v>20249</v>
      </c>
      <c r="K1698" s="6">
        <f t="shared" ca="1" si="472"/>
        <v>2024</v>
      </c>
      <c r="L1698" s="6">
        <f t="shared" ca="1" si="473"/>
        <v>9</v>
      </c>
      <c r="M1698" s="68">
        <f ca="1">IFERROR(__xludf.DUMMYFUNCTION("""COMPUTED_VALUE"""),45555.6666666666)</f>
        <v>45555.666666666599</v>
      </c>
      <c r="N1698" s="6">
        <f ca="1">IFERROR(__xludf.DUMMYFUNCTION("""COMPUTED_VALUE"""),17948.32)</f>
        <v>17948.32</v>
      </c>
      <c r="R1698" s="6" t="str">
        <f t="shared" ca="1" si="474"/>
        <v>202411</v>
      </c>
      <c r="S1698" s="6">
        <f t="shared" ca="1" si="475"/>
        <v>2024</v>
      </c>
      <c r="T1698" s="6">
        <f t="shared" ca="1" si="476"/>
        <v>11</v>
      </c>
      <c r="U1698" s="68">
        <f ca="1">IFERROR(__xludf.DUMMYFUNCTION("""COMPUTED_VALUE"""),45624.6458333333)</f>
        <v>45624.645833333299</v>
      </c>
      <c r="V1698" s="6">
        <f ca="1">IFERROR(__xludf.DUMMYFUNCTION("""COMPUTED_VALUE"""),2504.67)</f>
        <v>2504.67</v>
      </c>
      <c r="Z1698" s="6" t="str">
        <f t="shared" ca="1" si="477"/>
        <v>202210</v>
      </c>
      <c r="AA1698" s="6">
        <f t="shared" ca="1" si="478"/>
        <v>2022</v>
      </c>
      <c r="AB1698" s="6">
        <f t="shared" ca="1" si="479"/>
        <v>10</v>
      </c>
      <c r="AC1698" s="68">
        <f ca="1">IFERROR(__xludf.DUMMYFUNCTION("""COMPUTED_VALUE"""),44847.9986111111)</f>
        <v>44847.998611111099</v>
      </c>
      <c r="AD1698" s="6">
        <f ca="1">IFERROR(__xludf.DUMMYFUNCTION("""COMPUTED_VALUE"""),1430.3)</f>
        <v>1430.3</v>
      </c>
      <c r="AH1698" s="6" t="str">
        <f t="shared" ca="1" si="480"/>
        <v>20228</v>
      </c>
      <c r="AI1698" s="6">
        <f t="shared" ca="1" si="481"/>
        <v>2022</v>
      </c>
      <c r="AJ1698" s="6">
        <f t="shared" ca="1" si="482"/>
        <v>8</v>
      </c>
      <c r="AK1698" s="68">
        <f ca="1">IFERROR(__xludf.DUMMYFUNCTION("""COMPUTED_VALUE"""),44791.9986111111)</f>
        <v>44791.998611111099</v>
      </c>
      <c r="AL1698" s="6">
        <f ca="1">IFERROR(__xludf.DUMMYFUNCTION("""COMPUTED_VALUE"""),23200.79)</f>
        <v>23200.79</v>
      </c>
      <c r="AP1698" s="6" t="str">
        <f t="shared" ca="1" si="483"/>
        <v>202410</v>
      </c>
      <c r="AQ1698" s="6">
        <f t="shared" ca="1" si="484"/>
        <v>2024</v>
      </c>
      <c r="AR1698" s="6">
        <f t="shared" ca="1" si="485"/>
        <v>10</v>
      </c>
      <c r="AS1698" s="68">
        <f ca="1">IFERROR(__xludf.DUMMYFUNCTION("""COMPUTED_VALUE"""),45572.9986111111)</f>
        <v>45572.998611111099</v>
      </c>
      <c r="AT1698" s="6">
        <f ca="1">IFERROR(__xludf.DUMMYFUNCTION("""COMPUTED_VALUE"""),2666)</f>
        <v>2666</v>
      </c>
    </row>
    <row r="1699" spans="2:46" x14ac:dyDescent="0.35">
      <c r="B1699" s="6" t="str">
        <f t="shared" ca="1" si="468"/>
        <v>202410</v>
      </c>
      <c r="C1699" s="6">
        <f t="shared" ca="1" si="469"/>
        <v>2024</v>
      </c>
      <c r="D1699" s="6">
        <f t="shared" ca="1" si="470"/>
        <v>10</v>
      </c>
      <c r="E1699" s="68">
        <f ca="1">IFERROR(__xludf.DUMMYFUNCTION("""COMPUTED_VALUE"""),45566.6666666666)</f>
        <v>45566.666666666599</v>
      </c>
      <c r="F1699" s="6">
        <f ca="1">IFERROR(__xludf.DUMMYFUNCTION("""COMPUTED_VALUE"""),5708.75)</f>
        <v>5708.75</v>
      </c>
      <c r="J1699" s="6" t="str">
        <f t="shared" ca="1" si="471"/>
        <v>20249</v>
      </c>
      <c r="K1699" s="6">
        <f t="shared" ca="1" si="472"/>
        <v>2024</v>
      </c>
      <c r="L1699" s="6">
        <f t="shared" ca="1" si="473"/>
        <v>9</v>
      </c>
      <c r="M1699" s="68">
        <f ca="1">IFERROR(__xludf.DUMMYFUNCTION("""COMPUTED_VALUE"""),45558.6666666666)</f>
        <v>45558.666666666599</v>
      </c>
      <c r="N1699" s="6">
        <f ca="1">IFERROR(__xludf.DUMMYFUNCTION("""COMPUTED_VALUE"""),17974.27)</f>
        <v>17974.27</v>
      </c>
      <c r="R1699" s="6" t="str">
        <f t="shared" ca="1" si="474"/>
        <v>202411</v>
      </c>
      <c r="S1699" s="6">
        <f t="shared" ca="1" si="475"/>
        <v>2024</v>
      </c>
      <c r="T1699" s="6">
        <f t="shared" ca="1" si="476"/>
        <v>11</v>
      </c>
      <c r="U1699" s="68">
        <f ca="1">IFERROR(__xludf.DUMMYFUNCTION("""COMPUTED_VALUE"""),45625.6458333333)</f>
        <v>45625.645833333299</v>
      </c>
      <c r="V1699" s="6">
        <f ca="1">IFERROR(__xludf.DUMMYFUNCTION("""COMPUTED_VALUE"""),2455.91)</f>
        <v>2455.91</v>
      </c>
      <c r="Z1699" s="6" t="str">
        <f t="shared" ca="1" si="477"/>
        <v>202210</v>
      </c>
      <c r="AA1699" s="6">
        <f t="shared" ca="1" si="478"/>
        <v>2022</v>
      </c>
      <c r="AB1699" s="6">
        <f t="shared" ca="1" si="479"/>
        <v>10</v>
      </c>
      <c r="AC1699" s="68">
        <f ca="1">IFERROR(__xludf.DUMMYFUNCTION("""COMPUTED_VALUE"""),44848.9986111111)</f>
        <v>44848.998611111099</v>
      </c>
      <c r="AD1699" s="6">
        <f ca="1">IFERROR(__xludf.DUMMYFUNCTION("""COMPUTED_VALUE"""),1440.59)</f>
        <v>1440.59</v>
      </c>
      <c r="AH1699" s="6" t="str">
        <f t="shared" ca="1" si="480"/>
        <v>20228</v>
      </c>
      <c r="AI1699" s="6">
        <f t="shared" ca="1" si="481"/>
        <v>2022</v>
      </c>
      <c r="AJ1699" s="6">
        <f t="shared" ca="1" si="482"/>
        <v>8</v>
      </c>
      <c r="AK1699" s="68">
        <f ca="1">IFERROR(__xludf.DUMMYFUNCTION("""COMPUTED_VALUE"""),44792.9986111111)</f>
        <v>44792.998611111099</v>
      </c>
      <c r="AL1699" s="6">
        <f ca="1">IFERROR(__xludf.DUMMYFUNCTION("""COMPUTED_VALUE"""),20832.04)</f>
        <v>20832.04</v>
      </c>
      <c r="AP1699" s="6" t="str">
        <f t="shared" ca="1" si="483"/>
        <v>202410</v>
      </c>
      <c r="AQ1699" s="6">
        <f t="shared" ca="1" si="484"/>
        <v>2024</v>
      </c>
      <c r="AR1699" s="6">
        <f t="shared" ca="1" si="485"/>
        <v>10</v>
      </c>
      <c r="AS1699" s="68">
        <f ca="1">IFERROR(__xludf.DUMMYFUNCTION("""COMPUTED_VALUE"""),45573.9986111111)</f>
        <v>45573.998611111099</v>
      </c>
      <c r="AT1699" s="6">
        <f ca="1">IFERROR(__xludf.DUMMYFUNCTION("""COMPUTED_VALUE"""),2635.4)</f>
        <v>2635.4</v>
      </c>
    </row>
    <row r="1700" spans="2:46" x14ac:dyDescent="0.35">
      <c r="B1700" s="6" t="str">
        <f t="shared" ca="1" si="468"/>
        <v>202410</v>
      </c>
      <c r="C1700" s="6">
        <f t="shared" ca="1" si="469"/>
        <v>2024</v>
      </c>
      <c r="D1700" s="6">
        <f t="shared" ca="1" si="470"/>
        <v>10</v>
      </c>
      <c r="E1700" s="68">
        <f ca="1">IFERROR(__xludf.DUMMYFUNCTION("""COMPUTED_VALUE"""),45567.6666666666)</f>
        <v>45567.666666666599</v>
      </c>
      <c r="F1700" s="6">
        <f ca="1">IFERROR(__xludf.DUMMYFUNCTION("""COMPUTED_VALUE"""),5709.54)</f>
        <v>5709.54</v>
      </c>
      <c r="J1700" s="6" t="str">
        <f t="shared" ca="1" si="471"/>
        <v>20249</v>
      </c>
      <c r="K1700" s="6">
        <f t="shared" ca="1" si="472"/>
        <v>2024</v>
      </c>
      <c r="L1700" s="6">
        <f t="shared" ca="1" si="473"/>
        <v>9</v>
      </c>
      <c r="M1700" s="68">
        <f ca="1">IFERROR(__xludf.DUMMYFUNCTION("""COMPUTED_VALUE"""),45559.6666666666)</f>
        <v>45559.666666666599</v>
      </c>
      <c r="N1700" s="6">
        <f ca="1">IFERROR(__xludf.DUMMYFUNCTION("""COMPUTED_VALUE"""),18074.52)</f>
        <v>18074.52</v>
      </c>
      <c r="R1700" s="6" t="str">
        <f t="shared" ca="1" si="474"/>
        <v>202412</v>
      </c>
      <c r="S1700" s="6">
        <f t="shared" ca="1" si="475"/>
        <v>2024</v>
      </c>
      <c r="T1700" s="6">
        <f t="shared" ca="1" si="476"/>
        <v>12</v>
      </c>
      <c r="U1700" s="68">
        <f ca="1">IFERROR(__xludf.DUMMYFUNCTION("""COMPUTED_VALUE"""),45628.6458333333)</f>
        <v>45628.645833333299</v>
      </c>
      <c r="V1700" s="6">
        <f ca="1">IFERROR(__xludf.DUMMYFUNCTION("""COMPUTED_VALUE"""),2454.48)</f>
        <v>2454.48</v>
      </c>
      <c r="Z1700" s="6" t="str">
        <f t="shared" ca="1" si="477"/>
        <v>202210</v>
      </c>
      <c r="AA1700" s="6">
        <f t="shared" ca="1" si="478"/>
        <v>2022</v>
      </c>
      <c r="AB1700" s="6">
        <f t="shared" ca="1" si="479"/>
        <v>10</v>
      </c>
      <c r="AC1700" s="68">
        <f ca="1">IFERROR(__xludf.DUMMYFUNCTION("""COMPUTED_VALUE"""),44849.9986111111)</f>
        <v>44849.998611111099</v>
      </c>
      <c r="AD1700" s="6">
        <f ca="1">IFERROR(__xludf.DUMMYFUNCTION("""COMPUTED_VALUE"""),1440.59)</f>
        <v>1440.59</v>
      </c>
      <c r="AH1700" s="6" t="str">
        <f t="shared" ca="1" si="480"/>
        <v>20228</v>
      </c>
      <c r="AI1700" s="6">
        <f t="shared" ca="1" si="481"/>
        <v>2022</v>
      </c>
      <c r="AJ1700" s="6">
        <f t="shared" ca="1" si="482"/>
        <v>8</v>
      </c>
      <c r="AK1700" s="68">
        <f ca="1">IFERROR(__xludf.DUMMYFUNCTION("""COMPUTED_VALUE"""),44793.9986111111)</f>
        <v>44793.998611111099</v>
      </c>
      <c r="AL1700" s="6">
        <f ca="1">IFERROR(__xludf.DUMMYFUNCTION("""COMPUTED_VALUE"""),21139.86)</f>
        <v>21139.86</v>
      </c>
      <c r="AP1700" s="6" t="str">
        <f t="shared" ca="1" si="483"/>
        <v>202410</v>
      </c>
      <c r="AQ1700" s="6">
        <f t="shared" ca="1" si="484"/>
        <v>2024</v>
      </c>
      <c r="AR1700" s="6">
        <f t="shared" ca="1" si="485"/>
        <v>10</v>
      </c>
      <c r="AS1700" s="68">
        <f ca="1">IFERROR(__xludf.DUMMYFUNCTION("""COMPUTED_VALUE"""),45574.9986111111)</f>
        <v>45574.998611111099</v>
      </c>
      <c r="AT1700" s="6">
        <f ca="1">IFERROR(__xludf.DUMMYFUNCTION("""COMPUTED_VALUE"""),2626)</f>
        <v>2626</v>
      </c>
    </row>
    <row r="1701" spans="2:46" x14ac:dyDescent="0.35">
      <c r="B1701" s="6" t="str">
        <f t="shared" ca="1" si="468"/>
        <v>202410</v>
      </c>
      <c r="C1701" s="6">
        <f t="shared" ca="1" si="469"/>
        <v>2024</v>
      </c>
      <c r="D1701" s="6">
        <f t="shared" ca="1" si="470"/>
        <v>10</v>
      </c>
      <c r="E1701" s="68">
        <f ca="1">IFERROR(__xludf.DUMMYFUNCTION("""COMPUTED_VALUE"""),45568.6666666666)</f>
        <v>45568.666666666599</v>
      </c>
      <c r="F1701" s="6">
        <f ca="1">IFERROR(__xludf.DUMMYFUNCTION("""COMPUTED_VALUE"""),5699.94)</f>
        <v>5699.94</v>
      </c>
      <c r="J1701" s="6" t="str">
        <f t="shared" ca="1" si="471"/>
        <v>20249</v>
      </c>
      <c r="K1701" s="6">
        <f t="shared" ca="1" si="472"/>
        <v>2024</v>
      </c>
      <c r="L1701" s="6">
        <f t="shared" ca="1" si="473"/>
        <v>9</v>
      </c>
      <c r="M1701" s="68">
        <f ca="1">IFERROR(__xludf.DUMMYFUNCTION("""COMPUTED_VALUE"""),45560.6666666666)</f>
        <v>45560.666666666599</v>
      </c>
      <c r="N1701" s="6">
        <f ca="1">IFERROR(__xludf.DUMMYFUNCTION("""COMPUTED_VALUE"""),18082.21)</f>
        <v>18082.21</v>
      </c>
      <c r="R1701" s="6" t="str">
        <f t="shared" ca="1" si="474"/>
        <v>202412</v>
      </c>
      <c r="S1701" s="6">
        <f t="shared" ca="1" si="475"/>
        <v>2024</v>
      </c>
      <c r="T1701" s="6">
        <f t="shared" ca="1" si="476"/>
        <v>12</v>
      </c>
      <c r="U1701" s="68">
        <f ca="1">IFERROR(__xludf.DUMMYFUNCTION("""COMPUTED_VALUE"""),45629.6458333333)</f>
        <v>45629.645833333299</v>
      </c>
      <c r="V1701" s="6">
        <f ca="1">IFERROR(__xludf.DUMMYFUNCTION("""COMPUTED_VALUE"""),2500.1)</f>
        <v>2500.1</v>
      </c>
      <c r="Z1701" s="6" t="str">
        <f t="shared" ca="1" si="477"/>
        <v>202210</v>
      </c>
      <c r="AA1701" s="6">
        <f t="shared" ca="1" si="478"/>
        <v>2022</v>
      </c>
      <c r="AB1701" s="6">
        <f t="shared" ca="1" si="479"/>
        <v>10</v>
      </c>
      <c r="AC1701" s="68">
        <f ca="1">IFERROR(__xludf.DUMMYFUNCTION("""COMPUTED_VALUE"""),44850.9986111111)</f>
        <v>44850.998611111099</v>
      </c>
      <c r="AD1701" s="6">
        <f ca="1">IFERROR(__xludf.DUMMYFUNCTION("""COMPUTED_VALUE"""),1440.76)</f>
        <v>1440.76</v>
      </c>
      <c r="AH1701" s="6" t="str">
        <f t="shared" ca="1" si="480"/>
        <v>20228</v>
      </c>
      <c r="AI1701" s="6">
        <f t="shared" ca="1" si="481"/>
        <v>2022</v>
      </c>
      <c r="AJ1701" s="6">
        <f t="shared" ca="1" si="482"/>
        <v>8</v>
      </c>
      <c r="AK1701" s="68">
        <f ca="1">IFERROR(__xludf.DUMMYFUNCTION("""COMPUTED_VALUE"""),44794.9986111111)</f>
        <v>44794.998611111099</v>
      </c>
      <c r="AL1701" s="6">
        <f ca="1">IFERROR(__xludf.DUMMYFUNCTION("""COMPUTED_VALUE"""),21514.74)</f>
        <v>21514.74</v>
      </c>
      <c r="AP1701" s="6" t="str">
        <f t="shared" ca="1" si="483"/>
        <v>202410</v>
      </c>
      <c r="AQ1701" s="6">
        <f t="shared" ca="1" si="484"/>
        <v>2024</v>
      </c>
      <c r="AR1701" s="6">
        <f t="shared" ca="1" si="485"/>
        <v>10</v>
      </c>
      <c r="AS1701" s="68">
        <f ca="1">IFERROR(__xludf.DUMMYFUNCTION("""COMPUTED_VALUE"""),45575.9986111111)</f>
        <v>45575.998611111099</v>
      </c>
      <c r="AT1701" s="6">
        <f ca="1">IFERROR(__xludf.DUMMYFUNCTION("""COMPUTED_VALUE"""),2639.3)</f>
        <v>2639.3</v>
      </c>
    </row>
    <row r="1702" spans="2:46" x14ac:dyDescent="0.35">
      <c r="B1702" s="6" t="str">
        <f t="shared" ca="1" si="468"/>
        <v>202410</v>
      </c>
      <c r="C1702" s="6">
        <f t="shared" ca="1" si="469"/>
        <v>2024</v>
      </c>
      <c r="D1702" s="6">
        <f t="shared" ca="1" si="470"/>
        <v>10</v>
      </c>
      <c r="E1702" s="68">
        <f ca="1">IFERROR(__xludf.DUMMYFUNCTION("""COMPUTED_VALUE"""),45569.6666666666)</f>
        <v>45569.666666666599</v>
      </c>
      <c r="F1702" s="6">
        <f ca="1">IFERROR(__xludf.DUMMYFUNCTION("""COMPUTED_VALUE"""),5751.07)</f>
        <v>5751.07</v>
      </c>
      <c r="J1702" s="6" t="str">
        <f t="shared" ca="1" si="471"/>
        <v>20249</v>
      </c>
      <c r="K1702" s="6">
        <f t="shared" ca="1" si="472"/>
        <v>2024</v>
      </c>
      <c r="L1702" s="6">
        <f t="shared" ca="1" si="473"/>
        <v>9</v>
      </c>
      <c r="M1702" s="68">
        <f ca="1">IFERROR(__xludf.DUMMYFUNCTION("""COMPUTED_VALUE"""),45561.6666666666)</f>
        <v>45561.666666666599</v>
      </c>
      <c r="N1702" s="6">
        <f ca="1">IFERROR(__xludf.DUMMYFUNCTION("""COMPUTED_VALUE"""),18190.29)</f>
        <v>18190.29</v>
      </c>
      <c r="R1702" s="6" t="str">
        <f t="shared" ca="1" si="474"/>
        <v>202412</v>
      </c>
      <c r="S1702" s="6">
        <f t="shared" ca="1" si="475"/>
        <v>2024</v>
      </c>
      <c r="T1702" s="6">
        <f t="shared" ca="1" si="476"/>
        <v>12</v>
      </c>
      <c r="U1702" s="68">
        <f ca="1">IFERROR(__xludf.DUMMYFUNCTION("""COMPUTED_VALUE"""),45630.6458333333)</f>
        <v>45630.645833333299</v>
      </c>
      <c r="V1702" s="6">
        <f ca="1">IFERROR(__xludf.DUMMYFUNCTION("""COMPUTED_VALUE"""),2464)</f>
        <v>2464</v>
      </c>
      <c r="Z1702" s="6" t="str">
        <f t="shared" ca="1" si="477"/>
        <v>202210</v>
      </c>
      <c r="AA1702" s="6">
        <f t="shared" ca="1" si="478"/>
        <v>2022</v>
      </c>
      <c r="AB1702" s="6">
        <f t="shared" ca="1" si="479"/>
        <v>10</v>
      </c>
      <c r="AC1702" s="68">
        <f ca="1">IFERROR(__xludf.DUMMYFUNCTION("""COMPUTED_VALUE"""),44851.9986111111)</f>
        <v>44851.998611111099</v>
      </c>
      <c r="AD1702" s="6">
        <f ca="1">IFERROR(__xludf.DUMMYFUNCTION("""COMPUTED_VALUE"""),1430.15)</f>
        <v>1430.15</v>
      </c>
      <c r="AH1702" s="6" t="str">
        <f t="shared" ca="1" si="480"/>
        <v>20228</v>
      </c>
      <c r="AI1702" s="6">
        <f t="shared" ca="1" si="481"/>
        <v>2022</v>
      </c>
      <c r="AJ1702" s="6">
        <f t="shared" ca="1" si="482"/>
        <v>8</v>
      </c>
      <c r="AK1702" s="68">
        <f ca="1">IFERROR(__xludf.DUMMYFUNCTION("""COMPUTED_VALUE"""),44795.9986111111)</f>
        <v>44795.998611111099</v>
      </c>
      <c r="AL1702" s="6">
        <f ca="1">IFERROR(__xludf.DUMMYFUNCTION("""COMPUTED_VALUE"""),21405.4)</f>
        <v>21405.4</v>
      </c>
      <c r="AP1702" s="6" t="str">
        <f t="shared" ca="1" si="483"/>
        <v>202410</v>
      </c>
      <c r="AQ1702" s="6">
        <f t="shared" ca="1" si="484"/>
        <v>2024</v>
      </c>
      <c r="AR1702" s="6">
        <f t="shared" ca="1" si="485"/>
        <v>10</v>
      </c>
      <c r="AS1702" s="68">
        <f ca="1">IFERROR(__xludf.DUMMYFUNCTION("""COMPUTED_VALUE"""),45576.9986111111)</f>
        <v>45576.998611111099</v>
      </c>
      <c r="AT1702" s="6">
        <f ca="1">IFERROR(__xludf.DUMMYFUNCTION("""COMPUTED_VALUE"""),2676.3)</f>
        <v>2676.3</v>
      </c>
    </row>
    <row r="1703" spans="2:46" x14ac:dyDescent="0.35">
      <c r="B1703" s="6" t="str">
        <f t="shared" ca="1" si="468"/>
        <v>202410</v>
      </c>
      <c r="C1703" s="6">
        <f t="shared" ca="1" si="469"/>
        <v>2024</v>
      </c>
      <c r="D1703" s="6">
        <f t="shared" ca="1" si="470"/>
        <v>10</v>
      </c>
      <c r="E1703" s="68">
        <f ca="1">IFERROR(__xludf.DUMMYFUNCTION("""COMPUTED_VALUE"""),45572.6666666666)</f>
        <v>45572.666666666599</v>
      </c>
      <c r="F1703" s="6">
        <f ca="1">IFERROR(__xludf.DUMMYFUNCTION("""COMPUTED_VALUE"""),5695.94)</f>
        <v>5695.94</v>
      </c>
      <c r="J1703" s="6" t="str">
        <f t="shared" ca="1" si="471"/>
        <v>20249</v>
      </c>
      <c r="K1703" s="6">
        <f t="shared" ca="1" si="472"/>
        <v>2024</v>
      </c>
      <c r="L1703" s="6">
        <f t="shared" ca="1" si="473"/>
        <v>9</v>
      </c>
      <c r="M1703" s="68">
        <f ca="1">IFERROR(__xludf.DUMMYFUNCTION("""COMPUTED_VALUE"""),45562.6666666666)</f>
        <v>45562.666666666599</v>
      </c>
      <c r="N1703" s="6">
        <f ca="1">IFERROR(__xludf.DUMMYFUNCTION("""COMPUTED_VALUE"""),18119.59)</f>
        <v>18119.59</v>
      </c>
      <c r="R1703" s="6" t="str">
        <f t="shared" ca="1" si="474"/>
        <v>202412</v>
      </c>
      <c r="S1703" s="6">
        <f t="shared" ca="1" si="475"/>
        <v>2024</v>
      </c>
      <c r="T1703" s="6">
        <f t="shared" ca="1" si="476"/>
        <v>12</v>
      </c>
      <c r="U1703" s="68">
        <f ca="1">IFERROR(__xludf.DUMMYFUNCTION("""COMPUTED_VALUE"""),45631.6458333333)</f>
        <v>45631.645833333299</v>
      </c>
      <c r="V1703" s="6">
        <f ca="1">IFERROR(__xludf.DUMMYFUNCTION("""COMPUTED_VALUE"""),2441.85)</f>
        <v>2441.85</v>
      </c>
      <c r="Z1703" s="6" t="str">
        <f t="shared" ca="1" si="477"/>
        <v>202210</v>
      </c>
      <c r="AA1703" s="6">
        <f t="shared" ca="1" si="478"/>
        <v>2022</v>
      </c>
      <c r="AB1703" s="6">
        <f t="shared" ca="1" si="479"/>
        <v>10</v>
      </c>
      <c r="AC1703" s="68">
        <f ca="1">IFERROR(__xludf.DUMMYFUNCTION("""COMPUTED_VALUE"""),44852.9986111111)</f>
        <v>44852.998611111099</v>
      </c>
      <c r="AD1703" s="6">
        <f ca="1">IFERROR(__xludf.DUMMYFUNCTION("""COMPUTED_VALUE"""),1425.02)</f>
        <v>1425.02</v>
      </c>
      <c r="AH1703" s="6" t="str">
        <f t="shared" ca="1" si="480"/>
        <v>20228</v>
      </c>
      <c r="AI1703" s="6">
        <f t="shared" ca="1" si="481"/>
        <v>2022</v>
      </c>
      <c r="AJ1703" s="6">
        <f t="shared" ca="1" si="482"/>
        <v>8</v>
      </c>
      <c r="AK1703" s="68">
        <f ca="1">IFERROR(__xludf.DUMMYFUNCTION("""COMPUTED_VALUE"""),44796.9986111111)</f>
        <v>44796.998611111099</v>
      </c>
      <c r="AL1703" s="6">
        <f ca="1">IFERROR(__xludf.DUMMYFUNCTION("""COMPUTED_VALUE"""),21520.98)</f>
        <v>21520.98</v>
      </c>
      <c r="AP1703" s="6" t="str">
        <f t="shared" ca="1" si="483"/>
        <v>202410</v>
      </c>
      <c r="AQ1703" s="6">
        <f t="shared" ca="1" si="484"/>
        <v>2024</v>
      </c>
      <c r="AR1703" s="6">
        <f t="shared" ca="1" si="485"/>
        <v>10</v>
      </c>
      <c r="AS1703" s="68">
        <f ca="1">IFERROR(__xludf.DUMMYFUNCTION("""COMPUTED_VALUE"""),45579.9986111111)</f>
        <v>45579.998611111099</v>
      </c>
      <c r="AT1703" s="6">
        <f ca="1">IFERROR(__xludf.DUMMYFUNCTION("""COMPUTED_VALUE"""),2665.6)</f>
        <v>2665.6</v>
      </c>
    </row>
    <row r="1704" spans="2:46" x14ac:dyDescent="0.35">
      <c r="B1704" s="6" t="str">
        <f t="shared" ca="1" si="468"/>
        <v>202410</v>
      </c>
      <c r="C1704" s="6">
        <f t="shared" ca="1" si="469"/>
        <v>2024</v>
      </c>
      <c r="D1704" s="6">
        <f t="shared" ca="1" si="470"/>
        <v>10</v>
      </c>
      <c r="E1704" s="68">
        <f ca="1">IFERROR(__xludf.DUMMYFUNCTION("""COMPUTED_VALUE"""),45573.6666666666)</f>
        <v>45573.666666666599</v>
      </c>
      <c r="F1704" s="6">
        <f ca="1">IFERROR(__xludf.DUMMYFUNCTION("""COMPUTED_VALUE"""),5751.13)</f>
        <v>5751.13</v>
      </c>
      <c r="J1704" s="6" t="str">
        <f t="shared" ca="1" si="471"/>
        <v>20249</v>
      </c>
      <c r="K1704" s="6">
        <f t="shared" ca="1" si="472"/>
        <v>2024</v>
      </c>
      <c r="L1704" s="6">
        <f t="shared" ca="1" si="473"/>
        <v>9</v>
      </c>
      <c r="M1704" s="68">
        <f ca="1">IFERROR(__xludf.DUMMYFUNCTION("""COMPUTED_VALUE"""),45565.6666666666)</f>
        <v>45565.666666666599</v>
      </c>
      <c r="N1704" s="6">
        <f ca="1">IFERROR(__xludf.DUMMYFUNCTION("""COMPUTED_VALUE"""),18189.17)</f>
        <v>18189.169999999998</v>
      </c>
      <c r="R1704" s="6" t="str">
        <f t="shared" ca="1" si="474"/>
        <v>202412</v>
      </c>
      <c r="S1704" s="6">
        <f t="shared" ca="1" si="475"/>
        <v>2024</v>
      </c>
      <c r="T1704" s="6">
        <f t="shared" ca="1" si="476"/>
        <v>12</v>
      </c>
      <c r="U1704" s="68">
        <f ca="1">IFERROR(__xludf.DUMMYFUNCTION("""COMPUTED_VALUE"""),45632.6458333333)</f>
        <v>45632.645833333299</v>
      </c>
      <c r="V1704" s="6">
        <f ca="1">IFERROR(__xludf.DUMMYFUNCTION("""COMPUTED_VALUE"""),2428.16)</f>
        <v>2428.16</v>
      </c>
      <c r="Z1704" s="6" t="str">
        <f t="shared" ca="1" si="477"/>
        <v>202210</v>
      </c>
      <c r="AA1704" s="6">
        <f t="shared" ca="1" si="478"/>
        <v>2022</v>
      </c>
      <c r="AB1704" s="6">
        <f t="shared" ca="1" si="479"/>
        <v>10</v>
      </c>
      <c r="AC1704" s="68">
        <f ca="1">IFERROR(__xludf.DUMMYFUNCTION("""COMPUTED_VALUE"""),44853.9986111111)</f>
        <v>44853.998611111099</v>
      </c>
      <c r="AD1704" s="6">
        <f ca="1">IFERROR(__xludf.DUMMYFUNCTION("""COMPUTED_VALUE"""),1435.01)</f>
        <v>1435.01</v>
      </c>
      <c r="AH1704" s="6" t="str">
        <f t="shared" ca="1" si="480"/>
        <v>20228</v>
      </c>
      <c r="AI1704" s="6">
        <f t="shared" ca="1" si="481"/>
        <v>2022</v>
      </c>
      <c r="AJ1704" s="6">
        <f t="shared" ca="1" si="482"/>
        <v>8</v>
      </c>
      <c r="AK1704" s="68">
        <f ca="1">IFERROR(__xludf.DUMMYFUNCTION("""COMPUTED_VALUE"""),44797.9986111111)</f>
        <v>44797.998611111099</v>
      </c>
      <c r="AL1704" s="6">
        <f ca="1">IFERROR(__xludf.DUMMYFUNCTION("""COMPUTED_VALUE"""),21366.2)</f>
        <v>21366.2</v>
      </c>
      <c r="AP1704" s="6" t="str">
        <f t="shared" ca="1" si="483"/>
        <v>202410</v>
      </c>
      <c r="AQ1704" s="6">
        <f t="shared" ca="1" si="484"/>
        <v>2024</v>
      </c>
      <c r="AR1704" s="6">
        <f t="shared" ca="1" si="485"/>
        <v>10</v>
      </c>
      <c r="AS1704" s="68">
        <f ca="1">IFERROR(__xludf.DUMMYFUNCTION("""COMPUTED_VALUE"""),45580.9986111111)</f>
        <v>45580.998611111099</v>
      </c>
      <c r="AT1704" s="6">
        <f ca="1">IFERROR(__xludf.DUMMYFUNCTION("""COMPUTED_VALUE"""),2678.9)</f>
        <v>2678.9</v>
      </c>
    </row>
    <row r="1705" spans="2:46" x14ac:dyDescent="0.35">
      <c r="B1705" s="6" t="str">
        <f t="shared" ca="1" si="468"/>
        <v>202410</v>
      </c>
      <c r="C1705" s="6">
        <f t="shared" ca="1" si="469"/>
        <v>2024</v>
      </c>
      <c r="D1705" s="6">
        <f t="shared" ca="1" si="470"/>
        <v>10</v>
      </c>
      <c r="E1705" s="68">
        <f ca="1">IFERROR(__xludf.DUMMYFUNCTION("""COMPUTED_VALUE"""),45574.6666666666)</f>
        <v>45574.666666666599</v>
      </c>
      <c r="F1705" s="6">
        <f ca="1">IFERROR(__xludf.DUMMYFUNCTION("""COMPUTED_VALUE"""),5792.04)</f>
        <v>5792.04</v>
      </c>
      <c r="J1705" s="6" t="str">
        <f t="shared" ca="1" si="471"/>
        <v>202410</v>
      </c>
      <c r="K1705" s="6">
        <f t="shared" ca="1" si="472"/>
        <v>2024</v>
      </c>
      <c r="L1705" s="6">
        <f t="shared" ca="1" si="473"/>
        <v>10</v>
      </c>
      <c r="M1705" s="68">
        <f ca="1">IFERROR(__xludf.DUMMYFUNCTION("""COMPUTED_VALUE"""),45566.6666666666)</f>
        <v>45566.666666666599</v>
      </c>
      <c r="N1705" s="6">
        <f ca="1">IFERROR(__xludf.DUMMYFUNCTION("""COMPUTED_VALUE"""),17910.36)</f>
        <v>17910.36</v>
      </c>
      <c r="R1705" s="6" t="str">
        <f t="shared" ca="1" si="474"/>
        <v>202412</v>
      </c>
      <c r="S1705" s="6">
        <f t="shared" ca="1" si="475"/>
        <v>2024</v>
      </c>
      <c r="T1705" s="6">
        <f t="shared" ca="1" si="476"/>
        <v>12</v>
      </c>
      <c r="U1705" s="68">
        <f ca="1">IFERROR(__xludf.DUMMYFUNCTION("""COMPUTED_VALUE"""),45635.6458333333)</f>
        <v>45635.645833333299</v>
      </c>
      <c r="V1705" s="6">
        <f ca="1">IFERROR(__xludf.DUMMYFUNCTION("""COMPUTED_VALUE"""),2360.58)</f>
        <v>2360.58</v>
      </c>
      <c r="Z1705" s="6" t="str">
        <f t="shared" ca="1" si="477"/>
        <v>202210</v>
      </c>
      <c r="AA1705" s="6">
        <f t="shared" ca="1" si="478"/>
        <v>2022</v>
      </c>
      <c r="AB1705" s="6">
        <f t="shared" ca="1" si="479"/>
        <v>10</v>
      </c>
      <c r="AC1705" s="68">
        <f ca="1">IFERROR(__xludf.DUMMYFUNCTION("""COMPUTED_VALUE"""),44854.9986111111)</f>
        <v>44854.998611111099</v>
      </c>
      <c r="AD1705" s="6">
        <f ca="1">IFERROR(__xludf.DUMMYFUNCTION("""COMPUTED_VALUE"""),1430.31)</f>
        <v>1430.31</v>
      </c>
      <c r="AH1705" s="6" t="str">
        <f t="shared" ca="1" si="480"/>
        <v>20228</v>
      </c>
      <c r="AI1705" s="6">
        <f t="shared" ca="1" si="481"/>
        <v>2022</v>
      </c>
      <c r="AJ1705" s="6">
        <f t="shared" ca="1" si="482"/>
        <v>8</v>
      </c>
      <c r="AK1705" s="68">
        <f ca="1">IFERROR(__xludf.DUMMYFUNCTION("""COMPUTED_VALUE"""),44798.9986111111)</f>
        <v>44798.998611111099</v>
      </c>
      <c r="AL1705" s="6">
        <f ca="1">IFERROR(__xludf.DUMMYFUNCTION("""COMPUTED_VALUE"""),21565.53)</f>
        <v>21565.53</v>
      </c>
      <c r="AP1705" s="6" t="str">
        <f t="shared" ca="1" si="483"/>
        <v>202410</v>
      </c>
      <c r="AQ1705" s="6">
        <f t="shared" ca="1" si="484"/>
        <v>2024</v>
      </c>
      <c r="AR1705" s="6">
        <f t="shared" ca="1" si="485"/>
        <v>10</v>
      </c>
      <c r="AS1705" s="68">
        <f ca="1">IFERROR(__xludf.DUMMYFUNCTION("""COMPUTED_VALUE"""),45581.9986111111)</f>
        <v>45581.998611111099</v>
      </c>
      <c r="AT1705" s="6">
        <f ca="1">IFERROR(__xludf.DUMMYFUNCTION("""COMPUTED_VALUE"""),2691.3)</f>
        <v>2691.3</v>
      </c>
    </row>
    <row r="1706" spans="2:46" x14ac:dyDescent="0.35">
      <c r="B1706" s="6" t="str">
        <f t="shared" ca="1" si="468"/>
        <v>202410</v>
      </c>
      <c r="C1706" s="6">
        <f t="shared" ca="1" si="469"/>
        <v>2024</v>
      </c>
      <c r="D1706" s="6">
        <f t="shared" ca="1" si="470"/>
        <v>10</v>
      </c>
      <c r="E1706" s="68">
        <f ca="1">IFERROR(__xludf.DUMMYFUNCTION("""COMPUTED_VALUE"""),45575.6666666666)</f>
        <v>45575.666666666599</v>
      </c>
      <c r="F1706" s="6">
        <f ca="1">IFERROR(__xludf.DUMMYFUNCTION("""COMPUTED_VALUE"""),5780.05)</f>
        <v>5780.05</v>
      </c>
      <c r="J1706" s="6" t="str">
        <f t="shared" ca="1" si="471"/>
        <v>202410</v>
      </c>
      <c r="K1706" s="6">
        <f t="shared" ca="1" si="472"/>
        <v>2024</v>
      </c>
      <c r="L1706" s="6">
        <f t="shared" ca="1" si="473"/>
        <v>10</v>
      </c>
      <c r="M1706" s="68">
        <f ca="1">IFERROR(__xludf.DUMMYFUNCTION("""COMPUTED_VALUE"""),45567.6666666666)</f>
        <v>45567.666666666599</v>
      </c>
      <c r="N1706" s="6">
        <f ca="1">IFERROR(__xludf.DUMMYFUNCTION("""COMPUTED_VALUE"""),17925.12)</f>
        <v>17925.12</v>
      </c>
      <c r="R1706" s="6" t="str">
        <f t="shared" ca="1" si="474"/>
        <v>202412</v>
      </c>
      <c r="S1706" s="6">
        <f t="shared" ca="1" si="475"/>
        <v>2024</v>
      </c>
      <c r="T1706" s="6">
        <f t="shared" ca="1" si="476"/>
        <v>12</v>
      </c>
      <c r="U1706" s="68">
        <f ca="1">IFERROR(__xludf.DUMMYFUNCTION("""COMPUTED_VALUE"""),45636.6458333333)</f>
        <v>45636.645833333299</v>
      </c>
      <c r="V1706" s="6">
        <f ca="1">IFERROR(__xludf.DUMMYFUNCTION("""COMPUTED_VALUE"""),2417.84)</f>
        <v>2417.84</v>
      </c>
      <c r="Z1706" s="6" t="str">
        <f t="shared" ca="1" si="477"/>
        <v>202210</v>
      </c>
      <c r="AA1706" s="6">
        <f t="shared" ca="1" si="478"/>
        <v>2022</v>
      </c>
      <c r="AB1706" s="6">
        <f t="shared" ca="1" si="479"/>
        <v>10</v>
      </c>
      <c r="AC1706" s="68">
        <f ca="1">IFERROR(__xludf.DUMMYFUNCTION("""COMPUTED_VALUE"""),44855.9986111111)</f>
        <v>44855.998611111099</v>
      </c>
      <c r="AD1706" s="6">
        <f ca="1">IFERROR(__xludf.DUMMYFUNCTION("""COMPUTED_VALUE"""),1429.04)</f>
        <v>1429.04</v>
      </c>
      <c r="AH1706" s="6" t="str">
        <f t="shared" ca="1" si="480"/>
        <v>20228</v>
      </c>
      <c r="AI1706" s="6">
        <f t="shared" ca="1" si="481"/>
        <v>2022</v>
      </c>
      <c r="AJ1706" s="6">
        <f t="shared" ca="1" si="482"/>
        <v>8</v>
      </c>
      <c r="AK1706" s="68">
        <f ca="1">IFERROR(__xludf.DUMMYFUNCTION("""COMPUTED_VALUE"""),44799.9986111111)</f>
        <v>44799.998611111099</v>
      </c>
      <c r="AL1706" s="6">
        <f ca="1">IFERROR(__xludf.DUMMYFUNCTION("""COMPUTED_VALUE"""),20248.2)</f>
        <v>20248.2</v>
      </c>
      <c r="AP1706" s="6" t="str">
        <f t="shared" ca="1" si="483"/>
        <v>202410</v>
      </c>
      <c r="AQ1706" s="6">
        <f t="shared" ca="1" si="484"/>
        <v>2024</v>
      </c>
      <c r="AR1706" s="6">
        <f t="shared" ca="1" si="485"/>
        <v>10</v>
      </c>
      <c r="AS1706" s="68">
        <f ca="1">IFERROR(__xludf.DUMMYFUNCTION("""COMPUTED_VALUE"""),45582.9986111111)</f>
        <v>45582.998611111099</v>
      </c>
      <c r="AT1706" s="6">
        <f ca="1">IFERROR(__xludf.DUMMYFUNCTION("""COMPUTED_VALUE"""),2707.5)</f>
        <v>2707.5</v>
      </c>
    </row>
    <row r="1707" spans="2:46" x14ac:dyDescent="0.35">
      <c r="B1707" s="6" t="str">
        <f t="shared" ca="1" si="468"/>
        <v>202410</v>
      </c>
      <c r="C1707" s="6">
        <f t="shared" ca="1" si="469"/>
        <v>2024</v>
      </c>
      <c r="D1707" s="6">
        <f t="shared" ca="1" si="470"/>
        <v>10</v>
      </c>
      <c r="E1707" s="68">
        <f ca="1">IFERROR(__xludf.DUMMYFUNCTION("""COMPUTED_VALUE"""),45576.6666666666)</f>
        <v>45576.666666666599</v>
      </c>
      <c r="F1707" s="6">
        <f ca="1">IFERROR(__xludf.DUMMYFUNCTION("""COMPUTED_VALUE"""),5815.03)</f>
        <v>5815.03</v>
      </c>
      <c r="J1707" s="6" t="str">
        <f t="shared" ca="1" si="471"/>
        <v>202410</v>
      </c>
      <c r="K1707" s="6">
        <f t="shared" ca="1" si="472"/>
        <v>2024</v>
      </c>
      <c r="L1707" s="6">
        <f t="shared" ca="1" si="473"/>
        <v>10</v>
      </c>
      <c r="M1707" s="68">
        <f ca="1">IFERROR(__xludf.DUMMYFUNCTION("""COMPUTED_VALUE"""),45568.6666666666)</f>
        <v>45568.666666666599</v>
      </c>
      <c r="N1707" s="6">
        <f ca="1">IFERROR(__xludf.DUMMYFUNCTION("""COMPUTED_VALUE"""),17918.48)</f>
        <v>17918.48</v>
      </c>
      <c r="R1707" s="6" t="str">
        <f t="shared" ca="1" si="474"/>
        <v>202412</v>
      </c>
      <c r="S1707" s="6">
        <f t="shared" ca="1" si="475"/>
        <v>2024</v>
      </c>
      <c r="T1707" s="6">
        <f t="shared" ca="1" si="476"/>
        <v>12</v>
      </c>
      <c r="U1707" s="68">
        <f ca="1">IFERROR(__xludf.DUMMYFUNCTION("""COMPUTED_VALUE"""),45637.6458333333)</f>
        <v>45637.645833333299</v>
      </c>
      <c r="V1707" s="6">
        <f ca="1">IFERROR(__xludf.DUMMYFUNCTION("""COMPUTED_VALUE"""),2442.51)</f>
        <v>2442.5100000000002</v>
      </c>
      <c r="Z1707" s="6" t="str">
        <f t="shared" ca="1" si="477"/>
        <v>202210</v>
      </c>
      <c r="AA1707" s="6">
        <f t="shared" ca="1" si="478"/>
        <v>2022</v>
      </c>
      <c r="AB1707" s="6">
        <f t="shared" ca="1" si="479"/>
        <v>10</v>
      </c>
      <c r="AC1707" s="68">
        <f ca="1">IFERROR(__xludf.DUMMYFUNCTION("""COMPUTED_VALUE"""),44856.9986111111)</f>
        <v>44856.998611111099</v>
      </c>
      <c r="AD1707" s="6">
        <f ca="1">IFERROR(__xludf.DUMMYFUNCTION("""COMPUTED_VALUE"""),1428.94)</f>
        <v>1428.94</v>
      </c>
      <c r="AH1707" s="6" t="str">
        <f t="shared" ca="1" si="480"/>
        <v>20228</v>
      </c>
      <c r="AI1707" s="6">
        <f t="shared" ca="1" si="481"/>
        <v>2022</v>
      </c>
      <c r="AJ1707" s="6">
        <f t="shared" ca="1" si="482"/>
        <v>8</v>
      </c>
      <c r="AK1707" s="68">
        <f ca="1">IFERROR(__xludf.DUMMYFUNCTION("""COMPUTED_VALUE"""),44800.9986111111)</f>
        <v>44800.998611111099</v>
      </c>
      <c r="AL1707" s="6">
        <f ca="1">IFERROR(__xludf.DUMMYFUNCTION("""COMPUTED_VALUE"""),20032.95)</f>
        <v>20032.95</v>
      </c>
      <c r="AP1707" s="6" t="str">
        <f t="shared" ca="1" si="483"/>
        <v>202410</v>
      </c>
      <c r="AQ1707" s="6">
        <f t="shared" ca="1" si="484"/>
        <v>2024</v>
      </c>
      <c r="AR1707" s="6">
        <f t="shared" ca="1" si="485"/>
        <v>10</v>
      </c>
      <c r="AS1707" s="68">
        <f ca="1">IFERROR(__xludf.DUMMYFUNCTION("""COMPUTED_VALUE"""),45583.9986111111)</f>
        <v>45583.998611111099</v>
      </c>
      <c r="AT1707" s="6">
        <f ca="1">IFERROR(__xludf.DUMMYFUNCTION("""COMPUTED_VALUE"""),2730)</f>
        <v>2730</v>
      </c>
    </row>
    <row r="1708" spans="2:46" x14ac:dyDescent="0.35">
      <c r="B1708" s="6" t="str">
        <f t="shared" ca="1" si="468"/>
        <v>202410</v>
      </c>
      <c r="C1708" s="6">
        <f t="shared" ca="1" si="469"/>
        <v>2024</v>
      </c>
      <c r="D1708" s="6">
        <f t="shared" ca="1" si="470"/>
        <v>10</v>
      </c>
      <c r="E1708" s="68">
        <f ca="1">IFERROR(__xludf.DUMMYFUNCTION("""COMPUTED_VALUE"""),45579.6666666666)</f>
        <v>45579.666666666599</v>
      </c>
      <c r="F1708" s="6">
        <f ca="1">IFERROR(__xludf.DUMMYFUNCTION("""COMPUTED_VALUE"""),5859.85)</f>
        <v>5859.85</v>
      </c>
      <c r="J1708" s="6" t="str">
        <f t="shared" ca="1" si="471"/>
        <v>202410</v>
      </c>
      <c r="K1708" s="6">
        <f t="shared" ca="1" si="472"/>
        <v>2024</v>
      </c>
      <c r="L1708" s="6">
        <f t="shared" ca="1" si="473"/>
        <v>10</v>
      </c>
      <c r="M1708" s="68">
        <f ca="1">IFERROR(__xludf.DUMMYFUNCTION("""COMPUTED_VALUE"""),45569.6666666666)</f>
        <v>45569.666666666599</v>
      </c>
      <c r="N1708" s="6">
        <f ca="1">IFERROR(__xludf.DUMMYFUNCTION("""COMPUTED_VALUE"""),18137.85)</f>
        <v>18137.849999999999</v>
      </c>
      <c r="R1708" s="6" t="str">
        <f t="shared" ca="1" si="474"/>
        <v>202412</v>
      </c>
      <c r="S1708" s="6">
        <f t="shared" ca="1" si="475"/>
        <v>2024</v>
      </c>
      <c r="T1708" s="6">
        <f t="shared" ca="1" si="476"/>
        <v>12</v>
      </c>
      <c r="U1708" s="68">
        <f ca="1">IFERROR(__xludf.DUMMYFUNCTION("""COMPUTED_VALUE"""),45638.6458333333)</f>
        <v>45638.645833333299</v>
      </c>
      <c r="V1708" s="6">
        <f ca="1">IFERROR(__xludf.DUMMYFUNCTION("""COMPUTED_VALUE"""),2482.12)</f>
        <v>2482.12</v>
      </c>
      <c r="Z1708" s="6" t="str">
        <f t="shared" ca="1" si="477"/>
        <v>202210</v>
      </c>
      <c r="AA1708" s="6">
        <f t="shared" ca="1" si="478"/>
        <v>2022</v>
      </c>
      <c r="AB1708" s="6">
        <f t="shared" ca="1" si="479"/>
        <v>10</v>
      </c>
      <c r="AC1708" s="68">
        <f ca="1">IFERROR(__xludf.DUMMYFUNCTION("""COMPUTED_VALUE"""),44857.9986111111)</f>
        <v>44857.998611111099</v>
      </c>
      <c r="AD1708" s="6">
        <f ca="1">IFERROR(__xludf.DUMMYFUNCTION("""COMPUTED_VALUE"""),1428.11)</f>
        <v>1428.11</v>
      </c>
      <c r="AH1708" s="6" t="str">
        <f t="shared" ca="1" si="480"/>
        <v>20228</v>
      </c>
      <c r="AI1708" s="6">
        <f t="shared" ca="1" si="481"/>
        <v>2022</v>
      </c>
      <c r="AJ1708" s="6">
        <f t="shared" ca="1" si="482"/>
        <v>8</v>
      </c>
      <c r="AK1708" s="68">
        <f ca="1">IFERROR(__xludf.DUMMYFUNCTION("""COMPUTED_VALUE"""),44801.9986111111)</f>
        <v>44801.998611111099</v>
      </c>
      <c r="AL1708" s="6">
        <f ca="1">IFERROR(__xludf.DUMMYFUNCTION("""COMPUTED_VALUE"""),19549.44)</f>
        <v>19549.439999999999</v>
      </c>
      <c r="AP1708" s="6" t="str">
        <f t="shared" ca="1" si="483"/>
        <v>202410</v>
      </c>
      <c r="AQ1708" s="6">
        <f t="shared" ca="1" si="484"/>
        <v>2024</v>
      </c>
      <c r="AR1708" s="6">
        <f t="shared" ca="1" si="485"/>
        <v>10</v>
      </c>
      <c r="AS1708" s="68">
        <f ca="1">IFERROR(__xludf.DUMMYFUNCTION("""COMPUTED_VALUE"""),45586.9986111111)</f>
        <v>45586.998611111099</v>
      </c>
      <c r="AT1708" s="6">
        <f ca="1">IFERROR(__xludf.DUMMYFUNCTION("""COMPUTED_VALUE"""),2738.9)</f>
        <v>2738.9</v>
      </c>
    </row>
    <row r="1709" spans="2:46" x14ac:dyDescent="0.35">
      <c r="B1709" s="6" t="str">
        <f t="shared" ca="1" si="468"/>
        <v>202410</v>
      </c>
      <c r="C1709" s="6">
        <f t="shared" ca="1" si="469"/>
        <v>2024</v>
      </c>
      <c r="D1709" s="6">
        <f t="shared" ca="1" si="470"/>
        <v>10</v>
      </c>
      <c r="E1709" s="68">
        <f ca="1">IFERROR(__xludf.DUMMYFUNCTION("""COMPUTED_VALUE"""),45580.6666666666)</f>
        <v>45580.666666666599</v>
      </c>
      <c r="F1709" s="6">
        <f ca="1">IFERROR(__xludf.DUMMYFUNCTION("""COMPUTED_VALUE"""),5815.26)</f>
        <v>5815.26</v>
      </c>
      <c r="J1709" s="6" t="str">
        <f t="shared" ca="1" si="471"/>
        <v>202410</v>
      </c>
      <c r="K1709" s="6">
        <f t="shared" ca="1" si="472"/>
        <v>2024</v>
      </c>
      <c r="L1709" s="6">
        <f t="shared" ca="1" si="473"/>
        <v>10</v>
      </c>
      <c r="M1709" s="68">
        <f ca="1">IFERROR(__xludf.DUMMYFUNCTION("""COMPUTED_VALUE"""),45572.6666666666)</f>
        <v>45572.666666666599</v>
      </c>
      <c r="N1709" s="6">
        <f ca="1">IFERROR(__xludf.DUMMYFUNCTION("""COMPUTED_VALUE"""),17923.9)</f>
        <v>17923.900000000001</v>
      </c>
      <c r="R1709" s="6" t="str">
        <f t="shared" ca="1" si="474"/>
        <v>202412</v>
      </c>
      <c r="S1709" s="6">
        <f t="shared" ca="1" si="475"/>
        <v>2024</v>
      </c>
      <c r="T1709" s="6">
        <f t="shared" ca="1" si="476"/>
        <v>12</v>
      </c>
      <c r="U1709" s="68">
        <f ca="1">IFERROR(__xludf.DUMMYFUNCTION("""COMPUTED_VALUE"""),45639.6458333333)</f>
        <v>45639.645833333299</v>
      </c>
      <c r="V1709" s="6">
        <f ca="1">IFERROR(__xludf.DUMMYFUNCTION("""COMPUTED_VALUE"""),2494.46)</f>
        <v>2494.46</v>
      </c>
      <c r="Z1709" s="6" t="str">
        <f t="shared" ca="1" si="477"/>
        <v>202210</v>
      </c>
      <c r="AA1709" s="6">
        <f t="shared" ca="1" si="478"/>
        <v>2022</v>
      </c>
      <c r="AB1709" s="6">
        <f t="shared" ca="1" si="479"/>
        <v>10</v>
      </c>
      <c r="AC1709" s="68">
        <f ca="1">IFERROR(__xludf.DUMMYFUNCTION("""COMPUTED_VALUE"""),44858.9986111111)</f>
        <v>44858.998611111099</v>
      </c>
      <c r="AD1709" s="6">
        <f ca="1">IFERROR(__xludf.DUMMYFUNCTION("""COMPUTED_VALUE"""),1443.96)</f>
        <v>1443.96</v>
      </c>
      <c r="AH1709" s="6" t="str">
        <f t="shared" ca="1" si="480"/>
        <v>20228</v>
      </c>
      <c r="AI1709" s="6">
        <f t="shared" ca="1" si="481"/>
        <v>2022</v>
      </c>
      <c r="AJ1709" s="6">
        <f t="shared" ca="1" si="482"/>
        <v>8</v>
      </c>
      <c r="AK1709" s="68">
        <f ca="1">IFERROR(__xludf.DUMMYFUNCTION("""COMPUTED_VALUE"""),44802.9986111111)</f>
        <v>44802.998611111099</v>
      </c>
      <c r="AL1709" s="6">
        <f ca="1">IFERROR(__xludf.DUMMYFUNCTION("""COMPUTED_VALUE"""),20295.56)</f>
        <v>20295.560000000001</v>
      </c>
      <c r="AP1709" s="6" t="str">
        <f t="shared" ca="1" si="483"/>
        <v>202410</v>
      </c>
      <c r="AQ1709" s="6">
        <f t="shared" ca="1" si="484"/>
        <v>2024</v>
      </c>
      <c r="AR1709" s="6">
        <f t="shared" ca="1" si="485"/>
        <v>10</v>
      </c>
      <c r="AS1709" s="68">
        <f ca="1">IFERROR(__xludf.DUMMYFUNCTION("""COMPUTED_VALUE"""),45587.9986111111)</f>
        <v>45587.998611111099</v>
      </c>
      <c r="AT1709" s="6">
        <f ca="1">IFERROR(__xludf.DUMMYFUNCTION("""COMPUTED_VALUE"""),2759.8)</f>
        <v>2759.8</v>
      </c>
    </row>
    <row r="1710" spans="2:46" x14ac:dyDescent="0.35">
      <c r="B1710" s="6" t="str">
        <f t="shared" ca="1" si="468"/>
        <v>202410</v>
      </c>
      <c r="C1710" s="6">
        <f t="shared" ca="1" si="469"/>
        <v>2024</v>
      </c>
      <c r="D1710" s="6">
        <f t="shared" ca="1" si="470"/>
        <v>10</v>
      </c>
      <c r="E1710" s="68">
        <f ca="1">IFERROR(__xludf.DUMMYFUNCTION("""COMPUTED_VALUE"""),45581.6666666666)</f>
        <v>45581.666666666599</v>
      </c>
      <c r="F1710" s="6">
        <f ca="1">IFERROR(__xludf.DUMMYFUNCTION("""COMPUTED_VALUE"""),5842.47)</f>
        <v>5842.47</v>
      </c>
      <c r="J1710" s="6" t="str">
        <f t="shared" ca="1" si="471"/>
        <v>202410</v>
      </c>
      <c r="K1710" s="6">
        <f t="shared" ca="1" si="472"/>
        <v>2024</v>
      </c>
      <c r="L1710" s="6">
        <f t="shared" ca="1" si="473"/>
        <v>10</v>
      </c>
      <c r="M1710" s="68">
        <f ca="1">IFERROR(__xludf.DUMMYFUNCTION("""COMPUTED_VALUE"""),45573.6666666666)</f>
        <v>45573.666666666599</v>
      </c>
      <c r="N1710" s="6">
        <f ca="1">IFERROR(__xludf.DUMMYFUNCTION("""COMPUTED_VALUE"""),18182.92)</f>
        <v>18182.919999999998</v>
      </c>
      <c r="R1710" s="6" t="str">
        <f t="shared" ca="1" si="474"/>
        <v>202412</v>
      </c>
      <c r="S1710" s="6">
        <f t="shared" ca="1" si="475"/>
        <v>2024</v>
      </c>
      <c r="T1710" s="6">
        <f t="shared" ca="1" si="476"/>
        <v>12</v>
      </c>
      <c r="U1710" s="68">
        <f ca="1">IFERROR(__xludf.DUMMYFUNCTION("""COMPUTED_VALUE"""),45642.6458333333)</f>
        <v>45642.645833333299</v>
      </c>
      <c r="V1710" s="6">
        <f ca="1">IFERROR(__xludf.DUMMYFUNCTION("""COMPUTED_VALUE"""),2488.97)</f>
        <v>2488.9699999999998</v>
      </c>
      <c r="Z1710" s="6" t="str">
        <f t="shared" ca="1" si="477"/>
        <v>202210</v>
      </c>
      <c r="AA1710" s="6">
        <f t="shared" ca="1" si="478"/>
        <v>2022</v>
      </c>
      <c r="AB1710" s="6">
        <f t="shared" ca="1" si="479"/>
        <v>10</v>
      </c>
      <c r="AC1710" s="68">
        <f ca="1">IFERROR(__xludf.DUMMYFUNCTION("""COMPUTED_VALUE"""),44859.9986111111)</f>
        <v>44859.998611111099</v>
      </c>
      <c r="AD1710" s="6">
        <f ca="1">IFERROR(__xludf.DUMMYFUNCTION("""COMPUTED_VALUE"""),1426.93)</f>
        <v>1426.93</v>
      </c>
      <c r="AH1710" s="6" t="str">
        <f t="shared" ca="1" si="480"/>
        <v>20228</v>
      </c>
      <c r="AI1710" s="6">
        <f t="shared" ca="1" si="481"/>
        <v>2022</v>
      </c>
      <c r="AJ1710" s="6">
        <f t="shared" ca="1" si="482"/>
        <v>8</v>
      </c>
      <c r="AK1710" s="68">
        <f ca="1">IFERROR(__xludf.DUMMYFUNCTION("""COMPUTED_VALUE"""),44803.9986111111)</f>
        <v>44803.998611111099</v>
      </c>
      <c r="AL1710" s="6">
        <f ca="1">IFERROR(__xludf.DUMMYFUNCTION("""COMPUTED_VALUE"""),19809.94)</f>
        <v>19809.939999999999</v>
      </c>
      <c r="AP1710" s="6" t="str">
        <f t="shared" ca="1" si="483"/>
        <v>202410</v>
      </c>
      <c r="AQ1710" s="6">
        <f t="shared" ca="1" si="484"/>
        <v>2024</v>
      </c>
      <c r="AR1710" s="6">
        <f t="shared" ca="1" si="485"/>
        <v>10</v>
      </c>
      <c r="AS1710" s="68">
        <f ca="1">IFERROR(__xludf.DUMMYFUNCTION("""COMPUTED_VALUE"""),45588.9986111111)</f>
        <v>45588.998611111099</v>
      </c>
      <c r="AT1710" s="6">
        <f ca="1">IFERROR(__xludf.DUMMYFUNCTION("""COMPUTED_VALUE"""),2729.4)</f>
        <v>2729.4</v>
      </c>
    </row>
    <row r="1711" spans="2:46" x14ac:dyDescent="0.35">
      <c r="B1711" s="6" t="str">
        <f t="shared" ca="1" si="468"/>
        <v>202410</v>
      </c>
      <c r="C1711" s="6">
        <f t="shared" ca="1" si="469"/>
        <v>2024</v>
      </c>
      <c r="D1711" s="6">
        <f t="shared" ca="1" si="470"/>
        <v>10</v>
      </c>
      <c r="E1711" s="68">
        <f ca="1">IFERROR(__xludf.DUMMYFUNCTION("""COMPUTED_VALUE"""),45582.6666666666)</f>
        <v>45582.666666666599</v>
      </c>
      <c r="F1711" s="6">
        <f ca="1">IFERROR(__xludf.DUMMYFUNCTION("""COMPUTED_VALUE"""),5841.47)</f>
        <v>5841.47</v>
      </c>
      <c r="J1711" s="6" t="str">
        <f t="shared" ca="1" si="471"/>
        <v>202410</v>
      </c>
      <c r="K1711" s="6">
        <f t="shared" ca="1" si="472"/>
        <v>2024</v>
      </c>
      <c r="L1711" s="6">
        <f t="shared" ca="1" si="473"/>
        <v>10</v>
      </c>
      <c r="M1711" s="68">
        <f ca="1">IFERROR(__xludf.DUMMYFUNCTION("""COMPUTED_VALUE"""),45574.6666666666)</f>
        <v>45574.666666666599</v>
      </c>
      <c r="N1711" s="6">
        <f ca="1">IFERROR(__xludf.DUMMYFUNCTION("""COMPUTED_VALUE"""),18291.62)</f>
        <v>18291.62</v>
      </c>
      <c r="R1711" s="6" t="str">
        <f t="shared" ca="1" si="474"/>
        <v>202412</v>
      </c>
      <c r="S1711" s="6">
        <f t="shared" ca="1" si="475"/>
        <v>2024</v>
      </c>
      <c r="T1711" s="6">
        <f t="shared" ca="1" si="476"/>
        <v>12</v>
      </c>
      <c r="U1711" s="68">
        <f ca="1">IFERROR(__xludf.DUMMYFUNCTION("""COMPUTED_VALUE"""),45643.6458333333)</f>
        <v>45643.645833333299</v>
      </c>
      <c r="V1711" s="6">
        <f ca="1">IFERROR(__xludf.DUMMYFUNCTION("""COMPUTED_VALUE"""),2456.81)</f>
        <v>2456.81</v>
      </c>
      <c r="Z1711" s="6" t="str">
        <f t="shared" ca="1" si="477"/>
        <v>202210</v>
      </c>
      <c r="AA1711" s="6">
        <f t="shared" ca="1" si="478"/>
        <v>2022</v>
      </c>
      <c r="AB1711" s="6">
        <f t="shared" ca="1" si="479"/>
        <v>10</v>
      </c>
      <c r="AC1711" s="68">
        <f ca="1">IFERROR(__xludf.DUMMYFUNCTION("""COMPUTED_VALUE"""),44860.9986111111)</f>
        <v>44860.998611111099</v>
      </c>
      <c r="AD1711" s="6">
        <f ca="1">IFERROR(__xludf.DUMMYFUNCTION("""COMPUTED_VALUE"""),1412.69)</f>
        <v>1412.69</v>
      </c>
      <c r="AH1711" s="6" t="str">
        <f t="shared" ca="1" si="480"/>
        <v>20228</v>
      </c>
      <c r="AI1711" s="6">
        <f t="shared" ca="1" si="481"/>
        <v>2022</v>
      </c>
      <c r="AJ1711" s="6">
        <f t="shared" ca="1" si="482"/>
        <v>8</v>
      </c>
      <c r="AK1711" s="68">
        <f ca="1">IFERROR(__xludf.DUMMYFUNCTION("""COMPUTED_VALUE"""),44804.9986111111)</f>
        <v>44804.998611111099</v>
      </c>
      <c r="AL1711" s="6">
        <f ca="1">IFERROR(__xludf.DUMMYFUNCTION("""COMPUTED_VALUE"""),20049.38)</f>
        <v>20049.38</v>
      </c>
      <c r="AP1711" s="6" t="str">
        <f t="shared" ca="1" si="483"/>
        <v>202410</v>
      </c>
      <c r="AQ1711" s="6">
        <f t="shared" ca="1" si="484"/>
        <v>2024</v>
      </c>
      <c r="AR1711" s="6">
        <f t="shared" ca="1" si="485"/>
        <v>10</v>
      </c>
      <c r="AS1711" s="68">
        <f ca="1">IFERROR(__xludf.DUMMYFUNCTION("""COMPUTED_VALUE"""),45589.9986111111)</f>
        <v>45589.998611111099</v>
      </c>
      <c r="AT1711" s="6">
        <f ca="1">IFERROR(__xludf.DUMMYFUNCTION("""COMPUTED_VALUE"""),2748.9)</f>
        <v>2748.9</v>
      </c>
    </row>
    <row r="1712" spans="2:46" x14ac:dyDescent="0.35">
      <c r="B1712" s="6" t="str">
        <f t="shared" ca="1" si="468"/>
        <v>202410</v>
      </c>
      <c r="C1712" s="6">
        <f t="shared" ca="1" si="469"/>
        <v>2024</v>
      </c>
      <c r="D1712" s="6">
        <f t="shared" ca="1" si="470"/>
        <v>10</v>
      </c>
      <c r="E1712" s="68">
        <f ca="1">IFERROR(__xludf.DUMMYFUNCTION("""COMPUTED_VALUE"""),45583.6666666666)</f>
        <v>45583.666666666599</v>
      </c>
      <c r="F1712" s="6">
        <f ca="1">IFERROR(__xludf.DUMMYFUNCTION("""COMPUTED_VALUE"""),5864.67)</f>
        <v>5864.67</v>
      </c>
      <c r="J1712" s="6" t="str">
        <f t="shared" ca="1" si="471"/>
        <v>202410</v>
      </c>
      <c r="K1712" s="6">
        <f t="shared" ca="1" si="472"/>
        <v>2024</v>
      </c>
      <c r="L1712" s="6">
        <f t="shared" ca="1" si="473"/>
        <v>10</v>
      </c>
      <c r="M1712" s="68">
        <f ca="1">IFERROR(__xludf.DUMMYFUNCTION("""COMPUTED_VALUE"""),45575.6666666666)</f>
        <v>45575.666666666599</v>
      </c>
      <c r="N1712" s="6">
        <f ca="1">IFERROR(__xludf.DUMMYFUNCTION("""COMPUTED_VALUE"""),18282.05)</f>
        <v>18282.05</v>
      </c>
      <c r="R1712" s="6" t="str">
        <f t="shared" ca="1" si="474"/>
        <v>202412</v>
      </c>
      <c r="S1712" s="6">
        <f t="shared" ca="1" si="475"/>
        <v>2024</v>
      </c>
      <c r="T1712" s="6">
        <f t="shared" ca="1" si="476"/>
        <v>12</v>
      </c>
      <c r="U1712" s="68">
        <f ca="1">IFERROR(__xludf.DUMMYFUNCTION("""COMPUTED_VALUE"""),45644.6458333333)</f>
        <v>45644.645833333299</v>
      </c>
      <c r="V1712" s="6">
        <f ca="1">IFERROR(__xludf.DUMMYFUNCTION("""COMPUTED_VALUE"""),2484.43)</f>
        <v>2484.4299999999998</v>
      </c>
      <c r="Z1712" s="6" t="str">
        <f t="shared" ca="1" si="477"/>
        <v>202210</v>
      </c>
      <c r="AA1712" s="6">
        <f t="shared" ca="1" si="478"/>
        <v>2022</v>
      </c>
      <c r="AB1712" s="6">
        <f t="shared" ca="1" si="479"/>
        <v>10</v>
      </c>
      <c r="AC1712" s="68">
        <f ca="1">IFERROR(__xludf.DUMMYFUNCTION("""COMPUTED_VALUE"""),44861.9986111111)</f>
        <v>44861.998611111099</v>
      </c>
      <c r="AD1712" s="6">
        <f ca="1">IFERROR(__xludf.DUMMYFUNCTION("""COMPUTED_VALUE"""),1420.65)</f>
        <v>1420.65</v>
      </c>
      <c r="AH1712" s="6" t="str">
        <f t="shared" ca="1" si="480"/>
        <v>20229</v>
      </c>
      <c r="AI1712" s="6">
        <f t="shared" ca="1" si="481"/>
        <v>2022</v>
      </c>
      <c r="AJ1712" s="6">
        <f t="shared" ca="1" si="482"/>
        <v>9</v>
      </c>
      <c r="AK1712" s="68">
        <f ca="1">IFERROR(__xludf.DUMMYFUNCTION("""COMPUTED_VALUE"""),44805.9986111111)</f>
        <v>44805.998611111099</v>
      </c>
      <c r="AL1712" s="6">
        <f ca="1">IFERROR(__xludf.DUMMYFUNCTION("""COMPUTED_VALUE"""),20126.31)</f>
        <v>20126.310000000001</v>
      </c>
      <c r="AP1712" s="6" t="str">
        <f t="shared" ca="1" si="483"/>
        <v>202410</v>
      </c>
      <c r="AQ1712" s="6">
        <f t="shared" ca="1" si="484"/>
        <v>2024</v>
      </c>
      <c r="AR1712" s="6">
        <f t="shared" ca="1" si="485"/>
        <v>10</v>
      </c>
      <c r="AS1712" s="68">
        <f ca="1">IFERROR(__xludf.DUMMYFUNCTION("""COMPUTED_VALUE"""),45590.9986111111)</f>
        <v>45590.998611111099</v>
      </c>
      <c r="AT1712" s="6">
        <f ca="1">IFERROR(__xludf.DUMMYFUNCTION("""COMPUTED_VALUE"""),2754.6)</f>
        <v>2754.6</v>
      </c>
    </row>
    <row r="1713" spans="2:46" x14ac:dyDescent="0.35">
      <c r="B1713" s="6" t="str">
        <f t="shared" ca="1" si="468"/>
        <v>202410</v>
      </c>
      <c r="C1713" s="6">
        <f t="shared" ca="1" si="469"/>
        <v>2024</v>
      </c>
      <c r="D1713" s="6">
        <f t="shared" ca="1" si="470"/>
        <v>10</v>
      </c>
      <c r="E1713" s="68">
        <f ca="1">IFERROR(__xludf.DUMMYFUNCTION("""COMPUTED_VALUE"""),45586.6666666666)</f>
        <v>45586.666666666599</v>
      </c>
      <c r="F1713" s="6">
        <f ca="1">IFERROR(__xludf.DUMMYFUNCTION("""COMPUTED_VALUE"""),5853.98)</f>
        <v>5853.98</v>
      </c>
      <c r="J1713" s="6" t="str">
        <f t="shared" ca="1" si="471"/>
        <v>202410</v>
      </c>
      <c r="K1713" s="6">
        <f t="shared" ca="1" si="472"/>
        <v>2024</v>
      </c>
      <c r="L1713" s="6">
        <f t="shared" ca="1" si="473"/>
        <v>10</v>
      </c>
      <c r="M1713" s="68">
        <f ca="1">IFERROR(__xludf.DUMMYFUNCTION("""COMPUTED_VALUE"""),45576.6666666666)</f>
        <v>45576.666666666599</v>
      </c>
      <c r="N1713" s="6">
        <f ca="1">IFERROR(__xludf.DUMMYFUNCTION("""COMPUTED_VALUE"""),18342.94)</f>
        <v>18342.939999999999</v>
      </c>
      <c r="R1713" s="6" t="str">
        <f t="shared" ca="1" si="474"/>
        <v>202412</v>
      </c>
      <c r="S1713" s="6">
        <f t="shared" ca="1" si="475"/>
        <v>2024</v>
      </c>
      <c r="T1713" s="6">
        <f t="shared" ca="1" si="476"/>
        <v>12</v>
      </c>
      <c r="U1713" s="68">
        <f ca="1">IFERROR(__xludf.DUMMYFUNCTION("""COMPUTED_VALUE"""),45645.6458333333)</f>
        <v>45645.645833333299</v>
      </c>
      <c r="V1713" s="6">
        <f ca="1">IFERROR(__xludf.DUMMYFUNCTION("""COMPUTED_VALUE"""),2435.93)</f>
        <v>2435.9299999999998</v>
      </c>
      <c r="Z1713" s="6" t="str">
        <f t="shared" ca="1" si="477"/>
        <v>202210</v>
      </c>
      <c r="AA1713" s="6">
        <f t="shared" ca="1" si="478"/>
        <v>2022</v>
      </c>
      <c r="AB1713" s="6">
        <f t="shared" ca="1" si="479"/>
        <v>10</v>
      </c>
      <c r="AC1713" s="68">
        <f ca="1">IFERROR(__xludf.DUMMYFUNCTION("""COMPUTED_VALUE"""),44862.9986111111)</f>
        <v>44862.998611111099</v>
      </c>
      <c r="AD1713" s="6">
        <f ca="1">IFERROR(__xludf.DUMMYFUNCTION("""COMPUTED_VALUE"""),1421.65)</f>
        <v>1421.65</v>
      </c>
      <c r="AH1713" s="6" t="str">
        <f t="shared" ca="1" si="480"/>
        <v>20229</v>
      </c>
      <c r="AI1713" s="6">
        <f t="shared" ca="1" si="481"/>
        <v>2022</v>
      </c>
      <c r="AJ1713" s="6">
        <f t="shared" ca="1" si="482"/>
        <v>9</v>
      </c>
      <c r="AK1713" s="68">
        <f ca="1">IFERROR(__xludf.DUMMYFUNCTION("""COMPUTED_VALUE"""),44806.9986111111)</f>
        <v>44806.998611111099</v>
      </c>
      <c r="AL1713" s="6">
        <f ca="1">IFERROR(__xludf.DUMMYFUNCTION("""COMPUTED_VALUE"""),19954.64)</f>
        <v>19954.64</v>
      </c>
      <c r="AP1713" s="6" t="str">
        <f t="shared" ca="1" si="483"/>
        <v>202410</v>
      </c>
      <c r="AQ1713" s="6">
        <f t="shared" ca="1" si="484"/>
        <v>2024</v>
      </c>
      <c r="AR1713" s="6">
        <f t="shared" ca="1" si="485"/>
        <v>10</v>
      </c>
      <c r="AS1713" s="68">
        <f ca="1">IFERROR(__xludf.DUMMYFUNCTION("""COMPUTED_VALUE"""),45593.9986111111)</f>
        <v>45593.998611111099</v>
      </c>
      <c r="AT1713" s="6">
        <f ca="1">IFERROR(__xludf.DUMMYFUNCTION("""COMPUTED_VALUE"""),2755.9)</f>
        <v>2755.9</v>
      </c>
    </row>
    <row r="1714" spans="2:46" x14ac:dyDescent="0.35">
      <c r="B1714" s="6" t="str">
        <f t="shared" ca="1" si="468"/>
        <v>202410</v>
      </c>
      <c r="C1714" s="6">
        <f t="shared" ca="1" si="469"/>
        <v>2024</v>
      </c>
      <c r="D1714" s="6">
        <f t="shared" ca="1" si="470"/>
        <v>10</v>
      </c>
      <c r="E1714" s="68">
        <f ca="1">IFERROR(__xludf.DUMMYFUNCTION("""COMPUTED_VALUE"""),45587.6666666666)</f>
        <v>45587.666666666599</v>
      </c>
      <c r="F1714" s="6">
        <f ca="1">IFERROR(__xludf.DUMMYFUNCTION("""COMPUTED_VALUE"""),5851.2)</f>
        <v>5851.2</v>
      </c>
      <c r="J1714" s="6" t="str">
        <f t="shared" ca="1" si="471"/>
        <v>202410</v>
      </c>
      <c r="K1714" s="6">
        <f t="shared" ca="1" si="472"/>
        <v>2024</v>
      </c>
      <c r="L1714" s="6">
        <f t="shared" ca="1" si="473"/>
        <v>10</v>
      </c>
      <c r="M1714" s="68">
        <f ca="1">IFERROR(__xludf.DUMMYFUNCTION("""COMPUTED_VALUE"""),45579.6666666666)</f>
        <v>45579.666666666599</v>
      </c>
      <c r="N1714" s="6">
        <f ca="1">IFERROR(__xludf.DUMMYFUNCTION("""COMPUTED_VALUE"""),18502.69)</f>
        <v>18502.689999999999</v>
      </c>
      <c r="R1714" s="6" t="str">
        <f t="shared" ca="1" si="474"/>
        <v>202412</v>
      </c>
      <c r="S1714" s="6">
        <f t="shared" ca="1" si="475"/>
        <v>2024</v>
      </c>
      <c r="T1714" s="6">
        <f t="shared" ca="1" si="476"/>
        <v>12</v>
      </c>
      <c r="U1714" s="68">
        <f ca="1">IFERROR(__xludf.DUMMYFUNCTION("""COMPUTED_VALUE"""),45646.6458333333)</f>
        <v>45646.645833333299</v>
      </c>
      <c r="V1714" s="6">
        <f ca="1">IFERROR(__xludf.DUMMYFUNCTION("""COMPUTED_VALUE"""),2404.15)</f>
        <v>2404.15</v>
      </c>
      <c r="Z1714" s="6" t="str">
        <f t="shared" ca="1" si="477"/>
        <v>202210</v>
      </c>
      <c r="AA1714" s="6">
        <f t="shared" ca="1" si="478"/>
        <v>2022</v>
      </c>
      <c r="AB1714" s="6">
        <f t="shared" ca="1" si="479"/>
        <v>10</v>
      </c>
      <c r="AC1714" s="68">
        <f ca="1">IFERROR(__xludf.DUMMYFUNCTION("""COMPUTED_VALUE"""),44863.9986111111)</f>
        <v>44863.998611111099</v>
      </c>
      <c r="AD1714" s="6">
        <f ca="1">IFERROR(__xludf.DUMMYFUNCTION("""COMPUTED_VALUE"""),1421.65)</f>
        <v>1421.65</v>
      </c>
      <c r="AH1714" s="6" t="str">
        <f t="shared" ca="1" si="480"/>
        <v>20229</v>
      </c>
      <c r="AI1714" s="6">
        <f t="shared" ca="1" si="481"/>
        <v>2022</v>
      </c>
      <c r="AJ1714" s="6">
        <f t="shared" ca="1" si="482"/>
        <v>9</v>
      </c>
      <c r="AK1714" s="68">
        <f ca="1">IFERROR(__xludf.DUMMYFUNCTION("""COMPUTED_VALUE"""),44807.9986111111)</f>
        <v>44807.998611111099</v>
      </c>
      <c r="AL1714" s="6">
        <f ca="1">IFERROR(__xludf.DUMMYFUNCTION("""COMPUTED_VALUE"""),19831.3)</f>
        <v>19831.3</v>
      </c>
      <c r="AP1714" s="6" t="str">
        <f t="shared" ca="1" si="483"/>
        <v>202410</v>
      </c>
      <c r="AQ1714" s="6">
        <f t="shared" ca="1" si="484"/>
        <v>2024</v>
      </c>
      <c r="AR1714" s="6">
        <f t="shared" ca="1" si="485"/>
        <v>10</v>
      </c>
      <c r="AS1714" s="68">
        <f ca="1">IFERROR(__xludf.DUMMYFUNCTION("""COMPUTED_VALUE"""),45594.9986111111)</f>
        <v>45594.998611111099</v>
      </c>
      <c r="AT1714" s="6">
        <f ca="1">IFERROR(__xludf.DUMMYFUNCTION("""COMPUTED_VALUE"""),2781.1)</f>
        <v>2781.1</v>
      </c>
    </row>
    <row r="1715" spans="2:46" x14ac:dyDescent="0.35">
      <c r="B1715" s="6" t="str">
        <f t="shared" ca="1" si="468"/>
        <v>202410</v>
      </c>
      <c r="C1715" s="6">
        <f t="shared" ca="1" si="469"/>
        <v>2024</v>
      </c>
      <c r="D1715" s="6">
        <f t="shared" ca="1" si="470"/>
        <v>10</v>
      </c>
      <c r="E1715" s="68">
        <f ca="1">IFERROR(__xludf.DUMMYFUNCTION("""COMPUTED_VALUE"""),45588.6666666666)</f>
        <v>45588.666666666599</v>
      </c>
      <c r="F1715" s="6">
        <f ca="1">IFERROR(__xludf.DUMMYFUNCTION("""COMPUTED_VALUE"""),5797.42)</f>
        <v>5797.42</v>
      </c>
      <c r="J1715" s="6" t="str">
        <f t="shared" ca="1" si="471"/>
        <v>202410</v>
      </c>
      <c r="K1715" s="6">
        <f t="shared" ca="1" si="472"/>
        <v>2024</v>
      </c>
      <c r="L1715" s="6">
        <f t="shared" ca="1" si="473"/>
        <v>10</v>
      </c>
      <c r="M1715" s="68">
        <f ca="1">IFERROR(__xludf.DUMMYFUNCTION("""COMPUTED_VALUE"""),45580.6666666666)</f>
        <v>45580.666666666599</v>
      </c>
      <c r="N1715" s="6">
        <f ca="1">IFERROR(__xludf.DUMMYFUNCTION("""COMPUTED_VALUE"""),18315.59)</f>
        <v>18315.59</v>
      </c>
      <c r="R1715" s="6" t="str">
        <f t="shared" ca="1" si="474"/>
        <v>202412</v>
      </c>
      <c r="S1715" s="6">
        <f t="shared" ca="1" si="475"/>
        <v>2024</v>
      </c>
      <c r="T1715" s="6">
        <f t="shared" ca="1" si="476"/>
        <v>12</v>
      </c>
      <c r="U1715" s="68">
        <f ca="1">IFERROR(__xludf.DUMMYFUNCTION("""COMPUTED_VALUE"""),45649.6458333333)</f>
        <v>45649.645833333299</v>
      </c>
      <c r="V1715" s="6">
        <f ca="1">IFERROR(__xludf.DUMMYFUNCTION("""COMPUTED_VALUE"""),2442.01)</f>
        <v>2442.0100000000002</v>
      </c>
      <c r="Z1715" s="6" t="str">
        <f t="shared" ca="1" si="477"/>
        <v>202210</v>
      </c>
      <c r="AA1715" s="6">
        <f t="shared" ca="1" si="478"/>
        <v>2022</v>
      </c>
      <c r="AB1715" s="6">
        <f t="shared" ca="1" si="479"/>
        <v>10</v>
      </c>
      <c r="AC1715" s="68">
        <f ca="1">IFERROR(__xludf.DUMMYFUNCTION("""COMPUTED_VALUE"""),44864.9986111111)</f>
        <v>44864.998611111099</v>
      </c>
      <c r="AD1715" s="6">
        <f ca="1">IFERROR(__xludf.DUMMYFUNCTION("""COMPUTED_VALUE"""),1421.65)</f>
        <v>1421.65</v>
      </c>
      <c r="AH1715" s="6" t="str">
        <f t="shared" ca="1" si="480"/>
        <v>20229</v>
      </c>
      <c r="AI1715" s="6">
        <f t="shared" ca="1" si="481"/>
        <v>2022</v>
      </c>
      <c r="AJ1715" s="6">
        <f t="shared" ca="1" si="482"/>
        <v>9</v>
      </c>
      <c r="AK1715" s="68">
        <f ca="1">IFERROR(__xludf.DUMMYFUNCTION("""COMPUTED_VALUE"""),44808.9986111111)</f>
        <v>44808.998611111099</v>
      </c>
      <c r="AL1715" s="6">
        <f ca="1">IFERROR(__xludf.DUMMYFUNCTION("""COMPUTED_VALUE"""),19999.47)</f>
        <v>19999.47</v>
      </c>
      <c r="AP1715" s="6" t="str">
        <f t="shared" ca="1" si="483"/>
        <v>202410</v>
      </c>
      <c r="AQ1715" s="6">
        <f t="shared" ca="1" si="484"/>
        <v>2024</v>
      </c>
      <c r="AR1715" s="6">
        <f t="shared" ca="1" si="485"/>
        <v>10</v>
      </c>
      <c r="AS1715" s="68">
        <f ca="1">IFERROR(__xludf.DUMMYFUNCTION("""COMPUTED_VALUE"""),45595.9986111111)</f>
        <v>45595.998611111099</v>
      </c>
      <c r="AT1715" s="6">
        <f ca="1">IFERROR(__xludf.DUMMYFUNCTION("""COMPUTED_VALUE"""),2800.8)</f>
        <v>2800.8</v>
      </c>
    </row>
    <row r="1716" spans="2:46" x14ac:dyDescent="0.35">
      <c r="B1716" s="6" t="str">
        <f t="shared" ca="1" si="468"/>
        <v>202410</v>
      </c>
      <c r="C1716" s="6">
        <f t="shared" ca="1" si="469"/>
        <v>2024</v>
      </c>
      <c r="D1716" s="6">
        <f t="shared" ca="1" si="470"/>
        <v>10</v>
      </c>
      <c r="E1716" s="68">
        <f ca="1">IFERROR(__xludf.DUMMYFUNCTION("""COMPUTED_VALUE"""),45589.6666666666)</f>
        <v>45589.666666666599</v>
      </c>
      <c r="F1716" s="6">
        <f ca="1">IFERROR(__xludf.DUMMYFUNCTION("""COMPUTED_VALUE"""),5809.86)</f>
        <v>5809.86</v>
      </c>
      <c r="J1716" s="6" t="str">
        <f t="shared" ca="1" si="471"/>
        <v>202410</v>
      </c>
      <c r="K1716" s="6">
        <f t="shared" ca="1" si="472"/>
        <v>2024</v>
      </c>
      <c r="L1716" s="6">
        <f t="shared" ca="1" si="473"/>
        <v>10</v>
      </c>
      <c r="M1716" s="68">
        <f ca="1">IFERROR(__xludf.DUMMYFUNCTION("""COMPUTED_VALUE"""),45581.6666666666)</f>
        <v>45581.666666666599</v>
      </c>
      <c r="N1716" s="6">
        <f ca="1">IFERROR(__xludf.DUMMYFUNCTION("""COMPUTED_VALUE"""),18367.08)</f>
        <v>18367.080000000002</v>
      </c>
      <c r="R1716" s="6" t="str">
        <f t="shared" ca="1" si="474"/>
        <v>202412</v>
      </c>
      <c r="S1716" s="6">
        <f t="shared" ca="1" si="475"/>
        <v>2024</v>
      </c>
      <c r="T1716" s="6">
        <f t="shared" ca="1" si="476"/>
        <v>12</v>
      </c>
      <c r="U1716" s="68">
        <f ca="1">IFERROR(__xludf.DUMMYFUNCTION("""COMPUTED_VALUE"""),45650.6458333333)</f>
        <v>45650.645833333299</v>
      </c>
      <c r="V1716" s="6">
        <f ca="1">IFERROR(__xludf.DUMMYFUNCTION("""COMPUTED_VALUE"""),2440.52)</f>
        <v>2440.52</v>
      </c>
      <c r="Z1716" s="6" t="str">
        <f t="shared" ca="1" si="477"/>
        <v>202210</v>
      </c>
      <c r="AA1716" s="6">
        <f t="shared" ca="1" si="478"/>
        <v>2022</v>
      </c>
      <c r="AB1716" s="6">
        <f t="shared" ca="1" si="479"/>
        <v>10</v>
      </c>
      <c r="AC1716" s="68">
        <f ca="1">IFERROR(__xludf.DUMMYFUNCTION("""COMPUTED_VALUE"""),44865.9986111111)</f>
        <v>44865.998611111099</v>
      </c>
      <c r="AD1716" s="6">
        <f ca="1">IFERROR(__xludf.DUMMYFUNCTION("""COMPUTED_VALUE"""),1424.67)</f>
        <v>1424.67</v>
      </c>
      <c r="AH1716" s="6" t="str">
        <f t="shared" ca="1" si="480"/>
        <v>20229</v>
      </c>
      <c r="AI1716" s="6">
        <f t="shared" ca="1" si="481"/>
        <v>2022</v>
      </c>
      <c r="AJ1716" s="6">
        <f t="shared" ca="1" si="482"/>
        <v>9</v>
      </c>
      <c r="AK1716" s="68">
        <f ca="1">IFERROR(__xludf.DUMMYFUNCTION("""COMPUTED_VALUE"""),44809.9986111111)</f>
        <v>44809.998611111099</v>
      </c>
      <c r="AL1716" s="6">
        <f ca="1">IFERROR(__xludf.DUMMYFUNCTION("""COMPUTED_VALUE"""),19793.39)</f>
        <v>19793.39</v>
      </c>
      <c r="AP1716" s="6" t="str">
        <f t="shared" ca="1" si="483"/>
        <v>202410</v>
      </c>
      <c r="AQ1716" s="6">
        <f t="shared" ca="1" si="484"/>
        <v>2024</v>
      </c>
      <c r="AR1716" s="6">
        <f t="shared" ca="1" si="485"/>
        <v>10</v>
      </c>
      <c r="AS1716" s="68">
        <f ca="1">IFERROR(__xludf.DUMMYFUNCTION("""COMPUTED_VALUE"""),45596.9986111111)</f>
        <v>45596.998611111099</v>
      </c>
      <c r="AT1716" s="6">
        <f ca="1">IFERROR(__xludf.DUMMYFUNCTION("""COMPUTED_VALUE"""),2749.3)</f>
        <v>2749.3</v>
      </c>
    </row>
    <row r="1717" spans="2:46" x14ac:dyDescent="0.35">
      <c r="B1717" s="6" t="str">
        <f t="shared" ca="1" si="468"/>
        <v>202410</v>
      </c>
      <c r="C1717" s="6">
        <f t="shared" ca="1" si="469"/>
        <v>2024</v>
      </c>
      <c r="D1717" s="6">
        <f t="shared" ca="1" si="470"/>
        <v>10</v>
      </c>
      <c r="E1717" s="68">
        <f ca="1">IFERROR(__xludf.DUMMYFUNCTION("""COMPUTED_VALUE"""),45590.6666666666)</f>
        <v>45590.666666666599</v>
      </c>
      <c r="F1717" s="6">
        <f ca="1">IFERROR(__xludf.DUMMYFUNCTION("""COMPUTED_VALUE"""),5808.12)</f>
        <v>5808.12</v>
      </c>
      <c r="J1717" s="6" t="str">
        <f t="shared" ca="1" si="471"/>
        <v>202410</v>
      </c>
      <c r="K1717" s="6">
        <f t="shared" ca="1" si="472"/>
        <v>2024</v>
      </c>
      <c r="L1717" s="6">
        <f t="shared" ca="1" si="473"/>
        <v>10</v>
      </c>
      <c r="M1717" s="68">
        <f ca="1">IFERROR(__xludf.DUMMYFUNCTION("""COMPUTED_VALUE"""),45582.6666666666)</f>
        <v>45582.666666666599</v>
      </c>
      <c r="N1717" s="6">
        <f ca="1">IFERROR(__xludf.DUMMYFUNCTION("""COMPUTED_VALUE"""),18373.61)</f>
        <v>18373.61</v>
      </c>
      <c r="R1717" s="6" t="str">
        <f t="shared" ca="1" si="474"/>
        <v>202412</v>
      </c>
      <c r="S1717" s="6">
        <f t="shared" ca="1" si="475"/>
        <v>2024</v>
      </c>
      <c r="T1717" s="6">
        <f t="shared" ca="1" si="476"/>
        <v>12</v>
      </c>
      <c r="U1717" s="68">
        <f ca="1">IFERROR(__xludf.DUMMYFUNCTION("""COMPUTED_VALUE"""),45652.6458333333)</f>
        <v>45652.645833333299</v>
      </c>
      <c r="V1717" s="6">
        <f ca="1">IFERROR(__xludf.DUMMYFUNCTION("""COMPUTED_VALUE"""),2429.67)</f>
        <v>2429.67</v>
      </c>
      <c r="Z1717" s="6" t="str">
        <f t="shared" ca="1" si="477"/>
        <v>202211</v>
      </c>
      <c r="AA1717" s="6">
        <f t="shared" ca="1" si="478"/>
        <v>2022</v>
      </c>
      <c r="AB1717" s="6">
        <f t="shared" ca="1" si="479"/>
        <v>11</v>
      </c>
      <c r="AC1717" s="68">
        <f ca="1">IFERROR(__xludf.DUMMYFUNCTION("""COMPUTED_VALUE"""),44866.9986111111)</f>
        <v>44866.998611111099</v>
      </c>
      <c r="AD1717" s="6">
        <f ca="1">IFERROR(__xludf.DUMMYFUNCTION("""COMPUTED_VALUE"""),1416.6)</f>
        <v>1416.6</v>
      </c>
      <c r="AH1717" s="6" t="str">
        <f t="shared" ca="1" si="480"/>
        <v>20229</v>
      </c>
      <c r="AI1717" s="6">
        <f t="shared" ca="1" si="481"/>
        <v>2022</v>
      </c>
      <c r="AJ1717" s="6">
        <f t="shared" ca="1" si="482"/>
        <v>9</v>
      </c>
      <c r="AK1717" s="68">
        <f ca="1">IFERROR(__xludf.DUMMYFUNCTION("""COMPUTED_VALUE"""),44810.9986111111)</f>
        <v>44810.998611111099</v>
      </c>
      <c r="AL1717" s="6">
        <f ca="1">IFERROR(__xludf.DUMMYFUNCTION("""COMPUTED_VALUE"""),18786.95)</f>
        <v>18786.95</v>
      </c>
      <c r="AP1717" s="6" t="str">
        <f t="shared" ca="1" si="483"/>
        <v>202411</v>
      </c>
      <c r="AQ1717" s="6">
        <f t="shared" ca="1" si="484"/>
        <v>2024</v>
      </c>
      <c r="AR1717" s="6">
        <f t="shared" ca="1" si="485"/>
        <v>11</v>
      </c>
      <c r="AS1717" s="68">
        <f ca="1">IFERROR(__xludf.DUMMYFUNCTION("""COMPUTED_VALUE"""),45597.9986111111)</f>
        <v>45597.998611111099</v>
      </c>
      <c r="AT1717" s="6">
        <f ca="1">IFERROR(__xludf.DUMMYFUNCTION("""COMPUTED_VALUE"""),2749.2)</f>
        <v>2749.2</v>
      </c>
    </row>
    <row r="1718" spans="2:46" x14ac:dyDescent="0.35">
      <c r="B1718" s="6" t="str">
        <f t="shared" ca="1" si="468"/>
        <v>202410</v>
      </c>
      <c r="C1718" s="6">
        <f t="shared" ca="1" si="469"/>
        <v>2024</v>
      </c>
      <c r="D1718" s="6">
        <f t="shared" ca="1" si="470"/>
        <v>10</v>
      </c>
      <c r="E1718" s="68">
        <f ca="1">IFERROR(__xludf.DUMMYFUNCTION("""COMPUTED_VALUE"""),45593.6666666666)</f>
        <v>45593.666666666599</v>
      </c>
      <c r="F1718" s="6">
        <f ca="1">IFERROR(__xludf.DUMMYFUNCTION("""COMPUTED_VALUE"""),5823.52)</f>
        <v>5823.52</v>
      </c>
      <c r="J1718" s="6" t="str">
        <f t="shared" ca="1" si="471"/>
        <v>202410</v>
      </c>
      <c r="K1718" s="6">
        <f t="shared" ca="1" si="472"/>
        <v>2024</v>
      </c>
      <c r="L1718" s="6">
        <f t="shared" ca="1" si="473"/>
        <v>10</v>
      </c>
      <c r="M1718" s="68">
        <f ca="1">IFERROR(__xludf.DUMMYFUNCTION("""COMPUTED_VALUE"""),45583.6666666666)</f>
        <v>45583.666666666599</v>
      </c>
      <c r="N1718" s="6">
        <f ca="1">IFERROR(__xludf.DUMMYFUNCTION("""COMPUTED_VALUE"""),18489.55)</f>
        <v>18489.55</v>
      </c>
      <c r="R1718" s="6" t="str">
        <f t="shared" ca="1" si="474"/>
        <v>202412</v>
      </c>
      <c r="S1718" s="6">
        <f t="shared" ca="1" si="475"/>
        <v>2024</v>
      </c>
      <c r="T1718" s="6">
        <f t="shared" ca="1" si="476"/>
        <v>12</v>
      </c>
      <c r="U1718" s="68">
        <f ca="1">IFERROR(__xludf.DUMMYFUNCTION("""COMPUTED_VALUE"""),45653.6458333333)</f>
        <v>45653.645833333299</v>
      </c>
      <c r="V1718" s="6">
        <f ca="1">IFERROR(__xludf.DUMMYFUNCTION("""COMPUTED_VALUE"""),2404.77)</f>
        <v>2404.77</v>
      </c>
      <c r="Z1718" s="6" t="str">
        <f t="shared" ca="1" si="477"/>
        <v>202211</v>
      </c>
      <c r="AA1718" s="6">
        <f t="shared" ca="1" si="478"/>
        <v>2022</v>
      </c>
      <c r="AB1718" s="6">
        <f t="shared" ca="1" si="479"/>
        <v>11</v>
      </c>
      <c r="AC1718" s="68">
        <f ca="1">IFERROR(__xludf.DUMMYFUNCTION("""COMPUTED_VALUE"""),44867.9986111111)</f>
        <v>44867.998611111099</v>
      </c>
      <c r="AD1718" s="6">
        <f ca="1">IFERROR(__xludf.DUMMYFUNCTION("""COMPUTED_VALUE"""),1423.1)</f>
        <v>1423.1</v>
      </c>
      <c r="AH1718" s="6" t="str">
        <f t="shared" ca="1" si="480"/>
        <v>20229</v>
      </c>
      <c r="AI1718" s="6">
        <f t="shared" ca="1" si="481"/>
        <v>2022</v>
      </c>
      <c r="AJ1718" s="6">
        <f t="shared" ca="1" si="482"/>
        <v>9</v>
      </c>
      <c r="AK1718" s="68">
        <f ca="1">IFERROR(__xludf.DUMMYFUNCTION("""COMPUTED_VALUE"""),44811.9986111111)</f>
        <v>44811.998611111099</v>
      </c>
      <c r="AL1718" s="6">
        <f ca="1">IFERROR(__xludf.DUMMYFUNCTION("""COMPUTED_VALUE"""),19285.02)</f>
        <v>19285.02</v>
      </c>
      <c r="AP1718" s="6" t="str">
        <f t="shared" ca="1" si="483"/>
        <v>202411</v>
      </c>
      <c r="AQ1718" s="6">
        <f t="shared" ca="1" si="484"/>
        <v>2024</v>
      </c>
      <c r="AR1718" s="6">
        <f t="shared" ca="1" si="485"/>
        <v>11</v>
      </c>
      <c r="AS1718" s="68">
        <f ca="1">IFERROR(__xludf.DUMMYFUNCTION("""COMPUTED_VALUE"""),45600.9986111111)</f>
        <v>45600.998611111099</v>
      </c>
      <c r="AT1718" s="6">
        <f ca="1">IFERROR(__xludf.DUMMYFUNCTION("""COMPUTED_VALUE"""),2746.2)</f>
        <v>2746.2</v>
      </c>
    </row>
    <row r="1719" spans="2:46" x14ac:dyDescent="0.35">
      <c r="B1719" s="6" t="str">
        <f t="shared" ca="1" si="468"/>
        <v>202410</v>
      </c>
      <c r="C1719" s="6">
        <f t="shared" ca="1" si="469"/>
        <v>2024</v>
      </c>
      <c r="D1719" s="6">
        <f t="shared" ca="1" si="470"/>
        <v>10</v>
      </c>
      <c r="E1719" s="68">
        <f ca="1">IFERROR(__xludf.DUMMYFUNCTION("""COMPUTED_VALUE"""),45594.6666666666)</f>
        <v>45594.666666666599</v>
      </c>
      <c r="F1719" s="6">
        <f ca="1">IFERROR(__xludf.DUMMYFUNCTION("""COMPUTED_VALUE"""),5832.92)</f>
        <v>5832.92</v>
      </c>
      <c r="J1719" s="6" t="str">
        <f t="shared" ca="1" si="471"/>
        <v>202410</v>
      </c>
      <c r="K1719" s="6">
        <f t="shared" ca="1" si="472"/>
        <v>2024</v>
      </c>
      <c r="L1719" s="6">
        <f t="shared" ca="1" si="473"/>
        <v>10</v>
      </c>
      <c r="M1719" s="68">
        <f ca="1">IFERROR(__xludf.DUMMYFUNCTION("""COMPUTED_VALUE"""),45586.6666666666)</f>
        <v>45586.666666666599</v>
      </c>
      <c r="N1719" s="6">
        <f ca="1">IFERROR(__xludf.DUMMYFUNCTION("""COMPUTED_VALUE"""),18540.01)</f>
        <v>18540.009999999998</v>
      </c>
      <c r="R1719" s="6" t="str">
        <f t="shared" ca="1" si="474"/>
        <v>202412</v>
      </c>
      <c r="S1719" s="6">
        <f t="shared" ca="1" si="475"/>
        <v>2024</v>
      </c>
      <c r="T1719" s="6">
        <f t="shared" ca="1" si="476"/>
        <v>12</v>
      </c>
      <c r="U1719" s="68">
        <f ca="1">IFERROR(__xludf.DUMMYFUNCTION("""COMPUTED_VALUE"""),45656.6458333333)</f>
        <v>45656.645833333299</v>
      </c>
      <c r="V1719" s="6">
        <f ca="1">IFERROR(__xludf.DUMMYFUNCTION("""COMPUTED_VALUE"""),2399.49)</f>
        <v>2399.4899999999998</v>
      </c>
      <c r="Z1719" s="6" t="str">
        <f t="shared" ca="1" si="477"/>
        <v>202211</v>
      </c>
      <c r="AA1719" s="6">
        <f t="shared" ca="1" si="478"/>
        <v>2022</v>
      </c>
      <c r="AB1719" s="6">
        <f t="shared" ca="1" si="479"/>
        <v>11</v>
      </c>
      <c r="AC1719" s="68">
        <f ca="1">IFERROR(__xludf.DUMMYFUNCTION("""COMPUTED_VALUE"""),44868.9986111111)</f>
        <v>44868.998611111099</v>
      </c>
      <c r="AD1719" s="6">
        <f ca="1">IFERROR(__xludf.DUMMYFUNCTION("""COMPUTED_VALUE"""),1423.65)</f>
        <v>1423.65</v>
      </c>
      <c r="AH1719" s="6" t="str">
        <f t="shared" ca="1" si="480"/>
        <v>20229</v>
      </c>
      <c r="AI1719" s="6">
        <f t="shared" ca="1" si="481"/>
        <v>2022</v>
      </c>
      <c r="AJ1719" s="6">
        <f t="shared" ca="1" si="482"/>
        <v>9</v>
      </c>
      <c r="AK1719" s="68">
        <f ca="1">IFERROR(__xludf.DUMMYFUNCTION("""COMPUTED_VALUE"""),44812.9986111111)</f>
        <v>44812.998611111099</v>
      </c>
      <c r="AL1719" s="6">
        <f ca="1">IFERROR(__xludf.DUMMYFUNCTION("""COMPUTED_VALUE"""),19319.55)</f>
        <v>19319.55</v>
      </c>
      <c r="AP1719" s="6" t="str">
        <f t="shared" ca="1" si="483"/>
        <v>202411</v>
      </c>
      <c r="AQ1719" s="6">
        <f t="shared" ca="1" si="484"/>
        <v>2024</v>
      </c>
      <c r="AR1719" s="6">
        <f t="shared" ca="1" si="485"/>
        <v>11</v>
      </c>
      <c r="AS1719" s="68">
        <f ca="1">IFERROR(__xludf.DUMMYFUNCTION("""COMPUTED_VALUE"""),45601.9986111111)</f>
        <v>45601.998611111099</v>
      </c>
      <c r="AT1719" s="6">
        <f ca="1">IFERROR(__xludf.DUMMYFUNCTION("""COMPUTED_VALUE"""),2749.7)</f>
        <v>2749.7</v>
      </c>
    </row>
    <row r="1720" spans="2:46" x14ac:dyDescent="0.35">
      <c r="B1720" s="6" t="str">
        <f t="shared" ca="1" si="468"/>
        <v>202410</v>
      </c>
      <c r="C1720" s="6">
        <f t="shared" ca="1" si="469"/>
        <v>2024</v>
      </c>
      <c r="D1720" s="6">
        <f t="shared" ca="1" si="470"/>
        <v>10</v>
      </c>
      <c r="E1720" s="68">
        <f ca="1">IFERROR(__xludf.DUMMYFUNCTION("""COMPUTED_VALUE"""),45595.6666666666)</f>
        <v>45595.666666666599</v>
      </c>
      <c r="F1720" s="6">
        <f ca="1">IFERROR(__xludf.DUMMYFUNCTION("""COMPUTED_VALUE"""),5813.67)</f>
        <v>5813.67</v>
      </c>
      <c r="J1720" s="6" t="str">
        <f t="shared" ca="1" si="471"/>
        <v>202410</v>
      </c>
      <c r="K1720" s="6">
        <f t="shared" ca="1" si="472"/>
        <v>2024</v>
      </c>
      <c r="L1720" s="6">
        <f t="shared" ca="1" si="473"/>
        <v>10</v>
      </c>
      <c r="M1720" s="68">
        <f ca="1">IFERROR(__xludf.DUMMYFUNCTION("""COMPUTED_VALUE"""),45587.6666666666)</f>
        <v>45587.666666666599</v>
      </c>
      <c r="N1720" s="6">
        <f ca="1">IFERROR(__xludf.DUMMYFUNCTION("""COMPUTED_VALUE"""),18573.13)</f>
        <v>18573.13</v>
      </c>
      <c r="R1720" s="6" t="str">
        <f t="shared" ca="1" si="474"/>
        <v>20251</v>
      </c>
      <c r="S1720" s="6">
        <f t="shared" ca="1" si="475"/>
        <v>2025</v>
      </c>
      <c r="T1720" s="6">
        <f t="shared" ca="1" si="476"/>
        <v>1</v>
      </c>
      <c r="U1720" s="68">
        <f ca="1">IFERROR(__xludf.DUMMYFUNCTION("""COMPUTED_VALUE"""),45659.6458333333)</f>
        <v>45659.645833333299</v>
      </c>
      <c r="V1720" s="6">
        <f ca="1">IFERROR(__xludf.DUMMYFUNCTION("""COMPUTED_VALUE"""),2398.94)</f>
        <v>2398.94</v>
      </c>
      <c r="Z1720" s="6" t="str">
        <f t="shared" ca="1" si="477"/>
        <v>202211</v>
      </c>
      <c r="AA1720" s="6">
        <f t="shared" ca="1" si="478"/>
        <v>2022</v>
      </c>
      <c r="AB1720" s="6">
        <f t="shared" ca="1" si="479"/>
        <v>11</v>
      </c>
      <c r="AC1720" s="68">
        <f ca="1">IFERROR(__xludf.DUMMYFUNCTION("""COMPUTED_VALUE"""),44869.9986111111)</f>
        <v>44869.998611111099</v>
      </c>
      <c r="AD1720" s="6">
        <f ca="1">IFERROR(__xludf.DUMMYFUNCTION("""COMPUTED_VALUE"""),1402.81)</f>
        <v>1402.81</v>
      </c>
      <c r="AH1720" s="6" t="str">
        <f t="shared" ca="1" si="480"/>
        <v>20229</v>
      </c>
      <c r="AI1720" s="6">
        <f t="shared" ca="1" si="481"/>
        <v>2022</v>
      </c>
      <c r="AJ1720" s="6">
        <f t="shared" ca="1" si="482"/>
        <v>9</v>
      </c>
      <c r="AK1720" s="68">
        <f ca="1">IFERROR(__xludf.DUMMYFUNCTION("""COMPUTED_VALUE"""),44813.9986111111)</f>
        <v>44813.998611111099</v>
      </c>
      <c r="AL1720" s="6">
        <f ca="1">IFERROR(__xludf.DUMMYFUNCTION("""COMPUTED_VALUE"""),21369.86)</f>
        <v>21369.86</v>
      </c>
      <c r="AP1720" s="6" t="str">
        <f t="shared" ca="1" si="483"/>
        <v>202411</v>
      </c>
      <c r="AQ1720" s="6">
        <f t="shared" ca="1" si="484"/>
        <v>2024</v>
      </c>
      <c r="AR1720" s="6">
        <f t="shared" ca="1" si="485"/>
        <v>11</v>
      </c>
      <c r="AS1720" s="68">
        <f ca="1">IFERROR(__xludf.DUMMYFUNCTION("""COMPUTED_VALUE"""),45602.9986111111)</f>
        <v>45602.998611111099</v>
      </c>
      <c r="AT1720" s="6">
        <f ca="1">IFERROR(__xludf.DUMMYFUNCTION("""COMPUTED_VALUE"""),2676.3)</f>
        <v>2676.3</v>
      </c>
    </row>
    <row r="1721" spans="2:46" x14ac:dyDescent="0.35">
      <c r="B1721" s="6" t="str">
        <f t="shared" ca="1" si="468"/>
        <v>202410</v>
      </c>
      <c r="C1721" s="6">
        <f t="shared" ca="1" si="469"/>
        <v>2024</v>
      </c>
      <c r="D1721" s="6">
        <f t="shared" ca="1" si="470"/>
        <v>10</v>
      </c>
      <c r="E1721" s="68">
        <f ca="1">IFERROR(__xludf.DUMMYFUNCTION("""COMPUTED_VALUE"""),45596.6666666666)</f>
        <v>45596.666666666599</v>
      </c>
      <c r="F1721" s="6">
        <f ca="1">IFERROR(__xludf.DUMMYFUNCTION("""COMPUTED_VALUE"""),5705.45)</f>
        <v>5705.45</v>
      </c>
      <c r="J1721" s="6" t="str">
        <f t="shared" ca="1" si="471"/>
        <v>202410</v>
      </c>
      <c r="K1721" s="6">
        <f t="shared" ca="1" si="472"/>
        <v>2024</v>
      </c>
      <c r="L1721" s="6">
        <f t="shared" ca="1" si="473"/>
        <v>10</v>
      </c>
      <c r="M1721" s="68">
        <f ca="1">IFERROR(__xludf.DUMMYFUNCTION("""COMPUTED_VALUE"""),45588.6666666666)</f>
        <v>45588.666666666599</v>
      </c>
      <c r="N1721" s="6">
        <f ca="1">IFERROR(__xludf.DUMMYFUNCTION("""COMPUTED_VALUE"""),18276.65)</f>
        <v>18276.650000000001</v>
      </c>
      <c r="R1721" s="6" t="str">
        <f t="shared" ca="1" si="474"/>
        <v>20251</v>
      </c>
      <c r="S1721" s="6">
        <f t="shared" ca="1" si="475"/>
        <v>2025</v>
      </c>
      <c r="T1721" s="6">
        <f t="shared" ca="1" si="476"/>
        <v>1</v>
      </c>
      <c r="U1721" s="68">
        <f ca="1">IFERROR(__xludf.DUMMYFUNCTION("""COMPUTED_VALUE"""),45660.6458333333)</f>
        <v>45660.645833333299</v>
      </c>
      <c r="V1721" s="6">
        <f ca="1">IFERROR(__xludf.DUMMYFUNCTION("""COMPUTED_VALUE"""),2441.92)</f>
        <v>2441.92</v>
      </c>
      <c r="Z1721" s="6" t="str">
        <f t="shared" ca="1" si="477"/>
        <v>202211</v>
      </c>
      <c r="AA1721" s="6">
        <f t="shared" ca="1" si="478"/>
        <v>2022</v>
      </c>
      <c r="AB1721" s="6">
        <f t="shared" ca="1" si="479"/>
        <v>11</v>
      </c>
      <c r="AC1721" s="68">
        <f ca="1">IFERROR(__xludf.DUMMYFUNCTION("""COMPUTED_VALUE"""),44870.9986111111)</f>
        <v>44870.998611111099</v>
      </c>
      <c r="AD1721" s="6">
        <f ca="1">IFERROR(__xludf.DUMMYFUNCTION("""COMPUTED_VALUE"""),1403.01)</f>
        <v>1403.01</v>
      </c>
      <c r="AH1721" s="6" t="str">
        <f t="shared" ca="1" si="480"/>
        <v>20229</v>
      </c>
      <c r="AI1721" s="6">
        <f t="shared" ca="1" si="481"/>
        <v>2022</v>
      </c>
      <c r="AJ1721" s="6">
        <f t="shared" ca="1" si="482"/>
        <v>9</v>
      </c>
      <c r="AK1721" s="68">
        <f ca="1">IFERROR(__xludf.DUMMYFUNCTION("""COMPUTED_VALUE"""),44814.9986111111)</f>
        <v>44814.998611111099</v>
      </c>
      <c r="AL1721" s="6">
        <f ca="1">IFERROR(__xludf.DUMMYFUNCTION("""COMPUTED_VALUE"""),21659.33)</f>
        <v>21659.33</v>
      </c>
      <c r="AP1721" s="6" t="str">
        <f t="shared" ca="1" si="483"/>
        <v>202411</v>
      </c>
      <c r="AQ1721" s="6">
        <f t="shared" ca="1" si="484"/>
        <v>2024</v>
      </c>
      <c r="AR1721" s="6">
        <f t="shared" ca="1" si="485"/>
        <v>11</v>
      </c>
      <c r="AS1721" s="68">
        <f ca="1">IFERROR(__xludf.DUMMYFUNCTION("""COMPUTED_VALUE"""),45603.9986111111)</f>
        <v>45603.998611111099</v>
      </c>
      <c r="AT1721" s="6">
        <f ca="1">IFERROR(__xludf.DUMMYFUNCTION("""COMPUTED_VALUE"""),2705.8)</f>
        <v>2705.8</v>
      </c>
    </row>
    <row r="1722" spans="2:46" x14ac:dyDescent="0.35">
      <c r="B1722" s="6" t="str">
        <f t="shared" ca="1" si="468"/>
        <v>202411</v>
      </c>
      <c r="C1722" s="6">
        <f t="shared" ca="1" si="469"/>
        <v>2024</v>
      </c>
      <c r="D1722" s="6">
        <f t="shared" ca="1" si="470"/>
        <v>11</v>
      </c>
      <c r="E1722" s="68">
        <f ca="1">IFERROR(__xludf.DUMMYFUNCTION("""COMPUTED_VALUE"""),45597.6666666666)</f>
        <v>45597.666666666599</v>
      </c>
      <c r="F1722" s="6">
        <f ca="1">IFERROR(__xludf.DUMMYFUNCTION("""COMPUTED_VALUE"""),5728.8)</f>
        <v>5728.8</v>
      </c>
      <c r="J1722" s="6" t="str">
        <f t="shared" ca="1" si="471"/>
        <v>202410</v>
      </c>
      <c r="K1722" s="6">
        <f t="shared" ca="1" si="472"/>
        <v>2024</v>
      </c>
      <c r="L1722" s="6">
        <f t="shared" ca="1" si="473"/>
        <v>10</v>
      </c>
      <c r="M1722" s="68">
        <f ca="1">IFERROR(__xludf.DUMMYFUNCTION("""COMPUTED_VALUE"""),45589.6666666666)</f>
        <v>45589.666666666599</v>
      </c>
      <c r="N1722" s="6">
        <f ca="1">IFERROR(__xludf.DUMMYFUNCTION("""COMPUTED_VALUE"""),18415.49)</f>
        <v>18415.490000000002</v>
      </c>
      <c r="R1722" s="6" t="str">
        <f t="shared" ca="1" si="474"/>
        <v>20251</v>
      </c>
      <c r="S1722" s="6">
        <f t="shared" ca="1" si="475"/>
        <v>2025</v>
      </c>
      <c r="T1722" s="6">
        <f t="shared" ca="1" si="476"/>
        <v>1</v>
      </c>
      <c r="U1722" s="68">
        <f ca="1">IFERROR(__xludf.DUMMYFUNCTION("""COMPUTED_VALUE"""),45663.6458333333)</f>
        <v>45663.645833333299</v>
      </c>
      <c r="V1722" s="6">
        <f ca="1">IFERROR(__xludf.DUMMYFUNCTION("""COMPUTED_VALUE"""),2488.64)</f>
        <v>2488.64</v>
      </c>
      <c r="Z1722" s="6" t="str">
        <f t="shared" ca="1" si="477"/>
        <v>202211</v>
      </c>
      <c r="AA1722" s="6">
        <f t="shared" ca="1" si="478"/>
        <v>2022</v>
      </c>
      <c r="AB1722" s="6">
        <f t="shared" ca="1" si="479"/>
        <v>11</v>
      </c>
      <c r="AC1722" s="68">
        <f ca="1">IFERROR(__xludf.DUMMYFUNCTION("""COMPUTED_VALUE"""),44871.9986111111)</f>
        <v>44871.998611111099</v>
      </c>
      <c r="AD1722" s="6">
        <f ca="1">IFERROR(__xludf.DUMMYFUNCTION("""COMPUTED_VALUE"""),1402.11)</f>
        <v>1402.11</v>
      </c>
      <c r="AH1722" s="6" t="str">
        <f t="shared" ca="1" si="480"/>
        <v>20229</v>
      </c>
      <c r="AI1722" s="6">
        <f t="shared" ca="1" si="481"/>
        <v>2022</v>
      </c>
      <c r="AJ1722" s="6">
        <f t="shared" ca="1" si="482"/>
        <v>9</v>
      </c>
      <c r="AK1722" s="68">
        <f ca="1">IFERROR(__xludf.DUMMYFUNCTION("""COMPUTED_VALUE"""),44815.9986111111)</f>
        <v>44815.998611111099</v>
      </c>
      <c r="AL1722" s="6">
        <f ca="1">IFERROR(__xludf.DUMMYFUNCTION("""COMPUTED_VALUE"""),21819.66)</f>
        <v>21819.66</v>
      </c>
      <c r="AP1722" s="6" t="str">
        <f t="shared" ca="1" si="483"/>
        <v>202411</v>
      </c>
      <c r="AQ1722" s="6">
        <f t="shared" ca="1" si="484"/>
        <v>2024</v>
      </c>
      <c r="AR1722" s="6">
        <f t="shared" ca="1" si="485"/>
        <v>11</v>
      </c>
      <c r="AS1722" s="68">
        <f ca="1">IFERROR(__xludf.DUMMYFUNCTION("""COMPUTED_VALUE"""),45604.9986111111)</f>
        <v>45604.998611111099</v>
      </c>
      <c r="AT1722" s="6">
        <f ca="1">IFERROR(__xludf.DUMMYFUNCTION("""COMPUTED_VALUE"""),2694.8)</f>
        <v>2694.8</v>
      </c>
    </row>
    <row r="1723" spans="2:46" x14ac:dyDescent="0.35">
      <c r="B1723" s="6" t="str">
        <f t="shared" ca="1" si="468"/>
        <v>202411</v>
      </c>
      <c r="C1723" s="6">
        <f t="shared" ca="1" si="469"/>
        <v>2024</v>
      </c>
      <c r="D1723" s="6">
        <f t="shared" ca="1" si="470"/>
        <v>11</v>
      </c>
      <c r="E1723" s="68">
        <f ca="1">IFERROR(__xludf.DUMMYFUNCTION("""COMPUTED_VALUE"""),45600.6666666666)</f>
        <v>45600.666666666599</v>
      </c>
      <c r="F1723" s="6">
        <f ca="1">IFERROR(__xludf.DUMMYFUNCTION("""COMPUTED_VALUE"""),5712.69)</f>
        <v>5712.69</v>
      </c>
      <c r="J1723" s="6" t="str">
        <f t="shared" ca="1" si="471"/>
        <v>202410</v>
      </c>
      <c r="K1723" s="6">
        <f t="shared" ca="1" si="472"/>
        <v>2024</v>
      </c>
      <c r="L1723" s="6">
        <f t="shared" ca="1" si="473"/>
        <v>10</v>
      </c>
      <c r="M1723" s="68">
        <f ca="1">IFERROR(__xludf.DUMMYFUNCTION("""COMPUTED_VALUE"""),45590.6666666666)</f>
        <v>45590.666666666599</v>
      </c>
      <c r="N1723" s="6">
        <f ca="1">IFERROR(__xludf.DUMMYFUNCTION("""COMPUTED_VALUE"""),18518.61)</f>
        <v>18518.61</v>
      </c>
      <c r="R1723" s="6" t="str">
        <f t="shared" ca="1" si="474"/>
        <v>20251</v>
      </c>
      <c r="S1723" s="6">
        <f t="shared" ca="1" si="475"/>
        <v>2025</v>
      </c>
      <c r="T1723" s="6">
        <f t="shared" ca="1" si="476"/>
        <v>1</v>
      </c>
      <c r="U1723" s="68">
        <f ca="1">IFERROR(__xludf.DUMMYFUNCTION("""COMPUTED_VALUE"""),45664.6458333333)</f>
        <v>45664.645833333299</v>
      </c>
      <c r="V1723" s="6">
        <f ca="1">IFERROR(__xludf.DUMMYFUNCTION("""COMPUTED_VALUE"""),2492.1)</f>
        <v>2492.1</v>
      </c>
      <c r="Z1723" s="6" t="str">
        <f t="shared" ca="1" si="477"/>
        <v>202211</v>
      </c>
      <c r="AA1723" s="6">
        <f t="shared" ca="1" si="478"/>
        <v>2022</v>
      </c>
      <c r="AB1723" s="6">
        <f t="shared" ca="1" si="479"/>
        <v>11</v>
      </c>
      <c r="AC1723" s="68">
        <f ca="1">IFERROR(__xludf.DUMMYFUNCTION("""COMPUTED_VALUE"""),44872.9986111111)</f>
        <v>44872.998611111099</v>
      </c>
      <c r="AD1723" s="6">
        <f ca="1">IFERROR(__xludf.DUMMYFUNCTION("""COMPUTED_VALUE"""),1392.7)</f>
        <v>1392.7</v>
      </c>
      <c r="AH1723" s="6" t="str">
        <f t="shared" ca="1" si="480"/>
        <v>20229</v>
      </c>
      <c r="AI1723" s="6">
        <f t="shared" ca="1" si="481"/>
        <v>2022</v>
      </c>
      <c r="AJ1723" s="6">
        <f t="shared" ca="1" si="482"/>
        <v>9</v>
      </c>
      <c r="AK1723" s="68">
        <f ca="1">IFERROR(__xludf.DUMMYFUNCTION("""COMPUTED_VALUE"""),44816.9986111111)</f>
        <v>44816.998611111099</v>
      </c>
      <c r="AL1723" s="6">
        <f ca="1">IFERROR(__xludf.DUMMYFUNCTION("""COMPUTED_VALUE"""),22394.26)</f>
        <v>22394.26</v>
      </c>
      <c r="AP1723" s="6" t="str">
        <f t="shared" ca="1" si="483"/>
        <v>202411</v>
      </c>
      <c r="AQ1723" s="6">
        <f t="shared" ca="1" si="484"/>
        <v>2024</v>
      </c>
      <c r="AR1723" s="6">
        <f t="shared" ca="1" si="485"/>
        <v>11</v>
      </c>
      <c r="AS1723" s="68">
        <f ca="1">IFERROR(__xludf.DUMMYFUNCTION("""COMPUTED_VALUE"""),45607.9986111111)</f>
        <v>45607.998611111099</v>
      </c>
      <c r="AT1723" s="6">
        <f ca="1">IFERROR(__xludf.DUMMYFUNCTION("""COMPUTED_VALUE"""),2617.7)</f>
        <v>2617.6999999999998</v>
      </c>
    </row>
    <row r="1724" spans="2:46" x14ac:dyDescent="0.35">
      <c r="B1724" s="6" t="str">
        <f t="shared" ca="1" si="468"/>
        <v>202411</v>
      </c>
      <c r="C1724" s="6">
        <f t="shared" ca="1" si="469"/>
        <v>2024</v>
      </c>
      <c r="D1724" s="6">
        <f t="shared" ca="1" si="470"/>
        <v>11</v>
      </c>
      <c r="E1724" s="68">
        <f ca="1">IFERROR(__xludf.DUMMYFUNCTION("""COMPUTED_VALUE"""),45601.6666666666)</f>
        <v>45601.666666666599</v>
      </c>
      <c r="F1724" s="6">
        <f ca="1">IFERROR(__xludf.DUMMYFUNCTION("""COMPUTED_VALUE"""),5782.76)</f>
        <v>5782.76</v>
      </c>
      <c r="J1724" s="6" t="str">
        <f t="shared" ca="1" si="471"/>
        <v>202410</v>
      </c>
      <c r="K1724" s="6">
        <f t="shared" ca="1" si="472"/>
        <v>2024</v>
      </c>
      <c r="L1724" s="6">
        <f t="shared" ca="1" si="473"/>
        <v>10</v>
      </c>
      <c r="M1724" s="68">
        <f ca="1">IFERROR(__xludf.DUMMYFUNCTION("""COMPUTED_VALUE"""),45593.6666666666)</f>
        <v>45593.666666666599</v>
      </c>
      <c r="N1724" s="6">
        <f ca="1">IFERROR(__xludf.DUMMYFUNCTION("""COMPUTED_VALUE"""),18518.61)</f>
        <v>18518.61</v>
      </c>
      <c r="R1724" s="6" t="str">
        <f t="shared" ca="1" si="474"/>
        <v>20251</v>
      </c>
      <c r="S1724" s="6">
        <f t="shared" ca="1" si="475"/>
        <v>2025</v>
      </c>
      <c r="T1724" s="6">
        <f t="shared" ca="1" si="476"/>
        <v>1</v>
      </c>
      <c r="U1724" s="68">
        <f ca="1">IFERROR(__xludf.DUMMYFUNCTION("""COMPUTED_VALUE"""),45665.6458333333)</f>
        <v>45665.645833333299</v>
      </c>
      <c r="V1724" s="6">
        <f ca="1">IFERROR(__xludf.DUMMYFUNCTION("""COMPUTED_VALUE"""),2521.05)</f>
        <v>2521.0500000000002</v>
      </c>
      <c r="Z1724" s="6" t="str">
        <f t="shared" ca="1" si="477"/>
        <v>202211</v>
      </c>
      <c r="AA1724" s="6">
        <f t="shared" ca="1" si="478"/>
        <v>2022</v>
      </c>
      <c r="AB1724" s="6">
        <f t="shared" ca="1" si="479"/>
        <v>11</v>
      </c>
      <c r="AC1724" s="68">
        <f ca="1">IFERROR(__xludf.DUMMYFUNCTION("""COMPUTED_VALUE"""),44873.9986111111)</f>
        <v>44873.998611111099</v>
      </c>
      <c r="AD1724" s="6">
        <f ca="1">IFERROR(__xludf.DUMMYFUNCTION("""COMPUTED_VALUE"""),1374.15)</f>
        <v>1374.15</v>
      </c>
      <c r="AH1724" s="6" t="str">
        <f t="shared" ca="1" si="480"/>
        <v>20229</v>
      </c>
      <c r="AI1724" s="6">
        <f t="shared" ca="1" si="481"/>
        <v>2022</v>
      </c>
      <c r="AJ1724" s="6">
        <f t="shared" ca="1" si="482"/>
        <v>9</v>
      </c>
      <c r="AK1724" s="68">
        <f ca="1">IFERROR(__xludf.DUMMYFUNCTION("""COMPUTED_VALUE"""),44817.9986111111)</f>
        <v>44817.998611111099</v>
      </c>
      <c r="AL1724" s="6">
        <f ca="1">IFERROR(__xludf.DUMMYFUNCTION("""COMPUTED_VALUE"""),20172.65)</f>
        <v>20172.650000000001</v>
      </c>
      <c r="AP1724" s="6" t="str">
        <f t="shared" ca="1" si="483"/>
        <v>202411</v>
      </c>
      <c r="AQ1724" s="6">
        <f t="shared" ca="1" si="484"/>
        <v>2024</v>
      </c>
      <c r="AR1724" s="6">
        <f t="shared" ca="1" si="485"/>
        <v>11</v>
      </c>
      <c r="AS1724" s="68">
        <f ca="1">IFERROR(__xludf.DUMMYFUNCTION("""COMPUTED_VALUE"""),45608.9986111111)</f>
        <v>45608.998611111099</v>
      </c>
      <c r="AT1724" s="6">
        <f ca="1">IFERROR(__xludf.DUMMYFUNCTION("""COMPUTED_VALUE"""),2606.3)</f>
        <v>2606.3000000000002</v>
      </c>
    </row>
    <row r="1725" spans="2:46" x14ac:dyDescent="0.35">
      <c r="B1725" s="6" t="str">
        <f t="shared" ca="1" si="468"/>
        <v>202411</v>
      </c>
      <c r="C1725" s="6">
        <f t="shared" ca="1" si="469"/>
        <v>2024</v>
      </c>
      <c r="D1725" s="6">
        <f t="shared" ca="1" si="470"/>
        <v>11</v>
      </c>
      <c r="E1725" s="68">
        <f ca="1">IFERROR(__xludf.DUMMYFUNCTION("""COMPUTED_VALUE"""),45602.6666666666)</f>
        <v>45602.666666666599</v>
      </c>
      <c r="F1725" s="6">
        <f ca="1">IFERROR(__xludf.DUMMYFUNCTION("""COMPUTED_VALUE"""),5929.04)</f>
        <v>5929.04</v>
      </c>
      <c r="J1725" s="6" t="str">
        <f t="shared" ca="1" si="471"/>
        <v>202410</v>
      </c>
      <c r="K1725" s="6">
        <f t="shared" ca="1" si="472"/>
        <v>2024</v>
      </c>
      <c r="L1725" s="6">
        <f t="shared" ca="1" si="473"/>
        <v>10</v>
      </c>
      <c r="M1725" s="68">
        <f ca="1">IFERROR(__xludf.DUMMYFUNCTION("""COMPUTED_VALUE"""),45595.6666666666)</f>
        <v>45595.666666666599</v>
      </c>
      <c r="N1725" s="6">
        <f ca="1">IFERROR(__xludf.DUMMYFUNCTION("""COMPUTED_VALUE"""),18607.93)</f>
        <v>18607.93</v>
      </c>
      <c r="R1725" s="6" t="str">
        <f t="shared" ca="1" si="474"/>
        <v>20251</v>
      </c>
      <c r="S1725" s="6">
        <f t="shared" ca="1" si="475"/>
        <v>2025</v>
      </c>
      <c r="T1725" s="6">
        <f t="shared" ca="1" si="476"/>
        <v>1</v>
      </c>
      <c r="U1725" s="68">
        <f ca="1">IFERROR(__xludf.DUMMYFUNCTION("""COMPUTED_VALUE"""),45666.6458333333)</f>
        <v>45666.645833333299</v>
      </c>
      <c r="V1725" s="6">
        <f ca="1">IFERROR(__xludf.DUMMYFUNCTION("""COMPUTED_VALUE"""),2521.9)</f>
        <v>2521.9</v>
      </c>
      <c r="Z1725" s="6" t="str">
        <f t="shared" ca="1" si="477"/>
        <v>202211</v>
      </c>
      <c r="AA1725" s="6">
        <f t="shared" ca="1" si="478"/>
        <v>2022</v>
      </c>
      <c r="AB1725" s="6">
        <f t="shared" ca="1" si="479"/>
        <v>11</v>
      </c>
      <c r="AC1725" s="68">
        <f ca="1">IFERROR(__xludf.DUMMYFUNCTION("""COMPUTED_VALUE"""),44874.9986111111)</f>
        <v>44874.998611111099</v>
      </c>
      <c r="AD1725" s="6">
        <f ca="1">IFERROR(__xludf.DUMMYFUNCTION("""COMPUTED_VALUE"""),1370.55)</f>
        <v>1370.55</v>
      </c>
      <c r="AH1725" s="6" t="str">
        <f t="shared" ca="1" si="480"/>
        <v>20229</v>
      </c>
      <c r="AI1725" s="6">
        <f t="shared" ca="1" si="481"/>
        <v>2022</v>
      </c>
      <c r="AJ1725" s="6">
        <f t="shared" ca="1" si="482"/>
        <v>9</v>
      </c>
      <c r="AK1725" s="68">
        <f ca="1">IFERROR(__xludf.DUMMYFUNCTION("""COMPUTED_VALUE"""),44818.9986111111)</f>
        <v>44818.998611111099</v>
      </c>
      <c r="AL1725" s="6">
        <f ca="1">IFERROR(__xludf.DUMMYFUNCTION("""COMPUTED_VALUE"""),20222.53)</f>
        <v>20222.53</v>
      </c>
      <c r="AP1725" s="6" t="str">
        <f t="shared" ca="1" si="483"/>
        <v>202411</v>
      </c>
      <c r="AQ1725" s="6">
        <f t="shared" ca="1" si="484"/>
        <v>2024</v>
      </c>
      <c r="AR1725" s="6">
        <f t="shared" ca="1" si="485"/>
        <v>11</v>
      </c>
      <c r="AS1725" s="68">
        <f ca="1">IFERROR(__xludf.DUMMYFUNCTION("""COMPUTED_VALUE"""),45609.9986111111)</f>
        <v>45609.998611111099</v>
      </c>
      <c r="AT1725" s="6">
        <f ca="1">IFERROR(__xludf.DUMMYFUNCTION("""COMPUTED_VALUE"""),2586.5)</f>
        <v>2586.5</v>
      </c>
    </row>
    <row r="1726" spans="2:46" x14ac:dyDescent="0.35">
      <c r="B1726" s="6" t="str">
        <f t="shared" ca="1" si="468"/>
        <v>202411</v>
      </c>
      <c r="C1726" s="6">
        <f t="shared" ca="1" si="469"/>
        <v>2024</v>
      </c>
      <c r="D1726" s="6">
        <f t="shared" ca="1" si="470"/>
        <v>11</v>
      </c>
      <c r="E1726" s="68">
        <f ca="1">IFERROR(__xludf.DUMMYFUNCTION("""COMPUTED_VALUE"""),45603.6666666666)</f>
        <v>45603.666666666599</v>
      </c>
      <c r="F1726" s="6">
        <f ca="1">IFERROR(__xludf.DUMMYFUNCTION("""COMPUTED_VALUE"""),5973.1)</f>
        <v>5973.1</v>
      </c>
      <c r="J1726" s="6" t="str">
        <f t="shared" ca="1" si="471"/>
        <v>202410</v>
      </c>
      <c r="K1726" s="6">
        <f t="shared" ca="1" si="472"/>
        <v>2024</v>
      </c>
      <c r="L1726" s="6">
        <f t="shared" ca="1" si="473"/>
        <v>10</v>
      </c>
      <c r="M1726" s="68">
        <f ca="1">IFERROR(__xludf.DUMMYFUNCTION("""COMPUTED_VALUE"""),45596.6666666666)</f>
        <v>45596.666666666599</v>
      </c>
      <c r="N1726" s="6">
        <f ca="1">IFERROR(__xludf.DUMMYFUNCTION("""COMPUTED_VALUE"""),18095.15)</f>
        <v>18095.150000000001</v>
      </c>
      <c r="R1726" s="6" t="str">
        <f t="shared" ca="1" si="474"/>
        <v>20251</v>
      </c>
      <c r="S1726" s="6">
        <f t="shared" ca="1" si="475"/>
        <v>2025</v>
      </c>
      <c r="T1726" s="6">
        <f t="shared" ca="1" si="476"/>
        <v>1</v>
      </c>
      <c r="U1726" s="68">
        <f ca="1">IFERROR(__xludf.DUMMYFUNCTION("""COMPUTED_VALUE"""),45667.6458333333)</f>
        <v>45667.645833333299</v>
      </c>
      <c r="V1726" s="6">
        <f ca="1">IFERROR(__xludf.DUMMYFUNCTION("""COMPUTED_VALUE"""),2515.78)</f>
        <v>2515.7800000000002</v>
      </c>
      <c r="Z1726" s="6" t="str">
        <f t="shared" ca="1" si="477"/>
        <v>202211</v>
      </c>
      <c r="AA1726" s="6">
        <f t="shared" ca="1" si="478"/>
        <v>2022</v>
      </c>
      <c r="AB1726" s="6">
        <f t="shared" ca="1" si="479"/>
        <v>11</v>
      </c>
      <c r="AC1726" s="68">
        <f ca="1">IFERROR(__xludf.DUMMYFUNCTION("""COMPUTED_VALUE"""),44875.9986111111)</f>
        <v>44875.998611111099</v>
      </c>
      <c r="AD1726" s="6">
        <f ca="1">IFERROR(__xludf.DUMMYFUNCTION("""COMPUTED_VALUE"""),1349.37)</f>
        <v>1349.37</v>
      </c>
      <c r="AH1726" s="6" t="str">
        <f t="shared" ca="1" si="480"/>
        <v>20229</v>
      </c>
      <c r="AI1726" s="6">
        <f t="shared" ca="1" si="481"/>
        <v>2022</v>
      </c>
      <c r="AJ1726" s="6">
        <f t="shared" ca="1" si="482"/>
        <v>9</v>
      </c>
      <c r="AK1726" s="68">
        <f ca="1">IFERROR(__xludf.DUMMYFUNCTION("""COMPUTED_VALUE"""),44819.9986111111)</f>
        <v>44819.998611111099</v>
      </c>
      <c r="AL1726" s="6">
        <f ca="1">IFERROR(__xludf.DUMMYFUNCTION("""COMPUTED_VALUE"""),19698.31)</f>
        <v>19698.310000000001</v>
      </c>
      <c r="AP1726" s="6" t="str">
        <f t="shared" ca="1" si="483"/>
        <v>202411</v>
      </c>
      <c r="AQ1726" s="6">
        <f t="shared" ca="1" si="484"/>
        <v>2024</v>
      </c>
      <c r="AR1726" s="6">
        <f t="shared" ca="1" si="485"/>
        <v>11</v>
      </c>
      <c r="AS1726" s="68">
        <f ca="1">IFERROR(__xludf.DUMMYFUNCTION("""COMPUTED_VALUE"""),45610.9986111111)</f>
        <v>45610.998611111099</v>
      </c>
      <c r="AT1726" s="6">
        <f ca="1">IFERROR(__xludf.DUMMYFUNCTION("""COMPUTED_VALUE"""),2572.9)</f>
        <v>2572.9</v>
      </c>
    </row>
    <row r="1727" spans="2:46" x14ac:dyDescent="0.35">
      <c r="B1727" s="6" t="str">
        <f t="shared" ca="1" si="468"/>
        <v>202411</v>
      </c>
      <c r="C1727" s="6">
        <f t="shared" ca="1" si="469"/>
        <v>2024</v>
      </c>
      <c r="D1727" s="6">
        <f t="shared" ca="1" si="470"/>
        <v>11</v>
      </c>
      <c r="E1727" s="68">
        <f ca="1">IFERROR(__xludf.DUMMYFUNCTION("""COMPUTED_VALUE"""),45604.6666666666)</f>
        <v>45604.666666666599</v>
      </c>
      <c r="F1727" s="6">
        <f ca="1">IFERROR(__xludf.DUMMYFUNCTION("""COMPUTED_VALUE"""),5995.54)</f>
        <v>5995.54</v>
      </c>
      <c r="J1727" s="6" t="str">
        <f t="shared" ca="1" si="471"/>
        <v>202411</v>
      </c>
      <c r="K1727" s="6">
        <f t="shared" ca="1" si="472"/>
        <v>2024</v>
      </c>
      <c r="L1727" s="6">
        <f t="shared" ca="1" si="473"/>
        <v>11</v>
      </c>
      <c r="M1727" s="68">
        <f ca="1">IFERROR(__xludf.DUMMYFUNCTION("""COMPUTED_VALUE"""),45597.6666666666)</f>
        <v>45597.666666666599</v>
      </c>
      <c r="N1727" s="6">
        <f ca="1">IFERROR(__xludf.DUMMYFUNCTION("""COMPUTED_VALUE"""),18239.92)</f>
        <v>18239.919999999998</v>
      </c>
      <c r="R1727" s="6" t="str">
        <f t="shared" ca="1" si="474"/>
        <v>20251</v>
      </c>
      <c r="S1727" s="6">
        <f t="shared" ca="1" si="475"/>
        <v>2025</v>
      </c>
      <c r="T1727" s="6">
        <f t="shared" ca="1" si="476"/>
        <v>1</v>
      </c>
      <c r="U1727" s="68">
        <f ca="1">IFERROR(__xludf.DUMMYFUNCTION("""COMPUTED_VALUE"""),45670.6458333333)</f>
        <v>45670.645833333299</v>
      </c>
      <c r="V1727" s="6">
        <f ca="1">IFERROR(__xludf.DUMMYFUNCTION("""COMPUTED_VALUE"""),2489.56)</f>
        <v>2489.56</v>
      </c>
      <c r="Z1727" s="6" t="str">
        <f t="shared" ca="1" si="477"/>
        <v>202211</v>
      </c>
      <c r="AA1727" s="6">
        <f t="shared" ca="1" si="478"/>
        <v>2022</v>
      </c>
      <c r="AB1727" s="6">
        <f t="shared" ca="1" si="479"/>
        <v>11</v>
      </c>
      <c r="AC1727" s="68">
        <f ca="1">IFERROR(__xludf.DUMMYFUNCTION("""COMPUTED_VALUE"""),44876.9986111111)</f>
        <v>44876.998611111099</v>
      </c>
      <c r="AD1727" s="6">
        <f ca="1">IFERROR(__xludf.DUMMYFUNCTION("""COMPUTED_VALUE"""),1313.6)</f>
        <v>1313.6</v>
      </c>
      <c r="AH1727" s="6" t="str">
        <f t="shared" ca="1" si="480"/>
        <v>20229</v>
      </c>
      <c r="AI1727" s="6">
        <f t="shared" ca="1" si="481"/>
        <v>2022</v>
      </c>
      <c r="AJ1727" s="6">
        <f t="shared" ca="1" si="482"/>
        <v>9</v>
      </c>
      <c r="AK1727" s="68">
        <f ca="1">IFERROR(__xludf.DUMMYFUNCTION("""COMPUTED_VALUE"""),44820.9986111111)</f>
        <v>44820.998611111099</v>
      </c>
      <c r="AL1727" s="6">
        <f ca="1">IFERROR(__xludf.DUMMYFUNCTION("""COMPUTED_VALUE"""),19800.92)</f>
        <v>19800.919999999998</v>
      </c>
      <c r="AP1727" s="6" t="str">
        <f t="shared" ca="1" si="483"/>
        <v>202411</v>
      </c>
      <c r="AQ1727" s="6">
        <f t="shared" ca="1" si="484"/>
        <v>2024</v>
      </c>
      <c r="AR1727" s="6">
        <f t="shared" ca="1" si="485"/>
        <v>11</v>
      </c>
      <c r="AS1727" s="68">
        <f ca="1">IFERROR(__xludf.DUMMYFUNCTION("""COMPUTED_VALUE"""),45611.9986111111)</f>
        <v>45611.998611111099</v>
      </c>
      <c r="AT1727" s="6">
        <f ca="1">IFERROR(__xludf.DUMMYFUNCTION("""COMPUTED_VALUE"""),2570.1)</f>
        <v>2570.1</v>
      </c>
    </row>
    <row r="1728" spans="2:46" x14ac:dyDescent="0.35">
      <c r="B1728" s="6" t="str">
        <f t="shared" ca="1" si="468"/>
        <v>202411</v>
      </c>
      <c r="C1728" s="6">
        <f t="shared" ca="1" si="469"/>
        <v>2024</v>
      </c>
      <c r="D1728" s="6">
        <f t="shared" ca="1" si="470"/>
        <v>11</v>
      </c>
      <c r="E1728" s="68">
        <f ca="1">IFERROR(__xludf.DUMMYFUNCTION("""COMPUTED_VALUE"""),45607.6666666666)</f>
        <v>45607.666666666599</v>
      </c>
      <c r="F1728" s="6">
        <f ca="1">IFERROR(__xludf.DUMMYFUNCTION("""COMPUTED_VALUE"""),6001.35)</f>
        <v>6001.35</v>
      </c>
      <c r="J1728" s="6" t="str">
        <f t="shared" ca="1" si="471"/>
        <v>202411</v>
      </c>
      <c r="K1728" s="6">
        <f t="shared" ca="1" si="472"/>
        <v>2024</v>
      </c>
      <c r="L1728" s="6">
        <f t="shared" ca="1" si="473"/>
        <v>11</v>
      </c>
      <c r="M1728" s="68">
        <f ca="1">IFERROR(__xludf.DUMMYFUNCTION("""COMPUTED_VALUE"""),45600.6666666666)</f>
        <v>45600.666666666599</v>
      </c>
      <c r="N1728" s="6">
        <f ca="1">IFERROR(__xludf.DUMMYFUNCTION("""COMPUTED_VALUE"""),18179.98)</f>
        <v>18179.98</v>
      </c>
      <c r="R1728" s="6" t="str">
        <f t="shared" ca="1" si="474"/>
        <v>20251</v>
      </c>
      <c r="S1728" s="6">
        <f t="shared" ca="1" si="475"/>
        <v>2025</v>
      </c>
      <c r="T1728" s="6">
        <f t="shared" ca="1" si="476"/>
        <v>1</v>
      </c>
      <c r="U1728" s="68">
        <f ca="1">IFERROR(__xludf.DUMMYFUNCTION("""COMPUTED_VALUE"""),45671.6458333333)</f>
        <v>45671.645833333299</v>
      </c>
      <c r="V1728" s="6">
        <f ca="1">IFERROR(__xludf.DUMMYFUNCTION("""COMPUTED_VALUE"""),2497.4)</f>
        <v>2497.4</v>
      </c>
      <c r="Z1728" s="6" t="str">
        <f t="shared" ca="1" si="477"/>
        <v>202211</v>
      </c>
      <c r="AA1728" s="6">
        <f t="shared" ca="1" si="478"/>
        <v>2022</v>
      </c>
      <c r="AB1728" s="6">
        <f t="shared" ca="1" si="479"/>
        <v>11</v>
      </c>
      <c r="AC1728" s="68">
        <f ca="1">IFERROR(__xludf.DUMMYFUNCTION("""COMPUTED_VALUE"""),44877.9986111111)</f>
        <v>44877.998611111099</v>
      </c>
      <c r="AD1728" s="6">
        <f ca="1">IFERROR(__xludf.DUMMYFUNCTION("""COMPUTED_VALUE"""),1313.03)</f>
        <v>1313.03</v>
      </c>
      <c r="AH1728" s="6" t="str">
        <f t="shared" ca="1" si="480"/>
        <v>20229</v>
      </c>
      <c r="AI1728" s="6">
        <f t="shared" ca="1" si="481"/>
        <v>2022</v>
      </c>
      <c r="AJ1728" s="6">
        <f t="shared" ca="1" si="482"/>
        <v>9</v>
      </c>
      <c r="AK1728" s="68">
        <f ca="1">IFERROR(__xludf.DUMMYFUNCTION("""COMPUTED_VALUE"""),44821.9986111111)</f>
        <v>44821.998611111099</v>
      </c>
      <c r="AL1728" s="6">
        <f ca="1">IFERROR(__xludf.DUMMYFUNCTION("""COMPUTED_VALUE"""),20116.79)</f>
        <v>20116.79</v>
      </c>
      <c r="AP1728" s="6" t="str">
        <f t="shared" ca="1" si="483"/>
        <v>202411</v>
      </c>
      <c r="AQ1728" s="6">
        <f t="shared" ca="1" si="484"/>
        <v>2024</v>
      </c>
      <c r="AR1728" s="6">
        <f t="shared" ca="1" si="485"/>
        <v>11</v>
      </c>
      <c r="AS1728" s="68">
        <f ca="1">IFERROR(__xludf.DUMMYFUNCTION("""COMPUTED_VALUE"""),45614.9986111111)</f>
        <v>45614.998611111099</v>
      </c>
      <c r="AT1728" s="6">
        <f ca="1">IFERROR(__xludf.DUMMYFUNCTION("""COMPUTED_VALUE"""),2614.6)</f>
        <v>2614.6</v>
      </c>
    </row>
    <row r="1729" spans="2:46" x14ac:dyDescent="0.35">
      <c r="B1729" s="6" t="str">
        <f t="shared" ca="1" si="468"/>
        <v>202411</v>
      </c>
      <c r="C1729" s="6">
        <f t="shared" ca="1" si="469"/>
        <v>2024</v>
      </c>
      <c r="D1729" s="6">
        <f t="shared" ca="1" si="470"/>
        <v>11</v>
      </c>
      <c r="E1729" s="68">
        <f ca="1">IFERROR(__xludf.DUMMYFUNCTION("""COMPUTED_VALUE"""),45608.6666666666)</f>
        <v>45608.666666666599</v>
      </c>
      <c r="F1729" s="6">
        <f ca="1">IFERROR(__xludf.DUMMYFUNCTION("""COMPUTED_VALUE"""),5983.99)</f>
        <v>5983.99</v>
      </c>
      <c r="J1729" s="6" t="str">
        <f t="shared" ca="1" si="471"/>
        <v>202411</v>
      </c>
      <c r="K1729" s="6">
        <f t="shared" ca="1" si="472"/>
        <v>2024</v>
      </c>
      <c r="L1729" s="6">
        <f t="shared" ca="1" si="473"/>
        <v>11</v>
      </c>
      <c r="M1729" s="68">
        <f ca="1">IFERROR(__xludf.DUMMYFUNCTION("""COMPUTED_VALUE"""),45601.6666666666)</f>
        <v>45601.666666666599</v>
      </c>
      <c r="N1729" s="6">
        <f ca="1">IFERROR(__xludf.DUMMYFUNCTION("""COMPUTED_VALUE"""),18439.17)</f>
        <v>18439.169999999998</v>
      </c>
      <c r="R1729" s="6" t="str">
        <f t="shared" ca="1" si="474"/>
        <v>20251</v>
      </c>
      <c r="S1729" s="6">
        <f t="shared" ca="1" si="475"/>
        <v>2025</v>
      </c>
      <c r="T1729" s="6">
        <f t="shared" ca="1" si="476"/>
        <v>1</v>
      </c>
      <c r="U1729" s="68">
        <f ca="1">IFERROR(__xludf.DUMMYFUNCTION("""COMPUTED_VALUE"""),45672.6458333333)</f>
        <v>45672.645833333299</v>
      </c>
      <c r="V1729" s="6">
        <f ca="1">IFERROR(__xludf.DUMMYFUNCTION("""COMPUTED_VALUE"""),2496.81)</f>
        <v>2496.81</v>
      </c>
      <c r="Z1729" s="6" t="str">
        <f t="shared" ca="1" si="477"/>
        <v>202211</v>
      </c>
      <c r="AA1729" s="6">
        <f t="shared" ca="1" si="478"/>
        <v>2022</v>
      </c>
      <c r="AB1729" s="6">
        <f t="shared" ca="1" si="479"/>
        <v>11</v>
      </c>
      <c r="AC1729" s="68">
        <f ca="1">IFERROR(__xludf.DUMMYFUNCTION("""COMPUTED_VALUE"""),44878.9986111111)</f>
        <v>44878.998611111099</v>
      </c>
      <c r="AD1729" s="6">
        <f ca="1">IFERROR(__xludf.DUMMYFUNCTION("""COMPUTED_VALUE"""),1313.03)</f>
        <v>1313.03</v>
      </c>
      <c r="AH1729" s="6" t="str">
        <f t="shared" ca="1" si="480"/>
        <v>20229</v>
      </c>
      <c r="AI1729" s="6">
        <f t="shared" ca="1" si="481"/>
        <v>2022</v>
      </c>
      <c r="AJ1729" s="6">
        <f t="shared" ca="1" si="482"/>
        <v>9</v>
      </c>
      <c r="AK1729" s="68">
        <f ca="1">IFERROR(__xludf.DUMMYFUNCTION("""COMPUTED_VALUE"""),44822.9986111111)</f>
        <v>44822.998611111099</v>
      </c>
      <c r="AL1729" s="6">
        <f ca="1">IFERROR(__xludf.DUMMYFUNCTION("""COMPUTED_VALUE"""),19417.64)</f>
        <v>19417.64</v>
      </c>
      <c r="AP1729" s="6" t="str">
        <f t="shared" ca="1" si="483"/>
        <v>202411</v>
      </c>
      <c r="AQ1729" s="6">
        <f t="shared" ca="1" si="484"/>
        <v>2024</v>
      </c>
      <c r="AR1729" s="6">
        <f t="shared" ca="1" si="485"/>
        <v>11</v>
      </c>
      <c r="AS1729" s="68">
        <f ca="1">IFERROR(__xludf.DUMMYFUNCTION("""COMPUTED_VALUE"""),45615.9986111111)</f>
        <v>45615.998611111099</v>
      </c>
      <c r="AT1729" s="6">
        <f ca="1">IFERROR(__xludf.DUMMYFUNCTION("""COMPUTED_VALUE"""),2631)</f>
        <v>2631</v>
      </c>
    </row>
    <row r="1730" spans="2:46" x14ac:dyDescent="0.35">
      <c r="B1730" s="6" t="str">
        <f t="shared" ca="1" si="468"/>
        <v>202411</v>
      </c>
      <c r="C1730" s="6">
        <f t="shared" ca="1" si="469"/>
        <v>2024</v>
      </c>
      <c r="D1730" s="6">
        <f t="shared" ca="1" si="470"/>
        <v>11</v>
      </c>
      <c r="E1730" s="68">
        <f ca="1">IFERROR(__xludf.DUMMYFUNCTION("""COMPUTED_VALUE"""),45609.6666666666)</f>
        <v>45609.666666666599</v>
      </c>
      <c r="F1730" s="6">
        <f ca="1">IFERROR(__xludf.DUMMYFUNCTION("""COMPUTED_VALUE"""),5985.38)</f>
        <v>5985.38</v>
      </c>
      <c r="J1730" s="6" t="str">
        <f t="shared" ca="1" si="471"/>
        <v>202411</v>
      </c>
      <c r="K1730" s="6">
        <f t="shared" ca="1" si="472"/>
        <v>2024</v>
      </c>
      <c r="L1730" s="6">
        <f t="shared" ca="1" si="473"/>
        <v>11</v>
      </c>
      <c r="M1730" s="68">
        <f ca="1">IFERROR(__xludf.DUMMYFUNCTION("""COMPUTED_VALUE"""),45602.6666666666)</f>
        <v>45602.666666666599</v>
      </c>
      <c r="N1730" s="6">
        <f ca="1">IFERROR(__xludf.DUMMYFUNCTION("""COMPUTED_VALUE"""),18983.47)</f>
        <v>18983.47</v>
      </c>
      <c r="R1730" s="6" t="str">
        <f t="shared" ca="1" si="474"/>
        <v>20251</v>
      </c>
      <c r="S1730" s="6">
        <f t="shared" ca="1" si="475"/>
        <v>2025</v>
      </c>
      <c r="T1730" s="6">
        <f t="shared" ca="1" si="476"/>
        <v>1</v>
      </c>
      <c r="U1730" s="68">
        <f ca="1">IFERROR(__xludf.DUMMYFUNCTION("""COMPUTED_VALUE"""),45673.6458333333)</f>
        <v>45673.645833333299</v>
      </c>
      <c r="V1730" s="6">
        <f ca="1">IFERROR(__xludf.DUMMYFUNCTION("""COMPUTED_VALUE"""),2527.49)</f>
        <v>2527.4899999999998</v>
      </c>
      <c r="Z1730" s="6" t="str">
        <f t="shared" ca="1" si="477"/>
        <v>202211</v>
      </c>
      <c r="AA1730" s="6">
        <f t="shared" ca="1" si="478"/>
        <v>2022</v>
      </c>
      <c r="AB1730" s="6">
        <f t="shared" ca="1" si="479"/>
        <v>11</v>
      </c>
      <c r="AC1730" s="68">
        <f ca="1">IFERROR(__xludf.DUMMYFUNCTION("""COMPUTED_VALUE"""),44879.9986111111)</f>
        <v>44879.998611111099</v>
      </c>
      <c r="AD1730" s="6">
        <f ca="1">IFERROR(__xludf.DUMMYFUNCTION("""COMPUTED_VALUE"""),1324.08)</f>
        <v>1324.08</v>
      </c>
      <c r="AH1730" s="6" t="str">
        <f t="shared" ca="1" si="480"/>
        <v>20229</v>
      </c>
      <c r="AI1730" s="6">
        <f t="shared" ca="1" si="481"/>
        <v>2022</v>
      </c>
      <c r="AJ1730" s="6">
        <f t="shared" ca="1" si="482"/>
        <v>9</v>
      </c>
      <c r="AK1730" s="68">
        <f ca="1">IFERROR(__xludf.DUMMYFUNCTION("""COMPUTED_VALUE"""),44823.9986111111)</f>
        <v>44823.998611111099</v>
      </c>
      <c r="AL1730" s="6">
        <f ca="1">IFERROR(__xludf.DUMMYFUNCTION("""COMPUTED_VALUE"""),19536.58)</f>
        <v>19536.580000000002</v>
      </c>
      <c r="AP1730" s="6" t="str">
        <f t="shared" ca="1" si="483"/>
        <v>202411</v>
      </c>
      <c r="AQ1730" s="6">
        <f t="shared" ca="1" si="484"/>
        <v>2024</v>
      </c>
      <c r="AR1730" s="6">
        <f t="shared" ca="1" si="485"/>
        <v>11</v>
      </c>
      <c r="AS1730" s="68">
        <f ca="1">IFERROR(__xludf.DUMMYFUNCTION("""COMPUTED_VALUE"""),45616.9986111111)</f>
        <v>45616.998611111099</v>
      </c>
      <c r="AT1730" s="6">
        <f ca="1">IFERROR(__xludf.DUMMYFUNCTION("""COMPUTED_VALUE"""),2651.7)</f>
        <v>2651.7</v>
      </c>
    </row>
    <row r="1731" spans="2:46" x14ac:dyDescent="0.35">
      <c r="B1731" s="6" t="str">
        <f t="shared" ca="1" si="468"/>
        <v>202411</v>
      </c>
      <c r="C1731" s="6">
        <f t="shared" ca="1" si="469"/>
        <v>2024</v>
      </c>
      <c r="D1731" s="6">
        <f t="shared" ca="1" si="470"/>
        <v>11</v>
      </c>
      <c r="E1731" s="68">
        <f ca="1">IFERROR(__xludf.DUMMYFUNCTION("""COMPUTED_VALUE"""),45610.6666666666)</f>
        <v>45610.666666666599</v>
      </c>
      <c r="F1731" s="6">
        <f ca="1">IFERROR(__xludf.DUMMYFUNCTION("""COMPUTED_VALUE"""),5949.17)</f>
        <v>5949.17</v>
      </c>
      <c r="J1731" s="6" t="str">
        <f t="shared" ca="1" si="471"/>
        <v>202411</v>
      </c>
      <c r="K1731" s="6">
        <f t="shared" ca="1" si="472"/>
        <v>2024</v>
      </c>
      <c r="L1731" s="6">
        <f t="shared" ca="1" si="473"/>
        <v>11</v>
      </c>
      <c r="M1731" s="68">
        <f ca="1">IFERROR(__xludf.DUMMYFUNCTION("""COMPUTED_VALUE"""),45603.6666666666)</f>
        <v>45603.666666666599</v>
      </c>
      <c r="N1731" s="6">
        <f ca="1">IFERROR(__xludf.DUMMYFUNCTION("""COMPUTED_VALUE"""),19269.46)</f>
        <v>19269.46</v>
      </c>
      <c r="R1731" s="6" t="str">
        <f t="shared" ca="1" si="474"/>
        <v>20251</v>
      </c>
      <c r="S1731" s="6">
        <f t="shared" ca="1" si="475"/>
        <v>2025</v>
      </c>
      <c r="T1731" s="6">
        <f t="shared" ca="1" si="476"/>
        <v>1</v>
      </c>
      <c r="U1731" s="68">
        <f ca="1">IFERROR(__xludf.DUMMYFUNCTION("""COMPUTED_VALUE"""),45674.6458333333)</f>
        <v>45674.645833333299</v>
      </c>
      <c r="V1731" s="6">
        <f ca="1">IFERROR(__xludf.DUMMYFUNCTION("""COMPUTED_VALUE"""),2523.55)</f>
        <v>2523.5500000000002</v>
      </c>
      <c r="Z1731" s="6" t="str">
        <f t="shared" ca="1" si="477"/>
        <v>202211</v>
      </c>
      <c r="AA1731" s="6">
        <f t="shared" ca="1" si="478"/>
        <v>2022</v>
      </c>
      <c r="AB1731" s="6">
        <f t="shared" ca="1" si="479"/>
        <v>11</v>
      </c>
      <c r="AC1731" s="68">
        <f ca="1">IFERROR(__xludf.DUMMYFUNCTION("""COMPUTED_VALUE"""),44880.9986111111)</f>
        <v>44880.998611111099</v>
      </c>
      <c r="AD1731" s="6">
        <f ca="1">IFERROR(__xludf.DUMMYFUNCTION("""COMPUTED_VALUE"""),1316.26)</f>
        <v>1316.26</v>
      </c>
      <c r="AH1731" s="6" t="str">
        <f t="shared" ca="1" si="480"/>
        <v>20229</v>
      </c>
      <c r="AI1731" s="6">
        <f t="shared" ca="1" si="481"/>
        <v>2022</v>
      </c>
      <c r="AJ1731" s="6">
        <f t="shared" ca="1" si="482"/>
        <v>9</v>
      </c>
      <c r="AK1731" s="68">
        <f ca="1">IFERROR(__xludf.DUMMYFUNCTION("""COMPUTED_VALUE"""),44824.9986111111)</f>
        <v>44824.998611111099</v>
      </c>
      <c r="AL1731" s="6">
        <f ca="1">IFERROR(__xludf.DUMMYFUNCTION("""COMPUTED_VALUE"""),18875.99)</f>
        <v>18875.990000000002</v>
      </c>
      <c r="AP1731" s="6" t="str">
        <f t="shared" ca="1" si="483"/>
        <v>202411</v>
      </c>
      <c r="AQ1731" s="6">
        <f t="shared" ca="1" si="484"/>
        <v>2024</v>
      </c>
      <c r="AR1731" s="6">
        <f t="shared" ca="1" si="485"/>
        <v>11</v>
      </c>
      <c r="AS1731" s="68">
        <f ca="1">IFERROR(__xludf.DUMMYFUNCTION("""COMPUTED_VALUE"""),45617.9986111111)</f>
        <v>45617.998611111099</v>
      </c>
      <c r="AT1731" s="6">
        <f ca="1">IFERROR(__xludf.DUMMYFUNCTION("""COMPUTED_VALUE"""),2699.3)</f>
        <v>2699.3</v>
      </c>
    </row>
    <row r="1732" spans="2:46" x14ac:dyDescent="0.35">
      <c r="B1732" s="6" t="str">
        <f t="shared" ca="1" si="468"/>
        <v>202411</v>
      </c>
      <c r="C1732" s="6">
        <f t="shared" ca="1" si="469"/>
        <v>2024</v>
      </c>
      <c r="D1732" s="6">
        <f t="shared" ca="1" si="470"/>
        <v>11</v>
      </c>
      <c r="E1732" s="68">
        <f ca="1">IFERROR(__xludf.DUMMYFUNCTION("""COMPUTED_VALUE"""),45611.6666666666)</f>
        <v>45611.666666666599</v>
      </c>
      <c r="F1732" s="6">
        <f ca="1">IFERROR(__xludf.DUMMYFUNCTION("""COMPUTED_VALUE"""),5870.62)</f>
        <v>5870.62</v>
      </c>
      <c r="J1732" s="6" t="str">
        <f t="shared" ca="1" si="471"/>
        <v>202411</v>
      </c>
      <c r="K1732" s="6">
        <f t="shared" ca="1" si="472"/>
        <v>2024</v>
      </c>
      <c r="L1732" s="6">
        <f t="shared" ca="1" si="473"/>
        <v>11</v>
      </c>
      <c r="M1732" s="68">
        <f ca="1">IFERROR(__xludf.DUMMYFUNCTION("""COMPUTED_VALUE"""),45604.6666666666)</f>
        <v>45604.666666666599</v>
      </c>
      <c r="N1732" s="6">
        <f ca="1">IFERROR(__xludf.DUMMYFUNCTION("""COMPUTED_VALUE"""),19286.78)</f>
        <v>19286.78</v>
      </c>
      <c r="R1732" s="6" t="str">
        <f t="shared" ca="1" si="474"/>
        <v>20251</v>
      </c>
      <c r="S1732" s="6">
        <f t="shared" ca="1" si="475"/>
        <v>2025</v>
      </c>
      <c r="T1732" s="6">
        <f t="shared" ca="1" si="476"/>
        <v>1</v>
      </c>
      <c r="U1732" s="68">
        <f ca="1">IFERROR(__xludf.DUMMYFUNCTION("""COMPUTED_VALUE"""),45677.6458333333)</f>
        <v>45677.645833333299</v>
      </c>
      <c r="V1732" s="6">
        <f ca="1">IFERROR(__xludf.DUMMYFUNCTION("""COMPUTED_VALUE"""),2520.05)</f>
        <v>2520.0500000000002</v>
      </c>
      <c r="Z1732" s="6" t="str">
        <f t="shared" ca="1" si="477"/>
        <v>202211</v>
      </c>
      <c r="AA1732" s="6">
        <f t="shared" ca="1" si="478"/>
        <v>2022</v>
      </c>
      <c r="AB1732" s="6">
        <f t="shared" ca="1" si="479"/>
        <v>11</v>
      </c>
      <c r="AC1732" s="68">
        <f ca="1">IFERROR(__xludf.DUMMYFUNCTION("""COMPUTED_VALUE"""),44881.9986111111)</f>
        <v>44881.998611111099</v>
      </c>
      <c r="AD1732" s="6">
        <f ca="1">IFERROR(__xludf.DUMMYFUNCTION("""COMPUTED_VALUE"""),1336.43)</f>
        <v>1336.43</v>
      </c>
      <c r="AH1732" s="6" t="str">
        <f t="shared" ca="1" si="480"/>
        <v>20229</v>
      </c>
      <c r="AI1732" s="6">
        <f t="shared" ca="1" si="481"/>
        <v>2022</v>
      </c>
      <c r="AJ1732" s="6">
        <f t="shared" ca="1" si="482"/>
        <v>9</v>
      </c>
      <c r="AK1732" s="68">
        <f ca="1">IFERROR(__xludf.DUMMYFUNCTION("""COMPUTED_VALUE"""),44825.9986111111)</f>
        <v>44825.998611111099</v>
      </c>
      <c r="AL1732" s="6">
        <f ca="1">IFERROR(__xludf.DUMMYFUNCTION("""COMPUTED_VALUE"""),18489.82)</f>
        <v>18489.82</v>
      </c>
      <c r="AP1732" s="6" t="str">
        <f t="shared" ca="1" si="483"/>
        <v>202411</v>
      </c>
      <c r="AQ1732" s="6">
        <f t="shared" ca="1" si="484"/>
        <v>2024</v>
      </c>
      <c r="AR1732" s="6">
        <f t="shared" ca="1" si="485"/>
        <v>11</v>
      </c>
      <c r="AS1732" s="68">
        <f ca="1">IFERROR(__xludf.DUMMYFUNCTION("""COMPUTED_VALUE"""),45618.9986111111)</f>
        <v>45618.998611111099</v>
      </c>
      <c r="AT1732" s="6">
        <f ca="1">IFERROR(__xludf.DUMMYFUNCTION("""COMPUTED_VALUE"""),2737.2)</f>
        <v>2737.2</v>
      </c>
    </row>
    <row r="1733" spans="2:46" x14ac:dyDescent="0.35">
      <c r="B1733" s="6" t="str">
        <f t="shared" ca="1" si="468"/>
        <v>202411</v>
      </c>
      <c r="C1733" s="6">
        <f t="shared" ca="1" si="469"/>
        <v>2024</v>
      </c>
      <c r="D1733" s="6">
        <f t="shared" ca="1" si="470"/>
        <v>11</v>
      </c>
      <c r="E1733" s="68">
        <f ca="1">IFERROR(__xludf.DUMMYFUNCTION("""COMPUTED_VALUE"""),45614.6666666666)</f>
        <v>45614.666666666599</v>
      </c>
      <c r="F1733" s="6">
        <f ca="1">IFERROR(__xludf.DUMMYFUNCTION("""COMPUTED_VALUE"""),5893.62)</f>
        <v>5893.62</v>
      </c>
      <c r="J1733" s="6" t="str">
        <f t="shared" ca="1" si="471"/>
        <v>202411</v>
      </c>
      <c r="K1733" s="6">
        <f t="shared" ca="1" si="472"/>
        <v>2024</v>
      </c>
      <c r="L1733" s="6">
        <f t="shared" ca="1" si="473"/>
        <v>11</v>
      </c>
      <c r="M1733" s="68">
        <f ca="1">IFERROR(__xludf.DUMMYFUNCTION("""COMPUTED_VALUE"""),45607.6666666666)</f>
        <v>45607.666666666599</v>
      </c>
      <c r="N1733" s="6">
        <f ca="1">IFERROR(__xludf.DUMMYFUNCTION("""COMPUTED_VALUE"""),19298.76)</f>
        <v>19298.759999999998</v>
      </c>
      <c r="R1733" s="6" t="str">
        <f t="shared" ca="1" si="474"/>
        <v>20251</v>
      </c>
      <c r="S1733" s="6">
        <f t="shared" ca="1" si="475"/>
        <v>2025</v>
      </c>
      <c r="T1733" s="6">
        <f t="shared" ca="1" si="476"/>
        <v>1</v>
      </c>
      <c r="U1733" s="68">
        <f ca="1">IFERROR(__xludf.DUMMYFUNCTION("""COMPUTED_VALUE"""),45678.6458333333)</f>
        <v>45678.645833333299</v>
      </c>
      <c r="V1733" s="6">
        <f ca="1">IFERROR(__xludf.DUMMYFUNCTION("""COMPUTED_VALUE"""),2518.03)</f>
        <v>2518.0300000000002</v>
      </c>
      <c r="Z1733" s="6" t="str">
        <f t="shared" ca="1" si="477"/>
        <v>202211</v>
      </c>
      <c r="AA1733" s="6">
        <f t="shared" ca="1" si="478"/>
        <v>2022</v>
      </c>
      <c r="AB1733" s="6">
        <f t="shared" ca="1" si="479"/>
        <v>11</v>
      </c>
      <c r="AC1733" s="68">
        <f ca="1">IFERROR(__xludf.DUMMYFUNCTION("""COMPUTED_VALUE"""),44882.9986111111)</f>
        <v>44882.998611111099</v>
      </c>
      <c r="AD1733" s="6">
        <f ca="1">IFERROR(__xludf.DUMMYFUNCTION("""COMPUTED_VALUE"""),1342.75)</f>
        <v>1342.75</v>
      </c>
      <c r="AH1733" s="6" t="str">
        <f t="shared" ca="1" si="480"/>
        <v>20229</v>
      </c>
      <c r="AI1733" s="6">
        <f t="shared" ca="1" si="481"/>
        <v>2022</v>
      </c>
      <c r="AJ1733" s="6">
        <f t="shared" ca="1" si="482"/>
        <v>9</v>
      </c>
      <c r="AK1733" s="68">
        <f ca="1">IFERROR(__xludf.DUMMYFUNCTION("""COMPUTED_VALUE"""),44826.9986111111)</f>
        <v>44826.998611111099</v>
      </c>
      <c r="AL1733" s="6">
        <f ca="1">IFERROR(__xludf.DUMMYFUNCTION("""COMPUTED_VALUE"""),19405.05)</f>
        <v>19405.05</v>
      </c>
      <c r="AP1733" s="6" t="str">
        <f t="shared" ca="1" si="483"/>
        <v>202411</v>
      </c>
      <c r="AQ1733" s="6">
        <f t="shared" ca="1" si="484"/>
        <v>2024</v>
      </c>
      <c r="AR1733" s="6">
        <f t="shared" ca="1" si="485"/>
        <v>11</v>
      </c>
      <c r="AS1733" s="68">
        <f ca="1">IFERROR(__xludf.DUMMYFUNCTION("""COMPUTED_VALUE"""),45621.9986111111)</f>
        <v>45621.998611111099</v>
      </c>
      <c r="AT1733" s="6">
        <f ca="1">IFERROR(__xludf.DUMMYFUNCTION("""COMPUTED_VALUE"""),2642.6)</f>
        <v>2642.6</v>
      </c>
    </row>
    <row r="1734" spans="2:46" x14ac:dyDescent="0.35">
      <c r="B1734" s="6" t="str">
        <f t="shared" ca="1" si="468"/>
        <v>202411</v>
      </c>
      <c r="C1734" s="6">
        <f t="shared" ca="1" si="469"/>
        <v>2024</v>
      </c>
      <c r="D1734" s="6">
        <f t="shared" ca="1" si="470"/>
        <v>11</v>
      </c>
      <c r="E1734" s="68">
        <f ca="1">IFERROR(__xludf.DUMMYFUNCTION("""COMPUTED_VALUE"""),45615.6666666666)</f>
        <v>45615.666666666599</v>
      </c>
      <c r="F1734" s="6">
        <f ca="1">IFERROR(__xludf.DUMMYFUNCTION("""COMPUTED_VALUE"""),5916.98)</f>
        <v>5916.98</v>
      </c>
      <c r="J1734" s="6" t="str">
        <f t="shared" ca="1" si="471"/>
        <v>202411</v>
      </c>
      <c r="K1734" s="6">
        <f t="shared" ca="1" si="472"/>
        <v>2024</v>
      </c>
      <c r="L1734" s="6">
        <f t="shared" ca="1" si="473"/>
        <v>11</v>
      </c>
      <c r="M1734" s="68">
        <f ca="1">IFERROR(__xludf.DUMMYFUNCTION("""COMPUTED_VALUE"""),45608.6666666666)</f>
        <v>45608.666666666599</v>
      </c>
      <c r="N1734" s="6">
        <f ca="1">IFERROR(__xludf.DUMMYFUNCTION("""COMPUTED_VALUE"""),19281.4)</f>
        <v>19281.400000000001</v>
      </c>
      <c r="R1734" s="6" t="str">
        <f t="shared" ca="1" si="474"/>
        <v>20251</v>
      </c>
      <c r="S1734" s="6">
        <f t="shared" ca="1" si="475"/>
        <v>2025</v>
      </c>
      <c r="T1734" s="6">
        <f t="shared" ca="1" si="476"/>
        <v>1</v>
      </c>
      <c r="U1734" s="68">
        <f ca="1">IFERROR(__xludf.DUMMYFUNCTION("""COMPUTED_VALUE"""),45679.6458333333)</f>
        <v>45679.645833333299</v>
      </c>
      <c r="V1734" s="6">
        <f ca="1">IFERROR(__xludf.DUMMYFUNCTION("""COMPUTED_VALUE"""),2547.06)</f>
        <v>2547.06</v>
      </c>
      <c r="Z1734" s="6" t="str">
        <f t="shared" ca="1" si="477"/>
        <v>202211</v>
      </c>
      <c r="AA1734" s="6">
        <f t="shared" ca="1" si="478"/>
        <v>2022</v>
      </c>
      <c r="AB1734" s="6">
        <f t="shared" ca="1" si="479"/>
        <v>11</v>
      </c>
      <c r="AC1734" s="68">
        <f ca="1">IFERROR(__xludf.DUMMYFUNCTION("""COMPUTED_VALUE"""),44883.9986111111)</f>
        <v>44883.998611111099</v>
      </c>
      <c r="AD1734" s="6">
        <f ca="1">IFERROR(__xludf.DUMMYFUNCTION("""COMPUTED_VALUE"""),1339.01)</f>
        <v>1339.01</v>
      </c>
      <c r="AH1734" s="6" t="str">
        <f t="shared" ca="1" si="480"/>
        <v>20229</v>
      </c>
      <c r="AI1734" s="6">
        <f t="shared" ca="1" si="481"/>
        <v>2022</v>
      </c>
      <c r="AJ1734" s="6">
        <f t="shared" ca="1" si="482"/>
        <v>9</v>
      </c>
      <c r="AK1734" s="68">
        <f ca="1">IFERROR(__xludf.DUMMYFUNCTION("""COMPUTED_VALUE"""),44827.9986111111)</f>
        <v>44827.998611111099</v>
      </c>
      <c r="AL1734" s="6">
        <f ca="1">IFERROR(__xludf.DUMMYFUNCTION("""COMPUTED_VALUE"""),19291.41)</f>
        <v>19291.41</v>
      </c>
      <c r="AP1734" s="6" t="str">
        <f t="shared" ca="1" si="483"/>
        <v>202411</v>
      </c>
      <c r="AQ1734" s="6">
        <f t="shared" ca="1" si="484"/>
        <v>2024</v>
      </c>
      <c r="AR1734" s="6">
        <f t="shared" ca="1" si="485"/>
        <v>11</v>
      </c>
      <c r="AS1734" s="68">
        <f ca="1">IFERROR(__xludf.DUMMYFUNCTION("""COMPUTED_VALUE"""),45622.9986111111)</f>
        <v>45622.998611111099</v>
      </c>
      <c r="AT1734" s="6">
        <f ca="1">IFERROR(__xludf.DUMMYFUNCTION("""COMPUTED_VALUE"""),2646.3)</f>
        <v>2646.3</v>
      </c>
    </row>
    <row r="1735" spans="2:46" x14ac:dyDescent="0.35">
      <c r="B1735" s="6" t="str">
        <f t="shared" ref="B1735:B1798" ca="1" si="486">C1735&amp;D1735</f>
        <v>202411</v>
      </c>
      <c r="C1735" s="6">
        <f t="shared" ref="C1735:C1798" ca="1" si="487">YEAR(E1735)</f>
        <v>2024</v>
      </c>
      <c r="D1735" s="6">
        <f t="shared" ref="D1735:D1798" ca="1" si="488">MONTH(E1735)</f>
        <v>11</v>
      </c>
      <c r="E1735" s="68">
        <f ca="1">IFERROR(__xludf.DUMMYFUNCTION("""COMPUTED_VALUE"""),45616.6666666666)</f>
        <v>45616.666666666599</v>
      </c>
      <c r="F1735" s="6">
        <f ca="1">IFERROR(__xludf.DUMMYFUNCTION("""COMPUTED_VALUE"""),5917.11)</f>
        <v>5917.11</v>
      </c>
      <c r="J1735" s="6" t="str">
        <f t="shared" ref="J1735:J1798" ca="1" si="489">K1735&amp;L1735</f>
        <v>202411</v>
      </c>
      <c r="K1735" s="6">
        <f t="shared" ref="K1735:K1798" ca="1" si="490">YEAR(M1735)</f>
        <v>2024</v>
      </c>
      <c r="L1735" s="6">
        <f t="shared" ref="L1735:L1798" ca="1" si="491">MONTH(M1735)</f>
        <v>11</v>
      </c>
      <c r="M1735" s="68">
        <f ca="1">IFERROR(__xludf.DUMMYFUNCTION("""COMPUTED_VALUE"""),45609.6666666666)</f>
        <v>45609.666666666599</v>
      </c>
      <c r="N1735" s="6">
        <f ca="1">IFERROR(__xludf.DUMMYFUNCTION("""COMPUTED_VALUE"""),19230.72)</f>
        <v>19230.72</v>
      </c>
      <c r="R1735" s="6" t="str">
        <f t="shared" ref="R1735:R1798" ca="1" si="492">S1735&amp;T1735</f>
        <v>20251</v>
      </c>
      <c r="S1735" s="6">
        <f t="shared" ref="S1735:S1798" ca="1" si="493">YEAR(U1735)</f>
        <v>2025</v>
      </c>
      <c r="T1735" s="6">
        <f t="shared" ref="T1735:T1798" ca="1" si="494">MONTH(U1735)</f>
        <v>1</v>
      </c>
      <c r="U1735" s="68">
        <f ca="1">IFERROR(__xludf.DUMMYFUNCTION("""COMPUTED_VALUE"""),45680.6458333333)</f>
        <v>45680.645833333299</v>
      </c>
      <c r="V1735" s="6">
        <f ca="1">IFERROR(__xludf.DUMMYFUNCTION("""COMPUTED_VALUE"""),2515.49)</f>
        <v>2515.4899999999998</v>
      </c>
      <c r="Z1735" s="6" t="str">
        <f t="shared" ref="Z1735:Z1798" ca="1" si="495">AA1735&amp;AB1735</f>
        <v>202211</v>
      </c>
      <c r="AA1735" s="6">
        <f t="shared" ref="AA1735:AA1798" ca="1" si="496">YEAR(AC1735)</f>
        <v>2022</v>
      </c>
      <c r="AB1735" s="6">
        <f t="shared" ref="AB1735:AB1798" ca="1" si="497">MONTH(AC1735)</f>
        <v>11</v>
      </c>
      <c r="AC1735" s="68">
        <f ca="1">IFERROR(__xludf.DUMMYFUNCTION("""COMPUTED_VALUE"""),44884.9986111111)</f>
        <v>44884.998611111099</v>
      </c>
      <c r="AD1735" s="6">
        <f ca="1">IFERROR(__xludf.DUMMYFUNCTION("""COMPUTED_VALUE"""),1339.03)</f>
        <v>1339.03</v>
      </c>
      <c r="AH1735" s="6" t="str">
        <f t="shared" ref="AH1735:AH1798" ca="1" si="498">AI1735&amp;AJ1735</f>
        <v>20229</v>
      </c>
      <c r="AI1735" s="6">
        <f t="shared" ref="AI1735:AI1798" ca="1" si="499">YEAR(AK1735)</f>
        <v>2022</v>
      </c>
      <c r="AJ1735" s="6">
        <f t="shared" ref="AJ1735:AJ1798" ca="1" si="500">MONTH(AK1735)</f>
        <v>9</v>
      </c>
      <c r="AK1735" s="68">
        <f ca="1">IFERROR(__xludf.DUMMYFUNCTION("""COMPUTED_VALUE"""),44828.9986111111)</f>
        <v>44828.998611111099</v>
      </c>
      <c r="AL1735" s="6">
        <f ca="1">IFERROR(__xludf.DUMMYFUNCTION("""COMPUTED_VALUE"""),18921.97)</f>
        <v>18921.97</v>
      </c>
      <c r="AP1735" s="6" t="str">
        <f t="shared" ref="AP1735:AP1798" ca="1" si="501">AQ1735&amp;AR1735</f>
        <v>202411</v>
      </c>
      <c r="AQ1735" s="6">
        <f t="shared" ref="AQ1735:AQ1798" ca="1" si="502">YEAR(AS1735)</f>
        <v>2024</v>
      </c>
      <c r="AR1735" s="6">
        <f t="shared" ref="AR1735:AR1798" ca="1" si="503">MONTH(AS1735)</f>
        <v>11</v>
      </c>
      <c r="AS1735" s="68">
        <f ca="1">IFERROR(__xludf.DUMMYFUNCTION("""COMPUTED_VALUE"""),45623.9986111111)</f>
        <v>45623.998611111099</v>
      </c>
      <c r="AT1735" s="6">
        <f ca="1">IFERROR(__xludf.DUMMYFUNCTION("""COMPUTED_VALUE"""),2664.8)</f>
        <v>2664.8</v>
      </c>
    </row>
    <row r="1736" spans="2:46" x14ac:dyDescent="0.35">
      <c r="B1736" s="6" t="str">
        <f t="shared" ca="1" si="486"/>
        <v>202411</v>
      </c>
      <c r="C1736" s="6">
        <f t="shared" ca="1" si="487"/>
        <v>2024</v>
      </c>
      <c r="D1736" s="6">
        <f t="shared" ca="1" si="488"/>
        <v>11</v>
      </c>
      <c r="E1736" s="68">
        <f ca="1">IFERROR(__xludf.DUMMYFUNCTION("""COMPUTED_VALUE"""),45617.6666666666)</f>
        <v>45617.666666666599</v>
      </c>
      <c r="F1736" s="6">
        <f ca="1">IFERROR(__xludf.DUMMYFUNCTION("""COMPUTED_VALUE"""),5948.71)</f>
        <v>5948.71</v>
      </c>
      <c r="J1736" s="6" t="str">
        <f t="shared" ca="1" si="489"/>
        <v>202411</v>
      </c>
      <c r="K1736" s="6">
        <f t="shared" ca="1" si="490"/>
        <v>2024</v>
      </c>
      <c r="L1736" s="6">
        <f t="shared" ca="1" si="491"/>
        <v>11</v>
      </c>
      <c r="M1736" s="68">
        <f ca="1">IFERROR(__xludf.DUMMYFUNCTION("""COMPUTED_VALUE"""),45610.6666666666)</f>
        <v>45610.666666666599</v>
      </c>
      <c r="N1736" s="6">
        <f ca="1">IFERROR(__xludf.DUMMYFUNCTION("""COMPUTED_VALUE"""),19107.65)</f>
        <v>19107.650000000001</v>
      </c>
      <c r="R1736" s="6" t="str">
        <f t="shared" ca="1" si="492"/>
        <v>20251</v>
      </c>
      <c r="S1736" s="6">
        <f t="shared" ca="1" si="493"/>
        <v>2025</v>
      </c>
      <c r="T1736" s="6">
        <f t="shared" ca="1" si="494"/>
        <v>1</v>
      </c>
      <c r="U1736" s="68">
        <f ca="1">IFERROR(__xludf.DUMMYFUNCTION("""COMPUTED_VALUE"""),45681.6458333333)</f>
        <v>45681.645833333299</v>
      </c>
      <c r="V1736" s="6">
        <f ca="1">IFERROR(__xludf.DUMMYFUNCTION("""COMPUTED_VALUE"""),2536.8)</f>
        <v>2536.8000000000002</v>
      </c>
      <c r="Z1736" s="6" t="str">
        <f t="shared" ca="1" si="495"/>
        <v>202211</v>
      </c>
      <c r="AA1736" s="6">
        <f t="shared" ca="1" si="496"/>
        <v>2022</v>
      </c>
      <c r="AB1736" s="6">
        <f t="shared" ca="1" si="497"/>
        <v>11</v>
      </c>
      <c r="AC1736" s="68">
        <f ca="1">IFERROR(__xludf.DUMMYFUNCTION("""COMPUTED_VALUE"""),44885.9986111111)</f>
        <v>44885.998611111099</v>
      </c>
      <c r="AD1736" s="6">
        <f ca="1">IFERROR(__xludf.DUMMYFUNCTION("""COMPUTED_VALUE"""),1339.03)</f>
        <v>1339.03</v>
      </c>
      <c r="AH1736" s="6" t="str">
        <f t="shared" ca="1" si="498"/>
        <v>20229</v>
      </c>
      <c r="AI1736" s="6">
        <f t="shared" ca="1" si="499"/>
        <v>2022</v>
      </c>
      <c r="AJ1736" s="6">
        <f t="shared" ca="1" si="500"/>
        <v>9</v>
      </c>
      <c r="AK1736" s="68">
        <f ca="1">IFERROR(__xludf.DUMMYFUNCTION("""COMPUTED_VALUE"""),44829.9986111111)</f>
        <v>44829.998611111099</v>
      </c>
      <c r="AL1736" s="6">
        <f ca="1">IFERROR(__xludf.DUMMYFUNCTION("""COMPUTED_VALUE"""),18802.33)</f>
        <v>18802.330000000002</v>
      </c>
      <c r="AP1736" s="6" t="str">
        <f t="shared" ca="1" si="501"/>
        <v>202411</v>
      </c>
      <c r="AQ1736" s="6">
        <f t="shared" ca="1" si="502"/>
        <v>2024</v>
      </c>
      <c r="AR1736" s="6">
        <f t="shared" ca="1" si="503"/>
        <v>11</v>
      </c>
      <c r="AS1736" s="68">
        <f ca="1">IFERROR(__xludf.DUMMYFUNCTION("""COMPUTED_VALUE"""),45625.5416666666)</f>
        <v>45625.541666666599</v>
      </c>
      <c r="AT1736" s="6">
        <f ca="1">IFERROR(__xludf.DUMMYFUNCTION("""COMPUTED_VALUE"""),2681)</f>
        <v>2681</v>
      </c>
    </row>
    <row r="1737" spans="2:46" x14ac:dyDescent="0.35">
      <c r="B1737" s="6" t="str">
        <f t="shared" ca="1" si="486"/>
        <v>202411</v>
      </c>
      <c r="C1737" s="6">
        <f t="shared" ca="1" si="487"/>
        <v>2024</v>
      </c>
      <c r="D1737" s="6">
        <f t="shared" ca="1" si="488"/>
        <v>11</v>
      </c>
      <c r="E1737" s="68">
        <f ca="1">IFERROR(__xludf.DUMMYFUNCTION("""COMPUTED_VALUE"""),45618.6666666666)</f>
        <v>45618.666666666599</v>
      </c>
      <c r="F1737" s="6">
        <f ca="1">IFERROR(__xludf.DUMMYFUNCTION("""COMPUTED_VALUE"""),5969.34)</f>
        <v>5969.34</v>
      </c>
      <c r="J1737" s="6" t="str">
        <f t="shared" ca="1" si="489"/>
        <v>202411</v>
      </c>
      <c r="K1737" s="6">
        <f t="shared" ca="1" si="490"/>
        <v>2024</v>
      </c>
      <c r="L1737" s="6">
        <f t="shared" ca="1" si="491"/>
        <v>11</v>
      </c>
      <c r="M1737" s="68">
        <f ca="1">IFERROR(__xludf.DUMMYFUNCTION("""COMPUTED_VALUE"""),45611.6666666666)</f>
        <v>45611.666666666599</v>
      </c>
      <c r="N1737" s="6">
        <f ca="1">IFERROR(__xludf.DUMMYFUNCTION("""COMPUTED_VALUE"""),18680.12)</f>
        <v>18680.12</v>
      </c>
      <c r="R1737" s="6" t="str">
        <f t="shared" ca="1" si="492"/>
        <v>20251</v>
      </c>
      <c r="S1737" s="6">
        <f t="shared" ca="1" si="493"/>
        <v>2025</v>
      </c>
      <c r="T1737" s="6">
        <f t="shared" ca="1" si="494"/>
        <v>1</v>
      </c>
      <c r="U1737" s="68">
        <f ca="1">IFERROR(__xludf.DUMMYFUNCTION("""COMPUTED_VALUE"""),45688.6458333333)</f>
        <v>45688.645833333299</v>
      </c>
      <c r="V1737" s="6">
        <f ca="1">IFERROR(__xludf.DUMMYFUNCTION("""COMPUTED_VALUE"""),2517.37)</f>
        <v>2517.37</v>
      </c>
      <c r="Z1737" s="6" t="str">
        <f t="shared" ca="1" si="495"/>
        <v>202211</v>
      </c>
      <c r="AA1737" s="6">
        <f t="shared" ca="1" si="496"/>
        <v>2022</v>
      </c>
      <c r="AB1737" s="6">
        <f t="shared" ca="1" si="497"/>
        <v>11</v>
      </c>
      <c r="AC1737" s="68">
        <f ca="1">IFERROR(__xludf.DUMMYFUNCTION("""COMPUTED_VALUE"""),44886.9986111111)</f>
        <v>44886.998611111099</v>
      </c>
      <c r="AD1737" s="6">
        <f ca="1">IFERROR(__xludf.DUMMYFUNCTION("""COMPUTED_VALUE"""),1359.75)</f>
        <v>1359.75</v>
      </c>
      <c r="AH1737" s="6" t="str">
        <f t="shared" ca="1" si="498"/>
        <v>20229</v>
      </c>
      <c r="AI1737" s="6">
        <f t="shared" ca="1" si="499"/>
        <v>2022</v>
      </c>
      <c r="AJ1737" s="6">
        <f t="shared" ca="1" si="500"/>
        <v>9</v>
      </c>
      <c r="AK1737" s="68">
        <f ca="1">IFERROR(__xludf.DUMMYFUNCTION("""COMPUTED_VALUE"""),44830.9986111111)</f>
        <v>44830.998611111099</v>
      </c>
      <c r="AL1737" s="6">
        <f ca="1">IFERROR(__xludf.DUMMYFUNCTION("""COMPUTED_VALUE"""),19225.28)</f>
        <v>19225.28</v>
      </c>
      <c r="AP1737" s="6" t="str">
        <f t="shared" ca="1" si="501"/>
        <v>202412</v>
      </c>
      <c r="AQ1737" s="6">
        <f t="shared" ca="1" si="502"/>
        <v>2024</v>
      </c>
      <c r="AR1737" s="6">
        <f t="shared" ca="1" si="503"/>
        <v>12</v>
      </c>
      <c r="AS1737" s="68">
        <f ca="1">IFERROR(__xludf.DUMMYFUNCTION("""COMPUTED_VALUE"""),45628.9986111111)</f>
        <v>45628.998611111099</v>
      </c>
      <c r="AT1737" s="6">
        <f ca="1">IFERROR(__xludf.DUMMYFUNCTION("""COMPUTED_VALUE"""),2658.5)</f>
        <v>2658.5</v>
      </c>
    </row>
    <row r="1738" spans="2:46" x14ac:dyDescent="0.35">
      <c r="B1738" s="6" t="str">
        <f t="shared" ca="1" si="486"/>
        <v>202411</v>
      </c>
      <c r="C1738" s="6">
        <f t="shared" ca="1" si="487"/>
        <v>2024</v>
      </c>
      <c r="D1738" s="6">
        <f t="shared" ca="1" si="488"/>
        <v>11</v>
      </c>
      <c r="E1738" s="68">
        <f ca="1">IFERROR(__xludf.DUMMYFUNCTION("""COMPUTED_VALUE"""),45621.6666666666)</f>
        <v>45621.666666666599</v>
      </c>
      <c r="F1738" s="6">
        <f ca="1">IFERROR(__xludf.DUMMYFUNCTION("""COMPUTED_VALUE"""),5987.37)</f>
        <v>5987.37</v>
      </c>
      <c r="J1738" s="6" t="str">
        <f t="shared" ca="1" si="489"/>
        <v>202411</v>
      </c>
      <c r="K1738" s="6">
        <f t="shared" ca="1" si="490"/>
        <v>2024</v>
      </c>
      <c r="L1738" s="6">
        <f t="shared" ca="1" si="491"/>
        <v>11</v>
      </c>
      <c r="M1738" s="68">
        <f ca="1">IFERROR(__xludf.DUMMYFUNCTION("""COMPUTED_VALUE"""),45614.6666666666)</f>
        <v>45614.666666666599</v>
      </c>
      <c r="N1738" s="6">
        <f ca="1">IFERROR(__xludf.DUMMYFUNCTION("""COMPUTED_VALUE"""),18791.81)</f>
        <v>18791.810000000001</v>
      </c>
      <c r="R1738" s="6" t="str">
        <f t="shared" ca="1" si="492"/>
        <v>20252</v>
      </c>
      <c r="S1738" s="6">
        <f t="shared" ca="1" si="493"/>
        <v>2025</v>
      </c>
      <c r="T1738" s="6">
        <f t="shared" ca="1" si="494"/>
        <v>2</v>
      </c>
      <c r="U1738" s="68">
        <f ca="1">IFERROR(__xludf.DUMMYFUNCTION("""COMPUTED_VALUE"""),45691.6458333333)</f>
        <v>45691.645833333299</v>
      </c>
      <c r="V1738" s="6">
        <f ca="1">IFERROR(__xludf.DUMMYFUNCTION("""COMPUTED_VALUE"""),2453.95)</f>
        <v>2453.9499999999998</v>
      </c>
      <c r="Z1738" s="6" t="str">
        <f t="shared" ca="1" si="495"/>
        <v>202211</v>
      </c>
      <c r="AA1738" s="6">
        <f t="shared" ca="1" si="496"/>
        <v>2022</v>
      </c>
      <c r="AB1738" s="6">
        <f t="shared" ca="1" si="497"/>
        <v>11</v>
      </c>
      <c r="AC1738" s="68">
        <f ca="1">IFERROR(__xludf.DUMMYFUNCTION("""COMPUTED_VALUE"""),44887.9986111111)</f>
        <v>44887.998611111099</v>
      </c>
      <c r="AD1738" s="6">
        <f ca="1">IFERROR(__xludf.DUMMYFUNCTION("""COMPUTED_VALUE"""),1352.69)</f>
        <v>1352.69</v>
      </c>
      <c r="AH1738" s="6" t="str">
        <f t="shared" ca="1" si="498"/>
        <v>20229</v>
      </c>
      <c r="AI1738" s="6">
        <f t="shared" ca="1" si="499"/>
        <v>2022</v>
      </c>
      <c r="AJ1738" s="6">
        <f t="shared" ca="1" si="500"/>
        <v>9</v>
      </c>
      <c r="AK1738" s="68">
        <f ca="1">IFERROR(__xludf.DUMMYFUNCTION("""COMPUTED_VALUE"""),44831.9986111111)</f>
        <v>44831.998611111099</v>
      </c>
      <c r="AL1738" s="6">
        <f ca="1">IFERROR(__xludf.DUMMYFUNCTION("""COMPUTED_VALUE"""),19081.24)</f>
        <v>19081.240000000002</v>
      </c>
      <c r="AP1738" s="6" t="str">
        <f t="shared" ca="1" si="501"/>
        <v>202412</v>
      </c>
      <c r="AQ1738" s="6">
        <f t="shared" ca="1" si="502"/>
        <v>2024</v>
      </c>
      <c r="AR1738" s="6">
        <f t="shared" ca="1" si="503"/>
        <v>12</v>
      </c>
      <c r="AS1738" s="68">
        <f ca="1">IFERROR(__xludf.DUMMYFUNCTION("""COMPUTED_VALUE"""),45629.9986111111)</f>
        <v>45629.998611111099</v>
      </c>
      <c r="AT1738" s="6">
        <f ca="1">IFERROR(__xludf.DUMMYFUNCTION("""COMPUTED_VALUE"""),2667.9)</f>
        <v>2667.9</v>
      </c>
    </row>
    <row r="1739" spans="2:46" x14ac:dyDescent="0.35">
      <c r="B1739" s="6" t="str">
        <f t="shared" ca="1" si="486"/>
        <v>202411</v>
      </c>
      <c r="C1739" s="6">
        <f t="shared" ca="1" si="487"/>
        <v>2024</v>
      </c>
      <c r="D1739" s="6">
        <f t="shared" ca="1" si="488"/>
        <v>11</v>
      </c>
      <c r="E1739" s="68">
        <f ca="1">IFERROR(__xludf.DUMMYFUNCTION("""COMPUTED_VALUE"""),45622.6666666666)</f>
        <v>45622.666666666599</v>
      </c>
      <c r="F1739" s="6">
        <f ca="1">IFERROR(__xludf.DUMMYFUNCTION("""COMPUTED_VALUE"""),6021.63)</f>
        <v>6021.63</v>
      </c>
      <c r="J1739" s="6" t="str">
        <f t="shared" ca="1" si="489"/>
        <v>202411</v>
      </c>
      <c r="K1739" s="6">
        <f t="shared" ca="1" si="490"/>
        <v>2024</v>
      </c>
      <c r="L1739" s="6">
        <f t="shared" ca="1" si="491"/>
        <v>11</v>
      </c>
      <c r="M1739" s="68">
        <f ca="1">IFERROR(__xludf.DUMMYFUNCTION("""COMPUTED_VALUE"""),45615.6666666666)</f>
        <v>45615.666666666599</v>
      </c>
      <c r="N1739" s="6">
        <f ca="1">IFERROR(__xludf.DUMMYFUNCTION("""COMPUTED_VALUE"""),18987.47)</f>
        <v>18987.47</v>
      </c>
      <c r="R1739" s="6" t="str">
        <f t="shared" ca="1" si="492"/>
        <v>20252</v>
      </c>
      <c r="S1739" s="6">
        <f t="shared" ca="1" si="493"/>
        <v>2025</v>
      </c>
      <c r="T1739" s="6">
        <f t="shared" ca="1" si="494"/>
        <v>2</v>
      </c>
      <c r="U1739" s="68">
        <f ca="1">IFERROR(__xludf.DUMMYFUNCTION("""COMPUTED_VALUE"""),45692.6458333333)</f>
        <v>45692.645833333299</v>
      </c>
      <c r="V1739" s="6">
        <f ca="1">IFERROR(__xludf.DUMMYFUNCTION("""COMPUTED_VALUE"""),2481.69)</f>
        <v>2481.69</v>
      </c>
      <c r="Z1739" s="6" t="str">
        <f t="shared" ca="1" si="495"/>
        <v>202211</v>
      </c>
      <c r="AA1739" s="6">
        <f t="shared" ca="1" si="496"/>
        <v>2022</v>
      </c>
      <c r="AB1739" s="6">
        <f t="shared" ca="1" si="497"/>
        <v>11</v>
      </c>
      <c r="AC1739" s="68">
        <f ca="1">IFERROR(__xludf.DUMMYFUNCTION("""COMPUTED_VALUE"""),44888.9986111111)</f>
        <v>44888.998611111099</v>
      </c>
      <c r="AD1739" s="6">
        <f ca="1">IFERROR(__xludf.DUMMYFUNCTION("""COMPUTED_VALUE"""),1336.81)</f>
        <v>1336.81</v>
      </c>
      <c r="AH1739" s="6" t="str">
        <f t="shared" ca="1" si="498"/>
        <v>20229</v>
      </c>
      <c r="AI1739" s="6">
        <f t="shared" ca="1" si="499"/>
        <v>2022</v>
      </c>
      <c r="AJ1739" s="6">
        <f t="shared" ca="1" si="500"/>
        <v>9</v>
      </c>
      <c r="AK1739" s="68">
        <f ca="1">IFERROR(__xludf.DUMMYFUNCTION("""COMPUTED_VALUE"""),44832.9986111111)</f>
        <v>44832.998611111099</v>
      </c>
      <c r="AL1739" s="6">
        <f ca="1">IFERROR(__xludf.DUMMYFUNCTION("""COMPUTED_VALUE"""),19413.34)</f>
        <v>19413.34</v>
      </c>
      <c r="AP1739" s="6" t="str">
        <f t="shared" ca="1" si="501"/>
        <v>202412</v>
      </c>
      <c r="AQ1739" s="6">
        <f t="shared" ca="1" si="502"/>
        <v>2024</v>
      </c>
      <c r="AR1739" s="6">
        <f t="shared" ca="1" si="503"/>
        <v>12</v>
      </c>
      <c r="AS1739" s="68">
        <f ca="1">IFERROR(__xludf.DUMMYFUNCTION("""COMPUTED_VALUE"""),45630.9986111111)</f>
        <v>45630.998611111099</v>
      </c>
      <c r="AT1739" s="6">
        <f ca="1">IFERROR(__xludf.DUMMYFUNCTION("""COMPUTED_VALUE"""),2676.2)</f>
        <v>2676.2</v>
      </c>
    </row>
    <row r="1740" spans="2:46" x14ac:dyDescent="0.35">
      <c r="B1740" s="6" t="str">
        <f t="shared" ca="1" si="486"/>
        <v>202411</v>
      </c>
      <c r="C1740" s="6">
        <f t="shared" ca="1" si="487"/>
        <v>2024</v>
      </c>
      <c r="D1740" s="6">
        <f t="shared" ca="1" si="488"/>
        <v>11</v>
      </c>
      <c r="E1740" s="68">
        <f ca="1">IFERROR(__xludf.DUMMYFUNCTION("""COMPUTED_VALUE"""),45623.6666666666)</f>
        <v>45623.666666666599</v>
      </c>
      <c r="F1740" s="6">
        <f ca="1">IFERROR(__xludf.DUMMYFUNCTION("""COMPUTED_VALUE"""),5998.74)</f>
        <v>5998.74</v>
      </c>
      <c r="J1740" s="6" t="str">
        <f t="shared" ca="1" si="489"/>
        <v>202411</v>
      </c>
      <c r="K1740" s="6">
        <f t="shared" ca="1" si="490"/>
        <v>2024</v>
      </c>
      <c r="L1740" s="6">
        <f t="shared" ca="1" si="491"/>
        <v>11</v>
      </c>
      <c r="M1740" s="68">
        <f ca="1">IFERROR(__xludf.DUMMYFUNCTION("""COMPUTED_VALUE"""),45616.6666666666)</f>
        <v>45616.666666666599</v>
      </c>
      <c r="N1740" s="6">
        <f ca="1">IFERROR(__xludf.DUMMYFUNCTION("""COMPUTED_VALUE"""),18966.14)</f>
        <v>18966.14</v>
      </c>
      <c r="R1740" s="6" t="str">
        <f t="shared" ca="1" si="492"/>
        <v>20252</v>
      </c>
      <c r="S1740" s="6">
        <f t="shared" ca="1" si="493"/>
        <v>2025</v>
      </c>
      <c r="T1740" s="6">
        <f t="shared" ca="1" si="494"/>
        <v>2</v>
      </c>
      <c r="U1740" s="68">
        <f ca="1">IFERROR(__xludf.DUMMYFUNCTION("""COMPUTED_VALUE"""),45693.6458333333)</f>
        <v>45693.645833333299</v>
      </c>
      <c r="V1740" s="6">
        <f ca="1">IFERROR(__xludf.DUMMYFUNCTION("""COMPUTED_VALUE"""),2509.27)</f>
        <v>2509.27</v>
      </c>
      <c r="Z1740" s="6" t="str">
        <f t="shared" ca="1" si="495"/>
        <v>202211</v>
      </c>
      <c r="AA1740" s="6">
        <f t="shared" ca="1" si="496"/>
        <v>2022</v>
      </c>
      <c r="AB1740" s="6">
        <f t="shared" ca="1" si="497"/>
        <v>11</v>
      </c>
      <c r="AC1740" s="68">
        <f ca="1">IFERROR(__xludf.DUMMYFUNCTION("""COMPUTED_VALUE"""),44889.9986111111)</f>
        <v>44889.998611111099</v>
      </c>
      <c r="AD1740" s="6">
        <f ca="1">IFERROR(__xludf.DUMMYFUNCTION("""COMPUTED_VALUE"""),1317.89)</f>
        <v>1317.89</v>
      </c>
      <c r="AH1740" s="6" t="str">
        <f t="shared" ca="1" si="498"/>
        <v>20229</v>
      </c>
      <c r="AI1740" s="6">
        <f t="shared" ca="1" si="499"/>
        <v>2022</v>
      </c>
      <c r="AJ1740" s="6">
        <f t="shared" ca="1" si="500"/>
        <v>9</v>
      </c>
      <c r="AK1740" s="68">
        <f ca="1">IFERROR(__xludf.DUMMYFUNCTION("""COMPUTED_VALUE"""),44833.9986111111)</f>
        <v>44833.998611111099</v>
      </c>
      <c r="AL1740" s="6">
        <f ca="1">IFERROR(__xludf.DUMMYFUNCTION("""COMPUTED_VALUE"""),19592.01)</f>
        <v>19592.009999999998</v>
      </c>
      <c r="AP1740" s="6" t="str">
        <f t="shared" ca="1" si="501"/>
        <v>202412</v>
      </c>
      <c r="AQ1740" s="6">
        <f t="shared" ca="1" si="502"/>
        <v>2024</v>
      </c>
      <c r="AR1740" s="6">
        <f t="shared" ca="1" si="503"/>
        <v>12</v>
      </c>
      <c r="AS1740" s="68">
        <f ca="1">IFERROR(__xludf.DUMMYFUNCTION("""COMPUTED_VALUE"""),45631.9986111111)</f>
        <v>45631.998611111099</v>
      </c>
      <c r="AT1740" s="6">
        <f ca="1">IFERROR(__xludf.DUMMYFUNCTION("""COMPUTED_VALUE"""),2648.4)</f>
        <v>2648.4</v>
      </c>
    </row>
    <row r="1741" spans="2:46" x14ac:dyDescent="0.35">
      <c r="B1741" s="6" t="str">
        <f t="shared" ca="1" si="486"/>
        <v>202411</v>
      </c>
      <c r="C1741" s="6">
        <f t="shared" ca="1" si="487"/>
        <v>2024</v>
      </c>
      <c r="D1741" s="6">
        <f t="shared" ca="1" si="488"/>
        <v>11</v>
      </c>
      <c r="E1741" s="68">
        <f ca="1">IFERROR(__xludf.DUMMYFUNCTION("""COMPUTED_VALUE"""),45625.5416666666)</f>
        <v>45625.541666666599</v>
      </c>
      <c r="F1741" s="6">
        <f ca="1">IFERROR(__xludf.DUMMYFUNCTION("""COMPUTED_VALUE"""),6032.38)</f>
        <v>6032.38</v>
      </c>
      <c r="J1741" s="6" t="str">
        <f t="shared" ca="1" si="489"/>
        <v>202411</v>
      </c>
      <c r="K1741" s="6">
        <f t="shared" ca="1" si="490"/>
        <v>2024</v>
      </c>
      <c r="L1741" s="6">
        <f t="shared" ca="1" si="491"/>
        <v>11</v>
      </c>
      <c r="M1741" s="68">
        <f ca="1">IFERROR(__xludf.DUMMYFUNCTION("""COMPUTED_VALUE"""),45617.6666666666)</f>
        <v>45617.666666666599</v>
      </c>
      <c r="N1741" s="6">
        <f ca="1">IFERROR(__xludf.DUMMYFUNCTION("""COMPUTED_VALUE"""),18972.42)</f>
        <v>18972.419999999998</v>
      </c>
      <c r="R1741" s="6" t="str">
        <f t="shared" ca="1" si="492"/>
        <v>20252</v>
      </c>
      <c r="S1741" s="6">
        <f t="shared" ca="1" si="493"/>
        <v>2025</v>
      </c>
      <c r="T1741" s="6">
        <f t="shared" ca="1" si="494"/>
        <v>2</v>
      </c>
      <c r="U1741" s="68">
        <f ca="1">IFERROR(__xludf.DUMMYFUNCTION("""COMPUTED_VALUE"""),45694.6458333333)</f>
        <v>45694.645833333299</v>
      </c>
      <c r="V1741" s="6">
        <f ca="1">IFERROR(__xludf.DUMMYFUNCTION("""COMPUTED_VALUE"""),2536.75)</f>
        <v>2536.75</v>
      </c>
      <c r="Z1741" s="6" t="str">
        <f t="shared" ca="1" si="495"/>
        <v>202211</v>
      </c>
      <c r="AA1741" s="6">
        <f t="shared" ca="1" si="496"/>
        <v>2022</v>
      </c>
      <c r="AB1741" s="6">
        <f t="shared" ca="1" si="497"/>
        <v>11</v>
      </c>
      <c r="AC1741" s="68">
        <f ca="1">IFERROR(__xludf.DUMMYFUNCTION("""COMPUTED_VALUE"""),44890.9986111111)</f>
        <v>44890.998611111099</v>
      </c>
      <c r="AD1741" s="6">
        <f ca="1">IFERROR(__xludf.DUMMYFUNCTION("""COMPUTED_VALUE"""),1334.56)</f>
        <v>1334.56</v>
      </c>
      <c r="AH1741" s="6" t="str">
        <f t="shared" ca="1" si="498"/>
        <v>20229</v>
      </c>
      <c r="AI1741" s="6">
        <f t="shared" ca="1" si="499"/>
        <v>2022</v>
      </c>
      <c r="AJ1741" s="6">
        <f t="shared" ca="1" si="500"/>
        <v>9</v>
      </c>
      <c r="AK1741" s="68">
        <f ca="1">IFERROR(__xludf.DUMMYFUNCTION("""COMPUTED_VALUE"""),44834.9986111111)</f>
        <v>44834.998611111099</v>
      </c>
      <c r="AL1741" s="6">
        <f ca="1">IFERROR(__xludf.DUMMYFUNCTION("""COMPUTED_VALUE"""),19424.58)</f>
        <v>19424.580000000002</v>
      </c>
      <c r="AP1741" s="6" t="str">
        <f t="shared" ca="1" si="501"/>
        <v>202412</v>
      </c>
      <c r="AQ1741" s="6">
        <f t="shared" ca="1" si="502"/>
        <v>2024</v>
      </c>
      <c r="AR1741" s="6">
        <f t="shared" ca="1" si="503"/>
        <v>12</v>
      </c>
      <c r="AS1741" s="68">
        <f ca="1">IFERROR(__xludf.DUMMYFUNCTION("""COMPUTED_VALUE"""),45632.9986111111)</f>
        <v>45632.998611111099</v>
      </c>
      <c r="AT1741" s="6">
        <f ca="1">IFERROR(__xludf.DUMMYFUNCTION("""COMPUTED_VALUE"""),2659.6)</f>
        <v>2659.6</v>
      </c>
    </row>
    <row r="1742" spans="2:46" x14ac:dyDescent="0.35">
      <c r="B1742" s="6" t="str">
        <f t="shared" ca="1" si="486"/>
        <v>202412</v>
      </c>
      <c r="C1742" s="6">
        <f t="shared" ca="1" si="487"/>
        <v>2024</v>
      </c>
      <c r="D1742" s="6">
        <f t="shared" ca="1" si="488"/>
        <v>12</v>
      </c>
      <c r="E1742" s="68">
        <f ca="1">IFERROR(__xludf.DUMMYFUNCTION("""COMPUTED_VALUE"""),45628.6666666666)</f>
        <v>45628.666666666599</v>
      </c>
      <c r="F1742" s="6">
        <f ca="1">IFERROR(__xludf.DUMMYFUNCTION("""COMPUTED_VALUE"""),6047.15)</f>
        <v>6047.15</v>
      </c>
      <c r="J1742" s="6" t="str">
        <f t="shared" ca="1" si="489"/>
        <v>202411</v>
      </c>
      <c r="K1742" s="6">
        <f t="shared" ca="1" si="490"/>
        <v>2024</v>
      </c>
      <c r="L1742" s="6">
        <f t="shared" ca="1" si="491"/>
        <v>11</v>
      </c>
      <c r="M1742" s="68">
        <f ca="1">IFERROR(__xludf.DUMMYFUNCTION("""COMPUTED_VALUE"""),45618.6666666666)</f>
        <v>45618.666666666599</v>
      </c>
      <c r="N1742" s="6">
        <f ca="1">IFERROR(__xludf.DUMMYFUNCTION("""COMPUTED_VALUE"""),19003.65)</f>
        <v>19003.650000000001</v>
      </c>
      <c r="R1742" s="6" t="str">
        <f t="shared" ca="1" si="492"/>
        <v>20252</v>
      </c>
      <c r="S1742" s="6">
        <f t="shared" ca="1" si="493"/>
        <v>2025</v>
      </c>
      <c r="T1742" s="6">
        <f t="shared" ca="1" si="494"/>
        <v>2</v>
      </c>
      <c r="U1742" s="68">
        <f ca="1">IFERROR(__xludf.DUMMYFUNCTION("""COMPUTED_VALUE"""),45695.6458333333)</f>
        <v>45695.645833333299</v>
      </c>
      <c r="V1742" s="6">
        <f ca="1">IFERROR(__xludf.DUMMYFUNCTION("""COMPUTED_VALUE"""),2521.92)</f>
        <v>2521.92</v>
      </c>
      <c r="Z1742" s="6" t="str">
        <f t="shared" ca="1" si="495"/>
        <v>202211</v>
      </c>
      <c r="AA1742" s="6">
        <f t="shared" ca="1" si="496"/>
        <v>2022</v>
      </c>
      <c r="AB1742" s="6">
        <f t="shared" ca="1" si="497"/>
        <v>11</v>
      </c>
      <c r="AC1742" s="68">
        <f ca="1">IFERROR(__xludf.DUMMYFUNCTION("""COMPUTED_VALUE"""),44891.9986111111)</f>
        <v>44891.998611111099</v>
      </c>
      <c r="AD1742" s="6">
        <f ca="1">IFERROR(__xludf.DUMMYFUNCTION("""COMPUTED_VALUE"""),1334.56)</f>
        <v>1334.56</v>
      </c>
      <c r="AH1742" s="6" t="str">
        <f t="shared" ca="1" si="498"/>
        <v>202210</v>
      </c>
      <c r="AI1742" s="6">
        <f t="shared" ca="1" si="499"/>
        <v>2022</v>
      </c>
      <c r="AJ1742" s="6">
        <f t="shared" ca="1" si="500"/>
        <v>10</v>
      </c>
      <c r="AK1742" s="68">
        <f ca="1">IFERROR(__xludf.DUMMYFUNCTION("""COMPUTED_VALUE"""),44835.9986111111)</f>
        <v>44835.998611111099</v>
      </c>
      <c r="AL1742" s="6">
        <f ca="1">IFERROR(__xludf.DUMMYFUNCTION("""COMPUTED_VALUE"""),19313.35)</f>
        <v>19313.349999999999</v>
      </c>
      <c r="AP1742" s="6" t="str">
        <f t="shared" ca="1" si="501"/>
        <v>202412</v>
      </c>
      <c r="AQ1742" s="6">
        <f t="shared" ca="1" si="502"/>
        <v>2024</v>
      </c>
      <c r="AR1742" s="6">
        <f t="shared" ca="1" si="503"/>
        <v>12</v>
      </c>
      <c r="AS1742" s="68">
        <f ca="1">IFERROR(__xludf.DUMMYFUNCTION("""COMPUTED_VALUE"""),45635.9986111111)</f>
        <v>45635.998611111099</v>
      </c>
      <c r="AT1742" s="6">
        <f ca="1">IFERROR(__xludf.DUMMYFUNCTION("""COMPUTED_VALUE"""),2685.8)</f>
        <v>2685.8</v>
      </c>
    </row>
    <row r="1743" spans="2:46" x14ac:dyDescent="0.35">
      <c r="B1743" s="6" t="str">
        <f t="shared" ca="1" si="486"/>
        <v>202412</v>
      </c>
      <c r="C1743" s="6">
        <f t="shared" ca="1" si="487"/>
        <v>2024</v>
      </c>
      <c r="D1743" s="6">
        <f t="shared" ca="1" si="488"/>
        <v>12</v>
      </c>
      <c r="E1743" s="68">
        <f ca="1">IFERROR(__xludf.DUMMYFUNCTION("""COMPUTED_VALUE"""),45629.6666666666)</f>
        <v>45629.666666666599</v>
      </c>
      <c r="F1743" s="6">
        <f ca="1">IFERROR(__xludf.DUMMYFUNCTION("""COMPUTED_VALUE"""),6049.88)</f>
        <v>6049.88</v>
      </c>
      <c r="J1743" s="6" t="str">
        <f t="shared" ca="1" si="489"/>
        <v>202411</v>
      </c>
      <c r="K1743" s="6">
        <f t="shared" ca="1" si="490"/>
        <v>2024</v>
      </c>
      <c r="L1743" s="6">
        <f t="shared" ca="1" si="491"/>
        <v>11</v>
      </c>
      <c r="M1743" s="68">
        <f ca="1">IFERROR(__xludf.DUMMYFUNCTION("""COMPUTED_VALUE"""),45621.6666666666)</f>
        <v>45621.666666666599</v>
      </c>
      <c r="N1743" s="6">
        <f ca="1">IFERROR(__xludf.DUMMYFUNCTION("""COMPUTED_VALUE"""),19054.84)</f>
        <v>19054.84</v>
      </c>
      <c r="R1743" s="6" t="str">
        <f t="shared" ca="1" si="492"/>
        <v>20252</v>
      </c>
      <c r="S1743" s="6">
        <f t="shared" ca="1" si="493"/>
        <v>2025</v>
      </c>
      <c r="T1743" s="6">
        <f t="shared" ca="1" si="494"/>
        <v>2</v>
      </c>
      <c r="U1743" s="68">
        <f ca="1">IFERROR(__xludf.DUMMYFUNCTION("""COMPUTED_VALUE"""),45698.6458333333)</f>
        <v>45698.645833333299</v>
      </c>
      <c r="V1743" s="6">
        <f ca="1">IFERROR(__xludf.DUMMYFUNCTION("""COMPUTED_VALUE"""),2521.27)</f>
        <v>2521.27</v>
      </c>
      <c r="Z1743" s="6" t="str">
        <f t="shared" ca="1" si="495"/>
        <v>202211</v>
      </c>
      <c r="AA1743" s="6">
        <f t="shared" ca="1" si="496"/>
        <v>2022</v>
      </c>
      <c r="AB1743" s="6">
        <f t="shared" ca="1" si="497"/>
        <v>11</v>
      </c>
      <c r="AC1743" s="68">
        <f ca="1">IFERROR(__xludf.DUMMYFUNCTION("""COMPUTED_VALUE"""),44892.9986111111)</f>
        <v>44892.998611111099</v>
      </c>
      <c r="AD1743" s="6">
        <f ca="1">IFERROR(__xludf.DUMMYFUNCTION("""COMPUTED_VALUE"""),1334.56)</f>
        <v>1334.56</v>
      </c>
      <c r="AH1743" s="6" t="str">
        <f t="shared" ca="1" si="498"/>
        <v>202210</v>
      </c>
      <c r="AI1743" s="6">
        <f t="shared" ca="1" si="499"/>
        <v>2022</v>
      </c>
      <c r="AJ1743" s="6">
        <f t="shared" ca="1" si="500"/>
        <v>10</v>
      </c>
      <c r="AK1743" s="68">
        <f ca="1">IFERROR(__xludf.DUMMYFUNCTION("""COMPUTED_VALUE"""),44836.9986111111)</f>
        <v>44836.998611111099</v>
      </c>
      <c r="AL1743" s="6">
        <f ca="1">IFERROR(__xludf.DUMMYFUNCTION("""COMPUTED_VALUE"""),19049.65)</f>
        <v>19049.650000000001</v>
      </c>
      <c r="AP1743" s="6" t="str">
        <f t="shared" ca="1" si="501"/>
        <v>202412</v>
      </c>
      <c r="AQ1743" s="6">
        <f t="shared" ca="1" si="502"/>
        <v>2024</v>
      </c>
      <c r="AR1743" s="6">
        <f t="shared" ca="1" si="503"/>
        <v>12</v>
      </c>
      <c r="AS1743" s="68">
        <f ca="1">IFERROR(__xludf.DUMMYFUNCTION("""COMPUTED_VALUE"""),45636.9986111111)</f>
        <v>45636.998611111099</v>
      </c>
      <c r="AT1743" s="6">
        <f ca="1">IFERROR(__xludf.DUMMYFUNCTION("""COMPUTED_VALUE"""),2718.4)</f>
        <v>2718.4</v>
      </c>
    </row>
    <row r="1744" spans="2:46" x14ac:dyDescent="0.35">
      <c r="B1744" s="6" t="str">
        <f t="shared" ca="1" si="486"/>
        <v>202412</v>
      </c>
      <c r="C1744" s="6">
        <f t="shared" ca="1" si="487"/>
        <v>2024</v>
      </c>
      <c r="D1744" s="6">
        <f t="shared" ca="1" si="488"/>
        <v>12</v>
      </c>
      <c r="E1744" s="68">
        <f ca="1">IFERROR(__xludf.DUMMYFUNCTION("""COMPUTED_VALUE"""),45630.6666666666)</f>
        <v>45630.666666666599</v>
      </c>
      <c r="F1744" s="6">
        <f ca="1">IFERROR(__xludf.DUMMYFUNCTION("""COMPUTED_VALUE"""),6086.49)</f>
        <v>6086.49</v>
      </c>
      <c r="J1744" s="6" t="str">
        <f t="shared" ca="1" si="489"/>
        <v>202411</v>
      </c>
      <c r="K1744" s="6">
        <f t="shared" ca="1" si="490"/>
        <v>2024</v>
      </c>
      <c r="L1744" s="6">
        <f t="shared" ca="1" si="491"/>
        <v>11</v>
      </c>
      <c r="M1744" s="68">
        <f ca="1">IFERROR(__xludf.DUMMYFUNCTION("""COMPUTED_VALUE"""),45622.6666666666)</f>
        <v>45622.666666666599</v>
      </c>
      <c r="N1744" s="6">
        <f ca="1">IFERROR(__xludf.DUMMYFUNCTION("""COMPUTED_VALUE"""),19175.58)</f>
        <v>19175.580000000002</v>
      </c>
      <c r="R1744" s="6" t="str">
        <f t="shared" ca="1" si="492"/>
        <v>20252</v>
      </c>
      <c r="S1744" s="6">
        <f t="shared" ca="1" si="493"/>
        <v>2025</v>
      </c>
      <c r="T1744" s="6">
        <f t="shared" ca="1" si="494"/>
        <v>2</v>
      </c>
      <c r="U1744" s="68">
        <f ca="1">IFERROR(__xludf.DUMMYFUNCTION("""COMPUTED_VALUE"""),45699.6458333333)</f>
        <v>45699.645833333299</v>
      </c>
      <c r="V1744" s="6">
        <f ca="1">IFERROR(__xludf.DUMMYFUNCTION("""COMPUTED_VALUE"""),2539.05)</f>
        <v>2539.0500000000002</v>
      </c>
      <c r="Z1744" s="6" t="str">
        <f t="shared" ca="1" si="495"/>
        <v>202211</v>
      </c>
      <c r="AA1744" s="6">
        <f t="shared" ca="1" si="496"/>
        <v>2022</v>
      </c>
      <c r="AB1744" s="6">
        <f t="shared" ca="1" si="497"/>
        <v>11</v>
      </c>
      <c r="AC1744" s="68">
        <f ca="1">IFERROR(__xludf.DUMMYFUNCTION("""COMPUTED_VALUE"""),44893.9986111111)</f>
        <v>44893.998611111099</v>
      </c>
      <c r="AD1744" s="6">
        <f ca="1">IFERROR(__xludf.DUMMYFUNCTION("""COMPUTED_VALUE"""),1340.12)</f>
        <v>1340.12</v>
      </c>
      <c r="AH1744" s="6" t="str">
        <f t="shared" ca="1" si="498"/>
        <v>202210</v>
      </c>
      <c r="AI1744" s="6">
        <f t="shared" ca="1" si="499"/>
        <v>2022</v>
      </c>
      <c r="AJ1744" s="6">
        <f t="shared" ca="1" si="500"/>
        <v>10</v>
      </c>
      <c r="AK1744" s="68">
        <f ca="1">IFERROR(__xludf.DUMMYFUNCTION("""COMPUTED_VALUE"""),44837.9986111111)</f>
        <v>44837.998611111099</v>
      </c>
      <c r="AL1744" s="6">
        <f ca="1">IFERROR(__xludf.DUMMYFUNCTION("""COMPUTED_VALUE"""),19628.51)</f>
        <v>19628.509999999998</v>
      </c>
      <c r="AP1744" s="6" t="str">
        <f t="shared" ca="1" si="501"/>
        <v>202412</v>
      </c>
      <c r="AQ1744" s="6">
        <f t="shared" ca="1" si="502"/>
        <v>2024</v>
      </c>
      <c r="AR1744" s="6">
        <f t="shared" ca="1" si="503"/>
        <v>12</v>
      </c>
      <c r="AS1744" s="68">
        <f ca="1">IFERROR(__xludf.DUMMYFUNCTION("""COMPUTED_VALUE"""),45637.9986111111)</f>
        <v>45637.998611111099</v>
      </c>
      <c r="AT1744" s="6">
        <f ca="1">IFERROR(__xludf.DUMMYFUNCTION("""COMPUTED_VALUE"""),2756.7)</f>
        <v>2756.7</v>
      </c>
    </row>
    <row r="1745" spans="2:46" x14ac:dyDescent="0.35">
      <c r="B1745" s="6" t="str">
        <f t="shared" ca="1" si="486"/>
        <v>202412</v>
      </c>
      <c r="C1745" s="6">
        <f t="shared" ca="1" si="487"/>
        <v>2024</v>
      </c>
      <c r="D1745" s="6">
        <f t="shared" ca="1" si="488"/>
        <v>12</v>
      </c>
      <c r="E1745" s="68">
        <f ca="1">IFERROR(__xludf.DUMMYFUNCTION("""COMPUTED_VALUE"""),45631.6666666666)</f>
        <v>45631.666666666599</v>
      </c>
      <c r="F1745" s="6">
        <f ca="1">IFERROR(__xludf.DUMMYFUNCTION("""COMPUTED_VALUE"""),6075.11)</f>
        <v>6075.11</v>
      </c>
      <c r="J1745" s="6" t="str">
        <f t="shared" ca="1" si="489"/>
        <v>202411</v>
      </c>
      <c r="K1745" s="6">
        <f t="shared" ca="1" si="490"/>
        <v>2024</v>
      </c>
      <c r="L1745" s="6">
        <f t="shared" ca="1" si="491"/>
        <v>11</v>
      </c>
      <c r="M1745" s="68">
        <f ca="1">IFERROR(__xludf.DUMMYFUNCTION("""COMPUTED_VALUE"""),45623.6666666666)</f>
        <v>45623.666666666599</v>
      </c>
      <c r="N1745" s="6">
        <f ca="1">IFERROR(__xludf.DUMMYFUNCTION("""COMPUTED_VALUE"""),19060.48)</f>
        <v>19060.48</v>
      </c>
      <c r="R1745" s="6" t="str">
        <f t="shared" ca="1" si="492"/>
        <v>20252</v>
      </c>
      <c r="S1745" s="6">
        <f t="shared" ca="1" si="493"/>
        <v>2025</v>
      </c>
      <c r="T1745" s="6">
        <f t="shared" ca="1" si="494"/>
        <v>2</v>
      </c>
      <c r="U1745" s="68">
        <f ca="1">IFERROR(__xludf.DUMMYFUNCTION("""COMPUTED_VALUE"""),45700.6458333333)</f>
        <v>45700.645833333299</v>
      </c>
      <c r="V1745" s="6">
        <f ca="1">IFERROR(__xludf.DUMMYFUNCTION("""COMPUTED_VALUE"""),2548.39)</f>
        <v>2548.39</v>
      </c>
      <c r="Z1745" s="6" t="str">
        <f t="shared" ca="1" si="495"/>
        <v>202211</v>
      </c>
      <c r="AA1745" s="6">
        <f t="shared" ca="1" si="496"/>
        <v>2022</v>
      </c>
      <c r="AB1745" s="6">
        <f t="shared" ca="1" si="497"/>
        <v>11</v>
      </c>
      <c r="AC1745" s="68">
        <f ca="1">IFERROR(__xludf.DUMMYFUNCTION("""COMPUTED_VALUE"""),44894.9986111111)</f>
        <v>44894.998611111099</v>
      </c>
      <c r="AD1745" s="6">
        <f ca="1">IFERROR(__xludf.DUMMYFUNCTION("""COMPUTED_VALUE"""),1325.37)</f>
        <v>1325.37</v>
      </c>
      <c r="AH1745" s="6" t="str">
        <f t="shared" ca="1" si="498"/>
        <v>202210</v>
      </c>
      <c r="AI1745" s="6">
        <f t="shared" ca="1" si="499"/>
        <v>2022</v>
      </c>
      <c r="AJ1745" s="6">
        <f t="shared" ca="1" si="500"/>
        <v>10</v>
      </c>
      <c r="AK1745" s="68">
        <f ca="1">IFERROR(__xludf.DUMMYFUNCTION("""COMPUTED_VALUE"""),44838.9986111111)</f>
        <v>44838.998611111099</v>
      </c>
      <c r="AL1745" s="6">
        <f ca="1">IFERROR(__xludf.DUMMYFUNCTION("""COMPUTED_VALUE"""),20339.85)</f>
        <v>20339.849999999999</v>
      </c>
      <c r="AP1745" s="6" t="str">
        <f t="shared" ca="1" si="501"/>
        <v>202412</v>
      </c>
      <c r="AQ1745" s="6">
        <f t="shared" ca="1" si="502"/>
        <v>2024</v>
      </c>
      <c r="AR1745" s="6">
        <f t="shared" ca="1" si="503"/>
        <v>12</v>
      </c>
      <c r="AS1745" s="68">
        <f ca="1">IFERROR(__xludf.DUMMYFUNCTION("""COMPUTED_VALUE"""),45638.9986111111)</f>
        <v>45638.998611111099</v>
      </c>
      <c r="AT1745" s="6">
        <f ca="1">IFERROR(__xludf.DUMMYFUNCTION("""COMPUTED_VALUE"""),2709.4)</f>
        <v>2709.4</v>
      </c>
    </row>
    <row r="1746" spans="2:46" x14ac:dyDescent="0.35">
      <c r="B1746" s="6" t="str">
        <f t="shared" ca="1" si="486"/>
        <v>202412</v>
      </c>
      <c r="C1746" s="6">
        <f t="shared" ca="1" si="487"/>
        <v>2024</v>
      </c>
      <c r="D1746" s="6">
        <f t="shared" ca="1" si="488"/>
        <v>12</v>
      </c>
      <c r="E1746" s="68">
        <f ca="1">IFERROR(__xludf.DUMMYFUNCTION("""COMPUTED_VALUE"""),45632.6666666666)</f>
        <v>45632.666666666599</v>
      </c>
      <c r="F1746" s="6">
        <f ca="1">IFERROR(__xludf.DUMMYFUNCTION("""COMPUTED_VALUE"""),6090.27)</f>
        <v>6090.27</v>
      </c>
      <c r="J1746" s="6" t="str">
        <f t="shared" ca="1" si="489"/>
        <v>202411</v>
      </c>
      <c r="K1746" s="6">
        <f t="shared" ca="1" si="490"/>
        <v>2024</v>
      </c>
      <c r="L1746" s="6">
        <f t="shared" ca="1" si="491"/>
        <v>11</v>
      </c>
      <c r="M1746" s="68">
        <f ca="1">IFERROR(__xludf.DUMMYFUNCTION("""COMPUTED_VALUE"""),45625.5451388888)</f>
        <v>45625.545138888803</v>
      </c>
      <c r="N1746" s="6">
        <f ca="1">IFERROR(__xludf.DUMMYFUNCTION("""COMPUTED_VALUE"""),19218.17)</f>
        <v>19218.169999999998</v>
      </c>
      <c r="R1746" s="6" t="str">
        <f t="shared" ca="1" si="492"/>
        <v>20252</v>
      </c>
      <c r="S1746" s="6">
        <f t="shared" ca="1" si="493"/>
        <v>2025</v>
      </c>
      <c r="T1746" s="6">
        <f t="shared" ca="1" si="494"/>
        <v>2</v>
      </c>
      <c r="U1746" s="68">
        <f ca="1">IFERROR(__xludf.DUMMYFUNCTION("""COMPUTED_VALUE"""),45701.6458333333)</f>
        <v>45701.645833333299</v>
      </c>
      <c r="V1746" s="6">
        <f ca="1">IFERROR(__xludf.DUMMYFUNCTION("""COMPUTED_VALUE"""),2583.17)</f>
        <v>2583.17</v>
      </c>
      <c r="Z1746" s="6" t="str">
        <f t="shared" ca="1" si="495"/>
        <v>202211</v>
      </c>
      <c r="AA1746" s="6">
        <f t="shared" ca="1" si="496"/>
        <v>2022</v>
      </c>
      <c r="AB1746" s="6">
        <f t="shared" ca="1" si="497"/>
        <v>11</v>
      </c>
      <c r="AC1746" s="68">
        <f ca="1">IFERROR(__xludf.DUMMYFUNCTION("""COMPUTED_VALUE"""),44895.9986111111)</f>
        <v>44895.998611111099</v>
      </c>
      <c r="AD1746" s="6">
        <f ca="1">IFERROR(__xludf.DUMMYFUNCTION("""COMPUTED_VALUE"""),1279.8)</f>
        <v>1279.8</v>
      </c>
      <c r="AH1746" s="6" t="str">
        <f t="shared" ca="1" si="498"/>
        <v>202210</v>
      </c>
      <c r="AI1746" s="6">
        <f t="shared" ca="1" si="499"/>
        <v>2022</v>
      </c>
      <c r="AJ1746" s="6">
        <f t="shared" ca="1" si="500"/>
        <v>10</v>
      </c>
      <c r="AK1746" s="68">
        <f ca="1">IFERROR(__xludf.DUMMYFUNCTION("""COMPUTED_VALUE"""),44839.9986111111)</f>
        <v>44839.998611111099</v>
      </c>
      <c r="AL1746" s="6">
        <f ca="1">IFERROR(__xludf.DUMMYFUNCTION("""COMPUTED_VALUE"""),20159.57)</f>
        <v>20159.57</v>
      </c>
      <c r="AP1746" s="6" t="str">
        <f t="shared" ca="1" si="501"/>
        <v>202412</v>
      </c>
      <c r="AQ1746" s="6">
        <f t="shared" ca="1" si="502"/>
        <v>2024</v>
      </c>
      <c r="AR1746" s="6">
        <f t="shared" ca="1" si="503"/>
        <v>12</v>
      </c>
      <c r="AS1746" s="68">
        <f ca="1">IFERROR(__xludf.DUMMYFUNCTION("""COMPUTED_VALUE"""),45639.9986111111)</f>
        <v>45639.998611111099</v>
      </c>
      <c r="AT1746" s="6">
        <f ca="1">IFERROR(__xludf.DUMMYFUNCTION("""COMPUTED_VALUE"""),2675.8)</f>
        <v>2675.8</v>
      </c>
    </row>
    <row r="1747" spans="2:46" x14ac:dyDescent="0.35">
      <c r="B1747" s="6" t="str">
        <f t="shared" ca="1" si="486"/>
        <v>202412</v>
      </c>
      <c r="C1747" s="6">
        <f t="shared" ca="1" si="487"/>
        <v>2024</v>
      </c>
      <c r="D1747" s="6">
        <f t="shared" ca="1" si="488"/>
        <v>12</v>
      </c>
      <c r="E1747" s="68">
        <f ca="1">IFERROR(__xludf.DUMMYFUNCTION("""COMPUTED_VALUE"""),45635.6666666666)</f>
        <v>45635.666666666599</v>
      </c>
      <c r="F1747" s="6">
        <f ca="1">IFERROR(__xludf.DUMMYFUNCTION("""COMPUTED_VALUE"""),6052.85)</f>
        <v>6052.85</v>
      </c>
      <c r="J1747" s="6" t="str">
        <f t="shared" ca="1" si="489"/>
        <v>202412</v>
      </c>
      <c r="K1747" s="6">
        <f t="shared" ca="1" si="490"/>
        <v>2024</v>
      </c>
      <c r="L1747" s="6">
        <f t="shared" ca="1" si="491"/>
        <v>12</v>
      </c>
      <c r="M1747" s="68">
        <f ca="1">IFERROR(__xludf.DUMMYFUNCTION("""COMPUTED_VALUE"""),45628.6666666666)</f>
        <v>45628.666666666599</v>
      </c>
      <c r="N1747" s="6">
        <f ca="1">IFERROR(__xludf.DUMMYFUNCTION("""COMPUTED_VALUE"""),19403.95)</f>
        <v>19403.95</v>
      </c>
      <c r="R1747" s="6" t="str">
        <f t="shared" ca="1" si="492"/>
        <v>20252</v>
      </c>
      <c r="S1747" s="6">
        <f t="shared" ca="1" si="493"/>
        <v>2025</v>
      </c>
      <c r="T1747" s="6">
        <f t="shared" ca="1" si="494"/>
        <v>2</v>
      </c>
      <c r="U1747" s="68">
        <f ca="1">IFERROR(__xludf.DUMMYFUNCTION("""COMPUTED_VALUE"""),45702.6458333333)</f>
        <v>45702.645833333299</v>
      </c>
      <c r="V1747" s="6">
        <f ca="1">IFERROR(__xludf.DUMMYFUNCTION("""COMPUTED_VALUE"""),2591.05)</f>
        <v>2591.0500000000002</v>
      </c>
      <c r="Z1747" s="6" t="str">
        <f t="shared" ca="1" si="495"/>
        <v>202212</v>
      </c>
      <c r="AA1747" s="6">
        <f t="shared" ca="1" si="496"/>
        <v>2022</v>
      </c>
      <c r="AB1747" s="6">
        <f t="shared" ca="1" si="497"/>
        <v>12</v>
      </c>
      <c r="AC1747" s="68">
        <f ca="1">IFERROR(__xludf.DUMMYFUNCTION("""COMPUTED_VALUE"""),44896.9986111111)</f>
        <v>44896.998611111099</v>
      </c>
      <c r="AD1747" s="6">
        <f ca="1">IFERROR(__xludf.DUMMYFUNCTION("""COMPUTED_VALUE"""),1303.25)</f>
        <v>1303.25</v>
      </c>
      <c r="AH1747" s="6" t="str">
        <f t="shared" ca="1" si="498"/>
        <v>202210</v>
      </c>
      <c r="AI1747" s="6">
        <f t="shared" ca="1" si="499"/>
        <v>2022</v>
      </c>
      <c r="AJ1747" s="6">
        <f t="shared" ca="1" si="500"/>
        <v>10</v>
      </c>
      <c r="AK1747" s="68">
        <f ca="1">IFERROR(__xludf.DUMMYFUNCTION("""COMPUTED_VALUE"""),44840.9986111111)</f>
        <v>44840.998611111099</v>
      </c>
      <c r="AL1747" s="6">
        <f ca="1">IFERROR(__xludf.DUMMYFUNCTION("""COMPUTED_VALUE"""),19961.14)</f>
        <v>19961.14</v>
      </c>
      <c r="AP1747" s="6" t="str">
        <f t="shared" ca="1" si="501"/>
        <v>202412</v>
      </c>
      <c r="AQ1747" s="6">
        <f t="shared" ca="1" si="502"/>
        <v>2024</v>
      </c>
      <c r="AR1747" s="6">
        <f t="shared" ca="1" si="503"/>
        <v>12</v>
      </c>
      <c r="AS1747" s="68">
        <f ca="1">IFERROR(__xludf.DUMMYFUNCTION("""COMPUTED_VALUE"""),45642.9986111111)</f>
        <v>45642.998611111099</v>
      </c>
      <c r="AT1747" s="6">
        <f ca="1">IFERROR(__xludf.DUMMYFUNCTION("""COMPUTED_VALUE"""),2670)</f>
        <v>2670</v>
      </c>
    </row>
    <row r="1748" spans="2:46" x14ac:dyDescent="0.35">
      <c r="B1748" s="6" t="str">
        <f t="shared" ca="1" si="486"/>
        <v>202412</v>
      </c>
      <c r="C1748" s="6">
        <f t="shared" ca="1" si="487"/>
        <v>2024</v>
      </c>
      <c r="D1748" s="6">
        <f t="shared" ca="1" si="488"/>
        <v>12</v>
      </c>
      <c r="E1748" s="68">
        <f ca="1">IFERROR(__xludf.DUMMYFUNCTION("""COMPUTED_VALUE"""),45636.6666666666)</f>
        <v>45636.666666666599</v>
      </c>
      <c r="F1748" s="6">
        <f ca="1">IFERROR(__xludf.DUMMYFUNCTION("""COMPUTED_VALUE"""),6034.91)</f>
        <v>6034.91</v>
      </c>
      <c r="J1748" s="6" t="str">
        <f t="shared" ca="1" si="489"/>
        <v>202412</v>
      </c>
      <c r="K1748" s="6">
        <f t="shared" ca="1" si="490"/>
        <v>2024</v>
      </c>
      <c r="L1748" s="6">
        <f t="shared" ca="1" si="491"/>
        <v>12</v>
      </c>
      <c r="M1748" s="68">
        <f ca="1">IFERROR(__xludf.DUMMYFUNCTION("""COMPUTED_VALUE"""),45629.6666666666)</f>
        <v>45629.666666666599</v>
      </c>
      <c r="N1748" s="6">
        <f ca="1">IFERROR(__xludf.DUMMYFUNCTION("""COMPUTED_VALUE"""),19480.91)</f>
        <v>19480.91</v>
      </c>
      <c r="R1748" s="6" t="str">
        <f t="shared" ca="1" si="492"/>
        <v>20252</v>
      </c>
      <c r="S1748" s="6">
        <f t="shared" ca="1" si="493"/>
        <v>2025</v>
      </c>
      <c r="T1748" s="6">
        <f t="shared" ca="1" si="494"/>
        <v>2</v>
      </c>
      <c r="U1748" s="68">
        <f ca="1">IFERROR(__xludf.DUMMYFUNCTION("""COMPUTED_VALUE"""),45705.6458333333)</f>
        <v>45705.645833333299</v>
      </c>
      <c r="V1748" s="6">
        <f ca="1">IFERROR(__xludf.DUMMYFUNCTION("""COMPUTED_VALUE"""),2610.42)</f>
        <v>2610.42</v>
      </c>
      <c r="Z1748" s="6" t="str">
        <f t="shared" ca="1" si="495"/>
        <v>202212</v>
      </c>
      <c r="AA1748" s="6">
        <f t="shared" ca="1" si="496"/>
        <v>2022</v>
      </c>
      <c r="AB1748" s="6">
        <f t="shared" ca="1" si="497"/>
        <v>12</v>
      </c>
      <c r="AC1748" s="68">
        <f ca="1">IFERROR(__xludf.DUMMYFUNCTION("""COMPUTED_VALUE"""),44897.9986111111)</f>
        <v>44897.998611111099</v>
      </c>
      <c r="AD1748" s="6">
        <f ca="1">IFERROR(__xludf.DUMMYFUNCTION("""COMPUTED_VALUE"""),1297.8)</f>
        <v>1297.8</v>
      </c>
      <c r="AH1748" s="6" t="str">
        <f t="shared" ca="1" si="498"/>
        <v>202210</v>
      </c>
      <c r="AI1748" s="6">
        <f t="shared" ca="1" si="499"/>
        <v>2022</v>
      </c>
      <c r="AJ1748" s="6">
        <f t="shared" ca="1" si="500"/>
        <v>10</v>
      </c>
      <c r="AK1748" s="68">
        <f ca="1">IFERROR(__xludf.DUMMYFUNCTION("""COMPUTED_VALUE"""),44841.9986111111)</f>
        <v>44841.998611111099</v>
      </c>
      <c r="AL1748" s="6">
        <f ca="1">IFERROR(__xludf.DUMMYFUNCTION("""COMPUTED_VALUE"""),19531.26)</f>
        <v>19531.259999999998</v>
      </c>
      <c r="AP1748" s="6" t="str">
        <f t="shared" ca="1" si="501"/>
        <v>202412</v>
      </c>
      <c r="AQ1748" s="6">
        <f t="shared" ca="1" si="502"/>
        <v>2024</v>
      </c>
      <c r="AR1748" s="6">
        <f t="shared" ca="1" si="503"/>
        <v>12</v>
      </c>
      <c r="AS1748" s="68">
        <f ca="1">IFERROR(__xludf.DUMMYFUNCTION("""COMPUTED_VALUE"""),45643.9986111111)</f>
        <v>45643.998611111099</v>
      </c>
      <c r="AT1748" s="6">
        <f ca="1">IFERROR(__xludf.DUMMYFUNCTION("""COMPUTED_VALUE"""),2662)</f>
        <v>2662</v>
      </c>
    </row>
    <row r="1749" spans="2:46" x14ac:dyDescent="0.35">
      <c r="B1749" s="6" t="str">
        <f t="shared" ca="1" si="486"/>
        <v>202412</v>
      </c>
      <c r="C1749" s="6">
        <f t="shared" ca="1" si="487"/>
        <v>2024</v>
      </c>
      <c r="D1749" s="6">
        <f t="shared" ca="1" si="488"/>
        <v>12</v>
      </c>
      <c r="E1749" s="68">
        <f ca="1">IFERROR(__xludf.DUMMYFUNCTION("""COMPUTED_VALUE"""),45637.6666666666)</f>
        <v>45637.666666666599</v>
      </c>
      <c r="F1749" s="6">
        <f ca="1">IFERROR(__xludf.DUMMYFUNCTION("""COMPUTED_VALUE"""),6084.19)</f>
        <v>6084.19</v>
      </c>
      <c r="J1749" s="6" t="str">
        <f t="shared" ca="1" si="489"/>
        <v>202412</v>
      </c>
      <c r="K1749" s="6">
        <f t="shared" ca="1" si="490"/>
        <v>2024</v>
      </c>
      <c r="L1749" s="6">
        <f t="shared" ca="1" si="491"/>
        <v>12</v>
      </c>
      <c r="M1749" s="68">
        <f ca="1">IFERROR(__xludf.DUMMYFUNCTION("""COMPUTED_VALUE"""),45630.6666666666)</f>
        <v>45630.666666666599</v>
      </c>
      <c r="N1749" s="6">
        <f ca="1">IFERROR(__xludf.DUMMYFUNCTION("""COMPUTED_VALUE"""),19735.12)</f>
        <v>19735.12</v>
      </c>
      <c r="R1749" s="6" t="str">
        <f t="shared" ca="1" si="492"/>
        <v>20252</v>
      </c>
      <c r="S1749" s="6">
        <f t="shared" ca="1" si="493"/>
        <v>2025</v>
      </c>
      <c r="T1749" s="6">
        <f t="shared" ca="1" si="494"/>
        <v>2</v>
      </c>
      <c r="U1749" s="68">
        <f ca="1">IFERROR(__xludf.DUMMYFUNCTION("""COMPUTED_VALUE"""),45706.6458333333)</f>
        <v>45706.645833333299</v>
      </c>
      <c r="V1749" s="6">
        <f ca="1">IFERROR(__xludf.DUMMYFUNCTION("""COMPUTED_VALUE"""),2626.81)</f>
        <v>2626.81</v>
      </c>
      <c r="Z1749" s="6" t="str">
        <f t="shared" ca="1" si="495"/>
        <v>202212</v>
      </c>
      <c r="AA1749" s="6">
        <f t="shared" ca="1" si="496"/>
        <v>2022</v>
      </c>
      <c r="AB1749" s="6">
        <f t="shared" ca="1" si="497"/>
        <v>12</v>
      </c>
      <c r="AC1749" s="68">
        <f ca="1">IFERROR(__xludf.DUMMYFUNCTION("""COMPUTED_VALUE"""),44898.9986111111)</f>
        <v>44898.998611111099</v>
      </c>
      <c r="AD1749" s="6">
        <f ca="1">IFERROR(__xludf.DUMMYFUNCTION("""COMPUTED_VALUE"""),1298)</f>
        <v>1298</v>
      </c>
      <c r="AH1749" s="6" t="str">
        <f t="shared" ca="1" si="498"/>
        <v>202210</v>
      </c>
      <c r="AI1749" s="6">
        <f t="shared" ca="1" si="499"/>
        <v>2022</v>
      </c>
      <c r="AJ1749" s="6">
        <f t="shared" ca="1" si="500"/>
        <v>10</v>
      </c>
      <c r="AK1749" s="68">
        <f ca="1">IFERROR(__xludf.DUMMYFUNCTION("""COMPUTED_VALUE"""),44842.9986111111)</f>
        <v>44842.998611111099</v>
      </c>
      <c r="AL1749" s="6">
        <f ca="1">IFERROR(__xludf.DUMMYFUNCTION("""COMPUTED_VALUE"""),19415.62)</f>
        <v>19415.62</v>
      </c>
      <c r="AP1749" s="6" t="str">
        <f t="shared" ca="1" si="501"/>
        <v>202412</v>
      </c>
      <c r="AQ1749" s="6">
        <f t="shared" ca="1" si="502"/>
        <v>2024</v>
      </c>
      <c r="AR1749" s="6">
        <f t="shared" ca="1" si="503"/>
        <v>12</v>
      </c>
      <c r="AS1749" s="68">
        <f ca="1">IFERROR(__xludf.DUMMYFUNCTION("""COMPUTED_VALUE"""),45644.9986111111)</f>
        <v>45644.998611111099</v>
      </c>
      <c r="AT1749" s="6">
        <f ca="1">IFERROR(__xludf.DUMMYFUNCTION("""COMPUTED_VALUE"""),2653.3)</f>
        <v>2653.3</v>
      </c>
    </row>
    <row r="1750" spans="2:46" x14ac:dyDescent="0.35">
      <c r="B1750" s="6" t="str">
        <f t="shared" ca="1" si="486"/>
        <v>202412</v>
      </c>
      <c r="C1750" s="6">
        <f t="shared" ca="1" si="487"/>
        <v>2024</v>
      </c>
      <c r="D1750" s="6">
        <f t="shared" ca="1" si="488"/>
        <v>12</v>
      </c>
      <c r="E1750" s="68">
        <f ca="1">IFERROR(__xludf.DUMMYFUNCTION("""COMPUTED_VALUE"""),45638.6666666666)</f>
        <v>45638.666666666599</v>
      </c>
      <c r="F1750" s="6">
        <f ca="1">IFERROR(__xludf.DUMMYFUNCTION("""COMPUTED_VALUE"""),6051.25)</f>
        <v>6051.25</v>
      </c>
      <c r="J1750" s="6" t="str">
        <f t="shared" ca="1" si="489"/>
        <v>202412</v>
      </c>
      <c r="K1750" s="6">
        <f t="shared" ca="1" si="490"/>
        <v>2024</v>
      </c>
      <c r="L1750" s="6">
        <f t="shared" ca="1" si="491"/>
        <v>12</v>
      </c>
      <c r="M1750" s="68">
        <f ca="1">IFERROR(__xludf.DUMMYFUNCTION("""COMPUTED_VALUE"""),45631.6666666666)</f>
        <v>45631.666666666599</v>
      </c>
      <c r="N1750" s="6">
        <f ca="1">IFERROR(__xludf.DUMMYFUNCTION("""COMPUTED_VALUE"""),19700.72)</f>
        <v>19700.72</v>
      </c>
      <c r="R1750" s="6" t="str">
        <f t="shared" ca="1" si="492"/>
        <v>20252</v>
      </c>
      <c r="S1750" s="6">
        <f t="shared" ca="1" si="493"/>
        <v>2025</v>
      </c>
      <c r="T1750" s="6">
        <f t="shared" ca="1" si="494"/>
        <v>2</v>
      </c>
      <c r="U1750" s="68">
        <f ca="1">IFERROR(__xludf.DUMMYFUNCTION("""COMPUTED_VALUE"""),45707.6458333333)</f>
        <v>45707.645833333299</v>
      </c>
      <c r="V1750" s="6">
        <f ca="1">IFERROR(__xludf.DUMMYFUNCTION("""COMPUTED_VALUE"""),2671.52)</f>
        <v>2671.52</v>
      </c>
      <c r="Z1750" s="6" t="str">
        <f t="shared" ca="1" si="495"/>
        <v>202212</v>
      </c>
      <c r="AA1750" s="6">
        <f t="shared" ca="1" si="496"/>
        <v>2022</v>
      </c>
      <c r="AB1750" s="6">
        <f t="shared" ca="1" si="497"/>
        <v>12</v>
      </c>
      <c r="AC1750" s="68">
        <f ca="1">IFERROR(__xludf.DUMMYFUNCTION("""COMPUTED_VALUE"""),44899.9986111111)</f>
        <v>44899.998611111099</v>
      </c>
      <c r="AD1750" s="6">
        <f ca="1">IFERROR(__xludf.DUMMYFUNCTION("""COMPUTED_VALUE"""),1299.17)</f>
        <v>1299.17</v>
      </c>
      <c r="AH1750" s="6" t="str">
        <f t="shared" ca="1" si="498"/>
        <v>202210</v>
      </c>
      <c r="AI1750" s="6">
        <f t="shared" ca="1" si="499"/>
        <v>2022</v>
      </c>
      <c r="AJ1750" s="6">
        <f t="shared" ca="1" si="500"/>
        <v>10</v>
      </c>
      <c r="AK1750" s="68">
        <f ca="1">IFERROR(__xludf.DUMMYFUNCTION("""COMPUTED_VALUE"""),44843.9986111111)</f>
        <v>44843.998611111099</v>
      </c>
      <c r="AL1750" s="6">
        <f ca="1">IFERROR(__xludf.DUMMYFUNCTION("""COMPUTED_VALUE"""),19442.08)</f>
        <v>19442.080000000002</v>
      </c>
      <c r="AP1750" s="6" t="str">
        <f t="shared" ca="1" si="501"/>
        <v>202412</v>
      </c>
      <c r="AQ1750" s="6">
        <f t="shared" ca="1" si="502"/>
        <v>2024</v>
      </c>
      <c r="AR1750" s="6">
        <f t="shared" ca="1" si="503"/>
        <v>12</v>
      </c>
      <c r="AS1750" s="68">
        <f ca="1">IFERROR(__xludf.DUMMYFUNCTION("""COMPUTED_VALUE"""),45645.9986111111)</f>
        <v>45645.998611111099</v>
      </c>
      <c r="AT1750" s="6">
        <f ca="1">IFERROR(__xludf.DUMMYFUNCTION("""COMPUTED_VALUE"""),2608.1)</f>
        <v>2608.1</v>
      </c>
    </row>
    <row r="1751" spans="2:46" x14ac:dyDescent="0.35">
      <c r="B1751" s="6" t="str">
        <f t="shared" ca="1" si="486"/>
        <v>202412</v>
      </c>
      <c r="C1751" s="6">
        <f t="shared" ca="1" si="487"/>
        <v>2024</v>
      </c>
      <c r="D1751" s="6">
        <f t="shared" ca="1" si="488"/>
        <v>12</v>
      </c>
      <c r="E1751" s="68">
        <f ca="1">IFERROR(__xludf.DUMMYFUNCTION("""COMPUTED_VALUE"""),45639.6666666666)</f>
        <v>45639.666666666599</v>
      </c>
      <c r="F1751" s="6">
        <f ca="1">IFERROR(__xludf.DUMMYFUNCTION("""COMPUTED_VALUE"""),6051.09)</f>
        <v>6051.09</v>
      </c>
      <c r="J1751" s="6" t="str">
        <f t="shared" ca="1" si="489"/>
        <v>202412</v>
      </c>
      <c r="K1751" s="6">
        <f t="shared" ca="1" si="490"/>
        <v>2024</v>
      </c>
      <c r="L1751" s="6">
        <f t="shared" ca="1" si="491"/>
        <v>12</v>
      </c>
      <c r="M1751" s="68">
        <f ca="1">IFERROR(__xludf.DUMMYFUNCTION("""COMPUTED_VALUE"""),45632.6666666666)</f>
        <v>45632.666666666599</v>
      </c>
      <c r="N1751" s="6">
        <f ca="1">IFERROR(__xludf.DUMMYFUNCTION("""COMPUTED_VALUE"""),19859.77)</f>
        <v>19859.77</v>
      </c>
      <c r="R1751" s="6" t="str">
        <f t="shared" ca="1" si="492"/>
        <v>20252</v>
      </c>
      <c r="S1751" s="6">
        <f t="shared" ca="1" si="493"/>
        <v>2025</v>
      </c>
      <c r="T1751" s="6">
        <f t="shared" ca="1" si="494"/>
        <v>2</v>
      </c>
      <c r="U1751" s="68">
        <f ca="1">IFERROR(__xludf.DUMMYFUNCTION("""COMPUTED_VALUE"""),45708.6458333333)</f>
        <v>45708.645833333299</v>
      </c>
      <c r="V1751" s="6">
        <f ca="1">IFERROR(__xludf.DUMMYFUNCTION("""COMPUTED_VALUE"""),2654.06)</f>
        <v>2654.06</v>
      </c>
      <c r="Z1751" s="6" t="str">
        <f t="shared" ca="1" si="495"/>
        <v>202212</v>
      </c>
      <c r="AA1751" s="6">
        <f t="shared" ca="1" si="496"/>
        <v>2022</v>
      </c>
      <c r="AB1751" s="6">
        <f t="shared" ca="1" si="497"/>
        <v>12</v>
      </c>
      <c r="AC1751" s="68">
        <f ca="1">IFERROR(__xludf.DUMMYFUNCTION("""COMPUTED_VALUE"""),44900.9986111111)</f>
        <v>44900.998611111099</v>
      </c>
      <c r="AD1751" s="6">
        <f ca="1">IFERROR(__xludf.DUMMYFUNCTION("""COMPUTED_VALUE"""),1304.37)</f>
        <v>1304.3699999999999</v>
      </c>
      <c r="AH1751" s="6" t="str">
        <f t="shared" ca="1" si="498"/>
        <v>202210</v>
      </c>
      <c r="AI1751" s="6">
        <f t="shared" ca="1" si="499"/>
        <v>2022</v>
      </c>
      <c r="AJ1751" s="6">
        <f t="shared" ca="1" si="500"/>
        <v>10</v>
      </c>
      <c r="AK1751" s="68">
        <f ca="1">IFERROR(__xludf.DUMMYFUNCTION("""COMPUTED_VALUE"""),44844.9986111111)</f>
        <v>44844.998611111099</v>
      </c>
      <c r="AL1751" s="6">
        <f ca="1">IFERROR(__xludf.DUMMYFUNCTION("""COMPUTED_VALUE"""),19130.02)</f>
        <v>19130.02</v>
      </c>
      <c r="AP1751" s="6" t="str">
        <f t="shared" ca="1" si="501"/>
        <v>202412</v>
      </c>
      <c r="AQ1751" s="6">
        <f t="shared" ca="1" si="502"/>
        <v>2024</v>
      </c>
      <c r="AR1751" s="6">
        <f t="shared" ca="1" si="503"/>
        <v>12</v>
      </c>
      <c r="AS1751" s="68">
        <f ca="1">IFERROR(__xludf.DUMMYFUNCTION("""COMPUTED_VALUE"""),45646.9986111111)</f>
        <v>45646.998611111099</v>
      </c>
      <c r="AT1751" s="6">
        <f ca="1">IFERROR(__xludf.DUMMYFUNCTION("""COMPUTED_VALUE"""),2645.1)</f>
        <v>2645.1</v>
      </c>
    </row>
    <row r="1752" spans="2:46" x14ac:dyDescent="0.35">
      <c r="B1752" s="6" t="str">
        <f t="shared" ca="1" si="486"/>
        <v>202412</v>
      </c>
      <c r="C1752" s="6">
        <f t="shared" ca="1" si="487"/>
        <v>2024</v>
      </c>
      <c r="D1752" s="6">
        <f t="shared" ca="1" si="488"/>
        <v>12</v>
      </c>
      <c r="E1752" s="68">
        <f ca="1">IFERROR(__xludf.DUMMYFUNCTION("""COMPUTED_VALUE"""),45642.6666666666)</f>
        <v>45642.666666666599</v>
      </c>
      <c r="F1752" s="6">
        <f ca="1">IFERROR(__xludf.DUMMYFUNCTION("""COMPUTED_VALUE"""),6074.08)</f>
        <v>6074.08</v>
      </c>
      <c r="J1752" s="6" t="str">
        <f t="shared" ca="1" si="489"/>
        <v>202412</v>
      </c>
      <c r="K1752" s="6">
        <f t="shared" ca="1" si="490"/>
        <v>2024</v>
      </c>
      <c r="L1752" s="6">
        <f t="shared" ca="1" si="491"/>
        <v>12</v>
      </c>
      <c r="M1752" s="68">
        <f ca="1">IFERROR(__xludf.DUMMYFUNCTION("""COMPUTED_VALUE"""),45635.6666666666)</f>
        <v>45635.666666666599</v>
      </c>
      <c r="N1752" s="6">
        <f ca="1">IFERROR(__xludf.DUMMYFUNCTION("""COMPUTED_VALUE"""),19736.69)</f>
        <v>19736.689999999999</v>
      </c>
      <c r="R1752" s="6" t="str">
        <f t="shared" ca="1" si="492"/>
        <v>20252</v>
      </c>
      <c r="S1752" s="6">
        <f t="shared" ca="1" si="493"/>
        <v>2025</v>
      </c>
      <c r="T1752" s="6">
        <f t="shared" ca="1" si="494"/>
        <v>2</v>
      </c>
      <c r="U1752" s="68">
        <f ca="1">IFERROR(__xludf.DUMMYFUNCTION("""COMPUTED_VALUE"""),45709.6458333333)</f>
        <v>45709.645833333299</v>
      </c>
      <c r="V1752" s="6">
        <f ca="1">IFERROR(__xludf.DUMMYFUNCTION("""COMPUTED_VALUE"""),2654.58)</f>
        <v>2654.58</v>
      </c>
      <c r="Z1752" s="6" t="str">
        <f t="shared" ca="1" si="495"/>
        <v>202212</v>
      </c>
      <c r="AA1752" s="6">
        <f t="shared" ca="1" si="496"/>
        <v>2022</v>
      </c>
      <c r="AB1752" s="6">
        <f t="shared" ca="1" si="497"/>
        <v>12</v>
      </c>
      <c r="AC1752" s="68">
        <f ca="1">IFERROR(__xludf.DUMMYFUNCTION("""COMPUTED_VALUE"""),44901.9986111111)</f>
        <v>44901.998611111099</v>
      </c>
      <c r="AD1752" s="6">
        <f ca="1">IFERROR(__xludf.DUMMYFUNCTION("""COMPUTED_VALUE"""),1319.71)</f>
        <v>1319.71</v>
      </c>
      <c r="AH1752" s="6" t="str">
        <f t="shared" ca="1" si="498"/>
        <v>202210</v>
      </c>
      <c r="AI1752" s="6">
        <f t="shared" ca="1" si="499"/>
        <v>2022</v>
      </c>
      <c r="AJ1752" s="6">
        <f t="shared" ca="1" si="500"/>
        <v>10</v>
      </c>
      <c r="AK1752" s="68">
        <f ca="1">IFERROR(__xludf.DUMMYFUNCTION("""COMPUTED_VALUE"""),44845.9986111111)</f>
        <v>44845.998611111099</v>
      </c>
      <c r="AL1752" s="6">
        <f ca="1">IFERROR(__xludf.DUMMYFUNCTION("""COMPUTED_VALUE"""),19058.85)</f>
        <v>19058.849999999999</v>
      </c>
      <c r="AP1752" s="6" t="str">
        <f t="shared" ca="1" si="501"/>
        <v>202412</v>
      </c>
      <c r="AQ1752" s="6">
        <f t="shared" ca="1" si="502"/>
        <v>2024</v>
      </c>
      <c r="AR1752" s="6">
        <f t="shared" ca="1" si="503"/>
        <v>12</v>
      </c>
      <c r="AS1752" s="68">
        <f ca="1">IFERROR(__xludf.DUMMYFUNCTION("""COMPUTED_VALUE"""),45649.9986111111)</f>
        <v>45649.998611111099</v>
      </c>
      <c r="AT1752" s="6">
        <f ca="1">IFERROR(__xludf.DUMMYFUNCTION("""COMPUTED_VALUE"""),2628.2)</f>
        <v>2628.2</v>
      </c>
    </row>
    <row r="1753" spans="2:46" x14ac:dyDescent="0.35">
      <c r="B1753" s="6" t="str">
        <f t="shared" ca="1" si="486"/>
        <v>202412</v>
      </c>
      <c r="C1753" s="6">
        <f t="shared" ca="1" si="487"/>
        <v>2024</v>
      </c>
      <c r="D1753" s="6">
        <f t="shared" ca="1" si="488"/>
        <v>12</v>
      </c>
      <c r="E1753" s="68">
        <f ca="1">IFERROR(__xludf.DUMMYFUNCTION("""COMPUTED_VALUE"""),45643.6666666666)</f>
        <v>45643.666666666599</v>
      </c>
      <c r="F1753" s="6">
        <f ca="1">IFERROR(__xludf.DUMMYFUNCTION("""COMPUTED_VALUE"""),6050.61)</f>
        <v>6050.61</v>
      </c>
      <c r="J1753" s="6" t="str">
        <f t="shared" ca="1" si="489"/>
        <v>202412</v>
      </c>
      <c r="K1753" s="6">
        <f t="shared" ca="1" si="490"/>
        <v>2024</v>
      </c>
      <c r="L1753" s="6">
        <f t="shared" ca="1" si="491"/>
        <v>12</v>
      </c>
      <c r="M1753" s="68">
        <f ca="1">IFERROR(__xludf.DUMMYFUNCTION("""COMPUTED_VALUE"""),45636.6666666666)</f>
        <v>45636.666666666599</v>
      </c>
      <c r="N1753" s="6">
        <f ca="1">IFERROR(__xludf.DUMMYFUNCTION("""COMPUTED_VALUE"""),19687.24)</f>
        <v>19687.240000000002</v>
      </c>
      <c r="R1753" s="6" t="str">
        <f t="shared" ca="1" si="492"/>
        <v>20252</v>
      </c>
      <c r="S1753" s="6">
        <f t="shared" ca="1" si="493"/>
        <v>2025</v>
      </c>
      <c r="T1753" s="6">
        <f t="shared" ca="1" si="494"/>
        <v>2</v>
      </c>
      <c r="U1753" s="68">
        <f ca="1">IFERROR(__xludf.DUMMYFUNCTION("""COMPUTED_VALUE"""),45712.6458333333)</f>
        <v>45712.645833333299</v>
      </c>
      <c r="V1753" s="6">
        <f ca="1">IFERROR(__xludf.DUMMYFUNCTION("""COMPUTED_VALUE"""),2645.27)</f>
        <v>2645.27</v>
      </c>
      <c r="Z1753" s="6" t="str">
        <f t="shared" ca="1" si="495"/>
        <v>202212</v>
      </c>
      <c r="AA1753" s="6">
        <f t="shared" ca="1" si="496"/>
        <v>2022</v>
      </c>
      <c r="AB1753" s="6">
        <f t="shared" ca="1" si="497"/>
        <v>12</v>
      </c>
      <c r="AC1753" s="68">
        <f ca="1">IFERROR(__xludf.DUMMYFUNCTION("""COMPUTED_VALUE"""),44902.9986111111)</f>
        <v>44902.998611111099</v>
      </c>
      <c r="AD1753" s="6">
        <f ca="1">IFERROR(__xludf.DUMMYFUNCTION("""COMPUTED_VALUE"""),1314.1)</f>
        <v>1314.1</v>
      </c>
      <c r="AH1753" s="6" t="str">
        <f t="shared" ca="1" si="498"/>
        <v>202210</v>
      </c>
      <c r="AI1753" s="6">
        <f t="shared" ca="1" si="499"/>
        <v>2022</v>
      </c>
      <c r="AJ1753" s="6">
        <f t="shared" ca="1" si="500"/>
        <v>10</v>
      </c>
      <c r="AK1753" s="68">
        <f ca="1">IFERROR(__xludf.DUMMYFUNCTION("""COMPUTED_VALUE"""),44846.9986111111)</f>
        <v>44846.998611111099</v>
      </c>
      <c r="AL1753" s="6">
        <f ca="1">IFERROR(__xludf.DUMMYFUNCTION("""COMPUTED_VALUE"""),19154.69)</f>
        <v>19154.689999999999</v>
      </c>
      <c r="AP1753" s="6" t="str">
        <f t="shared" ca="1" si="501"/>
        <v>202412</v>
      </c>
      <c r="AQ1753" s="6">
        <f t="shared" ca="1" si="502"/>
        <v>2024</v>
      </c>
      <c r="AR1753" s="6">
        <f t="shared" ca="1" si="503"/>
        <v>12</v>
      </c>
      <c r="AS1753" s="68">
        <f ca="1">IFERROR(__xludf.DUMMYFUNCTION("""COMPUTED_VALUE"""),45650.5416666666)</f>
        <v>45650.541666666599</v>
      </c>
      <c r="AT1753" s="6">
        <f ca="1">IFERROR(__xludf.DUMMYFUNCTION("""COMPUTED_VALUE"""),2635.5)</f>
        <v>2635.5</v>
      </c>
    </row>
    <row r="1754" spans="2:46" x14ac:dyDescent="0.35">
      <c r="B1754" s="6" t="str">
        <f t="shared" ca="1" si="486"/>
        <v>202412</v>
      </c>
      <c r="C1754" s="6">
        <f t="shared" ca="1" si="487"/>
        <v>2024</v>
      </c>
      <c r="D1754" s="6">
        <f t="shared" ca="1" si="488"/>
        <v>12</v>
      </c>
      <c r="E1754" s="68">
        <f ca="1">IFERROR(__xludf.DUMMYFUNCTION("""COMPUTED_VALUE"""),45644.6666666666)</f>
        <v>45644.666666666599</v>
      </c>
      <c r="F1754" s="6">
        <f ca="1">IFERROR(__xludf.DUMMYFUNCTION("""COMPUTED_VALUE"""),5872.16)</f>
        <v>5872.16</v>
      </c>
      <c r="J1754" s="6" t="str">
        <f t="shared" ca="1" si="489"/>
        <v>202412</v>
      </c>
      <c r="K1754" s="6">
        <f t="shared" ca="1" si="490"/>
        <v>2024</v>
      </c>
      <c r="L1754" s="6">
        <f t="shared" ca="1" si="491"/>
        <v>12</v>
      </c>
      <c r="M1754" s="68">
        <f ca="1">IFERROR(__xludf.DUMMYFUNCTION("""COMPUTED_VALUE"""),45637.6666666666)</f>
        <v>45637.666666666599</v>
      </c>
      <c r="N1754" s="6">
        <f ca="1">IFERROR(__xludf.DUMMYFUNCTION("""COMPUTED_VALUE"""),20034.89)</f>
        <v>20034.89</v>
      </c>
      <c r="R1754" s="6" t="str">
        <f t="shared" ca="1" si="492"/>
        <v>20252</v>
      </c>
      <c r="S1754" s="6">
        <f t="shared" ca="1" si="493"/>
        <v>2025</v>
      </c>
      <c r="T1754" s="6">
        <f t="shared" ca="1" si="494"/>
        <v>2</v>
      </c>
      <c r="U1754" s="68">
        <f ca="1">IFERROR(__xludf.DUMMYFUNCTION("""COMPUTED_VALUE"""),45713.6458333333)</f>
        <v>45713.645833333299</v>
      </c>
      <c r="V1754" s="6">
        <f ca="1">IFERROR(__xludf.DUMMYFUNCTION("""COMPUTED_VALUE"""),2630.29)</f>
        <v>2630.29</v>
      </c>
      <c r="Z1754" s="6" t="str">
        <f t="shared" ca="1" si="495"/>
        <v>202212</v>
      </c>
      <c r="AA1754" s="6">
        <f t="shared" ca="1" si="496"/>
        <v>2022</v>
      </c>
      <c r="AB1754" s="6">
        <f t="shared" ca="1" si="497"/>
        <v>12</v>
      </c>
      <c r="AC1754" s="68">
        <f ca="1">IFERROR(__xludf.DUMMYFUNCTION("""COMPUTED_VALUE"""),44903.9986111111)</f>
        <v>44903.998611111099</v>
      </c>
      <c r="AD1754" s="6">
        <f ca="1">IFERROR(__xludf.DUMMYFUNCTION("""COMPUTED_VALUE"""),1316.63)</f>
        <v>1316.63</v>
      </c>
      <c r="AH1754" s="6" t="str">
        <f t="shared" ca="1" si="498"/>
        <v>202210</v>
      </c>
      <c r="AI1754" s="6">
        <f t="shared" ca="1" si="499"/>
        <v>2022</v>
      </c>
      <c r="AJ1754" s="6">
        <f t="shared" ca="1" si="500"/>
        <v>10</v>
      </c>
      <c r="AK1754" s="68">
        <f ca="1">IFERROR(__xludf.DUMMYFUNCTION("""COMPUTED_VALUE"""),44847.9986111111)</f>
        <v>44847.998611111099</v>
      </c>
      <c r="AL1754" s="6">
        <f ca="1">IFERROR(__xludf.DUMMYFUNCTION("""COMPUTED_VALUE"""),19379.66)</f>
        <v>19379.66</v>
      </c>
      <c r="AP1754" s="6" t="str">
        <f t="shared" ca="1" si="501"/>
        <v>202412</v>
      </c>
      <c r="AQ1754" s="6">
        <f t="shared" ca="1" si="502"/>
        <v>2024</v>
      </c>
      <c r="AR1754" s="6">
        <f t="shared" ca="1" si="503"/>
        <v>12</v>
      </c>
      <c r="AS1754" s="68">
        <f ca="1">IFERROR(__xludf.DUMMYFUNCTION("""COMPUTED_VALUE"""),45652.9986111111)</f>
        <v>45652.998611111099</v>
      </c>
      <c r="AT1754" s="6">
        <f ca="1">IFERROR(__xludf.DUMMYFUNCTION("""COMPUTED_VALUE"""),2653.9)</f>
        <v>2653.9</v>
      </c>
    </row>
    <row r="1755" spans="2:46" x14ac:dyDescent="0.35">
      <c r="B1755" s="6" t="str">
        <f t="shared" ca="1" si="486"/>
        <v>202412</v>
      </c>
      <c r="C1755" s="6">
        <f t="shared" ca="1" si="487"/>
        <v>2024</v>
      </c>
      <c r="D1755" s="6">
        <f t="shared" ca="1" si="488"/>
        <v>12</v>
      </c>
      <c r="E1755" s="68">
        <f ca="1">IFERROR(__xludf.DUMMYFUNCTION("""COMPUTED_VALUE"""),45645.6666666666)</f>
        <v>45645.666666666599</v>
      </c>
      <c r="F1755" s="6">
        <f ca="1">IFERROR(__xludf.DUMMYFUNCTION("""COMPUTED_VALUE"""),5867.08)</f>
        <v>5867.08</v>
      </c>
      <c r="J1755" s="6" t="str">
        <f t="shared" ca="1" si="489"/>
        <v>202412</v>
      </c>
      <c r="K1755" s="6">
        <f t="shared" ca="1" si="490"/>
        <v>2024</v>
      </c>
      <c r="L1755" s="6">
        <f t="shared" ca="1" si="491"/>
        <v>12</v>
      </c>
      <c r="M1755" s="68">
        <f ca="1">IFERROR(__xludf.DUMMYFUNCTION("""COMPUTED_VALUE"""),45638.6666666666)</f>
        <v>45638.666666666599</v>
      </c>
      <c r="N1755" s="6">
        <f ca="1">IFERROR(__xludf.DUMMYFUNCTION("""COMPUTED_VALUE"""),19902.84)</f>
        <v>19902.84</v>
      </c>
      <c r="R1755" s="6" t="str">
        <f t="shared" ca="1" si="492"/>
        <v>20252</v>
      </c>
      <c r="S1755" s="6">
        <f t="shared" ca="1" si="493"/>
        <v>2025</v>
      </c>
      <c r="T1755" s="6">
        <f t="shared" ca="1" si="494"/>
        <v>2</v>
      </c>
      <c r="U1755" s="68">
        <f ca="1">IFERROR(__xludf.DUMMYFUNCTION("""COMPUTED_VALUE"""),45714.6458333333)</f>
        <v>45714.645833333299</v>
      </c>
      <c r="V1755" s="6">
        <f ca="1">IFERROR(__xludf.DUMMYFUNCTION("""COMPUTED_VALUE"""),2641.09)</f>
        <v>2641.09</v>
      </c>
      <c r="Z1755" s="6" t="str">
        <f t="shared" ca="1" si="495"/>
        <v>202212</v>
      </c>
      <c r="AA1755" s="6">
        <f t="shared" ca="1" si="496"/>
        <v>2022</v>
      </c>
      <c r="AB1755" s="6">
        <f t="shared" ca="1" si="497"/>
        <v>12</v>
      </c>
      <c r="AC1755" s="68">
        <f ca="1">IFERROR(__xludf.DUMMYFUNCTION("""COMPUTED_VALUE"""),44904.9986111111)</f>
        <v>44904.998611111099</v>
      </c>
      <c r="AD1755" s="6">
        <f ca="1">IFERROR(__xludf.DUMMYFUNCTION("""COMPUTED_VALUE"""),1303.17)</f>
        <v>1303.17</v>
      </c>
      <c r="AH1755" s="6" t="str">
        <f t="shared" ca="1" si="498"/>
        <v>202210</v>
      </c>
      <c r="AI1755" s="6">
        <f t="shared" ca="1" si="499"/>
        <v>2022</v>
      </c>
      <c r="AJ1755" s="6">
        <f t="shared" ca="1" si="500"/>
        <v>10</v>
      </c>
      <c r="AK1755" s="68">
        <f ca="1">IFERROR(__xludf.DUMMYFUNCTION("""COMPUTED_VALUE"""),44848.9986111111)</f>
        <v>44848.998611111099</v>
      </c>
      <c r="AL1755" s="6">
        <f ca="1">IFERROR(__xludf.DUMMYFUNCTION("""COMPUTED_VALUE"""),19179.87)</f>
        <v>19179.87</v>
      </c>
      <c r="AP1755" s="6" t="str">
        <f t="shared" ca="1" si="501"/>
        <v>202412</v>
      </c>
      <c r="AQ1755" s="6">
        <f t="shared" ca="1" si="502"/>
        <v>2024</v>
      </c>
      <c r="AR1755" s="6">
        <f t="shared" ca="1" si="503"/>
        <v>12</v>
      </c>
      <c r="AS1755" s="68">
        <f ca="1">IFERROR(__xludf.DUMMYFUNCTION("""COMPUTED_VALUE"""),45653.9986111111)</f>
        <v>45653.998611111099</v>
      </c>
      <c r="AT1755" s="6">
        <f ca="1">IFERROR(__xludf.DUMMYFUNCTION("""COMPUTED_VALUE"""),2631.9)</f>
        <v>2631.9</v>
      </c>
    </row>
    <row r="1756" spans="2:46" x14ac:dyDescent="0.35">
      <c r="B1756" s="6" t="str">
        <f t="shared" ca="1" si="486"/>
        <v>202412</v>
      </c>
      <c r="C1756" s="6">
        <f t="shared" ca="1" si="487"/>
        <v>2024</v>
      </c>
      <c r="D1756" s="6">
        <f t="shared" ca="1" si="488"/>
        <v>12</v>
      </c>
      <c r="E1756" s="68">
        <f ca="1">IFERROR(__xludf.DUMMYFUNCTION("""COMPUTED_VALUE"""),45646.6666666666)</f>
        <v>45646.666666666599</v>
      </c>
      <c r="F1756" s="6">
        <f ca="1">IFERROR(__xludf.DUMMYFUNCTION("""COMPUTED_VALUE"""),5930.85)</f>
        <v>5930.85</v>
      </c>
      <c r="J1756" s="6" t="str">
        <f t="shared" ca="1" si="489"/>
        <v>202412</v>
      </c>
      <c r="K1756" s="6">
        <f t="shared" ca="1" si="490"/>
        <v>2024</v>
      </c>
      <c r="L1756" s="6">
        <f t="shared" ca="1" si="491"/>
        <v>12</v>
      </c>
      <c r="M1756" s="68">
        <f ca="1">IFERROR(__xludf.DUMMYFUNCTION("""COMPUTED_VALUE"""),45639.6666666666)</f>
        <v>45639.666666666599</v>
      </c>
      <c r="N1756" s="6">
        <f ca="1">IFERROR(__xludf.DUMMYFUNCTION("""COMPUTED_VALUE"""),19926.72)</f>
        <v>19926.72</v>
      </c>
      <c r="R1756" s="6" t="str">
        <f t="shared" ca="1" si="492"/>
        <v>20252</v>
      </c>
      <c r="S1756" s="6">
        <f t="shared" ca="1" si="493"/>
        <v>2025</v>
      </c>
      <c r="T1756" s="6">
        <f t="shared" ca="1" si="494"/>
        <v>2</v>
      </c>
      <c r="U1756" s="68">
        <f ca="1">IFERROR(__xludf.DUMMYFUNCTION("""COMPUTED_VALUE"""),45715.6458333333)</f>
        <v>45715.645833333299</v>
      </c>
      <c r="V1756" s="6">
        <f ca="1">IFERROR(__xludf.DUMMYFUNCTION("""COMPUTED_VALUE"""),2621.75)</f>
        <v>2621.75</v>
      </c>
      <c r="Z1756" s="6" t="str">
        <f t="shared" ca="1" si="495"/>
        <v>202212</v>
      </c>
      <c r="AA1756" s="6">
        <f t="shared" ca="1" si="496"/>
        <v>2022</v>
      </c>
      <c r="AB1756" s="6">
        <f t="shared" ca="1" si="497"/>
        <v>12</v>
      </c>
      <c r="AC1756" s="68">
        <f ca="1">IFERROR(__xludf.DUMMYFUNCTION("""COMPUTED_VALUE"""),44905.9986111111)</f>
        <v>44905.998611111099</v>
      </c>
      <c r="AD1756" s="6">
        <f ca="1">IFERROR(__xludf.DUMMYFUNCTION("""COMPUTED_VALUE"""),1303.17)</f>
        <v>1303.17</v>
      </c>
      <c r="AH1756" s="6" t="str">
        <f t="shared" ca="1" si="498"/>
        <v>202210</v>
      </c>
      <c r="AI1756" s="6">
        <f t="shared" ca="1" si="499"/>
        <v>2022</v>
      </c>
      <c r="AJ1756" s="6">
        <f t="shared" ca="1" si="500"/>
        <v>10</v>
      </c>
      <c r="AK1756" s="68">
        <f ca="1">IFERROR(__xludf.DUMMYFUNCTION("""COMPUTED_VALUE"""),44849.9986111111)</f>
        <v>44849.998611111099</v>
      </c>
      <c r="AL1756" s="6">
        <f ca="1">IFERROR(__xludf.DUMMYFUNCTION("""COMPUTED_VALUE"""),19067.66)</f>
        <v>19067.66</v>
      </c>
      <c r="AP1756" s="6" t="str">
        <f t="shared" ca="1" si="501"/>
        <v>202412</v>
      </c>
      <c r="AQ1756" s="6">
        <f t="shared" ca="1" si="502"/>
        <v>2024</v>
      </c>
      <c r="AR1756" s="6">
        <f t="shared" ca="1" si="503"/>
        <v>12</v>
      </c>
      <c r="AS1756" s="68">
        <f ca="1">IFERROR(__xludf.DUMMYFUNCTION("""COMPUTED_VALUE"""),45656.9986111111)</f>
        <v>45656.998611111099</v>
      </c>
      <c r="AT1756" s="6">
        <f ca="1">IFERROR(__xludf.DUMMYFUNCTION("""COMPUTED_VALUE"""),2618.1)</f>
        <v>2618.1</v>
      </c>
    </row>
    <row r="1757" spans="2:46" x14ac:dyDescent="0.35">
      <c r="B1757" s="6" t="str">
        <f t="shared" ca="1" si="486"/>
        <v>202412</v>
      </c>
      <c r="C1757" s="6">
        <f t="shared" ca="1" si="487"/>
        <v>2024</v>
      </c>
      <c r="D1757" s="6">
        <f t="shared" ca="1" si="488"/>
        <v>12</v>
      </c>
      <c r="E1757" s="68">
        <f ca="1">IFERROR(__xludf.DUMMYFUNCTION("""COMPUTED_VALUE"""),45649.6666666666)</f>
        <v>45649.666666666599</v>
      </c>
      <c r="F1757" s="6">
        <f ca="1">IFERROR(__xludf.DUMMYFUNCTION("""COMPUTED_VALUE"""),5974.07)</f>
        <v>5974.07</v>
      </c>
      <c r="J1757" s="6" t="str">
        <f t="shared" ca="1" si="489"/>
        <v>202412</v>
      </c>
      <c r="K1757" s="6">
        <f t="shared" ca="1" si="490"/>
        <v>2024</v>
      </c>
      <c r="L1757" s="6">
        <f t="shared" ca="1" si="491"/>
        <v>12</v>
      </c>
      <c r="M1757" s="68">
        <f ca="1">IFERROR(__xludf.DUMMYFUNCTION("""COMPUTED_VALUE"""),45642.6666666666)</f>
        <v>45642.666666666599</v>
      </c>
      <c r="N1757" s="6">
        <f ca="1">IFERROR(__xludf.DUMMYFUNCTION("""COMPUTED_VALUE"""),20173.89)</f>
        <v>20173.89</v>
      </c>
      <c r="R1757" s="6" t="str">
        <f t="shared" ca="1" si="492"/>
        <v>20252</v>
      </c>
      <c r="S1757" s="6">
        <f t="shared" ca="1" si="493"/>
        <v>2025</v>
      </c>
      <c r="T1757" s="6">
        <f t="shared" ca="1" si="494"/>
        <v>2</v>
      </c>
      <c r="U1757" s="68">
        <f ca="1">IFERROR(__xludf.DUMMYFUNCTION("""COMPUTED_VALUE"""),45716.6458333333)</f>
        <v>45716.645833333299</v>
      </c>
      <c r="V1757" s="6">
        <f ca="1">IFERROR(__xludf.DUMMYFUNCTION("""COMPUTED_VALUE"""),2532.78)</f>
        <v>2532.7800000000002</v>
      </c>
      <c r="Z1757" s="6" t="str">
        <f t="shared" ca="1" si="495"/>
        <v>202212</v>
      </c>
      <c r="AA1757" s="6">
        <f t="shared" ca="1" si="496"/>
        <v>2022</v>
      </c>
      <c r="AB1757" s="6">
        <f t="shared" ca="1" si="497"/>
        <v>12</v>
      </c>
      <c r="AC1757" s="68">
        <f ca="1">IFERROR(__xludf.DUMMYFUNCTION("""COMPUTED_VALUE"""),44906.9986111111)</f>
        <v>44906.998611111099</v>
      </c>
      <c r="AD1757" s="6">
        <f ca="1">IFERROR(__xludf.DUMMYFUNCTION("""COMPUTED_VALUE"""),1303.17)</f>
        <v>1303.17</v>
      </c>
      <c r="AH1757" s="6" t="str">
        <f t="shared" ca="1" si="498"/>
        <v>202210</v>
      </c>
      <c r="AI1757" s="6">
        <f t="shared" ca="1" si="499"/>
        <v>2022</v>
      </c>
      <c r="AJ1757" s="6">
        <f t="shared" ca="1" si="500"/>
        <v>10</v>
      </c>
      <c r="AK1757" s="68">
        <f ca="1">IFERROR(__xludf.DUMMYFUNCTION("""COMPUTED_VALUE"""),44850.9986111111)</f>
        <v>44850.998611111099</v>
      </c>
      <c r="AL1757" s="6">
        <f ca="1">IFERROR(__xludf.DUMMYFUNCTION("""COMPUTED_VALUE"""),19262.56)</f>
        <v>19262.560000000001</v>
      </c>
      <c r="AP1757" s="6" t="str">
        <f t="shared" ca="1" si="501"/>
        <v>202412</v>
      </c>
      <c r="AQ1757" s="6">
        <f t="shared" ca="1" si="502"/>
        <v>2024</v>
      </c>
      <c r="AR1757" s="6">
        <f t="shared" ca="1" si="503"/>
        <v>12</v>
      </c>
      <c r="AS1757" s="68">
        <f ca="1">IFERROR(__xludf.DUMMYFUNCTION("""COMPUTED_VALUE"""),45657.9986111111)</f>
        <v>45657.998611111099</v>
      </c>
      <c r="AT1757" s="6">
        <f ca="1">IFERROR(__xludf.DUMMYFUNCTION("""COMPUTED_VALUE"""),2641)</f>
        <v>2641</v>
      </c>
    </row>
    <row r="1758" spans="2:46" x14ac:dyDescent="0.35">
      <c r="B1758" s="6" t="str">
        <f t="shared" ca="1" si="486"/>
        <v>202412</v>
      </c>
      <c r="C1758" s="6">
        <f t="shared" ca="1" si="487"/>
        <v>2024</v>
      </c>
      <c r="D1758" s="6">
        <f t="shared" ca="1" si="488"/>
        <v>12</v>
      </c>
      <c r="E1758" s="68">
        <f ca="1">IFERROR(__xludf.DUMMYFUNCTION("""COMPUTED_VALUE"""),45650.5416666666)</f>
        <v>45650.541666666599</v>
      </c>
      <c r="F1758" s="6">
        <f ca="1">IFERROR(__xludf.DUMMYFUNCTION("""COMPUTED_VALUE"""),6040.04)</f>
        <v>6040.04</v>
      </c>
      <c r="J1758" s="6" t="str">
        <f t="shared" ca="1" si="489"/>
        <v>202412</v>
      </c>
      <c r="K1758" s="6">
        <f t="shared" ca="1" si="490"/>
        <v>2024</v>
      </c>
      <c r="L1758" s="6">
        <f t="shared" ca="1" si="491"/>
        <v>12</v>
      </c>
      <c r="M1758" s="68">
        <f ca="1">IFERROR(__xludf.DUMMYFUNCTION("""COMPUTED_VALUE"""),45643.6666666666)</f>
        <v>45643.666666666599</v>
      </c>
      <c r="N1758" s="6">
        <f ca="1">IFERROR(__xludf.DUMMYFUNCTION("""COMPUTED_VALUE"""),20109.06)</f>
        <v>20109.060000000001</v>
      </c>
      <c r="R1758" s="6" t="str">
        <f t="shared" ca="1" si="492"/>
        <v>20253</v>
      </c>
      <c r="S1758" s="6">
        <f t="shared" ca="1" si="493"/>
        <v>2025</v>
      </c>
      <c r="T1758" s="6">
        <f t="shared" ca="1" si="494"/>
        <v>3</v>
      </c>
      <c r="U1758" s="68">
        <f ca="1">IFERROR(__xludf.DUMMYFUNCTION("""COMPUTED_VALUE"""),45720.6458333333)</f>
        <v>45720.645833333299</v>
      </c>
      <c r="V1758" s="6">
        <f ca="1">IFERROR(__xludf.DUMMYFUNCTION("""COMPUTED_VALUE"""),2528.92)</f>
        <v>2528.92</v>
      </c>
      <c r="Z1758" s="6" t="str">
        <f t="shared" ca="1" si="495"/>
        <v>202212</v>
      </c>
      <c r="AA1758" s="6">
        <f t="shared" ca="1" si="496"/>
        <v>2022</v>
      </c>
      <c r="AB1758" s="6">
        <f t="shared" ca="1" si="497"/>
        <v>12</v>
      </c>
      <c r="AC1758" s="68">
        <f ca="1">IFERROR(__xludf.DUMMYFUNCTION("""COMPUTED_VALUE"""),44907.9986111111)</f>
        <v>44907.998611111099</v>
      </c>
      <c r="AD1758" s="6">
        <f ca="1">IFERROR(__xludf.DUMMYFUNCTION("""COMPUTED_VALUE"""),1305.92)</f>
        <v>1305.92</v>
      </c>
      <c r="AH1758" s="6" t="str">
        <f t="shared" ca="1" si="498"/>
        <v>202210</v>
      </c>
      <c r="AI1758" s="6">
        <f t="shared" ca="1" si="499"/>
        <v>2022</v>
      </c>
      <c r="AJ1758" s="6">
        <f t="shared" ca="1" si="500"/>
        <v>10</v>
      </c>
      <c r="AK1758" s="68">
        <f ca="1">IFERROR(__xludf.DUMMYFUNCTION("""COMPUTED_VALUE"""),44851.9986111111)</f>
        <v>44851.998611111099</v>
      </c>
      <c r="AL1758" s="6">
        <f ca="1">IFERROR(__xludf.DUMMYFUNCTION("""COMPUTED_VALUE"""),19548.49)</f>
        <v>19548.490000000002</v>
      </c>
      <c r="AP1758" s="6" t="str">
        <f t="shared" ca="1" si="501"/>
        <v>20251</v>
      </c>
      <c r="AQ1758" s="6">
        <f t="shared" ca="1" si="502"/>
        <v>2025</v>
      </c>
      <c r="AR1758" s="6">
        <f t="shared" ca="1" si="503"/>
        <v>1</v>
      </c>
      <c r="AS1758" s="68">
        <f ca="1">IFERROR(__xludf.DUMMYFUNCTION("""COMPUTED_VALUE"""),45659.9986111111)</f>
        <v>45659.998611111099</v>
      </c>
      <c r="AT1758" s="6">
        <f ca="1">IFERROR(__xludf.DUMMYFUNCTION("""COMPUTED_VALUE"""),2669)</f>
        <v>2669</v>
      </c>
    </row>
    <row r="1759" spans="2:46" x14ac:dyDescent="0.35">
      <c r="B1759" s="6" t="str">
        <f t="shared" ca="1" si="486"/>
        <v>202412</v>
      </c>
      <c r="C1759" s="6">
        <f t="shared" ca="1" si="487"/>
        <v>2024</v>
      </c>
      <c r="D1759" s="6">
        <f t="shared" ca="1" si="488"/>
        <v>12</v>
      </c>
      <c r="E1759" s="68">
        <f ca="1">IFERROR(__xludf.DUMMYFUNCTION("""COMPUTED_VALUE"""),45652.6666666666)</f>
        <v>45652.666666666599</v>
      </c>
      <c r="F1759" s="6">
        <f ca="1">IFERROR(__xludf.DUMMYFUNCTION("""COMPUTED_VALUE"""),6037.59)</f>
        <v>6037.59</v>
      </c>
      <c r="J1759" s="6" t="str">
        <f t="shared" ca="1" si="489"/>
        <v>202412</v>
      </c>
      <c r="K1759" s="6">
        <f t="shared" ca="1" si="490"/>
        <v>2024</v>
      </c>
      <c r="L1759" s="6">
        <f t="shared" ca="1" si="491"/>
        <v>12</v>
      </c>
      <c r="M1759" s="68">
        <f ca="1">IFERROR(__xludf.DUMMYFUNCTION("""COMPUTED_VALUE"""),45644.6666666666)</f>
        <v>45644.666666666599</v>
      </c>
      <c r="N1759" s="6">
        <f ca="1">IFERROR(__xludf.DUMMYFUNCTION("""COMPUTED_VALUE"""),19392.69)</f>
        <v>19392.689999999999</v>
      </c>
      <c r="R1759" s="6" t="str">
        <f t="shared" ca="1" si="492"/>
        <v>20253</v>
      </c>
      <c r="S1759" s="6">
        <f t="shared" ca="1" si="493"/>
        <v>2025</v>
      </c>
      <c r="T1759" s="6">
        <f t="shared" ca="1" si="494"/>
        <v>3</v>
      </c>
      <c r="U1759" s="68">
        <f ca="1">IFERROR(__xludf.DUMMYFUNCTION("""COMPUTED_VALUE"""),45721.6458333333)</f>
        <v>45721.645833333299</v>
      </c>
      <c r="V1759" s="6">
        <f ca="1">IFERROR(__xludf.DUMMYFUNCTION("""COMPUTED_VALUE"""),2558.13)</f>
        <v>2558.13</v>
      </c>
      <c r="Z1759" s="6" t="str">
        <f t="shared" ca="1" si="495"/>
        <v>202212</v>
      </c>
      <c r="AA1759" s="6">
        <f t="shared" ca="1" si="496"/>
        <v>2022</v>
      </c>
      <c r="AB1759" s="6">
        <f t="shared" ca="1" si="497"/>
        <v>12</v>
      </c>
      <c r="AC1759" s="68">
        <f ca="1">IFERROR(__xludf.DUMMYFUNCTION("""COMPUTED_VALUE"""),44908.9986111111)</f>
        <v>44908.998611111099</v>
      </c>
      <c r="AD1759" s="6">
        <f ca="1">IFERROR(__xludf.DUMMYFUNCTION("""COMPUTED_VALUE"""),1288.98)</f>
        <v>1288.98</v>
      </c>
      <c r="AH1759" s="6" t="str">
        <f t="shared" ca="1" si="498"/>
        <v>202210</v>
      </c>
      <c r="AI1759" s="6">
        <f t="shared" ca="1" si="499"/>
        <v>2022</v>
      </c>
      <c r="AJ1759" s="6">
        <f t="shared" ca="1" si="500"/>
        <v>10</v>
      </c>
      <c r="AK1759" s="68">
        <f ca="1">IFERROR(__xludf.DUMMYFUNCTION("""COMPUTED_VALUE"""),44852.9986111111)</f>
        <v>44852.998611111099</v>
      </c>
      <c r="AL1759" s="6">
        <f ca="1">IFERROR(__xludf.DUMMYFUNCTION("""COMPUTED_VALUE"""),19328.7)</f>
        <v>19328.7</v>
      </c>
      <c r="AP1759" s="6" t="str">
        <f t="shared" ca="1" si="501"/>
        <v>20251</v>
      </c>
      <c r="AQ1759" s="6">
        <f t="shared" ca="1" si="502"/>
        <v>2025</v>
      </c>
      <c r="AR1759" s="6">
        <f t="shared" ca="1" si="503"/>
        <v>1</v>
      </c>
      <c r="AS1759" s="68">
        <f ca="1">IFERROR(__xludf.DUMMYFUNCTION("""COMPUTED_VALUE"""),45660.9986111111)</f>
        <v>45660.998611111099</v>
      </c>
      <c r="AT1759" s="6">
        <f ca="1">IFERROR(__xludf.DUMMYFUNCTION("""COMPUTED_VALUE"""),2654.7)</f>
        <v>2654.7</v>
      </c>
    </row>
    <row r="1760" spans="2:46" x14ac:dyDescent="0.35">
      <c r="B1760" s="6" t="str">
        <f t="shared" ca="1" si="486"/>
        <v>202412</v>
      </c>
      <c r="C1760" s="6">
        <f t="shared" ca="1" si="487"/>
        <v>2024</v>
      </c>
      <c r="D1760" s="6">
        <f t="shared" ca="1" si="488"/>
        <v>12</v>
      </c>
      <c r="E1760" s="68">
        <f ca="1">IFERROR(__xludf.DUMMYFUNCTION("""COMPUTED_VALUE"""),45653.6666666666)</f>
        <v>45653.666666666599</v>
      </c>
      <c r="F1760" s="6">
        <f ca="1">IFERROR(__xludf.DUMMYFUNCTION("""COMPUTED_VALUE"""),5970.84)</f>
        <v>5970.84</v>
      </c>
      <c r="J1760" s="6" t="str">
        <f t="shared" ca="1" si="489"/>
        <v>202412</v>
      </c>
      <c r="K1760" s="6">
        <f t="shared" ca="1" si="490"/>
        <v>2024</v>
      </c>
      <c r="L1760" s="6">
        <f t="shared" ca="1" si="491"/>
        <v>12</v>
      </c>
      <c r="M1760" s="68">
        <f ca="1">IFERROR(__xludf.DUMMYFUNCTION("""COMPUTED_VALUE"""),45645.6666666666)</f>
        <v>45645.666666666599</v>
      </c>
      <c r="N1760" s="6">
        <f ca="1">IFERROR(__xludf.DUMMYFUNCTION("""COMPUTED_VALUE"""),19372.77)</f>
        <v>19372.77</v>
      </c>
      <c r="R1760" s="6" t="str">
        <f t="shared" ca="1" si="492"/>
        <v>20253</v>
      </c>
      <c r="S1760" s="6">
        <f t="shared" ca="1" si="493"/>
        <v>2025</v>
      </c>
      <c r="T1760" s="6">
        <f t="shared" ca="1" si="494"/>
        <v>3</v>
      </c>
      <c r="U1760" s="68">
        <f ca="1">IFERROR(__xludf.DUMMYFUNCTION("""COMPUTED_VALUE"""),45722.6458333333)</f>
        <v>45722.645833333299</v>
      </c>
      <c r="V1760" s="6">
        <f ca="1">IFERROR(__xludf.DUMMYFUNCTION("""COMPUTED_VALUE"""),2576.16)</f>
        <v>2576.16</v>
      </c>
      <c r="Z1760" s="6" t="str">
        <f t="shared" ca="1" si="495"/>
        <v>202212</v>
      </c>
      <c r="AA1760" s="6">
        <f t="shared" ca="1" si="496"/>
        <v>2022</v>
      </c>
      <c r="AB1760" s="6">
        <f t="shared" ca="1" si="497"/>
        <v>12</v>
      </c>
      <c r="AC1760" s="68">
        <f ca="1">IFERROR(__xludf.DUMMYFUNCTION("""COMPUTED_VALUE"""),44909.9986111111)</f>
        <v>44909.998611111099</v>
      </c>
      <c r="AD1760" s="6">
        <f ca="1">IFERROR(__xludf.DUMMYFUNCTION("""COMPUTED_VALUE"""),1295.68)</f>
        <v>1295.68</v>
      </c>
      <c r="AH1760" s="6" t="str">
        <f t="shared" ca="1" si="498"/>
        <v>202210</v>
      </c>
      <c r="AI1760" s="6">
        <f t="shared" ca="1" si="499"/>
        <v>2022</v>
      </c>
      <c r="AJ1760" s="6">
        <f t="shared" ca="1" si="500"/>
        <v>10</v>
      </c>
      <c r="AK1760" s="68">
        <f ca="1">IFERROR(__xludf.DUMMYFUNCTION("""COMPUTED_VALUE"""),44853.9986111111)</f>
        <v>44853.998611111099</v>
      </c>
      <c r="AL1760" s="6">
        <f ca="1">IFERROR(__xludf.DUMMYFUNCTION("""COMPUTED_VALUE"""),19124.24)</f>
        <v>19124.240000000002</v>
      </c>
      <c r="AP1760" s="6" t="str">
        <f t="shared" ca="1" si="501"/>
        <v>20251</v>
      </c>
      <c r="AQ1760" s="6">
        <f t="shared" ca="1" si="502"/>
        <v>2025</v>
      </c>
      <c r="AR1760" s="6">
        <f t="shared" ca="1" si="503"/>
        <v>1</v>
      </c>
      <c r="AS1760" s="68">
        <f ca="1">IFERROR(__xludf.DUMMYFUNCTION("""COMPUTED_VALUE"""),45663.9986111111)</f>
        <v>45663.998611111099</v>
      </c>
      <c r="AT1760" s="6">
        <f ca="1">IFERROR(__xludf.DUMMYFUNCTION("""COMPUTED_VALUE"""),2647.4)</f>
        <v>2647.4</v>
      </c>
    </row>
    <row r="1761" spans="2:46" x14ac:dyDescent="0.35">
      <c r="B1761" s="6" t="str">
        <f t="shared" ca="1" si="486"/>
        <v>202412</v>
      </c>
      <c r="C1761" s="6">
        <f t="shared" ca="1" si="487"/>
        <v>2024</v>
      </c>
      <c r="D1761" s="6">
        <f t="shared" ca="1" si="488"/>
        <v>12</v>
      </c>
      <c r="E1761" s="68">
        <f ca="1">IFERROR(__xludf.DUMMYFUNCTION("""COMPUTED_VALUE"""),45656.6666666666)</f>
        <v>45656.666666666599</v>
      </c>
      <c r="F1761" s="6">
        <f ca="1">IFERROR(__xludf.DUMMYFUNCTION("""COMPUTED_VALUE"""),5906.94)</f>
        <v>5906.94</v>
      </c>
      <c r="J1761" s="6" t="str">
        <f t="shared" ca="1" si="489"/>
        <v>202412</v>
      </c>
      <c r="K1761" s="6">
        <f t="shared" ca="1" si="490"/>
        <v>2024</v>
      </c>
      <c r="L1761" s="6">
        <f t="shared" ca="1" si="491"/>
        <v>12</v>
      </c>
      <c r="M1761" s="68">
        <f ca="1">IFERROR(__xludf.DUMMYFUNCTION("""COMPUTED_VALUE"""),45646.6666666666)</f>
        <v>45646.666666666599</v>
      </c>
      <c r="N1761" s="6">
        <f ca="1">IFERROR(__xludf.DUMMYFUNCTION("""COMPUTED_VALUE"""),19572.6)</f>
        <v>19572.599999999999</v>
      </c>
      <c r="R1761" s="6" t="str">
        <f t="shared" ca="1" si="492"/>
        <v>20253</v>
      </c>
      <c r="S1761" s="6">
        <f t="shared" ca="1" si="493"/>
        <v>2025</v>
      </c>
      <c r="T1761" s="6">
        <f t="shared" ca="1" si="494"/>
        <v>3</v>
      </c>
      <c r="U1761" s="68">
        <f ca="1">IFERROR(__xludf.DUMMYFUNCTION("""COMPUTED_VALUE"""),45723.6458333333)</f>
        <v>45723.645833333299</v>
      </c>
      <c r="V1761" s="6">
        <f ca="1">IFERROR(__xludf.DUMMYFUNCTION("""COMPUTED_VALUE"""),2563.48)</f>
        <v>2563.48</v>
      </c>
      <c r="Z1761" s="6" t="str">
        <f t="shared" ca="1" si="495"/>
        <v>202212</v>
      </c>
      <c r="AA1761" s="6">
        <f t="shared" ca="1" si="496"/>
        <v>2022</v>
      </c>
      <c r="AB1761" s="6">
        <f t="shared" ca="1" si="497"/>
        <v>12</v>
      </c>
      <c r="AC1761" s="68">
        <f ca="1">IFERROR(__xludf.DUMMYFUNCTION("""COMPUTED_VALUE"""),44910.9986111111)</f>
        <v>44910.998611111099</v>
      </c>
      <c r="AD1761" s="6">
        <f ca="1">IFERROR(__xludf.DUMMYFUNCTION("""COMPUTED_VALUE"""),1317.1)</f>
        <v>1317.1</v>
      </c>
      <c r="AH1761" s="6" t="str">
        <f t="shared" ca="1" si="498"/>
        <v>202210</v>
      </c>
      <c r="AI1761" s="6">
        <f t="shared" ca="1" si="499"/>
        <v>2022</v>
      </c>
      <c r="AJ1761" s="6">
        <f t="shared" ca="1" si="500"/>
        <v>10</v>
      </c>
      <c r="AK1761" s="68">
        <f ca="1">IFERROR(__xludf.DUMMYFUNCTION("""COMPUTED_VALUE"""),44854.9986111111)</f>
        <v>44854.998611111099</v>
      </c>
      <c r="AL1761" s="6">
        <f ca="1">IFERROR(__xludf.DUMMYFUNCTION("""COMPUTED_VALUE"""),19042.79)</f>
        <v>19042.79</v>
      </c>
      <c r="AP1761" s="6" t="str">
        <f t="shared" ca="1" si="501"/>
        <v>20251</v>
      </c>
      <c r="AQ1761" s="6">
        <f t="shared" ca="1" si="502"/>
        <v>2025</v>
      </c>
      <c r="AR1761" s="6">
        <f t="shared" ca="1" si="503"/>
        <v>1</v>
      </c>
      <c r="AS1761" s="68">
        <f ca="1">IFERROR(__xludf.DUMMYFUNCTION("""COMPUTED_VALUE"""),45664.9986111111)</f>
        <v>45664.998611111099</v>
      </c>
      <c r="AT1761" s="6">
        <f ca="1">IFERROR(__xludf.DUMMYFUNCTION("""COMPUTED_VALUE"""),2665.4)</f>
        <v>2665.4</v>
      </c>
    </row>
    <row r="1762" spans="2:46" x14ac:dyDescent="0.35">
      <c r="B1762" s="6" t="str">
        <f t="shared" ca="1" si="486"/>
        <v>202412</v>
      </c>
      <c r="C1762" s="6">
        <f t="shared" ca="1" si="487"/>
        <v>2024</v>
      </c>
      <c r="D1762" s="6">
        <f t="shared" ca="1" si="488"/>
        <v>12</v>
      </c>
      <c r="E1762" s="68">
        <f ca="1">IFERROR(__xludf.DUMMYFUNCTION("""COMPUTED_VALUE"""),45657.6666666666)</f>
        <v>45657.666666666599</v>
      </c>
      <c r="F1762" s="6">
        <f ca="1">IFERROR(__xludf.DUMMYFUNCTION("""COMPUTED_VALUE"""),5881.63)</f>
        <v>5881.63</v>
      </c>
      <c r="J1762" s="6" t="str">
        <f t="shared" ca="1" si="489"/>
        <v>202412</v>
      </c>
      <c r="K1762" s="6">
        <f t="shared" ca="1" si="490"/>
        <v>2024</v>
      </c>
      <c r="L1762" s="6">
        <f t="shared" ca="1" si="491"/>
        <v>12</v>
      </c>
      <c r="M1762" s="68">
        <f ca="1">IFERROR(__xludf.DUMMYFUNCTION("""COMPUTED_VALUE"""),45649.6666666666)</f>
        <v>45649.666666666599</v>
      </c>
      <c r="N1762" s="6">
        <f ca="1">IFERROR(__xludf.DUMMYFUNCTION("""COMPUTED_VALUE"""),19764.88)</f>
        <v>19764.88</v>
      </c>
      <c r="R1762" s="6" t="str">
        <f t="shared" ca="1" si="492"/>
        <v>20253</v>
      </c>
      <c r="S1762" s="6">
        <f t="shared" ca="1" si="493"/>
        <v>2025</v>
      </c>
      <c r="T1762" s="6">
        <f t="shared" ca="1" si="494"/>
        <v>3</v>
      </c>
      <c r="U1762" s="68">
        <f ca="1">IFERROR(__xludf.DUMMYFUNCTION("""COMPUTED_VALUE"""),45726.6458333333)</f>
        <v>45726.645833333299</v>
      </c>
      <c r="V1762" s="6">
        <f ca="1">IFERROR(__xludf.DUMMYFUNCTION("""COMPUTED_VALUE"""),2570.39)</f>
        <v>2570.39</v>
      </c>
      <c r="Z1762" s="6" t="str">
        <f t="shared" ca="1" si="495"/>
        <v>202212</v>
      </c>
      <c r="AA1762" s="6">
        <f t="shared" ca="1" si="496"/>
        <v>2022</v>
      </c>
      <c r="AB1762" s="6">
        <f t="shared" ca="1" si="497"/>
        <v>12</v>
      </c>
      <c r="AC1762" s="68">
        <f ca="1">IFERROR(__xludf.DUMMYFUNCTION("""COMPUTED_VALUE"""),44911.9986111111)</f>
        <v>44911.998611111099</v>
      </c>
      <c r="AD1762" s="6">
        <f ca="1">IFERROR(__xludf.DUMMYFUNCTION("""COMPUTED_VALUE"""),1308.96)</f>
        <v>1308.96</v>
      </c>
      <c r="AH1762" s="6" t="str">
        <f t="shared" ca="1" si="498"/>
        <v>202210</v>
      </c>
      <c r="AI1762" s="6">
        <f t="shared" ca="1" si="499"/>
        <v>2022</v>
      </c>
      <c r="AJ1762" s="6">
        <f t="shared" ca="1" si="500"/>
        <v>10</v>
      </c>
      <c r="AK1762" s="68">
        <f ca="1">IFERROR(__xludf.DUMMYFUNCTION("""COMPUTED_VALUE"""),44855.9986111111)</f>
        <v>44855.998611111099</v>
      </c>
      <c r="AL1762" s="6">
        <f ca="1">IFERROR(__xludf.DUMMYFUNCTION("""COMPUTED_VALUE"""),19163.11)</f>
        <v>19163.11</v>
      </c>
      <c r="AP1762" s="6" t="str">
        <f t="shared" ca="1" si="501"/>
        <v>20251</v>
      </c>
      <c r="AQ1762" s="6">
        <f t="shared" ca="1" si="502"/>
        <v>2025</v>
      </c>
      <c r="AR1762" s="6">
        <f t="shared" ca="1" si="503"/>
        <v>1</v>
      </c>
      <c r="AS1762" s="68">
        <f ca="1">IFERROR(__xludf.DUMMYFUNCTION("""COMPUTED_VALUE"""),45665.9986111111)</f>
        <v>45665.998611111099</v>
      </c>
      <c r="AT1762" s="6">
        <f ca="1">IFERROR(__xludf.DUMMYFUNCTION("""COMPUTED_VALUE"""),2672.4)</f>
        <v>2672.4</v>
      </c>
    </row>
    <row r="1763" spans="2:46" x14ac:dyDescent="0.35">
      <c r="B1763" s="6" t="str">
        <f t="shared" ca="1" si="486"/>
        <v>20251</v>
      </c>
      <c r="C1763" s="6">
        <f t="shared" ca="1" si="487"/>
        <v>2025</v>
      </c>
      <c r="D1763" s="6">
        <f t="shared" ca="1" si="488"/>
        <v>1</v>
      </c>
      <c r="E1763" s="68">
        <f ca="1">IFERROR(__xludf.DUMMYFUNCTION("""COMPUTED_VALUE"""),45659.6666666666)</f>
        <v>45659.666666666599</v>
      </c>
      <c r="F1763" s="6">
        <f ca="1">IFERROR(__xludf.DUMMYFUNCTION("""COMPUTED_VALUE"""),5868.55)</f>
        <v>5868.55</v>
      </c>
      <c r="J1763" s="6" t="str">
        <f t="shared" ca="1" si="489"/>
        <v>202412</v>
      </c>
      <c r="K1763" s="6">
        <f t="shared" ca="1" si="490"/>
        <v>2024</v>
      </c>
      <c r="L1763" s="6">
        <f t="shared" ca="1" si="491"/>
        <v>12</v>
      </c>
      <c r="M1763" s="68">
        <f ca="1">IFERROR(__xludf.DUMMYFUNCTION("""COMPUTED_VALUE"""),45650.5451388888)</f>
        <v>45650.545138888803</v>
      </c>
      <c r="N1763" s="6">
        <f ca="1">IFERROR(__xludf.DUMMYFUNCTION("""COMPUTED_VALUE"""),20031.13)</f>
        <v>20031.13</v>
      </c>
      <c r="R1763" s="6" t="str">
        <f t="shared" ca="1" si="492"/>
        <v>20253</v>
      </c>
      <c r="S1763" s="6">
        <f t="shared" ca="1" si="493"/>
        <v>2025</v>
      </c>
      <c r="T1763" s="6">
        <f t="shared" ca="1" si="494"/>
        <v>3</v>
      </c>
      <c r="U1763" s="68">
        <f ca="1">IFERROR(__xludf.DUMMYFUNCTION("""COMPUTED_VALUE"""),45727.6458333333)</f>
        <v>45727.645833333299</v>
      </c>
      <c r="V1763" s="6">
        <f ca="1">IFERROR(__xludf.DUMMYFUNCTION("""COMPUTED_VALUE"""),2537.6)</f>
        <v>2537.6</v>
      </c>
      <c r="Z1763" s="6" t="str">
        <f t="shared" ca="1" si="495"/>
        <v>202212</v>
      </c>
      <c r="AA1763" s="6">
        <f t="shared" ca="1" si="496"/>
        <v>2022</v>
      </c>
      <c r="AB1763" s="6">
        <f t="shared" ca="1" si="497"/>
        <v>12</v>
      </c>
      <c r="AC1763" s="68">
        <f ca="1">IFERROR(__xludf.DUMMYFUNCTION("""COMPUTED_VALUE"""),44912.9986111111)</f>
        <v>44912.998611111099</v>
      </c>
      <c r="AD1763" s="6">
        <f ca="1">IFERROR(__xludf.DUMMYFUNCTION("""COMPUTED_VALUE"""),1308.86)</f>
        <v>1308.8599999999999</v>
      </c>
      <c r="AH1763" s="6" t="str">
        <f t="shared" ca="1" si="498"/>
        <v>202210</v>
      </c>
      <c r="AI1763" s="6">
        <f t="shared" ca="1" si="499"/>
        <v>2022</v>
      </c>
      <c r="AJ1763" s="6">
        <f t="shared" ca="1" si="500"/>
        <v>10</v>
      </c>
      <c r="AK1763" s="68">
        <f ca="1">IFERROR(__xludf.DUMMYFUNCTION("""COMPUTED_VALUE"""),44856.9986111111)</f>
        <v>44856.998611111099</v>
      </c>
      <c r="AL1763" s="6">
        <f ca="1">IFERROR(__xludf.DUMMYFUNCTION("""COMPUTED_VALUE"""),19205.42)</f>
        <v>19205.419999999998</v>
      </c>
      <c r="AP1763" s="6" t="str">
        <f t="shared" ca="1" si="501"/>
        <v>20251</v>
      </c>
      <c r="AQ1763" s="6">
        <f t="shared" ca="1" si="502"/>
        <v>2025</v>
      </c>
      <c r="AR1763" s="6">
        <f t="shared" ca="1" si="503"/>
        <v>1</v>
      </c>
      <c r="AS1763" s="68">
        <f ca="1">IFERROR(__xludf.DUMMYFUNCTION("""COMPUTED_VALUE"""),45667.9986111111)</f>
        <v>45667.998611111099</v>
      </c>
      <c r="AT1763" s="6">
        <f ca="1">IFERROR(__xludf.DUMMYFUNCTION("""COMPUTED_VALUE"""),2715)</f>
        <v>2715</v>
      </c>
    </row>
    <row r="1764" spans="2:46" x14ac:dyDescent="0.35">
      <c r="B1764" s="6" t="str">
        <f t="shared" ca="1" si="486"/>
        <v>20251</v>
      </c>
      <c r="C1764" s="6">
        <f t="shared" ca="1" si="487"/>
        <v>2025</v>
      </c>
      <c r="D1764" s="6">
        <f t="shared" ca="1" si="488"/>
        <v>1</v>
      </c>
      <c r="E1764" s="68">
        <f ca="1">IFERROR(__xludf.DUMMYFUNCTION("""COMPUTED_VALUE"""),45660.6666666666)</f>
        <v>45660.666666666599</v>
      </c>
      <c r="F1764" s="6">
        <f ca="1">IFERROR(__xludf.DUMMYFUNCTION("""COMPUTED_VALUE"""),5942.47)</f>
        <v>5942.47</v>
      </c>
      <c r="J1764" s="6" t="str">
        <f t="shared" ca="1" si="489"/>
        <v>202412</v>
      </c>
      <c r="K1764" s="6">
        <f t="shared" ca="1" si="490"/>
        <v>2024</v>
      </c>
      <c r="L1764" s="6">
        <f t="shared" ca="1" si="491"/>
        <v>12</v>
      </c>
      <c r="M1764" s="68">
        <f ca="1">IFERROR(__xludf.DUMMYFUNCTION("""COMPUTED_VALUE"""),45652.6666666666)</f>
        <v>45652.666666666599</v>
      </c>
      <c r="N1764" s="6">
        <f ca="1">IFERROR(__xludf.DUMMYFUNCTION("""COMPUTED_VALUE"""),20020.36)</f>
        <v>20020.36</v>
      </c>
      <c r="R1764" s="6" t="str">
        <f t="shared" ca="1" si="492"/>
        <v>20253</v>
      </c>
      <c r="S1764" s="6">
        <f t="shared" ca="1" si="493"/>
        <v>2025</v>
      </c>
      <c r="T1764" s="6">
        <f t="shared" ca="1" si="494"/>
        <v>3</v>
      </c>
      <c r="U1764" s="68">
        <f ca="1">IFERROR(__xludf.DUMMYFUNCTION("""COMPUTED_VALUE"""),45728.6458333333)</f>
        <v>45728.645833333299</v>
      </c>
      <c r="V1764" s="6">
        <f ca="1">IFERROR(__xludf.DUMMYFUNCTION("""COMPUTED_VALUE"""),2574.82)</f>
        <v>2574.8200000000002</v>
      </c>
      <c r="Z1764" s="6" t="str">
        <f t="shared" ca="1" si="495"/>
        <v>202212</v>
      </c>
      <c r="AA1764" s="6">
        <f t="shared" ca="1" si="496"/>
        <v>2022</v>
      </c>
      <c r="AB1764" s="6">
        <f t="shared" ca="1" si="497"/>
        <v>12</v>
      </c>
      <c r="AC1764" s="68">
        <f ca="1">IFERROR(__xludf.DUMMYFUNCTION("""COMPUTED_VALUE"""),44913.9986111111)</f>
        <v>44913.998611111099</v>
      </c>
      <c r="AD1764" s="6">
        <f ca="1">IFERROR(__xludf.DUMMYFUNCTION("""COMPUTED_VALUE"""),1308.86)</f>
        <v>1308.8599999999999</v>
      </c>
      <c r="AH1764" s="6" t="str">
        <f t="shared" ca="1" si="498"/>
        <v>202210</v>
      </c>
      <c r="AI1764" s="6">
        <f t="shared" ca="1" si="499"/>
        <v>2022</v>
      </c>
      <c r="AJ1764" s="6">
        <f t="shared" ca="1" si="500"/>
        <v>10</v>
      </c>
      <c r="AK1764" s="68">
        <f ca="1">IFERROR(__xludf.DUMMYFUNCTION("""COMPUTED_VALUE"""),44857.9986111111)</f>
        <v>44857.998611111099</v>
      </c>
      <c r="AL1764" s="6">
        <f ca="1">IFERROR(__xludf.DUMMYFUNCTION("""COMPUTED_VALUE"""),19567.69)</f>
        <v>19567.689999999999</v>
      </c>
      <c r="AP1764" s="6" t="str">
        <f t="shared" ca="1" si="501"/>
        <v>20251</v>
      </c>
      <c r="AQ1764" s="6">
        <f t="shared" ca="1" si="502"/>
        <v>2025</v>
      </c>
      <c r="AR1764" s="6">
        <f t="shared" ca="1" si="503"/>
        <v>1</v>
      </c>
      <c r="AS1764" s="68">
        <f ca="1">IFERROR(__xludf.DUMMYFUNCTION("""COMPUTED_VALUE"""),45670.9986111111)</f>
        <v>45670.998611111099</v>
      </c>
      <c r="AT1764" s="6">
        <f ca="1">IFERROR(__xludf.DUMMYFUNCTION("""COMPUTED_VALUE"""),2678.6)</f>
        <v>2678.6</v>
      </c>
    </row>
    <row r="1765" spans="2:46" x14ac:dyDescent="0.35">
      <c r="B1765" s="6" t="str">
        <f t="shared" ca="1" si="486"/>
        <v>20251</v>
      </c>
      <c r="C1765" s="6">
        <f t="shared" ca="1" si="487"/>
        <v>2025</v>
      </c>
      <c r="D1765" s="6">
        <f t="shared" ca="1" si="488"/>
        <v>1</v>
      </c>
      <c r="E1765" s="68">
        <f ca="1">IFERROR(__xludf.DUMMYFUNCTION("""COMPUTED_VALUE"""),45663.6666666666)</f>
        <v>45663.666666666599</v>
      </c>
      <c r="F1765" s="6">
        <f ca="1">IFERROR(__xludf.DUMMYFUNCTION("""COMPUTED_VALUE"""),5975.38)</f>
        <v>5975.38</v>
      </c>
      <c r="J1765" s="6" t="str">
        <f t="shared" ca="1" si="489"/>
        <v>202412</v>
      </c>
      <c r="K1765" s="6">
        <f t="shared" ca="1" si="490"/>
        <v>2024</v>
      </c>
      <c r="L1765" s="6">
        <f t="shared" ca="1" si="491"/>
        <v>12</v>
      </c>
      <c r="M1765" s="68">
        <f ca="1">IFERROR(__xludf.DUMMYFUNCTION("""COMPUTED_VALUE"""),45653.6666666666)</f>
        <v>45653.666666666599</v>
      </c>
      <c r="N1765" s="6">
        <f ca="1">IFERROR(__xludf.DUMMYFUNCTION("""COMPUTED_VALUE"""),19722.03)</f>
        <v>19722.03</v>
      </c>
      <c r="R1765" s="6" t="str">
        <f t="shared" ca="1" si="492"/>
        <v>20253</v>
      </c>
      <c r="S1765" s="6">
        <f t="shared" ca="1" si="493"/>
        <v>2025</v>
      </c>
      <c r="T1765" s="6">
        <f t="shared" ca="1" si="494"/>
        <v>3</v>
      </c>
      <c r="U1765" s="68">
        <f ca="1">IFERROR(__xludf.DUMMYFUNCTION("""COMPUTED_VALUE"""),45729.6458333333)</f>
        <v>45729.645833333299</v>
      </c>
      <c r="V1765" s="6">
        <f ca="1">IFERROR(__xludf.DUMMYFUNCTION("""COMPUTED_VALUE"""),2573.64)</f>
        <v>2573.64</v>
      </c>
      <c r="Z1765" s="6" t="str">
        <f t="shared" ca="1" si="495"/>
        <v>202212</v>
      </c>
      <c r="AA1765" s="6">
        <f t="shared" ca="1" si="496"/>
        <v>2022</v>
      </c>
      <c r="AB1765" s="6">
        <f t="shared" ca="1" si="497"/>
        <v>12</v>
      </c>
      <c r="AC1765" s="68">
        <f ca="1">IFERROR(__xludf.DUMMYFUNCTION("""COMPUTED_VALUE"""),44914.9986111111)</f>
        <v>44914.998611111099</v>
      </c>
      <c r="AD1765" s="6">
        <f ca="1">IFERROR(__xludf.DUMMYFUNCTION("""COMPUTED_VALUE"""),1301.33)</f>
        <v>1301.33</v>
      </c>
      <c r="AH1765" s="6" t="str">
        <f t="shared" ca="1" si="498"/>
        <v>202210</v>
      </c>
      <c r="AI1765" s="6">
        <f t="shared" ca="1" si="499"/>
        <v>2022</v>
      </c>
      <c r="AJ1765" s="6">
        <f t="shared" ca="1" si="500"/>
        <v>10</v>
      </c>
      <c r="AK1765" s="68">
        <f ca="1">IFERROR(__xludf.DUMMYFUNCTION("""COMPUTED_VALUE"""),44858.9986111111)</f>
        <v>44858.998611111099</v>
      </c>
      <c r="AL1765" s="6">
        <f ca="1">IFERROR(__xludf.DUMMYFUNCTION("""COMPUTED_VALUE"""),19328.92)</f>
        <v>19328.919999999998</v>
      </c>
      <c r="AP1765" s="6" t="str">
        <f t="shared" ca="1" si="501"/>
        <v>20251</v>
      </c>
      <c r="AQ1765" s="6">
        <f t="shared" ca="1" si="502"/>
        <v>2025</v>
      </c>
      <c r="AR1765" s="6">
        <f t="shared" ca="1" si="503"/>
        <v>1</v>
      </c>
      <c r="AS1765" s="68">
        <f ca="1">IFERROR(__xludf.DUMMYFUNCTION("""COMPUTED_VALUE"""),45671.9986111111)</f>
        <v>45671.998611111099</v>
      </c>
      <c r="AT1765" s="6">
        <f ca="1">IFERROR(__xludf.DUMMYFUNCTION("""COMPUTED_VALUE"""),2682.3)</f>
        <v>2682.3</v>
      </c>
    </row>
    <row r="1766" spans="2:46" x14ac:dyDescent="0.35">
      <c r="B1766" s="6" t="str">
        <f t="shared" ca="1" si="486"/>
        <v>20251</v>
      </c>
      <c r="C1766" s="6">
        <f t="shared" ca="1" si="487"/>
        <v>2025</v>
      </c>
      <c r="D1766" s="6">
        <f t="shared" ca="1" si="488"/>
        <v>1</v>
      </c>
      <c r="E1766" s="68">
        <f ca="1">IFERROR(__xludf.DUMMYFUNCTION("""COMPUTED_VALUE"""),45664.6666666666)</f>
        <v>45664.666666666599</v>
      </c>
      <c r="F1766" s="6">
        <f ca="1">IFERROR(__xludf.DUMMYFUNCTION("""COMPUTED_VALUE"""),5909.03)</f>
        <v>5909.03</v>
      </c>
      <c r="J1766" s="6" t="str">
        <f t="shared" ca="1" si="489"/>
        <v>202412</v>
      </c>
      <c r="K1766" s="6">
        <f t="shared" ca="1" si="490"/>
        <v>2024</v>
      </c>
      <c r="L1766" s="6">
        <f t="shared" ca="1" si="491"/>
        <v>12</v>
      </c>
      <c r="M1766" s="68">
        <f ca="1">IFERROR(__xludf.DUMMYFUNCTION("""COMPUTED_VALUE"""),45656.6666666666)</f>
        <v>45656.666666666599</v>
      </c>
      <c r="N1766" s="6">
        <f ca="1">IFERROR(__xludf.DUMMYFUNCTION("""COMPUTED_VALUE"""),19486.79)</f>
        <v>19486.79</v>
      </c>
      <c r="R1766" s="6" t="str">
        <f t="shared" ca="1" si="492"/>
        <v>20253</v>
      </c>
      <c r="S1766" s="6">
        <f t="shared" ca="1" si="493"/>
        <v>2025</v>
      </c>
      <c r="T1766" s="6">
        <f t="shared" ca="1" si="494"/>
        <v>3</v>
      </c>
      <c r="U1766" s="68">
        <f ca="1">IFERROR(__xludf.DUMMYFUNCTION("""COMPUTED_VALUE"""),45730.6458333333)</f>
        <v>45730.645833333299</v>
      </c>
      <c r="V1766" s="6">
        <f ca="1">IFERROR(__xludf.DUMMYFUNCTION("""COMPUTED_VALUE"""),2566.36)</f>
        <v>2566.36</v>
      </c>
      <c r="Z1766" s="6" t="str">
        <f t="shared" ca="1" si="495"/>
        <v>202212</v>
      </c>
      <c r="AA1766" s="6">
        <f t="shared" ca="1" si="496"/>
        <v>2022</v>
      </c>
      <c r="AB1766" s="6">
        <f t="shared" ca="1" si="497"/>
        <v>12</v>
      </c>
      <c r="AC1766" s="68">
        <f ca="1">IFERROR(__xludf.DUMMYFUNCTION("""COMPUTED_VALUE"""),44915.9986111111)</f>
        <v>44915.998611111099</v>
      </c>
      <c r="AD1766" s="6">
        <f ca="1">IFERROR(__xludf.DUMMYFUNCTION("""COMPUTED_VALUE"""),1283.64)</f>
        <v>1283.6400000000001</v>
      </c>
      <c r="AH1766" s="6" t="str">
        <f t="shared" ca="1" si="498"/>
        <v>202210</v>
      </c>
      <c r="AI1766" s="6">
        <f t="shared" ca="1" si="499"/>
        <v>2022</v>
      </c>
      <c r="AJ1766" s="6">
        <f t="shared" ca="1" si="500"/>
        <v>10</v>
      </c>
      <c r="AK1766" s="68">
        <f ca="1">IFERROR(__xludf.DUMMYFUNCTION("""COMPUTED_VALUE"""),44859.9986111111)</f>
        <v>44859.998611111099</v>
      </c>
      <c r="AL1766" s="6">
        <f ca="1">IFERROR(__xludf.DUMMYFUNCTION("""COMPUTED_VALUE"""),20083.96)</f>
        <v>20083.96</v>
      </c>
      <c r="AP1766" s="6" t="str">
        <f t="shared" ca="1" si="501"/>
        <v>20251</v>
      </c>
      <c r="AQ1766" s="6">
        <f t="shared" ca="1" si="502"/>
        <v>2025</v>
      </c>
      <c r="AR1766" s="6">
        <f t="shared" ca="1" si="503"/>
        <v>1</v>
      </c>
      <c r="AS1766" s="68">
        <f ca="1">IFERROR(__xludf.DUMMYFUNCTION("""COMPUTED_VALUE"""),45672.9986111111)</f>
        <v>45672.998611111099</v>
      </c>
      <c r="AT1766" s="6">
        <f ca="1">IFERROR(__xludf.DUMMYFUNCTION("""COMPUTED_VALUE"""),2717.8)</f>
        <v>2717.8</v>
      </c>
    </row>
    <row r="1767" spans="2:46" x14ac:dyDescent="0.35">
      <c r="B1767" s="6" t="str">
        <f t="shared" ca="1" si="486"/>
        <v>20251</v>
      </c>
      <c r="C1767" s="6">
        <f t="shared" ca="1" si="487"/>
        <v>2025</v>
      </c>
      <c r="D1767" s="6">
        <f t="shared" ca="1" si="488"/>
        <v>1</v>
      </c>
      <c r="E1767" s="68">
        <f ca="1">IFERROR(__xludf.DUMMYFUNCTION("""COMPUTED_VALUE"""),45665.6666666666)</f>
        <v>45665.666666666599</v>
      </c>
      <c r="F1767" s="6">
        <f ca="1">IFERROR(__xludf.DUMMYFUNCTION("""COMPUTED_VALUE"""),5918.25)</f>
        <v>5918.25</v>
      </c>
      <c r="J1767" s="6" t="str">
        <f t="shared" ca="1" si="489"/>
        <v>202412</v>
      </c>
      <c r="K1767" s="6">
        <f t="shared" ca="1" si="490"/>
        <v>2024</v>
      </c>
      <c r="L1767" s="6">
        <f t="shared" ca="1" si="491"/>
        <v>12</v>
      </c>
      <c r="M1767" s="68">
        <f ca="1">IFERROR(__xludf.DUMMYFUNCTION("""COMPUTED_VALUE"""),45657.6666666666)</f>
        <v>45657.666666666599</v>
      </c>
      <c r="N1767" s="6">
        <f ca="1">IFERROR(__xludf.DUMMYFUNCTION("""COMPUTED_VALUE"""),19310.79)</f>
        <v>19310.79</v>
      </c>
      <c r="R1767" s="6" t="str">
        <f t="shared" ca="1" si="492"/>
        <v>20253</v>
      </c>
      <c r="S1767" s="6">
        <f t="shared" ca="1" si="493"/>
        <v>2025</v>
      </c>
      <c r="T1767" s="6">
        <f t="shared" ca="1" si="494"/>
        <v>3</v>
      </c>
      <c r="U1767" s="68">
        <f ca="1">IFERROR(__xludf.DUMMYFUNCTION("""COMPUTED_VALUE"""),45733.6458333333)</f>
        <v>45733.645833333299</v>
      </c>
      <c r="V1767" s="6">
        <f ca="1">IFERROR(__xludf.DUMMYFUNCTION("""COMPUTED_VALUE"""),2610.69)</f>
        <v>2610.69</v>
      </c>
      <c r="Z1767" s="6" t="str">
        <f t="shared" ca="1" si="495"/>
        <v>202212</v>
      </c>
      <c r="AA1767" s="6">
        <f t="shared" ca="1" si="496"/>
        <v>2022</v>
      </c>
      <c r="AB1767" s="6">
        <f t="shared" ca="1" si="497"/>
        <v>12</v>
      </c>
      <c r="AC1767" s="68">
        <f ca="1">IFERROR(__xludf.DUMMYFUNCTION("""COMPUTED_VALUE"""),44916.9986111111)</f>
        <v>44916.998611111099</v>
      </c>
      <c r="AD1767" s="6">
        <f ca="1">IFERROR(__xludf.DUMMYFUNCTION("""COMPUTED_VALUE"""),1280.77)</f>
        <v>1280.77</v>
      </c>
      <c r="AH1767" s="6" t="str">
        <f t="shared" ca="1" si="498"/>
        <v>202210</v>
      </c>
      <c r="AI1767" s="6">
        <f t="shared" ca="1" si="499"/>
        <v>2022</v>
      </c>
      <c r="AJ1767" s="6">
        <f t="shared" ca="1" si="500"/>
        <v>10</v>
      </c>
      <c r="AK1767" s="68">
        <f ca="1">IFERROR(__xludf.DUMMYFUNCTION("""COMPUTED_VALUE"""),44860.9986111111)</f>
        <v>44860.998611111099</v>
      </c>
      <c r="AL1767" s="6">
        <f ca="1">IFERROR(__xludf.DUMMYFUNCTION("""COMPUTED_VALUE"""),20775.2)</f>
        <v>20775.2</v>
      </c>
      <c r="AP1767" s="6" t="str">
        <f t="shared" ca="1" si="501"/>
        <v>20251</v>
      </c>
      <c r="AQ1767" s="6">
        <f t="shared" ca="1" si="502"/>
        <v>2025</v>
      </c>
      <c r="AR1767" s="6">
        <f t="shared" ca="1" si="503"/>
        <v>1</v>
      </c>
      <c r="AS1767" s="68">
        <f ca="1">IFERROR(__xludf.DUMMYFUNCTION("""COMPUTED_VALUE"""),45673.9986111111)</f>
        <v>45673.998611111099</v>
      </c>
      <c r="AT1767" s="6">
        <f ca="1">IFERROR(__xludf.DUMMYFUNCTION("""COMPUTED_VALUE"""),2750.9)</f>
        <v>2750.9</v>
      </c>
    </row>
    <row r="1768" spans="2:46" x14ac:dyDescent="0.35">
      <c r="B1768" s="6" t="str">
        <f t="shared" ca="1" si="486"/>
        <v>20251</v>
      </c>
      <c r="C1768" s="6">
        <f t="shared" ca="1" si="487"/>
        <v>2025</v>
      </c>
      <c r="D1768" s="6">
        <f t="shared" ca="1" si="488"/>
        <v>1</v>
      </c>
      <c r="E1768" s="68">
        <f ca="1">IFERROR(__xludf.DUMMYFUNCTION("""COMPUTED_VALUE"""),45667.6666666666)</f>
        <v>45667.666666666599</v>
      </c>
      <c r="F1768" s="6">
        <f ca="1">IFERROR(__xludf.DUMMYFUNCTION("""COMPUTED_VALUE"""),5827.04)</f>
        <v>5827.04</v>
      </c>
      <c r="J1768" s="6" t="str">
        <f t="shared" ca="1" si="489"/>
        <v>20251</v>
      </c>
      <c r="K1768" s="6">
        <f t="shared" ca="1" si="490"/>
        <v>2025</v>
      </c>
      <c r="L1768" s="6">
        <f t="shared" ca="1" si="491"/>
        <v>1</v>
      </c>
      <c r="M1768" s="68">
        <f ca="1">IFERROR(__xludf.DUMMYFUNCTION("""COMPUTED_VALUE"""),45659.6666666666)</f>
        <v>45659.666666666599</v>
      </c>
      <c r="N1768" s="6">
        <f ca="1">IFERROR(__xludf.DUMMYFUNCTION("""COMPUTED_VALUE"""),19280.79)</f>
        <v>19280.79</v>
      </c>
      <c r="R1768" s="6" t="str">
        <f t="shared" ca="1" si="492"/>
        <v>20253</v>
      </c>
      <c r="S1768" s="6">
        <f t="shared" ca="1" si="493"/>
        <v>2025</v>
      </c>
      <c r="T1768" s="6">
        <f t="shared" ca="1" si="494"/>
        <v>3</v>
      </c>
      <c r="U1768" s="68">
        <f ca="1">IFERROR(__xludf.DUMMYFUNCTION("""COMPUTED_VALUE"""),45734.6458333333)</f>
        <v>45734.645833333299</v>
      </c>
      <c r="V1768" s="6">
        <f ca="1">IFERROR(__xludf.DUMMYFUNCTION("""COMPUTED_VALUE"""),2612.34)</f>
        <v>2612.34</v>
      </c>
      <c r="Z1768" s="6" t="str">
        <f t="shared" ca="1" si="495"/>
        <v>202212</v>
      </c>
      <c r="AA1768" s="6">
        <f t="shared" ca="1" si="496"/>
        <v>2022</v>
      </c>
      <c r="AB1768" s="6">
        <f t="shared" ca="1" si="497"/>
        <v>12</v>
      </c>
      <c r="AC1768" s="68">
        <f ca="1">IFERROR(__xludf.DUMMYFUNCTION("""COMPUTED_VALUE"""),44917.9986111111)</f>
        <v>44917.998611111099</v>
      </c>
      <c r="AD1768" s="6">
        <f ca="1">IFERROR(__xludf.DUMMYFUNCTION("""COMPUTED_VALUE"""),1290.2)</f>
        <v>1290.2</v>
      </c>
      <c r="AH1768" s="6" t="str">
        <f t="shared" ca="1" si="498"/>
        <v>202210</v>
      </c>
      <c r="AI1768" s="6">
        <f t="shared" ca="1" si="499"/>
        <v>2022</v>
      </c>
      <c r="AJ1768" s="6">
        <f t="shared" ca="1" si="500"/>
        <v>10</v>
      </c>
      <c r="AK1768" s="68">
        <f ca="1">IFERROR(__xludf.DUMMYFUNCTION("""COMPUTED_VALUE"""),44861.9986111111)</f>
        <v>44861.998611111099</v>
      </c>
      <c r="AL1768" s="6">
        <f ca="1">IFERROR(__xludf.DUMMYFUNCTION("""COMPUTED_VALUE"""),20290.61)</f>
        <v>20290.61</v>
      </c>
      <c r="AP1768" s="6" t="str">
        <f t="shared" ca="1" si="501"/>
        <v>20251</v>
      </c>
      <c r="AQ1768" s="6">
        <f t="shared" ca="1" si="502"/>
        <v>2025</v>
      </c>
      <c r="AR1768" s="6">
        <f t="shared" ca="1" si="503"/>
        <v>1</v>
      </c>
      <c r="AS1768" s="68">
        <f ca="1">IFERROR(__xludf.DUMMYFUNCTION("""COMPUTED_VALUE"""),45674.9986111111)</f>
        <v>45674.998611111099</v>
      </c>
      <c r="AT1768" s="6">
        <f ca="1">IFERROR(__xludf.DUMMYFUNCTION("""COMPUTED_VALUE"""),2748.7)</f>
        <v>2748.7</v>
      </c>
    </row>
    <row r="1769" spans="2:46" x14ac:dyDescent="0.35">
      <c r="B1769" s="6" t="str">
        <f t="shared" ca="1" si="486"/>
        <v>20251</v>
      </c>
      <c r="C1769" s="6">
        <f t="shared" ca="1" si="487"/>
        <v>2025</v>
      </c>
      <c r="D1769" s="6">
        <f t="shared" ca="1" si="488"/>
        <v>1</v>
      </c>
      <c r="E1769" s="68">
        <f ca="1">IFERROR(__xludf.DUMMYFUNCTION("""COMPUTED_VALUE"""),45670.6666666666)</f>
        <v>45670.666666666599</v>
      </c>
      <c r="F1769" s="6">
        <f ca="1">IFERROR(__xludf.DUMMYFUNCTION("""COMPUTED_VALUE"""),5836.22)</f>
        <v>5836.22</v>
      </c>
      <c r="J1769" s="6" t="str">
        <f t="shared" ca="1" si="489"/>
        <v>20251</v>
      </c>
      <c r="K1769" s="6">
        <f t="shared" ca="1" si="490"/>
        <v>2025</v>
      </c>
      <c r="L1769" s="6">
        <f t="shared" ca="1" si="491"/>
        <v>1</v>
      </c>
      <c r="M1769" s="68">
        <f ca="1">IFERROR(__xludf.DUMMYFUNCTION("""COMPUTED_VALUE"""),45660.6666666666)</f>
        <v>45660.666666666599</v>
      </c>
      <c r="N1769" s="6">
        <f ca="1">IFERROR(__xludf.DUMMYFUNCTION("""COMPUTED_VALUE"""),19621.68)</f>
        <v>19621.68</v>
      </c>
      <c r="R1769" s="6" t="str">
        <f t="shared" ca="1" si="492"/>
        <v>20253</v>
      </c>
      <c r="S1769" s="6">
        <f t="shared" ca="1" si="493"/>
        <v>2025</v>
      </c>
      <c r="T1769" s="6">
        <f t="shared" ca="1" si="494"/>
        <v>3</v>
      </c>
      <c r="U1769" s="68">
        <f ca="1">IFERROR(__xludf.DUMMYFUNCTION("""COMPUTED_VALUE"""),45735.6458333333)</f>
        <v>45735.645833333299</v>
      </c>
      <c r="V1769" s="6">
        <f ca="1">IFERROR(__xludf.DUMMYFUNCTION("""COMPUTED_VALUE"""),2628.62)</f>
        <v>2628.62</v>
      </c>
      <c r="Z1769" s="6" t="str">
        <f t="shared" ca="1" si="495"/>
        <v>202212</v>
      </c>
      <c r="AA1769" s="6">
        <f t="shared" ca="1" si="496"/>
        <v>2022</v>
      </c>
      <c r="AB1769" s="6">
        <f t="shared" ca="1" si="497"/>
        <v>12</v>
      </c>
      <c r="AC1769" s="68">
        <f ca="1">IFERROR(__xludf.DUMMYFUNCTION("""COMPUTED_VALUE"""),44918.9986111111)</f>
        <v>44918.998611111099</v>
      </c>
      <c r="AD1769" s="6">
        <f ca="1">IFERROR(__xludf.DUMMYFUNCTION("""COMPUTED_VALUE"""),1279.24)</f>
        <v>1279.24</v>
      </c>
      <c r="AH1769" s="6" t="str">
        <f t="shared" ca="1" si="498"/>
        <v>202210</v>
      </c>
      <c r="AI1769" s="6">
        <f t="shared" ca="1" si="499"/>
        <v>2022</v>
      </c>
      <c r="AJ1769" s="6">
        <f t="shared" ca="1" si="500"/>
        <v>10</v>
      </c>
      <c r="AK1769" s="68">
        <f ca="1">IFERROR(__xludf.DUMMYFUNCTION("""COMPUTED_VALUE"""),44862.9986111111)</f>
        <v>44862.998611111099</v>
      </c>
      <c r="AL1769" s="6">
        <f ca="1">IFERROR(__xludf.DUMMYFUNCTION("""COMPUTED_VALUE"""),20596.03)</f>
        <v>20596.03</v>
      </c>
      <c r="AP1769" s="6" t="str">
        <f t="shared" ca="1" si="501"/>
        <v>20251</v>
      </c>
      <c r="AQ1769" s="6">
        <f t="shared" ca="1" si="502"/>
        <v>2025</v>
      </c>
      <c r="AR1769" s="6">
        <f t="shared" ca="1" si="503"/>
        <v>1</v>
      </c>
      <c r="AS1769" s="68">
        <f ca="1">IFERROR(__xludf.DUMMYFUNCTION("""COMPUTED_VALUE"""),45678.9986111111)</f>
        <v>45678.998611111099</v>
      </c>
      <c r="AT1769" s="6">
        <f ca="1">IFERROR(__xludf.DUMMYFUNCTION("""COMPUTED_VALUE"""),2759.2)</f>
        <v>2759.2</v>
      </c>
    </row>
    <row r="1770" spans="2:46" x14ac:dyDescent="0.35">
      <c r="B1770" s="6" t="str">
        <f t="shared" ca="1" si="486"/>
        <v>20251</v>
      </c>
      <c r="C1770" s="6">
        <f t="shared" ca="1" si="487"/>
        <v>2025</v>
      </c>
      <c r="D1770" s="6">
        <f t="shared" ca="1" si="488"/>
        <v>1</v>
      </c>
      <c r="E1770" s="68">
        <f ca="1">IFERROR(__xludf.DUMMYFUNCTION("""COMPUTED_VALUE"""),45671.6666666666)</f>
        <v>45671.666666666599</v>
      </c>
      <c r="F1770" s="6">
        <f ca="1">IFERROR(__xludf.DUMMYFUNCTION("""COMPUTED_VALUE"""),5842.91)</f>
        <v>5842.91</v>
      </c>
      <c r="J1770" s="6" t="str">
        <f t="shared" ca="1" si="489"/>
        <v>20251</v>
      </c>
      <c r="K1770" s="6">
        <f t="shared" ca="1" si="490"/>
        <v>2025</v>
      </c>
      <c r="L1770" s="6">
        <f t="shared" ca="1" si="491"/>
        <v>1</v>
      </c>
      <c r="M1770" s="68">
        <f ca="1">IFERROR(__xludf.DUMMYFUNCTION("""COMPUTED_VALUE"""),45663.6666666666)</f>
        <v>45663.666666666599</v>
      </c>
      <c r="N1770" s="6">
        <f ca="1">IFERROR(__xludf.DUMMYFUNCTION("""COMPUTED_VALUE"""),19864.98)</f>
        <v>19864.98</v>
      </c>
      <c r="R1770" s="6" t="str">
        <f t="shared" ca="1" si="492"/>
        <v>20253</v>
      </c>
      <c r="S1770" s="6">
        <f t="shared" ca="1" si="493"/>
        <v>2025</v>
      </c>
      <c r="T1770" s="6">
        <f t="shared" ca="1" si="494"/>
        <v>3</v>
      </c>
      <c r="U1770" s="68">
        <f ca="1">IFERROR(__xludf.DUMMYFUNCTION("""COMPUTED_VALUE"""),45736.6458333333)</f>
        <v>45736.645833333299</v>
      </c>
      <c r="V1770" s="6">
        <f ca="1">IFERROR(__xludf.DUMMYFUNCTION("""COMPUTED_VALUE"""),2637.1)</f>
        <v>2637.1</v>
      </c>
      <c r="Z1770" s="6" t="str">
        <f t="shared" ca="1" si="495"/>
        <v>202212</v>
      </c>
      <c r="AA1770" s="6">
        <f t="shared" ca="1" si="496"/>
        <v>2022</v>
      </c>
      <c r="AB1770" s="6">
        <f t="shared" ca="1" si="497"/>
        <v>12</v>
      </c>
      <c r="AC1770" s="68">
        <f ca="1">IFERROR(__xludf.DUMMYFUNCTION("""COMPUTED_VALUE"""),44919.9986111111)</f>
        <v>44919.998611111099</v>
      </c>
      <c r="AD1770" s="6">
        <f ca="1">IFERROR(__xludf.DUMMYFUNCTION("""COMPUTED_VALUE"""),1279.24)</f>
        <v>1279.24</v>
      </c>
      <c r="AH1770" s="6" t="str">
        <f t="shared" ca="1" si="498"/>
        <v>202210</v>
      </c>
      <c r="AI1770" s="6">
        <f t="shared" ca="1" si="499"/>
        <v>2022</v>
      </c>
      <c r="AJ1770" s="6">
        <f t="shared" ca="1" si="500"/>
        <v>10</v>
      </c>
      <c r="AK1770" s="68">
        <f ca="1">IFERROR(__xludf.DUMMYFUNCTION("""COMPUTED_VALUE"""),44863.9986111111)</f>
        <v>44863.998611111099</v>
      </c>
      <c r="AL1770" s="6">
        <f ca="1">IFERROR(__xludf.DUMMYFUNCTION("""COMPUTED_VALUE"""),20813.51)</f>
        <v>20813.509999999998</v>
      </c>
      <c r="AP1770" s="6" t="str">
        <f t="shared" ca="1" si="501"/>
        <v>20251</v>
      </c>
      <c r="AQ1770" s="6">
        <f t="shared" ca="1" si="502"/>
        <v>2025</v>
      </c>
      <c r="AR1770" s="6">
        <f t="shared" ca="1" si="503"/>
        <v>1</v>
      </c>
      <c r="AS1770" s="68">
        <f ca="1">IFERROR(__xludf.DUMMYFUNCTION("""COMPUTED_VALUE"""),45679.9986111111)</f>
        <v>45679.998611111099</v>
      </c>
      <c r="AT1770" s="6">
        <f ca="1">IFERROR(__xludf.DUMMYFUNCTION("""COMPUTED_VALUE"""),2770.9)</f>
        <v>2770.9</v>
      </c>
    </row>
    <row r="1771" spans="2:46" x14ac:dyDescent="0.35">
      <c r="B1771" s="6" t="str">
        <f t="shared" ca="1" si="486"/>
        <v>20251</v>
      </c>
      <c r="C1771" s="6">
        <f t="shared" ca="1" si="487"/>
        <v>2025</v>
      </c>
      <c r="D1771" s="6">
        <f t="shared" ca="1" si="488"/>
        <v>1</v>
      </c>
      <c r="E1771" s="68">
        <f ca="1">IFERROR(__xludf.DUMMYFUNCTION("""COMPUTED_VALUE"""),45672.6666666666)</f>
        <v>45672.666666666599</v>
      </c>
      <c r="F1771" s="6">
        <f ca="1">IFERROR(__xludf.DUMMYFUNCTION("""COMPUTED_VALUE"""),5949.91)</f>
        <v>5949.91</v>
      </c>
      <c r="J1771" s="6" t="str">
        <f t="shared" ca="1" si="489"/>
        <v>20251</v>
      </c>
      <c r="K1771" s="6">
        <f t="shared" ca="1" si="490"/>
        <v>2025</v>
      </c>
      <c r="L1771" s="6">
        <f t="shared" ca="1" si="491"/>
        <v>1</v>
      </c>
      <c r="M1771" s="68">
        <f ca="1">IFERROR(__xludf.DUMMYFUNCTION("""COMPUTED_VALUE"""),45664.6666666666)</f>
        <v>45664.666666666599</v>
      </c>
      <c r="N1771" s="6">
        <f ca="1">IFERROR(__xludf.DUMMYFUNCTION("""COMPUTED_VALUE"""),19489.68)</f>
        <v>19489.68</v>
      </c>
      <c r="R1771" s="6" t="str">
        <f t="shared" ca="1" si="492"/>
        <v>20253</v>
      </c>
      <c r="S1771" s="6">
        <f t="shared" ca="1" si="493"/>
        <v>2025</v>
      </c>
      <c r="T1771" s="6">
        <f t="shared" ca="1" si="494"/>
        <v>3</v>
      </c>
      <c r="U1771" s="68">
        <f ca="1">IFERROR(__xludf.DUMMYFUNCTION("""COMPUTED_VALUE"""),45737.6458333333)</f>
        <v>45737.645833333299</v>
      </c>
      <c r="V1771" s="6">
        <f ca="1">IFERROR(__xludf.DUMMYFUNCTION("""COMPUTED_VALUE"""),2643.13)</f>
        <v>2643.13</v>
      </c>
      <c r="Z1771" s="6" t="str">
        <f t="shared" ca="1" si="495"/>
        <v>202212</v>
      </c>
      <c r="AA1771" s="6">
        <f t="shared" ca="1" si="496"/>
        <v>2022</v>
      </c>
      <c r="AB1771" s="6">
        <f t="shared" ca="1" si="497"/>
        <v>12</v>
      </c>
      <c r="AC1771" s="68">
        <f ca="1">IFERROR(__xludf.DUMMYFUNCTION("""COMPUTED_VALUE"""),44920.9986111111)</f>
        <v>44920.998611111099</v>
      </c>
      <c r="AD1771" s="6">
        <f ca="1">IFERROR(__xludf.DUMMYFUNCTION("""COMPUTED_VALUE"""),1279.24)</f>
        <v>1279.24</v>
      </c>
      <c r="AH1771" s="6" t="str">
        <f t="shared" ca="1" si="498"/>
        <v>202210</v>
      </c>
      <c r="AI1771" s="6">
        <f t="shared" ca="1" si="499"/>
        <v>2022</v>
      </c>
      <c r="AJ1771" s="6">
        <f t="shared" ca="1" si="500"/>
        <v>10</v>
      </c>
      <c r="AK1771" s="68">
        <f ca="1">IFERROR(__xludf.DUMMYFUNCTION("""COMPUTED_VALUE"""),44864.9986111111)</f>
        <v>44864.998611111099</v>
      </c>
      <c r="AL1771" s="6">
        <f ca="1">IFERROR(__xludf.DUMMYFUNCTION("""COMPUTED_VALUE"""),20624.13)</f>
        <v>20624.13</v>
      </c>
      <c r="AP1771" s="6" t="str">
        <f t="shared" ca="1" si="501"/>
        <v>20251</v>
      </c>
      <c r="AQ1771" s="6">
        <f t="shared" ca="1" si="502"/>
        <v>2025</v>
      </c>
      <c r="AR1771" s="6">
        <f t="shared" ca="1" si="503"/>
        <v>1</v>
      </c>
      <c r="AS1771" s="68">
        <f ca="1">IFERROR(__xludf.DUMMYFUNCTION("""COMPUTED_VALUE"""),45680.9986111111)</f>
        <v>45680.998611111099</v>
      </c>
      <c r="AT1771" s="6">
        <f ca="1">IFERROR(__xludf.DUMMYFUNCTION("""COMPUTED_VALUE"""),2765)</f>
        <v>2765</v>
      </c>
    </row>
    <row r="1772" spans="2:46" x14ac:dyDescent="0.35">
      <c r="B1772" s="6" t="str">
        <f t="shared" ca="1" si="486"/>
        <v>20251</v>
      </c>
      <c r="C1772" s="6">
        <f t="shared" ca="1" si="487"/>
        <v>2025</v>
      </c>
      <c r="D1772" s="6">
        <f t="shared" ca="1" si="488"/>
        <v>1</v>
      </c>
      <c r="E1772" s="68">
        <f ca="1">IFERROR(__xludf.DUMMYFUNCTION("""COMPUTED_VALUE"""),45673.6666666666)</f>
        <v>45673.666666666599</v>
      </c>
      <c r="F1772" s="6">
        <f ca="1">IFERROR(__xludf.DUMMYFUNCTION("""COMPUTED_VALUE"""),5937.34)</f>
        <v>5937.34</v>
      </c>
      <c r="J1772" s="6" t="str">
        <f t="shared" ca="1" si="489"/>
        <v>20251</v>
      </c>
      <c r="K1772" s="6">
        <f t="shared" ca="1" si="490"/>
        <v>2025</v>
      </c>
      <c r="L1772" s="6">
        <f t="shared" ca="1" si="491"/>
        <v>1</v>
      </c>
      <c r="M1772" s="68">
        <f ca="1">IFERROR(__xludf.DUMMYFUNCTION("""COMPUTED_VALUE"""),45665.6666666666)</f>
        <v>45665.666666666599</v>
      </c>
      <c r="N1772" s="6">
        <f ca="1">IFERROR(__xludf.DUMMYFUNCTION("""COMPUTED_VALUE"""),19478.88)</f>
        <v>19478.88</v>
      </c>
      <c r="R1772" s="6" t="str">
        <f t="shared" ca="1" si="492"/>
        <v>20253</v>
      </c>
      <c r="S1772" s="6">
        <f t="shared" ca="1" si="493"/>
        <v>2025</v>
      </c>
      <c r="T1772" s="6">
        <f t="shared" ca="1" si="494"/>
        <v>3</v>
      </c>
      <c r="U1772" s="68">
        <f ca="1">IFERROR(__xludf.DUMMYFUNCTION("""COMPUTED_VALUE"""),45740.6458333333)</f>
        <v>45740.645833333299</v>
      </c>
      <c r="V1772" s="6">
        <f ca="1">IFERROR(__xludf.DUMMYFUNCTION("""COMPUTED_VALUE"""),2632.07)</f>
        <v>2632.07</v>
      </c>
      <c r="Z1772" s="6" t="str">
        <f t="shared" ca="1" si="495"/>
        <v>202212</v>
      </c>
      <c r="AA1772" s="6">
        <f t="shared" ca="1" si="496"/>
        <v>2022</v>
      </c>
      <c r="AB1772" s="6">
        <f t="shared" ca="1" si="497"/>
        <v>12</v>
      </c>
      <c r="AC1772" s="68">
        <f ca="1">IFERROR(__xludf.DUMMYFUNCTION("""COMPUTED_VALUE"""),44921.9986111111)</f>
        <v>44921.998611111099</v>
      </c>
      <c r="AD1772" s="6">
        <f ca="1">IFERROR(__xludf.DUMMYFUNCTION("""COMPUTED_VALUE"""),1275.13)</f>
        <v>1275.1300000000001</v>
      </c>
      <c r="AH1772" s="6" t="str">
        <f t="shared" ca="1" si="498"/>
        <v>202210</v>
      </c>
      <c r="AI1772" s="6">
        <f t="shared" ca="1" si="499"/>
        <v>2022</v>
      </c>
      <c r="AJ1772" s="6">
        <f t="shared" ca="1" si="500"/>
        <v>10</v>
      </c>
      <c r="AK1772" s="68">
        <f ca="1">IFERROR(__xludf.DUMMYFUNCTION("""COMPUTED_VALUE"""),44865.9986111111)</f>
        <v>44865.998611111099</v>
      </c>
      <c r="AL1772" s="6">
        <f ca="1">IFERROR(__xludf.DUMMYFUNCTION("""COMPUTED_VALUE"""),20492.16)</f>
        <v>20492.16</v>
      </c>
      <c r="AP1772" s="6" t="str">
        <f t="shared" ca="1" si="501"/>
        <v>20251</v>
      </c>
      <c r="AQ1772" s="6">
        <f t="shared" ca="1" si="502"/>
        <v>2025</v>
      </c>
      <c r="AR1772" s="6">
        <f t="shared" ca="1" si="503"/>
        <v>1</v>
      </c>
      <c r="AS1772" s="68">
        <f ca="1">IFERROR(__xludf.DUMMYFUNCTION("""COMPUTED_VALUE"""),45681.9986111111)</f>
        <v>45681.998611111099</v>
      </c>
      <c r="AT1772" s="6">
        <f ca="1">IFERROR(__xludf.DUMMYFUNCTION("""COMPUTED_VALUE"""),2778.9)</f>
        <v>2778.9</v>
      </c>
    </row>
    <row r="1773" spans="2:46" x14ac:dyDescent="0.35">
      <c r="B1773" s="6" t="str">
        <f t="shared" ca="1" si="486"/>
        <v>20251</v>
      </c>
      <c r="C1773" s="6">
        <f t="shared" ca="1" si="487"/>
        <v>2025</v>
      </c>
      <c r="D1773" s="6">
        <f t="shared" ca="1" si="488"/>
        <v>1</v>
      </c>
      <c r="E1773" s="68">
        <f ca="1">IFERROR(__xludf.DUMMYFUNCTION("""COMPUTED_VALUE"""),45674.6666666666)</f>
        <v>45674.666666666599</v>
      </c>
      <c r="F1773" s="6">
        <f ca="1">IFERROR(__xludf.DUMMYFUNCTION("""COMPUTED_VALUE"""),5996.66)</f>
        <v>5996.66</v>
      </c>
      <c r="J1773" s="6" t="str">
        <f t="shared" ca="1" si="489"/>
        <v>20251</v>
      </c>
      <c r="K1773" s="6">
        <f t="shared" ca="1" si="490"/>
        <v>2025</v>
      </c>
      <c r="L1773" s="6">
        <f t="shared" ca="1" si="491"/>
        <v>1</v>
      </c>
      <c r="M1773" s="68">
        <f ca="1">IFERROR(__xludf.DUMMYFUNCTION("""COMPUTED_VALUE"""),45667.6666666666)</f>
        <v>45667.666666666599</v>
      </c>
      <c r="N1773" s="6">
        <f ca="1">IFERROR(__xludf.DUMMYFUNCTION("""COMPUTED_VALUE"""),19161.63)</f>
        <v>19161.63</v>
      </c>
      <c r="R1773" s="6" t="str">
        <f t="shared" ca="1" si="492"/>
        <v>20253</v>
      </c>
      <c r="S1773" s="6">
        <f t="shared" ca="1" si="493"/>
        <v>2025</v>
      </c>
      <c r="T1773" s="6">
        <f t="shared" ca="1" si="494"/>
        <v>3</v>
      </c>
      <c r="U1773" s="68">
        <f ca="1">IFERROR(__xludf.DUMMYFUNCTION("""COMPUTED_VALUE"""),45741.6458333333)</f>
        <v>45741.645833333299</v>
      </c>
      <c r="V1773" s="6">
        <f ca="1">IFERROR(__xludf.DUMMYFUNCTION("""COMPUTED_VALUE"""),2615.81)</f>
        <v>2615.81</v>
      </c>
      <c r="Z1773" s="6" t="str">
        <f t="shared" ca="1" si="495"/>
        <v>202212</v>
      </c>
      <c r="AA1773" s="6">
        <f t="shared" ca="1" si="496"/>
        <v>2022</v>
      </c>
      <c r="AB1773" s="6">
        <f t="shared" ca="1" si="497"/>
        <v>12</v>
      </c>
      <c r="AC1773" s="68">
        <f ca="1">IFERROR(__xludf.DUMMYFUNCTION("""COMPUTED_VALUE"""),44922.9986111111)</f>
        <v>44922.998611111099</v>
      </c>
      <c r="AD1773" s="6">
        <f ca="1">IFERROR(__xludf.DUMMYFUNCTION("""COMPUTED_VALUE"""),1272.28)</f>
        <v>1272.28</v>
      </c>
      <c r="AH1773" s="6" t="str">
        <f t="shared" ca="1" si="498"/>
        <v>202211</v>
      </c>
      <c r="AI1773" s="6">
        <f t="shared" ca="1" si="499"/>
        <v>2022</v>
      </c>
      <c r="AJ1773" s="6">
        <f t="shared" ca="1" si="500"/>
        <v>11</v>
      </c>
      <c r="AK1773" s="68">
        <f ca="1">IFERROR(__xludf.DUMMYFUNCTION("""COMPUTED_VALUE"""),44866.9986111111)</f>
        <v>44866.998611111099</v>
      </c>
      <c r="AL1773" s="6">
        <f ca="1">IFERROR(__xludf.DUMMYFUNCTION("""COMPUTED_VALUE"""),20480.07)</f>
        <v>20480.07</v>
      </c>
      <c r="AP1773" s="6" t="str">
        <f t="shared" ca="1" si="501"/>
        <v>20251</v>
      </c>
      <c r="AQ1773" s="6">
        <f t="shared" ca="1" si="502"/>
        <v>2025</v>
      </c>
      <c r="AR1773" s="6">
        <f t="shared" ca="1" si="503"/>
        <v>1</v>
      </c>
      <c r="AS1773" s="68">
        <f ca="1">IFERROR(__xludf.DUMMYFUNCTION("""COMPUTED_VALUE"""),45684.9986111111)</f>
        <v>45684.998611111099</v>
      </c>
      <c r="AT1773" s="6">
        <f ca="1">IFERROR(__xludf.DUMMYFUNCTION("""COMPUTED_VALUE"""),2766.2)</f>
        <v>2766.2</v>
      </c>
    </row>
    <row r="1774" spans="2:46" x14ac:dyDescent="0.35">
      <c r="B1774" s="6" t="str">
        <f t="shared" ca="1" si="486"/>
        <v>20251</v>
      </c>
      <c r="C1774" s="6">
        <f t="shared" ca="1" si="487"/>
        <v>2025</v>
      </c>
      <c r="D1774" s="6">
        <f t="shared" ca="1" si="488"/>
        <v>1</v>
      </c>
      <c r="E1774" s="68">
        <f ca="1">IFERROR(__xludf.DUMMYFUNCTION("""COMPUTED_VALUE"""),45678.6666666666)</f>
        <v>45678.666666666599</v>
      </c>
      <c r="F1774" s="6">
        <f ca="1">IFERROR(__xludf.DUMMYFUNCTION("""COMPUTED_VALUE"""),6049.24)</f>
        <v>6049.24</v>
      </c>
      <c r="J1774" s="6" t="str">
        <f t="shared" ca="1" si="489"/>
        <v>20251</v>
      </c>
      <c r="K1774" s="6">
        <f t="shared" ca="1" si="490"/>
        <v>2025</v>
      </c>
      <c r="L1774" s="6">
        <f t="shared" ca="1" si="491"/>
        <v>1</v>
      </c>
      <c r="M1774" s="68">
        <f ca="1">IFERROR(__xludf.DUMMYFUNCTION("""COMPUTED_VALUE"""),45670.6666666666)</f>
        <v>45670.666666666599</v>
      </c>
      <c r="N1774" s="6">
        <f ca="1">IFERROR(__xludf.DUMMYFUNCTION("""COMPUTED_VALUE"""),19088.1)</f>
        <v>19088.099999999999</v>
      </c>
      <c r="R1774" s="6" t="str">
        <f t="shared" ca="1" si="492"/>
        <v>20253</v>
      </c>
      <c r="S1774" s="6">
        <f t="shared" ca="1" si="493"/>
        <v>2025</v>
      </c>
      <c r="T1774" s="6">
        <f t="shared" ca="1" si="494"/>
        <v>3</v>
      </c>
      <c r="U1774" s="68">
        <f ca="1">IFERROR(__xludf.DUMMYFUNCTION("""COMPUTED_VALUE"""),45742.6458333333)</f>
        <v>45742.645833333299</v>
      </c>
      <c r="V1774" s="6">
        <f ca="1">IFERROR(__xludf.DUMMYFUNCTION("""COMPUTED_VALUE"""),2643.94)</f>
        <v>2643.94</v>
      </c>
      <c r="Z1774" s="6" t="str">
        <f t="shared" ca="1" si="495"/>
        <v>202212</v>
      </c>
      <c r="AA1774" s="6">
        <f t="shared" ca="1" si="496"/>
        <v>2022</v>
      </c>
      <c r="AB1774" s="6">
        <f t="shared" ca="1" si="497"/>
        <v>12</v>
      </c>
      <c r="AC1774" s="68">
        <f ca="1">IFERROR(__xludf.DUMMYFUNCTION("""COMPUTED_VALUE"""),44923.9986111111)</f>
        <v>44923.998611111099</v>
      </c>
      <c r="AD1774" s="6">
        <f ca="1">IFERROR(__xludf.DUMMYFUNCTION("""COMPUTED_VALUE"""),1274.32)</f>
        <v>1274.32</v>
      </c>
      <c r="AH1774" s="6" t="str">
        <f t="shared" ca="1" si="498"/>
        <v>202211</v>
      </c>
      <c r="AI1774" s="6">
        <f t="shared" ca="1" si="499"/>
        <v>2022</v>
      </c>
      <c r="AJ1774" s="6">
        <f t="shared" ca="1" si="500"/>
        <v>11</v>
      </c>
      <c r="AK1774" s="68">
        <f ca="1">IFERROR(__xludf.DUMMYFUNCTION("""COMPUTED_VALUE"""),44867.9986111111)</f>
        <v>44867.998611111099</v>
      </c>
      <c r="AL1774" s="6">
        <f ca="1">IFERROR(__xludf.DUMMYFUNCTION("""COMPUTED_VALUE"""),20151.43)</f>
        <v>20151.43</v>
      </c>
      <c r="AP1774" s="6" t="str">
        <f t="shared" ca="1" si="501"/>
        <v>20251</v>
      </c>
      <c r="AQ1774" s="6">
        <f t="shared" ca="1" si="502"/>
        <v>2025</v>
      </c>
      <c r="AR1774" s="6">
        <f t="shared" ca="1" si="503"/>
        <v>1</v>
      </c>
      <c r="AS1774" s="68">
        <f ca="1">IFERROR(__xludf.DUMMYFUNCTION("""COMPUTED_VALUE"""),45685.9986111111)</f>
        <v>45685.998611111099</v>
      </c>
      <c r="AT1774" s="6">
        <f ca="1">IFERROR(__xludf.DUMMYFUNCTION("""COMPUTED_VALUE"""),2794.6)</f>
        <v>2794.6</v>
      </c>
    </row>
    <row r="1775" spans="2:46" x14ac:dyDescent="0.35">
      <c r="B1775" s="6" t="str">
        <f t="shared" ca="1" si="486"/>
        <v>20251</v>
      </c>
      <c r="C1775" s="6">
        <f t="shared" ca="1" si="487"/>
        <v>2025</v>
      </c>
      <c r="D1775" s="6">
        <f t="shared" ca="1" si="488"/>
        <v>1</v>
      </c>
      <c r="E1775" s="68">
        <f ca="1">IFERROR(__xludf.DUMMYFUNCTION("""COMPUTED_VALUE"""),45679.6666666666)</f>
        <v>45679.666666666599</v>
      </c>
      <c r="F1775" s="6">
        <f ca="1">IFERROR(__xludf.DUMMYFUNCTION("""COMPUTED_VALUE"""),6086.37)</f>
        <v>6086.37</v>
      </c>
      <c r="J1775" s="6" t="str">
        <f t="shared" ca="1" si="489"/>
        <v>20251</v>
      </c>
      <c r="K1775" s="6">
        <f t="shared" ca="1" si="490"/>
        <v>2025</v>
      </c>
      <c r="L1775" s="6">
        <f t="shared" ca="1" si="491"/>
        <v>1</v>
      </c>
      <c r="M1775" s="68">
        <f ca="1">IFERROR(__xludf.DUMMYFUNCTION("""COMPUTED_VALUE"""),45671.6666666666)</f>
        <v>45671.666666666599</v>
      </c>
      <c r="N1775" s="6">
        <f ca="1">IFERROR(__xludf.DUMMYFUNCTION("""COMPUTED_VALUE"""),19044.39)</f>
        <v>19044.39</v>
      </c>
      <c r="R1775" s="6" t="str">
        <f t="shared" ca="1" si="492"/>
        <v>20253</v>
      </c>
      <c r="S1775" s="6">
        <f t="shared" ca="1" si="493"/>
        <v>2025</v>
      </c>
      <c r="T1775" s="6">
        <f t="shared" ca="1" si="494"/>
        <v>3</v>
      </c>
      <c r="U1775" s="68">
        <f ca="1">IFERROR(__xludf.DUMMYFUNCTION("""COMPUTED_VALUE"""),45743.6458333333)</f>
        <v>45743.645833333299</v>
      </c>
      <c r="V1775" s="6">
        <f ca="1">IFERROR(__xludf.DUMMYFUNCTION("""COMPUTED_VALUE"""),2607.15)</f>
        <v>2607.15</v>
      </c>
      <c r="Z1775" s="6" t="str">
        <f t="shared" ca="1" si="495"/>
        <v>202212</v>
      </c>
      <c r="AA1775" s="6">
        <f t="shared" ca="1" si="496"/>
        <v>2022</v>
      </c>
      <c r="AB1775" s="6">
        <f t="shared" ca="1" si="497"/>
        <v>12</v>
      </c>
      <c r="AC1775" s="68">
        <f ca="1">IFERROR(__xludf.DUMMYFUNCTION("""COMPUTED_VALUE"""),44924.9986111111)</f>
        <v>44924.998611111099</v>
      </c>
      <c r="AD1775" s="6">
        <f ca="1">IFERROR(__xludf.DUMMYFUNCTION("""COMPUTED_VALUE"""),1260.26)</f>
        <v>1260.26</v>
      </c>
      <c r="AH1775" s="6" t="str">
        <f t="shared" ca="1" si="498"/>
        <v>202211</v>
      </c>
      <c r="AI1775" s="6">
        <f t="shared" ca="1" si="499"/>
        <v>2022</v>
      </c>
      <c r="AJ1775" s="6">
        <f t="shared" ca="1" si="500"/>
        <v>11</v>
      </c>
      <c r="AK1775" s="68">
        <f ca="1">IFERROR(__xludf.DUMMYFUNCTION("""COMPUTED_VALUE"""),44868.9986111111)</f>
        <v>44868.998611111099</v>
      </c>
      <c r="AL1775" s="6">
        <f ca="1">IFERROR(__xludf.DUMMYFUNCTION("""COMPUTED_VALUE"""),20206.75)</f>
        <v>20206.75</v>
      </c>
      <c r="AP1775" s="6" t="str">
        <f t="shared" ca="1" si="501"/>
        <v>20251</v>
      </c>
      <c r="AQ1775" s="6">
        <f t="shared" ca="1" si="502"/>
        <v>2025</v>
      </c>
      <c r="AR1775" s="6">
        <f t="shared" ca="1" si="503"/>
        <v>1</v>
      </c>
      <c r="AS1775" s="68">
        <f ca="1">IFERROR(__xludf.DUMMYFUNCTION("""COMPUTED_VALUE"""),45686.9986111111)</f>
        <v>45686.998611111099</v>
      </c>
      <c r="AT1775" s="6">
        <f ca="1">IFERROR(__xludf.DUMMYFUNCTION("""COMPUTED_VALUE"""),2793.5)</f>
        <v>2793.5</v>
      </c>
    </row>
    <row r="1776" spans="2:46" x14ac:dyDescent="0.35">
      <c r="B1776" s="6" t="str">
        <f t="shared" ca="1" si="486"/>
        <v>20251</v>
      </c>
      <c r="C1776" s="6">
        <f t="shared" ca="1" si="487"/>
        <v>2025</v>
      </c>
      <c r="D1776" s="6">
        <f t="shared" ca="1" si="488"/>
        <v>1</v>
      </c>
      <c r="E1776" s="68">
        <f ca="1">IFERROR(__xludf.DUMMYFUNCTION("""COMPUTED_VALUE"""),45680.6666666666)</f>
        <v>45680.666666666599</v>
      </c>
      <c r="F1776" s="6">
        <f ca="1">IFERROR(__xludf.DUMMYFUNCTION("""COMPUTED_VALUE"""),6118.71)</f>
        <v>6118.71</v>
      </c>
      <c r="J1776" s="6" t="str">
        <f t="shared" ca="1" si="489"/>
        <v>20251</v>
      </c>
      <c r="K1776" s="6">
        <f t="shared" ca="1" si="490"/>
        <v>2025</v>
      </c>
      <c r="L1776" s="6">
        <f t="shared" ca="1" si="491"/>
        <v>1</v>
      </c>
      <c r="M1776" s="68">
        <f ca="1">IFERROR(__xludf.DUMMYFUNCTION("""COMPUTED_VALUE"""),45672.6666666666)</f>
        <v>45672.666666666599</v>
      </c>
      <c r="N1776" s="6">
        <f ca="1">IFERROR(__xludf.DUMMYFUNCTION("""COMPUTED_VALUE"""),19511.23)</f>
        <v>19511.23</v>
      </c>
      <c r="R1776" s="6" t="str">
        <f t="shared" ca="1" si="492"/>
        <v>20253</v>
      </c>
      <c r="S1776" s="6">
        <f t="shared" ca="1" si="493"/>
        <v>2025</v>
      </c>
      <c r="T1776" s="6">
        <f t="shared" ca="1" si="494"/>
        <v>3</v>
      </c>
      <c r="U1776" s="68">
        <f ca="1">IFERROR(__xludf.DUMMYFUNCTION("""COMPUTED_VALUE"""),45744.6458333333)</f>
        <v>45744.645833333299</v>
      </c>
      <c r="V1776" s="6">
        <f ca="1">IFERROR(__xludf.DUMMYFUNCTION("""COMPUTED_VALUE"""),2557.98)</f>
        <v>2557.98</v>
      </c>
      <c r="Z1776" s="6" t="str">
        <f t="shared" ca="1" si="495"/>
        <v>202212</v>
      </c>
      <c r="AA1776" s="6">
        <f t="shared" ca="1" si="496"/>
        <v>2022</v>
      </c>
      <c r="AB1776" s="6">
        <f t="shared" ca="1" si="497"/>
        <v>12</v>
      </c>
      <c r="AC1776" s="68">
        <f ca="1">IFERROR(__xludf.DUMMYFUNCTION("""COMPUTED_VALUE"""),44925.9986111111)</f>
        <v>44925.998611111099</v>
      </c>
      <c r="AD1776" s="6">
        <f ca="1">IFERROR(__xludf.DUMMYFUNCTION("""COMPUTED_VALUE"""),1260.91)</f>
        <v>1260.9100000000001</v>
      </c>
      <c r="AH1776" s="6" t="str">
        <f t="shared" ca="1" si="498"/>
        <v>202211</v>
      </c>
      <c r="AI1776" s="6">
        <f t="shared" ca="1" si="499"/>
        <v>2022</v>
      </c>
      <c r="AJ1776" s="6">
        <f t="shared" ca="1" si="500"/>
        <v>11</v>
      </c>
      <c r="AK1776" s="68">
        <f ca="1">IFERROR(__xludf.DUMMYFUNCTION("""COMPUTED_VALUE"""),44869.9986111111)</f>
        <v>44869.998611111099</v>
      </c>
      <c r="AL1776" s="6">
        <f ca="1">IFERROR(__xludf.DUMMYFUNCTION("""COMPUTED_VALUE"""),21147.78)</f>
        <v>21147.78</v>
      </c>
      <c r="AP1776" s="6" t="str">
        <f t="shared" ca="1" si="501"/>
        <v>20251</v>
      </c>
      <c r="AQ1776" s="6">
        <f t="shared" ca="1" si="502"/>
        <v>2025</v>
      </c>
      <c r="AR1776" s="6">
        <f t="shared" ca="1" si="503"/>
        <v>1</v>
      </c>
      <c r="AS1776" s="68">
        <f ca="1">IFERROR(__xludf.DUMMYFUNCTION("""COMPUTED_VALUE"""),45687.9986111111)</f>
        <v>45687.998611111099</v>
      </c>
      <c r="AT1776" s="6">
        <f ca="1">IFERROR(__xludf.DUMMYFUNCTION("""COMPUTED_VALUE"""),2845.2)</f>
        <v>2845.2</v>
      </c>
    </row>
    <row r="1777" spans="2:46" x14ac:dyDescent="0.35">
      <c r="B1777" s="6" t="str">
        <f t="shared" ca="1" si="486"/>
        <v>20251</v>
      </c>
      <c r="C1777" s="6">
        <f t="shared" ca="1" si="487"/>
        <v>2025</v>
      </c>
      <c r="D1777" s="6">
        <f t="shared" ca="1" si="488"/>
        <v>1</v>
      </c>
      <c r="E1777" s="68">
        <f ca="1">IFERROR(__xludf.DUMMYFUNCTION("""COMPUTED_VALUE"""),45681.6666666666)</f>
        <v>45681.666666666599</v>
      </c>
      <c r="F1777" s="6">
        <f ca="1">IFERROR(__xludf.DUMMYFUNCTION("""COMPUTED_VALUE"""),6101.24)</f>
        <v>6101.24</v>
      </c>
      <c r="J1777" s="6" t="str">
        <f t="shared" ca="1" si="489"/>
        <v>20251</v>
      </c>
      <c r="K1777" s="6">
        <f t="shared" ca="1" si="490"/>
        <v>2025</v>
      </c>
      <c r="L1777" s="6">
        <f t="shared" ca="1" si="491"/>
        <v>1</v>
      </c>
      <c r="M1777" s="68">
        <f ca="1">IFERROR(__xludf.DUMMYFUNCTION("""COMPUTED_VALUE"""),45673.6666666666)</f>
        <v>45673.666666666599</v>
      </c>
      <c r="N1777" s="6">
        <f ca="1">IFERROR(__xludf.DUMMYFUNCTION("""COMPUTED_VALUE"""),19338.29)</f>
        <v>19338.29</v>
      </c>
      <c r="R1777" s="6" t="str">
        <f t="shared" ca="1" si="492"/>
        <v>20253</v>
      </c>
      <c r="S1777" s="6">
        <f t="shared" ca="1" si="493"/>
        <v>2025</v>
      </c>
      <c r="T1777" s="6">
        <f t="shared" ca="1" si="494"/>
        <v>3</v>
      </c>
      <c r="U1777" s="68">
        <f ca="1">IFERROR(__xludf.DUMMYFUNCTION("""COMPUTED_VALUE"""),45747.6458333333)</f>
        <v>45747.645833333299</v>
      </c>
      <c r="V1777" s="6">
        <f ca="1">IFERROR(__xludf.DUMMYFUNCTION("""COMPUTED_VALUE"""),2481.12)</f>
        <v>2481.12</v>
      </c>
      <c r="Z1777" s="6" t="str">
        <f t="shared" ca="1" si="495"/>
        <v>202212</v>
      </c>
      <c r="AA1777" s="6">
        <f t="shared" ca="1" si="496"/>
        <v>2022</v>
      </c>
      <c r="AB1777" s="6">
        <f t="shared" ca="1" si="497"/>
        <v>12</v>
      </c>
      <c r="AC1777" s="68">
        <f ca="1">IFERROR(__xludf.DUMMYFUNCTION("""COMPUTED_VALUE"""),44926.9986111111)</f>
        <v>44926.998611111099</v>
      </c>
      <c r="AD1777" s="6">
        <f ca="1">IFERROR(__xludf.DUMMYFUNCTION("""COMPUTED_VALUE"""),1260.91)</f>
        <v>1260.9100000000001</v>
      </c>
      <c r="AH1777" s="6" t="str">
        <f t="shared" ca="1" si="498"/>
        <v>202211</v>
      </c>
      <c r="AI1777" s="6">
        <f t="shared" ca="1" si="499"/>
        <v>2022</v>
      </c>
      <c r="AJ1777" s="6">
        <f t="shared" ca="1" si="500"/>
        <v>11</v>
      </c>
      <c r="AK1777" s="68">
        <f ca="1">IFERROR(__xludf.DUMMYFUNCTION("""COMPUTED_VALUE"""),44870.9986111111)</f>
        <v>44870.998611111099</v>
      </c>
      <c r="AL1777" s="6">
        <f ca="1">IFERROR(__xludf.DUMMYFUNCTION("""COMPUTED_VALUE"""),21298.16)</f>
        <v>21298.16</v>
      </c>
      <c r="AP1777" s="6" t="str">
        <f t="shared" ca="1" si="501"/>
        <v>20251</v>
      </c>
      <c r="AQ1777" s="6">
        <f t="shared" ca="1" si="502"/>
        <v>2025</v>
      </c>
      <c r="AR1777" s="6">
        <f t="shared" ca="1" si="503"/>
        <v>1</v>
      </c>
      <c r="AS1777" s="68">
        <f ca="1">IFERROR(__xludf.DUMMYFUNCTION("""COMPUTED_VALUE"""),45688.9986111111)</f>
        <v>45688.998611111099</v>
      </c>
      <c r="AT1777" s="6">
        <f ca="1">IFERROR(__xludf.DUMMYFUNCTION("""COMPUTED_VALUE"""),2835)</f>
        <v>2835</v>
      </c>
    </row>
    <row r="1778" spans="2:46" x14ac:dyDescent="0.35">
      <c r="B1778" s="6" t="str">
        <f t="shared" ca="1" si="486"/>
        <v>20251</v>
      </c>
      <c r="C1778" s="6">
        <f t="shared" ca="1" si="487"/>
        <v>2025</v>
      </c>
      <c r="D1778" s="6">
        <f t="shared" ca="1" si="488"/>
        <v>1</v>
      </c>
      <c r="E1778" s="68">
        <f ca="1">IFERROR(__xludf.DUMMYFUNCTION("""COMPUTED_VALUE"""),45684.6666666666)</f>
        <v>45684.666666666599</v>
      </c>
      <c r="F1778" s="6">
        <f ca="1">IFERROR(__xludf.DUMMYFUNCTION("""COMPUTED_VALUE"""),6012.28)</f>
        <v>6012.28</v>
      </c>
      <c r="J1778" s="6" t="str">
        <f t="shared" ca="1" si="489"/>
        <v>20251</v>
      </c>
      <c r="K1778" s="6">
        <f t="shared" ca="1" si="490"/>
        <v>2025</v>
      </c>
      <c r="L1778" s="6">
        <f t="shared" ca="1" si="491"/>
        <v>1</v>
      </c>
      <c r="M1778" s="68">
        <f ca="1">IFERROR(__xludf.DUMMYFUNCTION("""COMPUTED_VALUE"""),45674.6666666666)</f>
        <v>45674.666666666599</v>
      </c>
      <c r="N1778" s="6">
        <f ca="1">IFERROR(__xludf.DUMMYFUNCTION("""COMPUTED_VALUE"""),19630.2)</f>
        <v>19630.2</v>
      </c>
      <c r="R1778" s="6" t="str">
        <f t="shared" ca="1" si="492"/>
        <v>20254</v>
      </c>
      <c r="S1778" s="6">
        <f t="shared" ca="1" si="493"/>
        <v>2025</v>
      </c>
      <c r="T1778" s="6">
        <f t="shared" ca="1" si="494"/>
        <v>4</v>
      </c>
      <c r="U1778" s="68">
        <f ca="1">IFERROR(__xludf.DUMMYFUNCTION("""COMPUTED_VALUE"""),45748.6458333333)</f>
        <v>45748.645833333299</v>
      </c>
      <c r="V1778" s="6">
        <f ca="1">IFERROR(__xludf.DUMMYFUNCTION("""COMPUTED_VALUE"""),2521.39)</f>
        <v>2521.39</v>
      </c>
      <c r="Z1778" s="6" t="str">
        <f t="shared" ca="1" si="495"/>
        <v>20231</v>
      </c>
      <c r="AA1778" s="6">
        <f t="shared" ca="1" si="496"/>
        <v>2023</v>
      </c>
      <c r="AB1778" s="6">
        <f t="shared" ca="1" si="497"/>
        <v>1</v>
      </c>
      <c r="AC1778" s="68">
        <f ca="1">IFERROR(__xludf.DUMMYFUNCTION("""COMPUTED_VALUE"""),44927.9986111111)</f>
        <v>44927.998611111099</v>
      </c>
      <c r="AD1778" s="6">
        <f ca="1">IFERROR(__xludf.DUMMYFUNCTION("""COMPUTED_VALUE"""),1260.91)</f>
        <v>1260.9100000000001</v>
      </c>
      <c r="AH1778" s="6" t="str">
        <f t="shared" ca="1" si="498"/>
        <v>202211</v>
      </c>
      <c r="AI1778" s="6">
        <f t="shared" ca="1" si="499"/>
        <v>2022</v>
      </c>
      <c r="AJ1778" s="6">
        <f t="shared" ca="1" si="500"/>
        <v>11</v>
      </c>
      <c r="AK1778" s="68">
        <f ca="1">IFERROR(__xludf.DUMMYFUNCTION("""COMPUTED_VALUE"""),44871.9986111111)</f>
        <v>44871.998611111099</v>
      </c>
      <c r="AL1778" s="6">
        <f ca="1">IFERROR(__xludf.DUMMYFUNCTION("""COMPUTED_VALUE"""),20912.94)</f>
        <v>20912.939999999999</v>
      </c>
      <c r="AP1778" s="6" t="str">
        <f t="shared" ca="1" si="501"/>
        <v>20252</v>
      </c>
      <c r="AQ1778" s="6">
        <f t="shared" ca="1" si="502"/>
        <v>2025</v>
      </c>
      <c r="AR1778" s="6">
        <f t="shared" ca="1" si="503"/>
        <v>2</v>
      </c>
      <c r="AS1778" s="68">
        <f ca="1">IFERROR(__xludf.DUMMYFUNCTION("""COMPUTED_VALUE"""),45691.9986111111)</f>
        <v>45691.998611111099</v>
      </c>
      <c r="AT1778" s="6">
        <f ca="1">IFERROR(__xludf.DUMMYFUNCTION("""COMPUTED_VALUE"""),2857.1)</f>
        <v>2857.1</v>
      </c>
    </row>
    <row r="1779" spans="2:46" x14ac:dyDescent="0.35">
      <c r="B1779" s="6" t="str">
        <f t="shared" ca="1" si="486"/>
        <v>20251</v>
      </c>
      <c r="C1779" s="6">
        <f t="shared" ca="1" si="487"/>
        <v>2025</v>
      </c>
      <c r="D1779" s="6">
        <f t="shared" ca="1" si="488"/>
        <v>1</v>
      </c>
      <c r="E1779" s="68">
        <f ca="1">IFERROR(__xludf.DUMMYFUNCTION("""COMPUTED_VALUE"""),45685.6666666666)</f>
        <v>45685.666666666599</v>
      </c>
      <c r="F1779" s="6">
        <f ca="1">IFERROR(__xludf.DUMMYFUNCTION("""COMPUTED_VALUE"""),6067.7)</f>
        <v>6067.7</v>
      </c>
      <c r="J1779" s="6" t="str">
        <f t="shared" ca="1" si="489"/>
        <v>20251</v>
      </c>
      <c r="K1779" s="6">
        <f t="shared" ca="1" si="490"/>
        <v>2025</v>
      </c>
      <c r="L1779" s="6">
        <f t="shared" ca="1" si="491"/>
        <v>1</v>
      </c>
      <c r="M1779" s="68">
        <f ca="1">IFERROR(__xludf.DUMMYFUNCTION("""COMPUTED_VALUE"""),45678.6666666666)</f>
        <v>45678.666666666599</v>
      </c>
      <c r="N1779" s="6">
        <f ca="1">IFERROR(__xludf.DUMMYFUNCTION("""COMPUTED_VALUE"""),19756.78)</f>
        <v>19756.78</v>
      </c>
      <c r="R1779" s="6" t="str">
        <f t="shared" ca="1" si="492"/>
        <v>20254</v>
      </c>
      <c r="S1779" s="6">
        <f t="shared" ca="1" si="493"/>
        <v>2025</v>
      </c>
      <c r="T1779" s="6">
        <f t="shared" ca="1" si="494"/>
        <v>4</v>
      </c>
      <c r="U1779" s="68">
        <f ca="1">IFERROR(__xludf.DUMMYFUNCTION("""COMPUTED_VALUE"""),45749.6458333333)</f>
        <v>45749.645833333299</v>
      </c>
      <c r="V1779" s="6">
        <f ca="1">IFERROR(__xludf.DUMMYFUNCTION("""COMPUTED_VALUE"""),2505.86)</f>
        <v>2505.86</v>
      </c>
      <c r="Z1779" s="6" t="str">
        <f t="shared" ca="1" si="495"/>
        <v>20231</v>
      </c>
      <c r="AA1779" s="6">
        <f t="shared" ca="1" si="496"/>
        <v>2023</v>
      </c>
      <c r="AB1779" s="6">
        <f t="shared" ca="1" si="497"/>
        <v>1</v>
      </c>
      <c r="AC1779" s="68">
        <f ca="1">IFERROR(__xludf.DUMMYFUNCTION("""COMPUTED_VALUE"""),44928.9986111111)</f>
        <v>44928.998611111099</v>
      </c>
      <c r="AD1779" s="6">
        <f ca="1">IFERROR(__xludf.DUMMYFUNCTION("""COMPUTED_VALUE"""),1270.1)</f>
        <v>1270.0999999999999</v>
      </c>
      <c r="AH1779" s="6" t="str">
        <f t="shared" ca="1" si="498"/>
        <v>202211</v>
      </c>
      <c r="AI1779" s="6">
        <f t="shared" ca="1" si="499"/>
        <v>2022</v>
      </c>
      <c r="AJ1779" s="6">
        <f t="shared" ca="1" si="500"/>
        <v>11</v>
      </c>
      <c r="AK1779" s="68">
        <f ca="1">IFERROR(__xludf.DUMMYFUNCTION("""COMPUTED_VALUE"""),44872.9986111111)</f>
        <v>44872.998611111099</v>
      </c>
      <c r="AL1779" s="6">
        <f ca="1">IFERROR(__xludf.DUMMYFUNCTION("""COMPUTED_VALUE"""),20588.9)</f>
        <v>20588.900000000001</v>
      </c>
      <c r="AP1779" s="6" t="str">
        <f t="shared" ca="1" si="501"/>
        <v>20252</v>
      </c>
      <c r="AQ1779" s="6">
        <f t="shared" ca="1" si="502"/>
        <v>2025</v>
      </c>
      <c r="AR1779" s="6">
        <f t="shared" ca="1" si="503"/>
        <v>2</v>
      </c>
      <c r="AS1779" s="68">
        <f ca="1">IFERROR(__xludf.DUMMYFUNCTION("""COMPUTED_VALUE"""),45692.9986111111)</f>
        <v>45692.998611111099</v>
      </c>
      <c r="AT1779" s="6">
        <f ca="1">IFERROR(__xludf.DUMMYFUNCTION("""COMPUTED_VALUE"""),2875.8)</f>
        <v>2875.8</v>
      </c>
    </row>
    <row r="1780" spans="2:46" x14ac:dyDescent="0.35">
      <c r="B1780" s="6" t="str">
        <f t="shared" ca="1" si="486"/>
        <v>20251</v>
      </c>
      <c r="C1780" s="6">
        <f t="shared" ca="1" si="487"/>
        <v>2025</v>
      </c>
      <c r="D1780" s="6">
        <f t="shared" ca="1" si="488"/>
        <v>1</v>
      </c>
      <c r="E1780" s="68">
        <f ca="1">IFERROR(__xludf.DUMMYFUNCTION("""COMPUTED_VALUE"""),45686.6666666666)</f>
        <v>45686.666666666599</v>
      </c>
      <c r="F1780" s="6">
        <f ca="1">IFERROR(__xludf.DUMMYFUNCTION("""COMPUTED_VALUE"""),6039.31)</f>
        <v>6039.31</v>
      </c>
      <c r="J1780" s="6" t="str">
        <f t="shared" ca="1" si="489"/>
        <v>20251</v>
      </c>
      <c r="K1780" s="6">
        <f t="shared" ca="1" si="490"/>
        <v>2025</v>
      </c>
      <c r="L1780" s="6">
        <f t="shared" ca="1" si="491"/>
        <v>1</v>
      </c>
      <c r="M1780" s="68">
        <f ca="1">IFERROR(__xludf.DUMMYFUNCTION("""COMPUTED_VALUE"""),45679.6666666666)</f>
        <v>45679.666666666599</v>
      </c>
      <c r="N1780" s="6">
        <f ca="1">IFERROR(__xludf.DUMMYFUNCTION("""COMPUTED_VALUE"""),20009.34)</f>
        <v>20009.34</v>
      </c>
      <c r="R1780" s="6" t="str">
        <f t="shared" ca="1" si="492"/>
        <v>20254</v>
      </c>
      <c r="S1780" s="6">
        <f t="shared" ca="1" si="493"/>
        <v>2025</v>
      </c>
      <c r="T1780" s="6">
        <f t="shared" ca="1" si="494"/>
        <v>4</v>
      </c>
      <c r="U1780" s="68">
        <f ca="1">IFERROR(__xludf.DUMMYFUNCTION("""COMPUTED_VALUE"""),45750.6458333333)</f>
        <v>45750.645833333299</v>
      </c>
      <c r="V1780" s="6">
        <f ca="1">IFERROR(__xludf.DUMMYFUNCTION("""COMPUTED_VALUE"""),2486.7)</f>
        <v>2486.6999999999998</v>
      </c>
      <c r="Z1780" s="6" t="str">
        <f t="shared" ca="1" si="495"/>
        <v>20231</v>
      </c>
      <c r="AA1780" s="6">
        <f t="shared" ca="1" si="496"/>
        <v>2023</v>
      </c>
      <c r="AB1780" s="6">
        <f t="shared" ca="1" si="497"/>
        <v>1</v>
      </c>
      <c r="AC1780" s="68">
        <f ca="1">IFERROR(__xludf.DUMMYFUNCTION("""COMPUTED_VALUE"""),44929.9986111111)</f>
        <v>44929.998611111099</v>
      </c>
      <c r="AD1780" s="6">
        <f ca="1">IFERROR(__xludf.DUMMYFUNCTION("""COMPUTED_VALUE"""),1279.08)</f>
        <v>1279.08</v>
      </c>
      <c r="AH1780" s="6" t="str">
        <f t="shared" ca="1" si="498"/>
        <v>202211</v>
      </c>
      <c r="AI1780" s="6">
        <f t="shared" ca="1" si="499"/>
        <v>2022</v>
      </c>
      <c r="AJ1780" s="6">
        <f t="shared" ca="1" si="500"/>
        <v>11</v>
      </c>
      <c r="AK1780" s="68">
        <f ca="1">IFERROR(__xludf.DUMMYFUNCTION("""COMPUTED_VALUE"""),44873.9986111111)</f>
        <v>44873.998611111099</v>
      </c>
      <c r="AL1780" s="6">
        <f ca="1">IFERROR(__xludf.DUMMYFUNCTION("""COMPUTED_VALUE"""),18525.02)</f>
        <v>18525.02</v>
      </c>
      <c r="AP1780" s="6" t="str">
        <f t="shared" ca="1" si="501"/>
        <v>20252</v>
      </c>
      <c r="AQ1780" s="6">
        <f t="shared" ca="1" si="502"/>
        <v>2025</v>
      </c>
      <c r="AR1780" s="6">
        <f t="shared" ca="1" si="503"/>
        <v>2</v>
      </c>
      <c r="AS1780" s="68">
        <f ca="1">IFERROR(__xludf.DUMMYFUNCTION("""COMPUTED_VALUE"""),45693.9986111111)</f>
        <v>45693.998611111099</v>
      </c>
      <c r="AT1780" s="6">
        <f ca="1">IFERROR(__xludf.DUMMYFUNCTION("""COMPUTED_VALUE"""),2893)</f>
        <v>2893</v>
      </c>
    </row>
    <row r="1781" spans="2:46" x14ac:dyDescent="0.35">
      <c r="B1781" s="6" t="str">
        <f t="shared" ca="1" si="486"/>
        <v>20251</v>
      </c>
      <c r="C1781" s="6">
        <f t="shared" ca="1" si="487"/>
        <v>2025</v>
      </c>
      <c r="D1781" s="6">
        <f t="shared" ca="1" si="488"/>
        <v>1</v>
      </c>
      <c r="E1781" s="68">
        <f ca="1">IFERROR(__xludf.DUMMYFUNCTION("""COMPUTED_VALUE"""),45687.6666666666)</f>
        <v>45687.666666666599</v>
      </c>
      <c r="F1781" s="6">
        <f ca="1">IFERROR(__xludf.DUMMYFUNCTION("""COMPUTED_VALUE"""),6071.17)</f>
        <v>6071.17</v>
      </c>
      <c r="J1781" s="6" t="str">
        <f t="shared" ca="1" si="489"/>
        <v>20251</v>
      </c>
      <c r="K1781" s="6">
        <f t="shared" ca="1" si="490"/>
        <v>2025</v>
      </c>
      <c r="L1781" s="6">
        <f t="shared" ca="1" si="491"/>
        <v>1</v>
      </c>
      <c r="M1781" s="68">
        <f ca="1">IFERROR(__xludf.DUMMYFUNCTION("""COMPUTED_VALUE"""),45680.6666666666)</f>
        <v>45680.666666666599</v>
      </c>
      <c r="N1781" s="6">
        <f ca="1">IFERROR(__xludf.DUMMYFUNCTION("""COMPUTED_VALUE"""),20053.68)</f>
        <v>20053.68</v>
      </c>
      <c r="R1781" s="6" t="str">
        <f t="shared" ca="1" si="492"/>
        <v>20254</v>
      </c>
      <c r="S1781" s="6">
        <f t="shared" ca="1" si="493"/>
        <v>2025</v>
      </c>
      <c r="T1781" s="6">
        <f t="shared" ca="1" si="494"/>
        <v>4</v>
      </c>
      <c r="U1781" s="68">
        <f ca="1">IFERROR(__xludf.DUMMYFUNCTION("""COMPUTED_VALUE"""),45751.6458333333)</f>
        <v>45751.645833333299</v>
      </c>
      <c r="V1781" s="6">
        <f ca="1">IFERROR(__xludf.DUMMYFUNCTION("""COMPUTED_VALUE"""),2465.42)</f>
        <v>2465.42</v>
      </c>
      <c r="Z1781" s="6" t="str">
        <f t="shared" ca="1" si="495"/>
        <v>20231</v>
      </c>
      <c r="AA1781" s="6">
        <f t="shared" ca="1" si="496"/>
        <v>2023</v>
      </c>
      <c r="AB1781" s="6">
        <f t="shared" ca="1" si="497"/>
        <v>1</v>
      </c>
      <c r="AC1781" s="68">
        <f ca="1">IFERROR(__xludf.DUMMYFUNCTION("""COMPUTED_VALUE"""),44930.9986111111)</f>
        <v>44930.998611111099</v>
      </c>
      <c r="AD1781" s="6">
        <f ca="1">IFERROR(__xludf.DUMMYFUNCTION("""COMPUTED_VALUE"""),1271.08)</f>
        <v>1271.08</v>
      </c>
      <c r="AH1781" s="6" t="str">
        <f t="shared" ca="1" si="498"/>
        <v>202211</v>
      </c>
      <c r="AI1781" s="6">
        <f t="shared" ca="1" si="499"/>
        <v>2022</v>
      </c>
      <c r="AJ1781" s="6">
        <f t="shared" ca="1" si="500"/>
        <v>11</v>
      </c>
      <c r="AK1781" s="68">
        <f ca="1">IFERROR(__xludf.DUMMYFUNCTION("""COMPUTED_VALUE"""),44874.9986111111)</f>
        <v>44874.998611111099</v>
      </c>
      <c r="AL1781" s="6">
        <f ca="1">IFERROR(__xludf.DUMMYFUNCTION("""COMPUTED_VALUE"""),15866.11)</f>
        <v>15866.11</v>
      </c>
      <c r="AP1781" s="6" t="str">
        <f t="shared" ca="1" si="501"/>
        <v>20252</v>
      </c>
      <c r="AQ1781" s="6">
        <f t="shared" ca="1" si="502"/>
        <v>2025</v>
      </c>
      <c r="AR1781" s="6">
        <f t="shared" ca="1" si="503"/>
        <v>2</v>
      </c>
      <c r="AS1781" s="68">
        <f ca="1">IFERROR(__xludf.DUMMYFUNCTION("""COMPUTED_VALUE"""),45694.9986111111)</f>
        <v>45694.998611111099</v>
      </c>
      <c r="AT1781" s="6">
        <f ca="1">IFERROR(__xludf.DUMMYFUNCTION("""COMPUTED_VALUE"""),2876.7)</f>
        <v>2876.7</v>
      </c>
    </row>
    <row r="1782" spans="2:46" x14ac:dyDescent="0.35">
      <c r="B1782" s="6" t="str">
        <f t="shared" ca="1" si="486"/>
        <v>20251</v>
      </c>
      <c r="C1782" s="6">
        <f t="shared" ca="1" si="487"/>
        <v>2025</v>
      </c>
      <c r="D1782" s="6">
        <f t="shared" ca="1" si="488"/>
        <v>1</v>
      </c>
      <c r="E1782" s="68">
        <f ca="1">IFERROR(__xludf.DUMMYFUNCTION("""COMPUTED_VALUE"""),45688.6666666666)</f>
        <v>45688.666666666599</v>
      </c>
      <c r="F1782" s="6">
        <f ca="1">IFERROR(__xludf.DUMMYFUNCTION("""COMPUTED_VALUE"""),6040.53)</f>
        <v>6040.53</v>
      </c>
      <c r="J1782" s="6" t="str">
        <f t="shared" ca="1" si="489"/>
        <v>20251</v>
      </c>
      <c r="K1782" s="6">
        <f t="shared" ca="1" si="490"/>
        <v>2025</v>
      </c>
      <c r="L1782" s="6">
        <f t="shared" ca="1" si="491"/>
        <v>1</v>
      </c>
      <c r="M1782" s="68">
        <f ca="1">IFERROR(__xludf.DUMMYFUNCTION("""COMPUTED_VALUE"""),45681.6666666666)</f>
        <v>45681.666666666599</v>
      </c>
      <c r="N1782" s="6">
        <f ca="1">IFERROR(__xludf.DUMMYFUNCTION("""COMPUTED_VALUE"""),19954.3)</f>
        <v>19954.3</v>
      </c>
      <c r="R1782" s="6" t="str">
        <f t="shared" ca="1" si="492"/>
        <v>20254</v>
      </c>
      <c r="S1782" s="6">
        <f t="shared" ca="1" si="493"/>
        <v>2025</v>
      </c>
      <c r="T1782" s="6">
        <f t="shared" ca="1" si="494"/>
        <v>4</v>
      </c>
      <c r="U1782" s="68">
        <f ca="1">IFERROR(__xludf.DUMMYFUNCTION("""COMPUTED_VALUE"""),45754.6458333333)</f>
        <v>45754.645833333299</v>
      </c>
      <c r="V1782" s="6">
        <f ca="1">IFERROR(__xludf.DUMMYFUNCTION("""COMPUTED_VALUE"""),2328.2)</f>
        <v>2328.1999999999998</v>
      </c>
      <c r="Z1782" s="6" t="str">
        <f t="shared" ca="1" si="495"/>
        <v>20231</v>
      </c>
      <c r="AA1782" s="6">
        <f t="shared" ca="1" si="496"/>
        <v>2023</v>
      </c>
      <c r="AB1782" s="6">
        <f t="shared" ca="1" si="497"/>
        <v>1</v>
      </c>
      <c r="AC1782" s="68">
        <f ca="1">IFERROR(__xludf.DUMMYFUNCTION("""COMPUTED_VALUE"""),44931.9986111111)</f>
        <v>44931.998611111099</v>
      </c>
      <c r="AD1782" s="6">
        <f ca="1">IFERROR(__xludf.DUMMYFUNCTION("""COMPUTED_VALUE"""),1274.18)</f>
        <v>1274.18</v>
      </c>
      <c r="AH1782" s="6" t="str">
        <f t="shared" ca="1" si="498"/>
        <v>202211</v>
      </c>
      <c r="AI1782" s="6">
        <f t="shared" ca="1" si="499"/>
        <v>2022</v>
      </c>
      <c r="AJ1782" s="6">
        <f t="shared" ca="1" si="500"/>
        <v>11</v>
      </c>
      <c r="AK1782" s="68">
        <f ca="1">IFERROR(__xludf.DUMMYFUNCTION("""COMPUTED_VALUE"""),44875.9986111111)</f>
        <v>44875.998611111099</v>
      </c>
      <c r="AL1782" s="6">
        <f ca="1">IFERROR(__xludf.DUMMYFUNCTION("""COMPUTED_VALUE"""),17565.25)</f>
        <v>17565.25</v>
      </c>
      <c r="AP1782" s="6" t="str">
        <f t="shared" ca="1" si="501"/>
        <v>20252</v>
      </c>
      <c r="AQ1782" s="6">
        <f t="shared" ca="1" si="502"/>
        <v>2025</v>
      </c>
      <c r="AR1782" s="6">
        <f t="shared" ca="1" si="503"/>
        <v>2</v>
      </c>
      <c r="AS1782" s="68">
        <f ca="1">IFERROR(__xludf.DUMMYFUNCTION("""COMPUTED_VALUE"""),45695.9986111111)</f>
        <v>45695.998611111099</v>
      </c>
      <c r="AT1782" s="6">
        <f ca="1">IFERROR(__xludf.DUMMYFUNCTION("""COMPUTED_VALUE"""),2887.6)</f>
        <v>2887.6</v>
      </c>
    </row>
    <row r="1783" spans="2:46" x14ac:dyDescent="0.35">
      <c r="B1783" s="6" t="str">
        <f t="shared" ca="1" si="486"/>
        <v>20252</v>
      </c>
      <c r="C1783" s="6">
        <f t="shared" ca="1" si="487"/>
        <v>2025</v>
      </c>
      <c r="D1783" s="6">
        <f t="shared" ca="1" si="488"/>
        <v>2</v>
      </c>
      <c r="E1783" s="68">
        <f ca="1">IFERROR(__xludf.DUMMYFUNCTION("""COMPUTED_VALUE"""),45691.6666666666)</f>
        <v>45691.666666666599</v>
      </c>
      <c r="F1783" s="6">
        <f ca="1">IFERROR(__xludf.DUMMYFUNCTION("""COMPUTED_VALUE"""),5994.57)</f>
        <v>5994.57</v>
      </c>
      <c r="J1783" s="6" t="str">
        <f t="shared" ca="1" si="489"/>
        <v>20251</v>
      </c>
      <c r="K1783" s="6">
        <f t="shared" ca="1" si="490"/>
        <v>2025</v>
      </c>
      <c r="L1783" s="6">
        <f t="shared" ca="1" si="491"/>
        <v>1</v>
      </c>
      <c r="M1783" s="68">
        <f ca="1">IFERROR(__xludf.DUMMYFUNCTION("""COMPUTED_VALUE"""),45684.6666666666)</f>
        <v>45684.666666666599</v>
      </c>
      <c r="N1783" s="6">
        <f ca="1">IFERROR(__xludf.DUMMYFUNCTION("""COMPUTED_VALUE"""),19341.83)</f>
        <v>19341.830000000002</v>
      </c>
      <c r="R1783" s="6" t="str">
        <f t="shared" ca="1" si="492"/>
        <v>20254</v>
      </c>
      <c r="S1783" s="6">
        <f t="shared" ca="1" si="493"/>
        <v>2025</v>
      </c>
      <c r="T1783" s="6">
        <f t="shared" ca="1" si="494"/>
        <v>4</v>
      </c>
      <c r="U1783" s="68">
        <f ca="1">IFERROR(__xludf.DUMMYFUNCTION("""COMPUTED_VALUE"""),45755.6458333333)</f>
        <v>45755.645833333299</v>
      </c>
      <c r="V1783" s="6">
        <f ca="1">IFERROR(__xludf.DUMMYFUNCTION("""COMPUTED_VALUE"""),2334.23)</f>
        <v>2334.23</v>
      </c>
      <c r="Z1783" s="6" t="str">
        <f t="shared" ca="1" si="495"/>
        <v>20231</v>
      </c>
      <c r="AA1783" s="6">
        <f t="shared" ca="1" si="496"/>
        <v>2023</v>
      </c>
      <c r="AB1783" s="6">
        <f t="shared" ca="1" si="497"/>
        <v>1</v>
      </c>
      <c r="AC1783" s="68">
        <f ca="1">IFERROR(__xludf.DUMMYFUNCTION("""COMPUTED_VALUE"""),44932.9986111111)</f>
        <v>44932.998611111099</v>
      </c>
      <c r="AD1783" s="6">
        <f ca="1">IFERROR(__xludf.DUMMYFUNCTION("""COMPUTED_VALUE"""),1252.88)</f>
        <v>1252.8800000000001</v>
      </c>
      <c r="AH1783" s="6" t="str">
        <f t="shared" ca="1" si="498"/>
        <v>202211</v>
      </c>
      <c r="AI1783" s="6">
        <f t="shared" ca="1" si="499"/>
        <v>2022</v>
      </c>
      <c r="AJ1783" s="6">
        <f t="shared" ca="1" si="500"/>
        <v>11</v>
      </c>
      <c r="AK1783" s="68">
        <f ca="1">IFERROR(__xludf.DUMMYFUNCTION("""COMPUTED_VALUE"""),44876.9986111111)</f>
        <v>44876.998611111099</v>
      </c>
      <c r="AL1783" s="6">
        <f ca="1">IFERROR(__xludf.DUMMYFUNCTION("""COMPUTED_VALUE"""),17011.75)</f>
        <v>17011.75</v>
      </c>
      <c r="AP1783" s="6" t="str">
        <f t="shared" ca="1" si="501"/>
        <v>20252</v>
      </c>
      <c r="AQ1783" s="6">
        <f t="shared" ca="1" si="502"/>
        <v>2025</v>
      </c>
      <c r="AR1783" s="6">
        <f t="shared" ca="1" si="503"/>
        <v>2</v>
      </c>
      <c r="AS1783" s="68">
        <f ca="1">IFERROR(__xludf.DUMMYFUNCTION("""COMPUTED_VALUE"""),45698.9986111111)</f>
        <v>45698.998611111099</v>
      </c>
      <c r="AT1783" s="6">
        <f ca="1">IFERROR(__xludf.DUMMYFUNCTION("""COMPUTED_VALUE"""),2934.4)</f>
        <v>2934.4</v>
      </c>
    </row>
    <row r="1784" spans="2:46" x14ac:dyDescent="0.35">
      <c r="B1784" s="6" t="str">
        <f t="shared" ca="1" si="486"/>
        <v>20252</v>
      </c>
      <c r="C1784" s="6">
        <f t="shared" ca="1" si="487"/>
        <v>2025</v>
      </c>
      <c r="D1784" s="6">
        <f t="shared" ca="1" si="488"/>
        <v>2</v>
      </c>
      <c r="E1784" s="68">
        <f ca="1">IFERROR(__xludf.DUMMYFUNCTION("""COMPUTED_VALUE"""),45692.6666666666)</f>
        <v>45692.666666666599</v>
      </c>
      <c r="F1784" s="6">
        <f ca="1">IFERROR(__xludf.DUMMYFUNCTION("""COMPUTED_VALUE"""),6037.88)</f>
        <v>6037.88</v>
      </c>
      <c r="J1784" s="6" t="str">
        <f t="shared" ca="1" si="489"/>
        <v>20251</v>
      </c>
      <c r="K1784" s="6">
        <f t="shared" ca="1" si="490"/>
        <v>2025</v>
      </c>
      <c r="L1784" s="6">
        <f t="shared" ca="1" si="491"/>
        <v>1</v>
      </c>
      <c r="M1784" s="68">
        <f ca="1">IFERROR(__xludf.DUMMYFUNCTION("""COMPUTED_VALUE"""),45685.6666666666)</f>
        <v>45685.666666666599</v>
      </c>
      <c r="N1784" s="6">
        <f ca="1">IFERROR(__xludf.DUMMYFUNCTION("""COMPUTED_VALUE"""),19733.59)</f>
        <v>19733.59</v>
      </c>
      <c r="R1784" s="6" t="str">
        <f t="shared" ca="1" si="492"/>
        <v>20254</v>
      </c>
      <c r="S1784" s="6">
        <f t="shared" ca="1" si="493"/>
        <v>2025</v>
      </c>
      <c r="T1784" s="6">
        <f t="shared" ca="1" si="494"/>
        <v>4</v>
      </c>
      <c r="U1784" s="68">
        <f ca="1">IFERROR(__xludf.DUMMYFUNCTION("""COMPUTED_VALUE"""),45756.6458333333)</f>
        <v>45756.645833333299</v>
      </c>
      <c r="V1784" s="6">
        <f ca="1">IFERROR(__xludf.DUMMYFUNCTION("""COMPUTED_VALUE"""),2293.7)</f>
        <v>2293.6999999999998</v>
      </c>
      <c r="Z1784" s="6" t="str">
        <f t="shared" ca="1" si="495"/>
        <v>20231</v>
      </c>
      <c r="AA1784" s="6">
        <f t="shared" ca="1" si="496"/>
        <v>2023</v>
      </c>
      <c r="AB1784" s="6">
        <f t="shared" ca="1" si="497"/>
        <v>1</v>
      </c>
      <c r="AC1784" s="68">
        <f ca="1">IFERROR(__xludf.DUMMYFUNCTION("""COMPUTED_VALUE"""),44933.9986111111)</f>
        <v>44933.998611111099</v>
      </c>
      <c r="AD1784" s="6">
        <f ca="1">IFERROR(__xludf.DUMMYFUNCTION("""COMPUTED_VALUE"""),1252.88)</f>
        <v>1252.8800000000001</v>
      </c>
      <c r="AH1784" s="6" t="str">
        <f t="shared" ca="1" si="498"/>
        <v>202211</v>
      </c>
      <c r="AI1784" s="6">
        <f t="shared" ca="1" si="499"/>
        <v>2022</v>
      </c>
      <c r="AJ1784" s="6">
        <f t="shared" ca="1" si="500"/>
        <v>11</v>
      </c>
      <c r="AK1784" s="68">
        <f ca="1">IFERROR(__xludf.DUMMYFUNCTION("""COMPUTED_VALUE"""),44877.9986111111)</f>
        <v>44877.998611111099</v>
      </c>
      <c r="AL1784" s="6">
        <f ca="1">IFERROR(__xludf.DUMMYFUNCTION("""COMPUTED_VALUE"""),16782.38)</f>
        <v>16782.38</v>
      </c>
      <c r="AP1784" s="6" t="str">
        <f t="shared" ca="1" si="501"/>
        <v>20252</v>
      </c>
      <c r="AQ1784" s="6">
        <f t="shared" ca="1" si="502"/>
        <v>2025</v>
      </c>
      <c r="AR1784" s="6">
        <f t="shared" ca="1" si="503"/>
        <v>2</v>
      </c>
      <c r="AS1784" s="68">
        <f ca="1">IFERROR(__xludf.DUMMYFUNCTION("""COMPUTED_VALUE"""),45699.9986111111)</f>
        <v>45699.998611111099</v>
      </c>
      <c r="AT1784" s="6">
        <f ca="1">IFERROR(__xludf.DUMMYFUNCTION("""COMPUTED_VALUE"""),2932.6)</f>
        <v>2932.6</v>
      </c>
    </row>
    <row r="1785" spans="2:46" x14ac:dyDescent="0.35">
      <c r="B1785" s="6" t="str">
        <f t="shared" ca="1" si="486"/>
        <v>20252</v>
      </c>
      <c r="C1785" s="6">
        <f t="shared" ca="1" si="487"/>
        <v>2025</v>
      </c>
      <c r="D1785" s="6">
        <f t="shared" ca="1" si="488"/>
        <v>2</v>
      </c>
      <c r="E1785" s="68">
        <f ca="1">IFERROR(__xludf.DUMMYFUNCTION("""COMPUTED_VALUE"""),45693.6666666666)</f>
        <v>45693.666666666599</v>
      </c>
      <c r="F1785" s="6">
        <f ca="1">IFERROR(__xludf.DUMMYFUNCTION("""COMPUTED_VALUE"""),6061.48)</f>
        <v>6061.48</v>
      </c>
      <c r="J1785" s="6" t="str">
        <f t="shared" ca="1" si="489"/>
        <v>20251</v>
      </c>
      <c r="K1785" s="6">
        <f t="shared" ca="1" si="490"/>
        <v>2025</v>
      </c>
      <c r="L1785" s="6">
        <f t="shared" ca="1" si="491"/>
        <v>1</v>
      </c>
      <c r="M1785" s="68">
        <f ca="1">IFERROR(__xludf.DUMMYFUNCTION("""COMPUTED_VALUE"""),45686.6666666666)</f>
        <v>45686.666666666599</v>
      </c>
      <c r="N1785" s="6">
        <f ca="1">IFERROR(__xludf.DUMMYFUNCTION("""COMPUTED_VALUE"""),19632.32)</f>
        <v>19632.32</v>
      </c>
      <c r="R1785" s="6" t="str">
        <f t="shared" ca="1" si="492"/>
        <v>20254</v>
      </c>
      <c r="S1785" s="6">
        <f t="shared" ca="1" si="493"/>
        <v>2025</v>
      </c>
      <c r="T1785" s="6">
        <f t="shared" ca="1" si="494"/>
        <v>4</v>
      </c>
      <c r="U1785" s="68">
        <f ca="1">IFERROR(__xludf.DUMMYFUNCTION("""COMPUTED_VALUE"""),45757.6458333333)</f>
        <v>45757.645833333299</v>
      </c>
      <c r="V1785" s="6">
        <f ca="1">IFERROR(__xludf.DUMMYFUNCTION("""COMPUTED_VALUE"""),2445.06)</f>
        <v>2445.06</v>
      </c>
      <c r="Z1785" s="6" t="str">
        <f t="shared" ca="1" si="495"/>
        <v>20231</v>
      </c>
      <c r="AA1785" s="6">
        <f t="shared" ca="1" si="496"/>
        <v>2023</v>
      </c>
      <c r="AB1785" s="6">
        <f t="shared" ca="1" si="497"/>
        <v>1</v>
      </c>
      <c r="AC1785" s="68">
        <f ca="1">IFERROR(__xludf.DUMMYFUNCTION("""COMPUTED_VALUE"""),44934.9986111111)</f>
        <v>44934.998611111099</v>
      </c>
      <c r="AD1785" s="6">
        <f ca="1">IFERROR(__xludf.DUMMYFUNCTION("""COMPUTED_VALUE"""),1252.88)</f>
        <v>1252.8800000000001</v>
      </c>
      <c r="AH1785" s="6" t="str">
        <f t="shared" ca="1" si="498"/>
        <v>202211</v>
      </c>
      <c r="AI1785" s="6">
        <f t="shared" ca="1" si="499"/>
        <v>2022</v>
      </c>
      <c r="AJ1785" s="6">
        <f t="shared" ca="1" si="500"/>
        <v>11</v>
      </c>
      <c r="AK1785" s="68">
        <f ca="1">IFERROR(__xludf.DUMMYFUNCTION("""COMPUTED_VALUE"""),44878.9986111111)</f>
        <v>44878.998611111099</v>
      </c>
      <c r="AL1785" s="6">
        <f ca="1">IFERROR(__xludf.DUMMYFUNCTION("""COMPUTED_VALUE"""),16305.44)</f>
        <v>16305.44</v>
      </c>
      <c r="AP1785" s="6" t="str">
        <f t="shared" ca="1" si="501"/>
        <v>20252</v>
      </c>
      <c r="AQ1785" s="6">
        <f t="shared" ca="1" si="502"/>
        <v>2025</v>
      </c>
      <c r="AR1785" s="6">
        <f t="shared" ca="1" si="503"/>
        <v>2</v>
      </c>
      <c r="AS1785" s="68">
        <f ca="1">IFERROR(__xludf.DUMMYFUNCTION("""COMPUTED_VALUE"""),45700.9986111111)</f>
        <v>45700.998611111099</v>
      </c>
      <c r="AT1785" s="6">
        <f ca="1">IFERROR(__xludf.DUMMYFUNCTION("""COMPUTED_VALUE"""),2928.7)</f>
        <v>2928.7</v>
      </c>
    </row>
    <row r="1786" spans="2:46" x14ac:dyDescent="0.35">
      <c r="B1786" s="6" t="str">
        <f t="shared" ca="1" si="486"/>
        <v>20252</v>
      </c>
      <c r="C1786" s="6">
        <f t="shared" ca="1" si="487"/>
        <v>2025</v>
      </c>
      <c r="D1786" s="6">
        <f t="shared" ca="1" si="488"/>
        <v>2</v>
      </c>
      <c r="E1786" s="68">
        <f ca="1">IFERROR(__xludf.DUMMYFUNCTION("""COMPUTED_VALUE"""),45694.6666666666)</f>
        <v>45694.666666666599</v>
      </c>
      <c r="F1786" s="6">
        <f ca="1">IFERROR(__xludf.DUMMYFUNCTION("""COMPUTED_VALUE"""),6083.57)</f>
        <v>6083.57</v>
      </c>
      <c r="J1786" s="6" t="str">
        <f t="shared" ca="1" si="489"/>
        <v>20251</v>
      </c>
      <c r="K1786" s="6">
        <f t="shared" ca="1" si="490"/>
        <v>2025</v>
      </c>
      <c r="L1786" s="6">
        <f t="shared" ca="1" si="491"/>
        <v>1</v>
      </c>
      <c r="M1786" s="68">
        <f ca="1">IFERROR(__xludf.DUMMYFUNCTION("""COMPUTED_VALUE"""),45687.6666666666)</f>
        <v>45687.666666666599</v>
      </c>
      <c r="N1786" s="6">
        <f ca="1">IFERROR(__xludf.DUMMYFUNCTION("""COMPUTED_VALUE"""),19681.75)</f>
        <v>19681.75</v>
      </c>
      <c r="R1786" s="6" t="str">
        <f t="shared" ca="1" si="492"/>
        <v>20254</v>
      </c>
      <c r="S1786" s="6">
        <f t="shared" ca="1" si="493"/>
        <v>2025</v>
      </c>
      <c r="T1786" s="6">
        <f t="shared" ca="1" si="494"/>
        <v>4</v>
      </c>
      <c r="U1786" s="68">
        <f ca="1">IFERROR(__xludf.DUMMYFUNCTION("""COMPUTED_VALUE"""),45758.6458333333)</f>
        <v>45758.645833333299</v>
      </c>
      <c r="V1786" s="6">
        <f ca="1">IFERROR(__xludf.DUMMYFUNCTION("""COMPUTED_VALUE"""),2432.72)</f>
        <v>2432.7199999999998</v>
      </c>
      <c r="Z1786" s="6" t="str">
        <f t="shared" ca="1" si="495"/>
        <v>20231</v>
      </c>
      <c r="AA1786" s="6">
        <f t="shared" ca="1" si="496"/>
        <v>2023</v>
      </c>
      <c r="AB1786" s="6">
        <f t="shared" ca="1" si="497"/>
        <v>1</v>
      </c>
      <c r="AC1786" s="68">
        <f ca="1">IFERROR(__xludf.DUMMYFUNCTION("""COMPUTED_VALUE"""),44935.9986111111)</f>
        <v>44935.998611111099</v>
      </c>
      <c r="AD1786" s="6">
        <f ca="1">IFERROR(__xludf.DUMMYFUNCTION("""COMPUTED_VALUE"""),1239.28)</f>
        <v>1239.28</v>
      </c>
      <c r="AH1786" s="6" t="str">
        <f t="shared" ca="1" si="498"/>
        <v>202211</v>
      </c>
      <c r="AI1786" s="6">
        <f t="shared" ca="1" si="499"/>
        <v>2022</v>
      </c>
      <c r="AJ1786" s="6">
        <f t="shared" ca="1" si="500"/>
        <v>11</v>
      </c>
      <c r="AK1786" s="68">
        <f ca="1">IFERROR(__xludf.DUMMYFUNCTION("""COMPUTED_VALUE"""),44879.9986111111)</f>
        <v>44879.998611111099</v>
      </c>
      <c r="AL1786" s="6">
        <f ca="1">IFERROR(__xludf.DUMMYFUNCTION("""COMPUTED_VALUE"""),16597.69)</f>
        <v>16597.689999999999</v>
      </c>
      <c r="AP1786" s="6" t="str">
        <f t="shared" ca="1" si="501"/>
        <v>20252</v>
      </c>
      <c r="AQ1786" s="6">
        <f t="shared" ca="1" si="502"/>
        <v>2025</v>
      </c>
      <c r="AR1786" s="6">
        <f t="shared" ca="1" si="503"/>
        <v>2</v>
      </c>
      <c r="AS1786" s="68">
        <f ca="1">IFERROR(__xludf.DUMMYFUNCTION("""COMPUTED_VALUE"""),45701.9986111111)</f>
        <v>45701.998611111099</v>
      </c>
      <c r="AT1786" s="6">
        <f ca="1">IFERROR(__xludf.DUMMYFUNCTION("""COMPUTED_VALUE"""),2945.4)</f>
        <v>2945.4</v>
      </c>
    </row>
    <row r="1787" spans="2:46" x14ac:dyDescent="0.35">
      <c r="B1787" s="6" t="str">
        <f t="shared" ca="1" si="486"/>
        <v>20252</v>
      </c>
      <c r="C1787" s="6">
        <f t="shared" ca="1" si="487"/>
        <v>2025</v>
      </c>
      <c r="D1787" s="6">
        <f t="shared" ca="1" si="488"/>
        <v>2</v>
      </c>
      <c r="E1787" s="68">
        <f ca="1">IFERROR(__xludf.DUMMYFUNCTION("""COMPUTED_VALUE"""),45695.6666666666)</f>
        <v>45695.666666666599</v>
      </c>
      <c r="F1787" s="6">
        <f ca="1">IFERROR(__xludf.DUMMYFUNCTION("""COMPUTED_VALUE"""),6025.99)</f>
        <v>6025.99</v>
      </c>
      <c r="J1787" s="6" t="str">
        <f t="shared" ca="1" si="489"/>
        <v>20251</v>
      </c>
      <c r="K1787" s="6">
        <f t="shared" ca="1" si="490"/>
        <v>2025</v>
      </c>
      <c r="L1787" s="6">
        <f t="shared" ca="1" si="491"/>
        <v>1</v>
      </c>
      <c r="M1787" s="68">
        <f ca="1">IFERROR(__xludf.DUMMYFUNCTION("""COMPUTED_VALUE"""),45688.6666666666)</f>
        <v>45688.666666666599</v>
      </c>
      <c r="N1787" s="6">
        <f ca="1">IFERROR(__xludf.DUMMYFUNCTION("""COMPUTED_VALUE"""),19627.44)</f>
        <v>19627.439999999999</v>
      </c>
      <c r="R1787" s="6" t="str">
        <f t="shared" ca="1" si="492"/>
        <v>20254</v>
      </c>
      <c r="S1787" s="6">
        <f t="shared" ca="1" si="493"/>
        <v>2025</v>
      </c>
      <c r="T1787" s="6">
        <f t="shared" ca="1" si="494"/>
        <v>4</v>
      </c>
      <c r="U1787" s="68">
        <f ca="1">IFERROR(__xludf.DUMMYFUNCTION("""COMPUTED_VALUE"""),45761.6458333333)</f>
        <v>45761.645833333299</v>
      </c>
      <c r="V1787" s="6">
        <f ca="1">IFERROR(__xludf.DUMMYFUNCTION("""COMPUTED_VALUE"""),2455.89)</f>
        <v>2455.89</v>
      </c>
      <c r="Z1787" s="6" t="str">
        <f t="shared" ca="1" si="495"/>
        <v>20231</v>
      </c>
      <c r="AA1787" s="6">
        <f t="shared" ca="1" si="496"/>
        <v>2023</v>
      </c>
      <c r="AB1787" s="6">
        <f t="shared" ca="1" si="497"/>
        <v>1</v>
      </c>
      <c r="AC1787" s="68">
        <f ca="1">IFERROR(__xludf.DUMMYFUNCTION("""COMPUTED_VALUE"""),44936.9986111111)</f>
        <v>44936.998611111099</v>
      </c>
      <c r="AD1787" s="6">
        <f ca="1">IFERROR(__xludf.DUMMYFUNCTION("""COMPUTED_VALUE"""),1240.16)</f>
        <v>1240.1600000000001</v>
      </c>
      <c r="AH1787" s="6" t="str">
        <f t="shared" ca="1" si="498"/>
        <v>202211</v>
      </c>
      <c r="AI1787" s="6">
        <f t="shared" ca="1" si="499"/>
        <v>2022</v>
      </c>
      <c r="AJ1787" s="6">
        <f t="shared" ca="1" si="500"/>
        <v>11</v>
      </c>
      <c r="AK1787" s="68">
        <f ca="1">IFERROR(__xludf.DUMMYFUNCTION("""COMPUTED_VALUE"""),44880.9986111111)</f>
        <v>44880.998611111099</v>
      </c>
      <c r="AL1787" s="6">
        <f ca="1">IFERROR(__xludf.DUMMYFUNCTION("""COMPUTED_VALUE"""),16877.02)</f>
        <v>16877.02</v>
      </c>
      <c r="AP1787" s="6" t="str">
        <f t="shared" ca="1" si="501"/>
        <v>20252</v>
      </c>
      <c r="AQ1787" s="6">
        <f t="shared" ca="1" si="502"/>
        <v>2025</v>
      </c>
      <c r="AR1787" s="6">
        <f t="shared" ca="1" si="503"/>
        <v>2</v>
      </c>
      <c r="AS1787" s="68">
        <f ca="1">IFERROR(__xludf.DUMMYFUNCTION("""COMPUTED_VALUE"""),45702.9986111111)</f>
        <v>45702.998611111099</v>
      </c>
      <c r="AT1787" s="6">
        <f ca="1">IFERROR(__xludf.DUMMYFUNCTION("""COMPUTED_VALUE"""),2900.7)</f>
        <v>2900.7</v>
      </c>
    </row>
    <row r="1788" spans="2:46" x14ac:dyDescent="0.35">
      <c r="B1788" s="6" t="str">
        <f t="shared" ca="1" si="486"/>
        <v>20252</v>
      </c>
      <c r="C1788" s="6">
        <f t="shared" ca="1" si="487"/>
        <v>2025</v>
      </c>
      <c r="D1788" s="6">
        <f t="shared" ca="1" si="488"/>
        <v>2</v>
      </c>
      <c r="E1788" s="68">
        <f ca="1">IFERROR(__xludf.DUMMYFUNCTION("""COMPUTED_VALUE"""),45698.6666666666)</f>
        <v>45698.666666666599</v>
      </c>
      <c r="F1788" s="6">
        <f ca="1">IFERROR(__xludf.DUMMYFUNCTION("""COMPUTED_VALUE"""),6066.44)</f>
        <v>6066.44</v>
      </c>
      <c r="J1788" s="6" t="str">
        <f t="shared" ca="1" si="489"/>
        <v>20252</v>
      </c>
      <c r="K1788" s="6">
        <f t="shared" ca="1" si="490"/>
        <v>2025</v>
      </c>
      <c r="L1788" s="6">
        <f t="shared" ca="1" si="491"/>
        <v>2</v>
      </c>
      <c r="M1788" s="68">
        <f ca="1">IFERROR(__xludf.DUMMYFUNCTION("""COMPUTED_VALUE"""),45691.6666666666)</f>
        <v>45691.666666666599</v>
      </c>
      <c r="N1788" s="6">
        <f ca="1">IFERROR(__xludf.DUMMYFUNCTION("""COMPUTED_VALUE"""),19391.96)</f>
        <v>19391.96</v>
      </c>
      <c r="R1788" s="6" t="str">
        <f t="shared" ca="1" si="492"/>
        <v>20254</v>
      </c>
      <c r="S1788" s="6">
        <f t="shared" ca="1" si="493"/>
        <v>2025</v>
      </c>
      <c r="T1788" s="6">
        <f t="shared" ca="1" si="494"/>
        <v>4</v>
      </c>
      <c r="U1788" s="68">
        <f ca="1">IFERROR(__xludf.DUMMYFUNCTION("""COMPUTED_VALUE"""),45762.6458333333)</f>
        <v>45762.645833333299</v>
      </c>
      <c r="V1788" s="6">
        <f ca="1">IFERROR(__xludf.DUMMYFUNCTION("""COMPUTED_VALUE"""),2477.41)</f>
        <v>2477.41</v>
      </c>
      <c r="Z1788" s="6" t="str">
        <f t="shared" ca="1" si="495"/>
        <v>20231</v>
      </c>
      <c r="AA1788" s="6">
        <f t="shared" ca="1" si="496"/>
        <v>2023</v>
      </c>
      <c r="AB1788" s="6">
        <f t="shared" ca="1" si="497"/>
        <v>1</v>
      </c>
      <c r="AC1788" s="68">
        <f ca="1">IFERROR(__xludf.DUMMYFUNCTION("""COMPUTED_VALUE"""),44937.9986111111)</f>
        <v>44937.998611111099</v>
      </c>
      <c r="AD1788" s="6">
        <f ca="1">IFERROR(__xludf.DUMMYFUNCTION("""COMPUTED_VALUE"""),1241.6)</f>
        <v>1241.5999999999999</v>
      </c>
      <c r="AH1788" s="6" t="str">
        <f t="shared" ca="1" si="498"/>
        <v>202211</v>
      </c>
      <c r="AI1788" s="6">
        <f t="shared" ca="1" si="499"/>
        <v>2022</v>
      </c>
      <c r="AJ1788" s="6">
        <f t="shared" ca="1" si="500"/>
        <v>11</v>
      </c>
      <c r="AK1788" s="68">
        <f ca="1">IFERROR(__xludf.DUMMYFUNCTION("""COMPUTED_VALUE"""),44881.9986111111)</f>
        <v>44881.998611111099</v>
      </c>
      <c r="AL1788" s="6">
        <f ca="1">IFERROR(__xludf.DUMMYFUNCTION("""COMPUTED_VALUE"""),16659.37)</f>
        <v>16659.37</v>
      </c>
      <c r="AP1788" s="6" t="str">
        <f t="shared" ca="1" si="501"/>
        <v>20252</v>
      </c>
      <c r="AQ1788" s="6">
        <f t="shared" ca="1" si="502"/>
        <v>2025</v>
      </c>
      <c r="AR1788" s="6">
        <f t="shared" ca="1" si="503"/>
        <v>2</v>
      </c>
      <c r="AS1788" s="68">
        <f ca="1">IFERROR(__xludf.DUMMYFUNCTION("""COMPUTED_VALUE"""),45706.9986111111)</f>
        <v>45706.998611111099</v>
      </c>
      <c r="AT1788" s="6">
        <f ca="1">IFERROR(__xludf.DUMMYFUNCTION("""COMPUTED_VALUE"""),2949)</f>
        <v>2949</v>
      </c>
    </row>
    <row r="1789" spans="2:46" x14ac:dyDescent="0.35">
      <c r="B1789" s="6" t="str">
        <f t="shared" ca="1" si="486"/>
        <v>20252</v>
      </c>
      <c r="C1789" s="6">
        <f t="shared" ca="1" si="487"/>
        <v>2025</v>
      </c>
      <c r="D1789" s="6">
        <f t="shared" ca="1" si="488"/>
        <v>2</v>
      </c>
      <c r="E1789" s="68">
        <f ca="1">IFERROR(__xludf.DUMMYFUNCTION("""COMPUTED_VALUE"""),45699.6666666666)</f>
        <v>45699.666666666599</v>
      </c>
      <c r="F1789" s="6">
        <f ca="1">IFERROR(__xludf.DUMMYFUNCTION("""COMPUTED_VALUE"""),6068.5)</f>
        <v>6068.5</v>
      </c>
      <c r="J1789" s="6" t="str">
        <f t="shared" ca="1" si="489"/>
        <v>20252</v>
      </c>
      <c r="K1789" s="6">
        <f t="shared" ca="1" si="490"/>
        <v>2025</v>
      </c>
      <c r="L1789" s="6">
        <f t="shared" ca="1" si="491"/>
        <v>2</v>
      </c>
      <c r="M1789" s="68">
        <f ca="1">IFERROR(__xludf.DUMMYFUNCTION("""COMPUTED_VALUE"""),45692.6666666666)</f>
        <v>45692.666666666599</v>
      </c>
      <c r="N1789" s="6">
        <f ca="1">IFERROR(__xludf.DUMMYFUNCTION("""COMPUTED_VALUE"""),19654.02)</f>
        <v>19654.02</v>
      </c>
      <c r="R1789" s="6" t="str">
        <f t="shared" ca="1" si="492"/>
        <v>20254</v>
      </c>
      <c r="S1789" s="6">
        <f t="shared" ca="1" si="493"/>
        <v>2025</v>
      </c>
      <c r="T1789" s="6">
        <f t="shared" ca="1" si="494"/>
        <v>4</v>
      </c>
      <c r="U1789" s="68">
        <f ca="1">IFERROR(__xludf.DUMMYFUNCTION("""COMPUTED_VALUE"""),45763.6458333333)</f>
        <v>45763.645833333299</v>
      </c>
      <c r="V1789" s="6">
        <f ca="1">IFERROR(__xludf.DUMMYFUNCTION("""COMPUTED_VALUE"""),2447.43)</f>
        <v>2447.4299999999998</v>
      </c>
      <c r="Z1789" s="6" t="str">
        <f t="shared" ca="1" si="495"/>
        <v>20231</v>
      </c>
      <c r="AA1789" s="6">
        <f t="shared" ca="1" si="496"/>
        <v>2023</v>
      </c>
      <c r="AB1789" s="6">
        <f t="shared" ca="1" si="497"/>
        <v>1</v>
      </c>
      <c r="AC1789" s="68">
        <f ca="1">IFERROR(__xludf.DUMMYFUNCTION("""COMPUTED_VALUE"""),44938.9986111111)</f>
        <v>44938.998611111099</v>
      </c>
      <c r="AD1789" s="6">
        <f ca="1">IFERROR(__xludf.DUMMYFUNCTION("""COMPUTED_VALUE"""),1239.13)</f>
        <v>1239.1300000000001</v>
      </c>
      <c r="AH1789" s="6" t="str">
        <f t="shared" ca="1" si="498"/>
        <v>202211</v>
      </c>
      <c r="AI1789" s="6">
        <f t="shared" ca="1" si="499"/>
        <v>2022</v>
      </c>
      <c r="AJ1789" s="6">
        <f t="shared" ca="1" si="500"/>
        <v>11</v>
      </c>
      <c r="AK1789" s="68">
        <f ca="1">IFERROR(__xludf.DUMMYFUNCTION("""COMPUTED_VALUE"""),44882.9986111111)</f>
        <v>44882.998611111099</v>
      </c>
      <c r="AL1789" s="6">
        <f ca="1">IFERROR(__xludf.DUMMYFUNCTION("""COMPUTED_VALUE"""),16681.11)</f>
        <v>16681.11</v>
      </c>
      <c r="AP1789" s="6" t="str">
        <f t="shared" ca="1" si="501"/>
        <v>20252</v>
      </c>
      <c r="AQ1789" s="6">
        <f t="shared" ca="1" si="502"/>
        <v>2025</v>
      </c>
      <c r="AR1789" s="6">
        <f t="shared" ca="1" si="503"/>
        <v>2</v>
      </c>
      <c r="AS1789" s="68">
        <f ca="1">IFERROR(__xludf.DUMMYFUNCTION("""COMPUTED_VALUE"""),45707.9986111111)</f>
        <v>45707.998611111099</v>
      </c>
      <c r="AT1789" s="6">
        <f ca="1">IFERROR(__xludf.DUMMYFUNCTION("""COMPUTED_VALUE"""),2936.1)</f>
        <v>2936.1</v>
      </c>
    </row>
    <row r="1790" spans="2:46" x14ac:dyDescent="0.35">
      <c r="B1790" s="6" t="str">
        <f t="shared" ca="1" si="486"/>
        <v>20252</v>
      </c>
      <c r="C1790" s="6">
        <f t="shared" ca="1" si="487"/>
        <v>2025</v>
      </c>
      <c r="D1790" s="6">
        <f t="shared" ca="1" si="488"/>
        <v>2</v>
      </c>
      <c r="E1790" s="68">
        <f ca="1">IFERROR(__xludf.DUMMYFUNCTION("""COMPUTED_VALUE"""),45700.6666666666)</f>
        <v>45700.666666666599</v>
      </c>
      <c r="F1790" s="6">
        <f ca="1">IFERROR(__xludf.DUMMYFUNCTION("""COMPUTED_VALUE"""),6051.97)</f>
        <v>6051.97</v>
      </c>
      <c r="J1790" s="6" t="str">
        <f t="shared" ca="1" si="489"/>
        <v>20252</v>
      </c>
      <c r="K1790" s="6">
        <f t="shared" ca="1" si="490"/>
        <v>2025</v>
      </c>
      <c r="L1790" s="6">
        <f t="shared" ca="1" si="491"/>
        <v>2</v>
      </c>
      <c r="M1790" s="68">
        <f ca="1">IFERROR(__xludf.DUMMYFUNCTION("""COMPUTED_VALUE"""),45693.6666666666)</f>
        <v>45693.666666666599</v>
      </c>
      <c r="N1790" s="6">
        <f ca="1">IFERROR(__xludf.DUMMYFUNCTION("""COMPUTED_VALUE"""),19692.33)</f>
        <v>19692.330000000002</v>
      </c>
      <c r="R1790" s="6" t="str">
        <f t="shared" ca="1" si="492"/>
        <v>20254</v>
      </c>
      <c r="S1790" s="6">
        <f t="shared" ca="1" si="493"/>
        <v>2025</v>
      </c>
      <c r="T1790" s="6">
        <f t="shared" ca="1" si="494"/>
        <v>4</v>
      </c>
      <c r="U1790" s="68">
        <f ca="1">IFERROR(__xludf.DUMMYFUNCTION("""COMPUTED_VALUE"""),45764.6458333333)</f>
        <v>45764.645833333299</v>
      </c>
      <c r="V1790" s="6">
        <f ca="1">IFERROR(__xludf.DUMMYFUNCTION("""COMPUTED_VALUE"""),2470.41)</f>
        <v>2470.41</v>
      </c>
      <c r="Z1790" s="6" t="str">
        <f t="shared" ca="1" si="495"/>
        <v>20231</v>
      </c>
      <c r="AA1790" s="6">
        <f t="shared" ca="1" si="496"/>
        <v>2023</v>
      </c>
      <c r="AB1790" s="6">
        <f t="shared" ca="1" si="497"/>
        <v>1</v>
      </c>
      <c r="AC1790" s="68">
        <f ca="1">IFERROR(__xludf.DUMMYFUNCTION("""COMPUTED_VALUE"""),44939.9986111111)</f>
        <v>44939.998611111099</v>
      </c>
      <c r="AD1790" s="6">
        <f ca="1">IFERROR(__xludf.DUMMYFUNCTION("""COMPUTED_VALUE"""),1237.31)</f>
        <v>1237.31</v>
      </c>
      <c r="AH1790" s="6" t="str">
        <f t="shared" ca="1" si="498"/>
        <v>202211</v>
      </c>
      <c r="AI1790" s="6">
        <f t="shared" ca="1" si="499"/>
        <v>2022</v>
      </c>
      <c r="AJ1790" s="6">
        <f t="shared" ca="1" si="500"/>
        <v>11</v>
      </c>
      <c r="AK1790" s="68">
        <f ca="1">IFERROR(__xludf.DUMMYFUNCTION("""COMPUTED_VALUE"""),44883.9986111111)</f>
        <v>44883.998611111099</v>
      </c>
      <c r="AL1790" s="6">
        <f ca="1">IFERROR(__xludf.DUMMYFUNCTION("""COMPUTED_VALUE"""),16683.38)</f>
        <v>16683.38</v>
      </c>
      <c r="AP1790" s="6" t="str">
        <f t="shared" ca="1" si="501"/>
        <v>20252</v>
      </c>
      <c r="AQ1790" s="6">
        <f t="shared" ca="1" si="502"/>
        <v>2025</v>
      </c>
      <c r="AR1790" s="6">
        <f t="shared" ca="1" si="503"/>
        <v>2</v>
      </c>
      <c r="AS1790" s="68">
        <f ca="1">IFERROR(__xludf.DUMMYFUNCTION("""COMPUTED_VALUE"""),45708.9986111111)</f>
        <v>45708.998611111099</v>
      </c>
      <c r="AT1790" s="6">
        <f ca="1">IFERROR(__xludf.DUMMYFUNCTION("""COMPUTED_VALUE"""),2956.1)</f>
        <v>2956.1</v>
      </c>
    </row>
    <row r="1791" spans="2:46" x14ac:dyDescent="0.35">
      <c r="B1791" s="6" t="str">
        <f t="shared" ca="1" si="486"/>
        <v>20252</v>
      </c>
      <c r="C1791" s="6">
        <f t="shared" ca="1" si="487"/>
        <v>2025</v>
      </c>
      <c r="D1791" s="6">
        <f t="shared" ca="1" si="488"/>
        <v>2</v>
      </c>
      <c r="E1791" s="68">
        <f ca="1">IFERROR(__xludf.DUMMYFUNCTION("""COMPUTED_VALUE"""),45701.6666666666)</f>
        <v>45701.666666666599</v>
      </c>
      <c r="F1791" s="6">
        <f ca="1">IFERROR(__xludf.DUMMYFUNCTION("""COMPUTED_VALUE"""),6115.07)</f>
        <v>6115.07</v>
      </c>
      <c r="J1791" s="6" t="str">
        <f t="shared" ca="1" si="489"/>
        <v>20252</v>
      </c>
      <c r="K1791" s="6">
        <f t="shared" ca="1" si="490"/>
        <v>2025</v>
      </c>
      <c r="L1791" s="6">
        <f t="shared" ca="1" si="491"/>
        <v>2</v>
      </c>
      <c r="M1791" s="68">
        <f ca="1">IFERROR(__xludf.DUMMYFUNCTION("""COMPUTED_VALUE"""),45694.6666666666)</f>
        <v>45694.666666666599</v>
      </c>
      <c r="N1791" s="6">
        <f ca="1">IFERROR(__xludf.DUMMYFUNCTION("""COMPUTED_VALUE"""),19791.99)</f>
        <v>19791.990000000002</v>
      </c>
      <c r="R1791" s="6" t="str">
        <f t="shared" ca="1" si="492"/>
        <v>20254</v>
      </c>
      <c r="S1791" s="6">
        <f t="shared" ca="1" si="493"/>
        <v>2025</v>
      </c>
      <c r="T1791" s="6">
        <f t="shared" ca="1" si="494"/>
        <v>4</v>
      </c>
      <c r="U1791" s="68">
        <f ca="1">IFERROR(__xludf.DUMMYFUNCTION("""COMPUTED_VALUE"""),45765.6458333333)</f>
        <v>45765.645833333299</v>
      </c>
      <c r="V1791" s="6">
        <f ca="1">IFERROR(__xludf.DUMMYFUNCTION("""COMPUTED_VALUE"""),2483.42)</f>
        <v>2483.42</v>
      </c>
      <c r="Z1791" s="6" t="str">
        <f t="shared" ca="1" si="495"/>
        <v>20231</v>
      </c>
      <c r="AA1791" s="6">
        <f t="shared" ca="1" si="496"/>
        <v>2023</v>
      </c>
      <c r="AB1791" s="6">
        <f t="shared" ca="1" si="497"/>
        <v>1</v>
      </c>
      <c r="AC1791" s="68">
        <f ca="1">IFERROR(__xludf.DUMMYFUNCTION("""COMPUTED_VALUE"""),44940.9986111111)</f>
        <v>44940.998611111099</v>
      </c>
      <c r="AD1791" s="6">
        <f ca="1">IFERROR(__xludf.DUMMYFUNCTION("""COMPUTED_VALUE"""),1236.59)</f>
        <v>1236.5899999999999</v>
      </c>
      <c r="AH1791" s="6" t="str">
        <f t="shared" ca="1" si="498"/>
        <v>202211</v>
      </c>
      <c r="AI1791" s="6">
        <f t="shared" ca="1" si="499"/>
        <v>2022</v>
      </c>
      <c r="AJ1791" s="6">
        <f t="shared" ca="1" si="500"/>
        <v>11</v>
      </c>
      <c r="AK1791" s="68">
        <f ca="1">IFERROR(__xludf.DUMMYFUNCTION("""COMPUTED_VALUE"""),44884.9986111111)</f>
        <v>44884.998611111099</v>
      </c>
      <c r="AL1791" s="6">
        <f ca="1">IFERROR(__xludf.DUMMYFUNCTION("""COMPUTED_VALUE"""),16692.46)</f>
        <v>16692.46</v>
      </c>
      <c r="AP1791" s="6" t="str">
        <f t="shared" ca="1" si="501"/>
        <v>20252</v>
      </c>
      <c r="AQ1791" s="6">
        <f t="shared" ca="1" si="502"/>
        <v>2025</v>
      </c>
      <c r="AR1791" s="6">
        <f t="shared" ca="1" si="503"/>
        <v>2</v>
      </c>
      <c r="AS1791" s="68">
        <f ca="1">IFERROR(__xludf.DUMMYFUNCTION("""COMPUTED_VALUE"""),45709.9986111111)</f>
        <v>45709.998611111099</v>
      </c>
      <c r="AT1791" s="6">
        <f ca="1">IFERROR(__xludf.DUMMYFUNCTION("""COMPUTED_VALUE"""),2953.2)</f>
        <v>2953.2</v>
      </c>
    </row>
    <row r="1792" spans="2:46" x14ac:dyDescent="0.35">
      <c r="B1792" s="6" t="str">
        <f t="shared" ca="1" si="486"/>
        <v>20252</v>
      </c>
      <c r="C1792" s="6">
        <f t="shared" ca="1" si="487"/>
        <v>2025</v>
      </c>
      <c r="D1792" s="6">
        <f t="shared" ca="1" si="488"/>
        <v>2</v>
      </c>
      <c r="E1792" s="68">
        <f ca="1">IFERROR(__xludf.DUMMYFUNCTION("""COMPUTED_VALUE"""),45702.6666666666)</f>
        <v>45702.666666666599</v>
      </c>
      <c r="F1792" s="6">
        <f ca="1">IFERROR(__xludf.DUMMYFUNCTION("""COMPUTED_VALUE"""),6114.63)</f>
        <v>6114.63</v>
      </c>
      <c r="J1792" s="6" t="str">
        <f t="shared" ca="1" si="489"/>
        <v>20252</v>
      </c>
      <c r="K1792" s="6">
        <f t="shared" ca="1" si="490"/>
        <v>2025</v>
      </c>
      <c r="L1792" s="6">
        <f t="shared" ca="1" si="491"/>
        <v>2</v>
      </c>
      <c r="M1792" s="68">
        <f ca="1">IFERROR(__xludf.DUMMYFUNCTION("""COMPUTED_VALUE"""),45695.6666666666)</f>
        <v>45695.666666666599</v>
      </c>
      <c r="N1792" s="6">
        <f ca="1">IFERROR(__xludf.DUMMYFUNCTION("""COMPUTED_VALUE"""),19523.4)</f>
        <v>19523.400000000001</v>
      </c>
      <c r="R1792" s="6" t="str">
        <f t="shared" ca="1" si="492"/>
        <v>20254</v>
      </c>
      <c r="S1792" s="6">
        <f t="shared" ca="1" si="493"/>
        <v>2025</v>
      </c>
      <c r="T1792" s="6">
        <f t="shared" ca="1" si="494"/>
        <v>4</v>
      </c>
      <c r="U1792" s="68">
        <f ca="1">IFERROR(__xludf.DUMMYFUNCTION("""COMPUTED_VALUE"""),45768.6458333333)</f>
        <v>45768.645833333299</v>
      </c>
      <c r="V1792" s="6">
        <f ca="1">IFERROR(__xludf.DUMMYFUNCTION("""COMPUTED_VALUE"""),2488.42)</f>
        <v>2488.42</v>
      </c>
      <c r="Z1792" s="6" t="str">
        <f t="shared" ca="1" si="495"/>
        <v>20231</v>
      </c>
      <c r="AA1792" s="6">
        <f t="shared" ca="1" si="496"/>
        <v>2023</v>
      </c>
      <c r="AB1792" s="6">
        <f t="shared" ca="1" si="497"/>
        <v>1</v>
      </c>
      <c r="AC1792" s="68">
        <f ca="1">IFERROR(__xludf.DUMMYFUNCTION("""COMPUTED_VALUE"""),44941.9986111111)</f>
        <v>44941.998611111099</v>
      </c>
      <c r="AD1792" s="6">
        <f ca="1">IFERROR(__xludf.DUMMYFUNCTION("""COMPUTED_VALUE"""),1236.59)</f>
        <v>1236.5899999999999</v>
      </c>
      <c r="AH1792" s="6" t="str">
        <f t="shared" ca="1" si="498"/>
        <v>202211</v>
      </c>
      <c r="AI1792" s="6">
        <f t="shared" ca="1" si="499"/>
        <v>2022</v>
      </c>
      <c r="AJ1792" s="6">
        <f t="shared" ca="1" si="500"/>
        <v>11</v>
      </c>
      <c r="AK1792" s="68">
        <f ca="1">IFERROR(__xludf.DUMMYFUNCTION("""COMPUTED_VALUE"""),44885.9986111111)</f>
        <v>44885.998611111099</v>
      </c>
      <c r="AL1792" s="6">
        <f ca="1">IFERROR(__xludf.DUMMYFUNCTION("""COMPUTED_VALUE"""),16263.55)</f>
        <v>16263.55</v>
      </c>
      <c r="AP1792" s="6" t="str">
        <f t="shared" ca="1" si="501"/>
        <v>20252</v>
      </c>
      <c r="AQ1792" s="6">
        <f t="shared" ca="1" si="502"/>
        <v>2025</v>
      </c>
      <c r="AR1792" s="6">
        <f t="shared" ca="1" si="503"/>
        <v>2</v>
      </c>
      <c r="AS1792" s="68">
        <f ca="1">IFERROR(__xludf.DUMMYFUNCTION("""COMPUTED_VALUE"""),45712.9986111111)</f>
        <v>45712.998611111099</v>
      </c>
      <c r="AT1792" s="6">
        <f ca="1">IFERROR(__xludf.DUMMYFUNCTION("""COMPUTED_VALUE"""),2963.2)</f>
        <v>2963.2</v>
      </c>
    </row>
    <row r="1793" spans="2:46" x14ac:dyDescent="0.35">
      <c r="B1793" s="6" t="str">
        <f t="shared" ca="1" si="486"/>
        <v>20252</v>
      </c>
      <c r="C1793" s="6">
        <f t="shared" ca="1" si="487"/>
        <v>2025</v>
      </c>
      <c r="D1793" s="6">
        <f t="shared" ca="1" si="488"/>
        <v>2</v>
      </c>
      <c r="E1793" s="68">
        <f ca="1">IFERROR(__xludf.DUMMYFUNCTION("""COMPUTED_VALUE"""),45706.6666666666)</f>
        <v>45706.666666666599</v>
      </c>
      <c r="F1793" s="6">
        <f ca="1">IFERROR(__xludf.DUMMYFUNCTION("""COMPUTED_VALUE"""),6129.58)</f>
        <v>6129.58</v>
      </c>
      <c r="J1793" s="6" t="str">
        <f t="shared" ca="1" si="489"/>
        <v>20252</v>
      </c>
      <c r="K1793" s="6">
        <f t="shared" ca="1" si="490"/>
        <v>2025</v>
      </c>
      <c r="L1793" s="6">
        <f t="shared" ca="1" si="491"/>
        <v>2</v>
      </c>
      <c r="M1793" s="68">
        <f ca="1">IFERROR(__xludf.DUMMYFUNCTION("""COMPUTED_VALUE"""),45698.6666666666)</f>
        <v>45698.666666666599</v>
      </c>
      <c r="N1793" s="6">
        <f ca="1">IFERROR(__xludf.DUMMYFUNCTION("""COMPUTED_VALUE"""),19714.27)</f>
        <v>19714.27</v>
      </c>
      <c r="R1793" s="6" t="str">
        <f t="shared" ca="1" si="492"/>
        <v>20254</v>
      </c>
      <c r="S1793" s="6">
        <f t="shared" ca="1" si="493"/>
        <v>2025</v>
      </c>
      <c r="T1793" s="6">
        <f t="shared" ca="1" si="494"/>
        <v>4</v>
      </c>
      <c r="U1793" s="68">
        <f ca="1">IFERROR(__xludf.DUMMYFUNCTION("""COMPUTED_VALUE"""),45769.6458333333)</f>
        <v>45769.645833333299</v>
      </c>
      <c r="V1793" s="6">
        <f ca="1">IFERROR(__xludf.DUMMYFUNCTION("""COMPUTED_VALUE"""),2486.64)</f>
        <v>2486.64</v>
      </c>
      <c r="Z1793" s="6" t="str">
        <f t="shared" ca="1" si="495"/>
        <v>20231</v>
      </c>
      <c r="AA1793" s="6">
        <f t="shared" ca="1" si="496"/>
        <v>2023</v>
      </c>
      <c r="AB1793" s="6">
        <f t="shared" ca="1" si="497"/>
        <v>1</v>
      </c>
      <c r="AC1793" s="68">
        <f ca="1">IFERROR(__xludf.DUMMYFUNCTION("""COMPUTED_VALUE"""),44942.9986111111)</f>
        <v>44942.998611111099</v>
      </c>
      <c r="AD1793" s="6">
        <f ca="1">IFERROR(__xludf.DUMMYFUNCTION("""COMPUTED_VALUE"""),1240.71)</f>
        <v>1240.71</v>
      </c>
      <c r="AH1793" s="6" t="str">
        <f t="shared" ca="1" si="498"/>
        <v>202211</v>
      </c>
      <c r="AI1793" s="6">
        <f t="shared" ca="1" si="499"/>
        <v>2022</v>
      </c>
      <c r="AJ1793" s="6">
        <f t="shared" ca="1" si="500"/>
        <v>11</v>
      </c>
      <c r="AK1793" s="68">
        <f ca="1">IFERROR(__xludf.DUMMYFUNCTION("""COMPUTED_VALUE"""),44886.9986111111)</f>
        <v>44886.998611111099</v>
      </c>
      <c r="AL1793" s="6">
        <f ca="1">IFERROR(__xludf.DUMMYFUNCTION("""COMPUTED_VALUE"""),15768.67)</f>
        <v>15768.67</v>
      </c>
      <c r="AP1793" s="6" t="str">
        <f t="shared" ca="1" si="501"/>
        <v>20252</v>
      </c>
      <c r="AQ1793" s="6">
        <f t="shared" ca="1" si="502"/>
        <v>2025</v>
      </c>
      <c r="AR1793" s="6">
        <f t="shared" ca="1" si="503"/>
        <v>2</v>
      </c>
      <c r="AS1793" s="68">
        <f ca="1">IFERROR(__xludf.DUMMYFUNCTION("""COMPUTED_VALUE"""),45713.9986111111)</f>
        <v>45713.998611111099</v>
      </c>
      <c r="AT1793" s="6">
        <f ca="1">IFERROR(__xludf.DUMMYFUNCTION("""COMPUTED_VALUE"""),2918.8)</f>
        <v>2918.8</v>
      </c>
    </row>
    <row r="1794" spans="2:46" x14ac:dyDescent="0.35">
      <c r="B1794" s="6" t="str">
        <f t="shared" ca="1" si="486"/>
        <v>20252</v>
      </c>
      <c r="C1794" s="6">
        <f t="shared" ca="1" si="487"/>
        <v>2025</v>
      </c>
      <c r="D1794" s="6">
        <f t="shared" ca="1" si="488"/>
        <v>2</v>
      </c>
      <c r="E1794" s="68">
        <f ca="1">IFERROR(__xludf.DUMMYFUNCTION("""COMPUTED_VALUE"""),45707.6666666666)</f>
        <v>45707.666666666599</v>
      </c>
      <c r="F1794" s="6">
        <f ca="1">IFERROR(__xludf.DUMMYFUNCTION("""COMPUTED_VALUE"""),6144.15)</f>
        <v>6144.15</v>
      </c>
      <c r="J1794" s="6" t="str">
        <f t="shared" ca="1" si="489"/>
        <v>20252</v>
      </c>
      <c r="K1794" s="6">
        <f t="shared" ca="1" si="490"/>
        <v>2025</v>
      </c>
      <c r="L1794" s="6">
        <f t="shared" ca="1" si="491"/>
        <v>2</v>
      </c>
      <c r="M1794" s="68">
        <f ca="1">IFERROR(__xludf.DUMMYFUNCTION("""COMPUTED_VALUE"""),45699.6666666666)</f>
        <v>45699.666666666599</v>
      </c>
      <c r="N1794" s="6">
        <f ca="1">IFERROR(__xludf.DUMMYFUNCTION("""COMPUTED_VALUE"""),19643.86)</f>
        <v>19643.86</v>
      </c>
      <c r="R1794" s="6" t="str">
        <f t="shared" ca="1" si="492"/>
        <v>20254</v>
      </c>
      <c r="S1794" s="6">
        <f t="shared" ca="1" si="493"/>
        <v>2025</v>
      </c>
      <c r="T1794" s="6">
        <f t="shared" ca="1" si="494"/>
        <v>4</v>
      </c>
      <c r="U1794" s="68">
        <f ca="1">IFERROR(__xludf.DUMMYFUNCTION("""COMPUTED_VALUE"""),45770.6458333333)</f>
        <v>45770.645833333299</v>
      </c>
      <c r="V1794" s="6">
        <f ca="1">IFERROR(__xludf.DUMMYFUNCTION("""COMPUTED_VALUE"""),2525.56)</f>
        <v>2525.56</v>
      </c>
      <c r="Z1794" s="6" t="str">
        <f t="shared" ca="1" si="495"/>
        <v>20231</v>
      </c>
      <c r="AA1794" s="6">
        <f t="shared" ca="1" si="496"/>
        <v>2023</v>
      </c>
      <c r="AB1794" s="6">
        <f t="shared" ca="1" si="497"/>
        <v>1</v>
      </c>
      <c r="AC1794" s="68">
        <f ca="1">IFERROR(__xludf.DUMMYFUNCTION("""COMPUTED_VALUE"""),44943.9986111111)</f>
        <v>44943.998611111099</v>
      </c>
      <c r="AD1794" s="6">
        <f ca="1">IFERROR(__xludf.DUMMYFUNCTION("""COMPUTED_VALUE"""),1237)</f>
        <v>1237</v>
      </c>
      <c r="AH1794" s="6" t="str">
        <f t="shared" ca="1" si="498"/>
        <v>202211</v>
      </c>
      <c r="AI1794" s="6">
        <f t="shared" ca="1" si="499"/>
        <v>2022</v>
      </c>
      <c r="AJ1794" s="6">
        <f t="shared" ca="1" si="500"/>
        <v>11</v>
      </c>
      <c r="AK1794" s="68">
        <f ca="1">IFERROR(__xludf.DUMMYFUNCTION("""COMPUTED_VALUE"""),44887.9986111111)</f>
        <v>44887.998611111099</v>
      </c>
      <c r="AL1794" s="6">
        <f ca="1">IFERROR(__xludf.DUMMYFUNCTION("""COMPUTED_VALUE"""),16195.35)</f>
        <v>16195.35</v>
      </c>
      <c r="AP1794" s="6" t="str">
        <f t="shared" ca="1" si="501"/>
        <v>20252</v>
      </c>
      <c r="AQ1794" s="6">
        <f t="shared" ca="1" si="502"/>
        <v>2025</v>
      </c>
      <c r="AR1794" s="6">
        <f t="shared" ca="1" si="503"/>
        <v>2</v>
      </c>
      <c r="AS1794" s="68">
        <f ca="1">IFERROR(__xludf.DUMMYFUNCTION("""COMPUTED_VALUE"""),45714.9986111111)</f>
        <v>45714.998611111099</v>
      </c>
      <c r="AT1794" s="6">
        <f ca="1">IFERROR(__xludf.DUMMYFUNCTION("""COMPUTED_VALUE"""),2930.6)</f>
        <v>2930.6</v>
      </c>
    </row>
    <row r="1795" spans="2:46" x14ac:dyDescent="0.35">
      <c r="B1795" s="6" t="str">
        <f t="shared" ca="1" si="486"/>
        <v>20252</v>
      </c>
      <c r="C1795" s="6">
        <f t="shared" ca="1" si="487"/>
        <v>2025</v>
      </c>
      <c r="D1795" s="6">
        <f t="shared" ca="1" si="488"/>
        <v>2</v>
      </c>
      <c r="E1795" s="68">
        <f ca="1">IFERROR(__xludf.DUMMYFUNCTION("""COMPUTED_VALUE"""),45708.6666666666)</f>
        <v>45708.666666666599</v>
      </c>
      <c r="F1795" s="6">
        <f ca="1">IFERROR(__xludf.DUMMYFUNCTION("""COMPUTED_VALUE"""),6117.52)</f>
        <v>6117.52</v>
      </c>
      <c r="J1795" s="6" t="str">
        <f t="shared" ca="1" si="489"/>
        <v>20252</v>
      </c>
      <c r="K1795" s="6">
        <f t="shared" ca="1" si="490"/>
        <v>2025</v>
      </c>
      <c r="L1795" s="6">
        <f t="shared" ca="1" si="491"/>
        <v>2</v>
      </c>
      <c r="M1795" s="68">
        <f ca="1">IFERROR(__xludf.DUMMYFUNCTION("""COMPUTED_VALUE"""),45700.6666666666)</f>
        <v>45700.666666666599</v>
      </c>
      <c r="N1795" s="6">
        <f ca="1">IFERROR(__xludf.DUMMYFUNCTION("""COMPUTED_VALUE"""),19649.95)</f>
        <v>19649.95</v>
      </c>
      <c r="R1795" s="6" t="str">
        <f t="shared" ca="1" si="492"/>
        <v>20254</v>
      </c>
      <c r="S1795" s="6">
        <f t="shared" ca="1" si="493"/>
        <v>2025</v>
      </c>
      <c r="T1795" s="6">
        <f t="shared" ca="1" si="494"/>
        <v>4</v>
      </c>
      <c r="U1795" s="68">
        <f ca="1">IFERROR(__xludf.DUMMYFUNCTION("""COMPUTED_VALUE"""),45771.6458333333)</f>
        <v>45771.645833333299</v>
      </c>
      <c r="V1795" s="6">
        <f ca="1">IFERROR(__xludf.DUMMYFUNCTION("""COMPUTED_VALUE"""),2522.33)</f>
        <v>2522.33</v>
      </c>
      <c r="Z1795" s="6" t="str">
        <f t="shared" ca="1" si="495"/>
        <v>20231</v>
      </c>
      <c r="AA1795" s="6">
        <f t="shared" ca="1" si="496"/>
        <v>2023</v>
      </c>
      <c r="AB1795" s="6">
        <f t="shared" ca="1" si="497"/>
        <v>1</v>
      </c>
      <c r="AC1795" s="68">
        <f ca="1">IFERROR(__xludf.DUMMYFUNCTION("""COMPUTED_VALUE"""),44944.9986111111)</f>
        <v>44944.998611111099</v>
      </c>
      <c r="AD1795" s="6">
        <f ca="1">IFERROR(__xludf.DUMMYFUNCTION("""COMPUTED_VALUE"""),1237.88)</f>
        <v>1237.8800000000001</v>
      </c>
      <c r="AH1795" s="6" t="str">
        <f t="shared" ca="1" si="498"/>
        <v>202211</v>
      </c>
      <c r="AI1795" s="6">
        <f t="shared" ca="1" si="499"/>
        <v>2022</v>
      </c>
      <c r="AJ1795" s="6">
        <f t="shared" ca="1" si="500"/>
        <v>11</v>
      </c>
      <c r="AK1795" s="68">
        <f ca="1">IFERROR(__xludf.DUMMYFUNCTION("""COMPUTED_VALUE"""),44888.9986111111)</f>
        <v>44888.998611111099</v>
      </c>
      <c r="AL1795" s="6">
        <f ca="1">IFERROR(__xludf.DUMMYFUNCTION("""COMPUTED_VALUE"""),16598.29)</f>
        <v>16598.29</v>
      </c>
      <c r="AP1795" s="6" t="str">
        <f t="shared" ca="1" si="501"/>
        <v>20252</v>
      </c>
      <c r="AQ1795" s="6">
        <f t="shared" ca="1" si="502"/>
        <v>2025</v>
      </c>
      <c r="AR1795" s="6">
        <f t="shared" ca="1" si="503"/>
        <v>2</v>
      </c>
      <c r="AS1795" s="68">
        <f ca="1">IFERROR(__xludf.DUMMYFUNCTION("""COMPUTED_VALUE"""),45715.9986111111)</f>
        <v>45715.998611111099</v>
      </c>
      <c r="AT1795" s="6">
        <f ca="1">IFERROR(__xludf.DUMMYFUNCTION("""COMPUTED_VALUE"""),2895.9)</f>
        <v>2895.9</v>
      </c>
    </row>
    <row r="1796" spans="2:46" x14ac:dyDescent="0.35">
      <c r="B1796" s="6" t="str">
        <f t="shared" ca="1" si="486"/>
        <v>20252</v>
      </c>
      <c r="C1796" s="6">
        <f t="shared" ca="1" si="487"/>
        <v>2025</v>
      </c>
      <c r="D1796" s="6">
        <f t="shared" ca="1" si="488"/>
        <v>2</v>
      </c>
      <c r="E1796" s="68">
        <f ca="1">IFERROR(__xludf.DUMMYFUNCTION("""COMPUTED_VALUE"""),45709.6666666666)</f>
        <v>45709.666666666599</v>
      </c>
      <c r="F1796" s="6">
        <f ca="1">IFERROR(__xludf.DUMMYFUNCTION("""COMPUTED_VALUE"""),6013.13)</f>
        <v>6013.13</v>
      </c>
      <c r="J1796" s="6" t="str">
        <f t="shared" ca="1" si="489"/>
        <v>20252</v>
      </c>
      <c r="K1796" s="6">
        <f t="shared" ca="1" si="490"/>
        <v>2025</v>
      </c>
      <c r="L1796" s="6">
        <f t="shared" ca="1" si="491"/>
        <v>2</v>
      </c>
      <c r="M1796" s="68">
        <f ca="1">IFERROR(__xludf.DUMMYFUNCTION("""COMPUTED_VALUE"""),45701.6666666666)</f>
        <v>45701.666666666599</v>
      </c>
      <c r="N1796" s="6">
        <f ca="1">IFERROR(__xludf.DUMMYFUNCTION("""COMPUTED_VALUE"""),19945.64)</f>
        <v>19945.64</v>
      </c>
      <c r="R1796" s="6" t="str">
        <f t="shared" ca="1" si="492"/>
        <v>20254</v>
      </c>
      <c r="S1796" s="6">
        <f t="shared" ca="1" si="493"/>
        <v>2025</v>
      </c>
      <c r="T1796" s="6">
        <f t="shared" ca="1" si="494"/>
        <v>4</v>
      </c>
      <c r="U1796" s="68">
        <f ca="1">IFERROR(__xludf.DUMMYFUNCTION("""COMPUTED_VALUE"""),45772.6458333333)</f>
        <v>45772.645833333299</v>
      </c>
      <c r="V1796" s="6">
        <f ca="1">IFERROR(__xludf.DUMMYFUNCTION("""COMPUTED_VALUE"""),2546.3)</f>
        <v>2546.3000000000002</v>
      </c>
      <c r="Z1796" s="6" t="str">
        <f t="shared" ca="1" si="495"/>
        <v>20231</v>
      </c>
      <c r="AA1796" s="6">
        <f t="shared" ca="1" si="496"/>
        <v>2023</v>
      </c>
      <c r="AB1796" s="6">
        <f t="shared" ca="1" si="497"/>
        <v>1</v>
      </c>
      <c r="AC1796" s="68">
        <f ca="1">IFERROR(__xludf.DUMMYFUNCTION("""COMPUTED_VALUE"""),44945.9986111111)</f>
        <v>44945.998611111099</v>
      </c>
      <c r="AD1796" s="6">
        <f ca="1">IFERROR(__xludf.DUMMYFUNCTION("""COMPUTED_VALUE"""),1232.18)</f>
        <v>1232.18</v>
      </c>
      <c r="AH1796" s="6" t="str">
        <f t="shared" ca="1" si="498"/>
        <v>202211</v>
      </c>
      <c r="AI1796" s="6">
        <f t="shared" ca="1" si="499"/>
        <v>2022</v>
      </c>
      <c r="AJ1796" s="6">
        <f t="shared" ca="1" si="500"/>
        <v>11</v>
      </c>
      <c r="AK1796" s="68">
        <f ca="1">IFERROR(__xludf.DUMMYFUNCTION("""COMPUTED_VALUE"""),44889.9986111111)</f>
        <v>44889.998611111099</v>
      </c>
      <c r="AL1796" s="6">
        <f ca="1">IFERROR(__xludf.DUMMYFUNCTION("""COMPUTED_VALUE"""),16593.78)</f>
        <v>16593.78</v>
      </c>
      <c r="AP1796" s="6" t="str">
        <f t="shared" ca="1" si="501"/>
        <v>20252</v>
      </c>
      <c r="AQ1796" s="6">
        <f t="shared" ca="1" si="502"/>
        <v>2025</v>
      </c>
      <c r="AR1796" s="6">
        <f t="shared" ca="1" si="503"/>
        <v>2</v>
      </c>
      <c r="AS1796" s="68">
        <f ca="1">IFERROR(__xludf.DUMMYFUNCTION("""COMPUTED_VALUE"""),45716.9986111111)</f>
        <v>45716.998611111099</v>
      </c>
      <c r="AT1796" s="6">
        <f ca="1">IFERROR(__xludf.DUMMYFUNCTION("""COMPUTED_VALUE"""),2848.5)</f>
        <v>2848.5</v>
      </c>
    </row>
    <row r="1797" spans="2:46" x14ac:dyDescent="0.35">
      <c r="B1797" s="6" t="str">
        <f t="shared" ca="1" si="486"/>
        <v>20252</v>
      </c>
      <c r="C1797" s="6">
        <f t="shared" ca="1" si="487"/>
        <v>2025</v>
      </c>
      <c r="D1797" s="6">
        <f t="shared" ca="1" si="488"/>
        <v>2</v>
      </c>
      <c r="E1797" s="68">
        <f ca="1">IFERROR(__xludf.DUMMYFUNCTION("""COMPUTED_VALUE"""),45712.6666666666)</f>
        <v>45712.666666666599</v>
      </c>
      <c r="F1797" s="6">
        <f ca="1">IFERROR(__xludf.DUMMYFUNCTION("""COMPUTED_VALUE"""),5983.25)</f>
        <v>5983.25</v>
      </c>
      <c r="J1797" s="6" t="str">
        <f t="shared" ca="1" si="489"/>
        <v>20252</v>
      </c>
      <c r="K1797" s="6">
        <f t="shared" ca="1" si="490"/>
        <v>2025</v>
      </c>
      <c r="L1797" s="6">
        <f t="shared" ca="1" si="491"/>
        <v>2</v>
      </c>
      <c r="M1797" s="68">
        <f ca="1">IFERROR(__xludf.DUMMYFUNCTION("""COMPUTED_VALUE"""),45702.6666666666)</f>
        <v>45702.666666666599</v>
      </c>
      <c r="N1797" s="6">
        <f ca="1">IFERROR(__xludf.DUMMYFUNCTION("""COMPUTED_VALUE"""),20026.77)</f>
        <v>20026.77</v>
      </c>
      <c r="R1797" s="6" t="str">
        <f t="shared" ca="1" si="492"/>
        <v>20254</v>
      </c>
      <c r="S1797" s="6">
        <f t="shared" ca="1" si="493"/>
        <v>2025</v>
      </c>
      <c r="T1797" s="6">
        <f t="shared" ca="1" si="494"/>
        <v>4</v>
      </c>
      <c r="U1797" s="68">
        <f ca="1">IFERROR(__xludf.DUMMYFUNCTION("""COMPUTED_VALUE"""),45775.6458333333)</f>
        <v>45775.645833333299</v>
      </c>
      <c r="V1797" s="6">
        <f ca="1">IFERROR(__xludf.DUMMYFUNCTION("""COMPUTED_VALUE"""),2548.86)</f>
        <v>2548.86</v>
      </c>
      <c r="Z1797" s="6" t="str">
        <f t="shared" ca="1" si="495"/>
        <v>20231</v>
      </c>
      <c r="AA1797" s="6">
        <f t="shared" ca="1" si="496"/>
        <v>2023</v>
      </c>
      <c r="AB1797" s="6">
        <f t="shared" ca="1" si="497"/>
        <v>1</v>
      </c>
      <c r="AC1797" s="68">
        <f ca="1">IFERROR(__xludf.DUMMYFUNCTION("""COMPUTED_VALUE"""),44946.9986111111)</f>
        <v>44946.998611111099</v>
      </c>
      <c r="AD1797" s="6">
        <f ca="1">IFERROR(__xludf.DUMMYFUNCTION("""COMPUTED_VALUE"""),1228.6)</f>
        <v>1228.5999999999999</v>
      </c>
      <c r="AH1797" s="6" t="str">
        <f t="shared" ca="1" si="498"/>
        <v>202211</v>
      </c>
      <c r="AI1797" s="6">
        <f t="shared" ca="1" si="499"/>
        <v>2022</v>
      </c>
      <c r="AJ1797" s="6">
        <f t="shared" ca="1" si="500"/>
        <v>11</v>
      </c>
      <c r="AK1797" s="68">
        <f ca="1">IFERROR(__xludf.DUMMYFUNCTION("""COMPUTED_VALUE"""),44890.9986111111)</f>
        <v>44890.998611111099</v>
      </c>
      <c r="AL1797" s="6">
        <f ca="1">IFERROR(__xludf.DUMMYFUNCTION("""COMPUTED_VALUE"""),16507.52)</f>
        <v>16507.52</v>
      </c>
      <c r="AP1797" s="6" t="str">
        <f t="shared" ca="1" si="501"/>
        <v>20253</v>
      </c>
      <c r="AQ1797" s="6">
        <f t="shared" ca="1" si="502"/>
        <v>2025</v>
      </c>
      <c r="AR1797" s="6">
        <f t="shared" ca="1" si="503"/>
        <v>3</v>
      </c>
      <c r="AS1797" s="68">
        <f ca="1">IFERROR(__xludf.DUMMYFUNCTION("""COMPUTED_VALUE"""),45719.9986111111)</f>
        <v>45719.998611111099</v>
      </c>
      <c r="AT1797" s="6">
        <f ca="1">IFERROR(__xludf.DUMMYFUNCTION("""COMPUTED_VALUE"""),2901.1)</f>
        <v>2901.1</v>
      </c>
    </row>
    <row r="1798" spans="2:46" x14ac:dyDescent="0.35">
      <c r="B1798" s="6" t="str">
        <f t="shared" ca="1" si="486"/>
        <v>20252</v>
      </c>
      <c r="C1798" s="6">
        <f t="shared" ca="1" si="487"/>
        <v>2025</v>
      </c>
      <c r="D1798" s="6">
        <f t="shared" ca="1" si="488"/>
        <v>2</v>
      </c>
      <c r="E1798" s="68">
        <f ca="1">IFERROR(__xludf.DUMMYFUNCTION("""COMPUTED_VALUE"""),45713.6666666666)</f>
        <v>45713.666666666599</v>
      </c>
      <c r="F1798" s="6">
        <f ca="1">IFERROR(__xludf.DUMMYFUNCTION("""COMPUTED_VALUE"""),5955.25)</f>
        <v>5955.25</v>
      </c>
      <c r="J1798" s="6" t="str">
        <f t="shared" ca="1" si="489"/>
        <v>20252</v>
      </c>
      <c r="K1798" s="6">
        <f t="shared" ca="1" si="490"/>
        <v>2025</v>
      </c>
      <c r="L1798" s="6">
        <f t="shared" ca="1" si="491"/>
        <v>2</v>
      </c>
      <c r="M1798" s="68">
        <f ca="1">IFERROR(__xludf.DUMMYFUNCTION("""COMPUTED_VALUE"""),45706.6666666666)</f>
        <v>45706.666666666599</v>
      </c>
      <c r="N1798" s="6">
        <f ca="1">IFERROR(__xludf.DUMMYFUNCTION("""COMPUTED_VALUE"""),20041.26)</f>
        <v>20041.259999999998</v>
      </c>
      <c r="R1798" s="6" t="str">
        <f t="shared" ca="1" si="492"/>
        <v>20254</v>
      </c>
      <c r="S1798" s="6">
        <f t="shared" ca="1" si="493"/>
        <v>2025</v>
      </c>
      <c r="T1798" s="6">
        <f t="shared" ca="1" si="494"/>
        <v>4</v>
      </c>
      <c r="U1798" s="68">
        <f ca="1">IFERROR(__xludf.DUMMYFUNCTION("""COMPUTED_VALUE"""),45776.6458333333)</f>
        <v>45776.645833333299</v>
      </c>
      <c r="V1798" s="6">
        <f ca="1">IFERROR(__xludf.DUMMYFUNCTION("""COMPUTED_VALUE"""),2565.42)</f>
        <v>2565.42</v>
      </c>
      <c r="Z1798" s="6" t="str">
        <f t="shared" ca="1" si="495"/>
        <v>20231</v>
      </c>
      <c r="AA1798" s="6">
        <f t="shared" ca="1" si="496"/>
        <v>2023</v>
      </c>
      <c r="AB1798" s="6">
        <f t="shared" ca="1" si="497"/>
        <v>1</v>
      </c>
      <c r="AC1798" s="68">
        <f ca="1">IFERROR(__xludf.DUMMYFUNCTION("""COMPUTED_VALUE"""),44947.9986111111)</f>
        <v>44947.998611111099</v>
      </c>
      <c r="AD1798" s="6">
        <f ca="1">IFERROR(__xludf.DUMMYFUNCTION("""COMPUTED_VALUE"""),1230.03)</f>
        <v>1230.03</v>
      </c>
      <c r="AH1798" s="6" t="str">
        <f t="shared" ca="1" si="498"/>
        <v>202211</v>
      </c>
      <c r="AI1798" s="6">
        <f t="shared" ca="1" si="499"/>
        <v>2022</v>
      </c>
      <c r="AJ1798" s="6">
        <f t="shared" ca="1" si="500"/>
        <v>11</v>
      </c>
      <c r="AK1798" s="68">
        <f ca="1">IFERROR(__xludf.DUMMYFUNCTION("""COMPUTED_VALUE"""),44891.9986111111)</f>
        <v>44891.998611111099</v>
      </c>
      <c r="AL1798" s="6">
        <f ca="1">IFERROR(__xludf.DUMMYFUNCTION("""COMPUTED_VALUE"""),16449.59)</f>
        <v>16449.59</v>
      </c>
      <c r="AP1798" s="6" t="str">
        <f t="shared" ca="1" si="501"/>
        <v>20253</v>
      </c>
      <c r="AQ1798" s="6">
        <f t="shared" ca="1" si="502"/>
        <v>2025</v>
      </c>
      <c r="AR1798" s="6">
        <f t="shared" ca="1" si="503"/>
        <v>3</v>
      </c>
      <c r="AS1798" s="68">
        <f ca="1">IFERROR(__xludf.DUMMYFUNCTION("""COMPUTED_VALUE"""),45720.9986111111)</f>
        <v>45720.998611111099</v>
      </c>
      <c r="AT1798" s="6">
        <f ca="1">IFERROR(__xludf.DUMMYFUNCTION("""COMPUTED_VALUE"""),2920.6)</f>
        <v>2920.6</v>
      </c>
    </row>
    <row r="1799" spans="2:46" x14ac:dyDescent="0.35">
      <c r="B1799" s="6" t="str">
        <f t="shared" ref="B1799:B1862" ca="1" si="504">C1799&amp;D1799</f>
        <v>20252</v>
      </c>
      <c r="C1799" s="6">
        <f t="shared" ref="C1799:C1862" ca="1" si="505">YEAR(E1799)</f>
        <v>2025</v>
      </c>
      <c r="D1799" s="6">
        <f t="shared" ref="D1799:D1862" ca="1" si="506">MONTH(E1799)</f>
        <v>2</v>
      </c>
      <c r="E1799" s="68">
        <f ca="1">IFERROR(__xludf.DUMMYFUNCTION("""COMPUTED_VALUE"""),45714.6666666666)</f>
        <v>45714.666666666599</v>
      </c>
      <c r="F1799" s="6">
        <f ca="1">IFERROR(__xludf.DUMMYFUNCTION("""COMPUTED_VALUE"""),5956.06)</f>
        <v>5956.06</v>
      </c>
      <c r="J1799" s="6" t="str">
        <f t="shared" ref="J1799:J1862" ca="1" si="507">K1799&amp;L1799</f>
        <v>20252</v>
      </c>
      <c r="K1799" s="6">
        <f t="shared" ref="K1799:K1862" ca="1" si="508">YEAR(M1799)</f>
        <v>2025</v>
      </c>
      <c r="L1799" s="6">
        <f t="shared" ref="L1799:L1862" ca="1" si="509">MONTH(M1799)</f>
        <v>2</v>
      </c>
      <c r="M1799" s="68">
        <f ca="1">IFERROR(__xludf.DUMMYFUNCTION("""COMPUTED_VALUE"""),45707.6666666666)</f>
        <v>45707.666666666599</v>
      </c>
      <c r="N1799" s="6">
        <f ca="1">IFERROR(__xludf.DUMMYFUNCTION("""COMPUTED_VALUE"""),20056.25)</f>
        <v>20056.25</v>
      </c>
      <c r="R1799" s="6" t="str">
        <f t="shared" ref="R1799:R1862" ca="1" si="510">S1799&amp;T1799</f>
        <v>20254</v>
      </c>
      <c r="S1799" s="6">
        <f t="shared" ref="S1799:S1862" ca="1" si="511">YEAR(U1799)</f>
        <v>2025</v>
      </c>
      <c r="T1799" s="6">
        <f t="shared" ref="T1799:T1862" ca="1" si="512">MONTH(U1799)</f>
        <v>4</v>
      </c>
      <c r="U1799" s="68">
        <f ca="1">IFERROR(__xludf.DUMMYFUNCTION("""COMPUTED_VALUE"""),45777.6458333333)</f>
        <v>45777.645833333299</v>
      </c>
      <c r="V1799" s="6">
        <f ca="1">IFERROR(__xludf.DUMMYFUNCTION("""COMPUTED_VALUE"""),2556.61)</f>
        <v>2556.61</v>
      </c>
      <c r="Z1799" s="6" t="str">
        <f t="shared" ref="Z1799:Z1862" ca="1" si="513">AA1799&amp;AB1799</f>
        <v>20231</v>
      </c>
      <c r="AA1799" s="6">
        <f t="shared" ref="AA1799:AA1862" ca="1" si="514">YEAR(AC1799)</f>
        <v>2023</v>
      </c>
      <c r="AB1799" s="6">
        <f t="shared" ref="AB1799:AB1862" ca="1" si="515">MONTH(AC1799)</f>
        <v>1</v>
      </c>
      <c r="AC1799" s="68">
        <f ca="1">IFERROR(__xludf.DUMMYFUNCTION("""COMPUTED_VALUE"""),44948.9986111111)</f>
        <v>44948.998611111099</v>
      </c>
      <c r="AD1799" s="6">
        <f ca="1">IFERROR(__xludf.DUMMYFUNCTION("""COMPUTED_VALUE"""),1230.03)</f>
        <v>1230.03</v>
      </c>
      <c r="AH1799" s="6" t="str">
        <f t="shared" ref="AH1799:AH1862" ca="1" si="516">AI1799&amp;AJ1799</f>
        <v>202211</v>
      </c>
      <c r="AI1799" s="6">
        <f t="shared" ref="AI1799:AI1862" ca="1" si="517">YEAR(AK1799)</f>
        <v>2022</v>
      </c>
      <c r="AJ1799" s="6">
        <f t="shared" ref="AJ1799:AJ1862" ca="1" si="518">MONTH(AK1799)</f>
        <v>11</v>
      </c>
      <c r="AK1799" s="68">
        <f ca="1">IFERROR(__xludf.DUMMYFUNCTION("""COMPUTED_VALUE"""),44892.9986111111)</f>
        <v>44892.998611111099</v>
      </c>
      <c r="AL1799" s="6">
        <f ca="1">IFERROR(__xludf.DUMMYFUNCTION("""COMPUTED_VALUE"""),16419.52)</f>
        <v>16419.52</v>
      </c>
      <c r="AP1799" s="6" t="str">
        <f t="shared" ref="AP1799:AP1862" ca="1" si="519">AQ1799&amp;AR1799</f>
        <v>20253</v>
      </c>
      <c r="AQ1799" s="6">
        <f t="shared" ref="AQ1799:AQ1862" ca="1" si="520">YEAR(AS1799)</f>
        <v>2025</v>
      </c>
      <c r="AR1799" s="6">
        <f t="shared" ref="AR1799:AR1862" ca="1" si="521">MONTH(AS1799)</f>
        <v>3</v>
      </c>
      <c r="AS1799" s="68">
        <f ca="1">IFERROR(__xludf.DUMMYFUNCTION("""COMPUTED_VALUE"""),45721.9986111111)</f>
        <v>45721.998611111099</v>
      </c>
      <c r="AT1799" s="6">
        <f ca="1">IFERROR(__xludf.DUMMYFUNCTION("""COMPUTED_VALUE"""),2926)</f>
        <v>2926</v>
      </c>
    </row>
    <row r="1800" spans="2:46" x14ac:dyDescent="0.35">
      <c r="B1800" s="6" t="str">
        <f t="shared" ca="1" si="504"/>
        <v>20252</v>
      </c>
      <c r="C1800" s="6">
        <f t="shared" ca="1" si="505"/>
        <v>2025</v>
      </c>
      <c r="D1800" s="6">
        <f t="shared" ca="1" si="506"/>
        <v>2</v>
      </c>
      <c r="E1800" s="68">
        <f ca="1">IFERROR(__xludf.DUMMYFUNCTION("""COMPUTED_VALUE"""),45715.6666666666)</f>
        <v>45715.666666666599</v>
      </c>
      <c r="F1800" s="6">
        <f ca="1">IFERROR(__xludf.DUMMYFUNCTION("""COMPUTED_VALUE"""),5861.57)</f>
        <v>5861.57</v>
      </c>
      <c r="J1800" s="6" t="str">
        <f t="shared" ca="1" si="507"/>
        <v>20252</v>
      </c>
      <c r="K1800" s="6">
        <f t="shared" ca="1" si="508"/>
        <v>2025</v>
      </c>
      <c r="L1800" s="6">
        <f t="shared" ca="1" si="509"/>
        <v>2</v>
      </c>
      <c r="M1800" s="68">
        <f ca="1">IFERROR(__xludf.DUMMYFUNCTION("""COMPUTED_VALUE"""),45708.6666666666)</f>
        <v>45708.666666666599</v>
      </c>
      <c r="N1800" s="6">
        <f ca="1">IFERROR(__xludf.DUMMYFUNCTION("""COMPUTED_VALUE"""),19962.36)</f>
        <v>19962.36</v>
      </c>
      <c r="R1800" s="6" t="str">
        <f t="shared" ca="1" si="510"/>
        <v>20255</v>
      </c>
      <c r="S1800" s="6">
        <f t="shared" ca="1" si="511"/>
        <v>2025</v>
      </c>
      <c r="T1800" s="6">
        <f t="shared" ca="1" si="512"/>
        <v>5</v>
      </c>
      <c r="U1800" s="68">
        <f ca="1">IFERROR(__xludf.DUMMYFUNCTION("""COMPUTED_VALUE"""),45779.6458333333)</f>
        <v>45779.645833333299</v>
      </c>
      <c r="V1800" s="6">
        <f ca="1">IFERROR(__xludf.DUMMYFUNCTION("""COMPUTED_VALUE"""),2559.79)</f>
        <v>2559.79</v>
      </c>
      <c r="Z1800" s="6" t="str">
        <f t="shared" ca="1" si="513"/>
        <v>20231</v>
      </c>
      <c r="AA1800" s="6">
        <f t="shared" ca="1" si="514"/>
        <v>2023</v>
      </c>
      <c r="AB1800" s="6">
        <f t="shared" ca="1" si="515"/>
        <v>1</v>
      </c>
      <c r="AC1800" s="68">
        <f ca="1">IFERROR(__xludf.DUMMYFUNCTION("""COMPUTED_VALUE"""),44949.9986111111)</f>
        <v>44949.998611111099</v>
      </c>
      <c r="AD1800" s="6">
        <f ca="1">IFERROR(__xludf.DUMMYFUNCTION("""COMPUTED_VALUE"""),1229.28)</f>
        <v>1229.28</v>
      </c>
      <c r="AH1800" s="6" t="str">
        <f t="shared" ca="1" si="516"/>
        <v>202211</v>
      </c>
      <c r="AI1800" s="6">
        <f t="shared" ca="1" si="517"/>
        <v>2022</v>
      </c>
      <c r="AJ1800" s="6">
        <f t="shared" ca="1" si="518"/>
        <v>11</v>
      </c>
      <c r="AK1800" s="68">
        <f ca="1">IFERROR(__xludf.DUMMYFUNCTION("""COMPUTED_VALUE"""),44893.9986111111)</f>
        <v>44893.998611111099</v>
      </c>
      <c r="AL1800" s="6">
        <f ca="1">IFERROR(__xludf.DUMMYFUNCTION("""COMPUTED_VALUE"""),16206.38)</f>
        <v>16206.38</v>
      </c>
      <c r="AP1800" s="6" t="str">
        <f t="shared" ca="1" si="519"/>
        <v>20253</v>
      </c>
      <c r="AQ1800" s="6">
        <f t="shared" ca="1" si="520"/>
        <v>2025</v>
      </c>
      <c r="AR1800" s="6">
        <f t="shared" ca="1" si="521"/>
        <v>3</v>
      </c>
      <c r="AS1800" s="68">
        <f ca="1">IFERROR(__xludf.DUMMYFUNCTION("""COMPUTED_VALUE"""),45722.9986111111)</f>
        <v>45722.998611111099</v>
      </c>
      <c r="AT1800" s="6">
        <f ca="1">IFERROR(__xludf.DUMMYFUNCTION("""COMPUTED_VALUE"""),2926.6)</f>
        <v>2926.6</v>
      </c>
    </row>
    <row r="1801" spans="2:46" x14ac:dyDescent="0.35">
      <c r="B1801" s="6" t="str">
        <f t="shared" ca="1" si="504"/>
        <v>20252</v>
      </c>
      <c r="C1801" s="6">
        <f t="shared" ca="1" si="505"/>
        <v>2025</v>
      </c>
      <c r="D1801" s="6">
        <f t="shared" ca="1" si="506"/>
        <v>2</v>
      </c>
      <c r="E1801" s="68">
        <f ca="1">IFERROR(__xludf.DUMMYFUNCTION("""COMPUTED_VALUE"""),45716.6666666666)</f>
        <v>45716.666666666599</v>
      </c>
      <c r="F1801" s="6">
        <f ca="1">IFERROR(__xludf.DUMMYFUNCTION("""COMPUTED_VALUE"""),5954.5)</f>
        <v>5954.5</v>
      </c>
      <c r="J1801" s="6" t="str">
        <f t="shared" ca="1" si="507"/>
        <v>20252</v>
      </c>
      <c r="K1801" s="6">
        <f t="shared" ca="1" si="508"/>
        <v>2025</v>
      </c>
      <c r="L1801" s="6">
        <f t="shared" ca="1" si="509"/>
        <v>2</v>
      </c>
      <c r="M1801" s="68">
        <f ca="1">IFERROR(__xludf.DUMMYFUNCTION("""COMPUTED_VALUE"""),45709.6666666666)</f>
        <v>45709.666666666599</v>
      </c>
      <c r="N1801" s="6">
        <f ca="1">IFERROR(__xludf.DUMMYFUNCTION("""COMPUTED_VALUE"""),19524.01)</f>
        <v>19524.009999999998</v>
      </c>
      <c r="R1801" s="6" t="str">
        <f t="shared" ca="1" si="510"/>
        <v>20255</v>
      </c>
      <c r="S1801" s="6">
        <f t="shared" ca="1" si="511"/>
        <v>2025</v>
      </c>
      <c r="T1801" s="6">
        <f t="shared" ca="1" si="512"/>
        <v>5</v>
      </c>
      <c r="U1801" s="68">
        <f ca="1">IFERROR(__xludf.DUMMYFUNCTION("""COMPUTED_VALUE"""),45784.6458333333)</f>
        <v>45784.645833333299</v>
      </c>
      <c r="V1801" s="6">
        <f ca="1">IFERROR(__xludf.DUMMYFUNCTION("""COMPUTED_VALUE"""),2573.8)</f>
        <v>2573.8000000000002</v>
      </c>
      <c r="Z1801" s="6" t="str">
        <f t="shared" ca="1" si="513"/>
        <v>20231</v>
      </c>
      <c r="AA1801" s="6">
        <f t="shared" ca="1" si="514"/>
        <v>2023</v>
      </c>
      <c r="AB1801" s="6">
        <f t="shared" ca="1" si="515"/>
        <v>1</v>
      </c>
      <c r="AC1801" s="68">
        <f ca="1">IFERROR(__xludf.DUMMYFUNCTION("""COMPUTED_VALUE"""),44950.9986111111)</f>
        <v>44950.998611111099</v>
      </c>
      <c r="AD1801" s="6">
        <f ca="1">IFERROR(__xludf.DUMMYFUNCTION("""COMPUTED_VALUE"""),1232.66)</f>
        <v>1232.6600000000001</v>
      </c>
      <c r="AH1801" s="6" t="str">
        <f t="shared" ca="1" si="516"/>
        <v>202211</v>
      </c>
      <c r="AI1801" s="6">
        <f t="shared" ca="1" si="517"/>
        <v>2022</v>
      </c>
      <c r="AJ1801" s="6">
        <f t="shared" ca="1" si="518"/>
        <v>11</v>
      </c>
      <c r="AK1801" s="68">
        <f ca="1">IFERROR(__xludf.DUMMYFUNCTION("""COMPUTED_VALUE"""),44894.9986111111)</f>
        <v>44894.998611111099</v>
      </c>
      <c r="AL1801" s="6">
        <f ca="1">IFERROR(__xludf.DUMMYFUNCTION("""COMPUTED_VALUE"""),16433.22)</f>
        <v>16433.22</v>
      </c>
      <c r="AP1801" s="6" t="str">
        <f t="shared" ca="1" si="519"/>
        <v>20253</v>
      </c>
      <c r="AQ1801" s="6">
        <f t="shared" ca="1" si="520"/>
        <v>2025</v>
      </c>
      <c r="AR1801" s="6">
        <f t="shared" ca="1" si="521"/>
        <v>3</v>
      </c>
      <c r="AS1801" s="68">
        <f ca="1">IFERROR(__xludf.DUMMYFUNCTION("""COMPUTED_VALUE"""),45723.9986111111)</f>
        <v>45723.998611111099</v>
      </c>
      <c r="AT1801" s="6">
        <f ca="1">IFERROR(__xludf.DUMMYFUNCTION("""COMPUTED_VALUE"""),2914.1)</f>
        <v>2914.1</v>
      </c>
    </row>
    <row r="1802" spans="2:46" x14ac:dyDescent="0.35">
      <c r="B1802" s="6" t="str">
        <f t="shared" ca="1" si="504"/>
        <v>20253</v>
      </c>
      <c r="C1802" s="6">
        <f t="shared" ca="1" si="505"/>
        <v>2025</v>
      </c>
      <c r="D1802" s="6">
        <f t="shared" ca="1" si="506"/>
        <v>3</v>
      </c>
      <c r="E1802" s="68">
        <f ca="1">IFERROR(__xludf.DUMMYFUNCTION("""COMPUTED_VALUE"""),45719.6666666666)</f>
        <v>45719.666666666599</v>
      </c>
      <c r="F1802" s="6">
        <f ca="1">IFERROR(__xludf.DUMMYFUNCTION("""COMPUTED_VALUE"""),5849.72)</f>
        <v>5849.72</v>
      </c>
      <c r="J1802" s="6" t="str">
        <f t="shared" ca="1" si="507"/>
        <v>20252</v>
      </c>
      <c r="K1802" s="6">
        <f t="shared" ca="1" si="508"/>
        <v>2025</v>
      </c>
      <c r="L1802" s="6">
        <f t="shared" ca="1" si="509"/>
        <v>2</v>
      </c>
      <c r="M1802" s="68">
        <f ca="1">IFERROR(__xludf.DUMMYFUNCTION("""COMPUTED_VALUE"""),45712.6666666666)</f>
        <v>45712.666666666599</v>
      </c>
      <c r="N1802" s="6">
        <f ca="1">IFERROR(__xludf.DUMMYFUNCTION("""COMPUTED_VALUE"""),19286.93)</f>
        <v>19286.93</v>
      </c>
      <c r="R1802" s="6" t="str">
        <f t="shared" ca="1" si="510"/>
        <v>20255</v>
      </c>
      <c r="S1802" s="6">
        <f t="shared" ca="1" si="511"/>
        <v>2025</v>
      </c>
      <c r="T1802" s="6">
        <f t="shared" ca="1" si="512"/>
        <v>5</v>
      </c>
      <c r="U1802" s="68">
        <f ca="1">IFERROR(__xludf.DUMMYFUNCTION("""COMPUTED_VALUE"""),45785.6458333333)</f>
        <v>45785.645833333299</v>
      </c>
      <c r="V1802" s="6">
        <f ca="1">IFERROR(__xludf.DUMMYFUNCTION("""COMPUTED_VALUE"""),2579.48)</f>
        <v>2579.48</v>
      </c>
      <c r="Z1802" s="6" t="str">
        <f t="shared" ca="1" si="513"/>
        <v>20231</v>
      </c>
      <c r="AA1802" s="6">
        <f t="shared" ca="1" si="514"/>
        <v>2023</v>
      </c>
      <c r="AB1802" s="6">
        <f t="shared" ca="1" si="515"/>
        <v>1</v>
      </c>
      <c r="AC1802" s="68">
        <f ca="1">IFERROR(__xludf.DUMMYFUNCTION("""COMPUTED_VALUE"""),44951.9986111111)</f>
        <v>44951.998611111099</v>
      </c>
      <c r="AD1802" s="6">
        <f ca="1">IFERROR(__xludf.DUMMYFUNCTION("""COMPUTED_VALUE"""),1232.59)</f>
        <v>1232.5899999999999</v>
      </c>
      <c r="AH1802" s="6" t="str">
        <f t="shared" ca="1" si="516"/>
        <v>202211</v>
      </c>
      <c r="AI1802" s="6">
        <f t="shared" ca="1" si="517"/>
        <v>2022</v>
      </c>
      <c r="AJ1802" s="6">
        <f t="shared" ca="1" si="518"/>
        <v>11</v>
      </c>
      <c r="AK1802" s="68">
        <f ca="1">IFERROR(__xludf.DUMMYFUNCTION("""COMPUTED_VALUE"""),44895.9986111111)</f>
        <v>44895.998611111099</v>
      </c>
      <c r="AL1802" s="6">
        <f ca="1">IFERROR(__xludf.DUMMYFUNCTION("""COMPUTED_VALUE"""),17162.97)</f>
        <v>17162.97</v>
      </c>
      <c r="AP1802" s="6" t="str">
        <f t="shared" ca="1" si="519"/>
        <v>20253</v>
      </c>
      <c r="AQ1802" s="6">
        <f t="shared" ca="1" si="520"/>
        <v>2025</v>
      </c>
      <c r="AR1802" s="6">
        <f t="shared" ca="1" si="521"/>
        <v>3</v>
      </c>
      <c r="AS1802" s="68">
        <f ca="1">IFERROR(__xludf.DUMMYFUNCTION("""COMPUTED_VALUE"""),45726.9986111111)</f>
        <v>45726.998611111099</v>
      </c>
      <c r="AT1802" s="6">
        <f ca="1">IFERROR(__xludf.DUMMYFUNCTION("""COMPUTED_VALUE"""),2899.4)</f>
        <v>2899.4</v>
      </c>
    </row>
    <row r="1803" spans="2:46" x14ac:dyDescent="0.35">
      <c r="B1803" s="6" t="str">
        <f t="shared" ca="1" si="504"/>
        <v>20253</v>
      </c>
      <c r="C1803" s="6">
        <f t="shared" ca="1" si="505"/>
        <v>2025</v>
      </c>
      <c r="D1803" s="6">
        <f t="shared" ca="1" si="506"/>
        <v>3</v>
      </c>
      <c r="E1803" s="68">
        <f ca="1">IFERROR(__xludf.DUMMYFUNCTION("""COMPUTED_VALUE"""),45720.6666666666)</f>
        <v>45720.666666666599</v>
      </c>
      <c r="F1803" s="6">
        <f ca="1">IFERROR(__xludf.DUMMYFUNCTION("""COMPUTED_VALUE"""),5778.15)</f>
        <v>5778.15</v>
      </c>
      <c r="J1803" s="6" t="str">
        <f t="shared" ca="1" si="507"/>
        <v>20252</v>
      </c>
      <c r="K1803" s="6">
        <f t="shared" ca="1" si="508"/>
        <v>2025</v>
      </c>
      <c r="L1803" s="6">
        <f t="shared" ca="1" si="509"/>
        <v>2</v>
      </c>
      <c r="M1803" s="68">
        <f ca="1">IFERROR(__xludf.DUMMYFUNCTION("""COMPUTED_VALUE"""),45713.6666666666)</f>
        <v>45713.666666666599</v>
      </c>
      <c r="N1803" s="6">
        <f ca="1">IFERROR(__xludf.DUMMYFUNCTION("""COMPUTED_VALUE"""),19026.39)</f>
        <v>19026.39</v>
      </c>
      <c r="R1803" s="6" t="str">
        <f t="shared" ca="1" si="510"/>
        <v>20255</v>
      </c>
      <c r="S1803" s="6">
        <f t="shared" ca="1" si="511"/>
        <v>2025</v>
      </c>
      <c r="T1803" s="6">
        <f t="shared" ca="1" si="512"/>
        <v>5</v>
      </c>
      <c r="U1803" s="68">
        <f ca="1">IFERROR(__xludf.DUMMYFUNCTION("""COMPUTED_VALUE"""),45786.6458333333)</f>
        <v>45786.645833333299</v>
      </c>
      <c r="V1803" s="6">
        <f ca="1">IFERROR(__xludf.DUMMYFUNCTION("""COMPUTED_VALUE"""),2577.27)</f>
        <v>2577.27</v>
      </c>
      <c r="Z1803" s="6" t="str">
        <f t="shared" ca="1" si="513"/>
        <v>20231</v>
      </c>
      <c r="AA1803" s="6">
        <f t="shared" ca="1" si="514"/>
        <v>2023</v>
      </c>
      <c r="AB1803" s="6">
        <f t="shared" ca="1" si="515"/>
        <v>1</v>
      </c>
      <c r="AC1803" s="68">
        <f ca="1">IFERROR(__xludf.DUMMYFUNCTION("""COMPUTED_VALUE"""),44952.9986111111)</f>
        <v>44952.998611111099</v>
      </c>
      <c r="AD1803" s="6">
        <f ca="1">IFERROR(__xludf.DUMMYFUNCTION("""COMPUTED_VALUE"""),1231.85)</f>
        <v>1231.8499999999999</v>
      </c>
      <c r="AH1803" s="6" t="str">
        <f t="shared" ca="1" si="516"/>
        <v>202212</v>
      </c>
      <c r="AI1803" s="6">
        <f t="shared" ca="1" si="517"/>
        <v>2022</v>
      </c>
      <c r="AJ1803" s="6">
        <f t="shared" ca="1" si="518"/>
        <v>12</v>
      </c>
      <c r="AK1803" s="68">
        <f ca="1">IFERROR(__xludf.DUMMYFUNCTION("""COMPUTED_VALUE"""),44896.9986111111)</f>
        <v>44896.998611111099</v>
      </c>
      <c r="AL1803" s="6">
        <f ca="1">IFERROR(__xludf.DUMMYFUNCTION("""COMPUTED_VALUE"""),16969.37)</f>
        <v>16969.37</v>
      </c>
      <c r="AP1803" s="6" t="str">
        <f t="shared" ca="1" si="519"/>
        <v>20253</v>
      </c>
      <c r="AQ1803" s="6">
        <f t="shared" ca="1" si="520"/>
        <v>2025</v>
      </c>
      <c r="AR1803" s="6">
        <f t="shared" ca="1" si="521"/>
        <v>3</v>
      </c>
      <c r="AS1803" s="68">
        <f ca="1">IFERROR(__xludf.DUMMYFUNCTION("""COMPUTED_VALUE"""),45727.9986111111)</f>
        <v>45727.998611111099</v>
      </c>
      <c r="AT1803" s="6">
        <f ca="1">IFERROR(__xludf.DUMMYFUNCTION("""COMPUTED_VALUE"""),2920.9)</f>
        <v>2920.9</v>
      </c>
    </row>
    <row r="1804" spans="2:46" x14ac:dyDescent="0.35">
      <c r="B1804" s="6" t="str">
        <f t="shared" ca="1" si="504"/>
        <v>20253</v>
      </c>
      <c r="C1804" s="6">
        <f t="shared" ca="1" si="505"/>
        <v>2025</v>
      </c>
      <c r="D1804" s="6">
        <f t="shared" ca="1" si="506"/>
        <v>3</v>
      </c>
      <c r="E1804" s="68">
        <f ca="1">IFERROR(__xludf.DUMMYFUNCTION("""COMPUTED_VALUE"""),45721.6666666666)</f>
        <v>45721.666666666599</v>
      </c>
      <c r="F1804" s="6">
        <f ca="1">IFERROR(__xludf.DUMMYFUNCTION("""COMPUTED_VALUE"""),5842.63)</f>
        <v>5842.63</v>
      </c>
      <c r="J1804" s="6" t="str">
        <f t="shared" ca="1" si="507"/>
        <v>20252</v>
      </c>
      <c r="K1804" s="6">
        <f t="shared" ca="1" si="508"/>
        <v>2025</v>
      </c>
      <c r="L1804" s="6">
        <f t="shared" ca="1" si="509"/>
        <v>2</v>
      </c>
      <c r="M1804" s="68">
        <f ca="1">IFERROR(__xludf.DUMMYFUNCTION("""COMPUTED_VALUE"""),45714.6666666666)</f>
        <v>45714.666666666599</v>
      </c>
      <c r="N1804" s="6">
        <f ca="1">IFERROR(__xludf.DUMMYFUNCTION("""COMPUTED_VALUE"""),19075.26)</f>
        <v>19075.259999999998</v>
      </c>
      <c r="R1804" s="6" t="str">
        <f t="shared" ca="1" si="510"/>
        <v>20255</v>
      </c>
      <c r="S1804" s="6">
        <f t="shared" ca="1" si="511"/>
        <v>2025</v>
      </c>
      <c r="T1804" s="6">
        <f t="shared" ca="1" si="512"/>
        <v>5</v>
      </c>
      <c r="U1804" s="68">
        <f ca="1">IFERROR(__xludf.DUMMYFUNCTION("""COMPUTED_VALUE"""),45789.6458333333)</f>
        <v>45789.645833333299</v>
      </c>
      <c r="V1804" s="6">
        <f ca="1">IFERROR(__xludf.DUMMYFUNCTION("""COMPUTED_VALUE"""),2607.33)</f>
        <v>2607.33</v>
      </c>
      <c r="Z1804" s="6" t="str">
        <f t="shared" ca="1" si="513"/>
        <v>20231</v>
      </c>
      <c r="AA1804" s="6">
        <f t="shared" ca="1" si="514"/>
        <v>2023</v>
      </c>
      <c r="AB1804" s="6">
        <f t="shared" ca="1" si="515"/>
        <v>1</v>
      </c>
      <c r="AC1804" s="68">
        <f ca="1">IFERROR(__xludf.DUMMYFUNCTION("""COMPUTED_VALUE"""),44953.9986111111)</f>
        <v>44953.998611111099</v>
      </c>
      <c r="AD1804" s="6">
        <f ca="1">IFERROR(__xludf.DUMMYFUNCTION("""COMPUTED_VALUE"""),1228.95)</f>
        <v>1228.95</v>
      </c>
      <c r="AH1804" s="6" t="str">
        <f t="shared" ca="1" si="516"/>
        <v>202212</v>
      </c>
      <c r="AI1804" s="6">
        <f t="shared" ca="1" si="517"/>
        <v>2022</v>
      </c>
      <c r="AJ1804" s="6">
        <f t="shared" ca="1" si="518"/>
        <v>12</v>
      </c>
      <c r="AK1804" s="68">
        <f ca="1">IFERROR(__xludf.DUMMYFUNCTION("""COMPUTED_VALUE"""),44897.9986111111)</f>
        <v>44897.998611111099</v>
      </c>
      <c r="AL1804" s="6">
        <f ca="1">IFERROR(__xludf.DUMMYFUNCTION("""COMPUTED_VALUE"""),17089.62)</f>
        <v>17089.62</v>
      </c>
      <c r="AP1804" s="6" t="str">
        <f t="shared" ca="1" si="519"/>
        <v>20253</v>
      </c>
      <c r="AQ1804" s="6">
        <f t="shared" ca="1" si="520"/>
        <v>2025</v>
      </c>
      <c r="AR1804" s="6">
        <f t="shared" ca="1" si="521"/>
        <v>3</v>
      </c>
      <c r="AS1804" s="68">
        <f ca="1">IFERROR(__xludf.DUMMYFUNCTION("""COMPUTED_VALUE"""),45728.9986111111)</f>
        <v>45728.998611111099</v>
      </c>
      <c r="AT1804" s="6">
        <f ca="1">IFERROR(__xludf.DUMMYFUNCTION("""COMPUTED_VALUE"""),2946.8)</f>
        <v>2946.8</v>
      </c>
    </row>
    <row r="1805" spans="2:46" x14ac:dyDescent="0.35">
      <c r="B1805" s="6" t="str">
        <f t="shared" ca="1" si="504"/>
        <v>20253</v>
      </c>
      <c r="C1805" s="6">
        <f t="shared" ca="1" si="505"/>
        <v>2025</v>
      </c>
      <c r="D1805" s="6">
        <f t="shared" ca="1" si="506"/>
        <v>3</v>
      </c>
      <c r="E1805" s="68">
        <f ca="1">IFERROR(__xludf.DUMMYFUNCTION("""COMPUTED_VALUE"""),45722.6666666666)</f>
        <v>45722.666666666599</v>
      </c>
      <c r="F1805" s="6">
        <f ca="1">IFERROR(__xludf.DUMMYFUNCTION("""COMPUTED_VALUE"""),5738.52)</f>
        <v>5738.52</v>
      </c>
      <c r="J1805" s="6" t="str">
        <f t="shared" ca="1" si="507"/>
        <v>20252</v>
      </c>
      <c r="K1805" s="6">
        <f t="shared" ca="1" si="508"/>
        <v>2025</v>
      </c>
      <c r="L1805" s="6">
        <f t="shared" ca="1" si="509"/>
        <v>2</v>
      </c>
      <c r="M1805" s="68">
        <f ca="1">IFERROR(__xludf.DUMMYFUNCTION("""COMPUTED_VALUE"""),45715.6666666666)</f>
        <v>45715.666666666599</v>
      </c>
      <c r="N1805" s="6">
        <f ca="1">IFERROR(__xludf.DUMMYFUNCTION("""COMPUTED_VALUE"""),18544.42)</f>
        <v>18544.419999999998</v>
      </c>
      <c r="R1805" s="6" t="str">
        <f t="shared" ca="1" si="510"/>
        <v>20255</v>
      </c>
      <c r="S1805" s="6">
        <f t="shared" ca="1" si="511"/>
        <v>2025</v>
      </c>
      <c r="T1805" s="6">
        <f t="shared" ca="1" si="512"/>
        <v>5</v>
      </c>
      <c r="U1805" s="68">
        <f ca="1">IFERROR(__xludf.DUMMYFUNCTION("""COMPUTED_VALUE"""),45790.6458333333)</f>
        <v>45790.645833333299</v>
      </c>
      <c r="V1805" s="6">
        <f ca="1">IFERROR(__xludf.DUMMYFUNCTION("""COMPUTED_VALUE"""),2608.42)</f>
        <v>2608.42</v>
      </c>
      <c r="Z1805" s="6" t="str">
        <f t="shared" ca="1" si="513"/>
        <v>20231</v>
      </c>
      <c r="AA1805" s="6">
        <f t="shared" ca="1" si="514"/>
        <v>2023</v>
      </c>
      <c r="AB1805" s="6">
        <f t="shared" ca="1" si="515"/>
        <v>1</v>
      </c>
      <c r="AC1805" s="68">
        <f ca="1">IFERROR(__xludf.DUMMYFUNCTION("""COMPUTED_VALUE"""),44954.9986111111)</f>
        <v>44954.998611111099</v>
      </c>
      <c r="AD1805" s="6">
        <f ca="1">IFERROR(__xludf.DUMMYFUNCTION("""COMPUTED_VALUE"""),1228.95)</f>
        <v>1228.95</v>
      </c>
      <c r="AH1805" s="6" t="str">
        <f t="shared" ca="1" si="516"/>
        <v>202212</v>
      </c>
      <c r="AI1805" s="6">
        <f t="shared" ca="1" si="517"/>
        <v>2022</v>
      </c>
      <c r="AJ1805" s="6">
        <f t="shared" ca="1" si="518"/>
        <v>12</v>
      </c>
      <c r="AK1805" s="68">
        <f ca="1">IFERROR(__xludf.DUMMYFUNCTION("""COMPUTED_VALUE"""),44898.9986111111)</f>
        <v>44898.998611111099</v>
      </c>
      <c r="AL1805" s="6">
        <f ca="1">IFERROR(__xludf.DUMMYFUNCTION("""COMPUTED_VALUE"""),16884)</f>
        <v>16884</v>
      </c>
      <c r="AP1805" s="6" t="str">
        <f t="shared" ca="1" si="519"/>
        <v>20253</v>
      </c>
      <c r="AQ1805" s="6">
        <f t="shared" ca="1" si="520"/>
        <v>2025</v>
      </c>
      <c r="AR1805" s="6">
        <f t="shared" ca="1" si="521"/>
        <v>3</v>
      </c>
      <c r="AS1805" s="68">
        <f ca="1">IFERROR(__xludf.DUMMYFUNCTION("""COMPUTED_VALUE"""),45729.9986111111)</f>
        <v>45729.998611111099</v>
      </c>
      <c r="AT1805" s="6">
        <f ca="1">IFERROR(__xludf.DUMMYFUNCTION("""COMPUTED_VALUE"""),2991.3)</f>
        <v>2991.3</v>
      </c>
    </row>
    <row r="1806" spans="2:46" x14ac:dyDescent="0.35">
      <c r="B1806" s="6" t="str">
        <f t="shared" ca="1" si="504"/>
        <v>20253</v>
      </c>
      <c r="C1806" s="6">
        <f t="shared" ca="1" si="505"/>
        <v>2025</v>
      </c>
      <c r="D1806" s="6">
        <f t="shared" ca="1" si="506"/>
        <v>3</v>
      </c>
      <c r="E1806" s="68">
        <f ca="1">IFERROR(__xludf.DUMMYFUNCTION("""COMPUTED_VALUE"""),45723.6666666666)</f>
        <v>45723.666666666599</v>
      </c>
      <c r="F1806" s="6">
        <f ca="1">IFERROR(__xludf.DUMMYFUNCTION("""COMPUTED_VALUE"""),5770.2)</f>
        <v>5770.2</v>
      </c>
      <c r="J1806" s="6" t="str">
        <f t="shared" ca="1" si="507"/>
        <v>20252</v>
      </c>
      <c r="K1806" s="6">
        <f t="shared" ca="1" si="508"/>
        <v>2025</v>
      </c>
      <c r="L1806" s="6">
        <f t="shared" ca="1" si="509"/>
        <v>2</v>
      </c>
      <c r="M1806" s="68">
        <f ca="1">IFERROR(__xludf.DUMMYFUNCTION("""COMPUTED_VALUE"""),45716.6666666666)</f>
        <v>45716.666666666599</v>
      </c>
      <c r="N1806" s="6">
        <f ca="1">IFERROR(__xludf.DUMMYFUNCTION("""COMPUTED_VALUE"""),18847.28)</f>
        <v>18847.28</v>
      </c>
      <c r="R1806" s="6" t="str">
        <f t="shared" ca="1" si="510"/>
        <v>20255</v>
      </c>
      <c r="S1806" s="6">
        <f t="shared" ca="1" si="511"/>
        <v>2025</v>
      </c>
      <c r="T1806" s="6">
        <f t="shared" ca="1" si="512"/>
        <v>5</v>
      </c>
      <c r="U1806" s="68">
        <f ca="1">IFERROR(__xludf.DUMMYFUNCTION("""COMPUTED_VALUE"""),45791.6458333333)</f>
        <v>45791.645833333299</v>
      </c>
      <c r="V1806" s="6">
        <f ca="1">IFERROR(__xludf.DUMMYFUNCTION("""COMPUTED_VALUE"""),2640.57)</f>
        <v>2640.57</v>
      </c>
      <c r="Z1806" s="6" t="str">
        <f t="shared" ca="1" si="513"/>
        <v>20231</v>
      </c>
      <c r="AA1806" s="6">
        <f t="shared" ca="1" si="514"/>
        <v>2023</v>
      </c>
      <c r="AB1806" s="6">
        <f t="shared" ca="1" si="515"/>
        <v>1</v>
      </c>
      <c r="AC1806" s="68">
        <f ca="1">IFERROR(__xludf.DUMMYFUNCTION("""COMPUTED_VALUE"""),44955.9986111111)</f>
        <v>44955.998611111099</v>
      </c>
      <c r="AD1806" s="6">
        <f ca="1">IFERROR(__xludf.DUMMYFUNCTION("""COMPUTED_VALUE"""),1228.95)</f>
        <v>1228.95</v>
      </c>
      <c r="AH1806" s="6" t="str">
        <f t="shared" ca="1" si="516"/>
        <v>202212</v>
      </c>
      <c r="AI1806" s="6">
        <f t="shared" ca="1" si="517"/>
        <v>2022</v>
      </c>
      <c r="AJ1806" s="6">
        <f t="shared" ca="1" si="518"/>
        <v>12</v>
      </c>
      <c r="AK1806" s="68">
        <f ca="1">IFERROR(__xludf.DUMMYFUNCTION("""COMPUTED_VALUE"""),44899.9986111111)</f>
        <v>44899.998611111099</v>
      </c>
      <c r="AL1806" s="6">
        <f ca="1">IFERROR(__xludf.DUMMYFUNCTION("""COMPUTED_VALUE"""),17107.33)</f>
        <v>17107.330000000002</v>
      </c>
      <c r="AP1806" s="6" t="str">
        <f t="shared" ca="1" si="519"/>
        <v>20253</v>
      </c>
      <c r="AQ1806" s="6">
        <f t="shared" ca="1" si="520"/>
        <v>2025</v>
      </c>
      <c r="AR1806" s="6">
        <f t="shared" ca="1" si="521"/>
        <v>3</v>
      </c>
      <c r="AS1806" s="68">
        <f ca="1">IFERROR(__xludf.DUMMYFUNCTION("""COMPUTED_VALUE"""),45730.9986111111)</f>
        <v>45730.998611111099</v>
      </c>
      <c r="AT1806" s="6">
        <f ca="1">IFERROR(__xludf.DUMMYFUNCTION("""COMPUTED_VALUE"""),3001.1)</f>
        <v>3001.1</v>
      </c>
    </row>
    <row r="1807" spans="2:46" x14ac:dyDescent="0.35">
      <c r="B1807" s="6" t="str">
        <f t="shared" ca="1" si="504"/>
        <v>20253</v>
      </c>
      <c r="C1807" s="6">
        <f t="shared" ca="1" si="505"/>
        <v>2025</v>
      </c>
      <c r="D1807" s="6">
        <f t="shared" ca="1" si="506"/>
        <v>3</v>
      </c>
      <c r="E1807" s="68">
        <f ca="1">IFERROR(__xludf.DUMMYFUNCTION("""COMPUTED_VALUE"""),45726.6666666666)</f>
        <v>45726.666666666599</v>
      </c>
      <c r="F1807" s="6">
        <f ca="1">IFERROR(__xludf.DUMMYFUNCTION("""COMPUTED_VALUE"""),5614.56)</f>
        <v>5614.56</v>
      </c>
      <c r="J1807" s="6" t="str">
        <f t="shared" ca="1" si="507"/>
        <v>20253</v>
      </c>
      <c r="K1807" s="6">
        <f t="shared" ca="1" si="508"/>
        <v>2025</v>
      </c>
      <c r="L1807" s="6">
        <f t="shared" ca="1" si="509"/>
        <v>3</v>
      </c>
      <c r="M1807" s="68">
        <f ca="1">IFERROR(__xludf.DUMMYFUNCTION("""COMPUTED_VALUE"""),45719.6666666666)</f>
        <v>45719.666666666599</v>
      </c>
      <c r="N1807" s="6">
        <f ca="1">IFERROR(__xludf.DUMMYFUNCTION("""COMPUTED_VALUE"""),18350.19)</f>
        <v>18350.189999999999</v>
      </c>
      <c r="R1807" s="6" t="str">
        <f t="shared" ca="1" si="510"/>
        <v>20255</v>
      </c>
      <c r="S1807" s="6">
        <f t="shared" ca="1" si="511"/>
        <v>2025</v>
      </c>
      <c r="T1807" s="6">
        <f t="shared" ca="1" si="512"/>
        <v>5</v>
      </c>
      <c r="U1807" s="68">
        <f ca="1">IFERROR(__xludf.DUMMYFUNCTION("""COMPUTED_VALUE"""),45792.6458333333)</f>
        <v>45792.645833333299</v>
      </c>
      <c r="V1807" s="6">
        <f ca="1">IFERROR(__xludf.DUMMYFUNCTION("""COMPUTED_VALUE"""),2621.36)</f>
        <v>2621.36</v>
      </c>
      <c r="Z1807" s="6" t="str">
        <f t="shared" ca="1" si="513"/>
        <v>20231</v>
      </c>
      <c r="AA1807" s="6">
        <f t="shared" ca="1" si="514"/>
        <v>2023</v>
      </c>
      <c r="AB1807" s="6">
        <f t="shared" ca="1" si="515"/>
        <v>1</v>
      </c>
      <c r="AC1807" s="68">
        <f ca="1">IFERROR(__xludf.DUMMYFUNCTION("""COMPUTED_VALUE"""),44956.9986111111)</f>
        <v>44956.998611111099</v>
      </c>
      <c r="AD1807" s="6">
        <f ca="1">IFERROR(__xludf.DUMMYFUNCTION("""COMPUTED_VALUE"""),1231.5)</f>
        <v>1231.5</v>
      </c>
      <c r="AH1807" s="6" t="str">
        <f t="shared" ca="1" si="516"/>
        <v>202212</v>
      </c>
      <c r="AI1807" s="6">
        <f t="shared" ca="1" si="517"/>
        <v>2022</v>
      </c>
      <c r="AJ1807" s="6">
        <f t="shared" ca="1" si="518"/>
        <v>12</v>
      </c>
      <c r="AK1807" s="68">
        <f ca="1">IFERROR(__xludf.DUMMYFUNCTION("""COMPUTED_VALUE"""),44900.9986111111)</f>
        <v>44900.998611111099</v>
      </c>
      <c r="AL1807" s="6">
        <f ca="1">IFERROR(__xludf.DUMMYFUNCTION("""COMPUTED_VALUE"""),16965.47)</f>
        <v>16965.47</v>
      </c>
      <c r="AP1807" s="6" t="str">
        <f t="shared" ca="1" si="519"/>
        <v>20253</v>
      </c>
      <c r="AQ1807" s="6">
        <f t="shared" ca="1" si="520"/>
        <v>2025</v>
      </c>
      <c r="AR1807" s="6">
        <f t="shared" ca="1" si="521"/>
        <v>3</v>
      </c>
      <c r="AS1807" s="68">
        <f ca="1">IFERROR(__xludf.DUMMYFUNCTION("""COMPUTED_VALUE"""),45733.9986111111)</f>
        <v>45733.998611111099</v>
      </c>
      <c r="AT1807" s="6">
        <f ca="1">IFERROR(__xludf.DUMMYFUNCTION("""COMPUTED_VALUE"""),3006.1)</f>
        <v>3006.1</v>
      </c>
    </row>
    <row r="1808" spans="2:46" x14ac:dyDescent="0.35">
      <c r="B1808" s="6" t="str">
        <f t="shared" ca="1" si="504"/>
        <v>20253</v>
      </c>
      <c r="C1808" s="6">
        <f t="shared" ca="1" si="505"/>
        <v>2025</v>
      </c>
      <c r="D1808" s="6">
        <f t="shared" ca="1" si="506"/>
        <v>3</v>
      </c>
      <c r="E1808" s="68">
        <f ca="1">IFERROR(__xludf.DUMMYFUNCTION("""COMPUTED_VALUE"""),45727.6666666666)</f>
        <v>45727.666666666599</v>
      </c>
      <c r="F1808" s="6">
        <f ca="1">IFERROR(__xludf.DUMMYFUNCTION("""COMPUTED_VALUE"""),5572.07)</f>
        <v>5572.07</v>
      </c>
      <c r="J1808" s="6" t="str">
        <f t="shared" ca="1" si="507"/>
        <v>20253</v>
      </c>
      <c r="K1808" s="6">
        <f t="shared" ca="1" si="508"/>
        <v>2025</v>
      </c>
      <c r="L1808" s="6">
        <f t="shared" ca="1" si="509"/>
        <v>3</v>
      </c>
      <c r="M1808" s="68">
        <f ca="1">IFERROR(__xludf.DUMMYFUNCTION("""COMPUTED_VALUE"""),45720.6666666666)</f>
        <v>45720.666666666599</v>
      </c>
      <c r="N1808" s="6">
        <f ca="1">IFERROR(__xludf.DUMMYFUNCTION("""COMPUTED_VALUE"""),18285.16)</f>
        <v>18285.16</v>
      </c>
      <c r="R1808" s="6" t="str">
        <f t="shared" ca="1" si="510"/>
        <v>20255</v>
      </c>
      <c r="S1808" s="6">
        <f t="shared" ca="1" si="511"/>
        <v>2025</v>
      </c>
      <c r="T1808" s="6">
        <f t="shared" ca="1" si="512"/>
        <v>5</v>
      </c>
      <c r="U1808" s="68">
        <f ca="1">IFERROR(__xludf.DUMMYFUNCTION("""COMPUTED_VALUE"""),45793.6458333333)</f>
        <v>45793.645833333299</v>
      </c>
      <c r="V1808" s="6">
        <f ca="1">IFERROR(__xludf.DUMMYFUNCTION("""COMPUTED_VALUE"""),2626.87)</f>
        <v>2626.87</v>
      </c>
      <c r="Z1808" s="6" t="str">
        <f t="shared" ca="1" si="513"/>
        <v>20231</v>
      </c>
      <c r="AA1808" s="6">
        <f t="shared" ca="1" si="514"/>
        <v>2023</v>
      </c>
      <c r="AB1808" s="6">
        <f t="shared" ca="1" si="515"/>
        <v>1</v>
      </c>
      <c r="AC1808" s="68">
        <f ca="1">IFERROR(__xludf.DUMMYFUNCTION("""COMPUTED_VALUE"""),44957.9986111111)</f>
        <v>44957.998611111099</v>
      </c>
      <c r="AD1808" s="6">
        <f ca="1">IFERROR(__xludf.DUMMYFUNCTION("""COMPUTED_VALUE"""),1232.15)</f>
        <v>1232.1500000000001</v>
      </c>
      <c r="AH1808" s="6" t="str">
        <f t="shared" ca="1" si="516"/>
        <v>202212</v>
      </c>
      <c r="AI1808" s="6">
        <f t="shared" ca="1" si="517"/>
        <v>2022</v>
      </c>
      <c r="AJ1808" s="6">
        <f t="shared" ca="1" si="518"/>
        <v>12</v>
      </c>
      <c r="AK1808" s="68">
        <f ca="1">IFERROR(__xludf.DUMMYFUNCTION("""COMPUTED_VALUE"""),44901.9986111111)</f>
        <v>44901.998611111099</v>
      </c>
      <c r="AL1808" s="6">
        <f ca="1">IFERROR(__xludf.DUMMYFUNCTION("""COMPUTED_VALUE"""),17083.02)</f>
        <v>17083.02</v>
      </c>
      <c r="AP1808" s="6" t="str">
        <f t="shared" ca="1" si="519"/>
        <v>20253</v>
      </c>
      <c r="AQ1808" s="6">
        <f t="shared" ca="1" si="520"/>
        <v>2025</v>
      </c>
      <c r="AR1808" s="6">
        <f t="shared" ca="1" si="521"/>
        <v>3</v>
      </c>
      <c r="AS1808" s="68">
        <f ca="1">IFERROR(__xludf.DUMMYFUNCTION("""COMPUTED_VALUE"""),45734.9986111111)</f>
        <v>45734.998611111099</v>
      </c>
      <c r="AT1808" s="6">
        <f ca="1">IFERROR(__xludf.DUMMYFUNCTION("""COMPUTED_VALUE"""),3040.8)</f>
        <v>3040.8</v>
      </c>
    </row>
    <row r="1809" spans="2:46" x14ac:dyDescent="0.35">
      <c r="B1809" s="6" t="str">
        <f t="shared" ca="1" si="504"/>
        <v>20253</v>
      </c>
      <c r="C1809" s="6">
        <f t="shared" ca="1" si="505"/>
        <v>2025</v>
      </c>
      <c r="D1809" s="6">
        <f t="shared" ca="1" si="506"/>
        <v>3</v>
      </c>
      <c r="E1809" s="68">
        <f ca="1">IFERROR(__xludf.DUMMYFUNCTION("""COMPUTED_VALUE"""),45728.6666666666)</f>
        <v>45728.666666666599</v>
      </c>
      <c r="F1809" s="6">
        <f ca="1">IFERROR(__xludf.DUMMYFUNCTION("""COMPUTED_VALUE"""),5599.3)</f>
        <v>5599.3</v>
      </c>
      <c r="J1809" s="6" t="str">
        <f t="shared" ca="1" si="507"/>
        <v>20253</v>
      </c>
      <c r="K1809" s="6">
        <f t="shared" ca="1" si="508"/>
        <v>2025</v>
      </c>
      <c r="L1809" s="6">
        <f t="shared" ca="1" si="509"/>
        <v>3</v>
      </c>
      <c r="M1809" s="68">
        <f ca="1">IFERROR(__xludf.DUMMYFUNCTION("""COMPUTED_VALUE"""),45721.6666666666)</f>
        <v>45721.666666666599</v>
      </c>
      <c r="N1809" s="6">
        <f ca="1">IFERROR(__xludf.DUMMYFUNCTION("""COMPUTED_VALUE"""),18552.73)</f>
        <v>18552.73</v>
      </c>
      <c r="R1809" s="6" t="str">
        <f t="shared" ca="1" si="510"/>
        <v>20255</v>
      </c>
      <c r="S1809" s="6">
        <f t="shared" ca="1" si="511"/>
        <v>2025</v>
      </c>
      <c r="T1809" s="6">
        <f t="shared" ca="1" si="512"/>
        <v>5</v>
      </c>
      <c r="U1809" s="68">
        <f ca="1">IFERROR(__xludf.DUMMYFUNCTION("""COMPUTED_VALUE"""),45796.6458333333)</f>
        <v>45796.645833333299</v>
      </c>
      <c r="V1809" s="6">
        <f ca="1">IFERROR(__xludf.DUMMYFUNCTION("""COMPUTED_VALUE"""),2603.42)</f>
        <v>2603.42</v>
      </c>
      <c r="Z1809" s="6" t="str">
        <f t="shared" ca="1" si="513"/>
        <v>20232</v>
      </c>
      <c r="AA1809" s="6">
        <f t="shared" ca="1" si="514"/>
        <v>2023</v>
      </c>
      <c r="AB1809" s="6">
        <f t="shared" ca="1" si="515"/>
        <v>2</v>
      </c>
      <c r="AC1809" s="68">
        <f ca="1">IFERROR(__xludf.DUMMYFUNCTION("""COMPUTED_VALUE"""),44958.9986111111)</f>
        <v>44958.998611111099</v>
      </c>
      <c r="AD1809" s="6">
        <f ca="1">IFERROR(__xludf.DUMMYFUNCTION("""COMPUTED_VALUE"""),1221.95)</f>
        <v>1221.95</v>
      </c>
      <c r="AH1809" s="6" t="str">
        <f t="shared" ca="1" si="516"/>
        <v>202212</v>
      </c>
      <c r="AI1809" s="6">
        <f t="shared" ca="1" si="517"/>
        <v>2022</v>
      </c>
      <c r="AJ1809" s="6">
        <f t="shared" ca="1" si="518"/>
        <v>12</v>
      </c>
      <c r="AK1809" s="68">
        <f ca="1">IFERROR(__xludf.DUMMYFUNCTION("""COMPUTED_VALUE"""),44902.9986111111)</f>
        <v>44902.998611111099</v>
      </c>
      <c r="AL1809" s="6">
        <f ca="1">IFERROR(__xludf.DUMMYFUNCTION("""COMPUTED_VALUE"""),16836.91)</f>
        <v>16836.91</v>
      </c>
      <c r="AP1809" s="6" t="str">
        <f t="shared" ca="1" si="519"/>
        <v>20253</v>
      </c>
      <c r="AQ1809" s="6">
        <f t="shared" ca="1" si="520"/>
        <v>2025</v>
      </c>
      <c r="AR1809" s="6">
        <f t="shared" ca="1" si="521"/>
        <v>3</v>
      </c>
      <c r="AS1809" s="68">
        <f ca="1">IFERROR(__xludf.DUMMYFUNCTION("""COMPUTED_VALUE"""),45735.9986111111)</f>
        <v>45735.998611111099</v>
      </c>
      <c r="AT1809" s="6">
        <f ca="1">IFERROR(__xludf.DUMMYFUNCTION("""COMPUTED_VALUE"""),3041.2)</f>
        <v>3041.2</v>
      </c>
    </row>
    <row r="1810" spans="2:46" x14ac:dyDescent="0.35">
      <c r="B1810" s="6" t="str">
        <f t="shared" ca="1" si="504"/>
        <v>20253</v>
      </c>
      <c r="C1810" s="6">
        <f t="shared" ca="1" si="505"/>
        <v>2025</v>
      </c>
      <c r="D1810" s="6">
        <f t="shared" ca="1" si="506"/>
        <v>3</v>
      </c>
      <c r="E1810" s="68">
        <f ca="1">IFERROR(__xludf.DUMMYFUNCTION("""COMPUTED_VALUE"""),45729.6666666666)</f>
        <v>45729.666666666599</v>
      </c>
      <c r="F1810" s="6">
        <f ca="1">IFERROR(__xludf.DUMMYFUNCTION("""COMPUTED_VALUE"""),5521.52)</f>
        <v>5521.52</v>
      </c>
      <c r="J1810" s="6" t="str">
        <f t="shared" ca="1" si="507"/>
        <v>20253</v>
      </c>
      <c r="K1810" s="6">
        <f t="shared" ca="1" si="508"/>
        <v>2025</v>
      </c>
      <c r="L1810" s="6">
        <f t="shared" ca="1" si="509"/>
        <v>3</v>
      </c>
      <c r="M1810" s="68">
        <f ca="1">IFERROR(__xludf.DUMMYFUNCTION("""COMPUTED_VALUE"""),45722.6666666666)</f>
        <v>45722.666666666599</v>
      </c>
      <c r="N1810" s="6">
        <f ca="1">IFERROR(__xludf.DUMMYFUNCTION("""COMPUTED_VALUE"""),18069.26)</f>
        <v>18069.259999999998</v>
      </c>
      <c r="R1810" s="6" t="str">
        <f t="shared" ca="1" si="510"/>
        <v>20255</v>
      </c>
      <c r="S1810" s="6">
        <f t="shared" ca="1" si="511"/>
        <v>2025</v>
      </c>
      <c r="T1810" s="6">
        <f t="shared" ca="1" si="512"/>
        <v>5</v>
      </c>
      <c r="U1810" s="68">
        <f ca="1">IFERROR(__xludf.DUMMYFUNCTION("""COMPUTED_VALUE"""),45797.6458333333)</f>
        <v>45797.645833333299</v>
      </c>
      <c r="V1810" s="6">
        <f ca="1">IFERROR(__xludf.DUMMYFUNCTION("""COMPUTED_VALUE"""),2601.8)</f>
        <v>2601.8000000000002</v>
      </c>
      <c r="Z1810" s="6" t="str">
        <f t="shared" ca="1" si="513"/>
        <v>20232</v>
      </c>
      <c r="AA1810" s="6">
        <f t="shared" ca="1" si="514"/>
        <v>2023</v>
      </c>
      <c r="AB1810" s="6">
        <f t="shared" ca="1" si="515"/>
        <v>2</v>
      </c>
      <c r="AC1810" s="68">
        <f ca="1">IFERROR(__xludf.DUMMYFUNCTION("""COMPUTED_VALUE"""),44959.9986111111)</f>
        <v>44959.998611111099</v>
      </c>
      <c r="AD1810" s="6">
        <f ca="1">IFERROR(__xludf.DUMMYFUNCTION("""COMPUTED_VALUE"""),1224.9)</f>
        <v>1224.9000000000001</v>
      </c>
      <c r="AH1810" s="6" t="str">
        <f t="shared" ca="1" si="516"/>
        <v>202212</v>
      </c>
      <c r="AI1810" s="6">
        <f t="shared" ca="1" si="517"/>
        <v>2022</v>
      </c>
      <c r="AJ1810" s="6">
        <f t="shared" ca="1" si="518"/>
        <v>12</v>
      </c>
      <c r="AK1810" s="68">
        <f ca="1">IFERROR(__xludf.DUMMYFUNCTION("""COMPUTED_VALUE"""),44903.9986111111)</f>
        <v>44903.998611111099</v>
      </c>
      <c r="AL1810" s="6">
        <f ca="1">IFERROR(__xludf.DUMMYFUNCTION("""COMPUTED_VALUE"""),17227.73)</f>
        <v>17227.73</v>
      </c>
      <c r="AP1810" s="6" t="str">
        <f t="shared" ca="1" si="519"/>
        <v>20253</v>
      </c>
      <c r="AQ1810" s="6">
        <f t="shared" ca="1" si="520"/>
        <v>2025</v>
      </c>
      <c r="AR1810" s="6">
        <f t="shared" ca="1" si="521"/>
        <v>3</v>
      </c>
      <c r="AS1810" s="68">
        <f ca="1">IFERROR(__xludf.DUMMYFUNCTION("""COMPUTED_VALUE"""),45736.9986111111)</f>
        <v>45736.998611111099</v>
      </c>
      <c r="AT1810" s="6">
        <f ca="1">IFERROR(__xludf.DUMMYFUNCTION("""COMPUTED_VALUE"""),3043.8)</f>
        <v>3043.8</v>
      </c>
    </row>
    <row r="1811" spans="2:46" x14ac:dyDescent="0.35">
      <c r="B1811" s="6" t="str">
        <f t="shared" ca="1" si="504"/>
        <v>20253</v>
      </c>
      <c r="C1811" s="6">
        <f t="shared" ca="1" si="505"/>
        <v>2025</v>
      </c>
      <c r="D1811" s="6">
        <f t="shared" ca="1" si="506"/>
        <v>3</v>
      </c>
      <c r="E1811" s="68">
        <f ca="1">IFERROR(__xludf.DUMMYFUNCTION("""COMPUTED_VALUE"""),45730.6666666666)</f>
        <v>45730.666666666599</v>
      </c>
      <c r="F1811" s="6">
        <f ca="1">IFERROR(__xludf.DUMMYFUNCTION("""COMPUTED_VALUE"""),5638.94)</f>
        <v>5638.94</v>
      </c>
      <c r="J1811" s="6" t="str">
        <f t="shared" ca="1" si="507"/>
        <v>20253</v>
      </c>
      <c r="K1811" s="6">
        <f t="shared" ca="1" si="508"/>
        <v>2025</v>
      </c>
      <c r="L1811" s="6">
        <f t="shared" ca="1" si="509"/>
        <v>3</v>
      </c>
      <c r="M1811" s="68">
        <f ca="1">IFERROR(__xludf.DUMMYFUNCTION("""COMPUTED_VALUE"""),45723.6666666666)</f>
        <v>45723.666666666599</v>
      </c>
      <c r="N1811" s="6">
        <f ca="1">IFERROR(__xludf.DUMMYFUNCTION("""COMPUTED_VALUE"""),18196.22)</f>
        <v>18196.22</v>
      </c>
      <c r="R1811" s="6" t="str">
        <f t="shared" ca="1" si="510"/>
        <v>20255</v>
      </c>
      <c r="S1811" s="6">
        <f t="shared" ca="1" si="511"/>
        <v>2025</v>
      </c>
      <c r="T1811" s="6">
        <f t="shared" ca="1" si="512"/>
        <v>5</v>
      </c>
      <c r="U1811" s="68">
        <f ca="1">IFERROR(__xludf.DUMMYFUNCTION("""COMPUTED_VALUE"""),45798.6458333333)</f>
        <v>45798.645833333299</v>
      </c>
      <c r="V1811" s="6">
        <f ca="1">IFERROR(__xludf.DUMMYFUNCTION("""COMPUTED_VALUE"""),2625.58)</f>
        <v>2625.58</v>
      </c>
      <c r="Z1811" s="6" t="str">
        <f t="shared" ca="1" si="513"/>
        <v>20232</v>
      </c>
      <c r="AA1811" s="6">
        <f t="shared" ca="1" si="514"/>
        <v>2023</v>
      </c>
      <c r="AB1811" s="6">
        <f t="shared" ca="1" si="515"/>
        <v>2</v>
      </c>
      <c r="AC1811" s="68">
        <f ca="1">IFERROR(__xludf.DUMMYFUNCTION("""COMPUTED_VALUE"""),44960.9986111111)</f>
        <v>44960.998611111099</v>
      </c>
      <c r="AD1811" s="6">
        <f ca="1">IFERROR(__xludf.DUMMYFUNCTION("""COMPUTED_VALUE"""),1246.92)</f>
        <v>1246.92</v>
      </c>
      <c r="AH1811" s="6" t="str">
        <f t="shared" ca="1" si="516"/>
        <v>202212</v>
      </c>
      <c r="AI1811" s="6">
        <f t="shared" ca="1" si="517"/>
        <v>2022</v>
      </c>
      <c r="AJ1811" s="6">
        <f t="shared" ca="1" si="518"/>
        <v>12</v>
      </c>
      <c r="AK1811" s="68">
        <f ca="1">IFERROR(__xludf.DUMMYFUNCTION("""COMPUTED_VALUE"""),44904.9986111111)</f>
        <v>44904.998611111099</v>
      </c>
      <c r="AL1811" s="6">
        <f ca="1">IFERROR(__xludf.DUMMYFUNCTION("""COMPUTED_VALUE"""),17126.82)</f>
        <v>17126.82</v>
      </c>
      <c r="AP1811" s="6" t="str">
        <f t="shared" ca="1" si="519"/>
        <v>20253</v>
      </c>
      <c r="AQ1811" s="6">
        <f t="shared" ca="1" si="520"/>
        <v>2025</v>
      </c>
      <c r="AR1811" s="6">
        <f t="shared" ca="1" si="521"/>
        <v>3</v>
      </c>
      <c r="AS1811" s="68">
        <f ca="1">IFERROR(__xludf.DUMMYFUNCTION("""COMPUTED_VALUE"""),45737.9986111111)</f>
        <v>45737.998611111099</v>
      </c>
      <c r="AT1811" s="6">
        <f ca="1">IFERROR(__xludf.DUMMYFUNCTION("""COMPUTED_VALUE"""),3021.4)</f>
        <v>3021.4</v>
      </c>
    </row>
    <row r="1812" spans="2:46" x14ac:dyDescent="0.35">
      <c r="B1812" s="6" t="str">
        <f t="shared" ca="1" si="504"/>
        <v>20253</v>
      </c>
      <c r="C1812" s="6">
        <f t="shared" ca="1" si="505"/>
        <v>2025</v>
      </c>
      <c r="D1812" s="6">
        <f t="shared" ca="1" si="506"/>
        <v>3</v>
      </c>
      <c r="E1812" s="68">
        <f ca="1">IFERROR(__xludf.DUMMYFUNCTION("""COMPUTED_VALUE"""),45733.6666666666)</f>
        <v>45733.666666666599</v>
      </c>
      <c r="F1812" s="6">
        <f ca="1">IFERROR(__xludf.DUMMYFUNCTION("""COMPUTED_VALUE"""),5675.12)</f>
        <v>5675.12</v>
      </c>
      <c r="J1812" s="6" t="str">
        <f t="shared" ca="1" si="507"/>
        <v>20253</v>
      </c>
      <c r="K1812" s="6">
        <f t="shared" ca="1" si="508"/>
        <v>2025</v>
      </c>
      <c r="L1812" s="6">
        <f t="shared" ca="1" si="509"/>
        <v>3</v>
      </c>
      <c r="M1812" s="68">
        <f ca="1">IFERROR(__xludf.DUMMYFUNCTION("""COMPUTED_VALUE"""),45726.6666666666)</f>
        <v>45726.666666666599</v>
      </c>
      <c r="N1812" s="6">
        <f ca="1">IFERROR(__xludf.DUMMYFUNCTION("""COMPUTED_VALUE"""),17468.32)</f>
        <v>17468.32</v>
      </c>
      <c r="R1812" s="6" t="str">
        <f t="shared" ca="1" si="510"/>
        <v>20255</v>
      </c>
      <c r="S1812" s="6">
        <f t="shared" ca="1" si="511"/>
        <v>2025</v>
      </c>
      <c r="T1812" s="6">
        <f t="shared" ca="1" si="512"/>
        <v>5</v>
      </c>
      <c r="U1812" s="68">
        <f ca="1">IFERROR(__xludf.DUMMYFUNCTION("""COMPUTED_VALUE"""),45799.6458333333)</f>
        <v>45799.645833333299</v>
      </c>
      <c r="V1812" s="6">
        <f ca="1">IFERROR(__xludf.DUMMYFUNCTION("""COMPUTED_VALUE"""),2593.67)</f>
        <v>2593.67</v>
      </c>
      <c r="Z1812" s="6" t="str">
        <f t="shared" ca="1" si="513"/>
        <v>20232</v>
      </c>
      <c r="AA1812" s="6">
        <f t="shared" ca="1" si="514"/>
        <v>2023</v>
      </c>
      <c r="AB1812" s="6">
        <f t="shared" ca="1" si="515"/>
        <v>2</v>
      </c>
      <c r="AC1812" s="68">
        <f ca="1">IFERROR(__xludf.DUMMYFUNCTION("""COMPUTED_VALUE"""),44961.9986111111)</f>
        <v>44961.998611111099</v>
      </c>
      <c r="AD1812" s="6">
        <f ca="1">IFERROR(__xludf.DUMMYFUNCTION("""COMPUTED_VALUE"""),1246.75)</f>
        <v>1246.75</v>
      </c>
      <c r="AH1812" s="6" t="str">
        <f t="shared" ca="1" si="516"/>
        <v>202212</v>
      </c>
      <c r="AI1812" s="6">
        <f t="shared" ca="1" si="517"/>
        <v>2022</v>
      </c>
      <c r="AJ1812" s="6">
        <f t="shared" ca="1" si="518"/>
        <v>12</v>
      </c>
      <c r="AK1812" s="68">
        <f ca="1">IFERROR(__xludf.DUMMYFUNCTION("""COMPUTED_VALUE"""),44905.9986111111)</f>
        <v>44905.998611111099</v>
      </c>
      <c r="AL1812" s="6">
        <f ca="1">IFERROR(__xludf.DUMMYFUNCTION("""COMPUTED_VALUE"""),17126.43)</f>
        <v>17126.43</v>
      </c>
      <c r="AP1812" s="6" t="str">
        <f t="shared" ca="1" si="519"/>
        <v>20253</v>
      </c>
      <c r="AQ1812" s="6">
        <f t="shared" ca="1" si="520"/>
        <v>2025</v>
      </c>
      <c r="AR1812" s="6">
        <f t="shared" ca="1" si="521"/>
        <v>3</v>
      </c>
      <c r="AS1812" s="68">
        <f ca="1">IFERROR(__xludf.DUMMYFUNCTION("""COMPUTED_VALUE"""),45740.9986111111)</f>
        <v>45740.998611111099</v>
      </c>
      <c r="AT1812" s="6">
        <f ca="1">IFERROR(__xludf.DUMMYFUNCTION("""COMPUTED_VALUE"""),3015.6)</f>
        <v>3015.6</v>
      </c>
    </row>
    <row r="1813" spans="2:46" x14ac:dyDescent="0.35">
      <c r="B1813" s="6" t="str">
        <f t="shared" ca="1" si="504"/>
        <v>20253</v>
      </c>
      <c r="C1813" s="6">
        <f t="shared" ca="1" si="505"/>
        <v>2025</v>
      </c>
      <c r="D1813" s="6">
        <f t="shared" ca="1" si="506"/>
        <v>3</v>
      </c>
      <c r="E1813" s="68">
        <f ca="1">IFERROR(__xludf.DUMMYFUNCTION("""COMPUTED_VALUE"""),45734.6666666666)</f>
        <v>45734.666666666599</v>
      </c>
      <c r="F1813" s="6">
        <f ca="1">IFERROR(__xludf.DUMMYFUNCTION("""COMPUTED_VALUE"""),5614.66)</f>
        <v>5614.66</v>
      </c>
      <c r="J1813" s="6" t="str">
        <f t="shared" ca="1" si="507"/>
        <v>20253</v>
      </c>
      <c r="K1813" s="6">
        <f t="shared" ca="1" si="508"/>
        <v>2025</v>
      </c>
      <c r="L1813" s="6">
        <f t="shared" ca="1" si="509"/>
        <v>3</v>
      </c>
      <c r="M1813" s="68">
        <f ca="1">IFERROR(__xludf.DUMMYFUNCTION("""COMPUTED_VALUE"""),45727.6666666666)</f>
        <v>45727.666666666599</v>
      </c>
      <c r="N1813" s="6">
        <f ca="1">IFERROR(__xludf.DUMMYFUNCTION("""COMPUTED_VALUE"""),17436.1)</f>
        <v>17436.099999999999</v>
      </c>
      <c r="R1813" s="6" t="str">
        <f t="shared" ca="1" si="510"/>
        <v>20255</v>
      </c>
      <c r="S1813" s="6">
        <f t="shared" ca="1" si="511"/>
        <v>2025</v>
      </c>
      <c r="T1813" s="6">
        <f t="shared" ca="1" si="512"/>
        <v>5</v>
      </c>
      <c r="U1813" s="68">
        <f ca="1">IFERROR(__xludf.DUMMYFUNCTION("""COMPUTED_VALUE"""),45800.6458333333)</f>
        <v>45800.645833333299</v>
      </c>
      <c r="V1813" s="6">
        <f ca="1">IFERROR(__xludf.DUMMYFUNCTION("""COMPUTED_VALUE"""),2592.09)</f>
        <v>2592.09</v>
      </c>
      <c r="Z1813" s="6" t="str">
        <f t="shared" ca="1" si="513"/>
        <v>20232</v>
      </c>
      <c r="AA1813" s="6">
        <f t="shared" ca="1" si="514"/>
        <v>2023</v>
      </c>
      <c r="AB1813" s="6">
        <f t="shared" ca="1" si="515"/>
        <v>2</v>
      </c>
      <c r="AC1813" s="68">
        <f ca="1">IFERROR(__xludf.DUMMYFUNCTION("""COMPUTED_VALUE"""),44962.9986111111)</f>
        <v>44962.998611111099</v>
      </c>
      <c r="AD1813" s="6">
        <f ca="1">IFERROR(__xludf.DUMMYFUNCTION("""COMPUTED_VALUE"""),1246.75)</f>
        <v>1246.75</v>
      </c>
      <c r="AH1813" s="6" t="str">
        <f t="shared" ca="1" si="516"/>
        <v>202212</v>
      </c>
      <c r="AI1813" s="6">
        <f t="shared" ca="1" si="517"/>
        <v>2022</v>
      </c>
      <c r="AJ1813" s="6">
        <f t="shared" ca="1" si="518"/>
        <v>12</v>
      </c>
      <c r="AK1813" s="68">
        <f ca="1">IFERROR(__xludf.DUMMYFUNCTION("""COMPUTED_VALUE"""),44906.9986111111)</f>
        <v>44906.998611111099</v>
      </c>
      <c r="AL1813" s="6">
        <f ca="1">IFERROR(__xludf.DUMMYFUNCTION("""COMPUTED_VALUE"""),17092.67)</f>
        <v>17092.669999999998</v>
      </c>
      <c r="AP1813" s="6" t="str">
        <f t="shared" ca="1" si="519"/>
        <v>20253</v>
      </c>
      <c r="AQ1813" s="6">
        <f t="shared" ca="1" si="520"/>
        <v>2025</v>
      </c>
      <c r="AR1813" s="6">
        <f t="shared" ca="1" si="521"/>
        <v>3</v>
      </c>
      <c r="AS1813" s="68">
        <f ca="1">IFERROR(__xludf.DUMMYFUNCTION("""COMPUTED_VALUE"""),45741.9986111111)</f>
        <v>45741.998611111099</v>
      </c>
      <c r="AT1813" s="6">
        <f ca="1">IFERROR(__xludf.DUMMYFUNCTION("""COMPUTED_VALUE"""),3054.3)</f>
        <v>3054.3</v>
      </c>
    </row>
    <row r="1814" spans="2:46" x14ac:dyDescent="0.35">
      <c r="B1814" s="6" t="str">
        <f t="shared" ca="1" si="504"/>
        <v>20253</v>
      </c>
      <c r="C1814" s="6">
        <f t="shared" ca="1" si="505"/>
        <v>2025</v>
      </c>
      <c r="D1814" s="6">
        <f t="shared" ca="1" si="506"/>
        <v>3</v>
      </c>
      <c r="E1814" s="68">
        <f ca="1">IFERROR(__xludf.DUMMYFUNCTION("""COMPUTED_VALUE"""),45735.6666666666)</f>
        <v>45735.666666666599</v>
      </c>
      <c r="F1814" s="6">
        <f ca="1">IFERROR(__xludf.DUMMYFUNCTION("""COMPUTED_VALUE"""),5675.29)</f>
        <v>5675.29</v>
      </c>
      <c r="J1814" s="6" t="str">
        <f t="shared" ca="1" si="507"/>
        <v>20253</v>
      </c>
      <c r="K1814" s="6">
        <f t="shared" ca="1" si="508"/>
        <v>2025</v>
      </c>
      <c r="L1814" s="6">
        <f t="shared" ca="1" si="509"/>
        <v>3</v>
      </c>
      <c r="M1814" s="68">
        <f ca="1">IFERROR(__xludf.DUMMYFUNCTION("""COMPUTED_VALUE"""),45728.6666666666)</f>
        <v>45728.666666666599</v>
      </c>
      <c r="N1814" s="6">
        <f ca="1">IFERROR(__xludf.DUMMYFUNCTION("""COMPUTED_VALUE"""),17648.45)</f>
        <v>17648.45</v>
      </c>
      <c r="R1814" s="6" t="str">
        <f t="shared" ca="1" si="510"/>
        <v>20255</v>
      </c>
      <c r="S1814" s="6">
        <f t="shared" ca="1" si="511"/>
        <v>2025</v>
      </c>
      <c r="T1814" s="6">
        <f t="shared" ca="1" si="512"/>
        <v>5</v>
      </c>
      <c r="U1814" s="68">
        <f ca="1">IFERROR(__xludf.DUMMYFUNCTION("""COMPUTED_VALUE"""),45803.6458333333)</f>
        <v>45803.645833333299</v>
      </c>
      <c r="V1814" s="6">
        <f ca="1">IFERROR(__xludf.DUMMYFUNCTION("""COMPUTED_VALUE"""),2644.4)</f>
        <v>2644.4</v>
      </c>
      <c r="Z1814" s="6" t="str">
        <f t="shared" ca="1" si="513"/>
        <v>20232</v>
      </c>
      <c r="AA1814" s="6">
        <f t="shared" ca="1" si="514"/>
        <v>2023</v>
      </c>
      <c r="AB1814" s="6">
        <f t="shared" ca="1" si="515"/>
        <v>2</v>
      </c>
      <c r="AC1814" s="68">
        <f ca="1">IFERROR(__xludf.DUMMYFUNCTION("""COMPUTED_VALUE"""),44963.9986111111)</f>
        <v>44963.998611111099</v>
      </c>
      <c r="AD1814" s="6">
        <f ca="1">IFERROR(__xludf.DUMMYFUNCTION("""COMPUTED_VALUE"""),1261.23)</f>
        <v>1261.23</v>
      </c>
      <c r="AH1814" s="6" t="str">
        <f t="shared" ca="1" si="516"/>
        <v>202212</v>
      </c>
      <c r="AI1814" s="6">
        <f t="shared" ca="1" si="517"/>
        <v>2022</v>
      </c>
      <c r="AJ1814" s="6">
        <f t="shared" ca="1" si="518"/>
        <v>12</v>
      </c>
      <c r="AK1814" s="68">
        <f ca="1">IFERROR(__xludf.DUMMYFUNCTION("""COMPUTED_VALUE"""),44907.9986111111)</f>
        <v>44907.998611111099</v>
      </c>
      <c r="AL1814" s="6">
        <f ca="1">IFERROR(__xludf.DUMMYFUNCTION("""COMPUTED_VALUE"""),17206.42)</f>
        <v>17206.419999999998</v>
      </c>
      <c r="AP1814" s="6" t="str">
        <f t="shared" ca="1" si="519"/>
        <v>20253</v>
      </c>
      <c r="AQ1814" s="6">
        <f t="shared" ca="1" si="520"/>
        <v>2025</v>
      </c>
      <c r="AR1814" s="6">
        <f t="shared" ca="1" si="521"/>
        <v>3</v>
      </c>
      <c r="AS1814" s="68">
        <f ca="1">IFERROR(__xludf.DUMMYFUNCTION("""COMPUTED_VALUE"""),45742.9986111111)</f>
        <v>45742.998611111099</v>
      </c>
      <c r="AT1814" s="6">
        <f ca="1">IFERROR(__xludf.DUMMYFUNCTION("""COMPUTED_VALUE"""),3052.3)</f>
        <v>3052.3</v>
      </c>
    </row>
    <row r="1815" spans="2:46" x14ac:dyDescent="0.35">
      <c r="B1815" s="6" t="str">
        <f t="shared" ca="1" si="504"/>
        <v>20253</v>
      </c>
      <c r="C1815" s="6">
        <f t="shared" ca="1" si="505"/>
        <v>2025</v>
      </c>
      <c r="D1815" s="6">
        <f t="shared" ca="1" si="506"/>
        <v>3</v>
      </c>
      <c r="E1815" s="68">
        <f ca="1">IFERROR(__xludf.DUMMYFUNCTION("""COMPUTED_VALUE"""),45736.6666666666)</f>
        <v>45736.666666666599</v>
      </c>
      <c r="F1815" s="6">
        <f ca="1">IFERROR(__xludf.DUMMYFUNCTION("""COMPUTED_VALUE"""),5662.89)</f>
        <v>5662.89</v>
      </c>
      <c r="J1815" s="6" t="str">
        <f t="shared" ca="1" si="507"/>
        <v>20253</v>
      </c>
      <c r="K1815" s="6">
        <f t="shared" ca="1" si="508"/>
        <v>2025</v>
      </c>
      <c r="L1815" s="6">
        <f t="shared" ca="1" si="509"/>
        <v>3</v>
      </c>
      <c r="M1815" s="68">
        <f ca="1">IFERROR(__xludf.DUMMYFUNCTION("""COMPUTED_VALUE"""),45729.6666666666)</f>
        <v>45729.666666666599</v>
      </c>
      <c r="N1815" s="6">
        <f ca="1">IFERROR(__xludf.DUMMYFUNCTION("""COMPUTED_VALUE"""),17303.01)</f>
        <v>17303.009999999998</v>
      </c>
      <c r="R1815" s="6" t="str">
        <f t="shared" ca="1" si="510"/>
        <v>20255</v>
      </c>
      <c r="S1815" s="6">
        <f t="shared" ca="1" si="511"/>
        <v>2025</v>
      </c>
      <c r="T1815" s="6">
        <f t="shared" ca="1" si="512"/>
        <v>5</v>
      </c>
      <c r="U1815" s="68">
        <f ca="1">IFERROR(__xludf.DUMMYFUNCTION("""COMPUTED_VALUE"""),45804.6458333333)</f>
        <v>45804.645833333299</v>
      </c>
      <c r="V1815" s="6">
        <f ca="1">IFERROR(__xludf.DUMMYFUNCTION("""COMPUTED_VALUE"""),2637.22)</f>
        <v>2637.22</v>
      </c>
      <c r="Z1815" s="6" t="str">
        <f t="shared" ca="1" si="513"/>
        <v>20232</v>
      </c>
      <c r="AA1815" s="6">
        <f t="shared" ca="1" si="514"/>
        <v>2023</v>
      </c>
      <c r="AB1815" s="6">
        <f t="shared" ca="1" si="515"/>
        <v>2</v>
      </c>
      <c r="AC1815" s="68">
        <f ca="1">IFERROR(__xludf.DUMMYFUNCTION("""COMPUTED_VALUE"""),44964.9986111111)</f>
        <v>44964.998611111099</v>
      </c>
      <c r="AD1815" s="6">
        <f ca="1">IFERROR(__xludf.DUMMYFUNCTION("""COMPUTED_VALUE"""),1255.35)</f>
        <v>1255.3499999999999</v>
      </c>
      <c r="AH1815" s="6" t="str">
        <f t="shared" ca="1" si="516"/>
        <v>202212</v>
      </c>
      <c r="AI1815" s="6">
        <f t="shared" ca="1" si="517"/>
        <v>2022</v>
      </c>
      <c r="AJ1815" s="6">
        <f t="shared" ca="1" si="518"/>
        <v>12</v>
      </c>
      <c r="AK1815" s="68">
        <f ca="1">IFERROR(__xludf.DUMMYFUNCTION("""COMPUTED_VALUE"""),44908.9986111111)</f>
        <v>44908.998611111099</v>
      </c>
      <c r="AL1815" s="6">
        <f ca="1">IFERROR(__xludf.DUMMYFUNCTION("""COMPUTED_VALUE"""),17777.01)</f>
        <v>17777.009999999998</v>
      </c>
      <c r="AP1815" s="6" t="str">
        <f t="shared" ca="1" si="519"/>
        <v>20253</v>
      </c>
      <c r="AQ1815" s="6">
        <f t="shared" ca="1" si="520"/>
        <v>2025</v>
      </c>
      <c r="AR1815" s="6">
        <f t="shared" ca="1" si="521"/>
        <v>3</v>
      </c>
      <c r="AS1815" s="68">
        <f ca="1">IFERROR(__xludf.DUMMYFUNCTION("""COMPUTED_VALUE"""),45743.9986111111)</f>
        <v>45743.998611111099</v>
      </c>
      <c r="AT1815" s="6">
        <f ca="1">IFERROR(__xludf.DUMMYFUNCTION("""COMPUTED_VALUE"""),3090.9)</f>
        <v>3090.9</v>
      </c>
    </row>
    <row r="1816" spans="2:46" x14ac:dyDescent="0.35">
      <c r="B1816" s="6" t="str">
        <f t="shared" ca="1" si="504"/>
        <v>20253</v>
      </c>
      <c r="C1816" s="6">
        <f t="shared" ca="1" si="505"/>
        <v>2025</v>
      </c>
      <c r="D1816" s="6">
        <f t="shared" ca="1" si="506"/>
        <v>3</v>
      </c>
      <c r="E1816" s="68">
        <f ca="1">IFERROR(__xludf.DUMMYFUNCTION("""COMPUTED_VALUE"""),45737.6666666666)</f>
        <v>45737.666666666599</v>
      </c>
      <c r="F1816" s="6">
        <f ca="1">IFERROR(__xludf.DUMMYFUNCTION("""COMPUTED_VALUE"""),5667.56)</f>
        <v>5667.56</v>
      </c>
      <c r="J1816" s="6" t="str">
        <f t="shared" ca="1" si="507"/>
        <v>20253</v>
      </c>
      <c r="K1816" s="6">
        <f t="shared" ca="1" si="508"/>
        <v>2025</v>
      </c>
      <c r="L1816" s="6">
        <f t="shared" ca="1" si="509"/>
        <v>3</v>
      </c>
      <c r="M1816" s="68">
        <f ca="1">IFERROR(__xludf.DUMMYFUNCTION("""COMPUTED_VALUE"""),45730.6666666666)</f>
        <v>45730.666666666599</v>
      </c>
      <c r="N1816" s="6">
        <f ca="1">IFERROR(__xludf.DUMMYFUNCTION("""COMPUTED_VALUE"""),17754.09)</f>
        <v>17754.09</v>
      </c>
      <c r="R1816" s="6" t="str">
        <f t="shared" ca="1" si="510"/>
        <v>20255</v>
      </c>
      <c r="S1816" s="6">
        <f t="shared" ca="1" si="511"/>
        <v>2025</v>
      </c>
      <c r="T1816" s="6">
        <f t="shared" ca="1" si="512"/>
        <v>5</v>
      </c>
      <c r="U1816" s="68">
        <f ca="1">IFERROR(__xludf.DUMMYFUNCTION("""COMPUTED_VALUE"""),45805.6458333333)</f>
        <v>45805.645833333299</v>
      </c>
      <c r="V1816" s="6">
        <f ca="1">IFERROR(__xludf.DUMMYFUNCTION("""COMPUTED_VALUE"""),2670.15)</f>
        <v>2670.15</v>
      </c>
      <c r="Z1816" s="6" t="str">
        <f t="shared" ca="1" si="513"/>
        <v>20232</v>
      </c>
      <c r="AA1816" s="6">
        <f t="shared" ca="1" si="514"/>
        <v>2023</v>
      </c>
      <c r="AB1816" s="6">
        <f t="shared" ca="1" si="515"/>
        <v>2</v>
      </c>
      <c r="AC1816" s="68">
        <f ca="1">IFERROR(__xludf.DUMMYFUNCTION("""COMPUTED_VALUE"""),44965.9986111111)</f>
        <v>44965.998611111099</v>
      </c>
      <c r="AD1816" s="6">
        <f ca="1">IFERROR(__xludf.DUMMYFUNCTION("""COMPUTED_VALUE"""),1260.47)</f>
        <v>1260.47</v>
      </c>
      <c r="AH1816" s="6" t="str">
        <f t="shared" ca="1" si="516"/>
        <v>202212</v>
      </c>
      <c r="AI1816" s="6">
        <f t="shared" ca="1" si="517"/>
        <v>2022</v>
      </c>
      <c r="AJ1816" s="6">
        <f t="shared" ca="1" si="518"/>
        <v>12</v>
      </c>
      <c r="AK1816" s="68">
        <f ca="1">IFERROR(__xludf.DUMMYFUNCTION("""COMPUTED_VALUE"""),44909.9986111111)</f>
        <v>44909.998611111099</v>
      </c>
      <c r="AL1816" s="6">
        <f ca="1">IFERROR(__xludf.DUMMYFUNCTION("""COMPUTED_VALUE"""),17800.52)</f>
        <v>17800.52</v>
      </c>
      <c r="AP1816" s="6" t="str">
        <f t="shared" ca="1" si="519"/>
        <v>20253</v>
      </c>
      <c r="AQ1816" s="6">
        <f t="shared" ca="1" si="520"/>
        <v>2025</v>
      </c>
      <c r="AR1816" s="6">
        <f t="shared" ca="1" si="521"/>
        <v>3</v>
      </c>
      <c r="AS1816" s="68">
        <f ca="1">IFERROR(__xludf.DUMMYFUNCTION("""COMPUTED_VALUE"""),45744.9986111111)</f>
        <v>45744.998611111099</v>
      </c>
      <c r="AT1816" s="6">
        <f ca="1">IFERROR(__xludf.DUMMYFUNCTION("""COMPUTED_VALUE"""),3114.3)</f>
        <v>3114.3</v>
      </c>
    </row>
    <row r="1817" spans="2:46" x14ac:dyDescent="0.35">
      <c r="B1817" s="6" t="str">
        <f t="shared" ca="1" si="504"/>
        <v>20253</v>
      </c>
      <c r="C1817" s="6">
        <f t="shared" ca="1" si="505"/>
        <v>2025</v>
      </c>
      <c r="D1817" s="6">
        <f t="shared" ca="1" si="506"/>
        <v>3</v>
      </c>
      <c r="E1817" s="68">
        <f ca="1">IFERROR(__xludf.DUMMYFUNCTION("""COMPUTED_VALUE"""),45740.6666666666)</f>
        <v>45740.666666666599</v>
      </c>
      <c r="F1817" s="6">
        <f ca="1">IFERROR(__xludf.DUMMYFUNCTION("""COMPUTED_VALUE"""),5767.57)</f>
        <v>5767.57</v>
      </c>
      <c r="J1817" s="6" t="str">
        <f t="shared" ca="1" si="507"/>
        <v>20253</v>
      </c>
      <c r="K1817" s="6">
        <f t="shared" ca="1" si="508"/>
        <v>2025</v>
      </c>
      <c r="L1817" s="6">
        <f t="shared" ca="1" si="509"/>
        <v>3</v>
      </c>
      <c r="M1817" s="68">
        <f ca="1">IFERROR(__xludf.DUMMYFUNCTION("""COMPUTED_VALUE"""),45733.6666666666)</f>
        <v>45733.666666666599</v>
      </c>
      <c r="N1817" s="6">
        <f ca="1">IFERROR(__xludf.DUMMYFUNCTION("""COMPUTED_VALUE"""),17808.66)</f>
        <v>17808.66</v>
      </c>
      <c r="R1817" s="6" t="str">
        <f t="shared" ca="1" si="510"/>
        <v>20255</v>
      </c>
      <c r="S1817" s="6">
        <f t="shared" ca="1" si="511"/>
        <v>2025</v>
      </c>
      <c r="T1817" s="6">
        <f t="shared" ca="1" si="512"/>
        <v>5</v>
      </c>
      <c r="U1817" s="68">
        <f ca="1">IFERROR(__xludf.DUMMYFUNCTION("""COMPUTED_VALUE"""),45806.6458333333)</f>
        <v>45806.645833333299</v>
      </c>
      <c r="V1817" s="6">
        <f ca="1">IFERROR(__xludf.DUMMYFUNCTION("""COMPUTED_VALUE"""),2720.64)</f>
        <v>2720.64</v>
      </c>
      <c r="Z1817" s="6" t="str">
        <f t="shared" ca="1" si="513"/>
        <v>20232</v>
      </c>
      <c r="AA1817" s="6">
        <f t="shared" ca="1" si="514"/>
        <v>2023</v>
      </c>
      <c r="AB1817" s="6">
        <f t="shared" ca="1" si="515"/>
        <v>2</v>
      </c>
      <c r="AC1817" s="68">
        <f ca="1">IFERROR(__xludf.DUMMYFUNCTION("""COMPUTED_VALUE"""),44966.9986111111)</f>
        <v>44966.998611111099</v>
      </c>
      <c r="AD1817" s="6">
        <f ca="1">IFERROR(__xludf.DUMMYFUNCTION("""COMPUTED_VALUE"""),1264.55)</f>
        <v>1264.55</v>
      </c>
      <c r="AH1817" s="6" t="str">
        <f t="shared" ca="1" si="516"/>
        <v>202212</v>
      </c>
      <c r="AI1817" s="6">
        <f t="shared" ca="1" si="517"/>
        <v>2022</v>
      </c>
      <c r="AJ1817" s="6">
        <f t="shared" ca="1" si="518"/>
        <v>12</v>
      </c>
      <c r="AK1817" s="68">
        <f ca="1">IFERROR(__xludf.DUMMYFUNCTION("""COMPUTED_VALUE"""),44910.9986111111)</f>
        <v>44910.998611111099</v>
      </c>
      <c r="AL1817" s="6">
        <f ca="1">IFERROR(__xludf.DUMMYFUNCTION("""COMPUTED_VALUE"""),17356.58)</f>
        <v>17356.580000000002</v>
      </c>
      <c r="AP1817" s="6" t="str">
        <f t="shared" ca="1" si="519"/>
        <v>20253</v>
      </c>
      <c r="AQ1817" s="6">
        <f t="shared" ca="1" si="520"/>
        <v>2025</v>
      </c>
      <c r="AR1817" s="6">
        <f t="shared" ca="1" si="521"/>
        <v>3</v>
      </c>
      <c r="AS1817" s="68">
        <f ca="1">IFERROR(__xludf.DUMMYFUNCTION("""COMPUTED_VALUE"""),45747.9986111111)</f>
        <v>45747.998611111099</v>
      </c>
      <c r="AT1817" s="6">
        <f ca="1">IFERROR(__xludf.DUMMYFUNCTION("""COMPUTED_VALUE"""),3150.3)</f>
        <v>3150.3</v>
      </c>
    </row>
    <row r="1818" spans="2:46" x14ac:dyDescent="0.35">
      <c r="B1818" s="6" t="str">
        <f t="shared" ca="1" si="504"/>
        <v>20253</v>
      </c>
      <c r="C1818" s="6">
        <f t="shared" ca="1" si="505"/>
        <v>2025</v>
      </c>
      <c r="D1818" s="6">
        <f t="shared" ca="1" si="506"/>
        <v>3</v>
      </c>
      <c r="E1818" s="68">
        <f ca="1">IFERROR(__xludf.DUMMYFUNCTION("""COMPUTED_VALUE"""),45741.6666666666)</f>
        <v>45741.666666666599</v>
      </c>
      <c r="F1818" s="6">
        <f ca="1">IFERROR(__xludf.DUMMYFUNCTION("""COMPUTED_VALUE"""),5776.65)</f>
        <v>5776.65</v>
      </c>
      <c r="J1818" s="6" t="str">
        <f t="shared" ca="1" si="507"/>
        <v>20253</v>
      </c>
      <c r="K1818" s="6">
        <f t="shared" ca="1" si="508"/>
        <v>2025</v>
      </c>
      <c r="L1818" s="6">
        <f t="shared" ca="1" si="509"/>
        <v>3</v>
      </c>
      <c r="M1818" s="68">
        <f ca="1">IFERROR(__xludf.DUMMYFUNCTION("""COMPUTED_VALUE"""),45734.6666666666)</f>
        <v>45734.666666666599</v>
      </c>
      <c r="N1818" s="6">
        <f ca="1">IFERROR(__xludf.DUMMYFUNCTION("""COMPUTED_VALUE"""),17504.12)</f>
        <v>17504.12</v>
      </c>
      <c r="R1818" s="6" t="str">
        <f t="shared" ca="1" si="510"/>
        <v>20255</v>
      </c>
      <c r="S1818" s="6">
        <f t="shared" ca="1" si="511"/>
        <v>2025</v>
      </c>
      <c r="T1818" s="6">
        <f t="shared" ca="1" si="512"/>
        <v>5</v>
      </c>
      <c r="U1818" s="68">
        <f ca="1">IFERROR(__xludf.DUMMYFUNCTION("""COMPUTED_VALUE"""),45807.6458333333)</f>
        <v>45807.645833333299</v>
      </c>
      <c r="V1818" s="6">
        <f ca="1">IFERROR(__xludf.DUMMYFUNCTION("""COMPUTED_VALUE"""),2697.67)</f>
        <v>2697.67</v>
      </c>
      <c r="Z1818" s="6" t="str">
        <f t="shared" ca="1" si="513"/>
        <v>20232</v>
      </c>
      <c r="AA1818" s="6">
        <f t="shared" ca="1" si="514"/>
        <v>2023</v>
      </c>
      <c r="AB1818" s="6">
        <f t="shared" ca="1" si="515"/>
        <v>2</v>
      </c>
      <c r="AC1818" s="68">
        <f ca="1">IFERROR(__xludf.DUMMYFUNCTION("""COMPUTED_VALUE"""),44967.9986111111)</f>
        <v>44967.998611111099</v>
      </c>
      <c r="AD1818" s="6">
        <f ca="1">IFERROR(__xludf.DUMMYFUNCTION("""COMPUTED_VALUE"""),1267.51)</f>
        <v>1267.51</v>
      </c>
      <c r="AH1818" s="6" t="str">
        <f t="shared" ca="1" si="516"/>
        <v>202212</v>
      </c>
      <c r="AI1818" s="6">
        <f t="shared" ca="1" si="517"/>
        <v>2022</v>
      </c>
      <c r="AJ1818" s="6">
        <f t="shared" ca="1" si="518"/>
        <v>12</v>
      </c>
      <c r="AK1818" s="68">
        <f ca="1">IFERROR(__xludf.DUMMYFUNCTION("""COMPUTED_VALUE"""),44911.9986111111)</f>
        <v>44911.998611111099</v>
      </c>
      <c r="AL1818" s="6">
        <f ca="1">IFERROR(__xludf.DUMMYFUNCTION("""COMPUTED_VALUE"""),16630.27)</f>
        <v>16630.27</v>
      </c>
      <c r="AP1818" s="6" t="str">
        <f t="shared" ca="1" si="519"/>
        <v>20254</v>
      </c>
      <c r="AQ1818" s="6">
        <f t="shared" ca="1" si="520"/>
        <v>2025</v>
      </c>
      <c r="AR1818" s="6">
        <f t="shared" ca="1" si="521"/>
        <v>4</v>
      </c>
      <c r="AS1818" s="68">
        <f ca="1">IFERROR(__xludf.DUMMYFUNCTION("""COMPUTED_VALUE"""),45748.9986111111)</f>
        <v>45748.998611111099</v>
      </c>
      <c r="AT1818" s="6">
        <f ca="1">IFERROR(__xludf.DUMMYFUNCTION("""COMPUTED_VALUE"""),3146)</f>
        <v>3146</v>
      </c>
    </row>
    <row r="1819" spans="2:46" x14ac:dyDescent="0.35">
      <c r="B1819" s="6" t="str">
        <f t="shared" ca="1" si="504"/>
        <v>20253</v>
      </c>
      <c r="C1819" s="6">
        <f t="shared" ca="1" si="505"/>
        <v>2025</v>
      </c>
      <c r="D1819" s="6">
        <f t="shared" ca="1" si="506"/>
        <v>3</v>
      </c>
      <c r="E1819" s="68">
        <f ca="1">IFERROR(__xludf.DUMMYFUNCTION("""COMPUTED_VALUE"""),45742.6666666666)</f>
        <v>45742.666666666599</v>
      </c>
      <c r="F1819" s="6">
        <f ca="1">IFERROR(__xludf.DUMMYFUNCTION("""COMPUTED_VALUE"""),5712.2)</f>
        <v>5712.2</v>
      </c>
      <c r="J1819" s="6" t="str">
        <f t="shared" ca="1" si="507"/>
        <v>20253</v>
      </c>
      <c r="K1819" s="6">
        <f t="shared" ca="1" si="508"/>
        <v>2025</v>
      </c>
      <c r="L1819" s="6">
        <f t="shared" ca="1" si="509"/>
        <v>3</v>
      </c>
      <c r="M1819" s="68">
        <f ca="1">IFERROR(__xludf.DUMMYFUNCTION("""COMPUTED_VALUE"""),45735.6666666666)</f>
        <v>45735.666666666599</v>
      </c>
      <c r="N1819" s="6">
        <f ca="1">IFERROR(__xludf.DUMMYFUNCTION("""COMPUTED_VALUE"""),17750.79)</f>
        <v>17750.79</v>
      </c>
      <c r="R1819" s="6" t="str">
        <f t="shared" ca="1" si="510"/>
        <v>20256</v>
      </c>
      <c r="S1819" s="6">
        <f t="shared" ca="1" si="511"/>
        <v>2025</v>
      </c>
      <c r="T1819" s="6">
        <f t="shared" ca="1" si="512"/>
        <v>6</v>
      </c>
      <c r="U1819" s="68">
        <f ca="1">IFERROR(__xludf.DUMMYFUNCTION("""COMPUTED_VALUE"""),45810.6458333333)</f>
        <v>45810.645833333299</v>
      </c>
      <c r="V1819" s="6">
        <f ca="1">IFERROR(__xludf.DUMMYFUNCTION("""COMPUTED_VALUE"""),2698.97)</f>
        <v>2698.97</v>
      </c>
      <c r="Z1819" s="6" t="str">
        <f t="shared" ca="1" si="513"/>
        <v>20232</v>
      </c>
      <c r="AA1819" s="6">
        <f t="shared" ca="1" si="514"/>
        <v>2023</v>
      </c>
      <c r="AB1819" s="6">
        <f t="shared" ca="1" si="515"/>
        <v>2</v>
      </c>
      <c r="AC1819" s="68">
        <f ca="1">IFERROR(__xludf.DUMMYFUNCTION("""COMPUTED_VALUE"""),44968.9986111111)</f>
        <v>44968.998611111099</v>
      </c>
      <c r="AD1819" s="6">
        <f ca="1">IFERROR(__xludf.DUMMYFUNCTION("""COMPUTED_VALUE"""),1266.87)</f>
        <v>1266.8699999999999</v>
      </c>
      <c r="AH1819" s="6" t="str">
        <f t="shared" ca="1" si="516"/>
        <v>202212</v>
      </c>
      <c r="AI1819" s="6">
        <f t="shared" ca="1" si="517"/>
        <v>2022</v>
      </c>
      <c r="AJ1819" s="6">
        <f t="shared" ca="1" si="518"/>
        <v>12</v>
      </c>
      <c r="AK1819" s="68">
        <f ca="1">IFERROR(__xludf.DUMMYFUNCTION("""COMPUTED_VALUE"""),44912.9986111111)</f>
        <v>44912.998611111099</v>
      </c>
      <c r="AL1819" s="6">
        <f ca="1">IFERROR(__xludf.DUMMYFUNCTION("""COMPUTED_VALUE"""),16778.62)</f>
        <v>16778.62</v>
      </c>
      <c r="AP1819" s="6" t="str">
        <f t="shared" ca="1" si="519"/>
        <v>20254</v>
      </c>
      <c r="AQ1819" s="6">
        <f t="shared" ca="1" si="520"/>
        <v>2025</v>
      </c>
      <c r="AR1819" s="6">
        <f t="shared" ca="1" si="521"/>
        <v>4</v>
      </c>
      <c r="AS1819" s="68">
        <f ca="1">IFERROR(__xludf.DUMMYFUNCTION("""COMPUTED_VALUE"""),45749.9986111111)</f>
        <v>45749.998611111099</v>
      </c>
      <c r="AT1819" s="6">
        <f ca="1">IFERROR(__xludf.DUMMYFUNCTION("""COMPUTED_VALUE"""),3166.2)</f>
        <v>3166.2</v>
      </c>
    </row>
    <row r="1820" spans="2:46" x14ac:dyDescent="0.35">
      <c r="B1820" s="6" t="str">
        <f t="shared" ca="1" si="504"/>
        <v>20253</v>
      </c>
      <c r="C1820" s="6">
        <f t="shared" ca="1" si="505"/>
        <v>2025</v>
      </c>
      <c r="D1820" s="6">
        <f t="shared" ca="1" si="506"/>
        <v>3</v>
      </c>
      <c r="E1820" s="68">
        <f ca="1">IFERROR(__xludf.DUMMYFUNCTION("""COMPUTED_VALUE"""),45743.6666666666)</f>
        <v>45743.666666666599</v>
      </c>
      <c r="F1820" s="6">
        <f ca="1">IFERROR(__xludf.DUMMYFUNCTION("""COMPUTED_VALUE"""),5693.31)</f>
        <v>5693.31</v>
      </c>
      <c r="J1820" s="6" t="str">
        <f t="shared" ca="1" si="507"/>
        <v>20253</v>
      </c>
      <c r="K1820" s="6">
        <f t="shared" ca="1" si="508"/>
        <v>2025</v>
      </c>
      <c r="L1820" s="6">
        <f t="shared" ca="1" si="509"/>
        <v>3</v>
      </c>
      <c r="M1820" s="68">
        <f ca="1">IFERROR(__xludf.DUMMYFUNCTION("""COMPUTED_VALUE"""),45736.6666666666)</f>
        <v>45736.666666666599</v>
      </c>
      <c r="N1820" s="6">
        <f ca="1">IFERROR(__xludf.DUMMYFUNCTION("""COMPUTED_VALUE"""),17691.63)</f>
        <v>17691.63</v>
      </c>
      <c r="R1820" s="6" t="str">
        <f t="shared" ca="1" si="510"/>
        <v>20256</v>
      </c>
      <c r="S1820" s="6">
        <f t="shared" ca="1" si="511"/>
        <v>2025</v>
      </c>
      <c r="T1820" s="6">
        <f t="shared" ca="1" si="512"/>
        <v>6</v>
      </c>
      <c r="U1820" s="68">
        <f ca="1">IFERROR(__xludf.DUMMYFUNCTION("""COMPUTED_VALUE"""),45812.6458333333)</f>
        <v>45812.645833333299</v>
      </c>
      <c r="V1820" s="6">
        <f ca="1">IFERROR(__xludf.DUMMYFUNCTION("""COMPUTED_VALUE"""),2770.84)</f>
        <v>2770.84</v>
      </c>
      <c r="Z1820" s="6" t="str">
        <f t="shared" ca="1" si="513"/>
        <v>20232</v>
      </c>
      <c r="AA1820" s="6">
        <f t="shared" ca="1" si="514"/>
        <v>2023</v>
      </c>
      <c r="AB1820" s="6">
        <f t="shared" ca="1" si="515"/>
        <v>2</v>
      </c>
      <c r="AC1820" s="68">
        <f ca="1">IFERROR(__xludf.DUMMYFUNCTION("""COMPUTED_VALUE"""),44969.9986111111)</f>
        <v>44969.998611111099</v>
      </c>
      <c r="AD1820" s="6">
        <f ca="1">IFERROR(__xludf.DUMMYFUNCTION("""COMPUTED_VALUE"""),1266.87)</f>
        <v>1266.8699999999999</v>
      </c>
      <c r="AH1820" s="6" t="str">
        <f t="shared" ca="1" si="516"/>
        <v>202212</v>
      </c>
      <c r="AI1820" s="6">
        <f t="shared" ca="1" si="517"/>
        <v>2022</v>
      </c>
      <c r="AJ1820" s="6">
        <f t="shared" ca="1" si="518"/>
        <v>12</v>
      </c>
      <c r="AK1820" s="68">
        <f ca="1">IFERROR(__xludf.DUMMYFUNCTION("""COMPUTED_VALUE"""),44913.9986111111)</f>
        <v>44913.998611111099</v>
      </c>
      <c r="AL1820" s="6">
        <f ca="1">IFERROR(__xludf.DUMMYFUNCTION("""COMPUTED_VALUE"""),16742.15)</f>
        <v>16742.150000000001</v>
      </c>
      <c r="AP1820" s="6" t="str">
        <f t="shared" ca="1" si="519"/>
        <v>20254</v>
      </c>
      <c r="AQ1820" s="6">
        <f t="shared" ca="1" si="520"/>
        <v>2025</v>
      </c>
      <c r="AR1820" s="6">
        <f t="shared" ca="1" si="521"/>
        <v>4</v>
      </c>
      <c r="AS1820" s="68">
        <f ca="1">IFERROR(__xludf.DUMMYFUNCTION("""COMPUTED_VALUE"""),45750.9986111111)</f>
        <v>45750.998611111099</v>
      </c>
      <c r="AT1820" s="6">
        <f ca="1">IFERROR(__xludf.DUMMYFUNCTION("""COMPUTED_VALUE"""),3121.7)</f>
        <v>3121.7</v>
      </c>
    </row>
    <row r="1821" spans="2:46" x14ac:dyDescent="0.35">
      <c r="B1821" s="6" t="str">
        <f t="shared" ca="1" si="504"/>
        <v>20253</v>
      </c>
      <c r="C1821" s="6">
        <f t="shared" ca="1" si="505"/>
        <v>2025</v>
      </c>
      <c r="D1821" s="6">
        <f t="shared" ca="1" si="506"/>
        <v>3</v>
      </c>
      <c r="E1821" s="68">
        <f ca="1">IFERROR(__xludf.DUMMYFUNCTION("""COMPUTED_VALUE"""),45744.6666666666)</f>
        <v>45744.666666666599</v>
      </c>
      <c r="F1821" s="6">
        <f ca="1">IFERROR(__xludf.DUMMYFUNCTION("""COMPUTED_VALUE"""),5580.94)</f>
        <v>5580.94</v>
      </c>
      <c r="J1821" s="6" t="str">
        <f t="shared" ca="1" si="507"/>
        <v>20253</v>
      </c>
      <c r="K1821" s="6">
        <f t="shared" ca="1" si="508"/>
        <v>2025</v>
      </c>
      <c r="L1821" s="6">
        <f t="shared" ca="1" si="509"/>
        <v>3</v>
      </c>
      <c r="M1821" s="68">
        <f ca="1">IFERROR(__xludf.DUMMYFUNCTION("""COMPUTED_VALUE"""),45737.6666666666)</f>
        <v>45737.666666666599</v>
      </c>
      <c r="N1821" s="6">
        <f ca="1">IFERROR(__xludf.DUMMYFUNCTION("""COMPUTED_VALUE"""),17784.05)</f>
        <v>17784.05</v>
      </c>
      <c r="R1821" s="6" t="str">
        <f t="shared" ca="1" si="510"/>
        <v>20256</v>
      </c>
      <c r="S1821" s="6">
        <f t="shared" ca="1" si="511"/>
        <v>2025</v>
      </c>
      <c r="T1821" s="6">
        <f t="shared" ca="1" si="512"/>
        <v>6</v>
      </c>
      <c r="U1821" s="68">
        <f ca="1">IFERROR(__xludf.DUMMYFUNCTION("""COMPUTED_VALUE"""),45813.6458333333)</f>
        <v>45813.645833333299</v>
      </c>
      <c r="V1821" s="6">
        <f ca="1">IFERROR(__xludf.DUMMYFUNCTION("""COMPUTED_VALUE"""),2812.05)</f>
        <v>2812.05</v>
      </c>
      <c r="Z1821" s="6" t="str">
        <f t="shared" ca="1" si="513"/>
        <v>20232</v>
      </c>
      <c r="AA1821" s="6">
        <f t="shared" ca="1" si="514"/>
        <v>2023</v>
      </c>
      <c r="AB1821" s="6">
        <f t="shared" ca="1" si="515"/>
        <v>2</v>
      </c>
      <c r="AC1821" s="68">
        <f ca="1">IFERROR(__xludf.DUMMYFUNCTION("""COMPUTED_VALUE"""),44970.9986111111)</f>
        <v>44970.998611111099</v>
      </c>
      <c r="AD1821" s="6">
        <f ca="1">IFERROR(__xludf.DUMMYFUNCTION("""COMPUTED_VALUE"""),1272.94)</f>
        <v>1272.94</v>
      </c>
      <c r="AH1821" s="6" t="str">
        <f t="shared" ca="1" si="516"/>
        <v>202212</v>
      </c>
      <c r="AI1821" s="6">
        <f t="shared" ca="1" si="517"/>
        <v>2022</v>
      </c>
      <c r="AJ1821" s="6">
        <f t="shared" ca="1" si="518"/>
        <v>12</v>
      </c>
      <c r="AK1821" s="68">
        <f ca="1">IFERROR(__xludf.DUMMYFUNCTION("""COMPUTED_VALUE"""),44914.9986111111)</f>
        <v>44914.998611111099</v>
      </c>
      <c r="AL1821" s="6">
        <f ca="1">IFERROR(__xludf.DUMMYFUNCTION("""COMPUTED_VALUE"""),16440.61)</f>
        <v>16440.61</v>
      </c>
      <c r="AP1821" s="6" t="str">
        <f t="shared" ca="1" si="519"/>
        <v>20254</v>
      </c>
      <c r="AQ1821" s="6">
        <f t="shared" ca="1" si="520"/>
        <v>2025</v>
      </c>
      <c r="AR1821" s="6">
        <f t="shared" ca="1" si="521"/>
        <v>4</v>
      </c>
      <c r="AS1821" s="68">
        <f ca="1">IFERROR(__xludf.DUMMYFUNCTION("""COMPUTED_VALUE"""),45751.9986111111)</f>
        <v>45751.998611111099</v>
      </c>
      <c r="AT1821" s="6">
        <f ca="1">IFERROR(__xludf.DUMMYFUNCTION("""COMPUTED_VALUE"""),3035.4)</f>
        <v>3035.4</v>
      </c>
    </row>
    <row r="1822" spans="2:46" x14ac:dyDescent="0.35">
      <c r="B1822" s="6" t="str">
        <f t="shared" ca="1" si="504"/>
        <v>20253</v>
      </c>
      <c r="C1822" s="6">
        <f t="shared" ca="1" si="505"/>
        <v>2025</v>
      </c>
      <c r="D1822" s="6">
        <f t="shared" ca="1" si="506"/>
        <v>3</v>
      </c>
      <c r="E1822" s="68">
        <f ca="1">IFERROR(__xludf.DUMMYFUNCTION("""COMPUTED_VALUE"""),45747.6666666666)</f>
        <v>45747.666666666599</v>
      </c>
      <c r="F1822" s="6">
        <f ca="1">IFERROR(__xludf.DUMMYFUNCTION("""COMPUTED_VALUE"""),5611.85)</f>
        <v>5611.85</v>
      </c>
      <c r="J1822" s="6" t="str">
        <f t="shared" ca="1" si="507"/>
        <v>20253</v>
      </c>
      <c r="K1822" s="6">
        <f t="shared" ca="1" si="508"/>
        <v>2025</v>
      </c>
      <c r="L1822" s="6">
        <f t="shared" ca="1" si="509"/>
        <v>3</v>
      </c>
      <c r="M1822" s="68">
        <f ca="1">IFERROR(__xludf.DUMMYFUNCTION("""COMPUTED_VALUE"""),45740.6666666666)</f>
        <v>45740.666666666599</v>
      </c>
      <c r="N1822" s="6">
        <f ca="1">IFERROR(__xludf.DUMMYFUNCTION("""COMPUTED_VALUE"""),18188.59)</f>
        <v>18188.59</v>
      </c>
      <c r="R1822" s="6" t="str">
        <f t="shared" ca="1" si="510"/>
        <v>20256</v>
      </c>
      <c r="S1822" s="6">
        <f t="shared" ca="1" si="511"/>
        <v>2025</v>
      </c>
      <c r="T1822" s="6">
        <f t="shared" ca="1" si="512"/>
        <v>6</v>
      </c>
      <c r="U1822" s="68">
        <f ca="1">IFERROR(__xludf.DUMMYFUNCTION("""COMPUTED_VALUE"""),45817.6458333333)</f>
        <v>45817.645833333299</v>
      </c>
      <c r="V1822" s="6">
        <f ca="1">IFERROR(__xludf.DUMMYFUNCTION("""COMPUTED_VALUE"""),2855.77)</f>
        <v>2855.77</v>
      </c>
      <c r="Z1822" s="6" t="str">
        <f t="shared" ca="1" si="513"/>
        <v>20232</v>
      </c>
      <c r="AA1822" s="6">
        <f t="shared" ca="1" si="514"/>
        <v>2023</v>
      </c>
      <c r="AB1822" s="6">
        <f t="shared" ca="1" si="515"/>
        <v>2</v>
      </c>
      <c r="AC1822" s="68">
        <f ca="1">IFERROR(__xludf.DUMMYFUNCTION("""COMPUTED_VALUE"""),44971.9986111111)</f>
        <v>44971.998611111099</v>
      </c>
      <c r="AD1822" s="6">
        <f ca="1">IFERROR(__xludf.DUMMYFUNCTION("""COMPUTED_VALUE"""),1272.25)</f>
        <v>1272.25</v>
      </c>
      <c r="AH1822" s="6" t="str">
        <f t="shared" ca="1" si="516"/>
        <v>202212</v>
      </c>
      <c r="AI1822" s="6">
        <f t="shared" ca="1" si="517"/>
        <v>2022</v>
      </c>
      <c r="AJ1822" s="6">
        <f t="shared" ca="1" si="518"/>
        <v>12</v>
      </c>
      <c r="AK1822" s="68">
        <f ca="1">IFERROR(__xludf.DUMMYFUNCTION("""COMPUTED_VALUE"""),44915.9986111111)</f>
        <v>44915.998611111099</v>
      </c>
      <c r="AL1822" s="6">
        <f ca="1">IFERROR(__xludf.DUMMYFUNCTION("""COMPUTED_VALUE"""),16900.58)</f>
        <v>16900.580000000002</v>
      </c>
      <c r="AP1822" s="6" t="str">
        <f t="shared" ca="1" si="519"/>
        <v>20254</v>
      </c>
      <c r="AQ1822" s="6">
        <f t="shared" ca="1" si="520"/>
        <v>2025</v>
      </c>
      <c r="AR1822" s="6">
        <f t="shared" ca="1" si="521"/>
        <v>4</v>
      </c>
      <c r="AS1822" s="68">
        <f ca="1">IFERROR(__xludf.DUMMYFUNCTION("""COMPUTED_VALUE"""),45754.9986111111)</f>
        <v>45754.998611111099</v>
      </c>
      <c r="AT1822" s="6">
        <f ca="1">IFERROR(__xludf.DUMMYFUNCTION("""COMPUTED_VALUE"""),2973.6)</f>
        <v>2973.6</v>
      </c>
    </row>
    <row r="1823" spans="2:46" x14ac:dyDescent="0.35">
      <c r="B1823" s="6" t="str">
        <f t="shared" ca="1" si="504"/>
        <v>20254</v>
      </c>
      <c r="C1823" s="6">
        <f t="shared" ca="1" si="505"/>
        <v>2025</v>
      </c>
      <c r="D1823" s="6">
        <f t="shared" ca="1" si="506"/>
        <v>4</v>
      </c>
      <c r="E1823" s="68">
        <f ca="1">IFERROR(__xludf.DUMMYFUNCTION("""COMPUTED_VALUE"""),45748.6666666666)</f>
        <v>45748.666666666599</v>
      </c>
      <c r="F1823" s="6">
        <f ca="1">IFERROR(__xludf.DUMMYFUNCTION("""COMPUTED_VALUE"""),5633.07)</f>
        <v>5633.07</v>
      </c>
      <c r="J1823" s="6" t="str">
        <f t="shared" ca="1" si="507"/>
        <v>20253</v>
      </c>
      <c r="K1823" s="6">
        <f t="shared" ca="1" si="508"/>
        <v>2025</v>
      </c>
      <c r="L1823" s="6">
        <f t="shared" ca="1" si="509"/>
        <v>3</v>
      </c>
      <c r="M1823" s="68">
        <f ca="1">IFERROR(__xludf.DUMMYFUNCTION("""COMPUTED_VALUE"""),45741.6666666666)</f>
        <v>45741.666666666599</v>
      </c>
      <c r="N1823" s="6">
        <f ca="1">IFERROR(__xludf.DUMMYFUNCTION("""COMPUTED_VALUE"""),18271.86)</f>
        <v>18271.86</v>
      </c>
      <c r="R1823" s="6" t="str">
        <f t="shared" ca="1" si="510"/>
        <v>20256</v>
      </c>
      <c r="S1823" s="6">
        <f t="shared" ca="1" si="511"/>
        <v>2025</v>
      </c>
      <c r="T1823" s="6">
        <f t="shared" ca="1" si="512"/>
        <v>6</v>
      </c>
      <c r="U1823" s="68">
        <f ca="1">IFERROR(__xludf.DUMMYFUNCTION("""COMPUTED_VALUE"""),45818.6458333333)</f>
        <v>45818.645833333299</v>
      </c>
      <c r="V1823" s="6">
        <f ca="1">IFERROR(__xludf.DUMMYFUNCTION("""COMPUTED_VALUE"""),2871.85)</f>
        <v>2871.85</v>
      </c>
      <c r="Z1823" s="6" t="str">
        <f t="shared" ca="1" si="513"/>
        <v>20232</v>
      </c>
      <c r="AA1823" s="6">
        <f t="shared" ca="1" si="514"/>
        <v>2023</v>
      </c>
      <c r="AB1823" s="6">
        <f t="shared" ca="1" si="515"/>
        <v>2</v>
      </c>
      <c r="AC1823" s="68">
        <f ca="1">IFERROR(__xludf.DUMMYFUNCTION("""COMPUTED_VALUE"""),44972.9986111111)</f>
        <v>44972.998611111099</v>
      </c>
      <c r="AD1823" s="6">
        <f ca="1">IFERROR(__xludf.DUMMYFUNCTION("""COMPUTED_VALUE"""),1283.72)</f>
        <v>1283.72</v>
      </c>
      <c r="AH1823" s="6" t="str">
        <f t="shared" ca="1" si="516"/>
        <v>202212</v>
      </c>
      <c r="AI1823" s="6">
        <f t="shared" ca="1" si="517"/>
        <v>2022</v>
      </c>
      <c r="AJ1823" s="6">
        <f t="shared" ca="1" si="518"/>
        <v>12</v>
      </c>
      <c r="AK1823" s="68">
        <f ca="1">IFERROR(__xludf.DUMMYFUNCTION("""COMPUTED_VALUE"""),44916.9986111111)</f>
        <v>44916.998611111099</v>
      </c>
      <c r="AL1823" s="6">
        <f ca="1">IFERROR(__xludf.DUMMYFUNCTION("""COMPUTED_VALUE"""),16825.72)</f>
        <v>16825.72</v>
      </c>
      <c r="AP1823" s="6" t="str">
        <f t="shared" ca="1" si="519"/>
        <v>20254</v>
      </c>
      <c r="AQ1823" s="6">
        <f t="shared" ca="1" si="520"/>
        <v>2025</v>
      </c>
      <c r="AR1823" s="6">
        <f t="shared" ca="1" si="521"/>
        <v>4</v>
      </c>
      <c r="AS1823" s="68">
        <f ca="1">IFERROR(__xludf.DUMMYFUNCTION("""COMPUTED_VALUE"""),45755.9986111111)</f>
        <v>45755.998611111099</v>
      </c>
      <c r="AT1823" s="6">
        <f ca="1">IFERROR(__xludf.DUMMYFUNCTION("""COMPUTED_VALUE"""),2990.2)</f>
        <v>2990.2</v>
      </c>
    </row>
    <row r="1824" spans="2:46" x14ac:dyDescent="0.35">
      <c r="B1824" s="6" t="str">
        <f t="shared" ca="1" si="504"/>
        <v>20254</v>
      </c>
      <c r="C1824" s="6">
        <f t="shared" ca="1" si="505"/>
        <v>2025</v>
      </c>
      <c r="D1824" s="6">
        <f t="shared" ca="1" si="506"/>
        <v>4</v>
      </c>
      <c r="E1824" s="68">
        <f ca="1">IFERROR(__xludf.DUMMYFUNCTION("""COMPUTED_VALUE"""),45749.6666666666)</f>
        <v>45749.666666666599</v>
      </c>
      <c r="F1824" s="6">
        <f ca="1">IFERROR(__xludf.DUMMYFUNCTION("""COMPUTED_VALUE"""),5670.97)</f>
        <v>5670.97</v>
      </c>
      <c r="J1824" s="6" t="str">
        <f t="shared" ca="1" si="507"/>
        <v>20253</v>
      </c>
      <c r="K1824" s="6">
        <f t="shared" ca="1" si="508"/>
        <v>2025</v>
      </c>
      <c r="L1824" s="6">
        <f t="shared" ca="1" si="509"/>
        <v>3</v>
      </c>
      <c r="M1824" s="68">
        <f ca="1">IFERROR(__xludf.DUMMYFUNCTION("""COMPUTED_VALUE"""),45742.6666666666)</f>
        <v>45742.666666666599</v>
      </c>
      <c r="N1824" s="6">
        <f ca="1">IFERROR(__xludf.DUMMYFUNCTION("""COMPUTED_VALUE"""),17899.02)</f>
        <v>17899.02</v>
      </c>
      <c r="R1824" s="6" t="str">
        <f t="shared" ca="1" si="510"/>
        <v>20256</v>
      </c>
      <c r="S1824" s="6">
        <f t="shared" ca="1" si="511"/>
        <v>2025</v>
      </c>
      <c r="T1824" s="6">
        <f t="shared" ca="1" si="512"/>
        <v>6</v>
      </c>
      <c r="U1824" s="68">
        <f ca="1">IFERROR(__xludf.DUMMYFUNCTION("""COMPUTED_VALUE"""),45819.6458333333)</f>
        <v>45819.645833333299</v>
      </c>
      <c r="V1824" s="6">
        <f ca="1">IFERROR(__xludf.DUMMYFUNCTION("""COMPUTED_VALUE"""),2907.04)</f>
        <v>2907.04</v>
      </c>
      <c r="Z1824" s="6" t="str">
        <f t="shared" ca="1" si="513"/>
        <v>20232</v>
      </c>
      <c r="AA1824" s="6">
        <f t="shared" ca="1" si="514"/>
        <v>2023</v>
      </c>
      <c r="AB1824" s="6">
        <f t="shared" ca="1" si="515"/>
        <v>2</v>
      </c>
      <c r="AC1824" s="68">
        <f ca="1">IFERROR(__xludf.DUMMYFUNCTION("""COMPUTED_VALUE"""),44973.9986111111)</f>
        <v>44973.998611111099</v>
      </c>
      <c r="AD1824" s="6">
        <f ca="1">IFERROR(__xludf.DUMMYFUNCTION("""COMPUTED_VALUE"""),1288.96)</f>
        <v>1288.96</v>
      </c>
      <c r="AH1824" s="6" t="str">
        <f t="shared" ca="1" si="516"/>
        <v>202212</v>
      </c>
      <c r="AI1824" s="6">
        <f t="shared" ca="1" si="517"/>
        <v>2022</v>
      </c>
      <c r="AJ1824" s="6">
        <f t="shared" ca="1" si="518"/>
        <v>12</v>
      </c>
      <c r="AK1824" s="68">
        <f ca="1">IFERROR(__xludf.DUMMYFUNCTION("""COMPUTED_VALUE"""),44917.9986111111)</f>
        <v>44917.998611111099</v>
      </c>
      <c r="AL1824" s="6">
        <f ca="1">IFERROR(__xludf.DUMMYFUNCTION("""COMPUTED_VALUE"""),16816.22)</f>
        <v>16816.22</v>
      </c>
      <c r="AP1824" s="6" t="str">
        <f t="shared" ca="1" si="519"/>
        <v>20254</v>
      </c>
      <c r="AQ1824" s="6">
        <f t="shared" ca="1" si="520"/>
        <v>2025</v>
      </c>
      <c r="AR1824" s="6">
        <f t="shared" ca="1" si="521"/>
        <v>4</v>
      </c>
      <c r="AS1824" s="68">
        <f ca="1">IFERROR(__xludf.DUMMYFUNCTION("""COMPUTED_VALUE"""),45756.9986111111)</f>
        <v>45756.998611111099</v>
      </c>
      <c r="AT1824" s="6">
        <f ca="1">IFERROR(__xludf.DUMMYFUNCTION("""COMPUTED_VALUE"""),3079.4)</f>
        <v>3079.4</v>
      </c>
    </row>
    <row r="1825" spans="2:46" x14ac:dyDescent="0.35">
      <c r="B1825" s="6" t="str">
        <f t="shared" ca="1" si="504"/>
        <v>20254</v>
      </c>
      <c r="C1825" s="6">
        <f t="shared" ca="1" si="505"/>
        <v>2025</v>
      </c>
      <c r="D1825" s="6">
        <f t="shared" ca="1" si="506"/>
        <v>4</v>
      </c>
      <c r="E1825" s="68">
        <f ca="1">IFERROR(__xludf.DUMMYFUNCTION("""COMPUTED_VALUE"""),45750.6666666666)</f>
        <v>45750.666666666599</v>
      </c>
      <c r="F1825" s="6">
        <f ca="1">IFERROR(__xludf.DUMMYFUNCTION("""COMPUTED_VALUE"""),5396.52)</f>
        <v>5396.52</v>
      </c>
      <c r="J1825" s="6" t="str">
        <f t="shared" ca="1" si="507"/>
        <v>20253</v>
      </c>
      <c r="K1825" s="6">
        <f t="shared" ca="1" si="508"/>
        <v>2025</v>
      </c>
      <c r="L1825" s="6">
        <f t="shared" ca="1" si="509"/>
        <v>3</v>
      </c>
      <c r="M1825" s="68">
        <f ca="1">IFERROR(__xludf.DUMMYFUNCTION("""COMPUTED_VALUE"""),45743.6666666666)</f>
        <v>45743.666666666599</v>
      </c>
      <c r="N1825" s="6">
        <f ca="1">IFERROR(__xludf.DUMMYFUNCTION("""COMPUTED_VALUE"""),17804.03)</f>
        <v>17804.03</v>
      </c>
      <c r="R1825" s="6" t="str">
        <f t="shared" ca="1" si="510"/>
        <v>20256</v>
      </c>
      <c r="S1825" s="6">
        <f t="shared" ca="1" si="511"/>
        <v>2025</v>
      </c>
      <c r="T1825" s="6">
        <f t="shared" ca="1" si="512"/>
        <v>6</v>
      </c>
      <c r="U1825" s="68">
        <f ca="1">IFERROR(__xludf.DUMMYFUNCTION("""COMPUTED_VALUE"""),45820.6458333333)</f>
        <v>45820.645833333299</v>
      </c>
      <c r="V1825" s="6">
        <f ca="1">IFERROR(__xludf.DUMMYFUNCTION("""COMPUTED_VALUE"""),2920.03)</f>
        <v>2920.03</v>
      </c>
      <c r="Z1825" s="6" t="str">
        <f t="shared" ca="1" si="513"/>
        <v>20232</v>
      </c>
      <c r="AA1825" s="6">
        <f t="shared" ca="1" si="514"/>
        <v>2023</v>
      </c>
      <c r="AB1825" s="6">
        <f t="shared" ca="1" si="515"/>
        <v>2</v>
      </c>
      <c r="AC1825" s="68">
        <f ca="1">IFERROR(__xludf.DUMMYFUNCTION("""COMPUTED_VALUE"""),44974.9986111111)</f>
        <v>44974.998611111099</v>
      </c>
      <c r="AD1825" s="6">
        <f ca="1">IFERROR(__xludf.DUMMYFUNCTION("""COMPUTED_VALUE"""),1294.9)</f>
        <v>1294.9000000000001</v>
      </c>
      <c r="AH1825" s="6" t="str">
        <f t="shared" ca="1" si="516"/>
        <v>202212</v>
      </c>
      <c r="AI1825" s="6">
        <f t="shared" ca="1" si="517"/>
        <v>2022</v>
      </c>
      <c r="AJ1825" s="6">
        <f t="shared" ca="1" si="518"/>
        <v>12</v>
      </c>
      <c r="AK1825" s="68">
        <f ca="1">IFERROR(__xludf.DUMMYFUNCTION("""COMPUTED_VALUE"""),44918.9986111111)</f>
        <v>44918.998611111099</v>
      </c>
      <c r="AL1825" s="6">
        <f ca="1">IFERROR(__xludf.DUMMYFUNCTION("""COMPUTED_VALUE"""),16780.65)</f>
        <v>16780.650000000001</v>
      </c>
      <c r="AP1825" s="6" t="str">
        <f t="shared" ca="1" si="519"/>
        <v>20254</v>
      </c>
      <c r="AQ1825" s="6">
        <f t="shared" ca="1" si="520"/>
        <v>2025</v>
      </c>
      <c r="AR1825" s="6">
        <f t="shared" ca="1" si="521"/>
        <v>4</v>
      </c>
      <c r="AS1825" s="68">
        <f ca="1">IFERROR(__xludf.DUMMYFUNCTION("""COMPUTED_VALUE"""),45757.9986111111)</f>
        <v>45757.998611111099</v>
      </c>
      <c r="AT1825" s="6">
        <f ca="1">IFERROR(__xludf.DUMMYFUNCTION("""COMPUTED_VALUE"""),3177.5)</f>
        <v>3177.5</v>
      </c>
    </row>
    <row r="1826" spans="2:46" x14ac:dyDescent="0.35">
      <c r="B1826" s="6" t="str">
        <f t="shared" ca="1" si="504"/>
        <v>20254</v>
      </c>
      <c r="C1826" s="6">
        <f t="shared" ca="1" si="505"/>
        <v>2025</v>
      </c>
      <c r="D1826" s="6">
        <f t="shared" ca="1" si="506"/>
        <v>4</v>
      </c>
      <c r="E1826" s="68">
        <f ca="1">IFERROR(__xludf.DUMMYFUNCTION("""COMPUTED_VALUE"""),45751.6666666666)</f>
        <v>45751.666666666599</v>
      </c>
      <c r="F1826" s="6">
        <f ca="1">IFERROR(__xludf.DUMMYFUNCTION("""COMPUTED_VALUE"""),5074.08)</f>
        <v>5074.08</v>
      </c>
      <c r="J1826" s="6" t="str">
        <f t="shared" ca="1" si="507"/>
        <v>20253</v>
      </c>
      <c r="K1826" s="6">
        <f t="shared" ca="1" si="508"/>
        <v>2025</v>
      </c>
      <c r="L1826" s="6">
        <f t="shared" ca="1" si="509"/>
        <v>3</v>
      </c>
      <c r="M1826" s="68">
        <f ca="1">IFERROR(__xludf.DUMMYFUNCTION("""COMPUTED_VALUE"""),45744.6666666666)</f>
        <v>45744.666666666599</v>
      </c>
      <c r="N1826" s="6">
        <f ca="1">IFERROR(__xludf.DUMMYFUNCTION("""COMPUTED_VALUE"""),17322.99)</f>
        <v>17322.990000000002</v>
      </c>
      <c r="R1826" s="6" t="str">
        <f t="shared" ca="1" si="510"/>
        <v>20256</v>
      </c>
      <c r="S1826" s="6">
        <f t="shared" ca="1" si="511"/>
        <v>2025</v>
      </c>
      <c r="T1826" s="6">
        <f t="shared" ca="1" si="512"/>
        <v>6</v>
      </c>
      <c r="U1826" s="68">
        <f ca="1">IFERROR(__xludf.DUMMYFUNCTION("""COMPUTED_VALUE"""),45821.6458333333)</f>
        <v>45821.645833333299</v>
      </c>
      <c r="V1826" s="6">
        <f ca="1">IFERROR(__xludf.DUMMYFUNCTION("""COMPUTED_VALUE"""),2894.62)</f>
        <v>2894.62</v>
      </c>
      <c r="Z1826" s="6" t="str">
        <f t="shared" ca="1" si="513"/>
        <v>20232</v>
      </c>
      <c r="AA1826" s="6">
        <f t="shared" ca="1" si="514"/>
        <v>2023</v>
      </c>
      <c r="AB1826" s="6">
        <f t="shared" ca="1" si="515"/>
        <v>2</v>
      </c>
      <c r="AC1826" s="68">
        <f ca="1">IFERROR(__xludf.DUMMYFUNCTION("""COMPUTED_VALUE"""),44975.9986111111)</f>
        <v>44975.998611111099</v>
      </c>
      <c r="AD1826" s="6">
        <f ca="1">IFERROR(__xludf.DUMMYFUNCTION("""COMPUTED_VALUE"""),1294.8)</f>
        <v>1294.8</v>
      </c>
      <c r="AH1826" s="6" t="str">
        <f t="shared" ca="1" si="516"/>
        <v>202212</v>
      </c>
      <c r="AI1826" s="6">
        <f t="shared" ca="1" si="517"/>
        <v>2022</v>
      </c>
      <c r="AJ1826" s="6">
        <f t="shared" ca="1" si="518"/>
        <v>12</v>
      </c>
      <c r="AK1826" s="68">
        <f ca="1">IFERROR(__xludf.DUMMYFUNCTION("""COMPUTED_VALUE"""),44919.9986111111)</f>
        <v>44919.998611111099</v>
      </c>
      <c r="AL1826" s="6">
        <f ca="1">IFERROR(__xludf.DUMMYFUNCTION("""COMPUTED_VALUE"""),16835.31)</f>
        <v>16835.310000000001</v>
      </c>
      <c r="AP1826" s="6" t="str">
        <f t="shared" ca="1" si="519"/>
        <v>20254</v>
      </c>
      <c r="AQ1826" s="6">
        <f t="shared" ca="1" si="520"/>
        <v>2025</v>
      </c>
      <c r="AR1826" s="6">
        <f t="shared" ca="1" si="521"/>
        <v>4</v>
      </c>
      <c r="AS1826" s="68">
        <f ca="1">IFERROR(__xludf.DUMMYFUNCTION("""COMPUTED_VALUE"""),45758.9986111111)</f>
        <v>45758.998611111099</v>
      </c>
      <c r="AT1826" s="6">
        <f ca="1">IFERROR(__xludf.DUMMYFUNCTION("""COMPUTED_VALUE"""),3244.6)</f>
        <v>3244.6</v>
      </c>
    </row>
    <row r="1827" spans="2:46" x14ac:dyDescent="0.35">
      <c r="B1827" s="6" t="str">
        <f t="shared" ca="1" si="504"/>
        <v>20254</v>
      </c>
      <c r="C1827" s="6">
        <f t="shared" ca="1" si="505"/>
        <v>2025</v>
      </c>
      <c r="D1827" s="6">
        <f t="shared" ca="1" si="506"/>
        <v>4</v>
      </c>
      <c r="E1827" s="68">
        <f ca="1">IFERROR(__xludf.DUMMYFUNCTION("""COMPUTED_VALUE"""),45754.6666666666)</f>
        <v>45754.666666666599</v>
      </c>
      <c r="F1827" s="6">
        <f ca="1">IFERROR(__xludf.DUMMYFUNCTION("""COMPUTED_VALUE"""),5062.25)</f>
        <v>5062.25</v>
      </c>
      <c r="J1827" s="6" t="str">
        <f t="shared" ca="1" si="507"/>
        <v>20253</v>
      </c>
      <c r="K1827" s="6">
        <f t="shared" ca="1" si="508"/>
        <v>2025</v>
      </c>
      <c r="L1827" s="6">
        <f t="shared" ca="1" si="509"/>
        <v>3</v>
      </c>
      <c r="M1827" s="68">
        <f ca="1">IFERROR(__xludf.DUMMYFUNCTION("""COMPUTED_VALUE"""),45747.6666666666)</f>
        <v>45747.666666666599</v>
      </c>
      <c r="N1827" s="6">
        <f ca="1">IFERROR(__xludf.DUMMYFUNCTION("""COMPUTED_VALUE"""),17299.29)</f>
        <v>17299.29</v>
      </c>
      <c r="R1827" s="6" t="str">
        <f t="shared" ca="1" si="510"/>
        <v>20256</v>
      </c>
      <c r="S1827" s="6">
        <f t="shared" ca="1" si="511"/>
        <v>2025</v>
      </c>
      <c r="T1827" s="6">
        <f t="shared" ca="1" si="512"/>
        <v>6</v>
      </c>
      <c r="U1827" s="68">
        <f ca="1">IFERROR(__xludf.DUMMYFUNCTION("""COMPUTED_VALUE"""),45824.6458333333)</f>
        <v>45824.645833333299</v>
      </c>
      <c r="V1827" s="6">
        <f ca="1">IFERROR(__xludf.DUMMYFUNCTION("""COMPUTED_VALUE"""),2946.66)</f>
        <v>2946.66</v>
      </c>
      <c r="Z1827" s="6" t="str">
        <f t="shared" ca="1" si="513"/>
        <v>20232</v>
      </c>
      <c r="AA1827" s="6">
        <f t="shared" ca="1" si="514"/>
        <v>2023</v>
      </c>
      <c r="AB1827" s="6">
        <f t="shared" ca="1" si="515"/>
        <v>2</v>
      </c>
      <c r="AC1827" s="68">
        <f ca="1">IFERROR(__xludf.DUMMYFUNCTION("""COMPUTED_VALUE"""),44976.9986111111)</f>
        <v>44976.998611111099</v>
      </c>
      <c r="AD1827" s="6">
        <f ca="1">IFERROR(__xludf.DUMMYFUNCTION("""COMPUTED_VALUE"""),1293.92)</f>
        <v>1293.92</v>
      </c>
      <c r="AH1827" s="6" t="str">
        <f t="shared" ca="1" si="516"/>
        <v>202212</v>
      </c>
      <c r="AI1827" s="6">
        <f t="shared" ca="1" si="517"/>
        <v>2022</v>
      </c>
      <c r="AJ1827" s="6">
        <f t="shared" ca="1" si="518"/>
        <v>12</v>
      </c>
      <c r="AK1827" s="68">
        <f ca="1">IFERROR(__xludf.DUMMYFUNCTION("""COMPUTED_VALUE"""),44920.9986111111)</f>
        <v>44920.998611111099</v>
      </c>
      <c r="AL1827" s="6">
        <f ca="1">IFERROR(__xludf.DUMMYFUNCTION("""COMPUTED_VALUE"""),16827.57)</f>
        <v>16827.57</v>
      </c>
      <c r="AP1827" s="6" t="str">
        <f t="shared" ca="1" si="519"/>
        <v>20254</v>
      </c>
      <c r="AQ1827" s="6">
        <f t="shared" ca="1" si="520"/>
        <v>2025</v>
      </c>
      <c r="AR1827" s="6">
        <f t="shared" ca="1" si="521"/>
        <v>4</v>
      </c>
      <c r="AS1827" s="68">
        <f ca="1">IFERROR(__xludf.DUMMYFUNCTION("""COMPUTED_VALUE"""),45761.9986111111)</f>
        <v>45761.998611111099</v>
      </c>
      <c r="AT1827" s="6">
        <f ca="1">IFERROR(__xludf.DUMMYFUNCTION("""COMPUTED_VALUE"""),3226.3)</f>
        <v>3226.3</v>
      </c>
    </row>
    <row r="1828" spans="2:46" x14ac:dyDescent="0.35">
      <c r="B1828" s="6" t="str">
        <f t="shared" ca="1" si="504"/>
        <v>20254</v>
      </c>
      <c r="C1828" s="6">
        <f t="shared" ca="1" si="505"/>
        <v>2025</v>
      </c>
      <c r="D1828" s="6">
        <f t="shared" ca="1" si="506"/>
        <v>4</v>
      </c>
      <c r="E1828" s="68">
        <f ca="1">IFERROR(__xludf.DUMMYFUNCTION("""COMPUTED_VALUE"""),45755.6666666666)</f>
        <v>45755.666666666599</v>
      </c>
      <c r="F1828" s="6">
        <f ca="1">IFERROR(__xludf.DUMMYFUNCTION("""COMPUTED_VALUE"""),4982.77)</f>
        <v>4982.7700000000004</v>
      </c>
      <c r="J1828" s="6" t="str">
        <f t="shared" ca="1" si="507"/>
        <v>20254</v>
      </c>
      <c r="K1828" s="6">
        <f t="shared" ca="1" si="508"/>
        <v>2025</v>
      </c>
      <c r="L1828" s="6">
        <f t="shared" ca="1" si="509"/>
        <v>4</v>
      </c>
      <c r="M1828" s="68">
        <f ca="1">IFERROR(__xludf.DUMMYFUNCTION("""COMPUTED_VALUE"""),45748.6666666666)</f>
        <v>45748.666666666599</v>
      </c>
      <c r="N1828" s="6">
        <f ca="1">IFERROR(__xludf.DUMMYFUNCTION("""COMPUTED_VALUE"""),17449.89)</f>
        <v>17449.89</v>
      </c>
      <c r="R1828" s="6" t="str">
        <f t="shared" ca="1" si="510"/>
        <v>20256</v>
      </c>
      <c r="S1828" s="6">
        <f t="shared" ca="1" si="511"/>
        <v>2025</v>
      </c>
      <c r="T1828" s="6">
        <f t="shared" ca="1" si="512"/>
        <v>6</v>
      </c>
      <c r="U1828" s="68">
        <f ca="1">IFERROR(__xludf.DUMMYFUNCTION("""COMPUTED_VALUE"""),45825.6458333333)</f>
        <v>45825.645833333299</v>
      </c>
      <c r="V1828" s="6">
        <f ca="1">IFERROR(__xludf.DUMMYFUNCTION("""COMPUTED_VALUE"""),2950.3)</f>
        <v>2950.3</v>
      </c>
      <c r="Z1828" s="6" t="str">
        <f t="shared" ca="1" si="513"/>
        <v>20232</v>
      </c>
      <c r="AA1828" s="6">
        <f t="shared" ca="1" si="514"/>
        <v>2023</v>
      </c>
      <c r="AB1828" s="6">
        <f t="shared" ca="1" si="515"/>
        <v>2</v>
      </c>
      <c r="AC1828" s="68">
        <f ca="1">IFERROR(__xludf.DUMMYFUNCTION("""COMPUTED_VALUE"""),44977.9986111111)</f>
        <v>44977.998611111099</v>
      </c>
      <c r="AD1828" s="6">
        <f ca="1">IFERROR(__xludf.DUMMYFUNCTION("""COMPUTED_VALUE"""),1296.11)</f>
        <v>1296.1099999999999</v>
      </c>
      <c r="AH1828" s="6" t="str">
        <f t="shared" ca="1" si="516"/>
        <v>202212</v>
      </c>
      <c r="AI1828" s="6">
        <f t="shared" ca="1" si="517"/>
        <v>2022</v>
      </c>
      <c r="AJ1828" s="6">
        <f t="shared" ca="1" si="518"/>
        <v>12</v>
      </c>
      <c r="AK1828" s="68">
        <f ca="1">IFERROR(__xludf.DUMMYFUNCTION("""COMPUTED_VALUE"""),44921.9986111111)</f>
        <v>44921.998611111099</v>
      </c>
      <c r="AL1828" s="6">
        <f ca="1">IFERROR(__xludf.DUMMYFUNCTION("""COMPUTED_VALUE"""),16915.04)</f>
        <v>16915.04</v>
      </c>
      <c r="AP1828" s="6" t="str">
        <f t="shared" ca="1" si="519"/>
        <v>20254</v>
      </c>
      <c r="AQ1828" s="6">
        <f t="shared" ca="1" si="520"/>
        <v>2025</v>
      </c>
      <c r="AR1828" s="6">
        <f t="shared" ca="1" si="521"/>
        <v>4</v>
      </c>
      <c r="AS1828" s="68">
        <f ca="1">IFERROR(__xludf.DUMMYFUNCTION("""COMPUTED_VALUE"""),45762.9986111111)</f>
        <v>45762.998611111099</v>
      </c>
      <c r="AT1828" s="6">
        <f ca="1">IFERROR(__xludf.DUMMYFUNCTION("""COMPUTED_VALUE"""),3240.4)</f>
        <v>3240.4</v>
      </c>
    </row>
    <row r="1829" spans="2:46" x14ac:dyDescent="0.35">
      <c r="B1829" s="6" t="str">
        <f t="shared" ca="1" si="504"/>
        <v>20254</v>
      </c>
      <c r="C1829" s="6">
        <f t="shared" ca="1" si="505"/>
        <v>2025</v>
      </c>
      <c r="D1829" s="6">
        <f t="shared" ca="1" si="506"/>
        <v>4</v>
      </c>
      <c r="E1829" s="68">
        <f ca="1">IFERROR(__xludf.DUMMYFUNCTION("""COMPUTED_VALUE"""),45756.6666666666)</f>
        <v>45756.666666666599</v>
      </c>
      <c r="F1829" s="6">
        <f ca="1">IFERROR(__xludf.DUMMYFUNCTION("""COMPUTED_VALUE"""),5456.9)</f>
        <v>5456.9</v>
      </c>
      <c r="J1829" s="6" t="str">
        <f t="shared" ca="1" si="507"/>
        <v>20254</v>
      </c>
      <c r="K1829" s="6">
        <f t="shared" ca="1" si="508"/>
        <v>2025</v>
      </c>
      <c r="L1829" s="6">
        <f t="shared" ca="1" si="509"/>
        <v>4</v>
      </c>
      <c r="M1829" s="68">
        <f ca="1">IFERROR(__xludf.DUMMYFUNCTION("""COMPUTED_VALUE"""),45749.6666666666)</f>
        <v>45749.666666666599</v>
      </c>
      <c r="N1829" s="6">
        <f ca="1">IFERROR(__xludf.DUMMYFUNCTION("""COMPUTED_VALUE"""),17601.05)</f>
        <v>17601.05</v>
      </c>
      <c r="R1829" s="6" t="str">
        <f t="shared" ca="1" si="510"/>
        <v>20256</v>
      </c>
      <c r="S1829" s="6">
        <f t="shared" ca="1" si="511"/>
        <v>2025</v>
      </c>
      <c r="T1829" s="6">
        <f t="shared" ca="1" si="512"/>
        <v>6</v>
      </c>
      <c r="U1829" s="68">
        <f ca="1">IFERROR(__xludf.DUMMYFUNCTION("""COMPUTED_VALUE"""),45826.6458333333)</f>
        <v>45826.645833333299</v>
      </c>
      <c r="V1829" s="6">
        <f ca="1">IFERROR(__xludf.DUMMYFUNCTION("""COMPUTED_VALUE"""),2972.19)</f>
        <v>2972.19</v>
      </c>
      <c r="Z1829" s="6" t="str">
        <f t="shared" ca="1" si="513"/>
        <v>20232</v>
      </c>
      <c r="AA1829" s="6">
        <f t="shared" ca="1" si="514"/>
        <v>2023</v>
      </c>
      <c r="AB1829" s="6">
        <f t="shared" ca="1" si="515"/>
        <v>2</v>
      </c>
      <c r="AC1829" s="68">
        <f ca="1">IFERROR(__xludf.DUMMYFUNCTION("""COMPUTED_VALUE"""),44978.9986111111)</f>
        <v>44978.998611111099</v>
      </c>
      <c r="AD1829" s="6">
        <f ca="1">IFERROR(__xludf.DUMMYFUNCTION("""COMPUTED_VALUE"""),1305.83)</f>
        <v>1305.83</v>
      </c>
      <c r="AH1829" s="6" t="str">
        <f t="shared" ca="1" si="516"/>
        <v>202212</v>
      </c>
      <c r="AI1829" s="6">
        <f t="shared" ca="1" si="517"/>
        <v>2022</v>
      </c>
      <c r="AJ1829" s="6">
        <f t="shared" ca="1" si="518"/>
        <v>12</v>
      </c>
      <c r="AK1829" s="68">
        <f ca="1">IFERROR(__xludf.DUMMYFUNCTION("""COMPUTED_VALUE"""),44922.9986111111)</f>
        <v>44922.998611111099</v>
      </c>
      <c r="AL1829" s="6">
        <f ca="1">IFERROR(__xludf.DUMMYFUNCTION("""COMPUTED_VALUE"""),16701.23)</f>
        <v>16701.23</v>
      </c>
      <c r="AP1829" s="6" t="str">
        <f t="shared" ca="1" si="519"/>
        <v>20254</v>
      </c>
      <c r="AQ1829" s="6">
        <f t="shared" ca="1" si="520"/>
        <v>2025</v>
      </c>
      <c r="AR1829" s="6">
        <f t="shared" ca="1" si="521"/>
        <v>4</v>
      </c>
      <c r="AS1829" s="68">
        <f ca="1">IFERROR(__xludf.DUMMYFUNCTION("""COMPUTED_VALUE"""),45763.9986111111)</f>
        <v>45763.998611111099</v>
      </c>
      <c r="AT1829" s="6">
        <f ca="1">IFERROR(__xludf.DUMMYFUNCTION("""COMPUTED_VALUE"""),3346.4)</f>
        <v>3346.4</v>
      </c>
    </row>
    <row r="1830" spans="2:46" x14ac:dyDescent="0.35">
      <c r="B1830" s="6" t="str">
        <f t="shared" ca="1" si="504"/>
        <v>20254</v>
      </c>
      <c r="C1830" s="6">
        <f t="shared" ca="1" si="505"/>
        <v>2025</v>
      </c>
      <c r="D1830" s="6">
        <f t="shared" ca="1" si="506"/>
        <v>4</v>
      </c>
      <c r="E1830" s="68">
        <f ca="1">IFERROR(__xludf.DUMMYFUNCTION("""COMPUTED_VALUE"""),45757.6666666666)</f>
        <v>45757.666666666599</v>
      </c>
      <c r="F1830" s="6">
        <f ca="1">IFERROR(__xludf.DUMMYFUNCTION("""COMPUTED_VALUE"""),5268.05)</f>
        <v>5268.05</v>
      </c>
      <c r="J1830" s="6" t="str">
        <f t="shared" ca="1" si="507"/>
        <v>20254</v>
      </c>
      <c r="K1830" s="6">
        <f t="shared" ca="1" si="508"/>
        <v>2025</v>
      </c>
      <c r="L1830" s="6">
        <f t="shared" ca="1" si="509"/>
        <v>4</v>
      </c>
      <c r="M1830" s="68">
        <f ca="1">IFERROR(__xludf.DUMMYFUNCTION("""COMPUTED_VALUE"""),45750.6666666666)</f>
        <v>45750.666666666599</v>
      </c>
      <c r="N1830" s="6">
        <f ca="1">IFERROR(__xludf.DUMMYFUNCTION("""COMPUTED_VALUE"""),16550.61)</f>
        <v>16550.61</v>
      </c>
      <c r="R1830" s="6" t="str">
        <f t="shared" ca="1" si="510"/>
        <v>20256</v>
      </c>
      <c r="S1830" s="6">
        <f t="shared" ca="1" si="511"/>
        <v>2025</v>
      </c>
      <c r="T1830" s="6">
        <f t="shared" ca="1" si="512"/>
        <v>6</v>
      </c>
      <c r="U1830" s="68">
        <f ca="1">IFERROR(__xludf.DUMMYFUNCTION("""COMPUTED_VALUE"""),45827.6458333333)</f>
        <v>45827.645833333299</v>
      </c>
      <c r="V1830" s="6">
        <f ca="1">IFERROR(__xludf.DUMMYFUNCTION("""COMPUTED_VALUE"""),2977.74)</f>
        <v>2977.74</v>
      </c>
      <c r="Z1830" s="6" t="str">
        <f t="shared" ca="1" si="513"/>
        <v>20232</v>
      </c>
      <c r="AA1830" s="6">
        <f t="shared" ca="1" si="514"/>
        <v>2023</v>
      </c>
      <c r="AB1830" s="6">
        <f t="shared" ca="1" si="515"/>
        <v>2</v>
      </c>
      <c r="AC1830" s="68">
        <f ca="1">IFERROR(__xludf.DUMMYFUNCTION("""COMPUTED_VALUE"""),44979.9986111111)</f>
        <v>44979.998611111099</v>
      </c>
      <c r="AD1830" s="6">
        <f ca="1">IFERROR(__xludf.DUMMYFUNCTION("""COMPUTED_VALUE"""),1302.83)</f>
        <v>1302.83</v>
      </c>
      <c r="AH1830" s="6" t="str">
        <f t="shared" ca="1" si="516"/>
        <v>202212</v>
      </c>
      <c r="AI1830" s="6">
        <f t="shared" ca="1" si="517"/>
        <v>2022</v>
      </c>
      <c r="AJ1830" s="6">
        <f t="shared" ca="1" si="518"/>
        <v>12</v>
      </c>
      <c r="AK1830" s="68">
        <f ca="1">IFERROR(__xludf.DUMMYFUNCTION("""COMPUTED_VALUE"""),44923.9986111111)</f>
        <v>44923.998611111099</v>
      </c>
      <c r="AL1830" s="6">
        <f ca="1">IFERROR(__xludf.DUMMYFUNCTION("""COMPUTED_VALUE"""),16540.76)</f>
        <v>16540.759999999998</v>
      </c>
      <c r="AP1830" s="6" t="str">
        <f t="shared" ca="1" si="519"/>
        <v>20254</v>
      </c>
      <c r="AQ1830" s="6">
        <f t="shared" ca="1" si="520"/>
        <v>2025</v>
      </c>
      <c r="AR1830" s="6">
        <f t="shared" ca="1" si="521"/>
        <v>4</v>
      </c>
      <c r="AS1830" s="68">
        <f ca="1">IFERROR(__xludf.DUMMYFUNCTION("""COMPUTED_VALUE"""),45764.9986111111)</f>
        <v>45764.998611111099</v>
      </c>
      <c r="AT1830" s="6">
        <f ca="1">IFERROR(__xludf.DUMMYFUNCTION("""COMPUTED_VALUE"""),3328.4)</f>
        <v>3328.4</v>
      </c>
    </row>
    <row r="1831" spans="2:46" x14ac:dyDescent="0.35">
      <c r="B1831" s="6" t="str">
        <f t="shared" ca="1" si="504"/>
        <v>20254</v>
      </c>
      <c r="C1831" s="6">
        <f t="shared" ca="1" si="505"/>
        <v>2025</v>
      </c>
      <c r="D1831" s="6">
        <f t="shared" ca="1" si="506"/>
        <v>4</v>
      </c>
      <c r="E1831" s="68">
        <f ca="1">IFERROR(__xludf.DUMMYFUNCTION("""COMPUTED_VALUE"""),45758.6666666666)</f>
        <v>45758.666666666599</v>
      </c>
      <c r="F1831" s="6">
        <f ca="1">IFERROR(__xludf.DUMMYFUNCTION("""COMPUTED_VALUE"""),5363.36)</f>
        <v>5363.36</v>
      </c>
      <c r="J1831" s="6" t="str">
        <f t="shared" ca="1" si="507"/>
        <v>20254</v>
      </c>
      <c r="K1831" s="6">
        <f t="shared" ca="1" si="508"/>
        <v>2025</v>
      </c>
      <c r="L1831" s="6">
        <f t="shared" ca="1" si="509"/>
        <v>4</v>
      </c>
      <c r="M1831" s="68">
        <f ca="1">IFERROR(__xludf.DUMMYFUNCTION("""COMPUTED_VALUE"""),45751.6666666666)</f>
        <v>45751.666666666599</v>
      </c>
      <c r="N1831" s="6">
        <f ca="1">IFERROR(__xludf.DUMMYFUNCTION("""COMPUTED_VALUE"""),15587.79)</f>
        <v>15587.79</v>
      </c>
      <c r="R1831" s="6" t="str">
        <f t="shared" ca="1" si="510"/>
        <v>20256</v>
      </c>
      <c r="S1831" s="6">
        <f t="shared" ca="1" si="511"/>
        <v>2025</v>
      </c>
      <c r="T1831" s="6">
        <f t="shared" ca="1" si="512"/>
        <v>6</v>
      </c>
      <c r="U1831" s="68">
        <f ca="1">IFERROR(__xludf.DUMMYFUNCTION("""COMPUTED_VALUE"""),45828.6458333333)</f>
        <v>45828.645833333299</v>
      </c>
      <c r="V1831" s="6">
        <f ca="1">IFERROR(__xludf.DUMMYFUNCTION("""COMPUTED_VALUE"""),3021.84)</f>
        <v>3021.84</v>
      </c>
      <c r="Z1831" s="6" t="str">
        <f t="shared" ca="1" si="513"/>
        <v>20232</v>
      </c>
      <c r="AA1831" s="6">
        <f t="shared" ca="1" si="514"/>
        <v>2023</v>
      </c>
      <c r="AB1831" s="6">
        <f t="shared" ca="1" si="515"/>
        <v>2</v>
      </c>
      <c r="AC1831" s="68">
        <f ca="1">IFERROR(__xludf.DUMMYFUNCTION("""COMPUTED_VALUE"""),44980.9986111111)</f>
        <v>44980.998611111099</v>
      </c>
      <c r="AD1831" s="6">
        <f ca="1">IFERROR(__xludf.DUMMYFUNCTION("""COMPUTED_VALUE"""),1298.08)</f>
        <v>1298.08</v>
      </c>
      <c r="AH1831" s="6" t="str">
        <f t="shared" ca="1" si="516"/>
        <v>202212</v>
      </c>
      <c r="AI1831" s="6">
        <f t="shared" ca="1" si="517"/>
        <v>2022</v>
      </c>
      <c r="AJ1831" s="6">
        <f t="shared" ca="1" si="518"/>
        <v>12</v>
      </c>
      <c r="AK1831" s="68">
        <f ca="1">IFERROR(__xludf.DUMMYFUNCTION("""COMPUTED_VALUE"""),44924.9986111111)</f>
        <v>44924.998611111099</v>
      </c>
      <c r="AL1831" s="6">
        <f ca="1">IFERROR(__xludf.DUMMYFUNCTION("""COMPUTED_VALUE"""),16632.69)</f>
        <v>16632.689999999999</v>
      </c>
      <c r="AP1831" s="6" t="str">
        <f t="shared" ca="1" si="519"/>
        <v>20254</v>
      </c>
      <c r="AQ1831" s="6">
        <f t="shared" ca="1" si="520"/>
        <v>2025</v>
      </c>
      <c r="AR1831" s="6">
        <f t="shared" ca="1" si="521"/>
        <v>4</v>
      </c>
      <c r="AS1831" s="68">
        <f ca="1">IFERROR(__xludf.DUMMYFUNCTION("""COMPUTED_VALUE"""),45768.9986111111)</f>
        <v>45768.998611111099</v>
      </c>
      <c r="AT1831" s="6">
        <f ca="1">IFERROR(__xludf.DUMMYFUNCTION("""COMPUTED_VALUE"""),3425.3)</f>
        <v>3425.3</v>
      </c>
    </row>
    <row r="1832" spans="2:46" x14ac:dyDescent="0.35">
      <c r="B1832" s="6" t="str">
        <f t="shared" ca="1" si="504"/>
        <v>20254</v>
      </c>
      <c r="C1832" s="6">
        <f t="shared" ca="1" si="505"/>
        <v>2025</v>
      </c>
      <c r="D1832" s="6">
        <f t="shared" ca="1" si="506"/>
        <v>4</v>
      </c>
      <c r="E1832" s="68">
        <f ca="1">IFERROR(__xludf.DUMMYFUNCTION("""COMPUTED_VALUE"""),45761.6666666666)</f>
        <v>45761.666666666599</v>
      </c>
      <c r="F1832" s="6">
        <f ca="1">IFERROR(__xludf.DUMMYFUNCTION("""COMPUTED_VALUE"""),5405.97)</f>
        <v>5405.97</v>
      </c>
      <c r="J1832" s="6" t="str">
        <f t="shared" ca="1" si="507"/>
        <v>20254</v>
      </c>
      <c r="K1832" s="6">
        <f t="shared" ca="1" si="508"/>
        <v>2025</v>
      </c>
      <c r="L1832" s="6">
        <f t="shared" ca="1" si="509"/>
        <v>4</v>
      </c>
      <c r="M1832" s="68">
        <f ca="1">IFERROR(__xludf.DUMMYFUNCTION("""COMPUTED_VALUE"""),45754.6666666666)</f>
        <v>45754.666666666599</v>
      </c>
      <c r="N1832" s="6">
        <f ca="1">IFERROR(__xludf.DUMMYFUNCTION("""COMPUTED_VALUE"""),15603.26)</f>
        <v>15603.26</v>
      </c>
      <c r="R1832" s="6" t="str">
        <f t="shared" ca="1" si="510"/>
        <v>20256</v>
      </c>
      <c r="S1832" s="6">
        <f t="shared" ca="1" si="511"/>
        <v>2025</v>
      </c>
      <c r="T1832" s="6">
        <f t="shared" ca="1" si="512"/>
        <v>6</v>
      </c>
      <c r="U1832" s="68">
        <f ca="1">IFERROR(__xludf.DUMMYFUNCTION("""COMPUTED_VALUE"""),45831.6458333333)</f>
        <v>45831.645833333299</v>
      </c>
      <c r="V1832" s="6">
        <f ca="1">IFERROR(__xludf.DUMMYFUNCTION("""COMPUTED_VALUE"""),3014.47)</f>
        <v>3014.47</v>
      </c>
      <c r="Z1832" s="6" t="str">
        <f t="shared" ca="1" si="513"/>
        <v>20232</v>
      </c>
      <c r="AA1832" s="6">
        <f t="shared" ca="1" si="514"/>
        <v>2023</v>
      </c>
      <c r="AB1832" s="6">
        <f t="shared" ca="1" si="515"/>
        <v>2</v>
      </c>
      <c r="AC1832" s="68">
        <f ca="1">IFERROR(__xludf.DUMMYFUNCTION("""COMPUTED_VALUE"""),44981.9986111111)</f>
        <v>44981.998611111099</v>
      </c>
      <c r="AD1832" s="6">
        <f ca="1">IFERROR(__xludf.DUMMYFUNCTION("""COMPUTED_VALUE"""),1313.8)</f>
        <v>1313.8</v>
      </c>
      <c r="AH1832" s="6" t="str">
        <f t="shared" ca="1" si="516"/>
        <v>202212</v>
      </c>
      <c r="AI1832" s="6">
        <f t="shared" ca="1" si="517"/>
        <v>2022</v>
      </c>
      <c r="AJ1832" s="6">
        <f t="shared" ca="1" si="518"/>
        <v>12</v>
      </c>
      <c r="AK1832" s="68">
        <f ca="1">IFERROR(__xludf.DUMMYFUNCTION("""COMPUTED_VALUE"""),44925.9986111111)</f>
        <v>44925.998611111099</v>
      </c>
      <c r="AL1832" s="6">
        <f ca="1">IFERROR(__xludf.DUMMYFUNCTION("""COMPUTED_VALUE"""),16601.38)</f>
        <v>16601.38</v>
      </c>
      <c r="AP1832" s="6" t="str">
        <f t="shared" ca="1" si="519"/>
        <v>20254</v>
      </c>
      <c r="AQ1832" s="6">
        <f t="shared" ca="1" si="520"/>
        <v>2025</v>
      </c>
      <c r="AR1832" s="6">
        <f t="shared" ca="1" si="521"/>
        <v>4</v>
      </c>
      <c r="AS1832" s="68">
        <f ca="1">IFERROR(__xludf.DUMMYFUNCTION("""COMPUTED_VALUE"""),45769.9986111111)</f>
        <v>45769.998611111099</v>
      </c>
      <c r="AT1832" s="6">
        <f ca="1">IFERROR(__xludf.DUMMYFUNCTION("""COMPUTED_VALUE"""),3419.4)</f>
        <v>3419.4</v>
      </c>
    </row>
    <row r="1833" spans="2:46" x14ac:dyDescent="0.35">
      <c r="B1833" s="6" t="str">
        <f t="shared" ca="1" si="504"/>
        <v>20254</v>
      </c>
      <c r="C1833" s="6">
        <f t="shared" ca="1" si="505"/>
        <v>2025</v>
      </c>
      <c r="D1833" s="6">
        <f t="shared" ca="1" si="506"/>
        <v>4</v>
      </c>
      <c r="E1833" s="68">
        <f ca="1">IFERROR(__xludf.DUMMYFUNCTION("""COMPUTED_VALUE"""),45762.6666666666)</f>
        <v>45762.666666666599</v>
      </c>
      <c r="F1833" s="6">
        <f ca="1">IFERROR(__xludf.DUMMYFUNCTION("""COMPUTED_VALUE"""),5396.63)</f>
        <v>5396.63</v>
      </c>
      <c r="J1833" s="6" t="str">
        <f t="shared" ca="1" si="507"/>
        <v>20254</v>
      </c>
      <c r="K1833" s="6">
        <f t="shared" ca="1" si="508"/>
        <v>2025</v>
      </c>
      <c r="L1833" s="6">
        <f t="shared" ca="1" si="509"/>
        <v>4</v>
      </c>
      <c r="M1833" s="68">
        <f ca="1">IFERROR(__xludf.DUMMYFUNCTION("""COMPUTED_VALUE"""),45755.6666666666)</f>
        <v>45755.666666666599</v>
      </c>
      <c r="N1833" s="6">
        <f ca="1">IFERROR(__xludf.DUMMYFUNCTION("""COMPUTED_VALUE"""),15267.91)</f>
        <v>15267.91</v>
      </c>
      <c r="R1833" s="6" t="str">
        <f t="shared" ca="1" si="510"/>
        <v>20256</v>
      </c>
      <c r="S1833" s="6">
        <f t="shared" ca="1" si="511"/>
        <v>2025</v>
      </c>
      <c r="T1833" s="6">
        <f t="shared" ca="1" si="512"/>
        <v>6</v>
      </c>
      <c r="U1833" s="68">
        <f ca="1">IFERROR(__xludf.DUMMYFUNCTION("""COMPUTED_VALUE"""),45832.6458333333)</f>
        <v>45832.645833333299</v>
      </c>
      <c r="V1833" s="6">
        <f ca="1">IFERROR(__xludf.DUMMYFUNCTION("""COMPUTED_VALUE"""),3103.64)</f>
        <v>3103.64</v>
      </c>
      <c r="Z1833" s="6" t="str">
        <f t="shared" ca="1" si="513"/>
        <v>20232</v>
      </c>
      <c r="AA1833" s="6">
        <f t="shared" ca="1" si="514"/>
        <v>2023</v>
      </c>
      <c r="AB1833" s="6">
        <f t="shared" ca="1" si="515"/>
        <v>2</v>
      </c>
      <c r="AC1833" s="68">
        <f ca="1">IFERROR(__xludf.DUMMYFUNCTION("""COMPUTED_VALUE"""),44982.9986111111)</f>
        <v>44982.998611111099</v>
      </c>
      <c r="AD1833" s="6">
        <f ca="1">IFERROR(__xludf.DUMMYFUNCTION("""COMPUTED_VALUE"""),1313.7)</f>
        <v>1313.7</v>
      </c>
      <c r="AH1833" s="6" t="str">
        <f t="shared" ca="1" si="516"/>
        <v>202212</v>
      </c>
      <c r="AI1833" s="6">
        <f t="shared" ca="1" si="517"/>
        <v>2022</v>
      </c>
      <c r="AJ1833" s="6">
        <f t="shared" ca="1" si="518"/>
        <v>12</v>
      </c>
      <c r="AK1833" s="68">
        <f ca="1">IFERROR(__xludf.DUMMYFUNCTION("""COMPUTED_VALUE"""),44926.9986111111)</f>
        <v>44926.998611111099</v>
      </c>
      <c r="AL1833" s="6">
        <f ca="1">IFERROR(__xludf.DUMMYFUNCTION("""COMPUTED_VALUE"""),16529.2)</f>
        <v>16529.2</v>
      </c>
      <c r="AP1833" s="6" t="str">
        <f t="shared" ca="1" si="519"/>
        <v>20254</v>
      </c>
      <c r="AQ1833" s="6">
        <f t="shared" ca="1" si="520"/>
        <v>2025</v>
      </c>
      <c r="AR1833" s="6">
        <f t="shared" ca="1" si="521"/>
        <v>4</v>
      </c>
      <c r="AS1833" s="68">
        <f ca="1">IFERROR(__xludf.DUMMYFUNCTION("""COMPUTED_VALUE"""),45770.9986111111)</f>
        <v>45770.998611111099</v>
      </c>
      <c r="AT1833" s="6">
        <f ca="1">IFERROR(__xludf.DUMMYFUNCTION("""COMPUTED_VALUE"""),3294.1)</f>
        <v>3294.1</v>
      </c>
    </row>
    <row r="1834" spans="2:46" x14ac:dyDescent="0.35">
      <c r="B1834" s="6" t="str">
        <f t="shared" ca="1" si="504"/>
        <v>20254</v>
      </c>
      <c r="C1834" s="6">
        <f t="shared" ca="1" si="505"/>
        <v>2025</v>
      </c>
      <c r="D1834" s="6">
        <f t="shared" ca="1" si="506"/>
        <v>4</v>
      </c>
      <c r="E1834" s="68">
        <f ca="1">IFERROR(__xludf.DUMMYFUNCTION("""COMPUTED_VALUE"""),45763.6666666666)</f>
        <v>45763.666666666599</v>
      </c>
      <c r="F1834" s="6">
        <f ca="1">IFERROR(__xludf.DUMMYFUNCTION("""COMPUTED_VALUE"""),5275.7)</f>
        <v>5275.7</v>
      </c>
      <c r="J1834" s="6" t="str">
        <f t="shared" ca="1" si="507"/>
        <v>20254</v>
      </c>
      <c r="K1834" s="6">
        <f t="shared" ca="1" si="508"/>
        <v>2025</v>
      </c>
      <c r="L1834" s="6">
        <f t="shared" ca="1" si="509"/>
        <v>4</v>
      </c>
      <c r="M1834" s="68">
        <f ca="1">IFERROR(__xludf.DUMMYFUNCTION("""COMPUTED_VALUE"""),45756.6666666666)</f>
        <v>45756.666666666599</v>
      </c>
      <c r="N1834" s="6">
        <f ca="1">IFERROR(__xludf.DUMMYFUNCTION("""COMPUTED_VALUE"""),17124.97)</f>
        <v>17124.97</v>
      </c>
      <c r="R1834" s="6" t="str">
        <f t="shared" ca="1" si="510"/>
        <v>20256</v>
      </c>
      <c r="S1834" s="6">
        <f t="shared" ca="1" si="511"/>
        <v>2025</v>
      </c>
      <c r="T1834" s="6">
        <f t="shared" ca="1" si="512"/>
        <v>6</v>
      </c>
      <c r="U1834" s="68">
        <f ca="1">IFERROR(__xludf.DUMMYFUNCTION("""COMPUTED_VALUE"""),45833.6458333333)</f>
        <v>45833.645833333299</v>
      </c>
      <c r="V1834" s="6">
        <f ca="1">IFERROR(__xludf.DUMMYFUNCTION("""COMPUTED_VALUE"""),3108.25)</f>
        <v>3108.25</v>
      </c>
      <c r="Z1834" s="6" t="str">
        <f t="shared" ca="1" si="513"/>
        <v>20232</v>
      </c>
      <c r="AA1834" s="6">
        <f t="shared" ca="1" si="514"/>
        <v>2023</v>
      </c>
      <c r="AB1834" s="6">
        <f t="shared" ca="1" si="515"/>
        <v>2</v>
      </c>
      <c r="AC1834" s="68">
        <f ca="1">IFERROR(__xludf.DUMMYFUNCTION("""COMPUTED_VALUE"""),44983.9986111111)</f>
        <v>44983.998611111099</v>
      </c>
      <c r="AD1834" s="6">
        <f ca="1">IFERROR(__xludf.DUMMYFUNCTION("""COMPUTED_VALUE"""),1313.7)</f>
        <v>1313.7</v>
      </c>
      <c r="AH1834" s="6" t="str">
        <f t="shared" ca="1" si="516"/>
        <v>20231</v>
      </c>
      <c r="AI1834" s="6">
        <f t="shared" ca="1" si="517"/>
        <v>2023</v>
      </c>
      <c r="AJ1834" s="6">
        <f t="shared" ca="1" si="518"/>
        <v>1</v>
      </c>
      <c r="AK1834" s="68">
        <f ca="1">IFERROR(__xludf.DUMMYFUNCTION("""COMPUTED_VALUE"""),44927.9986111111)</f>
        <v>44927.998611111099</v>
      </c>
      <c r="AL1834" s="6">
        <f ca="1">IFERROR(__xludf.DUMMYFUNCTION("""COMPUTED_VALUE"""),16613.4)</f>
        <v>16613.400000000001</v>
      </c>
      <c r="AP1834" s="6" t="str">
        <f t="shared" ca="1" si="519"/>
        <v>20254</v>
      </c>
      <c r="AQ1834" s="6">
        <f t="shared" ca="1" si="520"/>
        <v>2025</v>
      </c>
      <c r="AR1834" s="6">
        <f t="shared" ca="1" si="521"/>
        <v>4</v>
      </c>
      <c r="AS1834" s="68">
        <f ca="1">IFERROR(__xludf.DUMMYFUNCTION("""COMPUTED_VALUE"""),45771.9986111111)</f>
        <v>45771.998611111099</v>
      </c>
      <c r="AT1834" s="6">
        <f ca="1">IFERROR(__xludf.DUMMYFUNCTION("""COMPUTED_VALUE"""),3348.6)</f>
        <v>3348.6</v>
      </c>
    </row>
    <row r="1835" spans="2:46" x14ac:dyDescent="0.35">
      <c r="B1835" s="6" t="str">
        <f t="shared" ca="1" si="504"/>
        <v>20254</v>
      </c>
      <c r="C1835" s="6">
        <f t="shared" ca="1" si="505"/>
        <v>2025</v>
      </c>
      <c r="D1835" s="6">
        <f t="shared" ca="1" si="506"/>
        <v>4</v>
      </c>
      <c r="E1835" s="68">
        <f ca="1">IFERROR(__xludf.DUMMYFUNCTION("""COMPUTED_VALUE"""),45764.6666666666)</f>
        <v>45764.666666666599</v>
      </c>
      <c r="F1835" s="6">
        <f ca="1">IFERROR(__xludf.DUMMYFUNCTION("""COMPUTED_VALUE"""),5282.7)</f>
        <v>5282.7</v>
      </c>
      <c r="J1835" s="6" t="str">
        <f t="shared" ca="1" si="507"/>
        <v>20254</v>
      </c>
      <c r="K1835" s="6">
        <f t="shared" ca="1" si="508"/>
        <v>2025</v>
      </c>
      <c r="L1835" s="6">
        <f t="shared" ca="1" si="509"/>
        <v>4</v>
      </c>
      <c r="M1835" s="68">
        <f ca="1">IFERROR(__xludf.DUMMYFUNCTION("""COMPUTED_VALUE"""),45757.6666666666)</f>
        <v>45757.666666666599</v>
      </c>
      <c r="N1835" s="6">
        <f ca="1">IFERROR(__xludf.DUMMYFUNCTION("""COMPUTED_VALUE"""),16387.31)</f>
        <v>16387.310000000001</v>
      </c>
      <c r="R1835" s="6" t="str">
        <f t="shared" ca="1" si="510"/>
        <v>20256</v>
      </c>
      <c r="S1835" s="6">
        <f t="shared" ca="1" si="511"/>
        <v>2025</v>
      </c>
      <c r="T1835" s="6">
        <f t="shared" ca="1" si="512"/>
        <v>6</v>
      </c>
      <c r="U1835" s="68">
        <f ca="1">IFERROR(__xludf.DUMMYFUNCTION("""COMPUTED_VALUE"""),45834.6458333333)</f>
        <v>45834.645833333299</v>
      </c>
      <c r="V1835" s="6">
        <f ca="1">IFERROR(__xludf.DUMMYFUNCTION("""COMPUTED_VALUE"""),3079.56)</f>
        <v>3079.56</v>
      </c>
      <c r="Z1835" s="6" t="str">
        <f t="shared" ca="1" si="513"/>
        <v>20232</v>
      </c>
      <c r="AA1835" s="6">
        <f t="shared" ca="1" si="514"/>
        <v>2023</v>
      </c>
      <c r="AB1835" s="6">
        <f t="shared" ca="1" si="515"/>
        <v>2</v>
      </c>
      <c r="AC1835" s="68">
        <f ca="1">IFERROR(__xludf.DUMMYFUNCTION("""COMPUTED_VALUE"""),44984.9986111111)</f>
        <v>44984.998611111099</v>
      </c>
      <c r="AD1835" s="6">
        <f ca="1">IFERROR(__xludf.DUMMYFUNCTION("""COMPUTED_VALUE"""),1318.35)</f>
        <v>1318.35</v>
      </c>
      <c r="AH1835" s="6" t="str">
        <f t="shared" ca="1" si="516"/>
        <v>20231</v>
      </c>
      <c r="AI1835" s="6">
        <f t="shared" ca="1" si="517"/>
        <v>2023</v>
      </c>
      <c r="AJ1835" s="6">
        <f t="shared" ca="1" si="518"/>
        <v>1</v>
      </c>
      <c r="AK1835" s="68">
        <f ca="1">IFERROR(__xludf.DUMMYFUNCTION("""COMPUTED_VALUE"""),44928.9986111111)</f>
        <v>44928.998611111099</v>
      </c>
      <c r="AL1835" s="6">
        <f ca="1">IFERROR(__xludf.DUMMYFUNCTION("""COMPUTED_VALUE"""),16670.31)</f>
        <v>16670.310000000001</v>
      </c>
      <c r="AP1835" s="6" t="str">
        <f t="shared" ca="1" si="519"/>
        <v>20254</v>
      </c>
      <c r="AQ1835" s="6">
        <f t="shared" ca="1" si="520"/>
        <v>2025</v>
      </c>
      <c r="AR1835" s="6">
        <f t="shared" ca="1" si="521"/>
        <v>4</v>
      </c>
      <c r="AS1835" s="68">
        <f ca="1">IFERROR(__xludf.DUMMYFUNCTION("""COMPUTED_VALUE"""),45772.9986111111)</f>
        <v>45772.998611111099</v>
      </c>
      <c r="AT1835" s="6">
        <f ca="1">IFERROR(__xludf.DUMMYFUNCTION("""COMPUTED_VALUE"""),3298.4)</f>
        <v>3298.4</v>
      </c>
    </row>
    <row r="1836" spans="2:46" x14ac:dyDescent="0.35">
      <c r="B1836" s="6" t="str">
        <f t="shared" ca="1" si="504"/>
        <v>20254</v>
      </c>
      <c r="C1836" s="6">
        <f t="shared" ca="1" si="505"/>
        <v>2025</v>
      </c>
      <c r="D1836" s="6">
        <f t="shared" ca="1" si="506"/>
        <v>4</v>
      </c>
      <c r="E1836" s="68">
        <f ca="1">IFERROR(__xludf.DUMMYFUNCTION("""COMPUTED_VALUE"""),45768.6666666666)</f>
        <v>45768.666666666599</v>
      </c>
      <c r="F1836" s="6">
        <f ca="1">IFERROR(__xludf.DUMMYFUNCTION("""COMPUTED_VALUE"""),5158.2)</f>
        <v>5158.2</v>
      </c>
      <c r="J1836" s="6" t="str">
        <f t="shared" ca="1" si="507"/>
        <v>20254</v>
      </c>
      <c r="K1836" s="6">
        <f t="shared" ca="1" si="508"/>
        <v>2025</v>
      </c>
      <c r="L1836" s="6">
        <f t="shared" ca="1" si="509"/>
        <v>4</v>
      </c>
      <c r="M1836" s="68">
        <f ca="1">IFERROR(__xludf.DUMMYFUNCTION("""COMPUTED_VALUE"""),45758.6666666666)</f>
        <v>45758.666666666599</v>
      </c>
      <c r="N1836" s="6">
        <f ca="1">IFERROR(__xludf.DUMMYFUNCTION("""COMPUTED_VALUE"""),16724.46)</f>
        <v>16724.46</v>
      </c>
      <c r="R1836" s="6" t="str">
        <f t="shared" ca="1" si="510"/>
        <v>20256</v>
      </c>
      <c r="S1836" s="6">
        <f t="shared" ca="1" si="511"/>
        <v>2025</v>
      </c>
      <c r="T1836" s="6">
        <f t="shared" ca="1" si="512"/>
        <v>6</v>
      </c>
      <c r="U1836" s="68">
        <f ca="1">IFERROR(__xludf.DUMMYFUNCTION("""COMPUTED_VALUE"""),45835.6458333333)</f>
        <v>45835.645833333299</v>
      </c>
      <c r="V1836" s="6">
        <f ca="1">IFERROR(__xludf.DUMMYFUNCTION("""COMPUTED_VALUE"""),3055.94)</f>
        <v>3055.94</v>
      </c>
      <c r="Z1836" s="6" t="str">
        <f t="shared" ca="1" si="513"/>
        <v>20232</v>
      </c>
      <c r="AA1836" s="6">
        <f t="shared" ca="1" si="514"/>
        <v>2023</v>
      </c>
      <c r="AB1836" s="6">
        <f t="shared" ca="1" si="515"/>
        <v>2</v>
      </c>
      <c r="AC1836" s="68">
        <f ca="1">IFERROR(__xludf.DUMMYFUNCTION("""COMPUTED_VALUE"""),44985.9986111111)</f>
        <v>44985.998611111099</v>
      </c>
      <c r="AD1836" s="6">
        <f ca="1">IFERROR(__xludf.DUMMYFUNCTION("""COMPUTED_VALUE"""),1321.6)</f>
        <v>1321.6</v>
      </c>
      <c r="AH1836" s="6" t="str">
        <f t="shared" ca="1" si="516"/>
        <v>20231</v>
      </c>
      <c r="AI1836" s="6">
        <f t="shared" ca="1" si="517"/>
        <v>2023</v>
      </c>
      <c r="AJ1836" s="6">
        <f t="shared" ca="1" si="518"/>
        <v>1</v>
      </c>
      <c r="AK1836" s="68">
        <f ca="1">IFERROR(__xludf.DUMMYFUNCTION("""COMPUTED_VALUE"""),44929.9986111111)</f>
        <v>44929.998611111099</v>
      </c>
      <c r="AL1836" s="6">
        <f ca="1">IFERROR(__xludf.DUMMYFUNCTION("""COMPUTED_VALUE"""),16670.35)</f>
        <v>16670.349999999999</v>
      </c>
      <c r="AP1836" s="6" t="str">
        <f t="shared" ca="1" si="519"/>
        <v>20254</v>
      </c>
      <c r="AQ1836" s="6">
        <f t="shared" ca="1" si="520"/>
        <v>2025</v>
      </c>
      <c r="AR1836" s="6">
        <f t="shared" ca="1" si="521"/>
        <v>4</v>
      </c>
      <c r="AS1836" s="68">
        <f ca="1">IFERROR(__xludf.DUMMYFUNCTION("""COMPUTED_VALUE"""),45775.9986111111)</f>
        <v>45775.998611111099</v>
      </c>
      <c r="AT1836" s="6">
        <f ca="1">IFERROR(__xludf.DUMMYFUNCTION("""COMPUTED_VALUE"""),3347.7)</f>
        <v>3347.7</v>
      </c>
    </row>
    <row r="1837" spans="2:46" x14ac:dyDescent="0.35">
      <c r="B1837" s="6" t="str">
        <f t="shared" ca="1" si="504"/>
        <v>20254</v>
      </c>
      <c r="C1837" s="6">
        <f t="shared" ca="1" si="505"/>
        <v>2025</v>
      </c>
      <c r="D1837" s="6">
        <f t="shared" ca="1" si="506"/>
        <v>4</v>
      </c>
      <c r="E1837" s="68">
        <f ca="1">IFERROR(__xludf.DUMMYFUNCTION("""COMPUTED_VALUE"""),45769.6666666666)</f>
        <v>45769.666666666599</v>
      </c>
      <c r="F1837" s="6">
        <f ca="1">IFERROR(__xludf.DUMMYFUNCTION("""COMPUTED_VALUE"""),5287.76)</f>
        <v>5287.76</v>
      </c>
      <c r="J1837" s="6" t="str">
        <f t="shared" ca="1" si="507"/>
        <v>20254</v>
      </c>
      <c r="K1837" s="6">
        <f t="shared" ca="1" si="508"/>
        <v>2025</v>
      </c>
      <c r="L1837" s="6">
        <f t="shared" ca="1" si="509"/>
        <v>4</v>
      </c>
      <c r="M1837" s="68">
        <f ca="1">IFERROR(__xludf.DUMMYFUNCTION("""COMPUTED_VALUE"""),45761.6666666666)</f>
        <v>45761.666666666599</v>
      </c>
      <c r="N1837" s="6">
        <f ca="1">IFERROR(__xludf.DUMMYFUNCTION("""COMPUTED_VALUE"""),16831.48)</f>
        <v>16831.48</v>
      </c>
      <c r="R1837" s="6" t="str">
        <f t="shared" ca="1" si="510"/>
        <v>20256</v>
      </c>
      <c r="S1837" s="6">
        <f t="shared" ca="1" si="511"/>
        <v>2025</v>
      </c>
      <c r="T1837" s="6">
        <f t="shared" ca="1" si="512"/>
        <v>6</v>
      </c>
      <c r="U1837" s="68">
        <f ca="1">IFERROR(__xludf.DUMMYFUNCTION("""COMPUTED_VALUE"""),45838.6458333333)</f>
        <v>45838.645833333299</v>
      </c>
      <c r="V1837" s="6">
        <f ca="1">IFERROR(__xludf.DUMMYFUNCTION("""COMPUTED_VALUE"""),3071.7)</f>
        <v>3071.7</v>
      </c>
      <c r="Z1837" s="6" t="str">
        <f t="shared" ca="1" si="513"/>
        <v>20233</v>
      </c>
      <c r="AA1837" s="6">
        <f t="shared" ca="1" si="514"/>
        <v>2023</v>
      </c>
      <c r="AB1837" s="6">
        <f t="shared" ca="1" si="515"/>
        <v>3</v>
      </c>
      <c r="AC1837" s="68">
        <f ca="1">IFERROR(__xludf.DUMMYFUNCTION("""COMPUTED_VALUE"""),44986.9986111111)</f>
        <v>44986.998611111099</v>
      </c>
      <c r="AD1837" s="6">
        <f ca="1">IFERROR(__xludf.DUMMYFUNCTION("""COMPUTED_VALUE"""),1305.73)</f>
        <v>1305.73</v>
      </c>
      <c r="AH1837" s="6" t="str">
        <f t="shared" ca="1" si="516"/>
        <v>20231</v>
      </c>
      <c r="AI1837" s="6">
        <f t="shared" ca="1" si="517"/>
        <v>2023</v>
      </c>
      <c r="AJ1837" s="6">
        <f t="shared" ca="1" si="518"/>
        <v>1</v>
      </c>
      <c r="AK1837" s="68">
        <f ca="1">IFERROR(__xludf.DUMMYFUNCTION("""COMPUTED_VALUE"""),44930.9986111111)</f>
        <v>44930.998611111099</v>
      </c>
      <c r="AL1837" s="6">
        <f ca="1">IFERROR(__xludf.DUMMYFUNCTION("""COMPUTED_VALUE"""),16847.59)</f>
        <v>16847.59</v>
      </c>
      <c r="AP1837" s="6" t="str">
        <f t="shared" ca="1" si="519"/>
        <v>20254</v>
      </c>
      <c r="AQ1837" s="6">
        <f t="shared" ca="1" si="520"/>
        <v>2025</v>
      </c>
      <c r="AR1837" s="6">
        <f t="shared" ca="1" si="521"/>
        <v>4</v>
      </c>
      <c r="AS1837" s="68">
        <f ca="1">IFERROR(__xludf.DUMMYFUNCTION("""COMPUTED_VALUE"""),45776.9986111111)</f>
        <v>45776.998611111099</v>
      </c>
      <c r="AT1837" s="6">
        <f ca="1">IFERROR(__xludf.DUMMYFUNCTION("""COMPUTED_VALUE"""),3333.6)</f>
        <v>3333.6</v>
      </c>
    </row>
    <row r="1838" spans="2:46" x14ac:dyDescent="0.35">
      <c r="B1838" s="6" t="str">
        <f t="shared" ca="1" si="504"/>
        <v>20254</v>
      </c>
      <c r="C1838" s="6">
        <f t="shared" ca="1" si="505"/>
        <v>2025</v>
      </c>
      <c r="D1838" s="6">
        <f t="shared" ca="1" si="506"/>
        <v>4</v>
      </c>
      <c r="E1838" s="68">
        <f ca="1">IFERROR(__xludf.DUMMYFUNCTION("""COMPUTED_VALUE"""),45770.6666666666)</f>
        <v>45770.666666666599</v>
      </c>
      <c r="F1838" s="6">
        <f ca="1">IFERROR(__xludf.DUMMYFUNCTION("""COMPUTED_VALUE"""),5375.86)</f>
        <v>5375.86</v>
      </c>
      <c r="J1838" s="6" t="str">
        <f t="shared" ca="1" si="507"/>
        <v>20254</v>
      </c>
      <c r="K1838" s="6">
        <f t="shared" ca="1" si="508"/>
        <v>2025</v>
      </c>
      <c r="L1838" s="6">
        <f t="shared" ca="1" si="509"/>
        <v>4</v>
      </c>
      <c r="M1838" s="68">
        <f ca="1">IFERROR(__xludf.DUMMYFUNCTION("""COMPUTED_VALUE"""),45762.6666666666)</f>
        <v>45762.666666666599</v>
      </c>
      <c r="N1838" s="6">
        <f ca="1">IFERROR(__xludf.DUMMYFUNCTION("""COMPUTED_VALUE"""),16823.17)</f>
        <v>16823.169999999998</v>
      </c>
      <c r="R1838" s="6" t="str">
        <f t="shared" ca="1" si="510"/>
        <v>20257</v>
      </c>
      <c r="S1838" s="6">
        <f t="shared" ca="1" si="511"/>
        <v>2025</v>
      </c>
      <c r="T1838" s="6">
        <f t="shared" ca="1" si="512"/>
        <v>7</v>
      </c>
      <c r="U1838" s="68">
        <f ca="1">IFERROR(__xludf.DUMMYFUNCTION("""COMPUTED_VALUE"""),45839.6458333333)</f>
        <v>45839.645833333299</v>
      </c>
      <c r="V1838" s="6">
        <f ca="1">IFERROR(__xludf.DUMMYFUNCTION("""COMPUTED_VALUE"""),3089.65)</f>
        <v>3089.65</v>
      </c>
      <c r="Z1838" s="6" t="str">
        <f t="shared" ca="1" si="513"/>
        <v>20233</v>
      </c>
      <c r="AA1838" s="6">
        <f t="shared" ca="1" si="514"/>
        <v>2023</v>
      </c>
      <c r="AB1838" s="6">
        <f t="shared" ca="1" si="515"/>
        <v>3</v>
      </c>
      <c r="AC1838" s="68">
        <f ca="1">IFERROR(__xludf.DUMMYFUNCTION("""COMPUTED_VALUE"""),44987.9986111111)</f>
        <v>44987.998611111099</v>
      </c>
      <c r="AD1838" s="6">
        <f ca="1">IFERROR(__xludf.DUMMYFUNCTION("""COMPUTED_VALUE"""),1311.06)</f>
        <v>1311.06</v>
      </c>
      <c r="AH1838" s="6" t="str">
        <f t="shared" ca="1" si="516"/>
        <v>20231</v>
      </c>
      <c r="AI1838" s="6">
        <f t="shared" ca="1" si="517"/>
        <v>2023</v>
      </c>
      <c r="AJ1838" s="6">
        <f t="shared" ca="1" si="518"/>
        <v>1</v>
      </c>
      <c r="AK1838" s="68">
        <f ca="1">IFERROR(__xludf.DUMMYFUNCTION("""COMPUTED_VALUE"""),44931.9986111111)</f>
        <v>44931.998611111099</v>
      </c>
      <c r="AL1838" s="6">
        <f ca="1">IFERROR(__xludf.DUMMYFUNCTION("""COMPUTED_VALUE"""),16825.97)</f>
        <v>16825.97</v>
      </c>
      <c r="AP1838" s="6" t="str">
        <f t="shared" ca="1" si="519"/>
        <v>20254</v>
      </c>
      <c r="AQ1838" s="6">
        <f t="shared" ca="1" si="520"/>
        <v>2025</v>
      </c>
      <c r="AR1838" s="6">
        <f t="shared" ca="1" si="521"/>
        <v>4</v>
      </c>
      <c r="AS1838" s="68">
        <f ca="1">IFERROR(__xludf.DUMMYFUNCTION("""COMPUTED_VALUE"""),45777.9986111111)</f>
        <v>45777.998611111099</v>
      </c>
      <c r="AT1838" s="6">
        <f ca="1">IFERROR(__xludf.DUMMYFUNCTION("""COMPUTED_VALUE"""),3319.1)</f>
        <v>3319.1</v>
      </c>
    </row>
    <row r="1839" spans="2:46" x14ac:dyDescent="0.35">
      <c r="B1839" s="6" t="str">
        <f t="shared" ca="1" si="504"/>
        <v>20254</v>
      </c>
      <c r="C1839" s="6">
        <f t="shared" ca="1" si="505"/>
        <v>2025</v>
      </c>
      <c r="D1839" s="6">
        <f t="shared" ca="1" si="506"/>
        <v>4</v>
      </c>
      <c r="E1839" s="68">
        <f ca="1">IFERROR(__xludf.DUMMYFUNCTION("""COMPUTED_VALUE"""),45771.6666666666)</f>
        <v>45771.666666666599</v>
      </c>
      <c r="F1839" s="6">
        <f ca="1">IFERROR(__xludf.DUMMYFUNCTION("""COMPUTED_VALUE"""),5484.77)</f>
        <v>5484.77</v>
      </c>
      <c r="J1839" s="6" t="str">
        <f t="shared" ca="1" si="507"/>
        <v>20254</v>
      </c>
      <c r="K1839" s="6">
        <f t="shared" ca="1" si="508"/>
        <v>2025</v>
      </c>
      <c r="L1839" s="6">
        <f t="shared" ca="1" si="509"/>
        <v>4</v>
      </c>
      <c r="M1839" s="68">
        <f ca="1">IFERROR(__xludf.DUMMYFUNCTION("""COMPUTED_VALUE"""),45763.6666666666)</f>
        <v>45763.666666666599</v>
      </c>
      <c r="N1839" s="6">
        <f ca="1">IFERROR(__xludf.DUMMYFUNCTION("""COMPUTED_VALUE"""),16307.16)</f>
        <v>16307.16</v>
      </c>
      <c r="R1839" s="6" t="str">
        <f t="shared" ca="1" si="510"/>
        <v>20257</v>
      </c>
      <c r="S1839" s="6">
        <f t="shared" ca="1" si="511"/>
        <v>2025</v>
      </c>
      <c r="T1839" s="6">
        <f t="shared" ca="1" si="512"/>
        <v>7</v>
      </c>
      <c r="U1839" s="68">
        <f ca="1">IFERROR(__xludf.DUMMYFUNCTION("""COMPUTED_VALUE"""),45840.6458333333)</f>
        <v>45840.645833333299</v>
      </c>
      <c r="V1839" s="6">
        <f ca="1">IFERROR(__xludf.DUMMYFUNCTION("""COMPUTED_VALUE"""),3075.06)</f>
        <v>3075.06</v>
      </c>
      <c r="Z1839" s="6" t="str">
        <f t="shared" ca="1" si="513"/>
        <v>20233</v>
      </c>
      <c r="AA1839" s="6">
        <f t="shared" ca="1" si="514"/>
        <v>2023</v>
      </c>
      <c r="AB1839" s="6">
        <f t="shared" ca="1" si="515"/>
        <v>3</v>
      </c>
      <c r="AC1839" s="68">
        <f ca="1">IFERROR(__xludf.DUMMYFUNCTION("""COMPUTED_VALUE"""),44988.9986111111)</f>
        <v>44988.998611111099</v>
      </c>
      <c r="AD1839" s="6">
        <f ca="1">IFERROR(__xludf.DUMMYFUNCTION("""COMPUTED_VALUE"""),1294.78)</f>
        <v>1294.78</v>
      </c>
      <c r="AH1839" s="6" t="str">
        <f t="shared" ca="1" si="516"/>
        <v>20231</v>
      </c>
      <c r="AI1839" s="6">
        <f t="shared" ca="1" si="517"/>
        <v>2023</v>
      </c>
      <c r="AJ1839" s="6">
        <f t="shared" ca="1" si="518"/>
        <v>1</v>
      </c>
      <c r="AK1839" s="68">
        <f ca="1">IFERROR(__xludf.DUMMYFUNCTION("""COMPUTED_VALUE"""),44932.9986111111)</f>
        <v>44932.998611111099</v>
      </c>
      <c r="AL1839" s="6">
        <f ca="1">IFERROR(__xludf.DUMMYFUNCTION("""COMPUTED_VALUE"""),16949.97)</f>
        <v>16949.97</v>
      </c>
      <c r="AP1839" s="6" t="str">
        <f t="shared" ca="1" si="519"/>
        <v>20255</v>
      </c>
      <c r="AQ1839" s="6">
        <f t="shared" ca="1" si="520"/>
        <v>2025</v>
      </c>
      <c r="AR1839" s="6">
        <f t="shared" ca="1" si="521"/>
        <v>5</v>
      </c>
      <c r="AS1839" s="68">
        <f ca="1">IFERROR(__xludf.DUMMYFUNCTION("""COMPUTED_VALUE"""),45778.9986111111)</f>
        <v>45778.998611111099</v>
      </c>
      <c r="AT1839" s="6">
        <f ca="1">IFERROR(__xludf.DUMMYFUNCTION("""COMPUTED_VALUE"""),3222.2)</f>
        <v>3222.2</v>
      </c>
    </row>
    <row r="1840" spans="2:46" x14ac:dyDescent="0.35">
      <c r="B1840" s="6" t="str">
        <f t="shared" ca="1" si="504"/>
        <v>20254</v>
      </c>
      <c r="C1840" s="6">
        <f t="shared" ca="1" si="505"/>
        <v>2025</v>
      </c>
      <c r="D1840" s="6">
        <f t="shared" ca="1" si="506"/>
        <v>4</v>
      </c>
      <c r="E1840" s="68">
        <f ca="1">IFERROR(__xludf.DUMMYFUNCTION("""COMPUTED_VALUE"""),45772.6666666666)</f>
        <v>45772.666666666599</v>
      </c>
      <c r="F1840" s="6">
        <f ca="1">IFERROR(__xludf.DUMMYFUNCTION("""COMPUTED_VALUE"""),5525.21)</f>
        <v>5525.21</v>
      </c>
      <c r="J1840" s="6" t="str">
        <f t="shared" ca="1" si="507"/>
        <v>20254</v>
      </c>
      <c r="K1840" s="6">
        <f t="shared" ca="1" si="508"/>
        <v>2025</v>
      </c>
      <c r="L1840" s="6">
        <f t="shared" ca="1" si="509"/>
        <v>4</v>
      </c>
      <c r="M1840" s="68">
        <f ca="1">IFERROR(__xludf.DUMMYFUNCTION("""COMPUTED_VALUE"""),45764.6666666666)</f>
        <v>45764.666666666599</v>
      </c>
      <c r="N1840" s="6">
        <f ca="1">IFERROR(__xludf.DUMMYFUNCTION("""COMPUTED_VALUE"""),16286.45)</f>
        <v>16286.45</v>
      </c>
      <c r="R1840" s="6" t="str">
        <f t="shared" ca="1" si="510"/>
        <v>20257</v>
      </c>
      <c r="S1840" s="6">
        <f t="shared" ca="1" si="511"/>
        <v>2025</v>
      </c>
      <c r="T1840" s="6">
        <f t="shared" ca="1" si="512"/>
        <v>7</v>
      </c>
      <c r="U1840" s="68">
        <f ca="1">IFERROR(__xludf.DUMMYFUNCTION("""COMPUTED_VALUE"""),45841.6458333333)</f>
        <v>45841.645833333299</v>
      </c>
      <c r="V1840" s="6">
        <f ca="1">IFERROR(__xludf.DUMMYFUNCTION("""COMPUTED_VALUE"""),3116.27)</f>
        <v>3116.27</v>
      </c>
      <c r="Z1840" s="6" t="str">
        <f t="shared" ca="1" si="513"/>
        <v>20233</v>
      </c>
      <c r="AA1840" s="6">
        <f t="shared" ca="1" si="514"/>
        <v>2023</v>
      </c>
      <c r="AB1840" s="6">
        <f t="shared" ca="1" si="515"/>
        <v>3</v>
      </c>
      <c r="AC1840" s="68">
        <f ca="1">IFERROR(__xludf.DUMMYFUNCTION("""COMPUTED_VALUE"""),44989.9986111111)</f>
        <v>44989.998611111099</v>
      </c>
      <c r="AD1840" s="6">
        <f ca="1">IFERROR(__xludf.DUMMYFUNCTION("""COMPUTED_VALUE"""),1294.78)</f>
        <v>1294.78</v>
      </c>
      <c r="AH1840" s="6" t="str">
        <f t="shared" ca="1" si="516"/>
        <v>20231</v>
      </c>
      <c r="AI1840" s="6">
        <f t="shared" ca="1" si="517"/>
        <v>2023</v>
      </c>
      <c r="AJ1840" s="6">
        <f t="shared" ca="1" si="518"/>
        <v>1</v>
      </c>
      <c r="AK1840" s="68">
        <f ca="1">IFERROR(__xludf.DUMMYFUNCTION("""COMPUTED_VALUE"""),44933.9986111111)</f>
        <v>44933.998611111099</v>
      </c>
      <c r="AL1840" s="6">
        <f ca="1">IFERROR(__xludf.DUMMYFUNCTION("""COMPUTED_VALUE"""),16942.31)</f>
        <v>16942.310000000001</v>
      </c>
      <c r="AP1840" s="6" t="str">
        <f t="shared" ca="1" si="519"/>
        <v>20255</v>
      </c>
      <c r="AQ1840" s="6">
        <f t="shared" ca="1" si="520"/>
        <v>2025</v>
      </c>
      <c r="AR1840" s="6">
        <f t="shared" ca="1" si="521"/>
        <v>5</v>
      </c>
      <c r="AS1840" s="68">
        <f ca="1">IFERROR(__xludf.DUMMYFUNCTION("""COMPUTED_VALUE"""),45779.9986111111)</f>
        <v>45779.998611111099</v>
      </c>
      <c r="AT1840" s="6">
        <f ca="1">IFERROR(__xludf.DUMMYFUNCTION("""COMPUTED_VALUE"""),3243.3)</f>
        <v>3243.3</v>
      </c>
    </row>
    <row r="1841" spans="2:46" x14ac:dyDescent="0.35">
      <c r="B1841" s="6" t="str">
        <f t="shared" ca="1" si="504"/>
        <v>20254</v>
      </c>
      <c r="C1841" s="6">
        <f t="shared" ca="1" si="505"/>
        <v>2025</v>
      </c>
      <c r="D1841" s="6">
        <f t="shared" ca="1" si="506"/>
        <v>4</v>
      </c>
      <c r="E1841" s="68">
        <f ca="1">IFERROR(__xludf.DUMMYFUNCTION("""COMPUTED_VALUE"""),45775.6666666666)</f>
        <v>45775.666666666599</v>
      </c>
      <c r="F1841" s="6">
        <f ca="1">IFERROR(__xludf.DUMMYFUNCTION("""COMPUTED_VALUE"""),5528.75)</f>
        <v>5528.75</v>
      </c>
      <c r="J1841" s="6" t="str">
        <f t="shared" ca="1" si="507"/>
        <v>20254</v>
      </c>
      <c r="K1841" s="6">
        <f t="shared" ca="1" si="508"/>
        <v>2025</v>
      </c>
      <c r="L1841" s="6">
        <f t="shared" ca="1" si="509"/>
        <v>4</v>
      </c>
      <c r="M1841" s="68">
        <f ca="1">IFERROR(__xludf.DUMMYFUNCTION("""COMPUTED_VALUE"""),45768.6666666666)</f>
        <v>45768.666666666599</v>
      </c>
      <c r="N1841" s="6">
        <f ca="1">IFERROR(__xludf.DUMMYFUNCTION("""COMPUTED_VALUE"""),15870.9)</f>
        <v>15870.9</v>
      </c>
      <c r="R1841" s="6" t="str">
        <f t="shared" ca="1" si="510"/>
        <v>20257</v>
      </c>
      <c r="S1841" s="6">
        <f t="shared" ca="1" si="511"/>
        <v>2025</v>
      </c>
      <c r="T1841" s="6">
        <f t="shared" ca="1" si="512"/>
        <v>7</v>
      </c>
      <c r="U1841" s="68">
        <f ca="1">IFERROR(__xludf.DUMMYFUNCTION("""COMPUTED_VALUE"""),45842.6458333333)</f>
        <v>45842.645833333299</v>
      </c>
      <c r="V1841" s="6">
        <f ca="1">IFERROR(__xludf.DUMMYFUNCTION("""COMPUTED_VALUE"""),3054.28)</f>
        <v>3054.28</v>
      </c>
      <c r="Z1841" s="6" t="str">
        <f t="shared" ca="1" si="513"/>
        <v>20233</v>
      </c>
      <c r="AA1841" s="6">
        <f t="shared" ca="1" si="514"/>
        <v>2023</v>
      </c>
      <c r="AB1841" s="6">
        <f t="shared" ca="1" si="515"/>
        <v>3</v>
      </c>
      <c r="AC1841" s="68">
        <f ca="1">IFERROR(__xludf.DUMMYFUNCTION("""COMPUTED_VALUE"""),44990.9986111111)</f>
        <v>44990.998611111099</v>
      </c>
      <c r="AD1841" s="6">
        <f ca="1">IFERROR(__xludf.DUMMYFUNCTION("""COMPUTED_VALUE"""),1294.78)</f>
        <v>1294.78</v>
      </c>
      <c r="AH1841" s="6" t="str">
        <f t="shared" ca="1" si="516"/>
        <v>20231</v>
      </c>
      <c r="AI1841" s="6">
        <f t="shared" ca="1" si="517"/>
        <v>2023</v>
      </c>
      <c r="AJ1841" s="6">
        <f t="shared" ca="1" si="518"/>
        <v>1</v>
      </c>
      <c r="AK1841" s="68">
        <f ca="1">IFERROR(__xludf.DUMMYFUNCTION("""COMPUTED_VALUE"""),44934.9986111111)</f>
        <v>44934.998611111099</v>
      </c>
      <c r="AL1841" s="6">
        <f ca="1">IFERROR(__xludf.DUMMYFUNCTION("""COMPUTED_VALUE"""),17115.5)</f>
        <v>17115.5</v>
      </c>
      <c r="AP1841" s="6" t="str">
        <f t="shared" ca="1" si="519"/>
        <v>20255</v>
      </c>
      <c r="AQ1841" s="6">
        <f t="shared" ca="1" si="520"/>
        <v>2025</v>
      </c>
      <c r="AR1841" s="6">
        <f t="shared" ca="1" si="521"/>
        <v>5</v>
      </c>
      <c r="AS1841" s="68">
        <f ca="1">IFERROR(__xludf.DUMMYFUNCTION("""COMPUTED_VALUE"""),45782.9986111111)</f>
        <v>45782.998611111099</v>
      </c>
      <c r="AT1841" s="6">
        <f ca="1">IFERROR(__xludf.DUMMYFUNCTION("""COMPUTED_VALUE"""),3322.3)</f>
        <v>3322.3</v>
      </c>
    </row>
    <row r="1842" spans="2:46" x14ac:dyDescent="0.35">
      <c r="B1842" s="6" t="str">
        <f t="shared" ca="1" si="504"/>
        <v>20254</v>
      </c>
      <c r="C1842" s="6">
        <f t="shared" ca="1" si="505"/>
        <v>2025</v>
      </c>
      <c r="D1842" s="6">
        <f t="shared" ca="1" si="506"/>
        <v>4</v>
      </c>
      <c r="E1842" s="68">
        <f ca="1">IFERROR(__xludf.DUMMYFUNCTION("""COMPUTED_VALUE"""),45776.6666666666)</f>
        <v>45776.666666666599</v>
      </c>
      <c r="F1842" s="6">
        <f ca="1">IFERROR(__xludf.DUMMYFUNCTION("""COMPUTED_VALUE"""),5560.83)</f>
        <v>5560.83</v>
      </c>
      <c r="J1842" s="6" t="str">
        <f t="shared" ca="1" si="507"/>
        <v>20254</v>
      </c>
      <c r="K1842" s="6">
        <f t="shared" ca="1" si="508"/>
        <v>2025</v>
      </c>
      <c r="L1842" s="6">
        <f t="shared" ca="1" si="509"/>
        <v>4</v>
      </c>
      <c r="M1842" s="68">
        <f ca="1">IFERROR(__xludf.DUMMYFUNCTION("""COMPUTED_VALUE"""),45769.6666666666)</f>
        <v>45769.666666666599</v>
      </c>
      <c r="N1842" s="6">
        <f ca="1">IFERROR(__xludf.DUMMYFUNCTION("""COMPUTED_VALUE"""),16300.42)</f>
        <v>16300.42</v>
      </c>
      <c r="R1842" s="6" t="str">
        <f t="shared" ca="1" si="510"/>
        <v>20257</v>
      </c>
      <c r="S1842" s="6">
        <f t="shared" ca="1" si="511"/>
        <v>2025</v>
      </c>
      <c r="T1842" s="6">
        <f t="shared" ca="1" si="512"/>
        <v>7</v>
      </c>
      <c r="U1842" s="68">
        <f ca="1">IFERROR(__xludf.DUMMYFUNCTION("""COMPUTED_VALUE"""),45845.6458333333)</f>
        <v>45845.645833333299</v>
      </c>
      <c r="V1842" s="6">
        <f ca="1">IFERROR(__xludf.DUMMYFUNCTION("""COMPUTED_VALUE"""),3059.47)</f>
        <v>3059.47</v>
      </c>
      <c r="Z1842" s="6" t="str">
        <f t="shared" ca="1" si="513"/>
        <v>20233</v>
      </c>
      <c r="AA1842" s="6">
        <f t="shared" ca="1" si="514"/>
        <v>2023</v>
      </c>
      <c r="AB1842" s="6">
        <f t="shared" ca="1" si="515"/>
        <v>3</v>
      </c>
      <c r="AC1842" s="68">
        <f ca="1">IFERROR(__xludf.DUMMYFUNCTION("""COMPUTED_VALUE"""),44991.9986111111)</f>
        <v>44991.998611111099</v>
      </c>
      <c r="AD1842" s="6">
        <f ca="1">IFERROR(__xludf.DUMMYFUNCTION("""COMPUTED_VALUE"""),1299)</f>
        <v>1299</v>
      </c>
      <c r="AH1842" s="6" t="str">
        <f t="shared" ca="1" si="516"/>
        <v>20231</v>
      </c>
      <c r="AI1842" s="6">
        <f t="shared" ca="1" si="517"/>
        <v>2023</v>
      </c>
      <c r="AJ1842" s="6">
        <f t="shared" ca="1" si="518"/>
        <v>1</v>
      </c>
      <c r="AK1842" s="68">
        <f ca="1">IFERROR(__xludf.DUMMYFUNCTION("""COMPUTED_VALUE"""),44935.9986111111)</f>
        <v>44935.998611111099</v>
      </c>
      <c r="AL1842" s="6">
        <f ca="1">IFERROR(__xludf.DUMMYFUNCTION("""COMPUTED_VALUE"""),17184.72)</f>
        <v>17184.72</v>
      </c>
      <c r="AP1842" s="6" t="str">
        <f t="shared" ca="1" si="519"/>
        <v>20255</v>
      </c>
      <c r="AQ1842" s="6">
        <f t="shared" ca="1" si="520"/>
        <v>2025</v>
      </c>
      <c r="AR1842" s="6">
        <f t="shared" ca="1" si="521"/>
        <v>5</v>
      </c>
      <c r="AS1842" s="68">
        <f ca="1">IFERROR(__xludf.DUMMYFUNCTION("""COMPUTED_VALUE"""),45783.9986111111)</f>
        <v>45783.998611111099</v>
      </c>
      <c r="AT1842" s="6">
        <f ca="1">IFERROR(__xludf.DUMMYFUNCTION("""COMPUTED_VALUE"""),3422.8)</f>
        <v>3422.8</v>
      </c>
    </row>
    <row r="1843" spans="2:46" x14ac:dyDescent="0.35">
      <c r="B1843" s="6" t="str">
        <f t="shared" ca="1" si="504"/>
        <v>20254</v>
      </c>
      <c r="C1843" s="6">
        <f t="shared" ca="1" si="505"/>
        <v>2025</v>
      </c>
      <c r="D1843" s="6">
        <f t="shared" ca="1" si="506"/>
        <v>4</v>
      </c>
      <c r="E1843" s="68">
        <f ca="1">IFERROR(__xludf.DUMMYFUNCTION("""COMPUTED_VALUE"""),45777.6666666666)</f>
        <v>45777.666666666599</v>
      </c>
      <c r="F1843" s="6">
        <f ca="1">IFERROR(__xludf.DUMMYFUNCTION("""COMPUTED_VALUE"""),5569.06)</f>
        <v>5569.06</v>
      </c>
      <c r="J1843" s="6" t="str">
        <f t="shared" ca="1" si="507"/>
        <v>20254</v>
      </c>
      <c r="K1843" s="6">
        <f t="shared" ca="1" si="508"/>
        <v>2025</v>
      </c>
      <c r="L1843" s="6">
        <f t="shared" ca="1" si="509"/>
        <v>4</v>
      </c>
      <c r="M1843" s="68">
        <f ca="1">IFERROR(__xludf.DUMMYFUNCTION("""COMPUTED_VALUE"""),45770.6666666666)</f>
        <v>45770.666666666599</v>
      </c>
      <c r="N1843" s="6">
        <f ca="1">IFERROR(__xludf.DUMMYFUNCTION("""COMPUTED_VALUE"""),16708.05)</f>
        <v>16708.05</v>
      </c>
      <c r="R1843" s="6" t="str">
        <f t="shared" ca="1" si="510"/>
        <v>20257</v>
      </c>
      <c r="S1843" s="6">
        <f t="shared" ca="1" si="511"/>
        <v>2025</v>
      </c>
      <c r="T1843" s="6">
        <f t="shared" ca="1" si="512"/>
        <v>7</v>
      </c>
      <c r="U1843" s="68">
        <f ca="1">IFERROR(__xludf.DUMMYFUNCTION("""COMPUTED_VALUE"""),45846.6458333333)</f>
        <v>45846.645833333299</v>
      </c>
      <c r="V1843" s="6">
        <f ca="1">IFERROR(__xludf.DUMMYFUNCTION("""COMPUTED_VALUE"""),3114.95)</f>
        <v>3114.95</v>
      </c>
      <c r="Z1843" s="6" t="str">
        <f t="shared" ca="1" si="513"/>
        <v>20233</v>
      </c>
      <c r="AA1843" s="6">
        <f t="shared" ca="1" si="514"/>
        <v>2023</v>
      </c>
      <c r="AB1843" s="6">
        <f t="shared" ca="1" si="515"/>
        <v>3</v>
      </c>
      <c r="AC1843" s="68">
        <f ca="1">IFERROR(__xludf.DUMMYFUNCTION("""COMPUTED_VALUE"""),44992.9986111111)</f>
        <v>44992.998611111099</v>
      </c>
      <c r="AD1843" s="6">
        <f ca="1">IFERROR(__xludf.DUMMYFUNCTION("""COMPUTED_VALUE"""),1317.9)</f>
        <v>1317.9</v>
      </c>
      <c r="AH1843" s="6" t="str">
        <f t="shared" ca="1" si="516"/>
        <v>20231</v>
      </c>
      <c r="AI1843" s="6">
        <f t="shared" ca="1" si="517"/>
        <v>2023</v>
      </c>
      <c r="AJ1843" s="6">
        <f t="shared" ca="1" si="518"/>
        <v>1</v>
      </c>
      <c r="AK1843" s="68">
        <f ca="1">IFERROR(__xludf.DUMMYFUNCTION("""COMPUTED_VALUE"""),44936.9986111111)</f>
        <v>44936.998611111099</v>
      </c>
      <c r="AL1843" s="6">
        <f ca="1">IFERROR(__xludf.DUMMYFUNCTION("""COMPUTED_VALUE"""),17441.84)</f>
        <v>17441.84</v>
      </c>
      <c r="AP1843" s="6" t="str">
        <f t="shared" ca="1" si="519"/>
        <v>20255</v>
      </c>
      <c r="AQ1843" s="6">
        <f t="shared" ca="1" si="520"/>
        <v>2025</v>
      </c>
      <c r="AR1843" s="6">
        <f t="shared" ca="1" si="521"/>
        <v>5</v>
      </c>
      <c r="AS1843" s="68">
        <f ca="1">IFERROR(__xludf.DUMMYFUNCTION("""COMPUTED_VALUE"""),45784.9986111111)</f>
        <v>45784.998611111099</v>
      </c>
      <c r="AT1843" s="6">
        <f ca="1">IFERROR(__xludf.DUMMYFUNCTION("""COMPUTED_VALUE"""),3391.9)</f>
        <v>3391.9</v>
      </c>
    </row>
    <row r="1844" spans="2:46" x14ac:dyDescent="0.35">
      <c r="B1844" s="6" t="str">
        <f t="shared" ca="1" si="504"/>
        <v>20255</v>
      </c>
      <c r="C1844" s="6">
        <f t="shared" ca="1" si="505"/>
        <v>2025</v>
      </c>
      <c r="D1844" s="6">
        <f t="shared" ca="1" si="506"/>
        <v>5</v>
      </c>
      <c r="E1844" s="68">
        <f ca="1">IFERROR(__xludf.DUMMYFUNCTION("""COMPUTED_VALUE"""),45778.6666666666)</f>
        <v>45778.666666666599</v>
      </c>
      <c r="F1844" s="6">
        <f ca="1">IFERROR(__xludf.DUMMYFUNCTION("""COMPUTED_VALUE"""),5604.14)</f>
        <v>5604.14</v>
      </c>
      <c r="J1844" s="6" t="str">
        <f t="shared" ca="1" si="507"/>
        <v>20254</v>
      </c>
      <c r="K1844" s="6">
        <f t="shared" ca="1" si="508"/>
        <v>2025</v>
      </c>
      <c r="L1844" s="6">
        <f t="shared" ca="1" si="509"/>
        <v>4</v>
      </c>
      <c r="M1844" s="68">
        <f ca="1">IFERROR(__xludf.DUMMYFUNCTION("""COMPUTED_VALUE"""),45771.6666666666)</f>
        <v>45771.666666666599</v>
      </c>
      <c r="N1844" s="6">
        <f ca="1">IFERROR(__xludf.DUMMYFUNCTION("""COMPUTED_VALUE"""),17166.04)</f>
        <v>17166.04</v>
      </c>
      <c r="R1844" s="6" t="str">
        <f t="shared" ca="1" si="510"/>
        <v>20257</v>
      </c>
      <c r="S1844" s="6">
        <f t="shared" ca="1" si="511"/>
        <v>2025</v>
      </c>
      <c r="T1844" s="6">
        <f t="shared" ca="1" si="512"/>
        <v>7</v>
      </c>
      <c r="U1844" s="68">
        <f ca="1">IFERROR(__xludf.DUMMYFUNCTION("""COMPUTED_VALUE"""),45847.6458333333)</f>
        <v>45847.645833333299</v>
      </c>
      <c r="V1844" s="6">
        <f ca="1">IFERROR(__xludf.DUMMYFUNCTION("""COMPUTED_VALUE"""),3133.74)</f>
        <v>3133.74</v>
      </c>
      <c r="Z1844" s="6" t="str">
        <f t="shared" ca="1" si="513"/>
        <v>20233</v>
      </c>
      <c r="AA1844" s="6">
        <f t="shared" ca="1" si="514"/>
        <v>2023</v>
      </c>
      <c r="AB1844" s="6">
        <f t="shared" ca="1" si="515"/>
        <v>3</v>
      </c>
      <c r="AC1844" s="68">
        <f ca="1">IFERROR(__xludf.DUMMYFUNCTION("""COMPUTED_VALUE"""),44993.9986111111)</f>
        <v>44993.998611111099</v>
      </c>
      <c r="AD1844" s="6">
        <f ca="1">IFERROR(__xludf.DUMMYFUNCTION("""COMPUTED_VALUE"""),1316.45)</f>
        <v>1316.45</v>
      </c>
      <c r="AH1844" s="6" t="str">
        <f t="shared" ca="1" si="516"/>
        <v>20231</v>
      </c>
      <c r="AI1844" s="6">
        <f t="shared" ca="1" si="517"/>
        <v>2023</v>
      </c>
      <c r="AJ1844" s="6">
        <f t="shared" ca="1" si="518"/>
        <v>1</v>
      </c>
      <c r="AK1844" s="68">
        <f ca="1">IFERROR(__xludf.DUMMYFUNCTION("""COMPUTED_VALUE"""),44937.9986111111)</f>
        <v>44937.998611111099</v>
      </c>
      <c r="AL1844" s="6">
        <f ca="1">IFERROR(__xludf.DUMMYFUNCTION("""COMPUTED_VALUE"""),17933.75)</f>
        <v>17933.75</v>
      </c>
      <c r="AP1844" s="6" t="str">
        <f t="shared" ca="1" si="519"/>
        <v>20255</v>
      </c>
      <c r="AQ1844" s="6">
        <f t="shared" ca="1" si="520"/>
        <v>2025</v>
      </c>
      <c r="AR1844" s="6">
        <f t="shared" ca="1" si="521"/>
        <v>5</v>
      </c>
      <c r="AS1844" s="68">
        <f ca="1">IFERROR(__xludf.DUMMYFUNCTION("""COMPUTED_VALUE"""),45785.9986111111)</f>
        <v>45785.998611111099</v>
      </c>
      <c r="AT1844" s="6">
        <f ca="1">IFERROR(__xludf.DUMMYFUNCTION("""COMPUTED_VALUE"""),3306)</f>
        <v>3306</v>
      </c>
    </row>
    <row r="1845" spans="2:46" x14ac:dyDescent="0.35">
      <c r="B1845" s="6" t="str">
        <f t="shared" ca="1" si="504"/>
        <v>20255</v>
      </c>
      <c r="C1845" s="6">
        <f t="shared" ca="1" si="505"/>
        <v>2025</v>
      </c>
      <c r="D1845" s="6">
        <f t="shared" ca="1" si="506"/>
        <v>5</v>
      </c>
      <c r="E1845" s="68">
        <f ca="1">IFERROR(__xludf.DUMMYFUNCTION("""COMPUTED_VALUE"""),45779.6666666666)</f>
        <v>45779.666666666599</v>
      </c>
      <c r="F1845" s="6">
        <f ca="1">IFERROR(__xludf.DUMMYFUNCTION("""COMPUTED_VALUE"""),5686.67)</f>
        <v>5686.67</v>
      </c>
      <c r="J1845" s="6" t="str">
        <f t="shared" ca="1" si="507"/>
        <v>20254</v>
      </c>
      <c r="K1845" s="6">
        <f t="shared" ca="1" si="508"/>
        <v>2025</v>
      </c>
      <c r="L1845" s="6">
        <f t="shared" ca="1" si="509"/>
        <v>4</v>
      </c>
      <c r="M1845" s="68">
        <f ca="1">IFERROR(__xludf.DUMMYFUNCTION("""COMPUTED_VALUE"""),45772.6666666666)</f>
        <v>45772.666666666599</v>
      </c>
      <c r="N1845" s="6">
        <f ca="1">IFERROR(__xludf.DUMMYFUNCTION("""COMPUTED_VALUE"""),17382.94)</f>
        <v>17382.939999999999</v>
      </c>
      <c r="R1845" s="6" t="str">
        <f t="shared" ca="1" si="510"/>
        <v>20257</v>
      </c>
      <c r="S1845" s="6">
        <f t="shared" ca="1" si="511"/>
        <v>2025</v>
      </c>
      <c r="T1845" s="6">
        <f t="shared" ca="1" si="512"/>
        <v>7</v>
      </c>
      <c r="U1845" s="68">
        <f ca="1">IFERROR(__xludf.DUMMYFUNCTION("""COMPUTED_VALUE"""),45848.6458333333)</f>
        <v>45848.645833333299</v>
      </c>
      <c r="V1845" s="6">
        <f ca="1">IFERROR(__xludf.DUMMYFUNCTION("""COMPUTED_VALUE"""),3183.23)</f>
        <v>3183.23</v>
      </c>
      <c r="Z1845" s="6" t="str">
        <f t="shared" ca="1" si="513"/>
        <v>20233</v>
      </c>
      <c r="AA1845" s="6">
        <f t="shared" ca="1" si="514"/>
        <v>2023</v>
      </c>
      <c r="AB1845" s="6">
        <f t="shared" ca="1" si="515"/>
        <v>3</v>
      </c>
      <c r="AC1845" s="68">
        <f ca="1">IFERROR(__xludf.DUMMYFUNCTION("""COMPUTED_VALUE"""),44994.9986111111)</f>
        <v>44994.998611111099</v>
      </c>
      <c r="AD1845" s="6">
        <f ca="1">IFERROR(__xludf.DUMMYFUNCTION("""COMPUTED_VALUE"""),1325.55)</f>
        <v>1325.55</v>
      </c>
      <c r="AH1845" s="6" t="str">
        <f t="shared" ca="1" si="516"/>
        <v>20231</v>
      </c>
      <c r="AI1845" s="6">
        <f t="shared" ca="1" si="517"/>
        <v>2023</v>
      </c>
      <c r="AJ1845" s="6">
        <f t="shared" ca="1" si="518"/>
        <v>1</v>
      </c>
      <c r="AK1845" s="68">
        <f ca="1">IFERROR(__xludf.DUMMYFUNCTION("""COMPUTED_VALUE"""),44938.9986111111)</f>
        <v>44938.998611111099</v>
      </c>
      <c r="AL1845" s="6">
        <f ca="1">IFERROR(__xludf.DUMMYFUNCTION("""COMPUTED_VALUE"""),18849.24)</f>
        <v>18849.240000000002</v>
      </c>
      <c r="AP1845" s="6" t="str">
        <f t="shared" ca="1" si="519"/>
        <v>20255</v>
      </c>
      <c r="AQ1845" s="6">
        <f t="shared" ca="1" si="520"/>
        <v>2025</v>
      </c>
      <c r="AR1845" s="6">
        <f t="shared" ca="1" si="521"/>
        <v>5</v>
      </c>
      <c r="AS1845" s="68">
        <f ca="1">IFERROR(__xludf.DUMMYFUNCTION("""COMPUTED_VALUE"""),45786.9986111111)</f>
        <v>45786.998611111099</v>
      </c>
      <c r="AT1845" s="6">
        <f ca="1">IFERROR(__xludf.DUMMYFUNCTION("""COMPUTED_VALUE"""),3344)</f>
        <v>3344</v>
      </c>
    </row>
    <row r="1846" spans="2:46" x14ac:dyDescent="0.35">
      <c r="B1846" s="6" t="str">
        <f t="shared" ca="1" si="504"/>
        <v>20255</v>
      </c>
      <c r="C1846" s="6">
        <f t="shared" ca="1" si="505"/>
        <v>2025</v>
      </c>
      <c r="D1846" s="6">
        <f t="shared" ca="1" si="506"/>
        <v>5</v>
      </c>
      <c r="E1846" s="68">
        <f ca="1">IFERROR(__xludf.DUMMYFUNCTION("""COMPUTED_VALUE"""),45782.6666666666)</f>
        <v>45782.666666666599</v>
      </c>
      <c r="F1846" s="6">
        <f ca="1">IFERROR(__xludf.DUMMYFUNCTION("""COMPUTED_VALUE"""),5650.38)</f>
        <v>5650.38</v>
      </c>
      <c r="J1846" s="6" t="str">
        <f t="shared" ca="1" si="507"/>
        <v>20254</v>
      </c>
      <c r="K1846" s="6">
        <f t="shared" ca="1" si="508"/>
        <v>2025</v>
      </c>
      <c r="L1846" s="6">
        <f t="shared" ca="1" si="509"/>
        <v>4</v>
      </c>
      <c r="M1846" s="68">
        <f ca="1">IFERROR(__xludf.DUMMYFUNCTION("""COMPUTED_VALUE"""),45775.6666666666)</f>
        <v>45775.666666666599</v>
      </c>
      <c r="N1846" s="6">
        <f ca="1">IFERROR(__xludf.DUMMYFUNCTION("""COMPUTED_VALUE"""),17366.13)</f>
        <v>17366.13</v>
      </c>
      <c r="R1846" s="6" t="str">
        <f t="shared" ca="1" si="510"/>
        <v>20257</v>
      </c>
      <c r="S1846" s="6">
        <f t="shared" ca="1" si="511"/>
        <v>2025</v>
      </c>
      <c r="T1846" s="6">
        <f t="shared" ca="1" si="512"/>
        <v>7</v>
      </c>
      <c r="U1846" s="68">
        <f ca="1">IFERROR(__xludf.DUMMYFUNCTION("""COMPUTED_VALUE"""),45849.6458333333)</f>
        <v>45849.645833333299</v>
      </c>
      <c r="V1846" s="6">
        <f ca="1">IFERROR(__xludf.DUMMYFUNCTION("""COMPUTED_VALUE"""),3175.77)</f>
        <v>3175.77</v>
      </c>
      <c r="Z1846" s="6" t="str">
        <f t="shared" ca="1" si="513"/>
        <v>20233</v>
      </c>
      <c r="AA1846" s="6">
        <f t="shared" ca="1" si="514"/>
        <v>2023</v>
      </c>
      <c r="AB1846" s="6">
        <f t="shared" ca="1" si="515"/>
        <v>3</v>
      </c>
      <c r="AC1846" s="68">
        <f ca="1">IFERROR(__xludf.DUMMYFUNCTION("""COMPUTED_VALUE"""),44995.9986111111)</f>
        <v>44995.998611111099</v>
      </c>
      <c r="AD1846" s="6">
        <f ca="1">IFERROR(__xludf.DUMMYFUNCTION("""COMPUTED_VALUE"""),1320.19)</f>
        <v>1320.19</v>
      </c>
      <c r="AH1846" s="6" t="str">
        <f t="shared" ca="1" si="516"/>
        <v>20231</v>
      </c>
      <c r="AI1846" s="6">
        <f t="shared" ca="1" si="517"/>
        <v>2023</v>
      </c>
      <c r="AJ1846" s="6">
        <f t="shared" ca="1" si="518"/>
        <v>1</v>
      </c>
      <c r="AK1846" s="68">
        <f ca="1">IFERROR(__xludf.DUMMYFUNCTION("""COMPUTED_VALUE"""),44939.9986111111)</f>
        <v>44939.998611111099</v>
      </c>
      <c r="AL1846" s="6">
        <f ca="1">IFERROR(__xludf.DUMMYFUNCTION("""COMPUTED_VALUE"""),19932.03)</f>
        <v>19932.03</v>
      </c>
      <c r="AP1846" s="6" t="str">
        <f t="shared" ca="1" si="519"/>
        <v>20255</v>
      </c>
      <c r="AQ1846" s="6">
        <f t="shared" ca="1" si="520"/>
        <v>2025</v>
      </c>
      <c r="AR1846" s="6">
        <f t="shared" ca="1" si="521"/>
        <v>5</v>
      </c>
      <c r="AS1846" s="68">
        <f ca="1">IFERROR(__xludf.DUMMYFUNCTION("""COMPUTED_VALUE"""),45789.9986111111)</f>
        <v>45789.998611111099</v>
      </c>
      <c r="AT1846" s="6">
        <f ca="1">IFERROR(__xludf.DUMMYFUNCTION("""COMPUTED_VALUE"""),3228)</f>
        <v>3228</v>
      </c>
    </row>
    <row r="1847" spans="2:46" x14ac:dyDescent="0.35">
      <c r="B1847" s="6" t="str">
        <f t="shared" ca="1" si="504"/>
        <v>20255</v>
      </c>
      <c r="C1847" s="6">
        <f t="shared" ca="1" si="505"/>
        <v>2025</v>
      </c>
      <c r="D1847" s="6">
        <f t="shared" ca="1" si="506"/>
        <v>5</v>
      </c>
      <c r="E1847" s="68">
        <f ca="1">IFERROR(__xludf.DUMMYFUNCTION("""COMPUTED_VALUE"""),45783.6666666666)</f>
        <v>45783.666666666599</v>
      </c>
      <c r="F1847" s="6">
        <f ca="1">IFERROR(__xludf.DUMMYFUNCTION("""COMPUTED_VALUE"""),5606.91)</f>
        <v>5606.91</v>
      </c>
      <c r="J1847" s="6" t="str">
        <f t="shared" ca="1" si="507"/>
        <v>20254</v>
      </c>
      <c r="K1847" s="6">
        <f t="shared" ca="1" si="508"/>
        <v>2025</v>
      </c>
      <c r="L1847" s="6">
        <f t="shared" ca="1" si="509"/>
        <v>4</v>
      </c>
      <c r="M1847" s="68">
        <f ca="1">IFERROR(__xludf.DUMMYFUNCTION("""COMPUTED_VALUE"""),45776.6666666666)</f>
        <v>45776.666666666599</v>
      </c>
      <c r="N1847" s="6">
        <f ca="1">IFERROR(__xludf.DUMMYFUNCTION("""COMPUTED_VALUE"""),17461.32)</f>
        <v>17461.32</v>
      </c>
      <c r="R1847" s="6" t="str">
        <f t="shared" ca="1" si="510"/>
        <v>20257</v>
      </c>
      <c r="S1847" s="6">
        <f t="shared" ca="1" si="511"/>
        <v>2025</v>
      </c>
      <c r="T1847" s="6">
        <f t="shared" ca="1" si="512"/>
        <v>7</v>
      </c>
      <c r="U1847" s="68">
        <f ca="1">IFERROR(__xludf.DUMMYFUNCTION("""COMPUTED_VALUE"""),45852.6458333333)</f>
        <v>45852.645833333299</v>
      </c>
      <c r="V1847" s="6">
        <f ca="1">IFERROR(__xludf.DUMMYFUNCTION("""COMPUTED_VALUE"""),3202.03)</f>
        <v>3202.03</v>
      </c>
      <c r="Z1847" s="6" t="str">
        <f t="shared" ca="1" si="513"/>
        <v>20233</v>
      </c>
      <c r="AA1847" s="6">
        <f t="shared" ca="1" si="514"/>
        <v>2023</v>
      </c>
      <c r="AB1847" s="6">
        <f t="shared" ca="1" si="515"/>
        <v>3</v>
      </c>
      <c r="AC1847" s="68">
        <f ca="1">IFERROR(__xludf.DUMMYFUNCTION("""COMPUTED_VALUE"""),44996.9986111111)</f>
        <v>44996.998611111099</v>
      </c>
      <c r="AD1847" s="6">
        <f ca="1">IFERROR(__xludf.DUMMYFUNCTION("""COMPUTED_VALUE"""),1319.54)</f>
        <v>1319.54</v>
      </c>
      <c r="AH1847" s="6" t="str">
        <f t="shared" ca="1" si="516"/>
        <v>20231</v>
      </c>
      <c r="AI1847" s="6">
        <f t="shared" ca="1" si="517"/>
        <v>2023</v>
      </c>
      <c r="AJ1847" s="6">
        <f t="shared" ca="1" si="518"/>
        <v>1</v>
      </c>
      <c r="AK1847" s="68">
        <f ca="1">IFERROR(__xludf.DUMMYFUNCTION("""COMPUTED_VALUE"""),44940.9986111111)</f>
        <v>44940.998611111099</v>
      </c>
      <c r="AL1847" s="6">
        <f ca="1">IFERROR(__xludf.DUMMYFUNCTION("""COMPUTED_VALUE"""),20959.2)</f>
        <v>20959.2</v>
      </c>
      <c r="AP1847" s="6" t="str">
        <f t="shared" ca="1" si="519"/>
        <v>20255</v>
      </c>
      <c r="AQ1847" s="6">
        <f t="shared" ca="1" si="520"/>
        <v>2025</v>
      </c>
      <c r="AR1847" s="6">
        <f t="shared" ca="1" si="521"/>
        <v>5</v>
      </c>
      <c r="AS1847" s="68">
        <f ca="1">IFERROR(__xludf.DUMMYFUNCTION("""COMPUTED_VALUE"""),45790.9986111111)</f>
        <v>45790.998611111099</v>
      </c>
      <c r="AT1847" s="6">
        <f ca="1">IFERROR(__xludf.DUMMYFUNCTION("""COMPUTED_VALUE"""),3247.8)</f>
        <v>3247.8</v>
      </c>
    </row>
    <row r="1848" spans="2:46" x14ac:dyDescent="0.35">
      <c r="B1848" s="6" t="str">
        <f t="shared" ca="1" si="504"/>
        <v>20255</v>
      </c>
      <c r="C1848" s="6">
        <f t="shared" ca="1" si="505"/>
        <v>2025</v>
      </c>
      <c r="D1848" s="6">
        <f t="shared" ca="1" si="506"/>
        <v>5</v>
      </c>
      <c r="E1848" s="68">
        <f ca="1">IFERROR(__xludf.DUMMYFUNCTION("""COMPUTED_VALUE"""),45784.6666666666)</f>
        <v>45784.666666666599</v>
      </c>
      <c r="F1848" s="6">
        <f ca="1">IFERROR(__xludf.DUMMYFUNCTION("""COMPUTED_VALUE"""),5631.28)</f>
        <v>5631.28</v>
      </c>
      <c r="J1848" s="6" t="str">
        <f t="shared" ca="1" si="507"/>
        <v>20254</v>
      </c>
      <c r="K1848" s="6">
        <f t="shared" ca="1" si="508"/>
        <v>2025</v>
      </c>
      <c r="L1848" s="6">
        <f t="shared" ca="1" si="509"/>
        <v>4</v>
      </c>
      <c r="M1848" s="68">
        <f ca="1">IFERROR(__xludf.DUMMYFUNCTION("""COMPUTED_VALUE"""),45777.6666666666)</f>
        <v>45777.666666666599</v>
      </c>
      <c r="N1848" s="6">
        <f ca="1">IFERROR(__xludf.DUMMYFUNCTION("""COMPUTED_VALUE"""),17446.34)</f>
        <v>17446.34</v>
      </c>
      <c r="R1848" s="6" t="str">
        <f t="shared" ca="1" si="510"/>
        <v>20257</v>
      </c>
      <c r="S1848" s="6">
        <f t="shared" ca="1" si="511"/>
        <v>2025</v>
      </c>
      <c r="T1848" s="6">
        <f t="shared" ca="1" si="512"/>
        <v>7</v>
      </c>
      <c r="U1848" s="68">
        <f ca="1">IFERROR(__xludf.DUMMYFUNCTION("""COMPUTED_VALUE"""),45853.6458333333)</f>
        <v>45853.645833333299</v>
      </c>
      <c r="V1848" s="6">
        <f ca="1">IFERROR(__xludf.DUMMYFUNCTION("""COMPUTED_VALUE"""),3215.28)</f>
        <v>3215.28</v>
      </c>
      <c r="Z1848" s="6" t="str">
        <f t="shared" ca="1" si="513"/>
        <v>20233</v>
      </c>
      <c r="AA1848" s="6">
        <f t="shared" ca="1" si="514"/>
        <v>2023</v>
      </c>
      <c r="AB1848" s="6">
        <f t="shared" ca="1" si="515"/>
        <v>3</v>
      </c>
      <c r="AC1848" s="68">
        <f ca="1">IFERROR(__xludf.DUMMYFUNCTION("""COMPUTED_VALUE"""),44997.9986111111)</f>
        <v>44997.998611111099</v>
      </c>
      <c r="AD1848" s="6">
        <f ca="1">IFERROR(__xludf.DUMMYFUNCTION("""COMPUTED_VALUE"""),1319.54)</f>
        <v>1319.54</v>
      </c>
      <c r="AH1848" s="6" t="str">
        <f t="shared" ca="1" si="516"/>
        <v>20231</v>
      </c>
      <c r="AI1848" s="6">
        <f t="shared" ca="1" si="517"/>
        <v>2023</v>
      </c>
      <c r="AJ1848" s="6">
        <f t="shared" ca="1" si="518"/>
        <v>1</v>
      </c>
      <c r="AK1848" s="68">
        <f ca="1">IFERROR(__xludf.DUMMYFUNCTION("""COMPUTED_VALUE"""),44941.9986111111)</f>
        <v>44941.998611111099</v>
      </c>
      <c r="AL1848" s="6">
        <f ca="1">IFERROR(__xludf.DUMMYFUNCTION("""COMPUTED_VALUE"""),20874.57)</f>
        <v>20874.57</v>
      </c>
      <c r="AP1848" s="6" t="str">
        <f t="shared" ca="1" si="519"/>
        <v>20255</v>
      </c>
      <c r="AQ1848" s="6">
        <f t="shared" ca="1" si="520"/>
        <v>2025</v>
      </c>
      <c r="AR1848" s="6">
        <f t="shared" ca="1" si="521"/>
        <v>5</v>
      </c>
      <c r="AS1848" s="68">
        <f ca="1">IFERROR(__xludf.DUMMYFUNCTION("""COMPUTED_VALUE"""),45791.9986111111)</f>
        <v>45791.998611111099</v>
      </c>
      <c r="AT1848" s="6">
        <f ca="1">IFERROR(__xludf.DUMMYFUNCTION("""COMPUTED_VALUE"""),3188.3)</f>
        <v>3188.3</v>
      </c>
    </row>
    <row r="1849" spans="2:46" x14ac:dyDescent="0.35">
      <c r="B1849" s="6" t="str">
        <f t="shared" ca="1" si="504"/>
        <v>20255</v>
      </c>
      <c r="C1849" s="6">
        <f t="shared" ca="1" si="505"/>
        <v>2025</v>
      </c>
      <c r="D1849" s="6">
        <f t="shared" ca="1" si="506"/>
        <v>5</v>
      </c>
      <c r="E1849" s="68">
        <f ca="1">IFERROR(__xludf.DUMMYFUNCTION("""COMPUTED_VALUE"""),45785.6666666666)</f>
        <v>45785.666666666599</v>
      </c>
      <c r="F1849" s="6">
        <f ca="1">IFERROR(__xludf.DUMMYFUNCTION("""COMPUTED_VALUE"""),5663.94)</f>
        <v>5663.94</v>
      </c>
      <c r="J1849" s="6" t="str">
        <f t="shared" ca="1" si="507"/>
        <v>20255</v>
      </c>
      <c r="K1849" s="6">
        <f t="shared" ca="1" si="508"/>
        <v>2025</v>
      </c>
      <c r="L1849" s="6">
        <f t="shared" ca="1" si="509"/>
        <v>5</v>
      </c>
      <c r="M1849" s="68">
        <f ca="1">IFERROR(__xludf.DUMMYFUNCTION("""COMPUTED_VALUE"""),45778.6666666666)</f>
        <v>45778.666666666599</v>
      </c>
      <c r="N1849" s="6">
        <f ca="1">IFERROR(__xludf.DUMMYFUNCTION("""COMPUTED_VALUE"""),17710.74)</f>
        <v>17710.740000000002</v>
      </c>
      <c r="R1849" s="6" t="str">
        <f t="shared" ca="1" si="510"/>
        <v>20257</v>
      </c>
      <c r="S1849" s="6">
        <f t="shared" ca="1" si="511"/>
        <v>2025</v>
      </c>
      <c r="T1849" s="6">
        <f t="shared" ca="1" si="512"/>
        <v>7</v>
      </c>
      <c r="U1849" s="68">
        <f ca="1">IFERROR(__xludf.DUMMYFUNCTION("""COMPUTED_VALUE"""),45854.6458333333)</f>
        <v>45854.645833333299</v>
      </c>
      <c r="V1849" s="6">
        <f ca="1">IFERROR(__xludf.DUMMYFUNCTION("""COMPUTED_VALUE"""),3186.38)</f>
        <v>3186.38</v>
      </c>
      <c r="Z1849" s="6" t="str">
        <f t="shared" ca="1" si="513"/>
        <v>20233</v>
      </c>
      <c r="AA1849" s="6">
        <f t="shared" ca="1" si="514"/>
        <v>2023</v>
      </c>
      <c r="AB1849" s="6">
        <f t="shared" ca="1" si="515"/>
        <v>3</v>
      </c>
      <c r="AC1849" s="68">
        <f ca="1">IFERROR(__xludf.DUMMYFUNCTION("""COMPUTED_VALUE"""),44998.9986111111)</f>
        <v>44998.998611111099</v>
      </c>
      <c r="AD1849" s="6">
        <f ca="1">IFERROR(__xludf.DUMMYFUNCTION("""COMPUTED_VALUE"""),1296.38)</f>
        <v>1296.3800000000001</v>
      </c>
      <c r="AH1849" s="6" t="str">
        <f t="shared" ca="1" si="516"/>
        <v>20231</v>
      </c>
      <c r="AI1849" s="6">
        <f t="shared" ca="1" si="517"/>
        <v>2023</v>
      </c>
      <c r="AJ1849" s="6">
        <f t="shared" ca="1" si="518"/>
        <v>1</v>
      </c>
      <c r="AK1849" s="68">
        <f ca="1">IFERROR(__xludf.DUMMYFUNCTION("""COMPUTED_VALUE"""),44942.9986111111)</f>
        <v>44942.998611111099</v>
      </c>
      <c r="AL1849" s="6">
        <f ca="1">IFERROR(__xludf.DUMMYFUNCTION("""COMPUTED_VALUE"""),21185.93)</f>
        <v>21185.93</v>
      </c>
      <c r="AP1849" s="6" t="str">
        <f t="shared" ca="1" si="519"/>
        <v>20255</v>
      </c>
      <c r="AQ1849" s="6">
        <f t="shared" ca="1" si="520"/>
        <v>2025</v>
      </c>
      <c r="AR1849" s="6">
        <f t="shared" ca="1" si="521"/>
        <v>5</v>
      </c>
      <c r="AS1849" s="68">
        <f ca="1">IFERROR(__xludf.DUMMYFUNCTION("""COMPUTED_VALUE"""),45792.9986111111)</f>
        <v>45792.998611111099</v>
      </c>
      <c r="AT1849" s="6">
        <f ca="1">IFERROR(__xludf.DUMMYFUNCTION("""COMPUTED_VALUE"""),3226.6)</f>
        <v>3226.6</v>
      </c>
    </row>
    <row r="1850" spans="2:46" x14ac:dyDescent="0.35">
      <c r="B1850" s="6" t="str">
        <f t="shared" ca="1" si="504"/>
        <v>20255</v>
      </c>
      <c r="C1850" s="6">
        <f t="shared" ca="1" si="505"/>
        <v>2025</v>
      </c>
      <c r="D1850" s="6">
        <f t="shared" ca="1" si="506"/>
        <v>5</v>
      </c>
      <c r="E1850" s="68">
        <f ca="1">IFERROR(__xludf.DUMMYFUNCTION("""COMPUTED_VALUE"""),45786.6666666666)</f>
        <v>45786.666666666599</v>
      </c>
      <c r="F1850" s="6">
        <f ca="1">IFERROR(__xludf.DUMMYFUNCTION("""COMPUTED_VALUE"""),5659.91)</f>
        <v>5659.91</v>
      </c>
      <c r="J1850" s="6" t="str">
        <f t="shared" ca="1" si="507"/>
        <v>20255</v>
      </c>
      <c r="K1850" s="6">
        <f t="shared" ca="1" si="508"/>
        <v>2025</v>
      </c>
      <c r="L1850" s="6">
        <f t="shared" ca="1" si="509"/>
        <v>5</v>
      </c>
      <c r="M1850" s="68">
        <f ca="1">IFERROR(__xludf.DUMMYFUNCTION("""COMPUTED_VALUE"""),45779.6666666666)</f>
        <v>45779.666666666599</v>
      </c>
      <c r="N1850" s="6">
        <f ca="1">IFERROR(__xludf.DUMMYFUNCTION("""COMPUTED_VALUE"""),17977.73)</f>
        <v>17977.73</v>
      </c>
      <c r="R1850" s="6" t="str">
        <f t="shared" ca="1" si="510"/>
        <v>20257</v>
      </c>
      <c r="S1850" s="6">
        <f t="shared" ca="1" si="511"/>
        <v>2025</v>
      </c>
      <c r="T1850" s="6">
        <f t="shared" ca="1" si="512"/>
        <v>7</v>
      </c>
      <c r="U1850" s="68">
        <f ca="1">IFERROR(__xludf.DUMMYFUNCTION("""COMPUTED_VALUE"""),45855.6458333333)</f>
        <v>45855.645833333299</v>
      </c>
      <c r="V1850" s="6">
        <f ca="1">IFERROR(__xludf.DUMMYFUNCTION("""COMPUTED_VALUE"""),3192.29)</f>
        <v>3192.29</v>
      </c>
      <c r="Z1850" s="6" t="str">
        <f t="shared" ca="1" si="513"/>
        <v>20233</v>
      </c>
      <c r="AA1850" s="6">
        <f t="shared" ca="1" si="514"/>
        <v>2023</v>
      </c>
      <c r="AB1850" s="6">
        <f t="shared" ca="1" si="515"/>
        <v>3</v>
      </c>
      <c r="AC1850" s="68">
        <f ca="1">IFERROR(__xludf.DUMMYFUNCTION("""COMPUTED_VALUE"""),44999.9986111111)</f>
        <v>44999.998611111099</v>
      </c>
      <c r="AD1850" s="6">
        <f ca="1">IFERROR(__xludf.DUMMYFUNCTION("""COMPUTED_VALUE"""),1304.58)</f>
        <v>1304.58</v>
      </c>
      <c r="AH1850" s="6" t="str">
        <f t="shared" ca="1" si="516"/>
        <v>20231</v>
      </c>
      <c r="AI1850" s="6">
        <f t="shared" ca="1" si="517"/>
        <v>2023</v>
      </c>
      <c r="AJ1850" s="6">
        <f t="shared" ca="1" si="518"/>
        <v>1</v>
      </c>
      <c r="AK1850" s="68">
        <f ca="1">IFERROR(__xludf.DUMMYFUNCTION("""COMPUTED_VALUE"""),44943.9986111111)</f>
        <v>44943.998611111099</v>
      </c>
      <c r="AL1850" s="6">
        <f ca="1">IFERROR(__xludf.DUMMYFUNCTION("""COMPUTED_VALUE"""),21131.81)</f>
        <v>21131.81</v>
      </c>
      <c r="AP1850" s="6" t="str">
        <f t="shared" ca="1" si="519"/>
        <v>20255</v>
      </c>
      <c r="AQ1850" s="6">
        <f t="shared" ca="1" si="520"/>
        <v>2025</v>
      </c>
      <c r="AR1850" s="6">
        <f t="shared" ca="1" si="521"/>
        <v>5</v>
      </c>
      <c r="AS1850" s="68">
        <f ca="1">IFERROR(__xludf.DUMMYFUNCTION("""COMPUTED_VALUE"""),45793.9986111111)</f>
        <v>45793.998611111099</v>
      </c>
      <c r="AT1850" s="6">
        <f ca="1">IFERROR(__xludf.DUMMYFUNCTION("""COMPUTED_VALUE"""),3187.2)</f>
        <v>3187.2</v>
      </c>
    </row>
    <row r="1851" spans="2:46" x14ac:dyDescent="0.35">
      <c r="B1851" s="6" t="str">
        <f t="shared" ca="1" si="504"/>
        <v>20255</v>
      </c>
      <c r="C1851" s="6">
        <f t="shared" ca="1" si="505"/>
        <v>2025</v>
      </c>
      <c r="D1851" s="6">
        <f t="shared" ca="1" si="506"/>
        <v>5</v>
      </c>
      <c r="E1851" s="68">
        <f ca="1">IFERROR(__xludf.DUMMYFUNCTION("""COMPUTED_VALUE"""),45789.6666666666)</f>
        <v>45789.666666666599</v>
      </c>
      <c r="F1851" s="6">
        <f ca="1">IFERROR(__xludf.DUMMYFUNCTION("""COMPUTED_VALUE"""),5844.19)</f>
        <v>5844.19</v>
      </c>
      <c r="J1851" s="6" t="str">
        <f t="shared" ca="1" si="507"/>
        <v>20255</v>
      </c>
      <c r="K1851" s="6">
        <f t="shared" ca="1" si="508"/>
        <v>2025</v>
      </c>
      <c r="L1851" s="6">
        <f t="shared" ca="1" si="509"/>
        <v>5</v>
      </c>
      <c r="M1851" s="68">
        <f ca="1">IFERROR(__xludf.DUMMYFUNCTION("""COMPUTED_VALUE"""),45782.6666666666)</f>
        <v>45782.666666666599</v>
      </c>
      <c r="N1851" s="6">
        <f ca="1">IFERROR(__xludf.DUMMYFUNCTION("""COMPUTED_VALUE"""),17844.24)</f>
        <v>17844.240000000002</v>
      </c>
      <c r="R1851" s="6" t="str">
        <f t="shared" ca="1" si="510"/>
        <v>20257</v>
      </c>
      <c r="S1851" s="6">
        <f t="shared" ca="1" si="511"/>
        <v>2025</v>
      </c>
      <c r="T1851" s="6">
        <f t="shared" ca="1" si="512"/>
        <v>7</v>
      </c>
      <c r="U1851" s="68">
        <f ca="1">IFERROR(__xludf.DUMMYFUNCTION("""COMPUTED_VALUE"""),45856.6458333333)</f>
        <v>45856.645833333299</v>
      </c>
      <c r="V1851" s="6">
        <f ca="1">IFERROR(__xludf.DUMMYFUNCTION("""COMPUTED_VALUE"""),3188.07)</f>
        <v>3188.07</v>
      </c>
      <c r="Z1851" s="6" t="str">
        <f t="shared" ca="1" si="513"/>
        <v>20233</v>
      </c>
      <c r="AA1851" s="6">
        <f t="shared" ca="1" si="514"/>
        <v>2023</v>
      </c>
      <c r="AB1851" s="6">
        <f t="shared" ca="1" si="515"/>
        <v>3</v>
      </c>
      <c r="AC1851" s="68">
        <f ca="1">IFERROR(__xludf.DUMMYFUNCTION("""COMPUTED_VALUE"""),45000.9986111111)</f>
        <v>45000.998611111099</v>
      </c>
      <c r="AD1851" s="6">
        <f ca="1">IFERROR(__xludf.DUMMYFUNCTION("""COMPUTED_VALUE"""),1311.74)</f>
        <v>1311.74</v>
      </c>
      <c r="AH1851" s="6" t="str">
        <f t="shared" ca="1" si="516"/>
        <v>20231</v>
      </c>
      <c r="AI1851" s="6">
        <f t="shared" ca="1" si="517"/>
        <v>2023</v>
      </c>
      <c r="AJ1851" s="6">
        <f t="shared" ca="1" si="518"/>
        <v>1</v>
      </c>
      <c r="AK1851" s="68">
        <f ca="1">IFERROR(__xludf.DUMMYFUNCTION("""COMPUTED_VALUE"""),44944.9986111111)</f>
        <v>44944.998611111099</v>
      </c>
      <c r="AL1851" s="6">
        <f ca="1">IFERROR(__xludf.DUMMYFUNCTION("""COMPUTED_VALUE"""),20676.36)</f>
        <v>20676.36</v>
      </c>
      <c r="AP1851" s="6" t="str">
        <f t="shared" ca="1" si="519"/>
        <v>20255</v>
      </c>
      <c r="AQ1851" s="6">
        <f t="shared" ca="1" si="520"/>
        <v>2025</v>
      </c>
      <c r="AR1851" s="6">
        <f t="shared" ca="1" si="521"/>
        <v>5</v>
      </c>
      <c r="AS1851" s="68">
        <f ca="1">IFERROR(__xludf.DUMMYFUNCTION("""COMPUTED_VALUE"""),45796.9986111111)</f>
        <v>45796.998611111099</v>
      </c>
      <c r="AT1851" s="6">
        <f ca="1">IFERROR(__xludf.DUMMYFUNCTION("""COMPUTED_VALUE"""),3233.5)</f>
        <v>3233.5</v>
      </c>
    </row>
    <row r="1852" spans="2:46" x14ac:dyDescent="0.35">
      <c r="B1852" s="6" t="str">
        <f t="shared" ca="1" si="504"/>
        <v>20255</v>
      </c>
      <c r="C1852" s="6">
        <f t="shared" ca="1" si="505"/>
        <v>2025</v>
      </c>
      <c r="D1852" s="6">
        <f t="shared" ca="1" si="506"/>
        <v>5</v>
      </c>
      <c r="E1852" s="68">
        <f ca="1">IFERROR(__xludf.DUMMYFUNCTION("""COMPUTED_VALUE"""),45790.6666666666)</f>
        <v>45790.666666666599</v>
      </c>
      <c r="F1852" s="6">
        <f ca="1">IFERROR(__xludf.DUMMYFUNCTION("""COMPUTED_VALUE"""),5886.55)</f>
        <v>5886.55</v>
      </c>
      <c r="J1852" s="6" t="str">
        <f t="shared" ca="1" si="507"/>
        <v>20255</v>
      </c>
      <c r="K1852" s="6">
        <f t="shared" ca="1" si="508"/>
        <v>2025</v>
      </c>
      <c r="L1852" s="6">
        <f t="shared" ca="1" si="509"/>
        <v>5</v>
      </c>
      <c r="M1852" s="68">
        <f ca="1">IFERROR(__xludf.DUMMYFUNCTION("""COMPUTED_VALUE"""),45783.6666666666)</f>
        <v>45783.666666666599</v>
      </c>
      <c r="N1852" s="6">
        <f ca="1">IFERROR(__xludf.DUMMYFUNCTION("""COMPUTED_VALUE"""),17689.66)</f>
        <v>17689.66</v>
      </c>
      <c r="R1852" s="6" t="str">
        <f t="shared" ca="1" si="510"/>
        <v>20257</v>
      </c>
      <c r="S1852" s="6">
        <f t="shared" ca="1" si="511"/>
        <v>2025</v>
      </c>
      <c r="T1852" s="6">
        <f t="shared" ca="1" si="512"/>
        <v>7</v>
      </c>
      <c r="U1852" s="68">
        <f ca="1">IFERROR(__xludf.DUMMYFUNCTION("""COMPUTED_VALUE"""),45859.6458333333)</f>
        <v>45859.645833333299</v>
      </c>
      <c r="V1852" s="6">
        <f ca="1">IFERROR(__xludf.DUMMYFUNCTION("""COMPUTED_VALUE"""),3210.81)</f>
        <v>3210.81</v>
      </c>
      <c r="Z1852" s="6" t="str">
        <f t="shared" ca="1" si="513"/>
        <v>20233</v>
      </c>
      <c r="AA1852" s="6">
        <f t="shared" ca="1" si="514"/>
        <v>2023</v>
      </c>
      <c r="AB1852" s="6">
        <f t="shared" ca="1" si="515"/>
        <v>3</v>
      </c>
      <c r="AC1852" s="68">
        <f ca="1">IFERROR(__xludf.DUMMYFUNCTION("""COMPUTED_VALUE"""),45001.9986111111)</f>
        <v>45001.998611111099</v>
      </c>
      <c r="AD1852" s="6">
        <f ca="1">IFERROR(__xludf.DUMMYFUNCTION("""COMPUTED_VALUE"""),1301.62)</f>
        <v>1301.6199999999999</v>
      </c>
      <c r="AH1852" s="6" t="str">
        <f t="shared" ca="1" si="516"/>
        <v>20231</v>
      </c>
      <c r="AI1852" s="6">
        <f t="shared" ca="1" si="517"/>
        <v>2023</v>
      </c>
      <c r="AJ1852" s="6">
        <f t="shared" ca="1" si="518"/>
        <v>1</v>
      </c>
      <c r="AK1852" s="68">
        <f ca="1">IFERROR(__xludf.DUMMYFUNCTION("""COMPUTED_VALUE"""),44945.9986111111)</f>
        <v>44945.998611111099</v>
      </c>
      <c r="AL1852" s="6">
        <f ca="1">IFERROR(__xludf.DUMMYFUNCTION("""COMPUTED_VALUE"""),21082.08)</f>
        <v>21082.080000000002</v>
      </c>
      <c r="AP1852" s="6" t="str">
        <f t="shared" ca="1" si="519"/>
        <v>20255</v>
      </c>
      <c r="AQ1852" s="6">
        <f t="shared" ca="1" si="520"/>
        <v>2025</v>
      </c>
      <c r="AR1852" s="6">
        <f t="shared" ca="1" si="521"/>
        <v>5</v>
      </c>
      <c r="AS1852" s="68">
        <f ca="1">IFERROR(__xludf.DUMMYFUNCTION("""COMPUTED_VALUE"""),45797.9986111111)</f>
        <v>45797.998611111099</v>
      </c>
      <c r="AT1852" s="6">
        <f ca="1">IFERROR(__xludf.DUMMYFUNCTION("""COMPUTED_VALUE"""),3312.6)</f>
        <v>3312.6</v>
      </c>
    </row>
    <row r="1853" spans="2:46" x14ac:dyDescent="0.35">
      <c r="B1853" s="6" t="str">
        <f t="shared" ca="1" si="504"/>
        <v>20255</v>
      </c>
      <c r="C1853" s="6">
        <f t="shared" ca="1" si="505"/>
        <v>2025</v>
      </c>
      <c r="D1853" s="6">
        <f t="shared" ca="1" si="506"/>
        <v>5</v>
      </c>
      <c r="E1853" s="68">
        <f ca="1">IFERROR(__xludf.DUMMYFUNCTION("""COMPUTED_VALUE"""),45791.6666666666)</f>
        <v>45791.666666666599</v>
      </c>
      <c r="F1853" s="6">
        <f ca="1">IFERROR(__xludf.DUMMYFUNCTION("""COMPUTED_VALUE"""),5892.58)</f>
        <v>5892.58</v>
      </c>
      <c r="J1853" s="6" t="str">
        <f t="shared" ca="1" si="507"/>
        <v>20255</v>
      </c>
      <c r="K1853" s="6">
        <f t="shared" ca="1" si="508"/>
        <v>2025</v>
      </c>
      <c r="L1853" s="6">
        <f t="shared" ca="1" si="509"/>
        <v>5</v>
      </c>
      <c r="M1853" s="68">
        <f ca="1">IFERROR(__xludf.DUMMYFUNCTION("""COMPUTED_VALUE"""),45784.6666666666)</f>
        <v>45784.666666666599</v>
      </c>
      <c r="N1853" s="6">
        <f ca="1">IFERROR(__xludf.DUMMYFUNCTION("""COMPUTED_VALUE"""),17738.16)</f>
        <v>17738.16</v>
      </c>
      <c r="R1853" s="6" t="str">
        <f t="shared" ca="1" si="510"/>
        <v>20257</v>
      </c>
      <c r="S1853" s="6">
        <f t="shared" ca="1" si="511"/>
        <v>2025</v>
      </c>
      <c r="T1853" s="6">
        <f t="shared" ca="1" si="512"/>
        <v>7</v>
      </c>
      <c r="U1853" s="68">
        <f ca="1">IFERROR(__xludf.DUMMYFUNCTION("""COMPUTED_VALUE"""),45860.6458333333)</f>
        <v>45860.645833333299</v>
      </c>
      <c r="V1853" s="6">
        <f ca="1">IFERROR(__xludf.DUMMYFUNCTION("""COMPUTED_VALUE"""),3169.94)</f>
        <v>3169.94</v>
      </c>
      <c r="Z1853" s="6" t="str">
        <f t="shared" ca="1" si="513"/>
        <v>20233</v>
      </c>
      <c r="AA1853" s="6">
        <f t="shared" ca="1" si="514"/>
        <v>2023</v>
      </c>
      <c r="AB1853" s="6">
        <f t="shared" ca="1" si="515"/>
        <v>3</v>
      </c>
      <c r="AC1853" s="68">
        <f ca="1">IFERROR(__xludf.DUMMYFUNCTION("""COMPUTED_VALUE"""),45002.9986111111)</f>
        <v>45002.998611111099</v>
      </c>
      <c r="AD1853" s="6">
        <f ca="1">IFERROR(__xludf.DUMMYFUNCTION("""COMPUTED_VALUE"""),1307.75)</f>
        <v>1307.75</v>
      </c>
      <c r="AH1853" s="6" t="str">
        <f t="shared" ca="1" si="516"/>
        <v>20231</v>
      </c>
      <c r="AI1853" s="6">
        <f t="shared" ca="1" si="517"/>
        <v>2023</v>
      </c>
      <c r="AJ1853" s="6">
        <f t="shared" ca="1" si="518"/>
        <v>1</v>
      </c>
      <c r="AK1853" s="68">
        <f ca="1">IFERROR(__xludf.DUMMYFUNCTION("""COMPUTED_VALUE"""),44946.9986111111)</f>
        <v>44946.998611111099</v>
      </c>
      <c r="AL1853" s="6">
        <f ca="1">IFERROR(__xludf.DUMMYFUNCTION("""COMPUTED_VALUE"""),22690.95)</f>
        <v>22690.95</v>
      </c>
      <c r="AP1853" s="6" t="str">
        <f t="shared" ca="1" si="519"/>
        <v>20255</v>
      </c>
      <c r="AQ1853" s="6">
        <f t="shared" ca="1" si="520"/>
        <v>2025</v>
      </c>
      <c r="AR1853" s="6">
        <f t="shared" ca="1" si="521"/>
        <v>5</v>
      </c>
      <c r="AS1853" s="68">
        <f ca="1">IFERROR(__xludf.DUMMYFUNCTION("""COMPUTED_VALUE"""),45798.9986111111)</f>
        <v>45798.998611111099</v>
      </c>
      <c r="AT1853" s="6">
        <f ca="1">IFERROR(__xludf.DUMMYFUNCTION("""COMPUTED_VALUE"""),3341.9)</f>
        <v>3341.9</v>
      </c>
    </row>
    <row r="1854" spans="2:46" x14ac:dyDescent="0.35">
      <c r="B1854" s="6" t="str">
        <f t="shared" ca="1" si="504"/>
        <v>20255</v>
      </c>
      <c r="C1854" s="6">
        <f t="shared" ca="1" si="505"/>
        <v>2025</v>
      </c>
      <c r="D1854" s="6">
        <f t="shared" ca="1" si="506"/>
        <v>5</v>
      </c>
      <c r="E1854" s="68">
        <f ca="1">IFERROR(__xludf.DUMMYFUNCTION("""COMPUTED_VALUE"""),45792.6666666666)</f>
        <v>45792.666666666599</v>
      </c>
      <c r="F1854" s="6">
        <f ca="1">IFERROR(__xludf.DUMMYFUNCTION("""COMPUTED_VALUE"""),5916.93)</f>
        <v>5916.93</v>
      </c>
      <c r="J1854" s="6" t="str">
        <f t="shared" ca="1" si="507"/>
        <v>20255</v>
      </c>
      <c r="K1854" s="6">
        <f t="shared" ca="1" si="508"/>
        <v>2025</v>
      </c>
      <c r="L1854" s="6">
        <f t="shared" ca="1" si="509"/>
        <v>5</v>
      </c>
      <c r="M1854" s="68">
        <f ca="1">IFERROR(__xludf.DUMMYFUNCTION("""COMPUTED_VALUE"""),45785.6666666666)</f>
        <v>45785.666666666599</v>
      </c>
      <c r="N1854" s="6">
        <f ca="1">IFERROR(__xludf.DUMMYFUNCTION("""COMPUTED_VALUE"""),17928.14)</f>
        <v>17928.14</v>
      </c>
      <c r="R1854" s="6" t="str">
        <f t="shared" ca="1" si="510"/>
        <v>20257</v>
      </c>
      <c r="S1854" s="6">
        <f t="shared" ca="1" si="511"/>
        <v>2025</v>
      </c>
      <c r="T1854" s="6">
        <f t="shared" ca="1" si="512"/>
        <v>7</v>
      </c>
      <c r="U1854" s="68">
        <f ca="1">IFERROR(__xludf.DUMMYFUNCTION("""COMPUTED_VALUE"""),45861.6458333333)</f>
        <v>45861.645833333299</v>
      </c>
      <c r="V1854" s="6">
        <f ca="1">IFERROR(__xludf.DUMMYFUNCTION("""COMPUTED_VALUE"""),3183.77)</f>
        <v>3183.77</v>
      </c>
      <c r="Z1854" s="6" t="str">
        <f t="shared" ca="1" si="513"/>
        <v>20233</v>
      </c>
      <c r="AA1854" s="6">
        <f t="shared" ca="1" si="514"/>
        <v>2023</v>
      </c>
      <c r="AB1854" s="6">
        <f t="shared" ca="1" si="515"/>
        <v>3</v>
      </c>
      <c r="AC1854" s="68">
        <f ca="1">IFERROR(__xludf.DUMMYFUNCTION("""COMPUTED_VALUE"""),45003.9986111111)</f>
        <v>45003.998611111099</v>
      </c>
      <c r="AD1854" s="6">
        <f ca="1">IFERROR(__xludf.DUMMYFUNCTION("""COMPUTED_VALUE"""),1307.65)</f>
        <v>1307.6500000000001</v>
      </c>
      <c r="AH1854" s="6" t="str">
        <f t="shared" ca="1" si="516"/>
        <v>20231</v>
      </c>
      <c r="AI1854" s="6">
        <f t="shared" ca="1" si="517"/>
        <v>2023</v>
      </c>
      <c r="AJ1854" s="6">
        <f t="shared" ca="1" si="518"/>
        <v>1</v>
      </c>
      <c r="AK1854" s="68">
        <f ca="1">IFERROR(__xludf.DUMMYFUNCTION("""COMPUTED_VALUE"""),44947.9986111111)</f>
        <v>44947.998611111099</v>
      </c>
      <c r="AL1854" s="6">
        <f ca="1">IFERROR(__xludf.DUMMYFUNCTION("""COMPUTED_VALUE"""),22776.37)</f>
        <v>22776.37</v>
      </c>
      <c r="AP1854" s="6" t="str">
        <f t="shared" ca="1" si="519"/>
        <v>20255</v>
      </c>
      <c r="AQ1854" s="6">
        <f t="shared" ca="1" si="520"/>
        <v>2025</v>
      </c>
      <c r="AR1854" s="6">
        <f t="shared" ca="1" si="521"/>
        <v>5</v>
      </c>
      <c r="AS1854" s="68">
        <f ca="1">IFERROR(__xludf.DUMMYFUNCTION("""COMPUTED_VALUE"""),45799.9986111111)</f>
        <v>45799.998611111099</v>
      </c>
      <c r="AT1854" s="6">
        <f ca="1">IFERROR(__xludf.DUMMYFUNCTION("""COMPUTED_VALUE"""),3323.6)</f>
        <v>3323.6</v>
      </c>
    </row>
    <row r="1855" spans="2:46" x14ac:dyDescent="0.35">
      <c r="B1855" s="6" t="str">
        <f t="shared" ca="1" si="504"/>
        <v>20255</v>
      </c>
      <c r="C1855" s="6">
        <f t="shared" ca="1" si="505"/>
        <v>2025</v>
      </c>
      <c r="D1855" s="6">
        <f t="shared" ca="1" si="506"/>
        <v>5</v>
      </c>
      <c r="E1855" s="68">
        <f ca="1">IFERROR(__xludf.DUMMYFUNCTION("""COMPUTED_VALUE"""),45793.6666666666)</f>
        <v>45793.666666666599</v>
      </c>
      <c r="F1855" s="6">
        <f ca="1">IFERROR(__xludf.DUMMYFUNCTION("""COMPUTED_VALUE"""),5958.38)</f>
        <v>5958.38</v>
      </c>
      <c r="J1855" s="6" t="str">
        <f t="shared" ca="1" si="507"/>
        <v>20255</v>
      </c>
      <c r="K1855" s="6">
        <f t="shared" ca="1" si="508"/>
        <v>2025</v>
      </c>
      <c r="L1855" s="6">
        <f t="shared" ca="1" si="509"/>
        <v>5</v>
      </c>
      <c r="M1855" s="68">
        <f ca="1">IFERROR(__xludf.DUMMYFUNCTION("""COMPUTED_VALUE"""),45786.6666666666)</f>
        <v>45786.666666666599</v>
      </c>
      <c r="N1855" s="6">
        <f ca="1">IFERROR(__xludf.DUMMYFUNCTION("""COMPUTED_VALUE"""),17928.92)</f>
        <v>17928.919999999998</v>
      </c>
      <c r="R1855" s="6" t="str">
        <f t="shared" ca="1" si="510"/>
        <v>20257</v>
      </c>
      <c r="S1855" s="6">
        <f t="shared" ca="1" si="511"/>
        <v>2025</v>
      </c>
      <c r="T1855" s="6">
        <f t="shared" ca="1" si="512"/>
        <v>7</v>
      </c>
      <c r="U1855" s="68">
        <f ca="1">IFERROR(__xludf.DUMMYFUNCTION("""COMPUTED_VALUE"""),45862.6458333333)</f>
        <v>45862.645833333299</v>
      </c>
      <c r="V1855" s="6">
        <f ca="1">IFERROR(__xludf.DUMMYFUNCTION("""COMPUTED_VALUE"""),3190.45)</f>
        <v>3190.45</v>
      </c>
      <c r="Z1855" s="6" t="str">
        <f t="shared" ca="1" si="513"/>
        <v>20233</v>
      </c>
      <c r="AA1855" s="6">
        <f t="shared" ca="1" si="514"/>
        <v>2023</v>
      </c>
      <c r="AB1855" s="6">
        <f t="shared" ca="1" si="515"/>
        <v>3</v>
      </c>
      <c r="AC1855" s="68">
        <f ca="1">IFERROR(__xludf.DUMMYFUNCTION("""COMPUTED_VALUE"""),45004.9986111111)</f>
        <v>45004.998611111099</v>
      </c>
      <c r="AD1855" s="6">
        <f ca="1">IFERROR(__xludf.DUMMYFUNCTION("""COMPUTED_VALUE"""),1307.65)</f>
        <v>1307.6500000000001</v>
      </c>
      <c r="AH1855" s="6" t="str">
        <f t="shared" ca="1" si="516"/>
        <v>20231</v>
      </c>
      <c r="AI1855" s="6">
        <f t="shared" ca="1" si="517"/>
        <v>2023</v>
      </c>
      <c r="AJ1855" s="6">
        <f t="shared" ca="1" si="518"/>
        <v>1</v>
      </c>
      <c r="AK1855" s="68">
        <f ca="1">IFERROR(__xludf.DUMMYFUNCTION("""COMPUTED_VALUE"""),44948.9986111111)</f>
        <v>44948.998611111099</v>
      </c>
      <c r="AL1855" s="6">
        <f ca="1">IFERROR(__xludf.DUMMYFUNCTION("""COMPUTED_VALUE"""),22717.66)</f>
        <v>22717.66</v>
      </c>
      <c r="AP1855" s="6" t="str">
        <f t="shared" ca="1" si="519"/>
        <v>20255</v>
      </c>
      <c r="AQ1855" s="6">
        <f t="shared" ca="1" si="520"/>
        <v>2025</v>
      </c>
      <c r="AR1855" s="6">
        <f t="shared" ca="1" si="521"/>
        <v>5</v>
      </c>
      <c r="AS1855" s="68">
        <f ca="1">IFERROR(__xludf.DUMMYFUNCTION("""COMPUTED_VALUE"""),45800.9986111111)</f>
        <v>45800.998611111099</v>
      </c>
      <c r="AT1855" s="6">
        <f ca="1">IFERROR(__xludf.DUMMYFUNCTION("""COMPUTED_VALUE"""),3394.5)</f>
        <v>3394.5</v>
      </c>
    </row>
    <row r="1856" spans="2:46" x14ac:dyDescent="0.35">
      <c r="B1856" s="6" t="str">
        <f t="shared" ca="1" si="504"/>
        <v>20255</v>
      </c>
      <c r="C1856" s="6">
        <f t="shared" ca="1" si="505"/>
        <v>2025</v>
      </c>
      <c r="D1856" s="6">
        <f t="shared" ca="1" si="506"/>
        <v>5</v>
      </c>
      <c r="E1856" s="68">
        <f ca="1">IFERROR(__xludf.DUMMYFUNCTION("""COMPUTED_VALUE"""),45796.6666666666)</f>
        <v>45796.666666666599</v>
      </c>
      <c r="F1856" s="6">
        <f ca="1">IFERROR(__xludf.DUMMYFUNCTION("""COMPUTED_VALUE"""),5963.6)</f>
        <v>5963.6</v>
      </c>
      <c r="J1856" s="6" t="str">
        <f t="shared" ca="1" si="507"/>
        <v>20255</v>
      </c>
      <c r="K1856" s="6">
        <f t="shared" ca="1" si="508"/>
        <v>2025</v>
      </c>
      <c r="L1856" s="6">
        <f t="shared" ca="1" si="509"/>
        <v>5</v>
      </c>
      <c r="M1856" s="68">
        <f ca="1">IFERROR(__xludf.DUMMYFUNCTION("""COMPUTED_VALUE"""),45789.6666666666)</f>
        <v>45789.666666666599</v>
      </c>
      <c r="N1856" s="6">
        <f ca="1">IFERROR(__xludf.DUMMYFUNCTION("""COMPUTED_VALUE"""),18708.34)</f>
        <v>18708.34</v>
      </c>
      <c r="R1856" s="6" t="str">
        <f t="shared" ca="1" si="510"/>
        <v>20257</v>
      </c>
      <c r="S1856" s="6">
        <f t="shared" ca="1" si="511"/>
        <v>2025</v>
      </c>
      <c r="T1856" s="6">
        <f t="shared" ca="1" si="512"/>
        <v>7</v>
      </c>
      <c r="U1856" s="68">
        <f ca="1">IFERROR(__xludf.DUMMYFUNCTION("""COMPUTED_VALUE"""),45863.6458333333)</f>
        <v>45863.645833333299</v>
      </c>
      <c r="V1856" s="6">
        <f ca="1">IFERROR(__xludf.DUMMYFUNCTION("""COMPUTED_VALUE"""),3196.05)</f>
        <v>3196.05</v>
      </c>
      <c r="Z1856" s="6" t="str">
        <f t="shared" ca="1" si="513"/>
        <v>20233</v>
      </c>
      <c r="AA1856" s="6">
        <f t="shared" ca="1" si="514"/>
        <v>2023</v>
      </c>
      <c r="AB1856" s="6">
        <f t="shared" ca="1" si="515"/>
        <v>3</v>
      </c>
      <c r="AC1856" s="68">
        <f ca="1">IFERROR(__xludf.DUMMYFUNCTION("""COMPUTED_VALUE"""),45005.9986111111)</f>
        <v>45005.998611111099</v>
      </c>
      <c r="AD1856" s="6">
        <f ca="1">IFERROR(__xludf.DUMMYFUNCTION("""COMPUTED_VALUE"""),1304.94)</f>
        <v>1304.94</v>
      </c>
      <c r="AH1856" s="6" t="str">
        <f t="shared" ca="1" si="516"/>
        <v>20231</v>
      </c>
      <c r="AI1856" s="6">
        <f t="shared" ca="1" si="517"/>
        <v>2023</v>
      </c>
      <c r="AJ1856" s="6">
        <f t="shared" ca="1" si="518"/>
        <v>1</v>
      </c>
      <c r="AK1856" s="68">
        <f ca="1">IFERROR(__xludf.DUMMYFUNCTION("""COMPUTED_VALUE"""),44949.9986111111)</f>
        <v>44949.998611111099</v>
      </c>
      <c r="AL1856" s="6">
        <f ca="1">IFERROR(__xludf.DUMMYFUNCTION("""COMPUTED_VALUE"""),22915.43)</f>
        <v>22915.43</v>
      </c>
      <c r="AP1856" s="6" t="str">
        <f t="shared" ca="1" si="519"/>
        <v>20255</v>
      </c>
      <c r="AQ1856" s="6">
        <f t="shared" ca="1" si="520"/>
        <v>2025</v>
      </c>
      <c r="AR1856" s="6">
        <f t="shared" ca="1" si="521"/>
        <v>5</v>
      </c>
      <c r="AS1856" s="68">
        <f ca="1">IFERROR(__xludf.DUMMYFUNCTION("""COMPUTED_VALUE"""),45804.9986111111)</f>
        <v>45804.998611111099</v>
      </c>
      <c r="AT1856" s="6">
        <f ca="1">IFERROR(__xludf.DUMMYFUNCTION("""COMPUTED_VALUE"""),3328.3)</f>
        <v>3328.3</v>
      </c>
    </row>
    <row r="1857" spans="2:46" x14ac:dyDescent="0.35">
      <c r="B1857" s="6" t="str">
        <f t="shared" ca="1" si="504"/>
        <v>20255</v>
      </c>
      <c r="C1857" s="6">
        <f t="shared" ca="1" si="505"/>
        <v>2025</v>
      </c>
      <c r="D1857" s="6">
        <f t="shared" ca="1" si="506"/>
        <v>5</v>
      </c>
      <c r="E1857" s="68">
        <f ca="1">IFERROR(__xludf.DUMMYFUNCTION("""COMPUTED_VALUE"""),45797.6666666666)</f>
        <v>45797.666666666599</v>
      </c>
      <c r="F1857" s="6">
        <f ca="1">IFERROR(__xludf.DUMMYFUNCTION("""COMPUTED_VALUE"""),5940.46)</f>
        <v>5940.46</v>
      </c>
      <c r="J1857" s="6" t="str">
        <f t="shared" ca="1" si="507"/>
        <v>20255</v>
      </c>
      <c r="K1857" s="6">
        <f t="shared" ca="1" si="508"/>
        <v>2025</v>
      </c>
      <c r="L1857" s="6">
        <f t="shared" ca="1" si="509"/>
        <v>5</v>
      </c>
      <c r="M1857" s="68">
        <f ca="1">IFERROR(__xludf.DUMMYFUNCTION("""COMPUTED_VALUE"""),45790.6666666666)</f>
        <v>45790.666666666599</v>
      </c>
      <c r="N1857" s="6">
        <f ca="1">IFERROR(__xludf.DUMMYFUNCTION("""COMPUTED_VALUE"""),19010.09)</f>
        <v>19010.09</v>
      </c>
      <c r="R1857" s="6" t="str">
        <f t="shared" ca="1" si="510"/>
        <v>20257</v>
      </c>
      <c r="S1857" s="6">
        <f t="shared" ca="1" si="511"/>
        <v>2025</v>
      </c>
      <c r="T1857" s="6">
        <f t="shared" ca="1" si="512"/>
        <v>7</v>
      </c>
      <c r="U1857" s="68">
        <f ca="1">IFERROR(__xludf.DUMMYFUNCTION("""COMPUTED_VALUE"""),45866.6458333333)</f>
        <v>45866.645833333299</v>
      </c>
      <c r="V1857" s="6">
        <f ca="1">IFERROR(__xludf.DUMMYFUNCTION("""COMPUTED_VALUE"""),3209.52)</f>
        <v>3209.52</v>
      </c>
      <c r="Z1857" s="6" t="str">
        <f t="shared" ca="1" si="513"/>
        <v>20233</v>
      </c>
      <c r="AA1857" s="6">
        <f t="shared" ca="1" si="514"/>
        <v>2023</v>
      </c>
      <c r="AB1857" s="6">
        <f t="shared" ca="1" si="515"/>
        <v>3</v>
      </c>
      <c r="AC1857" s="68">
        <f ca="1">IFERROR(__xludf.DUMMYFUNCTION("""COMPUTED_VALUE"""),45006.9986111111)</f>
        <v>45006.998611111099</v>
      </c>
      <c r="AD1857" s="6">
        <f ca="1">IFERROR(__xludf.DUMMYFUNCTION("""COMPUTED_VALUE"""),1303.44)</f>
        <v>1303.44</v>
      </c>
      <c r="AH1857" s="6" t="str">
        <f t="shared" ca="1" si="516"/>
        <v>20231</v>
      </c>
      <c r="AI1857" s="6">
        <f t="shared" ca="1" si="517"/>
        <v>2023</v>
      </c>
      <c r="AJ1857" s="6">
        <f t="shared" ca="1" si="518"/>
        <v>1</v>
      </c>
      <c r="AK1857" s="68">
        <f ca="1">IFERROR(__xludf.DUMMYFUNCTION("""COMPUTED_VALUE"""),44950.9986111111)</f>
        <v>44950.998611111099</v>
      </c>
      <c r="AL1857" s="6">
        <f ca="1">IFERROR(__xludf.DUMMYFUNCTION("""COMPUTED_VALUE"""),22632.03)</f>
        <v>22632.03</v>
      </c>
      <c r="AP1857" s="6" t="str">
        <f t="shared" ca="1" si="519"/>
        <v>20255</v>
      </c>
      <c r="AQ1857" s="6">
        <f t="shared" ca="1" si="520"/>
        <v>2025</v>
      </c>
      <c r="AR1857" s="6">
        <f t="shared" ca="1" si="521"/>
        <v>5</v>
      </c>
      <c r="AS1857" s="68">
        <f ca="1">IFERROR(__xludf.DUMMYFUNCTION("""COMPUTED_VALUE"""),45805.9986111111)</f>
        <v>45805.998611111099</v>
      </c>
      <c r="AT1857" s="6">
        <f ca="1">IFERROR(__xludf.DUMMYFUNCTION("""COMPUTED_VALUE"""),3322.4)</f>
        <v>3322.4</v>
      </c>
    </row>
    <row r="1858" spans="2:46" x14ac:dyDescent="0.35">
      <c r="B1858" s="6" t="str">
        <f t="shared" ca="1" si="504"/>
        <v>20255</v>
      </c>
      <c r="C1858" s="6">
        <f t="shared" ca="1" si="505"/>
        <v>2025</v>
      </c>
      <c r="D1858" s="6">
        <f t="shared" ca="1" si="506"/>
        <v>5</v>
      </c>
      <c r="E1858" s="68">
        <f ca="1">IFERROR(__xludf.DUMMYFUNCTION("""COMPUTED_VALUE"""),45798.6666666666)</f>
        <v>45798.666666666599</v>
      </c>
      <c r="F1858" s="6">
        <f ca="1">IFERROR(__xludf.DUMMYFUNCTION("""COMPUTED_VALUE"""),5844.61)</f>
        <v>5844.61</v>
      </c>
      <c r="J1858" s="6" t="str">
        <f t="shared" ca="1" si="507"/>
        <v>20255</v>
      </c>
      <c r="K1858" s="6">
        <f t="shared" ca="1" si="508"/>
        <v>2025</v>
      </c>
      <c r="L1858" s="6">
        <f t="shared" ca="1" si="509"/>
        <v>5</v>
      </c>
      <c r="M1858" s="68">
        <f ca="1">IFERROR(__xludf.DUMMYFUNCTION("""COMPUTED_VALUE"""),45791.6666666666)</f>
        <v>45791.666666666599</v>
      </c>
      <c r="N1858" s="6">
        <f ca="1">IFERROR(__xludf.DUMMYFUNCTION("""COMPUTED_VALUE"""),19146.81)</f>
        <v>19146.810000000001</v>
      </c>
      <c r="R1858" s="6" t="str">
        <f t="shared" ca="1" si="510"/>
        <v>20257</v>
      </c>
      <c r="S1858" s="6">
        <f t="shared" ca="1" si="511"/>
        <v>2025</v>
      </c>
      <c r="T1858" s="6">
        <f t="shared" ca="1" si="512"/>
        <v>7</v>
      </c>
      <c r="U1858" s="68">
        <f ca="1">IFERROR(__xludf.DUMMYFUNCTION("""COMPUTED_VALUE"""),45867.6458333333)</f>
        <v>45867.645833333299</v>
      </c>
      <c r="V1858" s="6">
        <f ca="1">IFERROR(__xludf.DUMMYFUNCTION("""COMPUTED_VALUE"""),3230.57)</f>
        <v>3230.57</v>
      </c>
      <c r="Z1858" s="6" t="str">
        <f t="shared" ca="1" si="513"/>
        <v>20233</v>
      </c>
      <c r="AA1858" s="6">
        <f t="shared" ca="1" si="514"/>
        <v>2023</v>
      </c>
      <c r="AB1858" s="6">
        <f t="shared" ca="1" si="515"/>
        <v>3</v>
      </c>
      <c r="AC1858" s="68">
        <f ca="1">IFERROR(__xludf.DUMMYFUNCTION("""COMPUTED_VALUE"""),45007.9986111111)</f>
        <v>45007.998611111099</v>
      </c>
      <c r="AD1858" s="6">
        <f ca="1">IFERROR(__xludf.DUMMYFUNCTION("""COMPUTED_VALUE"""),1298.25)</f>
        <v>1298.25</v>
      </c>
      <c r="AH1858" s="6" t="str">
        <f t="shared" ca="1" si="516"/>
        <v>20231</v>
      </c>
      <c r="AI1858" s="6">
        <f t="shared" ca="1" si="517"/>
        <v>2023</v>
      </c>
      <c r="AJ1858" s="6">
        <f t="shared" ca="1" si="518"/>
        <v>1</v>
      </c>
      <c r="AK1858" s="68">
        <f ca="1">IFERROR(__xludf.DUMMYFUNCTION("""COMPUTED_VALUE"""),44951.9986111111)</f>
        <v>44951.998611111099</v>
      </c>
      <c r="AL1858" s="6">
        <f ca="1">IFERROR(__xludf.DUMMYFUNCTION("""COMPUTED_VALUE"""),23042.07)</f>
        <v>23042.07</v>
      </c>
      <c r="AP1858" s="6" t="str">
        <f t="shared" ca="1" si="519"/>
        <v>20255</v>
      </c>
      <c r="AQ1858" s="6">
        <f t="shared" ca="1" si="520"/>
        <v>2025</v>
      </c>
      <c r="AR1858" s="6">
        <f t="shared" ca="1" si="521"/>
        <v>5</v>
      </c>
      <c r="AS1858" s="68">
        <f ca="1">IFERROR(__xludf.DUMMYFUNCTION("""COMPUTED_VALUE"""),45806.9986111111)</f>
        <v>45806.998611111099</v>
      </c>
      <c r="AT1858" s="6">
        <f ca="1">IFERROR(__xludf.DUMMYFUNCTION("""COMPUTED_VALUE"""),3343.9)</f>
        <v>3343.9</v>
      </c>
    </row>
    <row r="1859" spans="2:46" x14ac:dyDescent="0.35">
      <c r="B1859" s="6" t="str">
        <f t="shared" ca="1" si="504"/>
        <v>20255</v>
      </c>
      <c r="C1859" s="6">
        <f t="shared" ca="1" si="505"/>
        <v>2025</v>
      </c>
      <c r="D1859" s="6">
        <f t="shared" ca="1" si="506"/>
        <v>5</v>
      </c>
      <c r="E1859" s="68">
        <f ca="1">IFERROR(__xludf.DUMMYFUNCTION("""COMPUTED_VALUE"""),45799.6666666666)</f>
        <v>45799.666666666599</v>
      </c>
      <c r="F1859" s="6">
        <f ca="1">IFERROR(__xludf.DUMMYFUNCTION("""COMPUTED_VALUE"""),5842.01)</f>
        <v>5842.01</v>
      </c>
      <c r="J1859" s="6" t="str">
        <f t="shared" ca="1" si="507"/>
        <v>20255</v>
      </c>
      <c r="K1859" s="6">
        <f t="shared" ca="1" si="508"/>
        <v>2025</v>
      </c>
      <c r="L1859" s="6">
        <f t="shared" ca="1" si="509"/>
        <v>5</v>
      </c>
      <c r="M1859" s="68">
        <f ca="1">IFERROR(__xludf.DUMMYFUNCTION("""COMPUTED_VALUE"""),45792.6666666666)</f>
        <v>45792.666666666599</v>
      </c>
      <c r="N1859" s="6">
        <f ca="1">IFERROR(__xludf.DUMMYFUNCTION("""COMPUTED_VALUE"""),19112.32)</f>
        <v>19112.32</v>
      </c>
      <c r="R1859" s="6" t="str">
        <f t="shared" ca="1" si="510"/>
        <v>20257</v>
      </c>
      <c r="S1859" s="6">
        <f t="shared" ca="1" si="511"/>
        <v>2025</v>
      </c>
      <c r="T1859" s="6">
        <f t="shared" ca="1" si="512"/>
        <v>7</v>
      </c>
      <c r="U1859" s="68">
        <f ca="1">IFERROR(__xludf.DUMMYFUNCTION("""COMPUTED_VALUE"""),45868.6458333333)</f>
        <v>45868.645833333299</v>
      </c>
      <c r="V1859" s="6">
        <f ca="1">IFERROR(__xludf.DUMMYFUNCTION("""COMPUTED_VALUE"""),3254.47)</f>
        <v>3254.47</v>
      </c>
      <c r="Z1859" s="6" t="str">
        <f t="shared" ca="1" si="513"/>
        <v>20233</v>
      </c>
      <c r="AA1859" s="6">
        <f t="shared" ca="1" si="514"/>
        <v>2023</v>
      </c>
      <c r="AB1859" s="6">
        <f t="shared" ca="1" si="515"/>
        <v>3</v>
      </c>
      <c r="AC1859" s="68">
        <f ca="1">IFERROR(__xludf.DUMMYFUNCTION("""COMPUTED_VALUE"""),45008.9986111111)</f>
        <v>45008.998611111099</v>
      </c>
      <c r="AD1859" s="6">
        <f ca="1">IFERROR(__xludf.DUMMYFUNCTION("""COMPUTED_VALUE"""),1286.29)</f>
        <v>1286.29</v>
      </c>
      <c r="AH1859" s="6" t="str">
        <f t="shared" ca="1" si="516"/>
        <v>20231</v>
      </c>
      <c r="AI1859" s="6">
        <f t="shared" ca="1" si="517"/>
        <v>2023</v>
      </c>
      <c r="AJ1859" s="6">
        <f t="shared" ca="1" si="518"/>
        <v>1</v>
      </c>
      <c r="AK1859" s="68">
        <f ca="1">IFERROR(__xludf.DUMMYFUNCTION("""COMPUTED_VALUE"""),44952.9986111111)</f>
        <v>44952.998611111099</v>
      </c>
      <c r="AL1859" s="6">
        <f ca="1">IFERROR(__xludf.DUMMYFUNCTION("""COMPUTED_VALUE"""),23011.24)</f>
        <v>23011.24</v>
      </c>
      <c r="AP1859" s="6" t="str">
        <f t="shared" ca="1" si="519"/>
        <v>20255</v>
      </c>
      <c r="AQ1859" s="6">
        <f t="shared" ca="1" si="520"/>
        <v>2025</v>
      </c>
      <c r="AR1859" s="6">
        <f t="shared" ca="1" si="521"/>
        <v>5</v>
      </c>
      <c r="AS1859" s="68">
        <f ca="1">IFERROR(__xludf.DUMMYFUNCTION("""COMPUTED_VALUE"""),45807.9986111111)</f>
        <v>45807.998611111099</v>
      </c>
      <c r="AT1859" s="6">
        <f ca="1">IFERROR(__xludf.DUMMYFUNCTION("""COMPUTED_VALUE"""),3315.4)</f>
        <v>3315.4</v>
      </c>
    </row>
    <row r="1860" spans="2:46" x14ac:dyDescent="0.35">
      <c r="B1860" s="6" t="str">
        <f t="shared" ca="1" si="504"/>
        <v>20255</v>
      </c>
      <c r="C1860" s="6">
        <f t="shared" ca="1" si="505"/>
        <v>2025</v>
      </c>
      <c r="D1860" s="6">
        <f t="shared" ca="1" si="506"/>
        <v>5</v>
      </c>
      <c r="E1860" s="68">
        <f ca="1">IFERROR(__xludf.DUMMYFUNCTION("""COMPUTED_VALUE"""),45800.6666666666)</f>
        <v>45800.666666666599</v>
      </c>
      <c r="F1860" s="6">
        <f ca="1">IFERROR(__xludf.DUMMYFUNCTION("""COMPUTED_VALUE"""),5802.82)</f>
        <v>5802.82</v>
      </c>
      <c r="J1860" s="6" t="str">
        <f t="shared" ca="1" si="507"/>
        <v>20255</v>
      </c>
      <c r="K1860" s="6">
        <f t="shared" ca="1" si="508"/>
        <v>2025</v>
      </c>
      <c r="L1860" s="6">
        <f t="shared" ca="1" si="509"/>
        <v>5</v>
      </c>
      <c r="M1860" s="68">
        <f ca="1">IFERROR(__xludf.DUMMYFUNCTION("""COMPUTED_VALUE"""),45793.6666666666)</f>
        <v>45793.666666666599</v>
      </c>
      <c r="N1860" s="6">
        <f ca="1">IFERROR(__xludf.DUMMYFUNCTION("""COMPUTED_VALUE"""),19211.1)</f>
        <v>19211.099999999999</v>
      </c>
      <c r="R1860" s="6" t="str">
        <f t="shared" ca="1" si="510"/>
        <v>20257</v>
      </c>
      <c r="S1860" s="6">
        <f t="shared" ca="1" si="511"/>
        <v>2025</v>
      </c>
      <c r="T1860" s="6">
        <f t="shared" ca="1" si="512"/>
        <v>7</v>
      </c>
      <c r="U1860" s="68">
        <f ca="1">IFERROR(__xludf.DUMMYFUNCTION("""COMPUTED_VALUE"""),45869.6458333333)</f>
        <v>45869.645833333299</v>
      </c>
      <c r="V1860" s="6">
        <f ca="1">IFERROR(__xludf.DUMMYFUNCTION("""COMPUTED_VALUE"""),3245.44)</f>
        <v>3245.44</v>
      </c>
      <c r="Z1860" s="6" t="str">
        <f t="shared" ca="1" si="513"/>
        <v>20233</v>
      </c>
      <c r="AA1860" s="6">
        <f t="shared" ca="1" si="514"/>
        <v>2023</v>
      </c>
      <c r="AB1860" s="6">
        <f t="shared" ca="1" si="515"/>
        <v>3</v>
      </c>
      <c r="AC1860" s="68">
        <f ca="1">IFERROR(__xludf.DUMMYFUNCTION("""COMPUTED_VALUE"""),45009.9986111111)</f>
        <v>45009.998611111099</v>
      </c>
      <c r="AD1860" s="6">
        <f ca="1">IFERROR(__xludf.DUMMYFUNCTION("""COMPUTED_VALUE"""),1294.83)</f>
        <v>1294.83</v>
      </c>
      <c r="AH1860" s="6" t="str">
        <f t="shared" ca="1" si="516"/>
        <v>20231</v>
      </c>
      <c r="AI1860" s="6">
        <f t="shared" ca="1" si="517"/>
        <v>2023</v>
      </c>
      <c r="AJ1860" s="6">
        <f t="shared" ca="1" si="518"/>
        <v>1</v>
      </c>
      <c r="AK1860" s="68">
        <f ca="1">IFERROR(__xludf.DUMMYFUNCTION("""COMPUTED_VALUE"""),44953.9986111111)</f>
        <v>44953.998611111099</v>
      </c>
      <c r="AL1860" s="6">
        <f ca="1">IFERROR(__xludf.DUMMYFUNCTION("""COMPUTED_VALUE"""),23076.87)</f>
        <v>23076.87</v>
      </c>
      <c r="AP1860" s="6" t="str">
        <f t="shared" ca="1" si="519"/>
        <v>20256</v>
      </c>
      <c r="AQ1860" s="6">
        <f t="shared" ca="1" si="520"/>
        <v>2025</v>
      </c>
      <c r="AR1860" s="6">
        <f t="shared" ca="1" si="521"/>
        <v>6</v>
      </c>
      <c r="AS1860" s="68">
        <f ca="1">IFERROR(__xludf.DUMMYFUNCTION("""COMPUTED_VALUE"""),45810.9986111111)</f>
        <v>45810.998611111099</v>
      </c>
      <c r="AT1860" s="6">
        <f ca="1">IFERROR(__xludf.DUMMYFUNCTION("""COMPUTED_VALUE"""),3397.2)</f>
        <v>3397.2</v>
      </c>
    </row>
    <row r="1861" spans="2:46" x14ac:dyDescent="0.35">
      <c r="B1861" s="6" t="str">
        <f t="shared" ca="1" si="504"/>
        <v>20255</v>
      </c>
      <c r="C1861" s="6">
        <f t="shared" ca="1" si="505"/>
        <v>2025</v>
      </c>
      <c r="D1861" s="6">
        <f t="shared" ca="1" si="506"/>
        <v>5</v>
      </c>
      <c r="E1861" s="68">
        <f ca="1">IFERROR(__xludf.DUMMYFUNCTION("""COMPUTED_VALUE"""),45804.6666666666)</f>
        <v>45804.666666666599</v>
      </c>
      <c r="F1861" s="6">
        <f ca="1">IFERROR(__xludf.DUMMYFUNCTION("""COMPUTED_VALUE"""),5921.54)</f>
        <v>5921.54</v>
      </c>
      <c r="J1861" s="6" t="str">
        <f t="shared" ca="1" si="507"/>
        <v>20255</v>
      </c>
      <c r="K1861" s="6">
        <f t="shared" ca="1" si="508"/>
        <v>2025</v>
      </c>
      <c r="L1861" s="6">
        <f t="shared" ca="1" si="509"/>
        <v>5</v>
      </c>
      <c r="M1861" s="68">
        <f ca="1">IFERROR(__xludf.DUMMYFUNCTION("""COMPUTED_VALUE"""),45796.6666666666)</f>
        <v>45796.666666666599</v>
      </c>
      <c r="N1861" s="6">
        <f ca="1">IFERROR(__xludf.DUMMYFUNCTION("""COMPUTED_VALUE"""),19215.46)</f>
        <v>19215.46</v>
      </c>
      <c r="R1861" s="6" t="str">
        <f t="shared" ca="1" si="510"/>
        <v>20258</v>
      </c>
      <c r="S1861" s="6">
        <f t="shared" ca="1" si="511"/>
        <v>2025</v>
      </c>
      <c r="T1861" s="6">
        <f t="shared" ca="1" si="512"/>
        <v>8</v>
      </c>
      <c r="U1861" s="68">
        <f ca="1">IFERROR(__xludf.DUMMYFUNCTION("""COMPUTED_VALUE"""),45870.6458333333)</f>
        <v>45870.645833333299</v>
      </c>
      <c r="V1861" s="6">
        <f ca="1">IFERROR(__xludf.DUMMYFUNCTION("""COMPUTED_VALUE"""),3119.41)</f>
        <v>3119.41</v>
      </c>
      <c r="Z1861" s="6" t="str">
        <f t="shared" ca="1" si="513"/>
        <v>20233</v>
      </c>
      <c r="AA1861" s="6">
        <f t="shared" ca="1" si="514"/>
        <v>2023</v>
      </c>
      <c r="AB1861" s="6">
        <f t="shared" ca="1" si="515"/>
        <v>3</v>
      </c>
      <c r="AC1861" s="68">
        <f ca="1">IFERROR(__xludf.DUMMYFUNCTION("""COMPUTED_VALUE"""),45010.9986111111)</f>
        <v>45010.998611111099</v>
      </c>
      <c r="AD1861" s="6">
        <f ca="1">IFERROR(__xludf.DUMMYFUNCTION("""COMPUTED_VALUE"""),1294.83)</f>
        <v>1294.83</v>
      </c>
      <c r="AH1861" s="6" t="str">
        <f t="shared" ca="1" si="516"/>
        <v>20231</v>
      </c>
      <c r="AI1861" s="6">
        <f t="shared" ca="1" si="517"/>
        <v>2023</v>
      </c>
      <c r="AJ1861" s="6">
        <f t="shared" ca="1" si="518"/>
        <v>1</v>
      </c>
      <c r="AK1861" s="68">
        <f ca="1">IFERROR(__xludf.DUMMYFUNCTION("""COMPUTED_VALUE"""),44954.9986111111)</f>
        <v>44954.998611111099</v>
      </c>
      <c r="AL1861" s="6">
        <f ca="1">IFERROR(__xludf.DUMMYFUNCTION("""COMPUTED_VALUE"""),23027.19)</f>
        <v>23027.19</v>
      </c>
      <c r="AP1861" s="6" t="str">
        <f t="shared" ca="1" si="519"/>
        <v>20256</v>
      </c>
      <c r="AQ1861" s="6">
        <f t="shared" ca="1" si="520"/>
        <v>2025</v>
      </c>
      <c r="AR1861" s="6">
        <f t="shared" ca="1" si="521"/>
        <v>6</v>
      </c>
      <c r="AS1861" s="68">
        <f ca="1">IFERROR(__xludf.DUMMYFUNCTION("""COMPUTED_VALUE"""),45811.9986111111)</f>
        <v>45811.998611111099</v>
      </c>
      <c r="AT1861" s="6">
        <f ca="1">IFERROR(__xludf.DUMMYFUNCTION("""COMPUTED_VALUE"""),3377.1)</f>
        <v>3377.1</v>
      </c>
    </row>
    <row r="1862" spans="2:46" x14ac:dyDescent="0.35">
      <c r="B1862" s="6" t="str">
        <f t="shared" ca="1" si="504"/>
        <v>20255</v>
      </c>
      <c r="C1862" s="6">
        <f t="shared" ca="1" si="505"/>
        <v>2025</v>
      </c>
      <c r="D1862" s="6">
        <f t="shared" ca="1" si="506"/>
        <v>5</v>
      </c>
      <c r="E1862" s="68">
        <f ca="1">IFERROR(__xludf.DUMMYFUNCTION("""COMPUTED_VALUE"""),45805.6666666666)</f>
        <v>45805.666666666599</v>
      </c>
      <c r="F1862" s="6">
        <f ca="1">IFERROR(__xludf.DUMMYFUNCTION("""COMPUTED_VALUE"""),5888.55)</f>
        <v>5888.55</v>
      </c>
      <c r="J1862" s="6" t="str">
        <f t="shared" ca="1" si="507"/>
        <v>20255</v>
      </c>
      <c r="K1862" s="6">
        <f t="shared" ca="1" si="508"/>
        <v>2025</v>
      </c>
      <c r="L1862" s="6">
        <f t="shared" ca="1" si="509"/>
        <v>5</v>
      </c>
      <c r="M1862" s="68">
        <f ca="1">IFERROR(__xludf.DUMMYFUNCTION("""COMPUTED_VALUE"""),45797.6666666666)</f>
        <v>45797.666666666599</v>
      </c>
      <c r="N1862" s="6">
        <f ca="1">IFERROR(__xludf.DUMMYFUNCTION("""COMPUTED_VALUE"""),19142.71)</f>
        <v>19142.71</v>
      </c>
      <c r="R1862" s="6" t="str">
        <f t="shared" ca="1" si="510"/>
        <v>20258</v>
      </c>
      <c r="S1862" s="6">
        <f t="shared" ca="1" si="511"/>
        <v>2025</v>
      </c>
      <c r="T1862" s="6">
        <f t="shared" ca="1" si="512"/>
        <v>8</v>
      </c>
      <c r="U1862" s="68">
        <f ca="1">IFERROR(__xludf.DUMMYFUNCTION("""COMPUTED_VALUE"""),45873.6458333333)</f>
        <v>45873.645833333299</v>
      </c>
      <c r="V1862" s="6">
        <f ca="1">IFERROR(__xludf.DUMMYFUNCTION("""COMPUTED_VALUE"""),3147.75)</f>
        <v>3147.75</v>
      </c>
      <c r="Z1862" s="6" t="str">
        <f t="shared" ca="1" si="513"/>
        <v>20233</v>
      </c>
      <c r="AA1862" s="6">
        <f t="shared" ca="1" si="514"/>
        <v>2023</v>
      </c>
      <c r="AB1862" s="6">
        <f t="shared" ca="1" si="515"/>
        <v>3</v>
      </c>
      <c r="AC1862" s="68">
        <f ca="1">IFERROR(__xludf.DUMMYFUNCTION("""COMPUTED_VALUE"""),45011.9986111111)</f>
        <v>45011.998611111099</v>
      </c>
      <c r="AD1862" s="6">
        <f ca="1">IFERROR(__xludf.DUMMYFUNCTION("""COMPUTED_VALUE"""),1294.83)</f>
        <v>1294.83</v>
      </c>
      <c r="AH1862" s="6" t="str">
        <f t="shared" ca="1" si="516"/>
        <v>20231</v>
      </c>
      <c r="AI1862" s="6">
        <f t="shared" ca="1" si="517"/>
        <v>2023</v>
      </c>
      <c r="AJ1862" s="6">
        <f t="shared" ca="1" si="518"/>
        <v>1</v>
      </c>
      <c r="AK1862" s="68">
        <f ca="1">IFERROR(__xludf.DUMMYFUNCTION("""COMPUTED_VALUE"""),44955.9986111111)</f>
        <v>44955.998611111099</v>
      </c>
      <c r="AL1862" s="6">
        <f ca="1">IFERROR(__xludf.DUMMYFUNCTION("""COMPUTED_VALUE"""),23746.97)</f>
        <v>23746.97</v>
      </c>
      <c r="AP1862" s="6" t="str">
        <f t="shared" ca="1" si="519"/>
        <v>20256</v>
      </c>
      <c r="AQ1862" s="6">
        <f t="shared" ca="1" si="520"/>
        <v>2025</v>
      </c>
      <c r="AR1862" s="6">
        <f t="shared" ca="1" si="521"/>
        <v>6</v>
      </c>
      <c r="AS1862" s="68">
        <f ca="1">IFERROR(__xludf.DUMMYFUNCTION("""COMPUTED_VALUE"""),45812.9986111111)</f>
        <v>45812.998611111099</v>
      </c>
      <c r="AT1862" s="6">
        <f ca="1">IFERROR(__xludf.DUMMYFUNCTION("""COMPUTED_VALUE"""),3399.2)</f>
        <v>3399.2</v>
      </c>
    </row>
    <row r="1863" spans="2:46" x14ac:dyDescent="0.35">
      <c r="B1863" s="6" t="str">
        <f t="shared" ref="B1863:B1926" ca="1" si="522">C1863&amp;D1863</f>
        <v>20255</v>
      </c>
      <c r="C1863" s="6">
        <f t="shared" ref="C1863:C1926" ca="1" si="523">YEAR(E1863)</f>
        <v>2025</v>
      </c>
      <c r="D1863" s="6">
        <f t="shared" ref="D1863:D1926" ca="1" si="524">MONTH(E1863)</f>
        <v>5</v>
      </c>
      <c r="E1863" s="68">
        <f ca="1">IFERROR(__xludf.DUMMYFUNCTION("""COMPUTED_VALUE"""),45806.6666666666)</f>
        <v>45806.666666666599</v>
      </c>
      <c r="F1863" s="6">
        <f ca="1">IFERROR(__xludf.DUMMYFUNCTION("""COMPUTED_VALUE"""),5912.17)</f>
        <v>5912.17</v>
      </c>
      <c r="J1863" s="6" t="str">
        <f t="shared" ref="J1863:J1926" ca="1" si="525">K1863&amp;L1863</f>
        <v>20255</v>
      </c>
      <c r="K1863" s="6">
        <f t="shared" ref="K1863:K1926" ca="1" si="526">YEAR(M1863)</f>
        <v>2025</v>
      </c>
      <c r="L1863" s="6">
        <f t="shared" ref="L1863:L1926" ca="1" si="527">MONTH(M1863)</f>
        <v>5</v>
      </c>
      <c r="M1863" s="68">
        <f ca="1">IFERROR(__xludf.DUMMYFUNCTION("""COMPUTED_VALUE"""),45798.6666666666)</f>
        <v>45798.666666666599</v>
      </c>
      <c r="N1863" s="6">
        <f ca="1">IFERROR(__xludf.DUMMYFUNCTION("""COMPUTED_VALUE"""),18872.64)</f>
        <v>18872.64</v>
      </c>
      <c r="R1863" s="6" t="str">
        <f t="shared" ref="R1863:R1926" ca="1" si="528">S1863&amp;T1863</f>
        <v>20258</v>
      </c>
      <c r="S1863" s="6">
        <f t="shared" ref="S1863:S1926" ca="1" si="529">YEAR(U1863)</f>
        <v>2025</v>
      </c>
      <c r="T1863" s="6">
        <f t="shared" ref="T1863:T1926" ca="1" si="530">MONTH(U1863)</f>
        <v>8</v>
      </c>
      <c r="U1863" s="68">
        <f ca="1">IFERROR(__xludf.DUMMYFUNCTION("""COMPUTED_VALUE"""),45874.6458333333)</f>
        <v>45874.645833333299</v>
      </c>
      <c r="V1863" s="6">
        <f ca="1">IFERROR(__xludf.DUMMYFUNCTION("""COMPUTED_VALUE"""),3198)</f>
        <v>3198</v>
      </c>
      <c r="Z1863" s="6" t="str">
        <f t="shared" ref="Z1863:Z1926" ca="1" si="531">AA1863&amp;AB1863</f>
        <v>20233</v>
      </c>
      <c r="AA1863" s="6">
        <f t="shared" ref="AA1863:AA1926" ca="1" si="532">YEAR(AC1863)</f>
        <v>2023</v>
      </c>
      <c r="AB1863" s="6">
        <f t="shared" ref="AB1863:AB1926" ca="1" si="533">MONTH(AC1863)</f>
        <v>3</v>
      </c>
      <c r="AC1863" s="68">
        <f ca="1">IFERROR(__xludf.DUMMYFUNCTION("""COMPUTED_VALUE"""),45012.9986111111)</f>
        <v>45012.998611111099</v>
      </c>
      <c r="AD1863" s="6">
        <f ca="1">IFERROR(__xludf.DUMMYFUNCTION("""COMPUTED_VALUE"""),1297.8)</f>
        <v>1297.8</v>
      </c>
      <c r="AH1863" s="6" t="str">
        <f t="shared" ref="AH1863:AH1926" ca="1" si="534">AI1863&amp;AJ1863</f>
        <v>20231</v>
      </c>
      <c r="AI1863" s="6">
        <f t="shared" ref="AI1863:AI1926" ca="1" si="535">YEAR(AK1863)</f>
        <v>2023</v>
      </c>
      <c r="AJ1863" s="6">
        <f t="shared" ref="AJ1863:AJ1926" ca="1" si="536">MONTH(AK1863)</f>
        <v>1</v>
      </c>
      <c r="AK1863" s="68">
        <f ca="1">IFERROR(__xludf.DUMMYFUNCTION("""COMPUTED_VALUE"""),44956.9986111111)</f>
        <v>44956.998611111099</v>
      </c>
      <c r="AL1863" s="6">
        <f ca="1">IFERROR(__xludf.DUMMYFUNCTION("""COMPUTED_VALUE"""),22832.76)</f>
        <v>22832.76</v>
      </c>
      <c r="AP1863" s="6" t="str">
        <f t="shared" ref="AP1863:AP1926" ca="1" si="537">AQ1863&amp;AR1863</f>
        <v>20256</v>
      </c>
      <c r="AQ1863" s="6">
        <f t="shared" ref="AQ1863:AQ1926" ca="1" si="538">YEAR(AS1863)</f>
        <v>2025</v>
      </c>
      <c r="AR1863" s="6">
        <f t="shared" ref="AR1863:AR1926" ca="1" si="539">MONTH(AS1863)</f>
        <v>6</v>
      </c>
      <c r="AS1863" s="68">
        <f ca="1">IFERROR(__xludf.DUMMYFUNCTION("""COMPUTED_VALUE"""),45813.9986111111)</f>
        <v>45813.998611111099</v>
      </c>
      <c r="AT1863" s="6">
        <f ca="1">IFERROR(__xludf.DUMMYFUNCTION("""COMPUTED_VALUE"""),3375.1)</f>
        <v>3375.1</v>
      </c>
    </row>
    <row r="1864" spans="2:46" x14ac:dyDescent="0.35">
      <c r="B1864" s="6" t="str">
        <f t="shared" ca="1" si="522"/>
        <v>20255</v>
      </c>
      <c r="C1864" s="6">
        <f t="shared" ca="1" si="523"/>
        <v>2025</v>
      </c>
      <c r="D1864" s="6">
        <f t="shared" ca="1" si="524"/>
        <v>5</v>
      </c>
      <c r="E1864" s="68">
        <f ca="1">IFERROR(__xludf.DUMMYFUNCTION("""COMPUTED_VALUE"""),45807.6666666666)</f>
        <v>45807.666666666599</v>
      </c>
      <c r="F1864" s="6">
        <f ca="1">IFERROR(__xludf.DUMMYFUNCTION("""COMPUTED_VALUE"""),5911.69)</f>
        <v>5911.69</v>
      </c>
      <c r="J1864" s="6" t="str">
        <f t="shared" ca="1" si="525"/>
        <v>20255</v>
      </c>
      <c r="K1864" s="6">
        <f t="shared" ca="1" si="526"/>
        <v>2025</v>
      </c>
      <c r="L1864" s="6">
        <f t="shared" ca="1" si="527"/>
        <v>5</v>
      </c>
      <c r="M1864" s="68">
        <f ca="1">IFERROR(__xludf.DUMMYFUNCTION("""COMPUTED_VALUE"""),45799.6666666666)</f>
        <v>45799.666666666599</v>
      </c>
      <c r="N1864" s="6">
        <f ca="1">IFERROR(__xludf.DUMMYFUNCTION("""COMPUTED_VALUE"""),18925.74)</f>
        <v>18925.740000000002</v>
      </c>
      <c r="R1864" s="6" t="str">
        <f t="shared" ca="1" si="528"/>
        <v>20258</v>
      </c>
      <c r="S1864" s="6">
        <f t="shared" ca="1" si="529"/>
        <v>2025</v>
      </c>
      <c r="T1864" s="6">
        <f t="shared" ca="1" si="530"/>
        <v>8</v>
      </c>
      <c r="U1864" s="68">
        <f ca="1">IFERROR(__xludf.DUMMYFUNCTION("""COMPUTED_VALUE"""),45875.6458333333)</f>
        <v>45875.645833333299</v>
      </c>
      <c r="V1864" s="6">
        <f ca="1">IFERROR(__xludf.DUMMYFUNCTION("""COMPUTED_VALUE"""),3198.14)</f>
        <v>3198.14</v>
      </c>
      <c r="Z1864" s="6" t="str">
        <f t="shared" ca="1" si="531"/>
        <v>20233</v>
      </c>
      <c r="AA1864" s="6">
        <f t="shared" ca="1" si="532"/>
        <v>2023</v>
      </c>
      <c r="AB1864" s="6">
        <f t="shared" ca="1" si="533"/>
        <v>3</v>
      </c>
      <c r="AC1864" s="68">
        <f ca="1">IFERROR(__xludf.DUMMYFUNCTION("""COMPUTED_VALUE"""),45013.9986111111)</f>
        <v>45013.998611111099</v>
      </c>
      <c r="AD1864" s="6">
        <f ca="1">IFERROR(__xludf.DUMMYFUNCTION("""COMPUTED_VALUE"""),1296.98)</f>
        <v>1296.98</v>
      </c>
      <c r="AH1864" s="6" t="str">
        <f t="shared" ca="1" si="534"/>
        <v>20231</v>
      </c>
      <c r="AI1864" s="6">
        <f t="shared" ca="1" si="535"/>
        <v>2023</v>
      </c>
      <c r="AJ1864" s="6">
        <f t="shared" ca="1" si="536"/>
        <v>1</v>
      </c>
      <c r="AK1864" s="68">
        <f ca="1">IFERROR(__xludf.DUMMYFUNCTION("""COMPUTED_VALUE"""),44957.9986111111)</f>
        <v>44957.998611111099</v>
      </c>
      <c r="AL1864" s="6">
        <f ca="1">IFERROR(__xludf.DUMMYFUNCTION("""COMPUTED_VALUE"""),23129.07)</f>
        <v>23129.07</v>
      </c>
      <c r="AP1864" s="6" t="str">
        <f t="shared" ca="1" si="537"/>
        <v>20256</v>
      </c>
      <c r="AQ1864" s="6">
        <f t="shared" ca="1" si="538"/>
        <v>2025</v>
      </c>
      <c r="AR1864" s="6">
        <f t="shared" ca="1" si="539"/>
        <v>6</v>
      </c>
      <c r="AS1864" s="68">
        <f ca="1">IFERROR(__xludf.DUMMYFUNCTION("""COMPUTED_VALUE"""),45814.9986111111)</f>
        <v>45814.998611111099</v>
      </c>
      <c r="AT1864" s="6">
        <f ca="1">IFERROR(__xludf.DUMMYFUNCTION("""COMPUTED_VALUE"""),3346.6)</f>
        <v>3346.6</v>
      </c>
    </row>
    <row r="1865" spans="2:46" x14ac:dyDescent="0.35">
      <c r="B1865" s="6" t="str">
        <f t="shared" ca="1" si="522"/>
        <v>20256</v>
      </c>
      <c r="C1865" s="6">
        <f t="shared" ca="1" si="523"/>
        <v>2025</v>
      </c>
      <c r="D1865" s="6">
        <f t="shared" ca="1" si="524"/>
        <v>6</v>
      </c>
      <c r="E1865" s="68">
        <f ca="1">IFERROR(__xludf.DUMMYFUNCTION("""COMPUTED_VALUE"""),45810.6666666666)</f>
        <v>45810.666666666599</v>
      </c>
      <c r="F1865" s="6">
        <f ca="1">IFERROR(__xludf.DUMMYFUNCTION("""COMPUTED_VALUE"""),5935.94)</f>
        <v>5935.94</v>
      </c>
      <c r="J1865" s="6" t="str">
        <f t="shared" ca="1" si="525"/>
        <v>20255</v>
      </c>
      <c r="K1865" s="6">
        <f t="shared" ca="1" si="526"/>
        <v>2025</v>
      </c>
      <c r="L1865" s="6">
        <f t="shared" ca="1" si="527"/>
        <v>5</v>
      </c>
      <c r="M1865" s="68">
        <f ca="1">IFERROR(__xludf.DUMMYFUNCTION("""COMPUTED_VALUE"""),45800.6666666666)</f>
        <v>45800.666666666599</v>
      </c>
      <c r="N1865" s="6">
        <f ca="1">IFERROR(__xludf.DUMMYFUNCTION("""COMPUTED_VALUE"""),18737.21)</f>
        <v>18737.21</v>
      </c>
      <c r="R1865" s="6" t="str">
        <f t="shared" ca="1" si="528"/>
        <v>20258</v>
      </c>
      <c r="S1865" s="6">
        <f t="shared" ca="1" si="529"/>
        <v>2025</v>
      </c>
      <c r="T1865" s="6">
        <f t="shared" ca="1" si="530"/>
        <v>8</v>
      </c>
      <c r="U1865" s="68">
        <f ca="1">IFERROR(__xludf.DUMMYFUNCTION("""COMPUTED_VALUE"""),45876.6458333333)</f>
        <v>45876.645833333299</v>
      </c>
      <c r="V1865" s="6">
        <f ca="1">IFERROR(__xludf.DUMMYFUNCTION("""COMPUTED_VALUE"""),3227.68)</f>
        <v>3227.68</v>
      </c>
      <c r="Z1865" s="6" t="str">
        <f t="shared" ca="1" si="531"/>
        <v>20233</v>
      </c>
      <c r="AA1865" s="6">
        <f t="shared" ca="1" si="532"/>
        <v>2023</v>
      </c>
      <c r="AB1865" s="6">
        <f t="shared" ca="1" si="533"/>
        <v>3</v>
      </c>
      <c r="AC1865" s="68">
        <f ca="1">IFERROR(__xludf.DUMMYFUNCTION("""COMPUTED_VALUE"""),45014.9986111111)</f>
        <v>45014.998611111099</v>
      </c>
      <c r="AD1865" s="6">
        <f ca="1">IFERROR(__xludf.DUMMYFUNCTION("""COMPUTED_VALUE"""),1307.13)</f>
        <v>1307.1300000000001</v>
      </c>
      <c r="AH1865" s="6" t="str">
        <f t="shared" ca="1" si="534"/>
        <v>20232</v>
      </c>
      <c r="AI1865" s="6">
        <f t="shared" ca="1" si="535"/>
        <v>2023</v>
      </c>
      <c r="AJ1865" s="6">
        <f t="shared" ca="1" si="536"/>
        <v>2</v>
      </c>
      <c r="AK1865" s="68">
        <f ca="1">IFERROR(__xludf.DUMMYFUNCTION("""COMPUTED_VALUE"""),44958.9986111111)</f>
        <v>44958.998611111099</v>
      </c>
      <c r="AL1865" s="6">
        <f ca="1">IFERROR(__xludf.DUMMYFUNCTION("""COMPUTED_VALUE"""),23726.49)</f>
        <v>23726.49</v>
      </c>
      <c r="AP1865" s="6" t="str">
        <f t="shared" ca="1" si="537"/>
        <v>20256</v>
      </c>
      <c r="AQ1865" s="6">
        <f t="shared" ca="1" si="538"/>
        <v>2025</v>
      </c>
      <c r="AR1865" s="6">
        <f t="shared" ca="1" si="539"/>
        <v>6</v>
      </c>
      <c r="AS1865" s="68">
        <f ca="1">IFERROR(__xludf.DUMMYFUNCTION("""COMPUTED_VALUE"""),45817.9986111111)</f>
        <v>45817.998611111099</v>
      </c>
      <c r="AT1865" s="6">
        <f ca="1">IFERROR(__xludf.DUMMYFUNCTION("""COMPUTED_VALUE"""),3354.9)</f>
        <v>3354.9</v>
      </c>
    </row>
    <row r="1866" spans="2:46" x14ac:dyDescent="0.35">
      <c r="B1866" s="6" t="str">
        <f t="shared" ca="1" si="522"/>
        <v>20256</v>
      </c>
      <c r="C1866" s="6">
        <f t="shared" ca="1" si="523"/>
        <v>2025</v>
      </c>
      <c r="D1866" s="6">
        <f t="shared" ca="1" si="524"/>
        <v>6</v>
      </c>
      <c r="E1866" s="68">
        <f ca="1">IFERROR(__xludf.DUMMYFUNCTION("""COMPUTED_VALUE"""),45811.6666666666)</f>
        <v>45811.666666666599</v>
      </c>
      <c r="F1866" s="6">
        <f ca="1">IFERROR(__xludf.DUMMYFUNCTION("""COMPUTED_VALUE"""),5970.37)</f>
        <v>5970.37</v>
      </c>
      <c r="J1866" s="6" t="str">
        <f t="shared" ca="1" si="525"/>
        <v>20255</v>
      </c>
      <c r="K1866" s="6">
        <f t="shared" ca="1" si="526"/>
        <v>2025</v>
      </c>
      <c r="L1866" s="6">
        <f t="shared" ca="1" si="527"/>
        <v>5</v>
      </c>
      <c r="M1866" s="68">
        <f ca="1">IFERROR(__xludf.DUMMYFUNCTION("""COMPUTED_VALUE"""),45804.6666666666)</f>
        <v>45804.666666666599</v>
      </c>
      <c r="N1866" s="6">
        <f ca="1">IFERROR(__xludf.DUMMYFUNCTION("""COMPUTED_VALUE"""),19199.16)</f>
        <v>19199.16</v>
      </c>
      <c r="R1866" s="6" t="str">
        <f t="shared" ca="1" si="528"/>
        <v>20258</v>
      </c>
      <c r="S1866" s="6">
        <f t="shared" ca="1" si="529"/>
        <v>2025</v>
      </c>
      <c r="T1866" s="6">
        <f t="shared" ca="1" si="530"/>
        <v>8</v>
      </c>
      <c r="U1866" s="68">
        <f ca="1">IFERROR(__xludf.DUMMYFUNCTION("""COMPUTED_VALUE"""),45877.6458333333)</f>
        <v>45877.645833333299</v>
      </c>
      <c r="V1866" s="6">
        <f ca="1">IFERROR(__xludf.DUMMYFUNCTION("""COMPUTED_VALUE"""),3210.01)</f>
        <v>3210.01</v>
      </c>
      <c r="Z1866" s="6" t="str">
        <f t="shared" ca="1" si="531"/>
        <v>20233</v>
      </c>
      <c r="AA1866" s="6">
        <f t="shared" ca="1" si="532"/>
        <v>2023</v>
      </c>
      <c r="AB1866" s="6">
        <f t="shared" ca="1" si="533"/>
        <v>3</v>
      </c>
      <c r="AC1866" s="68">
        <f ca="1">IFERROR(__xludf.DUMMYFUNCTION("""COMPUTED_VALUE"""),45015.9986111111)</f>
        <v>45015.998611111099</v>
      </c>
      <c r="AD1866" s="6">
        <f ca="1">IFERROR(__xludf.DUMMYFUNCTION("""COMPUTED_VALUE"""),1296.5)</f>
        <v>1296.5</v>
      </c>
      <c r="AH1866" s="6" t="str">
        <f t="shared" ca="1" si="534"/>
        <v>20232</v>
      </c>
      <c r="AI1866" s="6">
        <f t="shared" ca="1" si="535"/>
        <v>2023</v>
      </c>
      <c r="AJ1866" s="6">
        <f t="shared" ca="1" si="536"/>
        <v>2</v>
      </c>
      <c r="AK1866" s="68">
        <f ca="1">IFERROR(__xludf.DUMMYFUNCTION("""COMPUTED_VALUE"""),44959.9986111111)</f>
        <v>44959.998611111099</v>
      </c>
      <c r="AL1866" s="6">
        <f ca="1">IFERROR(__xludf.DUMMYFUNCTION("""COMPUTED_VALUE"""),23466.61)</f>
        <v>23466.61</v>
      </c>
      <c r="AP1866" s="6" t="str">
        <f t="shared" ca="1" si="537"/>
        <v>20256</v>
      </c>
      <c r="AQ1866" s="6">
        <f t="shared" ca="1" si="538"/>
        <v>2025</v>
      </c>
      <c r="AR1866" s="6">
        <f t="shared" ca="1" si="539"/>
        <v>6</v>
      </c>
      <c r="AS1866" s="68">
        <f ca="1">IFERROR(__xludf.DUMMYFUNCTION("""COMPUTED_VALUE"""),45818.9986111111)</f>
        <v>45818.998611111099</v>
      </c>
      <c r="AT1866" s="6">
        <f ca="1">IFERROR(__xludf.DUMMYFUNCTION("""COMPUTED_VALUE"""),3343.4)</f>
        <v>3343.4</v>
      </c>
    </row>
    <row r="1867" spans="2:46" x14ac:dyDescent="0.35">
      <c r="B1867" s="6" t="str">
        <f t="shared" ca="1" si="522"/>
        <v>20256</v>
      </c>
      <c r="C1867" s="6">
        <f t="shared" ca="1" si="523"/>
        <v>2025</v>
      </c>
      <c r="D1867" s="6">
        <f t="shared" ca="1" si="524"/>
        <v>6</v>
      </c>
      <c r="E1867" s="68">
        <f ca="1">IFERROR(__xludf.DUMMYFUNCTION("""COMPUTED_VALUE"""),45812.6666666666)</f>
        <v>45812.666666666599</v>
      </c>
      <c r="F1867" s="6">
        <f ca="1">IFERROR(__xludf.DUMMYFUNCTION("""COMPUTED_VALUE"""),5970.81)</f>
        <v>5970.81</v>
      </c>
      <c r="J1867" s="6" t="str">
        <f t="shared" ca="1" si="525"/>
        <v>20255</v>
      </c>
      <c r="K1867" s="6">
        <f t="shared" ca="1" si="526"/>
        <v>2025</v>
      </c>
      <c r="L1867" s="6">
        <f t="shared" ca="1" si="527"/>
        <v>5</v>
      </c>
      <c r="M1867" s="68">
        <f ca="1">IFERROR(__xludf.DUMMYFUNCTION("""COMPUTED_VALUE"""),45805.6666666666)</f>
        <v>45805.666666666599</v>
      </c>
      <c r="N1867" s="6">
        <f ca="1">IFERROR(__xludf.DUMMYFUNCTION("""COMPUTED_VALUE"""),19100.94)</f>
        <v>19100.939999999999</v>
      </c>
      <c r="R1867" s="6" t="str">
        <f t="shared" ca="1" si="528"/>
        <v>20258</v>
      </c>
      <c r="S1867" s="6">
        <f t="shared" ca="1" si="529"/>
        <v>2025</v>
      </c>
      <c r="T1867" s="6">
        <f t="shared" ca="1" si="530"/>
        <v>8</v>
      </c>
      <c r="U1867" s="68">
        <f ca="1">IFERROR(__xludf.DUMMYFUNCTION("""COMPUTED_VALUE"""),45880.6458333333)</f>
        <v>45880.645833333299</v>
      </c>
      <c r="V1867" s="6">
        <f ca="1">IFERROR(__xludf.DUMMYFUNCTION("""COMPUTED_VALUE"""),3206.77)</f>
        <v>3206.77</v>
      </c>
      <c r="Z1867" s="6" t="str">
        <f t="shared" ca="1" si="531"/>
        <v>20233</v>
      </c>
      <c r="AA1867" s="6">
        <f t="shared" ca="1" si="532"/>
        <v>2023</v>
      </c>
      <c r="AB1867" s="6">
        <f t="shared" ca="1" si="533"/>
        <v>3</v>
      </c>
      <c r="AC1867" s="68">
        <f ca="1">IFERROR(__xludf.DUMMYFUNCTION("""COMPUTED_VALUE"""),45016.9986111111)</f>
        <v>45016.998611111099</v>
      </c>
      <c r="AD1867" s="6">
        <f ca="1">IFERROR(__xludf.DUMMYFUNCTION("""COMPUTED_VALUE"""),1306.15)</f>
        <v>1306.1500000000001</v>
      </c>
      <c r="AH1867" s="6" t="str">
        <f t="shared" ca="1" si="534"/>
        <v>20232</v>
      </c>
      <c r="AI1867" s="6">
        <f t="shared" ca="1" si="535"/>
        <v>2023</v>
      </c>
      <c r="AJ1867" s="6">
        <f t="shared" ca="1" si="536"/>
        <v>2</v>
      </c>
      <c r="AK1867" s="68">
        <f ca="1">IFERROR(__xludf.DUMMYFUNCTION("""COMPUTED_VALUE"""),44960.9986111111)</f>
        <v>44960.998611111099</v>
      </c>
      <c r="AL1867" s="6">
        <f ca="1">IFERROR(__xludf.DUMMYFUNCTION("""COMPUTED_VALUE"""),23433.82)</f>
        <v>23433.82</v>
      </c>
      <c r="AP1867" s="6" t="str">
        <f t="shared" ca="1" si="537"/>
        <v>20256</v>
      </c>
      <c r="AQ1867" s="6">
        <f t="shared" ca="1" si="538"/>
        <v>2025</v>
      </c>
      <c r="AR1867" s="6">
        <f t="shared" ca="1" si="539"/>
        <v>6</v>
      </c>
      <c r="AS1867" s="68">
        <f ca="1">IFERROR(__xludf.DUMMYFUNCTION("""COMPUTED_VALUE"""),45819.9986111111)</f>
        <v>45819.998611111099</v>
      </c>
      <c r="AT1867" s="6">
        <f ca="1">IFERROR(__xludf.DUMMYFUNCTION("""COMPUTED_VALUE"""),3343.7)</f>
        <v>3343.7</v>
      </c>
    </row>
    <row r="1868" spans="2:46" x14ac:dyDescent="0.35">
      <c r="B1868" s="6" t="str">
        <f t="shared" ca="1" si="522"/>
        <v>20256</v>
      </c>
      <c r="C1868" s="6">
        <f t="shared" ca="1" si="523"/>
        <v>2025</v>
      </c>
      <c r="D1868" s="6">
        <f t="shared" ca="1" si="524"/>
        <v>6</v>
      </c>
      <c r="E1868" s="68">
        <f ca="1">IFERROR(__xludf.DUMMYFUNCTION("""COMPUTED_VALUE"""),45813.6666666666)</f>
        <v>45813.666666666599</v>
      </c>
      <c r="F1868" s="6">
        <f ca="1">IFERROR(__xludf.DUMMYFUNCTION("""COMPUTED_VALUE"""),5939.3)</f>
        <v>5939.3</v>
      </c>
      <c r="J1868" s="6" t="str">
        <f t="shared" ca="1" si="525"/>
        <v>20255</v>
      </c>
      <c r="K1868" s="6">
        <f t="shared" ca="1" si="526"/>
        <v>2025</v>
      </c>
      <c r="L1868" s="6">
        <f t="shared" ca="1" si="527"/>
        <v>5</v>
      </c>
      <c r="M1868" s="68">
        <f ca="1">IFERROR(__xludf.DUMMYFUNCTION("""COMPUTED_VALUE"""),45806.6666666666)</f>
        <v>45806.666666666599</v>
      </c>
      <c r="N1868" s="6">
        <f ca="1">IFERROR(__xludf.DUMMYFUNCTION("""COMPUTED_VALUE"""),19175.87)</f>
        <v>19175.87</v>
      </c>
      <c r="R1868" s="6" t="str">
        <f t="shared" ca="1" si="528"/>
        <v>20258</v>
      </c>
      <c r="S1868" s="6">
        <f t="shared" ca="1" si="529"/>
        <v>2025</v>
      </c>
      <c r="T1868" s="6">
        <f t="shared" ca="1" si="530"/>
        <v>8</v>
      </c>
      <c r="U1868" s="68">
        <f ca="1">IFERROR(__xludf.DUMMYFUNCTION("""COMPUTED_VALUE"""),45881.6458333333)</f>
        <v>45881.645833333299</v>
      </c>
      <c r="V1868" s="6">
        <f ca="1">IFERROR(__xludf.DUMMYFUNCTION("""COMPUTED_VALUE"""),3189.91)</f>
        <v>3189.91</v>
      </c>
      <c r="Z1868" s="6" t="str">
        <f t="shared" ca="1" si="531"/>
        <v>20234</v>
      </c>
      <c r="AA1868" s="6">
        <f t="shared" ca="1" si="532"/>
        <v>2023</v>
      </c>
      <c r="AB1868" s="6">
        <f t="shared" ca="1" si="533"/>
        <v>4</v>
      </c>
      <c r="AC1868" s="68">
        <f ca="1">IFERROR(__xludf.DUMMYFUNCTION("""COMPUTED_VALUE"""),45017.9986111111)</f>
        <v>45017.998611111099</v>
      </c>
      <c r="AD1868" s="6">
        <f ca="1">IFERROR(__xludf.DUMMYFUNCTION("""COMPUTED_VALUE"""),1306.15)</f>
        <v>1306.1500000000001</v>
      </c>
      <c r="AH1868" s="6" t="str">
        <f t="shared" ca="1" si="534"/>
        <v>20232</v>
      </c>
      <c r="AI1868" s="6">
        <f t="shared" ca="1" si="535"/>
        <v>2023</v>
      </c>
      <c r="AJ1868" s="6">
        <f t="shared" ca="1" si="536"/>
        <v>2</v>
      </c>
      <c r="AK1868" s="68">
        <f ca="1">IFERROR(__xludf.DUMMYFUNCTION("""COMPUTED_VALUE"""),44961.9986111111)</f>
        <v>44961.998611111099</v>
      </c>
      <c r="AL1868" s="6">
        <f ca="1">IFERROR(__xludf.DUMMYFUNCTION("""COMPUTED_VALUE"""),23326.39)</f>
        <v>23326.39</v>
      </c>
      <c r="AP1868" s="6" t="str">
        <f t="shared" ca="1" si="537"/>
        <v>20256</v>
      </c>
      <c r="AQ1868" s="6">
        <f t="shared" ca="1" si="538"/>
        <v>2025</v>
      </c>
      <c r="AR1868" s="6">
        <f t="shared" ca="1" si="539"/>
        <v>6</v>
      </c>
      <c r="AS1868" s="68">
        <f ca="1">IFERROR(__xludf.DUMMYFUNCTION("""COMPUTED_VALUE"""),45820.9986111111)</f>
        <v>45820.998611111099</v>
      </c>
      <c r="AT1868" s="6">
        <f ca="1">IFERROR(__xludf.DUMMYFUNCTION("""COMPUTED_VALUE"""),3402.4)</f>
        <v>3402.4</v>
      </c>
    </row>
    <row r="1869" spans="2:46" x14ac:dyDescent="0.35">
      <c r="B1869" s="6" t="str">
        <f t="shared" ca="1" si="522"/>
        <v>20256</v>
      </c>
      <c r="C1869" s="6">
        <f t="shared" ca="1" si="523"/>
        <v>2025</v>
      </c>
      <c r="D1869" s="6">
        <f t="shared" ca="1" si="524"/>
        <v>6</v>
      </c>
      <c r="E1869" s="68">
        <f ca="1">IFERROR(__xludf.DUMMYFUNCTION("""COMPUTED_VALUE"""),45814.6666666666)</f>
        <v>45814.666666666599</v>
      </c>
      <c r="F1869" s="6">
        <f ca="1">IFERROR(__xludf.DUMMYFUNCTION("""COMPUTED_VALUE"""),6000.36)</f>
        <v>6000.36</v>
      </c>
      <c r="J1869" s="6" t="str">
        <f t="shared" ca="1" si="525"/>
        <v>20255</v>
      </c>
      <c r="K1869" s="6">
        <f t="shared" ca="1" si="526"/>
        <v>2025</v>
      </c>
      <c r="L1869" s="6">
        <f t="shared" ca="1" si="527"/>
        <v>5</v>
      </c>
      <c r="M1869" s="68">
        <f ca="1">IFERROR(__xludf.DUMMYFUNCTION("""COMPUTED_VALUE"""),45807.6666666666)</f>
        <v>45807.666666666599</v>
      </c>
      <c r="N1869" s="6">
        <f ca="1">IFERROR(__xludf.DUMMYFUNCTION("""COMPUTED_VALUE"""),19113.77)</f>
        <v>19113.77</v>
      </c>
      <c r="R1869" s="6" t="str">
        <f t="shared" ca="1" si="528"/>
        <v>20258</v>
      </c>
      <c r="S1869" s="6">
        <f t="shared" ca="1" si="529"/>
        <v>2025</v>
      </c>
      <c r="T1869" s="6">
        <f t="shared" ca="1" si="530"/>
        <v>8</v>
      </c>
      <c r="U1869" s="68">
        <f ca="1">IFERROR(__xludf.DUMMYFUNCTION("""COMPUTED_VALUE"""),45882.6458333333)</f>
        <v>45882.645833333299</v>
      </c>
      <c r="V1869" s="6">
        <f ca="1">IFERROR(__xludf.DUMMYFUNCTION("""COMPUTED_VALUE"""),3224.37)</f>
        <v>3224.37</v>
      </c>
      <c r="Z1869" s="6" t="str">
        <f t="shared" ca="1" si="531"/>
        <v>20234</v>
      </c>
      <c r="AA1869" s="6">
        <f t="shared" ca="1" si="532"/>
        <v>2023</v>
      </c>
      <c r="AB1869" s="6">
        <f t="shared" ca="1" si="533"/>
        <v>4</v>
      </c>
      <c r="AC1869" s="68">
        <f ca="1">IFERROR(__xludf.DUMMYFUNCTION("""COMPUTED_VALUE"""),45018.9986111111)</f>
        <v>45018.998611111099</v>
      </c>
      <c r="AD1869" s="6">
        <f ca="1">IFERROR(__xludf.DUMMYFUNCTION("""COMPUTED_VALUE"""),1305.48)</f>
        <v>1305.48</v>
      </c>
      <c r="AH1869" s="6" t="str">
        <f t="shared" ca="1" si="534"/>
        <v>20232</v>
      </c>
      <c r="AI1869" s="6">
        <f t="shared" ca="1" si="535"/>
        <v>2023</v>
      </c>
      <c r="AJ1869" s="6">
        <f t="shared" ca="1" si="536"/>
        <v>2</v>
      </c>
      <c r="AK1869" s="68">
        <f ca="1">IFERROR(__xludf.DUMMYFUNCTION("""COMPUTED_VALUE"""),44962.9986111111)</f>
        <v>44962.998611111099</v>
      </c>
      <c r="AL1869" s="6">
        <f ca="1">IFERROR(__xludf.DUMMYFUNCTION("""COMPUTED_VALUE"""),22935.36)</f>
        <v>22935.360000000001</v>
      </c>
      <c r="AP1869" s="6" t="str">
        <f t="shared" ca="1" si="537"/>
        <v>20256</v>
      </c>
      <c r="AQ1869" s="6">
        <f t="shared" ca="1" si="538"/>
        <v>2025</v>
      </c>
      <c r="AR1869" s="6">
        <f t="shared" ca="1" si="539"/>
        <v>6</v>
      </c>
      <c r="AS1869" s="68">
        <f ca="1">IFERROR(__xludf.DUMMYFUNCTION("""COMPUTED_VALUE"""),45821.9986111111)</f>
        <v>45821.998611111099</v>
      </c>
      <c r="AT1869" s="6">
        <f ca="1">IFERROR(__xludf.DUMMYFUNCTION("""COMPUTED_VALUE"""),3452.8)</f>
        <v>3452.8</v>
      </c>
    </row>
    <row r="1870" spans="2:46" x14ac:dyDescent="0.35">
      <c r="B1870" s="6" t="str">
        <f t="shared" ca="1" si="522"/>
        <v>20256</v>
      </c>
      <c r="C1870" s="6">
        <f t="shared" ca="1" si="523"/>
        <v>2025</v>
      </c>
      <c r="D1870" s="6">
        <f t="shared" ca="1" si="524"/>
        <v>6</v>
      </c>
      <c r="E1870" s="68">
        <f ca="1">IFERROR(__xludf.DUMMYFUNCTION("""COMPUTED_VALUE"""),45817.6666666666)</f>
        <v>45817.666666666599</v>
      </c>
      <c r="F1870" s="6">
        <f ca="1">IFERROR(__xludf.DUMMYFUNCTION("""COMPUTED_VALUE"""),6005.88)</f>
        <v>6005.88</v>
      </c>
      <c r="J1870" s="6" t="str">
        <f t="shared" ca="1" si="525"/>
        <v>20256</v>
      </c>
      <c r="K1870" s="6">
        <f t="shared" ca="1" si="526"/>
        <v>2025</v>
      </c>
      <c r="L1870" s="6">
        <f t="shared" ca="1" si="527"/>
        <v>6</v>
      </c>
      <c r="M1870" s="68">
        <f ca="1">IFERROR(__xludf.DUMMYFUNCTION("""COMPUTED_VALUE"""),45810.6666666666)</f>
        <v>45810.666666666599</v>
      </c>
      <c r="N1870" s="6">
        <f ca="1">IFERROR(__xludf.DUMMYFUNCTION("""COMPUTED_VALUE"""),19242.61)</f>
        <v>19242.61</v>
      </c>
      <c r="R1870" s="6" t="str">
        <f t="shared" ca="1" si="528"/>
        <v>20258</v>
      </c>
      <c r="S1870" s="6">
        <f t="shared" ca="1" si="529"/>
        <v>2025</v>
      </c>
      <c r="T1870" s="6">
        <f t="shared" ca="1" si="530"/>
        <v>8</v>
      </c>
      <c r="U1870" s="68">
        <f ca="1">IFERROR(__xludf.DUMMYFUNCTION("""COMPUTED_VALUE"""),45883.6458333333)</f>
        <v>45883.645833333299</v>
      </c>
      <c r="V1870" s="6">
        <f ca="1">IFERROR(__xludf.DUMMYFUNCTION("""COMPUTED_VALUE"""),3225.66)</f>
        <v>3225.66</v>
      </c>
      <c r="Z1870" s="6" t="str">
        <f t="shared" ca="1" si="531"/>
        <v>20234</v>
      </c>
      <c r="AA1870" s="6">
        <f t="shared" ca="1" si="532"/>
        <v>2023</v>
      </c>
      <c r="AB1870" s="6">
        <f t="shared" ca="1" si="533"/>
        <v>4</v>
      </c>
      <c r="AC1870" s="68">
        <f ca="1">IFERROR(__xludf.DUMMYFUNCTION("""COMPUTED_VALUE"""),45019.9986111111)</f>
        <v>45019.998611111099</v>
      </c>
      <c r="AD1870" s="6">
        <f ca="1">IFERROR(__xludf.DUMMYFUNCTION("""COMPUTED_VALUE"""),1308.05)</f>
        <v>1308.05</v>
      </c>
      <c r="AH1870" s="6" t="str">
        <f t="shared" ca="1" si="534"/>
        <v>20232</v>
      </c>
      <c r="AI1870" s="6">
        <f t="shared" ca="1" si="535"/>
        <v>2023</v>
      </c>
      <c r="AJ1870" s="6">
        <f t="shared" ca="1" si="536"/>
        <v>2</v>
      </c>
      <c r="AK1870" s="68">
        <f ca="1">IFERROR(__xludf.DUMMYFUNCTION("""COMPUTED_VALUE"""),44963.9986111111)</f>
        <v>44963.998611111099</v>
      </c>
      <c r="AL1870" s="6">
        <f ca="1">IFERROR(__xludf.DUMMYFUNCTION("""COMPUTED_VALUE"""),22759.66)</f>
        <v>22759.66</v>
      </c>
      <c r="AP1870" s="6" t="str">
        <f t="shared" ca="1" si="537"/>
        <v>20256</v>
      </c>
      <c r="AQ1870" s="6">
        <f t="shared" ca="1" si="538"/>
        <v>2025</v>
      </c>
      <c r="AR1870" s="6">
        <f t="shared" ca="1" si="539"/>
        <v>6</v>
      </c>
      <c r="AS1870" s="68">
        <f ca="1">IFERROR(__xludf.DUMMYFUNCTION("""COMPUTED_VALUE"""),45824.9986111111)</f>
        <v>45824.998611111099</v>
      </c>
      <c r="AT1870" s="6">
        <f ca="1">IFERROR(__xludf.DUMMYFUNCTION("""COMPUTED_VALUE"""),3417.3)</f>
        <v>3417.3</v>
      </c>
    </row>
    <row r="1871" spans="2:46" x14ac:dyDescent="0.35">
      <c r="B1871" s="6" t="str">
        <f t="shared" ca="1" si="522"/>
        <v>20256</v>
      </c>
      <c r="C1871" s="6">
        <f t="shared" ca="1" si="523"/>
        <v>2025</v>
      </c>
      <c r="D1871" s="6">
        <f t="shared" ca="1" si="524"/>
        <v>6</v>
      </c>
      <c r="E1871" s="68">
        <f ca="1">IFERROR(__xludf.DUMMYFUNCTION("""COMPUTED_VALUE"""),45818.6666666666)</f>
        <v>45818.666666666599</v>
      </c>
      <c r="F1871" s="6">
        <f ca="1">IFERROR(__xludf.DUMMYFUNCTION("""COMPUTED_VALUE"""),6038.81)</f>
        <v>6038.81</v>
      </c>
      <c r="J1871" s="6" t="str">
        <f t="shared" ca="1" si="525"/>
        <v>20256</v>
      </c>
      <c r="K1871" s="6">
        <f t="shared" ca="1" si="526"/>
        <v>2025</v>
      </c>
      <c r="L1871" s="6">
        <f t="shared" ca="1" si="527"/>
        <v>6</v>
      </c>
      <c r="M1871" s="68">
        <f ca="1">IFERROR(__xludf.DUMMYFUNCTION("""COMPUTED_VALUE"""),45811.6666666666)</f>
        <v>45811.666666666599</v>
      </c>
      <c r="N1871" s="6">
        <f ca="1">IFERROR(__xludf.DUMMYFUNCTION("""COMPUTED_VALUE"""),19398.96)</f>
        <v>19398.96</v>
      </c>
      <c r="R1871" s="6" t="str">
        <f t="shared" ca="1" si="528"/>
        <v>20258</v>
      </c>
      <c r="S1871" s="6">
        <f t="shared" ca="1" si="529"/>
        <v>2025</v>
      </c>
      <c r="T1871" s="6">
        <f t="shared" ca="1" si="530"/>
        <v>8</v>
      </c>
      <c r="U1871" s="68">
        <f ca="1">IFERROR(__xludf.DUMMYFUNCTION("""COMPUTED_VALUE"""),45887.6458333333)</f>
        <v>45887.645833333299</v>
      </c>
      <c r="V1871" s="6">
        <f ca="1">IFERROR(__xludf.DUMMYFUNCTION("""COMPUTED_VALUE"""),3177.28)</f>
        <v>3177.28</v>
      </c>
      <c r="Z1871" s="6" t="str">
        <f t="shared" ca="1" si="531"/>
        <v>20234</v>
      </c>
      <c r="AA1871" s="6">
        <f t="shared" ca="1" si="532"/>
        <v>2023</v>
      </c>
      <c r="AB1871" s="6">
        <f t="shared" ca="1" si="533"/>
        <v>4</v>
      </c>
      <c r="AC1871" s="68">
        <f ca="1">IFERROR(__xludf.DUMMYFUNCTION("""COMPUTED_VALUE"""),45020.9986111111)</f>
        <v>45020.998611111099</v>
      </c>
      <c r="AD1871" s="6">
        <f ca="1">IFERROR(__xludf.DUMMYFUNCTION("""COMPUTED_VALUE"""),1312.41)</f>
        <v>1312.41</v>
      </c>
      <c r="AH1871" s="6" t="str">
        <f t="shared" ca="1" si="534"/>
        <v>20232</v>
      </c>
      <c r="AI1871" s="6">
        <f t="shared" ca="1" si="535"/>
        <v>2023</v>
      </c>
      <c r="AJ1871" s="6">
        <f t="shared" ca="1" si="536"/>
        <v>2</v>
      </c>
      <c r="AK1871" s="68">
        <f ca="1">IFERROR(__xludf.DUMMYFUNCTION("""COMPUTED_VALUE"""),44964.9986111111)</f>
        <v>44964.998611111099</v>
      </c>
      <c r="AL1871" s="6">
        <f ca="1">IFERROR(__xludf.DUMMYFUNCTION("""COMPUTED_VALUE"""),23249.69)</f>
        <v>23249.69</v>
      </c>
      <c r="AP1871" s="6" t="str">
        <f t="shared" ca="1" si="537"/>
        <v>20256</v>
      </c>
      <c r="AQ1871" s="6">
        <f t="shared" ca="1" si="538"/>
        <v>2025</v>
      </c>
      <c r="AR1871" s="6">
        <f t="shared" ca="1" si="539"/>
        <v>6</v>
      </c>
      <c r="AS1871" s="68">
        <f ca="1">IFERROR(__xludf.DUMMYFUNCTION("""COMPUTED_VALUE"""),45825.9986111111)</f>
        <v>45825.998611111099</v>
      </c>
      <c r="AT1871" s="6">
        <f ca="1">IFERROR(__xludf.DUMMYFUNCTION("""COMPUTED_VALUE"""),3406.9)</f>
        <v>3406.9</v>
      </c>
    </row>
    <row r="1872" spans="2:46" x14ac:dyDescent="0.35">
      <c r="B1872" s="6" t="str">
        <f t="shared" ca="1" si="522"/>
        <v>20256</v>
      </c>
      <c r="C1872" s="6">
        <f t="shared" ca="1" si="523"/>
        <v>2025</v>
      </c>
      <c r="D1872" s="6">
        <f t="shared" ca="1" si="524"/>
        <v>6</v>
      </c>
      <c r="E1872" s="68">
        <f ca="1">IFERROR(__xludf.DUMMYFUNCTION("""COMPUTED_VALUE"""),45819.6666666666)</f>
        <v>45819.666666666599</v>
      </c>
      <c r="F1872" s="6">
        <f ca="1">IFERROR(__xludf.DUMMYFUNCTION("""COMPUTED_VALUE"""),6022.24)</f>
        <v>6022.24</v>
      </c>
      <c r="J1872" s="6" t="str">
        <f t="shared" ca="1" si="525"/>
        <v>20256</v>
      </c>
      <c r="K1872" s="6">
        <f t="shared" ca="1" si="526"/>
        <v>2025</v>
      </c>
      <c r="L1872" s="6">
        <f t="shared" ca="1" si="527"/>
        <v>6</v>
      </c>
      <c r="M1872" s="68">
        <f ca="1">IFERROR(__xludf.DUMMYFUNCTION("""COMPUTED_VALUE"""),45812.6666666666)</f>
        <v>45812.666666666599</v>
      </c>
      <c r="N1872" s="6">
        <f ca="1">IFERROR(__xludf.DUMMYFUNCTION("""COMPUTED_VALUE"""),19460.49)</f>
        <v>19460.490000000002</v>
      </c>
      <c r="R1872" s="6" t="str">
        <f t="shared" ca="1" si="528"/>
        <v>20258</v>
      </c>
      <c r="S1872" s="6">
        <f t="shared" ca="1" si="529"/>
        <v>2025</v>
      </c>
      <c r="T1872" s="6">
        <f t="shared" ca="1" si="530"/>
        <v>8</v>
      </c>
      <c r="U1872" s="68">
        <f ca="1">IFERROR(__xludf.DUMMYFUNCTION("""COMPUTED_VALUE"""),45888.6458333333)</f>
        <v>45888.645833333299</v>
      </c>
      <c r="V1872" s="6">
        <f ca="1">IFERROR(__xludf.DUMMYFUNCTION("""COMPUTED_VALUE"""),3151.56)</f>
        <v>3151.56</v>
      </c>
      <c r="Z1872" s="6" t="str">
        <f t="shared" ca="1" si="531"/>
        <v>20234</v>
      </c>
      <c r="AA1872" s="6">
        <f t="shared" ca="1" si="532"/>
        <v>2023</v>
      </c>
      <c r="AB1872" s="6">
        <f t="shared" ca="1" si="533"/>
        <v>4</v>
      </c>
      <c r="AC1872" s="68">
        <f ca="1">IFERROR(__xludf.DUMMYFUNCTION("""COMPUTED_VALUE"""),45021.9986111111)</f>
        <v>45021.998611111099</v>
      </c>
      <c r="AD1872" s="6">
        <f ca="1">IFERROR(__xludf.DUMMYFUNCTION("""COMPUTED_VALUE"""),1316.21)</f>
        <v>1316.21</v>
      </c>
      <c r="AH1872" s="6" t="str">
        <f t="shared" ca="1" si="534"/>
        <v>20232</v>
      </c>
      <c r="AI1872" s="6">
        <f t="shared" ca="1" si="535"/>
        <v>2023</v>
      </c>
      <c r="AJ1872" s="6">
        <f t="shared" ca="1" si="536"/>
        <v>2</v>
      </c>
      <c r="AK1872" s="68">
        <f ca="1">IFERROR(__xludf.DUMMYFUNCTION("""COMPUTED_VALUE"""),44965.9986111111)</f>
        <v>44965.998611111099</v>
      </c>
      <c r="AL1872" s="6">
        <f ca="1">IFERROR(__xludf.DUMMYFUNCTION("""COMPUTED_VALUE"""),22962.82)</f>
        <v>22962.82</v>
      </c>
      <c r="AP1872" s="6" t="str">
        <f t="shared" ca="1" si="537"/>
        <v>20256</v>
      </c>
      <c r="AQ1872" s="6">
        <f t="shared" ca="1" si="538"/>
        <v>2025</v>
      </c>
      <c r="AR1872" s="6">
        <f t="shared" ca="1" si="539"/>
        <v>6</v>
      </c>
      <c r="AS1872" s="68">
        <f ca="1">IFERROR(__xludf.DUMMYFUNCTION("""COMPUTED_VALUE"""),45826.9986111111)</f>
        <v>45826.998611111099</v>
      </c>
      <c r="AT1872" s="6">
        <f ca="1">IFERROR(__xludf.DUMMYFUNCTION("""COMPUTED_VALUE"""),3408.1)</f>
        <v>3408.1</v>
      </c>
    </row>
    <row r="1873" spans="2:46" x14ac:dyDescent="0.35">
      <c r="B1873" s="6" t="str">
        <f t="shared" ca="1" si="522"/>
        <v>20256</v>
      </c>
      <c r="C1873" s="6">
        <f t="shared" ca="1" si="523"/>
        <v>2025</v>
      </c>
      <c r="D1873" s="6">
        <f t="shared" ca="1" si="524"/>
        <v>6</v>
      </c>
      <c r="E1873" s="68">
        <f ca="1">IFERROR(__xludf.DUMMYFUNCTION("""COMPUTED_VALUE"""),45820.6666666666)</f>
        <v>45820.666666666599</v>
      </c>
      <c r="F1873" s="6">
        <f ca="1">IFERROR(__xludf.DUMMYFUNCTION("""COMPUTED_VALUE"""),6045.26)</f>
        <v>6045.26</v>
      </c>
      <c r="J1873" s="6" t="str">
        <f t="shared" ca="1" si="525"/>
        <v>20256</v>
      </c>
      <c r="K1873" s="6">
        <f t="shared" ca="1" si="526"/>
        <v>2025</v>
      </c>
      <c r="L1873" s="6">
        <f t="shared" ca="1" si="527"/>
        <v>6</v>
      </c>
      <c r="M1873" s="68">
        <f ca="1">IFERROR(__xludf.DUMMYFUNCTION("""COMPUTED_VALUE"""),45813.6666666666)</f>
        <v>45813.666666666599</v>
      </c>
      <c r="N1873" s="6">
        <f ca="1">IFERROR(__xludf.DUMMYFUNCTION("""COMPUTED_VALUE"""),19298.45)</f>
        <v>19298.45</v>
      </c>
      <c r="R1873" s="6" t="str">
        <f t="shared" ca="1" si="528"/>
        <v>20258</v>
      </c>
      <c r="S1873" s="6">
        <f t="shared" ca="1" si="529"/>
        <v>2025</v>
      </c>
      <c r="T1873" s="6">
        <f t="shared" ca="1" si="530"/>
        <v>8</v>
      </c>
      <c r="U1873" s="68">
        <f ca="1">IFERROR(__xludf.DUMMYFUNCTION("""COMPUTED_VALUE"""),45889.6458333333)</f>
        <v>45889.645833333299</v>
      </c>
      <c r="V1873" s="6">
        <f ca="1">IFERROR(__xludf.DUMMYFUNCTION("""COMPUTED_VALUE"""),3130.09)</f>
        <v>3130.09</v>
      </c>
      <c r="Z1873" s="6" t="str">
        <f t="shared" ca="1" si="531"/>
        <v>20234</v>
      </c>
      <c r="AA1873" s="6">
        <f t="shared" ca="1" si="532"/>
        <v>2023</v>
      </c>
      <c r="AB1873" s="6">
        <f t="shared" ca="1" si="533"/>
        <v>4</v>
      </c>
      <c r="AC1873" s="68">
        <f ca="1">IFERROR(__xludf.DUMMYFUNCTION("""COMPUTED_VALUE"""),45022.9986111111)</f>
        <v>45022.998611111099</v>
      </c>
      <c r="AD1873" s="6">
        <f ca="1">IFERROR(__xludf.DUMMYFUNCTION("""COMPUTED_VALUE"""),1317.94)</f>
        <v>1317.94</v>
      </c>
      <c r="AH1873" s="6" t="str">
        <f t="shared" ca="1" si="534"/>
        <v>20232</v>
      </c>
      <c r="AI1873" s="6">
        <f t="shared" ca="1" si="535"/>
        <v>2023</v>
      </c>
      <c r="AJ1873" s="6">
        <f t="shared" ca="1" si="536"/>
        <v>2</v>
      </c>
      <c r="AK1873" s="68">
        <f ca="1">IFERROR(__xludf.DUMMYFUNCTION("""COMPUTED_VALUE"""),44966.9986111111)</f>
        <v>44966.998611111099</v>
      </c>
      <c r="AL1873" s="6">
        <f ca="1">IFERROR(__xludf.DUMMYFUNCTION("""COMPUTED_VALUE"""),21796.41)</f>
        <v>21796.41</v>
      </c>
      <c r="AP1873" s="6" t="str">
        <f t="shared" ca="1" si="537"/>
        <v>20256</v>
      </c>
      <c r="AQ1873" s="6">
        <f t="shared" ca="1" si="538"/>
        <v>2025</v>
      </c>
      <c r="AR1873" s="6">
        <f t="shared" ca="1" si="539"/>
        <v>6</v>
      </c>
      <c r="AS1873" s="68">
        <f ca="1">IFERROR(__xludf.DUMMYFUNCTION("""COMPUTED_VALUE"""),45828.9986111111)</f>
        <v>45828.998611111099</v>
      </c>
      <c r="AT1873" s="6">
        <f ca="1">IFERROR(__xludf.DUMMYFUNCTION("""COMPUTED_VALUE"""),3385.7)</f>
        <v>3385.7</v>
      </c>
    </row>
    <row r="1874" spans="2:46" x14ac:dyDescent="0.35">
      <c r="B1874" s="6" t="str">
        <f t="shared" ca="1" si="522"/>
        <v>20256</v>
      </c>
      <c r="C1874" s="6">
        <f t="shared" ca="1" si="523"/>
        <v>2025</v>
      </c>
      <c r="D1874" s="6">
        <f t="shared" ca="1" si="524"/>
        <v>6</v>
      </c>
      <c r="E1874" s="68">
        <f ca="1">IFERROR(__xludf.DUMMYFUNCTION("""COMPUTED_VALUE"""),45821.6666666666)</f>
        <v>45821.666666666599</v>
      </c>
      <c r="F1874" s="6">
        <f ca="1">IFERROR(__xludf.DUMMYFUNCTION("""COMPUTED_VALUE"""),5976.97)</f>
        <v>5976.97</v>
      </c>
      <c r="J1874" s="6" t="str">
        <f t="shared" ca="1" si="525"/>
        <v>20256</v>
      </c>
      <c r="K1874" s="6">
        <f t="shared" ca="1" si="526"/>
        <v>2025</v>
      </c>
      <c r="L1874" s="6">
        <f t="shared" ca="1" si="527"/>
        <v>6</v>
      </c>
      <c r="M1874" s="68">
        <f ca="1">IFERROR(__xludf.DUMMYFUNCTION("""COMPUTED_VALUE"""),45814.6666666666)</f>
        <v>45814.666666666599</v>
      </c>
      <c r="N1874" s="6">
        <f ca="1">IFERROR(__xludf.DUMMYFUNCTION("""COMPUTED_VALUE"""),19529.95)</f>
        <v>19529.95</v>
      </c>
      <c r="R1874" s="6" t="str">
        <f t="shared" ca="1" si="528"/>
        <v>20258</v>
      </c>
      <c r="S1874" s="6">
        <f t="shared" ca="1" si="529"/>
        <v>2025</v>
      </c>
      <c r="T1874" s="6">
        <f t="shared" ca="1" si="530"/>
        <v>8</v>
      </c>
      <c r="U1874" s="68">
        <f ca="1">IFERROR(__xludf.DUMMYFUNCTION("""COMPUTED_VALUE"""),45890.6458333333)</f>
        <v>45890.645833333299</v>
      </c>
      <c r="V1874" s="6">
        <f ca="1">IFERROR(__xludf.DUMMYFUNCTION("""COMPUTED_VALUE"""),3141.74)</f>
        <v>3141.74</v>
      </c>
      <c r="Z1874" s="6" t="str">
        <f t="shared" ca="1" si="531"/>
        <v>20234</v>
      </c>
      <c r="AA1874" s="6">
        <f t="shared" ca="1" si="532"/>
        <v>2023</v>
      </c>
      <c r="AB1874" s="6">
        <f t="shared" ca="1" si="533"/>
        <v>4</v>
      </c>
      <c r="AC1874" s="68">
        <f ca="1">IFERROR(__xludf.DUMMYFUNCTION("""COMPUTED_VALUE"""),45023.9986111111)</f>
        <v>45023.998611111099</v>
      </c>
      <c r="AD1874" s="6">
        <f ca="1">IFERROR(__xludf.DUMMYFUNCTION("""COMPUTED_VALUE"""),1315.34)</f>
        <v>1315.34</v>
      </c>
      <c r="AH1874" s="6" t="str">
        <f t="shared" ca="1" si="534"/>
        <v>20232</v>
      </c>
      <c r="AI1874" s="6">
        <f t="shared" ca="1" si="535"/>
        <v>2023</v>
      </c>
      <c r="AJ1874" s="6">
        <f t="shared" ca="1" si="536"/>
        <v>2</v>
      </c>
      <c r="AK1874" s="68">
        <f ca="1">IFERROR(__xludf.DUMMYFUNCTION("""COMPUTED_VALUE"""),44967.9986111111)</f>
        <v>44967.998611111099</v>
      </c>
      <c r="AL1874" s="6">
        <f ca="1">IFERROR(__xludf.DUMMYFUNCTION("""COMPUTED_VALUE"""),21633.82)</f>
        <v>21633.82</v>
      </c>
      <c r="AP1874" s="6" t="str">
        <f t="shared" ca="1" si="537"/>
        <v>20256</v>
      </c>
      <c r="AQ1874" s="6">
        <f t="shared" ca="1" si="538"/>
        <v>2025</v>
      </c>
      <c r="AR1874" s="6">
        <f t="shared" ca="1" si="539"/>
        <v>6</v>
      </c>
      <c r="AS1874" s="68">
        <f ca="1">IFERROR(__xludf.DUMMYFUNCTION("""COMPUTED_VALUE"""),45831.9986111111)</f>
        <v>45831.998611111099</v>
      </c>
      <c r="AT1874" s="6">
        <f ca="1">IFERROR(__xludf.DUMMYFUNCTION("""COMPUTED_VALUE"""),3395)</f>
        <v>3395</v>
      </c>
    </row>
    <row r="1875" spans="2:46" x14ac:dyDescent="0.35">
      <c r="B1875" s="6" t="str">
        <f t="shared" ca="1" si="522"/>
        <v>20256</v>
      </c>
      <c r="C1875" s="6">
        <f t="shared" ca="1" si="523"/>
        <v>2025</v>
      </c>
      <c r="D1875" s="6">
        <f t="shared" ca="1" si="524"/>
        <v>6</v>
      </c>
      <c r="E1875" s="68">
        <f ca="1">IFERROR(__xludf.DUMMYFUNCTION("""COMPUTED_VALUE"""),45824.6666666666)</f>
        <v>45824.666666666599</v>
      </c>
      <c r="F1875" s="6">
        <f ca="1">IFERROR(__xludf.DUMMYFUNCTION("""COMPUTED_VALUE"""),6033.11)</f>
        <v>6033.11</v>
      </c>
      <c r="J1875" s="6" t="str">
        <f t="shared" ca="1" si="525"/>
        <v>20256</v>
      </c>
      <c r="K1875" s="6">
        <f t="shared" ca="1" si="526"/>
        <v>2025</v>
      </c>
      <c r="L1875" s="6">
        <f t="shared" ca="1" si="527"/>
        <v>6</v>
      </c>
      <c r="M1875" s="68">
        <f ca="1">IFERROR(__xludf.DUMMYFUNCTION("""COMPUTED_VALUE"""),45817.6666666666)</f>
        <v>45817.666666666599</v>
      </c>
      <c r="N1875" s="6">
        <f ca="1">IFERROR(__xludf.DUMMYFUNCTION("""COMPUTED_VALUE"""),19591.24)</f>
        <v>19591.240000000002</v>
      </c>
      <c r="R1875" s="6" t="str">
        <f t="shared" ca="1" si="528"/>
        <v>20258</v>
      </c>
      <c r="S1875" s="6">
        <f t="shared" ca="1" si="529"/>
        <v>2025</v>
      </c>
      <c r="T1875" s="6">
        <f t="shared" ca="1" si="530"/>
        <v>8</v>
      </c>
      <c r="U1875" s="68">
        <f ca="1">IFERROR(__xludf.DUMMYFUNCTION("""COMPUTED_VALUE"""),45891.6458333333)</f>
        <v>45891.645833333299</v>
      </c>
      <c r="V1875" s="6">
        <f ca="1">IFERROR(__xludf.DUMMYFUNCTION("""COMPUTED_VALUE"""),3168.73)</f>
        <v>3168.73</v>
      </c>
      <c r="Z1875" s="6" t="str">
        <f t="shared" ca="1" si="531"/>
        <v>20234</v>
      </c>
      <c r="AA1875" s="6">
        <f t="shared" ca="1" si="532"/>
        <v>2023</v>
      </c>
      <c r="AB1875" s="6">
        <f t="shared" ca="1" si="533"/>
        <v>4</v>
      </c>
      <c r="AC1875" s="68">
        <f ca="1">IFERROR(__xludf.DUMMYFUNCTION("""COMPUTED_VALUE"""),45024.9986111111)</f>
        <v>45024.998611111099</v>
      </c>
      <c r="AD1875" s="6">
        <f ca="1">IFERROR(__xludf.DUMMYFUNCTION("""COMPUTED_VALUE"""),1315.44)</f>
        <v>1315.44</v>
      </c>
      <c r="AH1875" s="6" t="str">
        <f t="shared" ca="1" si="534"/>
        <v>20232</v>
      </c>
      <c r="AI1875" s="6">
        <f t="shared" ca="1" si="535"/>
        <v>2023</v>
      </c>
      <c r="AJ1875" s="6">
        <f t="shared" ca="1" si="536"/>
        <v>2</v>
      </c>
      <c r="AK1875" s="68">
        <f ca="1">IFERROR(__xludf.DUMMYFUNCTION("""COMPUTED_VALUE"""),44968.9986111111)</f>
        <v>44968.998611111099</v>
      </c>
      <c r="AL1875" s="6">
        <f ca="1">IFERROR(__xludf.DUMMYFUNCTION("""COMPUTED_VALUE"""),21862.51)</f>
        <v>21862.51</v>
      </c>
      <c r="AP1875" s="6" t="str">
        <f t="shared" ca="1" si="537"/>
        <v>20256</v>
      </c>
      <c r="AQ1875" s="6">
        <f t="shared" ca="1" si="538"/>
        <v>2025</v>
      </c>
      <c r="AR1875" s="6">
        <f t="shared" ca="1" si="539"/>
        <v>6</v>
      </c>
      <c r="AS1875" s="68">
        <f ca="1">IFERROR(__xludf.DUMMYFUNCTION("""COMPUTED_VALUE"""),45832.9986111111)</f>
        <v>45832.998611111099</v>
      </c>
      <c r="AT1875" s="6">
        <f ca="1">IFERROR(__xludf.DUMMYFUNCTION("""COMPUTED_VALUE"""),3333.9)</f>
        <v>3333.9</v>
      </c>
    </row>
    <row r="1876" spans="2:46" x14ac:dyDescent="0.35">
      <c r="B1876" s="6" t="str">
        <f t="shared" ca="1" si="522"/>
        <v>20256</v>
      </c>
      <c r="C1876" s="6">
        <f t="shared" ca="1" si="523"/>
        <v>2025</v>
      </c>
      <c r="D1876" s="6">
        <f t="shared" ca="1" si="524"/>
        <v>6</v>
      </c>
      <c r="E1876" s="68">
        <f ca="1">IFERROR(__xludf.DUMMYFUNCTION("""COMPUTED_VALUE"""),45825.6666666666)</f>
        <v>45825.666666666599</v>
      </c>
      <c r="F1876" s="6">
        <f ca="1">IFERROR(__xludf.DUMMYFUNCTION("""COMPUTED_VALUE"""),5982.72)</f>
        <v>5982.72</v>
      </c>
      <c r="J1876" s="6" t="str">
        <f t="shared" ca="1" si="525"/>
        <v>20256</v>
      </c>
      <c r="K1876" s="6">
        <f t="shared" ca="1" si="526"/>
        <v>2025</v>
      </c>
      <c r="L1876" s="6">
        <f t="shared" ca="1" si="527"/>
        <v>6</v>
      </c>
      <c r="M1876" s="68">
        <f ca="1">IFERROR(__xludf.DUMMYFUNCTION("""COMPUTED_VALUE"""),45818.6666666666)</f>
        <v>45818.666666666599</v>
      </c>
      <c r="N1876" s="6">
        <f ca="1">IFERROR(__xludf.DUMMYFUNCTION("""COMPUTED_VALUE"""),19714.99)</f>
        <v>19714.990000000002</v>
      </c>
      <c r="R1876" s="6" t="str">
        <f t="shared" ca="1" si="528"/>
        <v>20258</v>
      </c>
      <c r="S1876" s="6">
        <f t="shared" ca="1" si="529"/>
        <v>2025</v>
      </c>
      <c r="T1876" s="6">
        <f t="shared" ca="1" si="530"/>
        <v>8</v>
      </c>
      <c r="U1876" s="68">
        <f ca="1">IFERROR(__xludf.DUMMYFUNCTION("""COMPUTED_VALUE"""),45894.6458333333)</f>
        <v>45894.645833333299</v>
      </c>
      <c r="V1876" s="6">
        <f ca="1">IFERROR(__xludf.DUMMYFUNCTION("""COMPUTED_VALUE"""),3209.86)</f>
        <v>3209.86</v>
      </c>
      <c r="Z1876" s="6" t="str">
        <f t="shared" ca="1" si="531"/>
        <v>20234</v>
      </c>
      <c r="AA1876" s="6">
        <f t="shared" ca="1" si="532"/>
        <v>2023</v>
      </c>
      <c r="AB1876" s="6">
        <f t="shared" ca="1" si="533"/>
        <v>4</v>
      </c>
      <c r="AC1876" s="68">
        <f ca="1">IFERROR(__xludf.DUMMYFUNCTION("""COMPUTED_VALUE"""),45025.9986111111)</f>
        <v>45025.998611111099</v>
      </c>
      <c r="AD1876" s="6">
        <f ca="1">IFERROR(__xludf.DUMMYFUNCTION("""COMPUTED_VALUE"""),1315.45)</f>
        <v>1315.45</v>
      </c>
      <c r="AH1876" s="6" t="str">
        <f t="shared" ca="1" si="534"/>
        <v>20232</v>
      </c>
      <c r="AI1876" s="6">
        <f t="shared" ca="1" si="535"/>
        <v>2023</v>
      </c>
      <c r="AJ1876" s="6">
        <f t="shared" ca="1" si="536"/>
        <v>2</v>
      </c>
      <c r="AK1876" s="68">
        <f ca="1">IFERROR(__xludf.DUMMYFUNCTION("""COMPUTED_VALUE"""),44969.9986111111)</f>
        <v>44969.998611111099</v>
      </c>
      <c r="AL1876" s="6">
        <f ca="1">IFERROR(__xludf.DUMMYFUNCTION("""COMPUTED_VALUE"""),21789.02)</f>
        <v>21789.02</v>
      </c>
      <c r="AP1876" s="6" t="str">
        <f t="shared" ca="1" si="537"/>
        <v>20256</v>
      </c>
      <c r="AQ1876" s="6">
        <f t="shared" ca="1" si="538"/>
        <v>2025</v>
      </c>
      <c r="AR1876" s="6">
        <f t="shared" ca="1" si="539"/>
        <v>6</v>
      </c>
      <c r="AS1876" s="68">
        <f ca="1">IFERROR(__xludf.DUMMYFUNCTION("""COMPUTED_VALUE"""),45833.9986111111)</f>
        <v>45833.998611111099</v>
      </c>
      <c r="AT1876" s="6">
        <f ca="1">IFERROR(__xludf.DUMMYFUNCTION("""COMPUTED_VALUE"""),3343.1)</f>
        <v>3343.1</v>
      </c>
    </row>
    <row r="1877" spans="2:46" x14ac:dyDescent="0.35">
      <c r="B1877" s="6" t="str">
        <f t="shared" ca="1" si="522"/>
        <v>20256</v>
      </c>
      <c r="C1877" s="6">
        <f t="shared" ca="1" si="523"/>
        <v>2025</v>
      </c>
      <c r="D1877" s="6">
        <f t="shared" ca="1" si="524"/>
        <v>6</v>
      </c>
      <c r="E1877" s="68">
        <f ca="1">IFERROR(__xludf.DUMMYFUNCTION("""COMPUTED_VALUE"""),45826.6666666666)</f>
        <v>45826.666666666599</v>
      </c>
      <c r="F1877" s="6">
        <f ca="1">IFERROR(__xludf.DUMMYFUNCTION("""COMPUTED_VALUE"""),5980.87)</f>
        <v>5980.87</v>
      </c>
      <c r="J1877" s="6" t="str">
        <f t="shared" ca="1" si="525"/>
        <v>20256</v>
      </c>
      <c r="K1877" s="6">
        <f t="shared" ca="1" si="526"/>
        <v>2025</v>
      </c>
      <c r="L1877" s="6">
        <f t="shared" ca="1" si="527"/>
        <v>6</v>
      </c>
      <c r="M1877" s="68">
        <f ca="1">IFERROR(__xludf.DUMMYFUNCTION("""COMPUTED_VALUE"""),45819.6666666666)</f>
        <v>45819.666666666599</v>
      </c>
      <c r="N1877" s="6">
        <f ca="1">IFERROR(__xludf.DUMMYFUNCTION("""COMPUTED_VALUE"""),19615.88)</f>
        <v>19615.88</v>
      </c>
      <c r="R1877" s="6" t="str">
        <f t="shared" ca="1" si="528"/>
        <v>20258</v>
      </c>
      <c r="S1877" s="6">
        <f t="shared" ca="1" si="529"/>
        <v>2025</v>
      </c>
      <c r="T1877" s="6">
        <f t="shared" ca="1" si="530"/>
        <v>8</v>
      </c>
      <c r="U1877" s="68">
        <f ca="1">IFERROR(__xludf.DUMMYFUNCTION("""COMPUTED_VALUE"""),45895.6458333333)</f>
        <v>45895.645833333299</v>
      </c>
      <c r="V1877" s="6">
        <f ca="1">IFERROR(__xludf.DUMMYFUNCTION("""COMPUTED_VALUE"""),3179.36)</f>
        <v>3179.36</v>
      </c>
      <c r="Z1877" s="6" t="str">
        <f t="shared" ca="1" si="531"/>
        <v>20234</v>
      </c>
      <c r="AA1877" s="6">
        <f t="shared" ca="1" si="532"/>
        <v>2023</v>
      </c>
      <c r="AB1877" s="6">
        <f t="shared" ca="1" si="533"/>
        <v>4</v>
      </c>
      <c r="AC1877" s="68">
        <f ca="1">IFERROR(__xludf.DUMMYFUNCTION("""COMPUTED_VALUE"""),45026.9986111111)</f>
        <v>45026.998611111099</v>
      </c>
      <c r="AD1877" s="6">
        <f ca="1">IFERROR(__xludf.DUMMYFUNCTION("""COMPUTED_VALUE"""),1320.88)</f>
        <v>1320.88</v>
      </c>
      <c r="AH1877" s="6" t="str">
        <f t="shared" ca="1" si="534"/>
        <v>20232</v>
      </c>
      <c r="AI1877" s="6">
        <f t="shared" ca="1" si="535"/>
        <v>2023</v>
      </c>
      <c r="AJ1877" s="6">
        <f t="shared" ca="1" si="536"/>
        <v>2</v>
      </c>
      <c r="AK1877" s="68">
        <f ca="1">IFERROR(__xludf.DUMMYFUNCTION("""COMPUTED_VALUE"""),44970.9986111111)</f>
        <v>44970.998611111099</v>
      </c>
      <c r="AL1877" s="6">
        <f ca="1">IFERROR(__xludf.DUMMYFUNCTION("""COMPUTED_VALUE"""),21786.16)</f>
        <v>21786.16</v>
      </c>
      <c r="AP1877" s="6" t="str">
        <f t="shared" ca="1" si="537"/>
        <v>20256</v>
      </c>
      <c r="AQ1877" s="6">
        <f t="shared" ca="1" si="538"/>
        <v>2025</v>
      </c>
      <c r="AR1877" s="6">
        <f t="shared" ca="1" si="539"/>
        <v>6</v>
      </c>
      <c r="AS1877" s="68">
        <f ca="1">IFERROR(__xludf.DUMMYFUNCTION("""COMPUTED_VALUE"""),45834.9986111111)</f>
        <v>45834.998611111099</v>
      </c>
      <c r="AT1877" s="6">
        <f ca="1">IFERROR(__xludf.DUMMYFUNCTION("""COMPUTED_VALUE"""),3348)</f>
        <v>3348</v>
      </c>
    </row>
    <row r="1878" spans="2:46" x14ac:dyDescent="0.35">
      <c r="B1878" s="6" t="str">
        <f t="shared" ca="1" si="522"/>
        <v>20256</v>
      </c>
      <c r="C1878" s="6">
        <f t="shared" ca="1" si="523"/>
        <v>2025</v>
      </c>
      <c r="D1878" s="6">
        <f t="shared" ca="1" si="524"/>
        <v>6</v>
      </c>
      <c r="E1878" s="68">
        <f ca="1">IFERROR(__xludf.DUMMYFUNCTION("""COMPUTED_VALUE"""),45828.6666666666)</f>
        <v>45828.666666666599</v>
      </c>
      <c r="F1878" s="6">
        <f ca="1">IFERROR(__xludf.DUMMYFUNCTION("""COMPUTED_VALUE"""),5967.84)</f>
        <v>5967.84</v>
      </c>
      <c r="J1878" s="6" t="str">
        <f t="shared" ca="1" si="525"/>
        <v>20256</v>
      </c>
      <c r="K1878" s="6">
        <f t="shared" ca="1" si="526"/>
        <v>2025</v>
      </c>
      <c r="L1878" s="6">
        <f t="shared" ca="1" si="527"/>
        <v>6</v>
      </c>
      <c r="M1878" s="68">
        <f ca="1">IFERROR(__xludf.DUMMYFUNCTION("""COMPUTED_VALUE"""),45820.6666666666)</f>
        <v>45820.666666666599</v>
      </c>
      <c r="N1878" s="6">
        <f ca="1">IFERROR(__xludf.DUMMYFUNCTION("""COMPUTED_VALUE"""),19662.49)</f>
        <v>19662.490000000002</v>
      </c>
      <c r="R1878" s="6" t="str">
        <f t="shared" ca="1" si="528"/>
        <v>20258</v>
      </c>
      <c r="S1878" s="6">
        <f t="shared" ca="1" si="529"/>
        <v>2025</v>
      </c>
      <c r="T1878" s="6">
        <f t="shared" ca="1" si="530"/>
        <v>8</v>
      </c>
      <c r="U1878" s="68">
        <f ca="1">IFERROR(__xludf.DUMMYFUNCTION("""COMPUTED_VALUE"""),45896.6458333333)</f>
        <v>45896.645833333299</v>
      </c>
      <c r="V1878" s="6">
        <f ca="1">IFERROR(__xludf.DUMMYFUNCTION("""COMPUTED_VALUE"""),3187.16)</f>
        <v>3187.16</v>
      </c>
      <c r="Z1878" s="6" t="str">
        <f t="shared" ca="1" si="531"/>
        <v>20234</v>
      </c>
      <c r="AA1878" s="6">
        <f t="shared" ca="1" si="532"/>
        <v>2023</v>
      </c>
      <c r="AB1878" s="6">
        <f t="shared" ca="1" si="533"/>
        <v>4</v>
      </c>
      <c r="AC1878" s="68">
        <f ca="1">IFERROR(__xludf.DUMMYFUNCTION("""COMPUTED_VALUE"""),45027.9986111111)</f>
        <v>45027.998611111099</v>
      </c>
      <c r="AD1878" s="6">
        <f ca="1">IFERROR(__xludf.DUMMYFUNCTION("""COMPUTED_VALUE"""),1322.09)</f>
        <v>1322.09</v>
      </c>
      <c r="AH1878" s="6" t="str">
        <f t="shared" ca="1" si="534"/>
        <v>20232</v>
      </c>
      <c r="AI1878" s="6">
        <f t="shared" ca="1" si="535"/>
        <v>2023</v>
      </c>
      <c r="AJ1878" s="6">
        <f t="shared" ca="1" si="536"/>
        <v>2</v>
      </c>
      <c r="AK1878" s="68">
        <f ca="1">IFERROR(__xludf.DUMMYFUNCTION("""COMPUTED_VALUE"""),44971.9986111111)</f>
        <v>44971.998611111099</v>
      </c>
      <c r="AL1878" s="6">
        <f ca="1">IFERROR(__xludf.DUMMYFUNCTION("""COMPUTED_VALUE"""),22206.75)</f>
        <v>22206.75</v>
      </c>
      <c r="AP1878" s="6" t="str">
        <f t="shared" ca="1" si="537"/>
        <v>20256</v>
      </c>
      <c r="AQ1878" s="6">
        <f t="shared" ca="1" si="538"/>
        <v>2025</v>
      </c>
      <c r="AR1878" s="6">
        <f t="shared" ca="1" si="539"/>
        <v>6</v>
      </c>
      <c r="AS1878" s="68">
        <f ca="1">IFERROR(__xludf.DUMMYFUNCTION("""COMPUTED_VALUE"""),45835.9986111111)</f>
        <v>45835.998611111099</v>
      </c>
      <c r="AT1878" s="6">
        <f ca="1">IFERROR(__xludf.DUMMYFUNCTION("""COMPUTED_VALUE"""),3287.6)</f>
        <v>3287.6</v>
      </c>
    </row>
    <row r="1879" spans="2:46" x14ac:dyDescent="0.35">
      <c r="B1879" s="6" t="str">
        <f t="shared" ca="1" si="522"/>
        <v>20256</v>
      </c>
      <c r="C1879" s="6">
        <f t="shared" ca="1" si="523"/>
        <v>2025</v>
      </c>
      <c r="D1879" s="6">
        <f t="shared" ca="1" si="524"/>
        <v>6</v>
      </c>
      <c r="E1879" s="68">
        <f ca="1">IFERROR(__xludf.DUMMYFUNCTION("""COMPUTED_VALUE"""),45831.6666666666)</f>
        <v>45831.666666666599</v>
      </c>
      <c r="F1879" s="6">
        <f ca="1">IFERROR(__xludf.DUMMYFUNCTION("""COMPUTED_VALUE"""),6025.17)</f>
        <v>6025.17</v>
      </c>
      <c r="J1879" s="6" t="str">
        <f t="shared" ca="1" si="525"/>
        <v>20256</v>
      </c>
      <c r="K1879" s="6">
        <f t="shared" ca="1" si="526"/>
        <v>2025</v>
      </c>
      <c r="L1879" s="6">
        <f t="shared" ca="1" si="527"/>
        <v>6</v>
      </c>
      <c r="M1879" s="68">
        <f ca="1">IFERROR(__xludf.DUMMYFUNCTION("""COMPUTED_VALUE"""),45821.6666666666)</f>
        <v>45821.666666666599</v>
      </c>
      <c r="N1879" s="6">
        <f ca="1">IFERROR(__xludf.DUMMYFUNCTION("""COMPUTED_VALUE"""),19406.83)</f>
        <v>19406.830000000002</v>
      </c>
      <c r="R1879" s="6" t="str">
        <f t="shared" ca="1" si="528"/>
        <v>20258</v>
      </c>
      <c r="S1879" s="6">
        <f t="shared" ca="1" si="529"/>
        <v>2025</v>
      </c>
      <c r="T1879" s="6">
        <f t="shared" ca="1" si="530"/>
        <v>8</v>
      </c>
      <c r="U1879" s="68">
        <f ca="1">IFERROR(__xludf.DUMMYFUNCTION("""COMPUTED_VALUE"""),45897.6458333333)</f>
        <v>45897.645833333299</v>
      </c>
      <c r="V1879" s="6">
        <f ca="1">IFERROR(__xludf.DUMMYFUNCTION("""COMPUTED_VALUE"""),3196.32)</f>
        <v>3196.32</v>
      </c>
      <c r="Z1879" s="6" t="str">
        <f t="shared" ca="1" si="531"/>
        <v>20234</v>
      </c>
      <c r="AA1879" s="6">
        <f t="shared" ca="1" si="532"/>
        <v>2023</v>
      </c>
      <c r="AB1879" s="6">
        <f t="shared" ca="1" si="533"/>
        <v>4</v>
      </c>
      <c r="AC1879" s="68">
        <f ca="1">IFERROR(__xludf.DUMMYFUNCTION("""COMPUTED_VALUE"""),45028.9986111111)</f>
        <v>45028.998611111099</v>
      </c>
      <c r="AD1879" s="6">
        <f ca="1">IFERROR(__xludf.DUMMYFUNCTION("""COMPUTED_VALUE"""),1322.83)</f>
        <v>1322.83</v>
      </c>
      <c r="AH1879" s="6" t="str">
        <f t="shared" ca="1" si="534"/>
        <v>20232</v>
      </c>
      <c r="AI1879" s="6">
        <f t="shared" ca="1" si="535"/>
        <v>2023</v>
      </c>
      <c r="AJ1879" s="6">
        <f t="shared" ca="1" si="536"/>
        <v>2</v>
      </c>
      <c r="AK1879" s="68">
        <f ca="1">IFERROR(__xludf.DUMMYFUNCTION("""COMPUTED_VALUE"""),44972.9986111111)</f>
        <v>44972.998611111099</v>
      </c>
      <c r="AL1879" s="6">
        <f ca="1">IFERROR(__xludf.DUMMYFUNCTION("""COMPUTED_VALUE"""),24331.48)</f>
        <v>24331.48</v>
      </c>
      <c r="AP1879" s="6" t="str">
        <f t="shared" ca="1" si="537"/>
        <v>20256</v>
      </c>
      <c r="AQ1879" s="6">
        <f t="shared" ca="1" si="538"/>
        <v>2025</v>
      </c>
      <c r="AR1879" s="6">
        <f t="shared" ca="1" si="539"/>
        <v>6</v>
      </c>
      <c r="AS1879" s="68">
        <f ca="1">IFERROR(__xludf.DUMMYFUNCTION("""COMPUTED_VALUE"""),45838.9986111111)</f>
        <v>45838.998611111099</v>
      </c>
      <c r="AT1879" s="6">
        <f ca="1">IFERROR(__xludf.DUMMYFUNCTION("""COMPUTED_VALUE"""),3307.7)</f>
        <v>3307.7</v>
      </c>
    </row>
    <row r="1880" spans="2:46" x14ac:dyDescent="0.35">
      <c r="B1880" s="6" t="str">
        <f t="shared" ca="1" si="522"/>
        <v>20256</v>
      </c>
      <c r="C1880" s="6">
        <f t="shared" ca="1" si="523"/>
        <v>2025</v>
      </c>
      <c r="D1880" s="6">
        <f t="shared" ca="1" si="524"/>
        <v>6</v>
      </c>
      <c r="E1880" s="68">
        <f ca="1">IFERROR(__xludf.DUMMYFUNCTION("""COMPUTED_VALUE"""),45832.6666666666)</f>
        <v>45832.666666666599</v>
      </c>
      <c r="F1880" s="6">
        <f ca="1">IFERROR(__xludf.DUMMYFUNCTION("""COMPUTED_VALUE"""),6092.18)</f>
        <v>6092.18</v>
      </c>
      <c r="J1880" s="6" t="str">
        <f t="shared" ca="1" si="525"/>
        <v>20256</v>
      </c>
      <c r="K1880" s="6">
        <f t="shared" ca="1" si="526"/>
        <v>2025</v>
      </c>
      <c r="L1880" s="6">
        <f t="shared" ca="1" si="527"/>
        <v>6</v>
      </c>
      <c r="M1880" s="68">
        <f ca="1">IFERROR(__xludf.DUMMYFUNCTION("""COMPUTED_VALUE"""),45824.6666666666)</f>
        <v>45824.666666666599</v>
      </c>
      <c r="N1880" s="6">
        <f ca="1">IFERROR(__xludf.DUMMYFUNCTION("""COMPUTED_VALUE"""),19701.21)</f>
        <v>19701.21</v>
      </c>
      <c r="R1880" s="6" t="str">
        <f t="shared" ca="1" si="528"/>
        <v>20258</v>
      </c>
      <c r="S1880" s="6">
        <f t="shared" ca="1" si="529"/>
        <v>2025</v>
      </c>
      <c r="T1880" s="6">
        <f t="shared" ca="1" si="530"/>
        <v>8</v>
      </c>
      <c r="U1880" s="68">
        <f ca="1">IFERROR(__xludf.DUMMYFUNCTION("""COMPUTED_VALUE"""),45898.6458333333)</f>
        <v>45898.645833333299</v>
      </c>
      <c r="V1880" s="6">
        <f ca="1">IFERROR(__xludf.DUMMYFUNCTION("""COMPUTED_VALUE"""),3186.01)</f>
        <v>3186.01</v>
      </c>
      <c r="Z1880" s="6" t="str">
        <f t="shared" ca="1" si="531"/>
        <v>20234</v>
      </c>
      <c r="AA1880" s="6">
        <f t="shared" ca="1" si="532"/>
        <v>2023</v>
      </c>
      <c r="AB1880" s="6">
        <f t="shared" ca="1" si="533"/>
        <v>4</v>
      </c>
      <c r="AC1880" s="68">
        <f ca="1">IFERROR(__xludf.DUMMYFUNCTION("""COMPUTED_VALUE"""),45029.9986111111)</f>
        <v>45029.998611111099</v>
      </c>
      <c r="AD1880" s="6">
        <f ca="1">IFERROR(__xludf.DUMMYFUNCTION("""COMPUTED_VALUE"""),1301.43)</f>
        <v>1301.43</v>
      </c>
      <c r="AH1880" s="6" t="str">
        <f t="shared" ca="1" si="534"/>
        <v>20232</v>
      </c>
      <c r="AI1880" s="6">
        <f t="shared" ca="1" si="535"/>
        <v>2023</v>
      </c>
      <c r="AJ1880" s="6">
        <f t="shared" ca="1" si="536"/>
        <v>2</v>
      </c>
      <c r="AK1880" s="68">
        <f ca="1">IFERROR(__xludf.DUMMYFUNCTION("""COMPUTED_VALUE"""),44973.9986111111)</f>
        <v>44973.998611111099</v>
      </c>
      <c r="AL1880" s="6">
        <f ca="1">IFERROR(__xludf.DUMMYFUNCTION("""COMPUTED_VALUE"""),23553.45)</f>
        <v>23553.45</v>
      </c>
      <c r="AP1880" s="6" t="str">
        <f t="shared" ca="1" si="537"/>
        <v>20257</v>
      </c>
      <c r="AQ1880" s="6">
        <f t="shared" ca="1" si="538"/>
        <v>2025</v>
      </c>
      <c r="AR1880" s="6">
        <f t="shared" ca="1" si="539"/>
        <v>7</v>
      </c>
      <c r="AS1880" s="68">
        <f ca="1">IFERROR(__xludf.DUMMYFUNCTION("""COMPUTED_VALUE"""),45839.9986111111)</f>
        <v>45839.998611111099</v>
      </c>
      <c r="AT1880" s="6">
        <f ca="1">IFERROR(__xludf.DUMMYFUNCTION("""COMPUTED_VALUE"""),3349.8)</f>
        <v>3349.8</v>
      </c>
    </row>
    <row r="1881" spans="2:46" x14ac:dyDescent="0.35">
      <c r="B1881" s="6" t="str">
        <f t="shared" ca="1" si="522"/>
        <v>20256</v>
      </c>
      <c r="C1881" s="6">
        <f t="shared" ca="1" si="523"/>
        <v>2025</v>
      </c>
      <c r="D1881" s="6">
        <f t="shared" ca="1" si="524"/>
        <v>6</v>
      </c>
      <c r="E1881" s="68">
        <f ca="1">IFERROR(__xludf.DUMMYFUNCTION("""COMPUTED_VALUE"""),45833.6666666666)</f>
        <v>45833.666666666599</v>
      </c>
      <c r="F1881" s="6">
        <f ca="1">IFERROR(__xludf.DUMMYFUNCTION("""COMPUTED_VALUE"""),6092.16)</f>
        <v>6092.16</v>
      </c>
      <c r="J1881" s="6" t="str">
        <f t="shared" ca="1" si="525"/>
        <v>20256</v>
      </c>
      <c r="K1881" s="6">
        <f t="shared" ca="1" si="526"/>
        <v>2025</v>
      </c>
      <c r="L1881" s="6">
        <f t="shared" ca="1" si="527"/>
        <v>6</v>
      </c>
      <c r="M1881" s="68">
        <f ca="1">IFERROR(__xludf.DUMMYFUNCTION("""COMPUTED_VALUE"""),45825.6666666666)</f>
        <v>45825.666666666599</v>
      </c>
      <c r="N1881" s="6">
        <f ca="1">IFERROR(__xludf.DUMMYFUNCTION("""COMPUTED_VALUE"""),19521.09)</f>
        <v>19521.09</v>
      </c>
      <c r="R1881" s="6" t="str">
        <f t="shared" ca="1" si="528"/>
        <v>20259</v>
      </c>
      <c r="S1881" s="6">
        <f t="shared" ca="1" si="529"/>
        <v>2025</v>
      </c>
      <c r="T1881" s="6">
        <f t="shared" ca="1" si="530"/>
        <v>9</v>
      </c>
      <c r="U1881" s="68">
        <f ca="1">IFERROR(__xludf.DUMMYFUNCTION("""COMPUTED_VALUE"""),45901.6458333333)</f>
        <v>45901.645833333299</v>
      </c>
      <c r="V1881" s="6">
        <f ca="1">IFERROR(__xludf.DUMMYFUNCTION("""COMPUTED_VALUE"""),3142.93)</f>
        <v>3142.93</v>
      </c>
      <c r="Z1881" s="6" t="str">
        <f t="shared" ca="1" si="531"/>
        <v>20234</v>
      </c>
      <c r="AA1881" s="6">
        <f t="shared" ca="1" si="532"/>
        <v>2023</v>
      </c>
      <c r="AB1881" s="6">
        <f t="shared" ca="1" si="533"/>
        <v>4</v>
      </c>
      <c r="AC1881" s="68">
        <f ca="1">IFERROR(__xludf.DUMMYFUNCTION("""COMPUTED_VALUE"""),45030.9986111111)</f>
        <v>45030.998611111099</v>
      </c>
      <c r="AD1881" s="6">
        <f ca="1">IFERROR(__xludf.DUMMYFUNCTION("""COMPUTED_VALUE"""),1303.95)</f>
        <v>1303.95</v>
      </c>
      <c r="AH1881" s="6" t="str">
        <f t="shared" ca="1" si="534"/>
        <v>20232</v>
      </c>
      <c r="AI1881" s="6">
        <f t="shared" ca="1" si="535"/>
        <v>2023</v>
      </c>
      <c r="AJ1881" s="6">
        <f t="shared" ca="1" si="536"/>
        <v>2</v>
      </c>
      <c r="AK1881" s="68">
        <f ca="1">IFERROR(__xludf.DUMMYFUNCTION("""COMPUTED_VALUE"""),44974.9986111111)</f>
        <v>44974.998611111099</v>
      </c>
      <c r="AL1881" s="6">
        <f ca="1">IFERROR(__xludf.DUMMYFUNCTION("""COMPUTED_VALUE"""),24574.44)</f>
        <v>24574.44</v>
      </c>
      <c r="AP1881" s="6" t="str">
        <f t="shared" ca="1" si="537"/>
        <v>20257</v>
      </c>
      <c r="AQ1881" s="6">
        <f t="shared" ca="1" si="538"/>
        <v>2025</v>
      </c>
      <c r="AR1881" s="6">
        <f t="shared" ca="1" si="539"/>
        <v>7</v>
      </c>
      <c r="AS1881" s="68">
        <f ca="1">IFERROR(__xludf.DUMMYFUNCTION("""COMPUTED_VALUE"""),45840.9986111111)</f>
        <v>45840.998611111099</v>
      </c>
      <c r="AT1881" s="6">
        <f ca="1">IFERROR(__xludf.DUMMYFUNCTION("""COMPUTED_VALUE"""),3359.7)</f>
        <v>3359.7</v>
      </c>
    </row>
    <row r="1882" spans="2:46" x14ac:dyDescent="0.35">
      <c r="B1882" s="6" t="str">
        <f t="shared" ca="1" si="522"/>
        <v>20256</v>
      </c>
      <c r="C1882" s="6">
        <f t="shared" ca="1" si="523"/>
        <v>2025</v>
      </c>
      <c r="D1882" s="6">
        <f t="shared" ca="1" si="524"/>
        <v>6</v>
      </c>
      <c r="E1882" s="68">
        <f ca="1">IFERROR(__xludf.DUMMYFUNCTION("""COMPUTED_VALUE"""),45834.6666666666)</f>
        <v>45834.666666666599</v>
      </c>
      <c r="F1882" s="6">
        <f ca="1">IFERROR(__xludf.DUMMYFUNCTION("""COMPUTED_VALUE"""),6141.02)</f>
        <v>6141.02</v>
      </c>
      <c r="J1882" s="6" t="str">
        <f t="shared" ca="1" si="525"/>
        <v>20256</v>
      </c>
      <c r="K1882" s="6">
        <f t="shared" ca="1" si="526"/>
        <v>2025</v>
      </c>
      <c r="L1882" s="6">
        <f t="shared" ca="1" si="527"/>
        <v>6</v>
      </c>
      <c r="M1882" s="68">
        <f ca="1">IFERROR(__xludf.DUMMYFUNCTION("""COMPUTED_VALUE"""),45826.6666666666)</f>
        <v>45826.666666666599</v>
      </c>
      <c r="N1882" s="6">
        <f ca="1">IFERROR(__xludf.DUMMYFUNCTION("""COMPUTED_VALUE"""),19546.27)</f>
        <v>19546.27</v>
      </c>
      <c r="R1882" s="6" t="str">
        <f t="shared" ca="1" si="528"/>
        <v>20259</v>
      </c>
      <c r="S1882" s="6">
        <f t="shared" ca="1" si="529"/>
        <v>2025</v>
      </c>
      <c r="T1882" s="6">
        <f t="shared" ca="1" si="530"/>
        <v>9</v>
      </c>
      <c r="U1882" s="68">
        <f ca="1">IFERROR(__xludf.DUMMYFUNCTION("""COMPUTED_VALUE"""),45902.6458333333)</f>
        <v>45902.645833333299</v>
      </c>
      <c r="V1882" s="6">
        <f ca="1">IFERROR(__xludf.DUMMYFUNCTION("""COMPUTED_VALUE"""),3172.35)</f>
        <v>3172.35</v>
      </c>
      <c r="Z1882" s="6" t="str">
        <f t="shared" ca="1" si="531"/>
        <v>20234</v>
      </c>
      <c r="AA1882" s="6">
        <f t="shared" ca="1" si="532"/>
        <v>2023</v>
      </c>
      <c r="AB1882" s="6">
        <f t="shared" ca="1" si="533"/>
        <v>4</v>
      </c>
      <c r="AC1882" s="68">
        <f ca="1">IFERROR(__xludf.DUMMYFUNCTION("""COMPUTED_VALUE"""),45031.9986111111)</f>
        <v>45031.998611111099</v>
      </c>
      <c r="AD1882" s="6">
        <f ca="1">IFERROR(__xludf.DUMMYFUNCTION("""COMPUTED_VALUE"""),1303.55)</f>
        <v>1303.55</v>
      </c>
      <c r="AH1882" s="6" t="str">
        <f t="shared" ca="1" si="534"/>
        <v>20232</v>
      </c>
      <c r="AI1882" s="6">
        <f t="shared" ca="1" si="535"/>
        <v>2023</v>
      </c>
      <c r="AJ1882" s="6">
        <f t="shared" ca="1" si="536"/>
        <v>2</v>
      </c>
      <c r="AK1882" s="68">
        <f ca="1">IFERROR(__xludf.DUMMYFUNCTION("""COMPUTED_VALUE"""),44975.9986111111)</f>
        <v>44975.998611111099</v>
      </c>
      <c r="AL1882" s="6">
        <f ca="1">IFERROR(__xludf.DUMMYFUNCTION("""COMPUTED_VALUE"""),24634.69)</f>
        <v>24634.69</v>
      </c>
      <c r="AP1882" s="6" t="str">
        <f t="shared" ca="1" si="537"/>
        <v>20257</v>
      </c>
      <c r="AQ1882" s="6">
        <f t="shared" ca="1" si="538"/>
        <v>2025</v>
      </c>
      <c r="AR1882" s="6">
        <f t="shared" ca="1" si="539"/>
        <v>7</v>
      </c>
      <c r="AS1882" s="68">
        <f ca="1">IFERROR(__xludf.DUMMYFUNCTION("""COMPUTED_VALUE"""),45841.5416666666)</f>
        <v>45841.541666666599</v>
      </c>
      <c r="AT1882" s="6">
        <f ca="1">IFERROR(__xludf.DUMMYFUNCTION("""COMPUTED_VALUE"""),3342.9)</f>
        <v>3342.9</v>
      </c>
    </row>
    <row r="1883" spans="2:46" x14ac:dyDescent="0.35">
      <c r="B1883" s="6" t="str">
        <f t="shared" ca="1" si="522"/>
        <v>20256</v>
      </c>
      <c r="C1883" s="6">
        <f t="shared" ca="1" si="523"/>
        <v>2025</v>
      </c>
      <c r="D1883" s="6">
        <f t="shared" ca="1" si="524"/>
        <v>6</v>
      </c>
      <c r="E1883" s="68">
        <f ca="1">IFERROR(__xludf.DUMMYFUNCTION("""COMPUTED_VALUE"""),45835.6666666666)</f>
        <v>45835.666666666599</v>
      </c>
      <c r="F1883" s="6">
        <f ca="1">IFERROR(__xludf.DUMMYFUNCTION("""COMPUTED_VALUE"""),6173.07)</f>
        <v>6173.07</v>
      </c>
      <c r="J1883" s="6" t="str">
        <f t="shared" ca="1" si="525"/>
        <v>20256</v>
      </c>
      <c r="K1883" s="6">
        <f t="shared" ca="1" si="526"/>
        <v>2025</v>
      </c>
      <c r="L1883" s="6">
        <f t="shared" ca="1" si="527"/>
        <v>6</v>
      </c>
      <c r="M1883" s="68">
        <f ca="1">IFERROR(__xludf.DUMMYFUNCTION("""COMPUTED_VALUE"""),45828.6666666666)</f>
        <v>45828.666666666599</v>
      </c>
      <c r="N1883" s="6">
        <f ca="1">IFERROR(__xludf.DUMMYFUNCTION("""COMPUTED_VALUE"""),19447.41)</f>
        <v>19447.41</v>
      </c>
      <c r="R1883" s="6" t="str">
        <f t="shared" ca="1" si="528"/>
        <v>20259</v>
      </c>
      <c r="S1883" s="6">
        <f t="shared" ca="1" si="529"/>
        <v>2025</v>
      </c>
      <c r="T1883" s="6">
        <f t="shared" ca="1" si="530"/>
        <v>9</v>
      </c>
      <c r="U1883" s="68">
        <f ca="1">IFERROR(__xludf.DUMMYFUNCTION("""COMPUTED_VALUE"""),45903.6458333333)</f>
        <v>45903.645833333299</v>
      </c>
      <c r="V1883" s="6">
        <f ca="1">IFERROR(__xludf.DUMMYFUNCTION("""COMPUTED_VALUE"""),3184.42)</f>
        <v>3184.42</v>
      </c>
      <c r="Z1883" s="6" t="str">
        <f t="shared" ca="1" si="531"/>
        <v>20234</v>
      </c>
      <c r="AA1883" s="6">
        <f t="shared" ca="1" si="532"/>
        <v>2023</v>
      </c>
      <c r="AB1883" s="6">
        <f t="shared" ca="1" si="533"/>
        <v>4</v>
      </c>
      <c r="AC1883" s="68">
        <f ca="1">IFERROR(__xludf.DUMMYFUNCTION("""COMPUTED_VALUE"""),45032.9986111111)</f>
        <v>45032.998611111099</v>
      </c>
      <c r="AD1883" s="6">
        <f ca="1">IFERROR(__xludf.DUMMYFUNCTION("""COMPUTED_VALUE"""),1303.38)</f>
        <v>1303.3800000000001</v>
      </c>
      <c r="AH1883" s="6" t="str">
        <f t="shared" ca="1" si="534"/>
        <v>20232</v>
      </c>
      <c r="AI1883" s="6">
        <f t="shared" ca="1" si="535"/>
        <v>2023</v>
      </c>
      <c r="AJ1883" s="6">
        <f t="shared" ca="1" si="536"/>
        <v>2</v>
      </c>
      <c r="AK1883" s="68">
        <f ca="1">IFERROR(__xludf.DUMMYFUNCTION("""COMPUTED_VALUE"""),44976.9986111111)</f>
        <v>44976.998611111099</v>
      </c>
      <c r="AL1883" s="6">
        <f ca="1">IFERROR(__xludf.DUMMYFUNCTION("""COMPUTED_VALUE"""),24290.05)</f>
        <v>24290.05</v>
      </c>
      <c r="AP1883" s="6" t="str">
        <f t="shared" ca="1" si="537"/>
        <v>20257</v>
      </c>
      <c r="AQ1883" s="6">
        <f t="shared" ca="1" si="538"/>
        <v>2025</v>
      </c>
      <c r="AR1883" s="6">
        <f t="shared" ca="1" si="539"/>
        <v>7</v>
      </c>
      <c r="AS1883" s="68">
        <f ca="1">IFERROR(__xludf.DUMMYFUNCTION("""COMPUTED_VALUE"""),45845.9986111111)</f>
        <v>45845.998611111099</v>
      </c>
      <c r="AT1883" s="6">
        <f ca="1">IFERROR(__xludf.DUMMYFUNCTION("""COMPUTED_VALUE"""),3342.8)</f>
        <v>3342.8</v>
      </c>
    </row>
    <row r="1884" spans="2:46" x14ac:dyDescent="0.35">
      <c r="B1884" s="6" t="str">
        <f t="shared" ca="1" si="522"/>
        <v>20256</v>
      </c>
      <c r="C1884" s="6">
        <f t="shared" ca="1" si="523"/>
        <v>2025</v>
      </c>
      <c r="D1884" s="6">
        <f t="shared" ca="1" si="524"/>
        <v>6</v>
      </c>
      <c r="E1884" s="68">
        <f ca="1">IFERROR(__xludf.DUMMYFUNCTION("""COMPUTED_VALUE"""),45838.6666666666)</f>
        <v>45838.666666666599</v>
      </c>
      <c r="F1884" s="6">
        <f ca="1">IFERROR(__xludf.DUMMYFUNCTION("""COMPUTED_VALUE"""),6204.95)</f>
        <v>6204.95</v>
      </c>
      <c r="J1884" s="6" t="str">
        <f t="shared" ca="1" si="525"/>
        <v>20256</v>
      </c>
      <c r="K1884" s="6">
        <f t="shared" ca="1" si="526"/>
        <v>2025</v>
      </c>
      <c r="L1884" s="6">
        <f t="shared" ca="1" si="527"/>
        <v>6</v>
      </c>
      <c r="M1884" s="68">
        <f ca="1">IFERROR(__xludf.DUMMYFUNCTION("""COMPUTED_VALUE"""),45831.6666666666)</f>
        <v>45831.666666666599</v>
      </c>
      <c r="N1884" s="6">
        <f ca="1">IFERROR(__xludf.DUMMYFUNCTION("""COMPUTED_VALUE"""),19630.97)</f>
        <v>19630.97</v>
      </c>
      <c r="R1884" s="6" t="str">
        <f t="shared" ca="1" si="528"/>
        <v>20259</v>
      </c>
      <c r="S1884" s="6">
        <f t="shared" ca="1" si="529"/>
        <v>2025</v>
      </c>
      <c r="T1884" s="6">
        <f t="shared" ca="1" si="530"/>
        <v>9</v>
      </c>
      <c r="U1884" s="68">
        <f ca="1">IFERROR(__xludf.DUMMYFUNCTION("""COMPUTED_VALUE"""),45904.6458333333)</f>
        <v>45904.645833333299</v>
      </c>
      <c r="V1884" s="6">
        <f ca="1">IFERROR(__xludf.DUMMYFUNCTION("""COMPUTED_VALUE"""),3200.83)</f>
        <v>3200.83</v>
      </c>
      <c r="Z1884" s="6" t="str">
        <f t="shared" ca="1" si="531"/>
        <v>20234</v>
      </c>
      <c r="AA1884" s="6">
        <f t="shared" ca="1" si="532"/>
        <v>2023</v>
      </c>
      <c r="AB1884" s="6">
        <f t="shared" ca="1" si="533"/>
        <v>4</v>
      </c>
      <c r="AC1884" s="68">
        <f ca="1">IFERROR(__xludf.DUMMYFUNCTION("""COMPUTED_VALUE"""),45033.9986111111)</f>
        <v>45033.998611111099</v>
      </c>
      <c r="AD1884" s="6">
        <f ca="1">IFERROR(__xludf.DUMMYFUNCTION("""COMPUTED_VALUE"""),1316.07)</f>
        <v>1316.07</v>
      </c>
      <c r="AH1884" s="6" t="str">
        <f t="shared" ca="1" si="534"/>
        <v>20232</v>
      </c>
      <c r="AI1884" s="6">
        <f t="shared" ca="1" si="535"/>
        <v>2023</v>
      </c>
      <c r="AJ1884" s="6">
        <f t="shared" ca="1" si="536"/>
        <v>2</v>
      </c>
      <c r="AK1884" s="68">
        <f ca="1">IFERROR(__xludf.DUMMYFUNCTION("""COMPUTED_VALUE"""),44977.9986111111)</f>
        <v>44977.998611111099</v>
      </c>
      <c r="AL1884" s="6">
        <f ca="1">IFERROR(__xludf.DUMMYFUNCTION("""COMPUTED_VALUE"""),24841.51)</f>
        <v>24841.51</v>
      </c>
      <c r="AP1884" s="6" t="str">
        <f t="shared" ca="1" si="537"/>
        <v>20257</v>
      </c>
      <c r="AQ1884" s="6">
        <f t="shared" ca="1" si="538"/>
        <v>2025</v>
      </c>
      <c r="AR1884" s="6">
        <f t="shared" ca="1" si="539"/>
        <v>7</v>
      </c>
      <c r="AS1884" s="68">
        <f ca="1">IFERROR(__xludf.DUMMYFUNCTION("""COMPUTED_VALUE"""),45846.9986111111)</f>
        <v>45846.998611111099</v>
      </c>
      <c r="AT1884" s="6">
        <f ca="1">IFERROR(__xludf.DUMMYFUNCTION("""COMPUTED_VALUE"""),3316.9)</f>
        <v>3316.9</v>
      </c>
    </row>
    <row r="1885" spans="2:46" x14ac:dyDescent="0.35">
      <c r="B1885" s="6" t="str">
        <f t="shared" ca="1" si="522"/>
        <v>20257</v>
      </c>
      <c r="C1885" s="6">
        <f t="shared" ca="1" si="523"/>
        <v>2025</v>
      </c>
      <c r="D1885" s="6">
        <f t="shared" ca="1" si="524"/>
        <v>7</v>
      </c>
      <c r="E1885" s="68">
        <f ca="1">IFERROR(__xludf.DUMMYFUNCTION("""COMPUTED_VALUE"""),45839.6666666666)</f>
        <v>45839.666666666599</v>
      </c>
      <c r="F1885" s="6">
        <f ca="1">IFERROR(__xludf.DUMMYFUNCTION("""COMPUTED_VALUE"""),6198.01)</f>
        <v>6198.01</v>
      </c>
      <c r="J1885" s="6" t="str">
        <f t="shared" ca="1" si="525"/>
        <v>20256</v>
      </c>
      <c r="K1885" s="6">
        <f t="shared" ca="1" si="526"/>
        <v>2025</v>
      </c>
      <c r="L1885" s="6">
        <f t="shared" ca="1" si="527"/>
        <v>6</v>
      </c>
      <c r="M1885" s="68">
        <f ca="1">IFERROR(__xludf.DUMMYFUNCTION("""COMPUTED_VALUE"""),45832.6666666666)</f>
        <v>45832.666666666599</v>
      </c>
      <c r="N1885" s="6">
        <f ca="1">IFERROR(__xludf.DUMMYFUNCTION("""COMPUTED_VALUE"""),19912.53)</f>
        <v>19912.53</v>
      </c>
      <c r="R1885" s="6" t="str">
        <f t="shared" ca="1" si="528"/>
        <v>20259</v>
      </c>
      <c r="S1885" s="6">
        <f t="shared" ca="1" si="529"/>
        <v>2025</v>
      </c>
      <c r="T1885" s="6">
        <f t="shared" ca="1" si="530"/>
        <v>9</v>
      </c>
      <c r="U1885" s="68">
        <f ca="1">IFERROR(__xludf.DUMMYFUNCTION("""COMPUTED_VALUE"""),45905.6458333333)</f>
        <v>45905.645833333299</v>
      </c>
      <c r="V1885" s="6">
        <f ca="1">IFERROR(__xludf.DUMMYFUNCTION("""COMPUTED_VALUE"""),3205.12)</f>
        <v>3205.12</v>
      </c>
      <c r="Z1885" s="6" t="str">
        <f t="shared" ca="1" si="531"/>
        <v>20234</v>
      </c>
      <c r="AA1885" s="6">
        <f t="shared" ca="1" si="532"/>
        <v>2023</v>
      </c>
      <c r="AB1885" s="6">
        <f t="shared" ca="1" si="533"/>
        <v>4</v>
      </c>
      <c r="AC1885" s="68">
        <f ca="1">IFERROR(__xludf.DUMMYFUNCTION("""COMPUTED_VALUE"""),45034.9986111111)</f>
        <v>45034.998611111099</v>
      </c>
      <c r="AD1885" s="6">
        <f ca="1">IFERROR(__xludf.DUMMYFUNCTION("""COMPUTED_VALUE"""),1315.9)</f>
        <v>1315.9</v>
      </c>
      <c r="AH1885" s="6" t="str">
        <f t="shared" ca="1" si="534"/>
        <v>20232</v>
      </c>
      <c r="AI1885" s="6">
        <f t="shared" ca="1" si="535"/>
        <v>2023</v>
      </c>
      <c r="AJ1885" s="6">
        <f t="shared" ca="1" si="536"/>
        <v>2</v>
      </c>
      <c r="AK1885" s="68">
        <f ca="1">IFERROR(__xludf.DUMMYFUNCTION("""COMPUTED_VALUE"""),44978.9986111111)</f>
        <v>44978.998611111099</v>
      </c>
      <c r="AL1885" s="6">
        <f ca="1">IFERROR(__xludf.DUMMYFUNCTION("""COMPUTED_VALUE"""),24447.45)</f>
        <v>24447.45</v>
      </c>
      <c r="AP1885" s="6" t="str">
        <f t="shared" ca="1" si="537"/>
        <v>20257</v>
      </c>
      <c r="AQ1885" s="6">
        <f t="shared" ca="1" si="538"/>
        <v>2025</v>
      </c>
      <c r="AR1885" s="6">
        <f t="shared" ca="1" si="539"/>
        <v>7</v>
      </c>
      <c r="AS1885" s="68">
        <f ca="1">IFERROR(__xludf.DUMMYFUNCTION("""COMPUTED_VALUE"""),45847.9986111111)</f>
        <v>45847.998611111099</v>
      </c>
      <c r="AT1885" s="6">
        <f ca="1">IFERROR(__xludf.DUMMYFUNCTION("""COMPUTED_VALUE"""),3321)</f>
        <v>3321</v>
      </c>
    </row>
    <row r="1886" spans="2:46" x14ac:dyDescent="0.35">
      <c r="B1886" s="6" t="str">
        <f t="shared" ca="1" si="522"/>
        <v>20257</v>
      </c>
      <c r="C1886" s="6">
        <f t="shared" ca="1" si="523"/>
        <v>2025</v>
      </c>
      <c r="D1886" s="6">
        <f t="shared" ca="1" si="524"/>
        <v>7</v>
      </c>
      <c r="E1886" s="68">
        <f ca="1">IFERROR(__xludf.DUMMYFUNCTION("""COMPUTED_VALUE"""),45840.6666666666)</f>
        <v>45840.666666666599</v>
      </c>
      <c r="F1886" s="6">
        <f ca="1">IFERROR(__xludf.DUMMYFUNCTION("""COMPUTED_VALUE"""),6227.42)</f>
        <v>6227.42</v>
      </c>
      <c r="J1886" s="6" t="str">
        <f t="shared" ca="1" si="525"/>
        <v>20256</v>
      </c>
      <c r="K1886" s="6">
        <f t="shared" ca="1" si="526"/>
        <v>2025</v>
      </c>
      <c r="L1886" s="6">
        <f t="shared" ca="1" si="527"/>
        <v>6</v>
      </c>
      <c r="M1886" s="68">
        <f ca="1">IFERROR(__xludf.DUMMYFUNCTION("""COMPUTED_VALUE"""),45833.6666666666)</f>
        <v>45833.666666666599</v>
      </c>
      <c r="N1886" s="6">
        <f ca="1">IFERROR(__xludf.DUMMYFUNCTION("""COMPUTED_VALUE"""),19973.55)</f>
        <v>19973.55</v>
      </c>
      <c r="R1886" s="6" t="str">
        <f t="shared" ca="1" si="528"/>
        <v>20259</v>
      </c>
      <c r="S1886" s="6">
        <f t="shared" ca="1" si="529"/>
        <v>2025</v>
      </c>
      <c r="T1886" s="6">
        <f t="shared" ca="1" si="530"/>
        <v>9</v>
      </c>
      <c r="U1886" s="68">
        <f ca="1">IFERROR(__xludf.DUMMYFUNCTION("""COMPUTED_VALUE"""),45908.6458333333)</f>
        <v>45908.645833333299</v>
      </c>
      <c r="V1886" s="6">
        <f ca="1">IFERROR(__xludf.DUMMYFUNCTION("""COMPUTED_VALUE"""),3219.59)</f>
        <v>3219.59</v>
      </c>
      <c r="Z1886" s="6" t="str">
        <f t="shared" ca="1" si="531"/>
        <v>20234</v>
      </c>
      <c r="AA1886" s="6">
        <f t="shared" ca="1" si="532"/>
        <v>2023</v>
      </c>
      <c r="AB1886" s="6">
        <f t="shared" ca="1" si="533"/>
        <v>4</v>
      </c>
      <c r="AC1886" s="68">
        <f ca="1">IFERROR(__xludf.DUMMYFUNCTION("""COMPUTED_VALUE"""),45035.9986111111)</f>
        <v>45035.998611111099</v>
      </c>
      <c r="AD1886" s="6">
        <f ca="1">IFERROR(__xludf.DUMMYFUNCTION("""COMPUTED_VALUE"""),1326.76)</f>
        <v>1326.76</v>
      </c>
      <c r="AH1886" s="6" t="str">
        <f t="shared" ca="1" si="534"/>
        <v>20232</v>
      </c>
      <c r="AI1886" s="6">
        <f t="shared" ca="1" si="535"/>
        <v>2023</v>
      </c>
      <c r="AJ1886" s="6">
        <f t="shared" ca="1" si="536"/>
        <v>2</v>
      </c>
      <c r="AK1886" s="68">
        <f ca="1">IFERROR(__xludf.DUMMYFUNCTION("""COMPUTED_VALUE"""),44979.9986111111)</f>
        <v>44979.998611111099</v>
      </c>
      <c r="AL1886" s="6">
        <f ca="1">IFERROR(__xludf.DUMMYFUNCTION("""COMPUTED_VALUE"""),24184.45)</f>
        <v>24184.45</v>
      </c>
      <c r="AP1886" s="6" t="str">
        <f t="shared" ca="1" si="537"/>
        <v>20257</v>
      </c>
      <c r="AQ1886" s="6">
        <f t="shared" ca="1" si="538"/>
        <v>2025</v>
      </c>
      <c r="AR1886" s="6">
        <f t="shared" ca="1" si="539"/>
        <v>7</v>
      </c>
      <c r="AS1886" s="68">
        <f ca="1">IFERROR(__xludf.DUMMYFUNCTION("""COMPUTED_VALUE"""),45848.9986111111)</f>
        <v>45848.998611111099</v>
      </c>
      <c r="AT1886" s="6">
        <f ca="1">IFERROR(__xludf.DUMMYFUNCTION("""COMPUTED_VALUE"""),3325.7)</f>
        <v>3325.7</v>
      </c>
    </row>
    <row r="1887" spans="2:46" x14ac:dyDescent="0.35">
      <c r="B1887" s="6" t="str">
        <f t="shared" ca="1" si="522"/>
        <v>20257</v>
      </c>
      <c r="C1887" s="6">
        <f t="shared" ca="1" si="523"/>
        <v>2025</v>
      </c>
      <c r="D1887" s="6">
        <f t="shared" ca="1" si="524"/>
        <v>7</v>
      </c>
      <c r="E1887" s="68">
        <f ca="1">IFERROR(__xludf.DUMMYFUNCTION("""COMPUTED_VALUE"""),45841.5416666666)</f>
        <v>45841.541666666599</v>
      </c>
      <c r="F1887" s="6">
        <f ca="1">IFERROR(__xludf.DUMMYFUNCTION("""COMPUTED_VALUE"""),6279.35)</f>
        <v>6279.35</v>
      </c>
      <c r="J1887" s="6" t="str">
        <f t="shared" ca="1" si="525"/>
        <v>20256</v>
      </c>
      <c r="K1887" s="6">
        <f t="shared" ca="1" si="526"/>
        <v>2025</v>
      </c>
      <c r="L1887" s="6">
        <f t="shared" ca="1" si="527"/>
        <v>6</v>
      </c>
      <c r="M1887" s="68">
        <f ca="1">IFERROR(__xludf.DUMMYFUNCTION("""COMPUTED_VALUE"""),45834.6666666666)</f>
        <v>45834.666666666599</v>
      </c>
      <c r="N1887" s="6">
        <f ca="1">IFERROR(__xludf.DUMMYFUNCTION("""COMPUTED_VALUE"""),20167.91)</f>
        <v>20167.91</v>
      </c>
      <c r="R1887" s="6" t="str">
        <f t="shared" ca="1" si="528"/>
        <v>20259</v>
      </c>
      <c r="S1887" s="6">
        <f t="shared" ca="1" si="529"/>
        <v>2025</v>
      </c>
      <c r="T1887" s="6">
        <f t="shared" ca="1" si="530"/>
        <v>9</v>
      </c>
      <c r="U1887" s="68">
        <f ca="1">IFERROR(__xludf.DUMMYFUNCTION("""COMPUTED_VALUE"""),45909.6458333333)</f>
        <v>45909.645833333299</v>
      </c>
      <c r="V1887" s="6">
        <f ca="1">IFERROR(__xludf.DUMMYFUNCTION("""COMPUTED_VALUE"""),3260.05)</f>
        <v>3260.05</v>
      </c>
      <c r="Z1887" s="6" t="str">
        <f t="shared" ca="1" si="531"/>
        <v>20234</v>
      </c>
      <c r="AA1887" s="6">
        <f t="shared" ca="1" si="532"/>
        <v>2023</v>
      </c>
      <c r="AB1887" s="6">
        <f t="shared" ca="1" si="533"/>
        <v>4</v>
      </c>
      <c r="AC1887" s="68">
        <f ca="1">IFERROR(__xludf.DUMMYFUNCTION("""COMPUTED_VALUE"""),45036.9986111111)</f>
        <v>45036.998611111099</v>
      </c>
      <c r="AD1887" s="6">
        <f ca="1">IFERROR(__xludf.DUMMYFUNCTION("""COMPUTED_VALUE"""),1323.6)</f>
        <v>1323.6</v>
      </c>
      <c r="AH1887" s="6" t="str">
        <f t="shared" ca="1" si="534"/>
        <v>20232</v>
      </c>
      <c r="AI1887" s="6">
        <f t="shared" ca="1" si="535"/>
        <v>2023</v>
      </c>
      <c r="AJ1887" s="6">
        <f t="shared" ca="1" si="536"/>
        <v>2</v>
      </c>
      <c r="AK1887" s="68">
        <f ca="1">IFERROR(__xludf.DUMMYFUNCTION("""COMPUTED_VALUE"""),44980.9986111111)</f>
        <v>44980.998611111099</v>
      </c>
      <c r="AL1887" s="6">
        <f ca="1">IFERROR(__xludf.DUMMYFUNCTION("""COMPUTED_VALUE"""),23937.51)</f>
        <v>23937.51</v>
      </c>
      <c r="AP1887" s="6" t="str">
        <f t="shared" ca="1" si="537"/>
        <v>20257</v>
      </c>
      <c r="AQ1887" s="6">
        <f t="shared" ca="1" si="538"/>
        <v>2025</v>
      </c>
      <c r="AR1887" s="6">
        <f t="shared" ca="1" si="539"/>
        <v>7</v>
      </c>
      <c r="AS1887" s="68">
        <f ca="1">IFERROR(__xludf.DUMMYFUNCTION("""COMPUTED_VALUE"""),45849.9986111111)</f>
        <v>45849.998611111099</v>
      </c>
      <c r="AT1887" s="6">
        <f ca="1">IFERROR(__xludf.DUMMYFUNCTION("""COMPUTED_VALUE"""),3364)</f>
        <v>3364</v>
      </c>
    </row>
    <row r="1888" spans="2:46" x14ac:dyDescent="0.35">
      <c r="B1888" s="6" t="str">
        <f t="shared" ca="1" si="522"/>
        <v>20257</v>
      </c>
      <c r="C1888" s="6">
        <f t="shared" ca="1" si="523"/>
        <v>2025</v>
      </c>
      <c r="D1888" s="6">
        <f t="shared" ca="1" si="524"/>
        <v>7</v>
      </c>
      <c r="E1888" s="68">
        <f ca="1">IFERROR(__xludf.DUMMYFUNCTION("""COMPUTED_VALUE"""),45845.6666666666)</f>
        <v>45845.666666666599</v>
      </c>
      <c r="F1888" s="6">
        <f ca="1">IFERROR(__xludf.DUMMYFUNCTION("""COMPUTED_VALUE"""),6229.98)</f>
        <v>6229.98</v>
      </c>
      <c r="J1888" s="6" t="str">
        <f t="shared" ca="1" si="525"/>
        <v>20256</v>
      </c>
      <c r="K1888" s="6">
        <f t="shared" ca="1" si="526"/>
        <v>2025</v>
      </c>
      <c r="L1888" s="6">
        <f t="shared" ca="1" si="527"/>
        <v>6</v>
      </c>
      <c r="M1888" s="68">
        <f ca="1">IFERROR(__xludf.DUMMYFUNCTION("""COMPUTED_VALUE"""),45835.6666666666)</f>
        <v>45835.666666666599</v>
      </c>
      <c r="N1888" s="6">
        <f ca="1">IFERROR(__xludf.DUMMYFUNCTION("""COMPUTED_VALUE"""),20273.46)</f>
        <v>20273.46</v>
      </c>
      <c r="R1888" s="6" t="str">
        <f t="shared" ca="1" si="528"/>
        <v>20259</v>
      </c>
      <c r="S1888" s="6">
        <f t="shared" ca="1" si="529"/>
        <v>2025</v>
      </c>
      <c r="T1888" s="6">
        <f t="shared" ca="1" si="530"/>
        <v>9</v>
      </c>
      <c r="U1888" s="68">
        <f ca="1">IFERROR(__xludf.DUMMYFUNCTION("""COMPUTED_VALUE"""),45910.6458333333)</f>
        <v>45910.645833333299</v>
      </c>
      <c r="V1888" s="6">
        <f ca="1">IFERROR(__xludf.DUMMYFUNCTION("""COMPUTED_VALUE"""),3314.53)</f>
        <v>3314.53</v>
      </c>
      <c r="Z1888" s="6" t="str">
        <f t="shared" ca="1" si="531"/>
        <v>20234</v>
      </c>
      <c r="AA1888" s="6">
        <f t="shared" ca="1" si="532"/>
        <v>2023</v>
      </c>
      <c r="AB1888" s="6">
        <f t="shared" ca="1" si="533"/>
        <v>4</v>
      </c>
      <c r="AC1888" s="68">
        <f ca="1">IFERROR(__xludf.DUMMYFUNCTION("""COMPUTED_VALUE"""),45037.9986111111)</f>
        <v>45037.998611111099</v>
      </c>
      <c r="AD1888" s="6">
        <f ca="1">IFERROR(__xludf.DUMMYFUNCTION("""COMPUTED_VALUE"""),1329.39)</f>
        <v>1329.39</v>
      </c>
      <c r="AH1888" s="6" t="str">
        <f t="shared" ca="1" si="534"/>
        <v>20232</v>
      </c>
      <c r="AI1888" s="6">
        <f t="shared" ca="1" si="535"/>
        <v>2023</v>
      </c>
      <c r="AJ1888" s="6">
        <f t="shared" ca="1" si="536"/>
        <v>2</v>
      </c>
      <c r="AK1888" s="68">
        <f ca="1">IFERROR(__xludf.DUMMYFUNCTION("""COMPUTED_VALUE"""),44981.9986111111)</f>
        <v>44981.998611111099</v>
      </c>
      <c r="AL1888" s="6">
        <f ca="1">IFERROR(__xludf.DUMMYFUNCTION("""COMPUTED_VALUE"""),23192.77)</f>
        <v>23192.77</v>
      </c>
      <c r="AP1888" s="6" t="str">
        <f t="shared" ca="1" si="537"/>
        <v>20257</v>
      </c>
      <c r="AQ1888" s="6">
        <f t="shared" ca="1" si="538"/>
        <v>2025</v>
      </c>
      <c r="AR1888" s="6">
        <f t="shared" ca="1" si="539"/>
        <v>7</v>
      </c>
      <c r="AS1888" s="68">
        <f ca="1">IFERROR(__xludf.DUMMYFUNCTION("""COMPUTED_VALUE"""),45852.9986111111)</f>
        <v>45852.998611111099</v>
      </c>
      <c r="AT1888" s="6">
        <f ca="1">IFERROR(__xludf.DUMMYFUNCTION("""COMPUTED_VALUE"""),3359.1)</f>
        <v>3359.1</v>
      </c>
    </row>
    <row r="1889" spans="2:46" x14ac:dyDescent="0.35">
      <c r="B1889" s="6" t="str">
        <f t="shared" ca="1" si="522"/>
        <v>20257</v>
      </c>
      <c r="C1889" s="6">
        <f t="shared" ca="1" si="523"/>
        <v>2025</v>
      </c>
      <c r="D1889" s="6">
        <f t="shared" ca="1" si="524"/>
        <v>7</v>
      </c>
      <c r="E1889" s="68">
        <f ca="1">IFERROR(__xludf.DUMMYFUNCTION("""COMPUTED_VALUE"""),45846.6666666666)</f>
        <v>45846.666666666599</v>
      </c>
      <c r="F1889" s="6">
        <f ca="1">IFERROR(__xludf.DUMMYFUNCTION("""COMPUTED_VALUE"""),6225.52)</f>
        <v>6225.52</v>
      </c>
      <c r="J1889" s="6" t="str">
        <f t="shared" ca="1" si="525"/>
        <v>20256</v>
      </c>
      <c r="K1889" s="6">
        <f t="shared" ca="1" si="526"/>
        <v>2025</v>
      </c>
      <c r="L1889" s="6">
        <f t="shared" ca="1" si="527"/>
        <v>6</v>
      </c>
      <c r="M1889" s="68">
        <f ca="1">IFERROR(__xludf.DUMMYFUNCTION("""COMPUTED_VALUE"""),45838.6666666666)</f>
        <v>45838.666666666599</v>
      </c>
      <c r="N1889" s="6">
        <f ca="1">IFERROR(__xludf.DUMMYFUNCTION("""COMPUTED_VALUE"""),20369.73)</f>
        <v>20369.73</v>
      </c>
      <c r="R1889" s="6" t="str">
        <f t="shared" ca="1" si="528"/>
        <v>20259</v>
      </c>
      <c r="S1889" s="6">
        <f t="shared" ca="1" si="529"/>
        <v>2025</v>
      </c>
      <c r="T1889" s="6">
        <f t="shared" ca="1" si="530"/>
        <v>9</v>
      </c>
      <c r="U1889" s="68">
        <f ca="1">IFERROR(__xludf.DUMMYFUNCTION("""COMPUTED_VALUE"""),45911.6458333333)</f>
        <v>45911.645833333299</v>
      </c>
      <c r="V1889" s="6">
        <f ca="1">IFERROR(__xludf.DUMMYFUNCTION("""COMPUTED_VALUE"""),3344.2)</f>
        <v>3344.2</v>
      </c>
      <c r="Z1889" s="6" t="str">
        <f t="shared" ca="1" si="531"/>
        <v>20234</v>
      </c>
      <c r="AA1889" s="6">
        <f t="shared" ca="1" si="532"/>
        <v>2023</v>
      </c>
      <c r="AB1889" s="6">
        <f t="shared" ca="1" si="533"/>
        <v>4</v>
      </c>
      <c r="AC1889" s="68">
        <f ca="1">IFERROR(__xludf.DUMMYFUNCTION("""COMPUTED_VALUE"""),45038.9986111111)</f>
        <v>45038.998611111099</v>
      </c>
      <c r="AD1889" s="6">
        <f ca="1">IFERROR(__xludf.DUMMYFUNCTION("""COMPUTED_VALUE"""),1329.37)</f>
        <v>1329.37</v>
      </c>
      <c r="AH1889" s="6" t="str">
        <f t="shared" ca="1" si="534"/>
        <v>20232</v>
      </c>
      <c r="AI1889" s="6">
        <f t="shared" ca="1" si="535"/>
        <v>2023</v>
      </c>
      <c r="AJ1889" s="6">
        <f t="shared" ca="1" si="536"/>
        <v>2</v>
      </c>
      <c r="AK1889" s="68">
        <f ca="1">IFERROR(__xludf.DUMMYFUNCTION("""COMPUTED_VALUE"""),44982.9986111111)</f>
        <v>44982.998611111099</v>
      </c>
      <c r="AL1889" s="6">
        <f ca="1">IFERROR(__xludf.DUMMYFUNCTION("""COMPUTED_VALUE"""),23164.06)</f>
        <v>23164.06</v>
      </c>
      <c r="AP1889" s="6" t="str">
        <f t="shared" ca="1" si="537"/>
        <v>20257</v>
      </c>
      <c r="AQ1889" s="6">
        <f t="shared" ca="1" si="538"/>
        <v>2025</v>
      </c>
      <c r="AR1889" s="6">
        <f t="shared" ca="1" si="539"/>
        <v>7</v>
      </c>
      <c r="AS1889" s="68">
        <f ca="1">IFERROR(__xludf.DUMMYFUNCTION("""COMPUTED_VALUE"""),45853.9986111111)</f>
        <v>45853.998611111099</v>
      </c>
      <c r="AT1889" s="6">
        <f ca="1">IFERROR(__xludf.DUMMYFUNCTION("""COMPUTED_VALUE"""),3336.7)</f>
        <v>3336.7</v>
      </c>
    </row>
    <row r="1890" spans="2:46" x14ac:dyDescent="0.35">
      <c r="B1890" s="6" t="str">
        <f t="shared" ca="1" si="522"/>
        <v>20257</v>
      </c>
      <c r="C1890" s="6">
        <f t="shared" ca="1" si="523"/>
        <v>2025</v>
      </c>
      <c r="D1890" s="6">
        <f t="shared" ca="1" si="524"/>
        <v>7</v>
      </c>
      <c r="E1890" s="68">
        <f ca="1">IFERROR(__xludf.DUMMYFUNCTION("""COMPUTED_VALUE"""),45847.6666666666)</f>
        <v>45847.666666666599</v>
      </c>
      <c r="F1890" s="6">
        <f ca="1">IFERROR(__xludf.DUMMYFUNCTION("""COMPUTED_VALUE"""),6263.26)</f>
        <v>6263.26</v>
      </c>
      <c r="J1890" s="6" t="str">
        <f t="shared" ca="1" si="525"/>
        <v>20257</v>
      </c>
      <c r="K1890" s="6">
        <f t="shared" ca="1" si="526"/>
        <v>2025</v>
      </c>
      <c r="L1890" s="6">
        <f t="shared" ca="1" si="527"/>
        <v>7</v>
      </c>
      <c r="M1890" s="68">
        <f ca="1">IFERROR(__xludf.DUMMYFUNCTION("""COMPUTED_VALUE"""),45839.6666666666)</f>
        <v>45839.666666666599</v>
      </c>
      <c r="N1890" s="6">
        <f ca="1">IFERROR(__xludf.DUMMYFUNCTION("""COMPUTED_VALUE"""),20202.89)</f>
        <v>20202.89</v>
      </c>
      <c r="R1890" s="6" t="str">
        <f t="shared" ca="1" si="528"/>
        <v>20259</v>
      </c>
      <c r="S1890" s="6">
        <f t="shared" ca="1" si="529"/>
        <v>2025</v>
      </c>
      <c r="T1890" s="6">
        <f t="shared" ca="1" si="530"/>
        <v>9</v>
      </c>
      <c r="U1890" s="68">
        <f ca="1">IFERROR(__xludf.DUMMYFUNCTION("""COMPUTED_VALUE"""),45912.6458333333)</f>
        <v>45912.645833333299</v>
      </c>
      <c r="V1890" s="6">
        <f ca="1">IFERROR(__xludf.DUMMYFUNCTION("""COMPUTED_VALUE"""),3395.54)</f>
        <v>3395.54</v>
      </c>
      <c r="Z1890" s="6" t="str">
        <f t="shared" ca="1" si="531"/>
        <v>20234</v>
      </c>
      <c r="AA1890" s="6">
        <f t="shared" ca="1" si="532"/>
        <v>2023</v>
      </c>
      <c r="AB1890" s="6">
        <f t="shared" ca="1" si="533"/>
        <v>4</v>
      </c>
      <c r="AC1890" s="68">
        <f ca="1">IFERROR(__xludf.DUMMYFUNCTION("""COMPUTED_VALUE"""),45039.9986111111)</f>
        <v>45039.998611111099</v>
      </c>
      <c r="AD1890" s="6">
        <f ca="1">IFERROR(__xludf.DUMMYFUNCTION("""COMPUTED_VALUE"""),1329.38)</f>
        <v>1329.38</v>
      </c>
      <c r="AH1890" s="6" t="str">
        <f t="shared" ca="1" si="534"/>
        <v>20232</v>
      </c>
      <c r="AI1890" s="6">
        <f t="shared" ca="1" si="535"/>
        <v>2023</v>
      </c>
      <c r="AJ1890" s="6">
        <f t="shared" ca="1" si="536"/>
        <v>2</v>
      </c>
      <c r="AK1890" s="68">
        <f ca="1">IFERROR(__xludf.DUMMYFUNCTION("""COMPUTED_VALUE"""),44983.9986111111)</f>
        <v>44983.998611111099</v>
      </c>
      <c r="AL1890" s="6">
        <f ca="1">IFERROR(__xludf.DUMMYFUNCTION("""COMPUTED_VALUE"""),23558.26)</f>
        <v>23558.26</v>
      </c>
      <c r="AP1890" s="6" t="str">
        <f t="shared" ca="1" si="537"/>
        <v>20257</v>
      </c>
      <c r="AQ1890" s="6">
        <f t="shared" ca="1" si="538"/>
        <v>2025</v>
      </c>
      <c r="AR1890" s="6">
        <f t="shared" ca="1" si="539"/>
        <v>7</v>
      </c>
      <c r="AS1890" s="68">
        <f ca="1">IFERROR(__xludf.DUMMYFUNCTION("""COMPUTED_VALUE"""),45854.9986111111)</f>
        <v>45854.998611111099</v>
      </c>
      <c r="AT1890" s="6">
        <f ca="1">IFERROR(__xludf.DUMMYFUNCTION("""COMPUTED_VALUE"""),3359.1)</f>
        <v>3359.1</v>
      </c>
    </row>
    <row r="1891" spans="2:46" x14ac:dyDescent="0.35">
      <c r="B1891" s="6" t="str">
        <f t="shared" ca="1" si="522"/>
        <v>20257</v>
      </c>
      <c r="C1891" s="6">
        <f t="shared" ca="1" si="523"/>
        <v>2025</v>
      </c>
      <c r="D1891" s="6">
        <f t="shared" ca="1" si="524"/>
        <v>7</v>
      </c>
      <c r="E1891" s="68">
        <f ca="1">IFERROR(__xludf.DUMMYFUNCTION("""COMPUTED_VALUE"""),45848.6666666666)</f>
        <v>45848.666666666599</v>
      </c>
      <c r="F1891" s="6">
        <f ca="1">IFERROR(__xludf.DUMMYFUNCTION("""COMPUTED_VALUE"""),6280.46)</f>
        <v>6280.46</v>
      </c>
      <c r="J1891" s="6" t="str">
        <f t="shared" ca="1" si="525"/>
        <v>20257</v>
      </c>
      <c r="K1891" s="6">
        <f t="shared" ca="1" si="526"/>
        <v>2025</v>
      </c>
      <c r="L1891" s="6">
        <f t="shared" ca="1" si="527"/>
        <v>7</v>
      </c>
      <c r="M1891" s="68">
        <f ca="1">IFERROR(__xludf.DUMMYFUNCTION("""COMPUTED_VALUE"""),45840.6666666666)</f>
        <v>45840.666666666599</v>
      </c>
      <c r="N1891" s="6">
        <f ca="1">IFERROR(__xludf.DUMMYFUNCTION("""COMPUTED_VALUE"""),20393.13)</f>
        <v>20393.13</v>
      </c>
      <c r="R1891" s="6" t="str">
        <f t="shared" ca="1" si="528"/>
        <v>20259</v>
      </c>
      <c r="S1891" s="6">
        <f t="shared" ca="1" si="529"/>
        <v>2025</v>
      </c>
      <c r="T1891" s="6">
        <f t="shared" ca="1" si="530"/>
        <v>9</v>
      </c>
      <c r="U1891" s="68">
        <f ca="1">IFERROR(__xludf.DUMMYFUNCTION("""COMPUTED_VALUE"""),45915.6458333333)</f>
        <v>45915.645833333299</v>
      </c>
      <c r="V1891" s="6">
        <f ca="1">IFERROR(__xludf.DUMMYFUNCTION("""COMPUTED_VALUE"""),3407.31)</f>
        <v>3407.31</v>
      </c>
      <c r="Z1891" s="6" t="str">
        <f t="shared" ca="1" si="531"/>
        <v>20234</v>
      </c>
      <c r="AA1891" s="6">
        <f t="shared" ca="1" si="532"/>
        <v>2023</v>
      </c>
      <c r="AB1891" s="6">
        <f t="shared" ca="1" si="533"/>
        <v>4</v>
      </c>
      <c r="AC1891" s="68">
        <f ca="1">IFERROR(__xludf.DUMMYFUNCTION("""COMPUTED_VALUE"""),45040.9986111111)</f>
        <v>45040.998611111099</v>
      </c>
      <c r="AD1891" s="6">
        <f ca="1">IFERROR(__xludf.DUMMYFUNCTION("""COMPUTED_VALUE"""),1332.8)</f>
        <v>1332.8</v>
      </c>
      <c r="AH1891" s="6" t="str">
        <f t="shared" ca="1" si="534"/>
        <v>20232</v>
      </c>
      <c r="AI1891" s="6">
        <f t="shared" ca="1" si="535"/>
        <v>2023</v>
      </c>
      <c r="AJ1891" s="6">
        <f t="shared" ca="1" si="536"/>
        <v>2</v>
      </c>
      <c r="AK1891" s="68">
        <f ca="1">IFERROR(__xludf.DUMMYFUNCTION("""COMPUTED_VALUE"""),44984.9986111111)</f>
        <v>44984.998611111099</v>
      </c>
      <c r="AL1891" s="6">
        <f ca="1">IFERROR(__xludf.DUMMYFUNCTION("""COMPUTED_VALUE"""),23491.26)</f>
        <v>23491.26</v>
      </c>
      <c r="AP1891" s="6" t="str">
        <f t="shared" ca="1" si="537"/>
        <v>20257</v>
      </c>
      <c r="AQ1891" s="6">
        <f t="shared" ca="1" si="538"/>
        <v>2025</v>
      </c>
      <c r="AR1891" s="6">
        <f t="shared" ca="1" si="539"/>
        <v>7</v>
      </c>
      <c r="AS1891" s="68">
        <f ca="1">IFERROR(__xludf.DUMMYFUNCTION("""COMPUTED_VALUE"""),45855.9986111111)</f>
        <v>45855.998611111099</v>
      </c>
      <c r="AT1891" s="6">
        <f ca="1">IFERROR(__xludf.DUMMYFUNCTION("""COMPUTED_VALUE"""),3345.3)</f>
        <v>3345.3</v>
      </c>
    </row>
    <row r="1892" spans="2:46" x14ac:dyDescent="0.35">
      <c r="B1892" s="6" t="str">
        <f t="shared" ca="1" si="522"/>
        <v>20257</v>
      </c>
      <c r="C1892" s="6">
        <f t="shared" ca="1" si="523"/>
        <v>2025</v>
      </c>
      <c r="D1892" s="6">
        <f t="shared" ca="1" si="524"/>
        <v>7</v>
      </c>
      <c r="E1892" s="68">
        <f ca="1">IFERROR(__xludf.DUMMYFUNCTION("""COMPUTED_VALUE"""),45849.6666666666)</f>
        <v>45849.666666666599</v>
      </c>
      <c r="F1892" s="6">
        <f ca="1">IFERROR(__xludf.DUMMYFUNCTION("""COMPUTED_VALUE"""),6259.75)</f>
        <v>6259.75</v>
      </c>
      <c r="J1892" s="6" t="str">
        <f t="shared" ca="1" si="525"/>
        <v>20257</v>
      </c>
      <c r="K1892" s="6">
        <f t="shared" ca="1" si="526"/>
        <v>2025</v>
      </c>
      <c r="L1892" s="6">
        <f t="shared" ca="1" si="527"/>
        <v>7</v>
      </c>
      <c r="M1892" s="68">
        <f ca="1">IFERROR(__xludf.DUMMYFUNCTION("""COMPUTED_VALUE"""),45841.5451388888)</f>
        <v>45841.545138888803</v>
      </c>
      <c r="N1892" s="6">
        <f ca="1">IFERROR(__xludf.DUMMYFUNCTION("""COMPUTED_VALUE"""),20601.1)</f>
        <v>20601.099999999999</v>
      </c>
      <c r="R1892" s="6" t="str">
        <f t="shared" ca="1" si="528"/>
        <v>20259</v>
      </c>
      <c r="S1892" s="6">
        <f t="shared" ca="1" si="529"/>
        <v>2025</v>
      </c>
      <c r="T1892" s="6">
        <f t="shared" ca="1" si="530"/>
        <v>9</v>
      </c>
      <c r="U1892" s="68">
        <f ca="1">IFERROR(__xludf.DUMMYFUNCTION("""COMPUTED_VALUE"""),45916.6458333333)</f>
        <v>45916.645833333299</v>
      </c>
      <c r="V1892" s="6">
        <f ca="1">IFERROR(__xludf.DUMMYFUNCTION("""COMPUTED_VALUE"""),3449.62)</f>
        <v>3449.62</v>
      </c>
      <c r="Z1892" s="6" t="str">
        <f t="shared" ca="1" si="531"/>
        <v>20234</v>
      </c>
      <c r="AA1892" s="6">
        <f t="shared" ca="1" si="532"/>
        <v>2023</v>
      </c>
      <c r="AB1892" s="6">
        <f t="shared" ca="1" si="533"/>
        <v>4</v>
      </c>
      <c r="AC1892" s="68">
        <f ca="1">IFERROR(__xludf.DUMMYFUNCTION("""COMPUTED_VALUE"""),45041.9986111111)</f>
        <v>45041.998611111099</v>
      </c>
      <c r="AD1892" s="6">
        <f ca="1">IFERROR(__xludf.DUMMYFUNCTION("""COMPUTED_VALUE"""),1341)</f>
        <v>1341</v>
      </c>
      <c r="AH1892" s="6" t="str">
        <f t="shared" ca="1" si="534"/>
        <v>20232</v>
      </c>
      <c r="AI1892" s="6">
        <f t="shared" ca="1" si="535"/>
        <v>2023</v>
      </c>
      <c r="AJ1892" s="6">
        <f t="shared" ca="1" si="536"/>
        <v>2</v>
      </c>
      <c r="AK1892" s="68">
        <f ca="1">IFERROR(__xludf.DUMMYFUNCTION("""COMPUTED_VALUE"""),44985.9986111111)</f>
        <v>44985.998611111099</v>
      </c>
      <c r="AL1892" s="6">
        <f ca="1">IFERROR(__xludf.DUMMYFUNCTION("""COMPUTED_VALUE"""),23131.85)</f>
        <v>23131.85</v>
      </c>
      <c r="AP1892" s="6" t="str">
        <f t="shared" ca="1" si="537"/>
        <v>20257</v>
      </c>
      <c r="AQ1892" s="6">
        <f t="shared" ca="1" si="538"/>
        <v>2025</v>
      </c>
      <c r="AR1892" s="6">
        <f t="shared" ca="1" si="539"/>
        <v>7</v>
      </c>
      <c r="AS1892" s="68">
        <f ca="1">IFERROR(__xludf.DUMMYFUNCTION("""COMPUTED_VALUE"""),45856.9986111111)</f>
        <v>45856.998611111099</v>
      </c>
      <c r="AT1892" s="6">
        <f ca="1">IFERROR(__xludf.DUMMYFUNCTION("""COMPUTED_VALUE"""),3358.3)</f>
        <v>3358.3</v>
      </c>
    </row>
    <row r="1893" spans="2:46" x14ac:dyDescent="0.35">
      <c r="B1893" s="6" t="str">
        <f t="shared" ca="1" si="522"/>
        <v>20257</v>
      </c>
      <c r="C1893" s="6">
        <f t="shared" ca="1" si="523"/>
        <v>2025</v>
      </c>
      <c r="D1893" s="6">
        <f t="shared" ca="1" si="524"/>
        <v>7</v>
      </c>
      <c r="E1893" s="68">
        <f ca="1">IFERROR(__xludf.DUMMYFUNCTION("""COMPUTED_VALUE"""),45852.6666666666)</f>
        <v>45852.666666666599</v>
      </c>
      <c r="F1893" s="6">
        <f ca="1">IFERROR(__xludf.DUMMYFUNCTION("""COMPUTED_VALUE"""),6268.56)</f>
        <v>6268.56</v>
      </c>
      <c r="J1893" s="6" t="str">
        <f t="shared" ca="1" si="525"/>
        <v>20257</v>
      </c>
      <c r="K1893" s="6">
        <f t="shared" ca="1" si="526"/>
        <v>2025</v>
      </c>
      <c r="L1893" s="6">
        <f t="shared" ca="1" si="527"/>
        <v>7</v>
      </c>
      <c r="M1893" s="68">
        <f ca="1">IFERROR(__xludf.DUMMYFUNCTION("""COMPUTED_VALUE"""),45845.6666666666)</f>
        <v>45845.666666666599</v>
      </c>
      <c r="N1893" s="6">
        <f ca="1">IFERROR(__xludf.DUMMYFUNCTION("""COMPUTED_VALUE"""),20412.52)</f>
        <v>20412.52</v>
      </c>
      <c r="R1893" s="6" t="str">
        <f t="shared" ca="1" si="528"/>
        <v>20259</v>
      </c>
      <c r="S1893" s="6">
        <f t="shared" ca="1" si="529"/>
        <v>2025</v>
      </c>
      <c r="T1893" s="6">
        <f t="shared" ca="1" si="530"/>
        <v>9</v>
      </c>
      <c r="U1893" s="68">
        <f ca="1">IFERROR(__xludf.DUMMYFUNCTION("""COMPUTED_VALUE"""),45917.6458333333)</f>
        <v>45917.645833333299</v>
      </c>
      <c r="V1893" s="6">
        <f ca="1">IFERROR(__xludf.DUMMYFUNCTION("""COMPUTED_VALUE"""),3413.4)</f>
        <v>3413.4</v>
      </c>
      <c r="Z1893" s="6" t="str">
        <f t="shared" ca="1" si="531"/>
        <v>20234</v>
      </c>
      <c r="AA1893" s="6">
        <f t="shared" ca="1" si="532"/>
        <v>2023</v>
      </c>
      <c r="AB1893" s="6">
        <f t="shared" ca="1" si="533"/>
        <v>4</v>
      </c>
      <c r="AC1893" s="68">
        <f ca="1">IFERROR(__xludf.DUMMYFUNCTION("""COMPUTED_VALUE"""),45042.9986111111)</f>
        <v>45042.998611111099</v>
      </c>
      <c r="AD1893" s="6">
        <f ca="1">IFERROR(__xludf.DUMMYFUNCTION("""COMPUTED_VALUE"""),1337.83)</f>
        <v>1337.83</v>
      </c>
      <c r="AH1893" s="6" t="str">
        <f t="shared" ca="1" si="534"/>
        <v>20233</v>
      </c>
      <c r="AI1893" s="6">
        <f t="shared" ca="1" si="535"/>
        <v>2023</v>
      </c>
      <c r="AJ1893" s="6">
        <f t="shared" ca="1" si="536"/>
        <v>3</v>
      </c>
      <c r="AK1893" s="68">
        <f ca="1">IFERROR(__xludf.DUMMYFUNCTION("""COMPUTED_VALUE"""),44986.9986111111)</f>
        <v>44986.998611111099</v>
      </c>
      <c r="AL1893" s="6">
        <f ca="1">IFERROR(__xludf.DUMMYFUNCTION("""COMPUTED_VALUE"""),23636.86)</f>
        <v>23636.86</v>
      </c>
      <c r="AP1893" s="6" t="str">
        <f t="shared" ca="1" si="537"/>
        <v>20257</v>
      </c>
      <c r="AQ1893" s="6">
        <f t="shared" ca="1" si="538"/>
        <v>2025</v>
      </c>
      <c r="AR1893" s="6">
        <f t="shared" ca="1" si="539"/>
        <v>7</v>
      </c>
      <c r="AS1893" s="68">
        <f ca="1">IFERROR(__xludf.DUMMYFUNCTION("""COMPUTED_VALUE"""),45859.9986111111)</f>
        <v>45859.998611111099</v>
      </c>
      <c r="AT1893" s="6">
        <f ca="1">IFERROR(__xludf.DUMMYFUNCTION("""COMPUTED_VALUE"""),3406.4)</f>
        <v>3406.4</v>
      </c>
    </row>
    <row r="1894" spans="2:46" x14ac:dyDescent="0.35">
      <c r="B1894" s="6" t="str">
        <f t="shared" ca="1" si="522"/>
        <v>20257</v>
      </c>
      <c r="C1894" s="6">
        <f t="shared" ca="1" si="523"/>
        <v>2025</v>
      </c>
      <c r="D1894" s="6">
        <f t="shared" ca="1" si="524"/>
        <v>7</v>
      </c>
      <c r="E1894" s="68">
        <f ca="1">IFERROR(__xludf.DUMMYFUNCTION("""COMPUTED_VALUE"""),45853.6666666666)</f>
        <v>45853.666666666599</v>
      </c>
      <c r="F1894" s="6">
        <f ca="1">IFERROR(__xludf.DUMMYFUNCTION("""COMPUTED_VALUE"""),6243.76)</f>
        <v>6243.76</v>
      </c>
      <c r="J1894" s="6" t="str">
        <f t="shared" ca="1" si="525"/>
        <v>20257</v>
      </c>
      <c r="K1894" s="6">
        <f t="shared" ca="1" si="526"/>
        <v>2025</v>
      </c>
      <c r="L1894" s="6">
        <f t="shared" ca="1" si="527"/>
        <v>7</v>
      </c>
      <c r="M1894" s="68">
        <f ca="1">IFERROR(__xludf.DUMMYFUNCTION("""COMPUTED_VALUE"""),45846.6666666666)</f>
        <v>45846.666666666599</v>
      </c>
      <c r="N1894" s="6">
        <f ca="1">IFERROR(__xludf.DUMMYFUNCTION("""COMPUTED_VALUE"""),20418.46)</f>
        <v>20418.46</v>
      </c>
      <c r="R1894" s="6" t="str">
        <f t="shared" ca="1" si="528"/>
        <v>20259</v>
      </c>
      <c r="S1894" s="6">
        <f t="shared" ca="1" si="529"/>
        <v>2025</v>
      </c>
      <c r="T1894" s="6">
        <f t="shared" ca="1" si="530"/>
        <v>9</v>
      </c>
      <c r="U1894" s="68">
        <f ca="1">IFERROR(__xludf.DUMMYFUNCTION("""COMPUTED_VALUE"""),45918.6458333333)</f>
        <v>45918.645833333299</v>
      </c>
      <c r="V1894" s="6">
        <f ca="1">IFERROR(__xludf.DUMMYFUNCTION("""COMPUTED_VALUE"""),3461.3)</f>
        <v>3461.3</v>
      </c>
      <c r="Z1894" s="6" t="str">
        <f t="shared" ca="1" si="531"/>
        <v>20234</v>
      </c>
      <c r="AA1894" s="6">
        <f t="shared" ca="1" si="532"/>
        <v>2023</v>
      </c>
      <c r="AB1894" s="6">
        <f t="shared" ca="1" si="533"/>
        <v>4</v>
      </c>
      <c r="AC1894" s="68">
        <f ca="1">IFERROR(__xludf.DUMMYFUNCTION("""COMPUTED_VALUE"""),45043.9986111111)</f>
        <v>45043.998611111099</v>
      </c>
      <c r="AD1894" s="6">
        <f ca="1">IFERROR(__xludf.DUMMYFUNCTION("""COMPUTED_VALUE"""),1339.39)</f>
        <v>1339.39</v>
      </c>
      <c r="AH1894" s="6" t="str">
        <f t="shared" ca="1" si="534"/>
        <v>20233</v>
      </c>
      <c r="AI1894" s="6">
        <f t="shared" ca="1" si="535"/>
        <v>2023</v>
      </c>
      <c r="AJ1894" s="6">
        <f t="shared" ca="1" si="536"/>
        <v>3</v>
      </c>
      <c r="AK1894" s="68">
        <f ca="1">IFERROR(__xludf.DUMMYFUNCTION("""COMPUTED_VALUE"""),44987.9986111111)</f>
        <v>44987.998611111099</v>
      </c>
      <c r="AL1894" s="6">
        <f ca="1">IFERROR(__xludf.DUMMYFUNCTION("""COMPUTED_VALUE"""),23464.47)</f>
        <v>23464.47</v>
      </c>
      <c r="AP1894" s="6" t="str">
        <f t="shared" ca="1" si="537"/>
        <v>20257</v>
      </c>
      <c r="AQ1894" s="6">
        <f t="shared" ca="1" si="538"/>
        <v>2025</v>
      </c>
      <c r="AR1894" s="6">
        <f t="shared" ca="1" si="539"/>
        <v>7</v>
      </c>
      <c r="AS1894" s="68">
        <f ca="1">IFERROR(__xludf.DUMMYFUNCTION("""COMPUTED_VALUE"""),45860.9986111111)</f>
        <v>45860.998611111099</v>
      </c>
      <c r="AT1894" s="6">
        <f ca="1">IFERROR(__xludf.DUMMYFUNCTION("""COMPUTED_VALUE"""),3443.7)</f>
        <v>3443.7</v>
      </c>
    </row>
    <row r="1895" spans="2:46" x14ac:dyDescent="0.35">
      <c r="B1895" s="6" t="str">
        <f t="shared" ca="1" si="522"/>
        <v>20257</v>
      </c>
      <c r="C1895" s="6">
        <f t="shared" ca="1" si="523"/>
        <v>2025</v>
      </c>
      <c r="D1895" s="6">
        <f t="shared" ca="1" si="524"/>
        <v>7</v>
      </c>
      <c r="E1895" s="68">
        <f ca="1">IFERROR(__xludf.DUMMYFUNCTION("""COMPUTED_VALUE"""),45854.6666666666)</f>
        <v>45854.666666666599</v>
      </c>
      <c r="F1895" s="6">
        <f ca="1">IFERROR(__xludf.DUMMYFUNCTION("""COMPUTED_VALUE"""),6263.7)</f>
        <v>6263.7</v>
      </c>
      <c r="J1895" s="6" t="str">
        <f t="shared" ca="1" si="525"/>
        <v>20257</v>
      </c>
      <c r="K1895" s="6">
        <f t="shared" ca="1" si="526"/>
        <v>2025</v>
      </c>
      <c r="L1895" s="6">
        <f t="shared" ca="1" si="527"/>
        <v>7</v>
      </c>
      <c r="M1895" s="68">
        <f ca="1">IFERROR(__xludf.DUMMYFUNCTION("""COMPUTED_VALUE"""),45847.6666666666)</f>
        <v>45847.666666666599</v>
      </c>
      <c r="N1895" s="6">
        <f ca="1">IFERROR(__xludf.DUMMYFUNCTION("""COMPUTED_VALUE"""),20611.34)</f>
        <v>20611.34</v>
      </c>
      <c r="R1895" s="6" t="str">
        <f t="shared" ca="1" si="528"/>
        <v>20259</v>
      </c>
      <c r="S1895" s="6">
        <f t="shared" ca="1" si="529"/>
        <v>2025</v>
      </c>
      <c r="T1895" s="6">
        <f t="shared" ca="1" si="530"/>
        <v>9</v>
      </c>
      <c r="U1895" s="68">
        <f ca="1">IFERROR(__xludf.DUMMYFUNCTION("""COMPUTED_VALUE"""),45919.6458333333)</f>
        <v>45919.645833333299</v>
      </c>
      <c r="V1895" s="6">
        <f ca="1">IFERROR(__xludf.DUMMYFUNCTION("""COMPUTED_VALUE"""),3445.24)</f>
        <v>3445.24</v>
      </c>
      <c r="Z1895" s="6" t="str">
        <f t="shared" ca="1" si="531"/>
        <v>20234</v>
      </c>
      <c r="AA1895" s="6">
        <f t="shared" ca="1" si="532"/>
        <v>2023</v>
      </c>
      <c r="AB1895" s="6">
        <f t="shared" ca="1" si="533"/>
        <v>4</v>
      </c>
      <c r="AC1895" s="68">
        <f ca="1">IFERROR(__xludf.DUMMYFUNCTION("""COMPUTED_VALUE"""),45044.9986111111)</f>
        <v>45044.998611111099</v>
      </c>
      <c r="AD1895" s="6">
        <f ca="1">IFERROR(__xludf.DUMMYFUNCTION("""COMPUTED_VALUE"""),1337.72)</f>
        <v>1337.72</v>
      </c>
      <c r="AH1895" s="6" t="str">
        <f t="shared" ca="1" si="534"/>
        <v>20233</v>
      </c>
      <c r="AI1895" s="6">
        <f t="shared" ca="1" si="535"/>
        <v>2023</v>
      </c>
      <c r="AJ1895" s="6">
        <f t="shared" ca="1" si="536"/>
        <v>3</v>
      </c>
      <c r="AK1895" s="68">
        <f ca="1">IFERROR(__xludf.DUMMYFUNCTION("""COMPUTED_VALUE"""),44988.9986111111)</f>
        <v>44988.998611111099</v>
      </c>
      <c r="AL1895" s="6">
        <f ca="1">IFERROR(__xludf.DUMMYFUNCTION("""COMPUTED_VALUE"""),22351.32)</f>
        <v>22351.32</v>
      </c>
      <c r="AP1895" s="6" t="str">
        <f t="shared" ca="1" si="537"/>
        <v>20257</v>
      </c>
      <c r="AQ1895" s="6">
        <f t="shared" ca="1" si="538"/>
        <v>2025</v>
      </c>
      <c r="AR1895" s="6">
        <f t="shared" ca="1" si="539"/>
        <v>7</v>
      </c>
      <c r="AS1895" s="68">
        <f ca="1">IFERROR(__xludf.DUMMYFUNCTION("""COMPUTED_VALUE"""),45861.9986111111)</f>
        <v>45861.998611111099</v>
      </c>
      <c r="AT1895" s="6">
        <f ca="1">IFERROR(__xludf.DUMMYFUNCTION("""COMPUTED_VALUE"""),3397.6)</f>
        <v>3397.6</v>
      </c>
    </row>
    <row r="1896" spans="2:46" x14ac:dyDescent="0.35">
      <c r="B1896" s="6" t="str">
        <f t="shared" ca="1" si="522"/>
        <v>20257</v>
      </c>
      <c r="C1896" s="6">
        <f t="shared" ca="1" si="523"/>
        <v>2025</v>
      </c>
      <c r="D1896" s="6">
        <f t="shared" ca="1" si="524"/>
        <v>7</v>
      </c>
      <c r="E1896" s="68">
        <f ca="1">IFERROR(__xludf.DUMMYFUNCTION("""COMPUTED_VALUE"""),45855.6666666666)</f>
        <v>45855.666666666599</v>
      </c>
      <c r="F1896" s="6">
        <f ca="1">IFERROR(__xludf.DUMMYFUNCTION("""COMPUTED_VALUE"""),6297.36)</f>
        <v>6297.36</v>
      </c>
      <c r="J1896" s="6" t="str">
        <f t="shared" ca="1" si="525"/>
        <v>20257</v>
      </c>
      <c r="K1896" s="6">
        <f t="shared" ca="1" si="526"/>
        <v>2025</v>
      </c>
      <c r="L1896" s="6">
        <f t="shared" ca="1" si="527"/>
        <v>7</v>
      </c>
      <c r="M1896" s="68">
        <f ca="1">IFERROR(__xludf.DUMMYFUNCTION("""COMPUTED_VALUE"""),45848.6666666666)</f>
        <v>45848.666666666599</v>
      </c>
      <c r="N1896" s="6">
        <f ca="1">IFERROR(__xludf.DUMMYFUNCTION("""COMPUTED_VALUE"""),20630.67)</f>
        <v>20630.669999999998</v>
      </c>
      <c r="R1896" s="6" t="str">
        <f t="shared" ca="1" si="528"/>
        <v>20259</v>
      </c>
      <c r="S1896" s="6">
        <f t="shared" ca="1" si="529"/>
        <v>2025</v>
      </c>
      <c r="T1896" s="6">
        <f t="shared" ca="1" si="530"/>
        <v>9</v>
      </c>
      <c r="U1896" s="68">
        <f ca="1">IFERROR(__xludf.DUMMYFUNCTION("""COMPUTED_VALUE"""),45922.6458333333)</f>
        <v>45922.645833333299</v>
      </c>
      <c r="V1896" s="6">
        <f ca="1">IFERROR(__xludf.DUMMYFUNCTION("""COMPUTED_VALUE"""),3468.65)</f>
        <v>3468.65</v>
      </c>
      <c r="Z1896" s="6" t="str">
        <f t="shared" ca="1" si="531"/>
        <v>20234</v>
      </c>
      <c r="AA1896" s="6">
        <f t="shared" ca="1" si="532"/>
        <v>2023</v>
      </c>
      <c r="AB1896" s="6">
        <f t="shared" ca="1" si="533"/>
        <v>4</v>
      </c>
      <c r="AC1896" s="68">
        <f ca="1">IFERROR(__xludf.DUMMYFUNCTION("""COMPUTED_VALUE"""),45045.9986111111)</f>
        <v>45045.998611111099</v>
      </c>
      <c r="AD1896" s="6">
        <f ca="1">IFERROR(__xludf.DUMMYFUNCTION("""COMPUTED_VALUE"""),1337.32)</f>
        <v>1337.32</v>
      </c>
      <c r="AH1896" s="6" t="str">
        <f t="shared" ca="1" si="534"/>
        <v>20233</v>
      </c>
      <c r="AI1896" s="6">
        <f t="shared" ca="1" si="535"/>
        <v>2023</v>
      </c>
      <c r="AJ1896" s="6">
        <f t="shared" ca="1" si="536"/>
        <v>3</v>
      </c>
      <c r="AK1896" s="68">
        <f ca="1">IFERROR(__xludf.DUMMYFUNCTION("""COMPUTED_VALUE"""),44989.9986111111)</f>
        <v>44989.998611111099</v>
      </c>
      <c r="AL1896" s="6">
        <f ca="1">IFERROR(__xludf.DUMMYFUNCTION("""COMPUTED_VALUE"""),22348.56)</f>
        <v>22348.560000000001</v>
      </c>
      <c r="AP1896" s="6" t="str">
        <f t="shared" ca="1" si="537"/>
        <v>20257</v>
      </c>
      <c r="AQ1896" s="6">
        <f t="shared" ca="1" si="538"/>
        <v>2025</v>
      </c>
      <c r="AR1896" s="6">
        <f t="shared" ca="1" si="539"/>
        <v>7</v>
      </c>
      <c r="AS1896" s="68">
        <f ca="1">IFERROR(__xludf.DUMMYFUNCTION("""COMPUTED_VALUE"""),45862.9986111111)</f>
        <v>45862.998611111099</v>
      </c>
      <c r="AT1896" s="6">
        <f ca="1">IFERROR(__xludf.DUMMYFUNCTION("""COMPUTED_VALUE"""),3373.5)</f>
        <v>3373.5</v>
      </c>
    </row>
    <row r="1897" spans="2:46" x14ac:dyDescent="0.35">
      <c r="B1897" s="6" t="str">
        <f t="shared" ca="1" si="522"/>
        <v>20257</v>
      </c>
      <c r="C1897" s="6">
        <f t="shared" ca="1" si="523"/>
        <v>2025</v>
      </c>
      <c r="D1897" s="6">
        <f t="shared" ca="1" si="524"/>
        <v>7</v>
      </c>
      <c r="E1897" s="68">
        <f ca="1">IFERROR(__xludf.DUMMYFUNCTION("""COMPUTED_VALUE"""),45856.6666666666)</f>
        <v>45856.666666666599</v>
      </c>
      <c r="F1897" s="6">
        <f ca="1">IFERROR(__xludf.DUMMYFUNCTION("""COMPUTED_VALUE"""),6296.79)</f>
        <v>6296.79</v>
      </c>
      <c r="J1897" s="6" t="str">
        <f t="shared" ca="1" si="525"/>
        <v>20257</v>
      </c>
      <c r="K1897" s="6">
        <f t="shared" ca="1" si="526"/>
        <v>2025</v>
      </c>
      <c r="L1897" s="6">
        <f t="shared" ca="1" si="527"/>
        <v>7</v>
      </c>
      <c r="M1897" s="68">
        <f ca="1">IFERROR(__xludf.DUMMYFUNCTION("""COMPUTED_VALUE"""),45849.6666666666)</f>
        <v>45849.666666666599</v>
      </c>
      <c r="N1897" s="6">
        <f ca="1">IFERROR(__xludf.DUMMYFUNCTION("""COMPUTED_VALUE"""),20585.53)</f>
        <v>20585.53</v>
      </c>
      <c r="R1897" s="6" t="str">
        <f t="shared" ca="1" si="528"/>
        <v>20259</v>
      </c>
      <c r="S1897" s="6">
        <f t="shared" ca="1" si="529"/>
        <v>2025</v>
      </c>
      <c r="T1897" s="6">
        <f t="shared" ca="1" si="530"/>
        <v>9</v>
      </c>
      <c r="U1897" s="68">
        <f ca="1">IFERROR(__xludf.DUMMYFUNCTION("""COMPUTED_VALUE"""),45923.6458333333)</f>
        <v>45923.645833333299</v>
      </c>
      <c r="V1897" s="6">
        <f ca="1">IFERROR(__xludf.DUMMYFUNCTION("""COMPUTED_VALUE"""),3486.19)</f>
        <v>3486.19</v>
      </c>
      <c r="Z1897" s="6" t="str">
        <f t="shared" ca="1" si="531"/>
        <v>20234</v>
      </c>
      <c r="AA1897" s="6">
        <f t="shared" ca="1" si="532"/>
        <v>2023</v>
      </c>
      <c r="AB1897" s="6">
        <f t="shared" ca="1" si="533"/>
        <v>4</v>
      </c>
      <c r="AC1897" s="68">
        <f ca="1">IFERROR(__xludf.DUMMYFUNCTION("""COMPUTED_VALUE"""),45046.9986111111)</f>
        <v>45046.998611111099</v>
      </c>
      <c r="AD1897" s="6">
        <f ca="1">IFERROR(__xludf.DUMMYFUNCTION("""COMPUTED_VALUE"""),1337.17)</f>
        <v>1337.17</v>
      </c>
      <c r="AH1897" s="6" t="str">
        <f t="shared" ca="1" si="534"/>
        <v>20233</v>
      </c>
      <c r="AI1897" s="6">
        <f t="shared" ca="1" si="535"/>
        <v>2023</v>
      </c>
      <c r="AJ1897" s="6">
        <f t="shared" ca="1" si="536"/>
        <v>3</v>
      </c>
      <c r="AK1897" s="68">
        <f ca="1">IFERROR(__xludf.DUMMYFUNCTION("""COMPUTED_VALUE"""),44990.9986111111)</f>
        <v>44990.998611111099</v>
      </c>
      <c r="AL1897" s="6">
        <f ca="1">IFERROR(__xludf.DUMMYFUNCTION("""COMPUTED_VALUE"""),22430.08)</f>
        <v>22430.080000000002</v>
      </c>
      <c r="AP1897" s="6" t="str">
        <f t="shared" ca="1" si="537"/>
        <v>20257</v>
      </c>
      <c r="AQ1897" s="6">
        <f t="shared" ca="1" si="538"/>
        <v>2025</v>
      </c>
      <c r="AR1897" s="6">
        <f t="shared" ca="1" si="539"/>
        <v>7</v>
      </c>
      <c r="AS1897" s="68">
        <f ca="1">IFERROR(__xludf.DUMMYFUNCTION("""COMPUTED_VALUE"""),45863.9986111111)</f>
        <v>45863.998611111099</v>
      </c>
      <c r="AT1897" s="6">
        <f ca="1">IFERROR(__xludf.DUMMYFUNCTION("""COMPUTED_VALUE"""),3335.6)</f>
        <v>3335.6</v>
      </c>
    </row>
    <row r="1898" spans="2:46" x14ac:dyDescent="0.35">
      <c r="B1898" s="6" t="str">
        <f t="shared" ca="1" si="522"/>
        <v>20257</v>
      </c>
      <c r="C1898" s="6">
        <f t="shared" ca="1" si="523"/>
        <v>2025</v>
      </c>
      <c r="D1898" s="6">
        <f t="shared" ca="1" si="524"/>
        <v>7</v>
      </c>
      <c r="E1898" s="68">
        <f ca="1">IFERROR(__xludf.DUMMYFUNCTION("""COMPUTED_VALUE"""),45859.6666666666)</f>
        <v>45859.666666666599</v>
      </c>
      <c r="F1898" s="6">
        <f ca="1">IFERROR(__xludf.DUMMYFUNCTION("""COMPUTED_VALUE"""),6305.6)</f>
        <v>6305.6</v>
      </c>
      <c r="J1898" s="6" t="str">
        <f t="shared" ca="1" si="525"/>
        <v>20257</v>
      </c>
      <c r="K1898" s="6">
        <f t="shared" ca="1" si="526"/>
        <v>2025</v>
      </c>
      <c r="L1898" s="6">
        <f t="shared" ca="1" si="527"/>
        <v>7</v>
      </c>
      <c r="M1898" s="68">
        <f ca="1">IFERROR(__xludf.DUMMYFUNCTION("""COMPUTED_VALUE"""),45852.6666666666)</f>
        <v>45852.666666666599</v>
      </c>
      <c r="N1898" s="6">
        <f ca="1">IFERROR(__xludf.DUMMYFUNCTION("""COMPUTED_VALUE"""),20640.33)</f>
        <v>20640.330000000002</v>
      </c>
      <c r="R1898" s="6" t="str">
        <f t="shared" ca="1" si="528"/>
        <v>20259</v>
      </c>
      <c r="S1898" s="6">
        <f t="shared" ca="1" si="529"/>
        <v>2025</v>
      </c>
      <c r="T1898" s="6">
        <f t="shared" ca="1" si="530"/>
        <v>9</v>
      </c>
      <c r="U1898" s="68">
        <f ca="1">IFERROR(__xludf.DUMMYFUNCTION("""COMPUTED_VALUE"""),45924.6458333333)</f>
        <v>45924.645833333299</v>
      </c>
      <c r="V1898" s="6">
        <f ca="1">IFERROR(__xludf.DUMMYFUNCTION("""COMPUTED_VALUE"""),3472.14)</f>
        <v>3472.14</v>
      </c>
      <c r="Z1898" s="6" t="str">
        <f t="shared" ca="1" si="531"/>
        <v>20235</v>
      </c>
      <c r="AA1898" s="6">
        <f t="shared" ca="1" si="532"/>
        <v>2023</v>
      </c>
      <c r="AB1898" s="6">
        <f t="shared" ca="1" si="533"/>
        <v>5</v>
      </c>
      <c r="AC1898" s="68">
        <f ca="1">IFERROR(__xludf.DUMMYFUNCTION("""COMPUTED_VALUE"""),45047.9986111111)</f>
        <v>45047.998611111099</v>
      </c>
      <c r="AD1898" s="6">
        <f ca="1">IFERROR(__xludf.DUMMYFUNCTION("""COMPUTED_VALUE"""),1342.79)</f>
        <v>1342.79</v>
      </c>
      <c r="AH1898" s="6" t="str">
        <f t="shared" ca="1" si="534"/>
        <v>20233</v>
      </c>
      <c r="AI1898" s="6">
        <f t="shared" ca="1" si="535"/>
        <v>2023</v>
      </c>
      <c r="AJ1898" s="6">
        <f t="shared" ca="1" si="536"/>
        <v>3</v>
      </c>
      <c r="AK1898" s="68">
        <f ca="1">IFERROR(__xludf.DUMMYFUNCTION("""COMPUTED_VALUE"""),44991.9986111111)</f>
        <v>44991.998611111099</v>
      </c>
      <c r="AL1898" s="6">
        <f ca="1">IFERROR(__xludf.DUMMYFUNCTION("""COMPUTED_VALUE"""),22409.14)</f>
        <v>22409.14</v>
      </c>
      <c r="AP1898" s="6" t="str">
        <f t="shared" ca="1" si="537"/>
        <v>20257</v>
      </c>
      <c r="AQ1898" s="6">
        <f t="shared" ca="1" si="538"/>
        <v>2025</v>
      </c>
      <c r="AR1898" s="6">
        <f t="shared" ca="1" si="539"/>
        <v>7</v>
      </c>
      <c r="AS1898" s="68">
        <f ca="1">IFERROR(__xludf.DUMMYFUNCTION("""COMPUTED_VALUE"""),45866.9986111111)</f>
        <v>45866.998611111099</v>
      </c>
      <c r="AT1898" s="6">
        <f ca="1">IFERROR(__xludf.DUMMYFUNCTION("""COMPUTED_VALUE"""),3310)</f>
        <v>3310</v>
      </c>
    </row>
    <row r="1899" spans="2:46" x14ac:dyDescent="0.35">
      <c r="B1899" s="6" t="str">
        <f t="shared" ca="1" si="522"/>
        <v>20257</v>
      </c>
      <c r="C1899" s="6">
        <f t="shared" ca="1" si="523"/>
        <v>2025</v>
      </c>
      <c r="D1899" s="6">
        <f t="shared" ca="1" si="524"/>
        <v>7</v>
      </c>
      <c r="E1899" s="68">
        <f ca="1">IFERROR(__xludf.DUMMYFUNCTION("""COMPUTED_VALUE"""),45860.6666666666)</f>
        <v>45860.666666666599</v>
      </c>
      <c r="F1899" s="6">
        <f ca="1">IFERROR(__xludf.DUMMYFUNCTION("""COMPUTED_VALUE"""),6309.62)</f>
        <v>6309.62</v>
      </c>
      <c r="J1899" s="6" t="str">
        <f t="shared" ca="1" si="525"/>
        <v>20257</v>
      </c>
      <c r="K1899" s="6">
        <f t="shared" ca="1" si="526"/>
        <v>2025</v>
      </c>
      <c r="L1899" s="6">
        <f t="shared" ca="1" si="527"/>
        <v>7</v>
      </c>
      <c r="M1899" s="68">
        <f ca="1">IFERROR(__xludf.DUMMYFUNCTION("""COMPUTED_VALUE"""),45853.6666666666)</f>
        <v>45853.666666666599</v>
      </c>
      <c r="N1899" s="6">
        <f ca="1">IFERROR(__xludf.DUMMYFUNCTION("""COMPUTED_VALUE"""),20677.8)</f>
        <v>20677.8</v>
      </c>
      <c r="R1899" s="6" t="str">
        <f t="shared" ca="1" si="528"/>
        <v>20259</v>
      </c>
      <c r="S1899" s="6">
        <f t="shared" ca="1" si="529"/>
        <v>2025</v>
      </c>
      <c r="T1899" s="6">
        <f t="shared" ca="1" si="530"/>
        <v>9</v>
      </c>
      <c r="U1899" s="68">
        <f ca="1">IFERROR(__xludf.DUMMYFUNCTION("""COMPUTED_VALUE"""),45925.6458333333)</f>
        <v>45925.645833333299</v>
      </c>
      <c r="V1899" s="6">
        <f ca="1">IFERROR(__xludf.DUMMYFUNCTION("""COMPUTED_VALUE"""),3471.11)</f>
        <v>3471.11</v>
      </c>
      <c r="Z1899" s="6" t="str">
        <f t="shared" ca="1" si="531"/>
        <v>20235</v>
      </c>
      <c r="AA1899" s="6">
        <f t="shared" ca="1" si="532"/>
        <v>2023</v>
      </c>
      <c r="AB1899" s="6">
        <f t="shared" ca="1" si="533"/>
        <v>5</v>
      </c>
      <c r="AC1899" s="68">
        <f ca="1">IFERROR(__xludf.DUMMYFUNCTION("""COMPUTED_VALUE"""),45048.9986111111)</f>
        <v>45048.998611111099</v>
      </c>
      <c r="AD1899" s="6">
        <f ca="1">IFERROR(__xludf.DUMMYFUNCTION("""COMPUTED_VALUE"""),1342.3)</f>
        <v>1342.3</v>
      </c>
      <c r="AH1899" s="6" t="str">
        <f t="shared" ca="1" si="534"/>
        <v>20233</v>
      </c>
      <c r="AI1899" s="6">
        <f t="shared" ca="1" si="535"/>
        <v>2023</v>
      </c>
      <c r="AJ1899" s="6">
        <f t="shared" ca="1" si="536"/>
        <v>3</v>
      </c>
      <c r="AK1899" s="68">
        <f ca="1">IFERROR(__xludf.DUMMYFUNCTION("""COMPUTED_VALUE"""),44992.9986111111)</f>
        <v>44992.998611111099</v>
      </c>
      <c r="AL1899" s="6">
        <f ca="1">IFERROR(__xludf.DUMMYFUNCTION("""COMPUTED_VALUE"""),22199.27)</f>
        <v>22199.27</v>
      </c>
      <c r="AP1899" s="6" t="str">
        <f t="shared" ca="1" si="537"/>
        <v>20257</v>
      </c>
      <c r="AQ1899" s="6">
        <f t="shared" ca="1" si="538"/>
        <v>2025</v>
      </c>
      <c r="AR1899" s="6">
        <f t="shared" ca="1" si="539"/>
        <v>7</v>
      </c>
      <c r="AS1899" s="68">
        <f ca="1">IFERROR(__xludf.DUMMYFUNCTION("""COMPUTED_VALUE"""),45867.9986111111)</f>
        <v>45867.998611111099</v>
      </c>
      <c r="AT1899" s="6">
        <f ca="1">IFERROR(__xludf.DUMMYFUNCTION("""COMPUTED_VALUE"""),3324)</f>
        <v>3324</v>
      </c>
    </row>
    <row r="1900" spans="2:46" x14ac:dyDescent="0.35">
      <c r="B1900" s="6" t="str">
        <f t="shared" ca="1" si="522"/>
        <v>20257</v>
      </c>
      <c r="C1900" s="6">
        <f t="shared" ca="1" si="523"/>
        <v>2025</v>
      </c>
      <c r="D1900" s="6">
        <f t="shared" ca="1" si="524"/>
        <v>7</v>
      </c>
      <c r="E1900" s="68">
        <f ca="1">IFERROR(__xludf.DUMMYFUNCTION("""COMPUTED_VALUE"""),45861.6666666666)</f>
        <v>45861.666666666599</v>
      </c>
      <c r="F1900" s="6">
        <f ca="1">IFERROR(__xludf.DUMMYFUNCTION("""COMPUTED_VALUE"""),6358.91)</f>
        <v>6358.91</v>
      </c>
      <c r="J1900" s="6" t="str">
        <f t="shared" ca="1" si="525"/>
        <v>20257</v>
      </c>
      <c r="K1900" s="6">
        <f t="shared" ca="1" si="526"/>
        <v>2025</v>
      </c>
      <c r="L1900" s="6">
        <f t="shared" ca="1" si="527"/>
        <v>7</v>
      </c>
      <c r="M1900" s="68">
        <f ca="1">IFERROR(__xludf.DUMMYFUNCTION("""COMPUTED_VALUE"""),45854.6666666666)</f>
        <v>45854.666666666599</v>
      </c>
      <c r="N1900" s="6">
        <f ca="1">IFERROR(__xludf.DUMMYFUNCTION("""COMPUTED_VALUE"""),20730.49)</f>
        <v>20730.490000000002</v>
      </c>
      <c r="R1900" s="6" t="str">
        <f t="shared" ca="1" si="528"/>
        <v>20259</v>
      </c>
      <c r="S1900" s="6">
        <f t="shared" ca="1" si="529"/>
        <v>2025</v>
      </c>
      <c r="T1900" s="6">
        <f t="shared" ca="1" si="530"/>
        <v>9</v>
      </c>
      <c r="U1900" s="68">
        <f ca="1">IFERROR(__xludf.DUMMYFUNCTION("""COMPUTED_VALUE"""),45926.6458333333)</f>
        <v>45926.645833333299</v>
      </c>
      <c r="V1900" s="6">
        <f ca="1">IFERROR(__xludf.DUMMYFUNCTION("""COMPUTED_VALUE"""),3386.05)</f>
        <v>3386.05</v>
      </c>
      <c r="Z1900" s="6" t="str">
        <f t="shared" ca="1" si="531"/>
        <v>20235</v>
      </c>
      <c r="AA1900" s="6">
        <f t="shared" ca="1" si="532"/>
        <v>2023</v>
      </c>
      <c r="AB1900" s="6">
        <f t="shared" ca="1" si="533"/>
        <v>5</v>
      </c>
      <c r="AC1900" s="68">
        <f ca="1">IFERROR(__xludf.DUMMYFUNCTION("""COMPUTED_VALUE"""),45049.9986111111)</f>
        <v>45049.998611111099</v>
      </c>
      <c r="AD1900" s="6">
        <f ca="1">IFERROR(__xludf.DUMMYFUNCTION("""COMPUTED_VALUE"""),1335.23)</f>
        <v>1335.23</v>
      </c>
      <c r="AH1900" s="6" t="str">
        <f t="shared" ca="1" si="534"/>
        <v>20233</v>
      </c>
      <c r="AI1900" s="6">
        <f t="shared" ca="1" si="535"/>
        <v>2023</v>
      </c>
      <c r="AJ1900" s="6">
        <f t="shared" ca="1" si="536"/>
        <v>3</v>
      </c>
      <c r="AK1900" s="68">
        <f ca="1">IFERROR(__xludf.DUMMYFUNCTION("""COMPUTED_VALUE"""),44993.9986111111)</f>
        <v>44993.998611111099</v>
      </c>
      <c r="AL1900" s="6">
        <f ca="1">IFERROR(__xludf.DUMMYFUNCTION("""COMPUTED_VALUE"""),21702.5)</f>
        <v>21702.5</v>
      </c>
      <c r="AP1900" s="6" t="str">
        <f t="shared" ca="1" si="537"/>
        <v>20257</v>
      </c>
      <c r="AQ1900" s="6">
        <f t="shared" ca="1" si="538"/>
        <v>2025</v>
      </c>
      <c r="AR1900" s="6">
        <f t="shared" ca="1" si="539"/>
        <v>7</v>
      </c>
      <c r="AS1900" s="68">
        <f ca="1">IFERROR(__xludf.DUMMYFUNCTION("""COMPUTED_VALUE"""),45868.9986111111)</f>
        <v>45868.998611111099</v>
      </c>
      <c r="AT1900" s="6">
        <f ca="1">IFERROR(__xludf.DUMMYFUNCTION("""COMPUTED_VALUE"""),3352.8)</f>
        <v>3352.8</v>
      </c>
    </row>
    <row r="1901" spans="2:46" x14ac:dyDescent="0.35">
      <c r="B1901" s="6" t="str">
        <f t="shared" ca="1" si="522"/>
        <v>20257</v>
      </c>
      <c r="C1901" s="6">
        <f t="shared" ca="1" si="523"/>
        <v>2025</v>
      </c>
      <c r="D1901" s="6">
        <f t="shared" ca="1" si="524"/>
        <v>7</v>
      </c>
      <c r="E1901" s="68">
        <f ca="1">IFERROR(__xludf.DUMMYFUNCTION("""COMPUTED_VALUE"""),45862.6666666666)</f>
        <v>45862.666666666599</v>
      </c>
      <c r="F1901" s="6">
        <f ca="1">IFERROR(__xludf.DUMMYFUNCTION("""COMPUTED_VALUE"""),6363.35)</f>
        <v>6363.35</v>
      </c>
      <c r="J1901" s="6" t="str">
        <f t="shared" ca="1" si="525"/>
        <v>20257</v>
      </c>
      <c r="K1901" s="6">
        <f t="shared" ca="1" si="526"/>
        <v>2025</v>
      </c>
      <c r="L1901" s="6">
        <f t="shared" ca="1" si="527"/>
        <v>7</v>
      </c>
      <c r="M1901" s="68">
        <f ca="1">IFERROR(__xludf.DUMMYFUNCTION("""COMPUTED_VALUE"""),45855.6666666666)</f>
        <v>45855.666666666599</v>
      </c>
      <c r="N1901" s="6">
        <f ca="1">IFERROR(__xludf.DUMMYFUNCTION("""COMPUTED_VALUE"""),20885.65)</f>
        <v>20885.650000000001</v>
      </c>
      <c r="R1901" s="6" t="str">
        <f t="shared" ca="1" si="528"/>
        <v>20259</v>
      </c>
      <c r="S1901" s="6">
        <f t="shared" ca="1" si="529"/>
        <v>2025</v>
      </c>
      <c r="T1901" s="6">
        <f t="shared" ca="1" si="530"/>
        <v>9</v>
      </c>
      <c r="U1901" s="68">
        <f ca="1">IFERROR(__xludf.DUMMYFUNCTION("""COMPUTED_VALUE"""),45929.6458333333)</f>
        <v>45929.645833333299</v>
      </c>
      <c r="V1901" s="6">
        <f ca="1">IFERROR(__xludf.DUMMYFUNCTION("""COMPUTED_VALUE"""),3431.21)</f>
        <v>3431.21</v>
      </c>
      <c r="Z1901" s="6" t="str">
        <f t="shared" ca="1" si="531"/>
        <v>20235</v>
      </c>
      <c r="AA1901" s="6">
        <f t="shared" ca="1" si="532"/>
        <v>2023</v>
      </c>
      <c r="AB1901" s="6">
        <f t="shared" ca="1" si="533"/>
        <v>5</v>
      </c>
      <c r="AC1901" s="68">
        <f ca="1">IFERROR(__xludf.DUMMYFUNCTION("""COMPUTED_VALUE"""),45050.9986111111)</f>
        <v>45050.998611111099</v>
      </c>
      <c r="AD1901" s="6">
        <f ca="1">IFERROR(__xludf.DUMMYFUNCTION("""COMPUTED_VALUE"""),1320.15)</f>
        <v>1320.15</v>
      </c>
      <c r="AH1901" s="6" t="str">
        <f t="shared" ca="1" si="534"/>
        <v>20233</v>
      </c>
      <c r="AI1901" s="6">
        <f t="shared" ca="1" si="535"/>
        <v>2023</v>
      </c>
      <c r="AJ1901" s="6">
        <f t="shared" ca="1" si="536"/>
        <v>3</v>
      </c>
      <c r="AK1901" s="68">
        <f ca="1">IFERROR(__xludf.DUMMYFUNCTION("""COMPUTED_VALUE"""),44994.9986111111)</f>
        <v>44994.998611111099</v>
      </c>
      <c r="AL1901" s="6">
        <f ca="1">IFERROR(__xludf.DUMMYFUNCTION("""COMPUTED_VALUE"""),20364.74)</f>
        <v>20364.740000000002</v>
      </c>
      <c r="AP1901" s="6" t="str">
        <f t="shared" ca="1" si="537"/>
        <v>20257</v>
      </c>
      <c r="AQ1901" s="6">
        <f t="shared" ca="1" si="538"/>
        <v>2025</v>
      </c>
      <c r="AR1901" s="6">
        <f t="shared" ca="1" si="539"/>
        <v>7</v>
      </c>
      <c r="AS1901" s="68">
        <f ca="1">IFERROR(__xludf.DUMMYFUNCTION("""COMPUTED_VALUE"""),45869.9986111111)</f>
        <v>45869.998611111099</v>
      </c>
      <c r="AT1901" s="6">
        <f ca="1">IFERROR(__xludf.DUMMYFUNCTION("""COMPUTED_VALUE"""),3348.6)</f>
        <v>3348.6</v>
      </c>
    </row>
    <row r="1902" spans="2:46" x14ac:dyDescent="0.35">
      <c r="B1902" s="6" t="str">
        <f t="shared" ca="1" si="522"/>
        <v>20257</v>
      </c>
      <c r="C1902" s="6">
        <f t="shared" ca="1" si="523"/>
        <v>2025</v>
      </c>
      <c r="D1902" s="6">
        <f t="shared" ca="1" si="524"/>
        <v>7</v>
      </c>
      <c r="E1902" s="68">
        <f ca="1">IFERROR(__xludf.DUMMYFUNCTION("""COMPUTED_VALUE"""),45863.6666666666)</f>
        <v>45863.666666666599</v>
      </c>
      <c r="F1902" s="6">
        <f ca="1">IFERROR(__xludf.DUMMYFUNCTION("""COMPUTED_VALUE"""),6388.64)</f>
        <v>6388.64</v>
      </c>
      <c r="J1902" s="6" t="str">
        <f t="shared" ca="1" si="525"/>
        <v>20257</v>
      </c>
      <c r="K1902" s="6">
        <f t="shared" ca="1" si="526"/>
        <v>2025</v>
      </c>
      <c r="L1902" s="6">
        <f t="shared" ca="1" si="527"/>
        <v>7</v>
      </c>
      <c r="M1902" s="68">
        <f ca="1">IFERROR(__xludf.DUMMYFUNCTION("""COMPUTED_VALUE"""),45856.6666666666)</f>
        <v>45856.666666666599</v>
      </c>
      <c r="N1902" s="6">
        <f ca="1">IFERROR(__xludf.DUMMYFUNCTION("""COMPUTED_VALUE"""),20895.66)</f>
        <v>20895.66</v>
      </c>
      <c r="R1902" s="6" t="str">
        <f t="shared" ca="1" si="528"/>
        <v>20259</v>
      </c>
      <c r="S1902" s="6">
        <f t="shared" ca="1" si="529"/>
        <v>2025</v>
      </c>
      <c r="T1902" s="6">
        <f t="shared" ca="1" si="530"/>
        <v>9</v>
      </c>
      <c r="U1902" s="68">
        <f ca="1">IFERROR(__xludf.DUMMYFUNCTION("""COMPUTED_VALUE"""),45930.6458333333)</f>
        <v>45930.645833333299</v>
      </c>
      <c r="V1902" s="6">
        <f ca="1">IFERROR(__xludf.DUMMYFUNCTION("""COMPUTED_VALUE"""),3424.6)</f>
        <v>3424.6</v>
      </c>
      <c r="Z1902" s="6" t="str">
        <f t="shared" ca="1" si="531"/>
        <v>20235</v>
      </c>
      <c r="AA1902" s="6">
        <f t="shared" ca="1" si="532"/>
        <v>2023</v>
      </c>
      <c r="AB1902" s="6">
        <f t="shared" ca="1" si="533"/>
        <v>5</v>
      </c>
      <c r="AC1902" s="68">
        <f ca="1">IFERROR(__xludf.DUMMYFUNCTION("""COMPUTED_VALUE"""),45051.9986111111)</f>
        <v>45051.998611111099</v>
      </c>
      <c r="AD1902" s="6">
        <f ca="1">IFERROR(__xludf.DUMMYFUNCTION("""COMPUTED_VALUE"""),1317.53)</f>
        <v>1317.53</v>
      </c>
      <c r="AH1902" s="6" t="str">
        <f t="shared" ca="1" si="534"/>
        <v>20233</v>
      </c>
      <c r="AI1902" s="6">
        <f t="shared" ca="1" si="535"/>
        <v>2023</v>
      </c>
      <c r="AJ1902" s="6">
        <f t="shared" ca="1" si="536"/>
        <v>3</v>
      </c>
      <c r="AK1902" s="68">
        <f ca="1">IFERROR(__xludf.DUMMYFUNCTION("""COMPUTED_VALUE"""),44995.9986111111)</f>
        <v>44995.998611111099</v>
      </c>
      <c r="AL1902" s="6">
        <f ca="1">IFERROR(__xludf.DUMMYFUNCTION("""COMPUTED_VALUE"""),20208.31)</f>
        <v>20208.310000000001</v>
      </c>
      <c r="AP1902" s="6" t="str">
        <f t="shared" ca="1" si="537"/>
        <v>20258</v>
      </c>
      <c r="AQ1902" s="6">
        <f t="shared" ca="1" si="538"/>
        <v>2025</v>
      </c>
      <c r="AR1902" s="6">
        <f t="shared" ca="1" si="539"/>
        <v>8</v>
      </c>
      <c r="AS1902" s="68">
        <f ca="1">IFERROR(__xludf.DUMMYFUNCTION("""COMPUTED_VALUE"""),45870.9986111111)</f>
        <v>45870.998611111099</v>
      </c>
      <c r="AT1902" s="6">
        <f ca="1">IFERROR(__xludf.DUMMYFUNCTION("""COMPUTED_VALUE"""),3399.8)</f>
        <v>3399.8</v>
      </c>
    </row>
    <row r="1903" spans="2:46" x14ac:dyDescent="0.35">
      <c r="B1903" s="6" t="str">
        <f t="shared" ca="1" si="522"/>
        <v>20257</v>
      </c>
      <c r="C1903" s="6">
        <f t="shared" ca="1" si="523"/>
        <v>2025</v>
      </c>
      <c r="D1903" s="6">
        <f t="shared" ca="1" si="524"/>
        <v>7</v>
      </c>
      <c r="E1903" s="68">
        <f ca="1">IFERROR(__xludf.DUMMYFUNCTION("""COMPUTED_VALUE"""),45866.6666666666)</f>
        <v>45866.666666666599</v>
      </c>
      <c r="F1903" s="6">
        <f ca="1">IFERROR(__xludf.DUMMYFUNCTION("""COMPUTED_VALUE"""),6389.77)</f>
        <v>6389.77</v>
      </c>
      <c r="J1903" s="6" t="str">
        <f t="shared" ca="1" si="525"/>
        <v>20257</v>
      </c>
      <c r="K1903" s="6">
        <f t="shared" ca="1" si="526"/>
        <v>2025</v>
      </c>
      <c r="L1903" s="6">
        <f t="shared" ca="1" si="527"/>
        <v>7</v>
      </c>
      <c r="M1903" s="68">
        <f ca="1">IFERROR(__xludf.DUMMYFUNCTION("""COMPUTED_VALUE"""),45859.6666666666)</f>
        <v>45859.666666666599</v>
      </c>
      <c r="N1903" s="6">
        <f ca="1">IFERROR(__xludf.DUMMYFUNCTION("""COMPUTED_VALUE"""),20974.18)</f>
        <v>20974.18</v>
      </c>
      <c r="R1903" s="6" t="str">
        <f t="shared" ca="1" si="528"/>
        <v>202510</v>
      </c>
      <c r="S1903" s="6">
        <f t="shared" ca="1" si="529"/>
        <v>2025</v>
      </c>
      <c r="T1903" s="6">
        <f t="shared" ca="1" si="530"/>
        <v>10</v>
      </c>
      <c r="U1903" s="68">
        <f ca="1">IFERROR(__xludf.DUMMYFUNCTION("""COMPUTED_VALUE"""),45931.6458333333)</f>
        <v>45931.645833333299</v>
      </c>
      <c r="V1903" s="6">
        <f ca="1">IFERROR(__xludf.DUMMYFUNCTION("""COMPUTED_VALUE"""),3455.83)</f>
        <v>3455.83</v>
      </c>
      <c r="Z1903" s="6" t="str">
        <f t="shared" ca="1" si="531"/>
        <v>20235</v>
      </c>
      <c r="AA1903" s="6">
        <f t="shared" ca="1" si="532"/>
        <v>2023</v>
      </c>
      <c r="AB1903" s="6">
        <f t="shared" ca="1" si="533"/>
        <v>5</v>
      </c>
      <c r="AC1903" s="68">
        <f ca="1">IFERROR(__xludf.DUMMYFUNCTION("""COMPUTED_VALUE"""),45052.9986111111)</f>
        <v>45052.998611111099</v>
      </c>
      <c r="AD1903" s="6">
        <f ca="1">IFERROR(__xludf.DUMMYFUNCTION("""COMPUTED_VALUE"""),1317.53)</f>
        <v>1317.53</v>
      </c>
      <c r="AH1903" s="6" t="str">
        <f t="shared" ca="1" si="534"/>
        <v>20233</v>
      </c>
      <c r="AI1903" s="6">
        <f t="shared" ca="1" si="535"/>
        <v>2023</v>
      </c>
      <c r="AJ1903" s="6">
        <f t="shared" ca="1" si="536"/>
        <v>3</v>
      </c>
      <c r="AK1903" s="68">
        <f ca="1">IFERROR(__xludf.DUMMYFUNCTION("""COMPUTED_VALUE"""),44996.9986111111)</f>
        <v>44996.998611111099</v>
      </c>
      <c r="AL1903" s="6">
        <f ca="1">IFERROR(__xludf.DUMMYFUNCTION("""COMPUTED_VALUE"""),20575.93)</f>
        <v>20575.93</v>
      </c>
      <c r="AP1903" s="6" t="str">
        <f t="shared" ca="1" si="537"/>
        <v>20258</v>
      </c>
      <c r="AQ1903" s="6">
        <f t="shared" ca="1" si="538"/>
        <v>2025</v>
      </c>
      <c r="AR1903" s="6">
        <f t="shared" ca="1" si="539"/>
        <v>8</v>
      </c>
      <c r="AS1903" s="68">
        <f ca="1">IFERROR(__xludf.DUMMYFUNCTION("""COMPUTED_VALUE"""),45873.9986111111)</f>
        <v>45873.998611111099</v>
      </c>
      <c r="AT1903" s="6">
        <f ca="1">IFERROR(__xludf.DUMMYFUNCTION("""COMPUTED_VALUE"""),3426.4)</f>
        <v>3426.4</v>
      </c>
    </row>
    <row r="1904" spans="2:46" x14ac:dyDescent="0.35">
      <c r="B1904" s="6" t="str">
        <f t="shared" ca="1" si="522"/>
        <v>20257</v>
      </c>
      <c r="C1904" s="6">
        <f t="shared" ca="1" si="523"/>
        <v>2025</v>
      </c>
      <c r="D1904" s="6">
        <f t="shared" ca="1" si="524"/>
        <v>7</v>
      </c>
      <c r="E1904" s="68">
        <f ca="1">IFERROR(__xludf.DUMMYFUNCTION("""COMPUTED_VALUE"""),45867.6666666666)</f>
        <v>45867.666666666599</v>
      </c>
      <c r="F1904" s="6">
        <f ca="1">IFERROR(__xludf.DUMMYFUNCTION("""COMPUTED_VALUE"""),6370.86)</f>
        <v>6370.86</v>
      </c>
      <c r="J1904" s="6" t="str">
        <f t="shared" ca="1" si="525"/>
        <v>20257</v>
      </c>
      <c r="K1904" s="6">
        <f t="shared" ca="1" si="526"/>
        <v>2025</v>
      </c>
      <c r="L1904" s="6">
        <f t="shared" ca="1" si="527"/>
        <v>7</v>
      </c>
      <c r="M1904" s="68">
        <f ca="1">IFERROR(__xludf.DUMMYFUNCTION("""COMPUTED_VALUE"""),45860.6666666666)</f>
        <v>45860.666666666599</v>
      </c>
      <c r="N1904" s="6">
        <f ca="1">IFERROR(__xludf.DUMMYFUNCTION("""COMPUTED_VALUE"""),20892.69)</f>
        <v>20892.689999999999</v>
      </c>
      <c r="R1904" s="6" t="str">
        <f t="shared" ca="1" si="528"/>
        <v>202510</v>
      </c>
      <c r="S1904" s="6">
        <f t="shared" ca="1" si="529"/>
        <v>2025</v>
      </c>
      <c r="T1904" s="6">
        <f t="shared" ca="1" si="530"/>
        <v>10</v>
      </c>
      <c r="U1904" s="68">
        <f ca="1">IFERROR(__xludf.DUMMYFUNCTION("""COMPUTED_VALUE"""),45932.6458333333)</f>
        <v>45932.645833333299</v>
      </c>
      <c r="V1904" s="6">
        <f ca="1">IFERROR(__xludf.DUMMYFUNCTION("""COMPUTED_VALUE"""),3549.21)</f>
        <v>3549.21</v>
      </c>
      <c r="Z1904" s="6" t="str">
        <f t="shared" ca="1" si="531"/>
        <v>20235</v>
      </c>
      <c r="AA1904" s="6">
        <f t="shared" ca="1" si="532"/>
        <v>2023</v>
      </c>
      <c r="AB1904" s="6">
        <f t="shared" ca="1" si="533"/>
        <v>5</v>
      </c>
      <c r="AC1904" s="68">
        <f ca="1">IFERROR(__xludf.DUMMYFUNCTION("""COMPUTED_VALUE"""),45053.9986111111)</f>
        <v>45053.998611111099</v>
      </c>
      <c r="AD1904" s="6">
        <f ca="1">IFERROR(__xludf.DUMMYFUNCTION("""COMPUTED_VALUE"""),1316.96)</f>
        <v>1316.96</v>
      </c>
      <c r="AH1904" s="6" t="str">
        <f t="shared" ca="1" si="534"/>
        <v>20233</v>
      </c>
      <c r="AI1904" s="6">
        <f t="shared" ca="1" si="535"/>
        <v>2023</v>
      </c>
      <c r="AJ1904" s="6">
        <f t="shared" ca="1" si="536"/>
        <v>3</v>
      </c>
      <c r="AK1904" s="68">
        <f ca="1">IFERROR(__xludf.DUMMYFUNCTION("""COMPUTED_VALUE"""),44997.9986111111)</f>
        <v>44997.998611111099</v>
      </c>
      <c r="AL1904" s="6">
        <f ca="1">IFERROR(__xludf.DUMMYFUNCTION("""COMPUTED_VALUE"""),22113.55)</f>
        <v>22113.55</v>
      </c>
      <c r="AP1904" s="6" t="str">
        <f t="shared" ca="1" si="537"/>
        <v>20258</v>
      </c>
      <c r="AQ1904" s="6">
        <f t="shared" ca="1" si="538"/>
        <v>2025</v>
      </c>
      <c r="AR1904" s="6">
        <f t="shared" ca="1" si="539"/>
        <v>8</v>
      </c>
      <c r="AS1904" s="68">
        <f ca="1">IFERROR(__xludf.DUMMYFUNCTION("""COMPUTED_VALUE"""),45874.9986111111)</f>
        <v>45874.998611111099</v>
      </c>
      <c r="AT1904" s="6">
        <f ca="1">IFERROR(__xludf.DUMMYFUNCTION("""COMPUTED_VALUE"""),3434.7)</f>
        <v>3434.7</v>
      </c>
    </row>
    <row r="1905" spans="2:46" x14ac:dyDescent="0.35">
      <c r="B1905" s="6" t="str">
        <f t="shared" ca="1" si="522"/>
        <v>20257</v>
      </c>
      <c r="C1905" s="6">
        <f t="shared" ca="1" si="523"/>
        <v>2025</v>
      </c>
      <c r="D1905" s="6">
        <f t="shared" ca="1" si="524"/>
        <v>7</v>
      </c>
      <c r="E1905" s="68">
        <f ca="1">IFERROR(__xludf.DUMMYFUNCTION("""COMPUTED_VALUE"""),45868.6666666666)</f>
        <v>45868.666666666599</v>
      </c>
      <c r="F1905" s="6">
        <f ca="1">IFERROR(__xludf.DUMMYFUNCTION("""COMPUTED_VALUE"""),6362.9)</f>
        <v>6362.9</v>
      </c>
      <c r="J1905" s="6" t="str">
        <f t="shared" ca="1" si="525"/>
        <v>20257</v>
      </c>
      <c r="K1905" s="6">
        <f t="shared" ca="1" si="526"/>
        <v>2025</v>
      </c>
      <c r="L1905" s="6">
        <f t="shared" ca="1" si="527"/>
        <v>7</v>
      </c>
      <c r="M1905" s="68">
        <f ca="1">IFERROR(__xludf.DUMMYFUNCTION("""COMPUTED_VALUE"""),45861.6666666666)</f>
        <v>45861.666666666599</v>
      </c>
      <c r="N1905" s="6">
        <f ca="1">IFERROR(__xludf.DUMMYFUNCTION("""COMPUTED_VALUE"""),21020.02)</f>
        <v>21020.02</v>
      </c>
      <c r="R1905" s="6" t="str">
        <f t="shared" ca="1" si="528"/>
        <v>202510</v>
      </c>
      <c r="S1905" s="6">
        <f t="shared" ca="1" si="529"/>
        <v>2025</v>
      </c>
      <c r="T1905" s="6">
        <f t="shared" ca="1" si="530"/>
        <v>10</v>
      </c>
      <c r="U1905" s="68">
        <f ca="1">IFERROR(__xludf.DUMMYFUNCTION("""COMPUTED_VALUE"""),45940.6458333333)</f>
        <v>45940.645833333299</v>
      </c>
      <c r="V1905" s="6">
        <f ca="1">IFERROR(__xludf.DUMMYFUNCTION("""COMPUTED_VALUE"""),3610.6)</f>
        <v>3610.6</v>
      </c>
      <c r="Z1905" s="6" t="str">
        <f t="shared" ca="1" si="531"/>
        <v>20235</v>
      </c>
      <c r="AA1905" s="6">
        <f t="shared" ca="1" si="532"/>
        <v>2023</v>
      </c>
      <c r="AB1905" s="6">
        <f t="shared" ca="1" si="533"/>
        <v>5</v>
      </c>
      <c r="AC1905" s="68">
        <f ca="1">IFERROR(__xludf.DUMMYFUNCTION("""COMPUTED_VALUE"""),45054.9986111111)</f>
        <v>45054.998611111099</v>
      </c>
      <c r="AD1905" s="6">
        <f ca="1">IFERROR(__xludf.DUMMYFUNCTION("""COMPUTED_VALUE"""),1322.41)</f>
        <v>1322.41</v>
      </c>
      <c r="AH1905" s="6" t="str">
        <f t="shared" ca="1" si="534"/>
        <v>20233</v>
      </c>
      <c r="AI1905" s="6">
        <f t="shared" ca="1" si="535"/>
        <v>2023</v>
      </c>
      <c r="AJ1905" s="6">
        <f t="shared" ca="1" si="536"/>
        <v>3</v>
      </c>
      <c r="AK1905" s="68">
        <f ca="1">IFERROR(__xludf.DUMMYFUNCTION("""COMPUTED_VALUE"""),44998.9986111111)</f>
        <v>44998.998611111099</v>
      </c>
      <c r="AL1905" s="6">
        <f ca="1">IFERROR(__xludf.DUMMYFUNCTION("""COMPUTED_VALUE"""),24194.49)</f>
        <v>24194.49</v>
      </c>
      <c r="AP1905" s="6" t="str">
        <f t="shared" ca="1" si="537"/>
        <v>20258</v>
      </c>
      <c r="AQ1905" s="6">
        <f t="shared" ca="1" si="538"/>
        <v>2025</v>
      </c>
      <c r="AR1905" s="6">
        <f t="shared" ca="1" si="539"/>
        <v>8</v>
      </c>
      <c r="AS1905" s="68">
        <f ca="1">IFERROR(__xludf.DUMMYFUNCTION("""COMPUTED_VALUE"""),45875.9986111111)</f>
        <v>45875.998611111099</v>
      </c>
      <c r="AT1905" s="6">
        <f ca="1">IFERROR(__xludf.DUMMYFUNCTION("""COMPUTED_VALUE"""),3433.4)</f>
        <v>3433.4</v>
      </c>
    </row>
    <row r="1906" spans="2:46" x14ac:dyDescent="0.35">
      <c r="B1906" s="6" t="str">
        <f t="shared" ca="1" si="522"/>
        <v>20257</v>
      </c>
      <c r="C1906" s="6">
        <f t="shared" ca="1" si="523"/>
        <v>2025</v>
      </c>
      <c r="D1906" s="6">
        <f t="shared" ca="1" si="524"/>
        <v>7</v>
      </c>
      <c r="E1906" s="68">
        <f ca="1">IFERROR(__xludf.DUMMYFUNCTION("""COMPUTED_VALUE"""),45869.6666666666)</f>
        <v>45869.666666666599</v>
      </c>
      <c r="F1906" s="6">
        <f ca="1">IFERROR(__xludf.DUMMYFUNCTION("""COMPUTED_VALUE"""),6339.39)</f>
        <v>6339.39</v>
      </c>
      <c r="J1906" s="6" t="str">
        <f t="shared" ca="1" si="525"/>
        <v>20257</v>
      </c>
      <c r="K1906" s="6">
        <f t="shared" ca="1" si="526"/>
        <v>2025</v>
      </c>
      <c r="L1906" s="6">
        <f t="shared" ca="1" si="527"/>
        <v>7</v>
      </c>
      <c r="M1906" s="68">
        <f ca="1">IFERROR(__xludf.DUMMYFUNCTION("""COMPUTED_VALUE"""),45862.6666666666)</f>
        <v>45862.666666666599</v>
      </c>
      <c r="N1906" s="6">
        <f ca="1">IFERROR(__xludf.DUMMYFUNCTION("""COMPUTED_VALUE"""),21057.96)</f>
        <v>21057.96</v>
      </c>
      <c r="R1906" s="6" t="str">
        <f t="shared" ca="1" si="528"/>
        <v>202510</v>
      </c>
      <c r="S1906" s="6">
        <f t="shared" ca="1" si="529"/>
        <v>2025</v>
      </c>
      <c r="T1906" s="6">
        <f t="shared" ca="1" si="530"/>
        <v>10</v>
      </c>
      <c r="U1906" s="68">
        <f ca="1">IFERROR(__xludf.DUMMYFUNCTION("""COMPUTED_VALUE"""),45943.6458333333)</f>
        <v>45943.645833333299</v>
      </c>
      <c r="V1906" s="6">
        <f ca="1">IFERROR(__xludf.DUMMYFUNCTION("""COMPUTED_VALUE"""),3584.55)</f>
        <v>3584.55</v>
      </c>
      <c r="Z1906" s="6" t="str">
        <f t="shared" ca="1" si="531"/>
        <v>20235</v>
      </c>
      <c r="AA1906" s="6">
        <f t="shared" ca="1" si="532"/>
        <v>2023</v>
      </c>
      <c r="AB1906" s="6">
        <f t="shared" ca="1" si="533"/>
        <v>5</v>
      </c>
      <c r="AC1906" s="68">
        <f ca="1">IFERROR(__xludf.DUMMYFUNCTION("""COMPUTED_VALUE"""),45055.9986111111)</f>
        <v>45055.998611111099</v>
      </c>
      <c r="AD1906" s="6">
        <f ca="1">IFERROR(__xludf.DUMMYFUNCTION("""COMPUTED_VALUE"""),1326.05)</f>
        <v>1326.05</v>
      </c>
      <c r="AH1906" s="6" t="str">
        <f t="shared" ca="1" si="534"/>
        <v>20233</v>
      </c>
      <c r="AI1906" s="6">
        <f t="shared" ca="1" si="535"/>
        <v>2023</v>
      </c>
      <c r="AJ1906" s="6">
        <f t="shared" ca="1" si="536"/>
        <v>3</v>
      </c>
      <c r="AK1906" s="68">
        <f ca="1">IFERROR(__xludf.DUMMYFUNCTION("""COMPUTED_VALUE"""),44999.9986111111)</f>
        <v>44999.998611111099</v>
      </c>
      <c r="AL1906" s="6">
        <f ca="1">IFERROR(__xludf.DUMMYFUNCTION("""COMPUTED_VALUE"""),24760.07)</f>
        <v>24760.07</v>
      </c>
      <c r="AP1906" s="6" t="str">
        <f t="shared" ca="1" si="537"/>
        <v>20258</v>
      </c>
      <c r="AQ1906" s="6">
        <f t="shared" ca="1" si="538"/>
        <v>2025</v>
      </c>
      <c r="AR1906" s="6">
        <f t="shared" ca="1" si="539"/>
        <v>8</v>
      </c>
      <c r="AS1906" s="68">
        <f ca="1">IFERROR(__xludf.DUMMYFUNCTION("""COMPUTED_VALUE"""),45876.9986111111)</f>
        <v>45876.998611111099</v>
      </c>
      <c r="AT1906" s="6">
        <f ca="1">IFERROR(__xludf.DUMMYFUNCTION("""COMPUTED_VALUE"""),3453.7)</f>
        <v>3453.7</v>
      </c>
    </row>
    <row r="1907" spans="2:46" x14ac:dyDescent="0.35">
      <c r="B1907" s="6" t="str">
        <f t="shared" ca="1" si="522"/>
        <v>20258</v>
      </c>
      <c r="C1907" s="6">
        <f t="shared" ca="1" si="523"/>
        <v>2025</v>
      </c>
      <c r="D1907" s="6">
        <f t="shared" ca="1" si="524"/>
        <v>8</v>
      </c>
      <c r="E1907" s="68">
        <f ca="1">IFERROR(__xludf.DUMMYFUNCTION("""COMPUTED_VALUE"""),45870.6666666666)</f>
        <v>45870.666666666599</v>
      </c>
      <c r="F1907" s="6">
        <f ca="1">IFERROR(__xludf.DUMMYFUNCTION("""COMPUTED_VALUE"""),6238.01)</f>
        <v>6238.01</v>
      </c>
      <c r="J1907" s="6" t="str">
        <f t="shared" ca="1" si="525"/>
        <v>20257</v>
      </c>
      <c r="K1907" s="6">
        <f t="shared" ca="1" si="526"/>
        <v>2025</v>
      </c>
      <c r="L1907" s="6">
        <f t="shared" ca="1" si="527"/>
        <v>7</v>
      </c>
      <c r="M1907" s="68">
        <f ca="1">IFERROR(__xludf.DUMMYFUNCTION("""COMPUTED_VALUE"""),45863.6666666666)</f>
        <v>45863.666666666599</v>
      </c>
      <c r="N1907" s="6">
        <f ca="1">IFERROR(__xludf.DUMMYFUNCTION("""COMPUTED_VALUE"""),21108.32)</f>
        <v>21108.32</v>
      </c>
      <c r="R1907" s="6" t="str">
        <f t="shared" ca="1" si="528"/>
        <v>202510</v>
      </c>
      <c r="S1907" s="6">
        <f t="shared" ca="1" si="529"/>
        <v>2025</v>
      </c>
      <c r="T1907" s="6">
        <f t="shared" ca="1" si="530"/>
        <v>10</v>
      </c>
      <c r="U1907" s="68">
        <f ca="1">IFERROR(__xludf.DUMMYFUNCTION("""COMPUTED_VALUE"""),45944.6458333333)</f>
        <v>45944.645833333299</v>
      </c>
      <c r="V1907" s="6">
        <f ca="1">IFERROR(__xludf.DUMMYFUNCTION("""COMPUTED_VALUE"""),3561.81)</f>
        <v>3561.81</v>
      </c>
      <c r="Z1907" s="6" t="str">
        <f t="shared" ca="1" si="531"/>
        <v>20235</v>
      </c>
      <c r="AA1907" s="6">
        <f t="shared" ca="1" si="532"/>
        <v>2023</v>
      </c>
      <c r="AB1907" s="6">
        <f t="shared" ca="1" si="533"/>
        <v>5</v>
      </c>
      <c r="AC1907" s="68">
        <f ca="1">IFERROR(__xludf.DUMMYFUNCTION("""COMPUTED_VALUE"""),45056.9986111111)</f>
        <v>45056.998611111099</v>
      </c>
      <c r="AD1907" s="6">
        <f ca="1">IFERROR(__xludf.DUMMYFUNCTION("""COMPUTED_VALUE"""),1318.05)</f>
        <v>1318.05</v>
      </c>
      <c r="AH1907" s="6" t="str">
        <f t="shared" ca="1" si="534"/>
        <v>20233</v>
      </c>
      <c r="AI1907" s="6">
        <f t="shared" ca="1" si="535"/>
        <v>2023</v>
      </c>
      <c r="AJ1907" s="6">
        <f t="shared" ca="1" si="536"/>
        <v>3</v>
      </c>
      <c r="AK1907" s="68">
        <f ca="1">IFERROR(__xludf.DUMMYFUNCTION("""COMPUTED_VALUE"""),45000.9986111111)</f>
        <v>45000.998611111099</v>
      </c>
      <c r="AL1907" s="6">
        <f ca="1">IFERROR(__xludf.DUMMYFUNCTION("""COMPUTED_VALUE"""),24353.13)</f>
        <v>24353.13</v>
      </c>
      <c r="AP1907" s="6" t="str">
        <f t="shared" ca="1" si="537"/>
        <v>20258</v>
      </c>
      <c r="AQ1907" s="6">
        <f t="shared" ca="1" si="538"/>
        <v>2025</v>
      </c>
      <c r="AR1907" s="6">
        <f t="shared" ca="1" si="539"/>
        <v>8</v>
      </c>
      <c r="AS1907" s="68">
        <f ca="1">IFERROR(__xludf.DUMMYFUNCTION("""COMPUTED_VALUE"""),45877.9986111111)</f>
        <v>45877.998611111099</v>
      </c>
      <c r="AT1907" s="6">
        <f ca="1">IFERROR(__xludf.DUMMYFUNCTION("""COMPUTED_VALUE"""),3491.3)</f>
        <v>3491.3</v>
      </c>
    </row>
    <row r="1908" spans="2:46" x14ac:dyDescent="0.35">
      <c r="B1908" s="6" t="str">
        <f t="shared" ca="1" si="522"/>
        <v>20258</v>
      </c>
      <c r="C1908" s="6">
        <f t="shared" ca="1" si="523"/>
        <v>2025</v>
      </c>
      <c r="D1908" s="6">
        <f t="shared" ca="1" si="524"/>
        <v>8</v>
      </c>
      <c r="E1908" s="68">
        <f ca="1">IFERROR(__xludf.DUMMYFUNCTION("""COMPUTED_VALUE"""),45873.6666666666)</f>
        <v>45873.666666666599</v>
      </c>
      <c r="F1908" s="6">
        <f ca="1">IFERROR(__xludf.DUMMYFUNCTION("""COMPUTED_VALUE"""),6329.94)</f>
        <v>6329.94</v>
      </c>
      <c r="J1908" s="6" t="str">
        <f t="shared" ca="1" si="525"/>
        <v>20257</v>
      </c>
      <c r="K1908" s="6">
        <f t="shared" ca="1" si="526"/>
        <v>2025</v>
      </c>
      <c r="L1908" s="6">
        <f t="shared" ca="1" si="527"/>
        <v>7</v>
      </c>
      <c r="M1908" s="68">
        <f ca="1">IFERROR(__xludf.DUMMYFUNCTION("""COMPUTED_VALUE"""),45866.6666666666)</f>
        <v>45866.666666666599</v>
      </c>
      <c r="N1908" s="6">
        <f ca="1">IFERROR(__xludf.DUMMYFUNCTION("""COMPUTED_VALUE"""),21178.58)</f>
        <v>21178.58</v>
      </c>
      <c r="R1908" s="6" t="str">
        <f t="shared" ca="1" si="528"/>
        <v>202510</v>
      </c>
      <c r="S1908" s="6">
        <f t="shared" ca="1" si="529"/>
        <v>2025</v>
      </c>
      <c r="T1908" s="6">
        <f t="shared" ca="1" si="530"/>
        <v>10</v>
      </c>
      <c r="U1908" s="68">
        <f ca="1">IFERROR(__xludf.DUMMYFUNCTION("""COMPUTED_VALUE"""),45945.6458333333)</f>
        <v>45945.645833333299</v>
      </c>
      <c r="V1908" s="6">
        <f ca="1">IFERROR(__xludf.DUMMYFUNCTION("""COMPUTED_VALUE"""),3657.28)</f>
        <v>3657.28</v>
      </c>
      <c r="Z1908" s="6" t="str">
        <f t="shared" ca="1" si="531"/>
        <v>20235</v>
      </c>
      <c r="AA1908" s="6">
        <f t="shared" ca="1" si="532"/>
        <v>2023</v>
      </c>
      <c r="AB1908" s="6">
        <f t="shared" ca="1" si="533"/>
        <v>5</v>
      </c>
      <c r="AC1908" s="68">
        <f ca="1">IFERROR(__xludf.DUMMYFUNCTION("""COMPUTED_VALUE"""),45057.9986111111)</f>
        <v>45057.998611111099</v>
      </c>
      <c r="AD1908" s="6">
        <f ca="1">IFERROR(__xludf.DUMMYFUNCTION("""COMPUTED_VALUE"""),1329.88)</f>
        <v>1329.88</v>
      </c>
      <c r="AH1908" s="6" t="str">
        <f t="shared" ca="1" si="534"/>
        <v>20233</v>
      </c>
      <c r="AI1908" s="6">
        <f t="shared" ca="1" si="535"/>
        <v>2023</v>
      </c>
      <c r="AJ1908" s="6">
        <f t="shared" ca="1" si="536"/>
        <v>3</v>
      </c>
      <c r="AK1908" s="68">
        <f ca="1">IFERROR(__xludf.DUMMYFUNCTION("""COMPUTED_VALUE"""),45001.9986111111)</f>
        <v>45001.998611111099</v>
      </c>
      <c r="AL1908" s="6">
        <f ca="1">IFERROR(__xludf.DUMMYFUNCTION("""COMPUTED_VALUE"""),25048.39)</f>
        <v>25048.39</v>
      </c>
      <c r="AP1908" s="6" t="str">
        <f t="shared" ca="1" si="537"/>
        <v>20258</v>
      </c>
      <c r="AQ1908" s="6">
        <f t="shared" ca="1" si="538"/>
        <v>2025</v>
      </c>
      <c r="AR1908" s="6">
        <f t="shared" ca="1" si="539"/>
        <v>8</v>
      </c>
      <c r="AS1908" s="68">
        <f ca="1">IFERROR(__xludf.DUMMYFUNCTION("""COMPUTED_VALUE"""),45880.9986111111)</f>
        <v>45880.998611111099</v>
      </c>
      <c r="AT1908" s="6">
        <f ca="1">IFERROR(__xludf.DUMMYFUNCTION("""COMPUTED_VALUE"""),3404.7)</f>
        <v>3404.7</v>
      </c>
    </row>
    <row r="1909" spans="2:46" x14ac:dyDescent="0.35">
      <c r="B1909" s="6" t="str">
        <f t="shared" ca="1" si="522"/>
        <v>20258</v>
      </c>
      <c r="C1909" s="6">
        <f t="shared" ca="1" si="523"/>
        <v>2025</v>
      </c>
      <c r="D1909" s="6">
        <f t="shared" ca="1" si="524"/>
        <v>8</v>
      </c>
      <c r="E1909" s="68">
        <f ca="1">IFERROR(__xludf.DUMMYFUNCTION("""COMPUTED_VALUE"""),45874.6666666666)</f>
        <v>45874.666666666599</v>
      </c>
      <c r="F1909" s="6">
        <f ca="1">IFERROR(__xludf.DUMMYFUNCTION("""COMPUTED_VALUE"""),6299.19)</f>
        <v>6299.19</v>
      </c>
      <c r="J1909" s="6" t="str">
        <f t="shared" ca="1" si="525"/>
        <v>20257</v>
      </c>
      <c r="K1909" s="6">
        <f t="shared" ca="1" si="526"/>
        <v>2025</v>
      </c>
      <c r="L1909" s="6">
        <f t="shared" ca="1" si="527"/>
        <v>7</v>
      </c>
      <c r="M1909" s="68">
        <f ca="1">IFERROR(__xludf.DUMMYFUNCTION("""COMPUTED_VALUE"""),45867.6666666666)</f>
        <v>45867.666666666599</v>
      </c>
      <c r="N1909" s="6">
        <f ca="1">IFERROR(__xludf.DUMMYFUNCTION("""COMPUTED_VALUE"""),21098.29)</f>
        <v>21098.29</v>
      </c>
      <c r="R1909" s="6" t="str">
        <f t="shared" ca="1" si="528"/>
        <v>202510</v>
      </c>
      <c r="S1909" s="6">
        <f t="shared" ca="1" si="529"/>
        <v>2025</v>
      </c>
      <c r="T1909" s="6">
        <f t="shared" ca="1" si="530"/>
        <v>10</v>
      </c>
      <c r="U1909" s="68">
        <f ca="1">IFERROR(__xludf.DUMMYFUNCTION("""COMPUTED_VALUE"""),45946.6458333333)</f>
        <v>45946.645833333299</v>
      </c>
      <c r="V1909" s="6">
        <f ca="1">IFERROR(__xludf.DUMMYFUNCTION("""COMPUTED_VALUE"""),3748.37)</f>
        <v>3748.37</v>
      </c>
      <c r="Z1909" s="6" t="str">
        <f t="shared" ca="1" si="531"/>
        <v>20235</v>
      </c>
      <c r="AA1909" s="6">
        <f t="shared" ca="1" si="532"/>
        <v>2023</v>
      </c>
      <c r="AB1909" s="6">
        <f t="shared" ca="1" si="533"/>
        <v>5</v>
      </c>
      <c r="AC1909" s="68">
        <f ca="1">IFERROR(__xludf.DUMMYFUNCTION("""COMPUTED_VALUE"""),45058.9986111111)</f>
        <v>45058.998611111099</v>
      </c>
      <c r="AD1909" s="6">
        <f ca="1">IFERROR(__xludf.DUMMYFUNCTION("""COMPUTED_VALUE"""),1341.55)</f>
        <v>1341.55</v>
      </c>
      <c r="AH1909" s="6" t="str">
        <f t="shared" ca="1" si="534"/>
        <v>20233</v>
      </c>
      <c r="AI1909" s="6">
        <f t="shared" ca="1" si="535"/>
        <v>2023</v>
      </c>
      <c r="AJ1909" s="6">
        <f t="shared" ca="1" si="536"/>
        <v>3</v>
      </c>
      <c r="AK1909" s="68">
        <f ca="1">IFERROR(__xludf.DUMMYFUNCTION("""COMPUTED_VALUE"""),45002.9986111111)</f>
        <v>45002.998611111099</v>
      </c>
      <c r="AL1909" s="6">
        <f ca="1">IFERROR(__xludf.DUMMYFUNCTION("""COMPUTED_VALUE"""),27410.82)</f>
        <v>27410.82</v>
      </c>
      <c r="AP1909" s="6" t="str">
        <f t="shared" ca="1" si="537"/>
        <v>20258</v>
      </c>
      <c r="AQ1909" s="6">
        <f t="shared" ca="1" si="538"/>
        <v>2025</v>
      </c>
      <c r="AR1909" s="6">
        <f t="shared" ca="1" si="539"/>
        <v>8</v>
      </c>
      <c r="AS1909" s="68">
        <f ca="1">IFERROR(__xludf.DUMMYFUNCTION("""COMPUTED_VALUE"""),45881.9986111111)</f>
        <v>45881.998611111099</v>
      </c>
      <c r="AT1909" s="6">
        <f ca="1">IFERROR(__xludf.DUMMYFUNCTION("""COMPUTED_VALUE"""),3399)</f>
        <v>3399</v>
      </c>
    </row>
    <row r="1910" spans="2:46" x14ac:dyDescent="0.35">
      <c r="B1910" s="6" t="str">
        <f t="shared" ca="1" si="522"/>
        <v>20258</v>
      </c>
      <c r="C1910" s="6">
        <f t="shared" ca="1" si="523"/>
        <v>2025</v>
      </c>
      <c r="D1910" s="6">
        <f t="shared" ca="1" si="524"/>
        <v>8</v>
      </c>
      <c r="E1910" s="68">
        <f ca="1">IFERROR(__xludf.DUMMYFUNCTION("""COMPUTED_VALUE"""),45875.6666666666)</f>
        <v>45875.666666666599</v>
      </c>
      <c r="F1910" s="6">
        <f ca="1">IFERROR(__xludf.DUMMYFUNCTION("""COMPUTED_VALUE"""),6345.06)</f>
        <v>6345.06</v>
      </c>
      <c r="J1910" s="6" t="str">
        <f t="shared" ca="1" si="525"/>
        <v>20257</v>
      </c>
      <c r="K1910" s="6">
        <f t="shared" ca="1" si="526"/>
        <v>2025</v>
      </c>
      <c r="L1910" s="6">
        <f t="shared" ca="1" si="527"/>
        <v>7</v>
      </c>
      <c r="M1910" s="68">
        <f ca="1">IFERROR(__xludf.DUMMYFUNCTION("""COMPUTED_VALUE"""),45868.6666666666)</f>
        <v>45868.666666666599</v>
      </c>
      <c r="N1910" s="6">
        <f ca="1">IFERROR(__xludf.DUMMYFUNCTION("""COMPUTED_VALUE"""),21129.67)</f>
        <v>21129.67</v>
      </c>
      <c r="R1910" s="6" t="str">
        <f t="shared" ca="1" si="528"/>
        <v>202510</v>
      </c>
      <c r="S1910" s="6">
        <f t="shared" ca="1" si="529"/>
        <v>2025</v>
      </c>
      <c r="T1910" s="6">
        <f t="shared" ca="1" si="530"/>
        <v>10</v>
      </c>
      <c r="U1910" s="68">
        <f ca="1">IFERROR(__xludf.DUMMYFUNCTION("""COMPUTED_VALUE"""),45947.6458333333)</f>
        <v>45947.645833333299</v>
      </c>
      <c r="V1910" s="6">
        <f ca="1">IFERROR(__xludf.DUMMYFUNCTION("""COMPUTED_VALUE"""),3748.89)</f>
        <v>3748.89</v>
      </c>
      <c r="Z1910" s="6" t="str">
        <f t="shared" ca="1" si="531"/>
        <v>20235</v>
      </c>
      <c r="AA1910" s="6">
        <f t="shared" ca="1" si="532"/>
        <v>2023</v>
      </c>
      <c r="AB1910" s="6">
        <f t="shared" ca="1" si="533"/>
        <v>5</v>
      </c>
      <c r="AC1910" s="68">
        <f ca="1">IFERROR(__xludf.DUMMYFUNCTION("""COMPUTED_VALUE"""),45059.9986111111)</f>
        <v>45059.998611111099</v>
      </c>
      <c r="AD1910" s="6">
        <f ca="1">IFERROR(__xludf.DUMMYFUNCTION("""COMPUTED_VALUE"""),1340.46)</f>
        <v>1340.46</v>
      </c>
      <c r="AH1910" s="6" t="str">
        <f t="shared" ca="1" si="534"/>
        <v>20233</v>
      </c>
      <c r="AI1910" s="6">
        <f t="shared" ca="1" si="535"/>
        <v>2023</v>
      </c>
      <c r="AJ1910" s="6">
        <f t="shared" ca="1" si="536"/>
        <v>3</v>
      </c>
      <c r="AK1910" s="68">
        <f ca="1">IFERROR(__xludf.DUMMYFUNCTION("""COMPUTED_VALUE"""),45003.9986111111)</f>
        <v>45003.998611111099</v>
      </c>
      <c r="AL1910" s="6">
        <f ca="1">IFERROR(__xludf.DUMMYFUNCTION("""COMPUTED_VALUE"""),26965.2)</f>
        <v>26965.200000000001</v>
      </c>
      <c r="AP1910" s="6" t="str">
        <f t="shared" ca="1" si="537"/>
        <v>20258</v>
      </c>
      <c r="AQ1910" s="6">
        <f t="shared" ca="1" si="538"/>
        <v>2025</v>
      </c>
      <c r="AR1910" s="6">
        <f t="shared" ca="1" si="539"/>
        <v>8</v>
      </c>
      <c r="AS1910" s="68">
        <f ca="1">IFERROR(__xludf.DUMMYFUNCTION("""COMPUTED_VALUE"""),45882.9986111111)</f>
        <v>45882.998611111099</v>
      </c>
      <c r="AT1910" s="6">
        <f ca="1">IFERROR(__xludf.DUMMYFUNCTION("""COMPUTED_VALUE"""),3408.3)</f>
        <v>3408.3</v>
      </c>
    </row>
    <row r="1911" spans="2:46" x14ac:dyDescent="0.35">
      <c r="B1911" s="6" t="str">
        <f t="shared" ca="1" si="522"/>
        <v>20258</v>
      </c>
      <c r="C1911" s="6">
        <f t="shared" ca="1" si="523"/>
        <v>2025</v>
      </c>
      <c r="D1911" s="6">
        <f t="shared" ca="1" si="524"/>
        <v>8</v>
      </c>
      <c r="E1911" s="68">
        <f ca="1">IFERROR(__xludf.DUMMYFUNCTION("""COMPUTED_VALUE"""),45876.6666666666)</f>
        <v>45876.666666666599</v>
      </c>
      <c r="F1911" s="6">
        <f ca="1">IFERROR(__xludf.DUMMYFUNCTION("""COMPUTED_VALUE"""),6340)</f>
        <v>6340</v>
      </c>
      <c r="J1911" s="6" t="str">
        <f t="shared" ca="1" si="525"/>
        <v>20257</v>
      </c>
      <c r="K1911" s="6">
        <f t="shared" ca="1" si="526"/>
        <v>2025</v>
      </c>
      <c r="L1911" s="6">
        <f t="shared" ca="1" si="527"/>
        <v>7</v>
      </c>
      <c r="M1911" s="68">
        <f ca="1">IFERROR(__xludf.DUMMYFUNCTION("""COMPUTED_VALUE"""),45869.6666666666)</f>
        <v>45869.666666666599</v>
      </c>
      <c r="N1911" s="6">
        <f ca="1">IFERROR(__xludf.DUMMYFUNCTION("""COMPUTED_VALUE"""),21122.45)</f>
        <v>21122.45</v>
      </c>
      <c r="R1911" s="6" t="str">
        <f t="shared" ca="1" si="528"/>
        <v>202510</v>
      </c>
      <c r="S1911" s="6">
        <f t="shared" ca="1" si="529"/>
        <v>2025</v>
      </c>
      <c r="T1911" s="6">
        <f t="shared" ca="1" si="530"/>
        <v>10</v>
      </c>
      <c r="U1911" s="68">
        <f ca="1">IFERROR(__xludf.DUMMYFUNCTION("""COMPUTED_VALUE"""),45950.6458333333)</f>
        <v>45950.645833333299</v>
      </c>
      <c r="V1911" s="6">
        <f ca="1">IFERROR(__xludf.DUMMYFUNCTION("""COMPUTED_VALUE"""),3814.69)</f>
        <v>3814.69</v>
      </c>
      <c r="Z1911" s="6" t="str">
        <f t="shared" ca="1" si="531"/>
        <v>20235</v>
      </c>
      <c r="AA1911" s="6">
        <f t="shared" ca="1" si="532"/>
        <v>2023</v>
      </c>
      <c r="AB1911" s="6">
        <f t="shared" ca="1" si="533"/>
        <v>5</v>
      </c>
      <c r="AC1911" s="68">
        <f ca="1">IFERROR(__xludf.DUMMYFUNCTION("""COMPUTED_VALUE"""),45060.9986111111)</f>
        <v>45060.998611111099</v>
      </c>
      <c r="AD1911" s="6">
        <f ca="1">IFERROR(__xludf.DUMMYFUNCTION("""COMPUTED_VALUE"""),1341.52)</f>
        <v>1341.52</v>
      </c>
      <c r="AH1911" s="6" t="str">
        <f t="shared" ca="1" si="534"/>
        <v>20233</v>
      </c>
      <c r="AI1911" s="6">
        <f t="shared" ca="1" si="535"/>
        <v>2023</v>
      </c>
      <c r="AJ1911" s="6">
        <f t="shared" ca="1" si="536"/>
        <v>3</v>
      </c>
      <c r="AK1911" s="68">
        <f ca="1">IFERROR(__xludf.DUMMYFUNCTION("""COMPUTED_VALUE"""),45004.9986111111)</f>
        <v>45004.998611111099</v>
      </c>
      <c r="AL1911" s="6">
        <f ca="1">IFERROR(__xludf.DUMMYFUNCTION("""COMPUTED_VALUE"""),28028.15)</f>
        <v>28028.15</v>
      </c>
      <c r="AP1911" s="6" t="str">
        <f t="shared" ca="1" si="537"/>
        <v>20258</v>
      </c>
      <c r="AQ1911" s="6">
        <f t="shared" ca="1" si="538"/>
        <v>2025</v>
      </c>
      <c r="AR1911" s="6">
        <f t="shared" ca="1" si="539"/>
        <v>8</v>
      </c>
      <c r="AS1911" s="68">
        <f ca="1">IFERROR(__xludf.DUMMYFUNCTION("""COMPUTED_VALUE"""),45883.9986111111)</f>
        <v>45883.998611111099</v>
      </c>
      <c r="AT1911" s="6">
        <f ca="1">IFERROR(__xludf.DUMMYFUNCTION("""COMPUTED_VALUE"""),3383.2)</f>
        <v>3383.2</v>
      </c>
    </row>
    <row r="1912" spans="2:46" x14ac:dyDescent="0.35">
      <c r="B1912" s="6" t="str">
        <f t="shared" ca="1" si="522"/>
        <v>20258</v>
      </c>
      <c r="C1912" s="6">
        <f t="shared" ca="1" si="523"/>
        <v>2025</v>
      </c>
      <c r="D1912" s="6">
        <f t="shared" ca="1" si="524"/>
        <v>8</v>
      </c>
      <c r="E1912" s="68">
        <f ca="1">IFERROR(__xludf.DUMMYFUNCTION("""COMPUTED_VALUE"""),45877.6666666666)</f>
        <v>45877.666666666599</v>
      </c>
      <c r="F1912" s="6">
        <f ca="1">IFERROR(__xludf.DUMMYFUNCTION("""COMPUTED_VALUE"""),6389.45)</f>
        <v>6389.45</v>
      </c>
      <c r="J1912" s="6" t="str">
        <f t="shared" ca="1" si="525"/>
        <v>20258</v>
      </c>
      <c r="K1912" s="6">
        <f t="shared" ca="1" si="526"/>
        <v>2025</v>
      </c>
      <c r="L1912" s="6">
        <f t="shared" ca="1" si="527"/>
        <v>8</v>
      </c>
      <c r="M1912" s="68">
        <f ca="1">IFERROR(__xludf.DUMMYFUNCTION("""COMPUTED_VALUE"""),45870.6666666666)</f>
        <v>45870.666666666599</v>
      </c>
      <c r="N1912" s="6">
        <f ca="1">IFERROR(__xludf.DUMMYFUNCTION("""COMPUTED_VALUE"""),20650.13)</f>
        <v>20650.13</v>
      </c>
      <c r="R1912" s="6" t="str">
        <f t="shared" ca="1" si="528"/>
        <v>202510</v>
      </c>
      <c r="S1912" s="6">
        <f t="shared" ca="1" si="529"/>
        <v>2025</v>
      </c>
      <c r="T1912" s="6">
        <f t="shared" ca="1" si="530"/>
        <v>10</v>
      </c>
      <c r="U1912" s="68">
        <f ca="1">IFERROR(__xludf.DUMMYFUNCTION("""COMPUTED_VALUE"""),45951.6458333333)</f>
        <v>45951.645833333299</v>
      </c>
      <c r="V1912" s="6">
        <f ca="1">IFERROR(__xludf.DUMMYFUNCTION("""COMPUTED_VALUE"""),3823.84)</f>
        <v>3823.84</v>
      </c>
      <c r="Z1912" s="6" t="str">
        <f t="shared" ca="1" si="531"/>
        <v>20235</v>
      </c>
      <c r="AA1912" s="6">
        <f t="shared" ca="1" si="532"/>
        <v>2023</v>
      </c>
      <c r="AB1912" s="6">
        <f t="shared" ca="1" si="533"/>
        <v>5</v>
      </c>
      <c r="AC1912" s="68">
        <f ca="1">IFERROR(__xludf.DUMMYFUNCTION("""COMPUTED_VALUE"""),45061.9986111111)</f>
        <v>45061.998611111099</v>
      </c>
      <c r="AD1912" s="6">
        <f ca="1">IFERROR(__xludf.DUMMYFUNCTION("""COMPUTED_VALUE"""),1335.4)</f>
        <v>1335.4</v>
      </c>
      <c r="AH1912" s="6" t="str">
        <f t="shared" ca="1" si="534"/>
        <v>20233</v>
      </c>
      <c r="AI1912" s="6">
        <f t="shared" ca="1" si="535"/>
        <v>2023</v>
      </c>
      <c r="AJ1912" s="6">
        <f t="shared" ca="1" si="536"/>
        <v>3</v>
      </c>
      <c r="AK1912" s="68">
        <f ca="1">IFERROR(__xludf.DUMMYFUNCTION("""COMPUTED_VALUE"""),45005.9986111111)</f>
        <v>45005.998611111099</v>
      </c>
      <c r="AL1912" s="6">
        <f ca="1">IFERROR(__xludf.DUMMYFUNCTION("""COMPUTED_VALUE"""),27787.94)</f>
        <v>27787.94</v>
      </c>
      <c r="AP1912" s="6" t="str">
        <f t="shared" ca="1" si="537"/>
        <v>20258</v>
      </c>
      <c r="AQ1912" s="6">
        <f t="shared" ca="1" si="538"/>
        <v>2025</v>
      </c>
      <c r="AR1912" s="6">
        <f t="shared" ca="1" si="539"/>
        <v>8</v>
      </c>
      <c r="AS1912" s="68">
        <f ca="1">IFERROR(__xludf.DUMMYFUNCTION("""COMPUTED_VALUE"""),45884.9986111111)</f>
        <v>45884.998611111099</v>
      </c>
      <c r="AT1912" s="6">
        <f ca="1">IFERROR(__xludf.DUMMYFUNCTION("""COMPUTED_VALUE"""),3382.6)</f>
        <v>3382.6</v>
      </c>
    </row>
    <row r="1913" spans="2:46" x14ac:dyDescent="0.35">
      <c r="B1913" s="6" t="str">
        <f t="shared" ca="1" si="522"/>
        <v>20258</v>
      </c>
      <c r="C1913" s="6">
        <f t="shared" ca="1" si="523"/>
        <v>2025</v>
      </c>
      <c r="D1913" s="6">
        <f t="shared" ca="1" si="524"/>
        <v>8</v>
      </c>
      <c r="E1913" s="68">
        <f ca="1">IFERROR(__xludf.DUMMYFUNCTION("""COMPUTED_VALUE"""),45880.6666666666)</f>
        <v>45880.666666666599</v>
      </c>
      <c r="F1913" s="6">
        <f ca="1">IFERROR(__xludf.DUMMYFUNCTION("""COMPUTED_VALUE"""),6373.45)</f>
        <v>6373.45</v>
      </c>
      <c r="J1913" s="6" t="str">
        <f t="shared" ca="1" si="525"/>
        <v>20258</v>
      </c>
      <c r="K1913" s="6">
        <f t="shared" ca="1" si="526"/>
        <v>2025</v>
      </c>
      <c r="L1913" s="6">
        <f t="shared" ca="1" si="527"/>
        <v>8</v>
      </c>
      <c r="M1913" s="68">
        <f ca="1">IFERROR(__xludf.DUMMYFUNCTION("""COMPUTED_VALUE"""),45873.6666666666)</f>
        <v>45873.666666666599</v>
      </c>
      <c r="N1913" s="6">
        <f ca="1">IFERROR(__xludf.DUMMYFUNCTION("""COMPUTED_VALUE"""),21053.58)</f>
        <v>21053.58</v>
      </c>
      <c r="R1913" s="6" t="str">
        <f t="shared" ca="1" si="528"/>
        <v>202510</v>
      </c>
      <c r="S1913" s="6">
        <f t="shared" ca="1" si="529"/>
        <v>2025</v>
      </c>
      <c r="T1913" s="6">
        <f t="shared" ca="1" si="530"/>
        <v>10</v>
      </c>
      <c r="U1913" s="68">
        <f ca="1">IFERROR(__xludf.DUMMYFUNCTION("""COMPUTED_VALUE"""),45952.6458333333)</f>
        <v>45952.645833333299</v>
      </c>
      <c r="V1913" s="6">
        <f ca="1">IFERROR(__xludf.DUMMYFUNCTION("""COMPUTED_VALUE"""),3883.68)</f>
        <v>3883.68</v>
      </c>
      <c r="Z1913" s="6" t="str">
        <f t="shared" ca="1" si="531"/>
        <v>20235</v>
      </c>
      <c r="AA1913" s="6">
        <f t="shared" ca="1" si="532"/>
        <v>2023</v>
      </c>
      <c r="AB1913" s="6">
        <f t="shared" ca="1" si="533"/>
        <v>5</v>
      </c>
      <c r="AC1913" s="68">
        <f ca="1">IFERROR(__xludf.DUMMYFUNCTION("""COMPUTED_VALUE"""),45062.9986111111)</f>
        <v>45062.998611111099</v>
      </c>
      <c r="AD1913" s="6">
        <f ca="1">IFERROR(__xludf.DUMMYFUNCTION("""COMPUTED_VALUE"""),1342.43)</f>
        <v>1342.43</v>
      </c>
      <c r="AH1913" s="6" t="str">
        <f t="shared" ca="1" si="534"/>
        <v>20233</v>
      </c>
      <c r="AI1913" s="6">
        <f t="shared" ca="1" si="535"/>
        <v>2023</v>
      </c>
      <c r="AJ1913" s="6">
        <f t="shared" ca="1" si="536"/>
        <v>3</v>
      </c>
      <c r="AK1913" s="68">
        <f ca="1">IFERROR(__xludf.DUMMYFUNCTION("""COMPUTED_VALUE"""),45006.9986111111)</f>
        <v>45006.998611111099</v>
      </c>
      <c r="AL1913" s="6">
        <f ca="1">IFERROR(__xludf.DUMMYFUNCTION("""COMPUTED_VALUE"""),28181.73)</f>
        <v>28181.73</v>
      </c>
      <c r="AP1913" s="6" t="str">
        <f t="shared" ca="1" si="537"/>
        <v>20258</v>
      </c>
      <c r="AQ1913" s="6">
        <f t="shared" ca="1" si="538"/>
        <v>2025</v>
      </c>
      <c r="AR1913" s="6">
        <f t="shared" ca="1" si="539"/>
        <v>8</v>
      </c>
      <c r="AS1913" s="68">
        <f ca="1">IFERROR(__xludf.DUMMYFUNCTION("""COMPUTED_VALUE"""),45887.9986111111)</f>
        <v>45887.998611111099</v>
      </c>
      <c r="AT1913" s="6">
        <f ca="1">IFERROR(__xludf.DUMMYFUNCTION("""COMPUTED_VALUE"""),3378)</f>
        <v>3378</v>
      </c>
    </row>
    <row r="1914" spans="2:46" x14ac:dyDescent="0.35">
      <c r="B1914" s="6" t="str">
        <f t="shared" ca="1" si="522"/>
        <v>20258</v>
      </c>
      <c r="C1914" s="6">
        <f t="shared" ca="1" si="523"/>
        <v>2025</v>
      </c>
      <c r="D1914" s="6">
        <f t="shared" ca="1" si="524"/>
        <v>8</v>
      </c>
      <c r="E1914" s="68">
        <f ca="1">IFERROR(__xludf.DUMMYFUNCTION("""COMPUTED_VALUE"""),45881.6666666666)</f>
        <v>45881.666666666599</v>
      </c>
      <c r="F1914" s="6">
        <f ca="1">IFERROR(__xludf.DUMMYFUNCTION("""COMPUTED_VALUE"""),6445.76)</f>
        <v>6445.76</v>
      </c>
      <c r="J1914" s="6" t="str">
        <f t="shared" ca="1" si="525"/>
        <v>20258</v>
      </c>
      <c r="K1914" s="6">
        <f t="shared" ca="1" si="526"/>
        <v>2025</v>
      </c>
      <c r="L1914" s="6">
        <f t="shared" ca="1" si="527"/>
        <v>8</v>
      </c>
      <c r="M1914" s="68">
        <f ca="1">IFERROR(__xludf.DUMMYFUNCTION("""COMPUTED_VALUE"""),45874.6666666666)</f>
        <v>45874.666666666599</v>
      </c>
      <c r="N1914" s="6">
        <f ca="1">IFERROR(__xludf.DUMMYFUNCTION("""COMPUTED_VALUE"""),20916.55)</f>
        <v>20916.55</v>
      </c>
      <c r="R1914" s="6" t="str">
        <f t="shared" ca="1" si="528"/>
        <v>202510</v>
      </c>
      <c r="S1914" s="6">
        <f t="shared" ca="1" si="529"/>
        <v>2025</v>
      </c>
      <c r="T1914" s="6">
        <f t="shared" ca="1" si="530"/>
        <v>10</v>
      </c>
      <c r="U1914" s="68">
        <f ca="1">IFERROR(__xludf.DUMMYFUNCTION("""COMPUTED_VALUE"""),45953.6458333333)</f>
        <v>45953.645833333299</v>
      </c>
      <c r="V1914" s="6">
        <f ca="1">IFERROR(__xludf.DUMMYFUNCTION("""COMPUTED_VALUE"""),3845.56)</f>
        <v>3845.56</v>
      </c>
      <c r="Z1914" s="6" t="str">
        <f t="shared" ca="1" si="531"/>
        <v>20235</v>
      </c>
      <c r="AA1914" s="6">
        <f t="shared" ca="1" si="532"/>
        <v>2023</v>
      </c>
      <c r="AB1914" s="6">
        <f t="shared" ca="1" si="533"/>
        <v>5</v>
      </c>
      <c r="AC1914" s="68">
        <f ca="1">IFERROR(__xludf.DUMMYFUNCTION("""COMPUTED_VALUE"""),45063.9986111111)</f>
        <v>45063.998611111099</v>
      </c>
      <c r="AD1914" s="6">
        <f ca="1">IFERROR(__xludf.DUMMYFUNCTION("""COMPUTED_VALUE"""),1334.15)</f>
        <v>1334.15</v>
      </c>
      <c r="AH1914" s="6" t="str">
        <f t="shared" ca="1" si="534"/>
        <v>20233</v>
      </c>
      <c r="AI1914" s="6">
        <f t="shared" ca="1" si="535"/>
        <v>2023</v>
      </c>
      <c r="AJ1914" s="6">
        <f t="shared" ca="1" si="536"/>
        <v>3</v>
      </c>
      <c r="AK1914" s="68">
        <f ca="1">IFERROR(__xludf.DUMMYFUNCTION("""COMPUTED_VALUE"""),45007.9986111111)</f>
        <v>45007.998611111099</v>
      </c>
      <c r="AL1914" s="6">
        <f ca="1">IFERROR(__xludf.DUMMYFUNCTION("""COMPUTED_VALUE"""),27311.64)</f>
        <v>27311.64</v>
      </c>
      <c r="AP1914" s="6" t="str">
        <f t="shared" ca="1" si="537"/>
        <v>20258</v>
      </c>
      <c r="AQ1914" s="6">
        <f t="shared" ca="1" si="538"/>
        <v>2025</v>
      </c>
      <c r="AR1914" s="6">
        <f t="shared" ca="1" si="539"/>
        <v>8</v>
      </c>
      <c r="AS1914" s="68">
        <f ca="1">IFERROR(__xludf.DUMMYFUNCTION("""COMPUTED_VALUE"""),45888.9986111111)</f>
        <v>45888.998611111099</v>
      </c>
      <c r="AT1914" s="6">
        <f ca="1">IFERROR(__xludf.DUMMYFUNCTION("""COMPUTED_VALUE"""),3358.7)</f>
        <v>3358.7</v>
      </c>
    </row>
    <row r="1915" spans="2:46" x14ac:dyDescent="0.35">
      <c r="B1915" s="6" t="str">
        <f t="shared" ca="1" si="522"/>
        <v>20258</v>
      </c>
      <c r="C1915" s="6">
        <f t="shared" ca="1" si="523"/>
        <v>2025</v>
      </c>
      <c r="D1915" s="6">
        <f t="shared" ca="1" si="524"/>
        <v>8</v>
      </c>
      <c r="E1915" s="68">
        <f ca="1">IFERROR(__xludf.DUMMYFUNCTION("""COMPUTED_VALUE"""),45882.6666666666)</f>
        <v>45882.666666666599</v>
      </c>
      <c r="F1915" s="6">
        <f ca="1">IFERROR(__xludf.DUMMYFUNCTION("""COMPUTED_VALUE"""),6466.58)</f>
        <v>6466.58</v>
      </c>
      <c r="J1915" s="6" t="str">
        <f t="shared" ca="1" si="525"/>
        <v>20258</v>
      </c>
      <c r="K1915" s="6">
        <f t="shared" ca="1" si="526"/>
        <v>2025</v>
      </c>
      <c r="L1915" s="6">
        <f t="shared" ca="1" si="527"/>
        <v>8</v>
      </c>
      <c r="M1915" s="68">
        <f ca="1">IFERROR(__xludf.DUMMYFUNCTION("""COMPUTED_VALUE"""),45875.6666666666)</f>
        <v>45875.666666666599</v>
      </c>
      <c r="N1915" s="6">
        <f ca="1">IFERROR(__xludf.DUMMYFUNCTION("""COMPUTED_VALUE"""),21169.42)</f>
        <v>21169.42</v>
      </c>
      <c r="R1915" s="6" t="str">
        <f t="shared" ca="1" si="528"/>
        <v>202510</v>
      </c>
      <c r="S1915" s="6">
        <f t="shared" ca="1" si="529"/>
        <v>2025</v>
      </c>
      <c r="T1915" s="6">
        <f t="shared" ca="1" si="530"/>
        <v>10</v>
      </c>
      <c r="U1915" s="68">
        <f ca="1">IFERROR(__xludf.DUMMYFUNCTION("""COMPUTED_VALUE"""),45954.6458333333)</f>
        <v>45954.645833333299</v>
      </c>
      <c r="V1915" s="6">
        <f ca="1">IFERROR(__xludf.DUMMYFUNCTION("""COMPUTED_VALUE"""),3941.59)</f>
        <v>3941.59</v>
      </c>
      <c r="Z1915" s="6" t="str">
        <f t="shared" ca="1" si="531"/>
        <v>20235</v>
      </c>
      <c r="AA1915" s="6">
        <f t="shared" ca="1" si="532"/>
        <v>2023</v>
      </c>
      <c r="AB1915" s="6">
        <f t="shared" ca="1" si="533"/>
        <v>5</v>
      </c>
      <c r="AC1915" s="68">
        <f ca="1">IFERROR(__xludf.DUMMYFUNCTION("""COMPUTED_VALUE"""),45064.9986111111)</f>
        <v>45064.998611111099</v>
      </c>
      <c r="AD1915" s="6">
        <f ca="1">IFERROR(__xludf.DUMMYFUNCTION("""COMPUTED_VALUE"""),1334.74)</f>
        <v>1334.74</v>
      </c>
      <c r="AH1915" s="6" t="str">
        <f t="shared" ca="1" si="534"/>
        <v>20233</v>
      </c>
      <c r="AI1915" s="6">
        <f t="shared" ca="1" si="535"/>
        <v>2023</v>
      </c>
      <c r="AJ1915" s="6">
        <f t="shared" ca="1" si="536"/>
        <v>3</v>
      </c>
      <c r="AK1915" s="68">
        <f ca="1">IFERROR(__xludf.DUMMYFUNCTION("""COMPUTED_VALUE"""),45008.9986111111)</f>
        <v>45008.998611111099</v>
      </c>
      <c r="AL1915" s="6">
        <f ca="1">IFERROR(__xludf.DUMMYFUNCTION("""COMPUTED_VALUE"""),28333.66)</f>
        <v>28333.66</v>
      </c>
      <c r="AP1915" s="6" t="str">
        <f t="shared" ca="1" si="537"/>
        <v>20258</v>
      </c>
      <c r="AQ1915" s="6">
        <f t="shared" ca="1" si="538"/>
        <v>2025</v>
      </c>
      <c r="AR1915" s="6">
        <f t="shared" ca="1" si="539"/>
        <v>8</v>
      </c>
      <c r="AS1915" s="68">
        <f ca="1">IFERROR(__xludf.DUMMYFUNCTION("""COMPUTED_VALUE"""),45889.9986111111)</f>
        <v>45889.998611111099</v>
      </c>
      <c r="AT1915" s="6">
        <f ca="1">IFERROR(__xludf.DUMMYFUNCTION("""COMPUTED_VALUE"""),3388.5)</f>
        <v>3388.5</v>
      </c>
    </row>
    <row r="1916" spans="2:46" x14ac:dyDescent="0.35">
      <c r="B1916" s="6" t="str">
        <f t="shared" ca="1" si="522"/>
        <v>20258</v>
      </c>
      <c r="C1916" s="6">
        <f t="shared" ca="1" si="523"/>
        <v>2025</v>
      </c>
      <c r="D1916" s="6">
        <f t="shared" ca="1" si="524"/>
        <v>8</v>
      </c>
      <c r="E1916" s="68">
        <f ca="1">IFERROR(__xludf.DUMMYFUNCTION("""COMPUTED_VALUE"""),45883.6666666666)</f>
        <v>45883.666666666599</v>
      </c>
      <c r="F1916" s="6">
        <f ca="1">IFERROR(__xludf.DUMMYFUNCTION("""COMPUTED_VALUE"""),6468.54)</f>
        <v>6468.54</v>
      </c>
      <c r="J1916" s="6" t="str">
        <f t="shared" ca="1" si="525"/>
        <v>20258</v>
      </c>
      <c r="K1916" s="6">
        <f t="shared" ca="1" si="526"/>
        <v>2025</v>
      </c>
      <c r="L1916" s="6">
        <f t="shared" ca="1" si="527"/>
        <v>8</v>
      </c>
      <c r="M1916" s="68">
        <f ca="1">IFERROR(__xludf.DUMMYFUNCTION("""COMPUTED_VALUE"""),45876.6666666666)</f>
        <v>45876.666666666599</v>
      </c>
      <c r="N1916" s="6">
        <f ca="1">IFERROR(__xludf.DUMMYFUNCTION("""COMPUTED_VALUE"""),21242.7)</f>
        <v>21242.7</v>
      </c>
      <c r="R1916" s="6" t="str">
        <f t="shared" ca="1" si="528"/>
        <v>202510</v>
      </c>
      <c r="S1916" s="6">
        <f t="shared" ca="1" si="529"/>
        <v>2025</v>
      </c>
      <c r="T1916" s="6">
        <f t="shared" ca="1" si="530"/>
        <v>10</v>
      </c>
      <c r="U1916" s="68">
        <f ca="1">IFERROR(__xludf.DUMMYFUNCTION("""COMPUTED_VALUE"""),45957.6458333333)</f>
        <v>45957.645833333299</v>
      </c>
      <c r="V1916" s="6">
        <f ca="1">IFERROR(__xludf.DUMMYFUNCTION("""COMPUTED_VALUE"""),4042.83)</f>
        <v>4042.83</v>
      </c>
      <c r="Z1916" s="6" t="str">
        <f t="shared" ca="1" si="531"/>
        <v>20235</v>
      </c>
      <c r="AA1916" s="6">
        <f t="shared" ca="1" si="532"/>
        <v>2023</v>
      </c>
      <c r="AB1916" s="6">
        <f t="shared" ca="1" si="533"/>
        <v>5</v>
      </c>
      <c r="AC1916" s="68">
        <f ca="1">IFERROR(__xludf.DUMMYFUNCTION("""COMPUTED_VALUE"""),45065.9986111111)</f>
        <v>45065.998611111099</v>
      </c>
      <c r="AD1916" s="6">
        <f ca="1">IFERROR(__xludf.DUMMYFUNCTION("""COMPUTED_VALUE"""),1325.2)</f>
        <v>1325.2</v>
      </c>
      <c r="AH1916" s="6" t="str">
        <f t="shared" ca="1" si="534"/>
        <v>20233</v>
      </c>
      <c r="AI1916" s="6">
        <f t="shared" ca="1" si="535"/>
        <v>2023</v>
      </c>
      <c r="AJ1916" s="6">
        <f t="shared" ca="1" si="536"/>
        <v>3</v>
      </c>
      <c r="AK1916" s="68">
        <f ca="1">IFERROR(__xludf.DUMMYFUNCTION("""COMPUTED_VALUE"""),45009.9986111111)</f>
        <v>45009.998611111099</v>
      </c>
      <c r="AL1916" s="6">
        <f ca="1">IFERROR(__xludf.DUMMYFUNCTION("""COMPUTED_VALUE"""),27477.05)</f>
        <v>27477.05</v>
      </c>
      <c r="AP1916" s="6" t="str">
        <f t="shared" ca="1" si="537"/>
        <v>20258</v>
      </c>
      <c r="AQ1916" s="6">
        <f t="shared" ca="1" si="538"/>
        <v>2025</v>
      </c>
      <c r="AR1916" s="6">
        <f t="shared" ca="1" si="539"/>
        <v>8</v>
      </c>
      <c r="AS1916" s="68">
        <f ca="1">IFERROR(__xludf.DUMMYFUNCTION("""COMPUTED_VALUE"""),45890.9986111111)</f>
        <v>45890.998611111099</v>
      </c>
      <c r="AT1916" s="6">
        <f ca="1">IFERROR(__xludf.DUMMYFUNCTION("""COMPUTED_VALUE"""),3381.6)</f>
        <v>3381.6</v>
      </c>
    </row>
    <row r="1917" spans="2:46" x14ac:dyDescent="0.35">
      <c r="B1917" s="6" t="str">
        <f t="shared" ca="1" si="522"/>
        <v>20258</v>
      </c>
      <c r="C1917" s="6">
        <f t="shared" ca="1" si="523"/>
        <v>2025</v>
      </c>
      <c r="D1917" s="6">
        <f t="shared" ca="1" si="524"/>
        <v>8</v>
      </c>
      <c r="E1917" s="68">
        <f ca="1">IFERROR(__xludf.DUMMYFUNCTION("""COMPUTED_VALUE"""),45884.6666666666)</f>
        <v>45884.666666666599</v>
      </c>
      <c r="F1917" s="6">
        <f ca="1">IFERROR(__xludf.DUMMYFUNCTION("""COMPUTED_VALUE"""),6449.8)</f>
        <v>6449.8</v>
      </c>
      <c r="J1917" s="6" t="str">
        <f t="shared" ca="1" si="525"/>
        <v>20258</v>
      </c>
      <c r="K1917" s="6">
        <f t="shared" ca="1" si="526"/>
        <v>2025</v>
      </c>
      <c r="L1917" s="6">
        <f t="shared" ca="1" si="527"/>
        <v>8</v>
      </c>
      <c r="M1917" s="68">
        <f ca="1">IFERROR(__xludf.DUMMYFUNCTION("""COMPUTED_VALUE"""),45877.6666666666)</f>
        <v>45877.666666666599</v>
      </c>
      <c r="N1917" s="6">
        <f ca="1">IFERROR(__xludf.DUMMYFUNCTION("""COMPUTED_VALUE"""),21450.02)</f>
        <v>21450.02</v>
      </c>
      <c r="R1917" s="6" t="str">
        <f t="shared" ca="1" si="528"/>
        <v>202510</v>
      </c>
      <c r="S1917" s="6">
        <f t="shared" ca="1" si="529"/>
        <v>2025</v>
      </c>
      <c r="T1917" s="6">
        <f t="shared" ca="1" si="530"/>
        <v>10</v>
      </c>
      <c r="U1917" s="68">
        <f ca="1">IFERROR(__xludf.DUMMYFUNCTION("""COMPUTED_VALUE"""),45958.6458333333)</f>
        <v>45958.645833333299</v>
      </c>
      <c r="V1917" s="6">
        <f ca="1">IFERROR(__xludf.DUMMYFUNCTION("""COMPUTED_VALUE"""),4010.41)</f>
        <v>4010.41</v>
      </c>
      <c r="Z1917" s="6" t="str">
        <f t="shared" ca="1" si="531"/>
        <v>20235</v>
      </c>
      <c r="AA1917" s="6">
        <f t="shared" ca="1" si="532"/>
        <v>2023</v>
      </c>
      <c r="AB1917" s="6">
        <f t="shared" ca="1" si="533"/>
        <v>5</v>
      </c>
      <c r="AC1917" s="68">
        <f ca="1">IFERROR(__xludf.DUMMYFUNCTION("""COMPUTED_VALUE"""),45066.9986111111)</f>
        <v>45066.998611111099</v>
      </c>
      <c r="AD1917" s="6">
        <f ca="1">IFERROR(__xludf.DUMMYFUNCTION("""COMPUTED_VALUE"""),1325.1)</f>
        <v>1325.1</v>
      </c>
      <c r="AH1917" s="6" t="str">
        <f t="shared" ca="1" si="534"/>
        <v>20233</v>
      </c>
      <c r="AI1917" s="6">
        <f t="shared" ca="1" si="535"/>
        <v>2023</v>
      </c>
      <c r="AJ1917" s="6">
        <f t="shared" ca="1" si="536"/>
        <v>3</v>
      </c>
      <c r="AK1917" s="68">
        <f ca="1">IFERROR(__xludf.DUMMYFUNCTION("""COMPUTED_VALUE"""),45010.9986111111)</f>
        <v>45010.998611111099</v>
      </c>
      <c r="AL1917" s="6">
        <f ca="1">IFERROR(__xludf.DUMMYFUNCTION("""COMPUTED_VALUE"""),27487.04)</f>
        <v>27487.040000000001</v>
      </c>
      <c r="AP1917" s="6" t="str">
        <f t="shared" ca="1" si="537"/>
        <v>20258</v>
      </c>
      <c r="AQ1917" s="6">
        <f t="shared" ca="1" si="538"/>
        <v>2025</v>
      </c>
      <c r="AR1917" s="6">
        <f t="shared" ca="1" si="539"/>
        <v>8</v>
      </c>
      <c r="AS1917" s="68">
        <f ca="1">IFERROR(__xludf.DUMMYFUNCTION("""COMPUTED_VALUE"""),45891.9986111111)</f>
        <v>45891.998611111099</v>
      </c>
      <c r="AT1917" s="6">
        <f ca="1">IFERROR(__xludf.DUMMYFUNCTION("""COMPUTED_VALUE"""),3418.5)</f>
        <v>3418.5</v>
      </c>
    </row>
    <row r="1918" spans="2:46" x14ac:dyDescent="0.35">
      <c r="B1918" s="6" t="str">
        <f t="shared" ca="1" si="522"/>
        <v>20258</v>
      </c>
      <c r="C1918" s="6">
        <f t="shared" ca="1" si="523"/>
        <v>2025</v>
      </c>
      <c r="D1918" s="6">
        <f t="shared" ca="1" si="524"/>
        <v>8</v>
      </c>
      <c r="E1918" s="68">
        <f ca="1">IFERROR(__xludf.DUMMYFUNCTION("""COMPUTED_VALUE"""),45887.6666666666)</f>
        <v>45887.666666666599</v>
      </c>
      <c r="F1918" s="6">
        <f ca="1">IFERROR(__xludf.DUMMYFUNCTION("""COMPUTED_VALUE"""),6449.15)</f>
        <v>6449.15</v>
      </c>
      <c r="J1918" s="6" t="str">
        <f t="shared" ca="1" si="525"/>
        <v>20258</v>
      </c>
      <c r="K1918" s="6">
        <f t="shared" ca="1" si="526"/>
        <v>2025</v>
      </c>
      <c r="L1918" s="6">
        <f t="shared" ca="1" si="527"/>
        <v>8</v>
      </c>
      <c r="M1918" s="68">
        <f ca="1">IFERROR(__xludf.DUMMYFUNCTION("""COMPUTED_VALUE"""),45880.6666666666)</f>
        <v>45880.666666666599</v>
      </c>
      <c r="N1918" s="6">
        <f ca="1">IFERROR(__xludf.DUMMYFUNCTION("""COMPUTED_VALUE"""),21385.4)</f>
        <v>21385.4</v>
      </c>
      <c r="R1918" s="6" t="str">
        <f t="shared" ca="1" si="528"/>
        <v>202510</v>
      </c>
      <c r="S1918" s="6">
        <f t="shared" ca="1" si="529"/>
        <v>2025</v>
      </c>
      <c r="T1918" s="6">
        <f t="shared" ca="1" si="530"/>
        <v>10</v>
      </c>
      <c r="U1918" s="68">
        <f ca="1">IFERROR(__xludf.DUMMYFUNCTION("""COMPUTED_VALUE"""),45959.6458333333)</f>
        <v>45959.645833333299</v>
      </c>
      <c r="V1918" s="6">
        <f ca="1">IFERROR(__xludf.DUMMYFUNCTION("""COMPUTED_VALUE"""),4081.15)</f>
        <v>4081.15</v>
      </c>
      <c r="Z1918" s="6" t="str">
        <f t="shared" ca="1" si="531"/>
        <v>20235</v>
      </c>
      <c r="AA1918" s="6">
        <f t="shared" ca="1" si="532"/>
        <v>2023</v>
      </c>
      <c r="AB1918" s="6">
        <f t="shared" ca="1" si="533"/>
        <v>5</v>
      </c>
      <c r="AC1918" s="68">
        <f ca="1">IFERROR(__xludf.DUMMYFUNCTION("""COMPUTED_VALUE"""),45067.9986111111)</f>
        <v>45067.998611111099</v>
      </c>
      <c r="AD1918" s="6">
        <f ca="1">IFERROR(__xludf.DUMMYFUNCTION("""COMPUTED_VALUE"""),1324.21)</f>
        <v>1324.21</v>
      </c>
      <c r="AH1918" s="6" t="str">
        <f t="shared" ca="1" si="534"/>
        <v>20233</v>
      </c>
      <c r="AI1918" s="6">
        <f t="shared" ca="1" si="535"/>
        <v>2023</v>
      </c>
      <c r="AJ1918" s="6">
        <f t="shared" ca="1" si="536"/>
        <v>3</v>
      </c>
      <c r="AK1918" s="68">
        <f ca="1">IFERROR(__xludf.DUMMYFUNCTION("""COMPUTED_VALUE"""),45011.9986111111)</f>
        <v>45011.998611111099</v>
      </c>
      <c r="AL1918" s="6">
        <f ca="1">IFERROR(__xludf.DUMMYFUNCTION("""COMPUTED_VALUE"""),27993.43)</f>
        <v>27993.43</v>
      </c>
      <c r="AP1918" s="6" t="str">
        <f t="shared" ca="1" si="537"/>
        <v>20258</v>
      </c>
      <c r="AQ1918" s="6">
        <f t="shared" ca="1" si="538"/>
        <v>2025</v>
      </c>
      <c r="AR1918" s="6">
        <f t="shared" ca="1" si="539"/>
        <v>8</v>
      </c>
      <c r="AS1918" s="68">
        <f ca="1">IFERROR(__xludf.DUMMYFUNCTION("""COMPUTED_VALUE"""),45894.9986111111)</f>
        <v>45894.998611111099</v>
      </c>
      <c r="AT1918" s="6">
        <f ca="1">IFERROR(__xludf.DUMMYFUNCTION("""COMPUTED_VALUE"""),3417.5)</f>
        <v>3417.5</v>
      </c>
    </row>
    <row r="1919" spans="2:46" x14ac:dyDescent="0.35">
      <c r="B1919" s="6" t="str">
        <f t="shared" ca="1" si="522"/>
        <v>20258</v>
      </c>
      <c r="C1919" s="6">
        <f t="shared" ca="1" si="523"/>
        <v>2025</v>
      </c>
      <c r="D1919" s="6">
        <f t="shared" ca="1" si="524"/>
        <v>8</v>
      </c>
      <c r="E1919" s="68">
        <f ca="1">IFERROR(__xludf.DUMMYFUNCTION("""COMPUTED_VALUE"""),45888.6666666666)</f>
        <v>45888.666666666599</v>
      </c>
      <c r="F1919" s="6">
        <f ca="1">IFERROR(__xludf.DUMMYFUNCTION("""COMPUTED_VALUE"""),6411.37)</f>
        <v>6411.37</v>
      </c>
      <c r="J1919" s="6" t="str">
        <f t="shared" ca="1" si="525"/>
        <v>20258</v>
      </c>
      <c r="K1919" s="6">
        <f t="shared" ca="1" si="526"/>
        <v>2025</v>
      </c>
      <c r="L1919" s="6">
        <f t="shared" ca="1" si="527"/>
        <v>8</v>
      </c>
      <c r="M1919" s="68">
        <f ca="1">IFERROR(__xludf.DUMMYFUNCTION("""COMPUTED_VALUE"""),45881.6666666666)</f>
        <v>45881.666666666599</v>
      </c>
      <c r="N1919" s="6">
        <f ca="1">IFERROR(__xludf.DUMMYFUNCTION("""COMPUTED_VALUE"""),21681.9)</f>
        <v>21681.9</v>
      </c>
      <c r="R1919" s="6" t="str">
        <f t="shared" ca="1" si="528"/>
        <v>202510</v>
      </c>
      <c r="S1919" s="6">
        <f t="shared" ca="1" si="529"/>
        <v>2025</v>
      </c>
      <c r="T1919" s="6">
        <f t="shared" ca="1" si="530"/>
        <v>10</v>
      </c>
      <c r="U1919" s="68">
        <f ca="1">IFERROR(__xludf.DUMMYFUNCTION("""COMPUTED_VALUE"""),45960.6458333333)</f>
        <v>45960.645833333299</v>
      </c>
      <c r="V1919" s="6">
        <f ca="1">IFERROR(__xludf.DUMMYFUNCTION("""COMPUTED_VALUE"""),4086.89)</f>
        <v>4086.89</v>
      </c>
      <c r="Z1919" s="6" t="str">
        <f t="shared" ca="1" si="531"/>
        <v>20235</v>
      </c>
      <c r="AA1919" s="6">
        <f t="shared" ca="1" si="532"/>
        <v>2023</v>
      </c>
      <c r="AB1919" s="6">
        <f t="shared" ca="1" si="533"/>
        <v>5</v>
      </c>
      <c r="AC1919" s="68">
        <f ca="1">IFERROR(__xludf.DUMMYFUNCTION("""COMPUTED_VALUE"""),45068.9986111111)</f>
        <v>45068.998611111099</v>
      </c>
      <c r="AD1919" s="6">
        <f ca="1">IFERROR(__xludf.DUMMYFUNCTION("""COMPUTED_VALUE"""),1313.83)</f>
        <v>1313.83</v>
      </c>
      <c r="AH1919" s="6" t="str">
        <f t="shared" ca="1" si="534"/>
        <v>20233</v>
      </c>
      <c r="AI1919" s="6">
        <f t="shared" ca="1" si="535"/>
        <v>2023</v>
      </c>
      <c r="AJ1919" s="6">
        <f t="shared" ca="1" si="536"/>
        <v>3</v>
      </c>
      <c r="AK1919" s="68">
        <f ca="1">IFERROR(__xludf.DUMMYFUNCTION("""COMPUTED_VALUE"""),45012.9986111111)</f>
        <v>45012.998611111099</v>
      </c>
      <c r="AL1919" s="6">
        <f ca="1">IFERROR(__xludf.DUMMYFUNCTION("""COMPUTED_VALUE"""),27135.23)</f>
        <v>27135.23</v>
      </c>
      <c r="AP1919" s="6" t="str">
        <f t="shared" ca="1" si="537"/>
        <v>20258</v>
      </c>
      <c r="AQ1919" s="6">
        <f t="shared" ca="1" si="538"/>
        <v>2025</v>
      </c>
      <c r="AR1919" s="6">
        <f t="shared" ca="1" si="539"/>
        <v>8</v>
      </c>
      <c r="AS1919" s="68">
        <f ca="1">IFERROR(__xludf.DUMMYFUNCTION("""COMPUTED_VALUE"""),45895.9986111111)</f>
        <v>45895.998611111099</v>
      </c>
      <c r="AT1919" s="6">
        <f ca="1">IFERROR(__xludf.DUMMYFUNCTION("""COMPUTED_VALUE"""),3433)</f>
        <v>3433</v>
      </c>
    </row>
    <row r="1920" spans="2:46" x14ac:dyDescent="0.35">
      <c r="B1920" s="6" t="str">
        <f t="shared" ca="1" si="522"/>
        <v>20258</v>
      </c>
      <c r="C1920" s="6">
        <f t="shared" ca="1" si="523"/>
        <v>2025</v>
      </c>
      <c r="D1920" s="6">
        <f t="shared" ca="1" si="524"/>
        <v>8</v>
      </c>
      <c r="E1920" s="68">
        <f ca="1">IFERROR(__xludf.DUMMYFUNCTION("""COMPUTED_VALUE"""),45889.6666666666)</f>
        <v>45889.666666666599</v>
      </c>
      <c r="F1920" s="6">
        <f ca="1">IFERROR(__xludf.DUMMYFUNCTION("""COMPUTED_VALUE"""),6395.78)</f>
        <v>6395.78</v>
      </c>
      <c r="J1920" s="6" t="str">
        <f t="shared" ca="1" si="525"/>
        <v>20258</v>
      </c>
      <c r="K1920" s="6">
        <f t="shared" ca="1" si="526"/>
        <v>2025</v>
      </c>
      <c r="L1920" s="6">
        <f t="shared" ca="1" si="527"/>
        <v>8</v>
      </c>
      <c r="M1920" s="68">
        <f ca="1">IFERROR(__xludf.DUMMYFUNCTION("""COMPUTED_VALUE"""),45882.6666666666)</f>
        <v>45882.666666666599</v>
      </c>
      <c r="N1920" s="6">
        <f ca="1">IFERROR(__xludf.DUMMYFUNCTION("""COMPUTED_VALUE"""),21713.14)</f>
        <v>21713.14</v>
      </c>
      <c r="R1920" s="6" t="str">
        <f t="shared" ca="1" si="528"/>
        <v>202510</v>
      </c>
      <c r="S1920" s="6">
        <f t="shared" ca="1" si="529"/>
        <v>2025</v>
      </c>
      <c r="T1920" s="6">
        <f t="shared" ca="1" si="530"/>
        <v>10</v>
      </c>
      <c r="U1920" s="68">
        <f ca="1">IFERROR(__xludf.DUMMYFUNCTION("""COMPUTED_VALUE"""),45961.6458333333)</f>
        <v>45961.645833333299</v>
      </c>
      <c r="V1920" s="6">
        <f ca="1">IFERROR(__xludf.DUMMYFUNCTION("""COMPUTED_VALUE"""),4107.5)</f>
        <v>4107.5</v>
      </c>
      <c r="Z1920" s="6" t="str">
        <f t="shared" ca="1" si="531"/>
        <v>20235</v>
      </c>
      <c r="AA1920" s="6">
        <f t="shared" ca="1" si="532"/>
        <v>2023</v>
      </c>
      <c r="AB1920" s="6">
        <f t="shared" ca="1" si="533"/>
        <v>5</v>
      </c>
      <c r="AC1920" s="68">
        <f ca="1">IFERROR(__xludf.DUMMYFUNCTION("""COMPUTED_VALUE"""),45069.9986111111)</f>
        <v>45069.998611111099</v>
      </c>
      <c r="AD1920" s="6">
        <f ca="1">IFERROR(__xludf.DUMMYFUNCTION("""COMPUTED_VALUE"""),1319.84)</f>
        <v>1319.84</v>
      </c>
      <c r="AH1920" s="6" t="str">
        <f t="shared" ca="1" si="534"/>
        <v>20233</v>
      </c>
      <c r="AI1920" s="6">
        <f t="shared" ca="1" si="535"/>
        <v>2023</v>
      </c>
      <c r="AJ1920" s="6">
        <f t="shared" ca="1" si="536"/>
        <v>3</v>
      </c>
      <c r="AK1920" s="68">
        <f ca="1">IFERROR(__xludf.DUMMYFUNCTION("""COMPUTED_VALUE"""),45013.9986111111)</f>
        <v>45013.998611111099</v>
      </c>
      <c r="AL1920" s="6">
        <f ca="1">IFERROR(__xludf.DUMMYFUNCTION("""COMPUTED_VALUE"""),27270.56)</f>
        <v>27270.560000000001</v>
      </c>
      <c r="AP1920" s="6" t="str">
        <f t="shared" ca="1" si="537"/>
        <v>20258</v>
      </c>
      <c r="AQ1920" s="6">
        <f t="shared" ca="1" si="538"/>
        <v>2025</v>
      </c>
      <c r="AR1920" s="6">
        <f t="shared" ca="1" si="539"/>
        <v>8</v>
      </c>
      <c r="AS1920" s="68">
        <f ca="1">IFERROR(__xludf.DUMMYFUNCTION("""COMPUTED_VALUE"""),45896.9986111111)</f>
        <v>45896.998611111099</v>
      </c>
      <c r="AT1920" s="6">
        <f ca="1">IFERROR(__xludf.DUMMYFUNCTION("""COMPUTED_VALUE"""),3448.6)</f>
        <v>3448.6</v>
      </c>
    </row>
    <row r="1921" spans="2:46" x14ac:dyDescent="0.35">
      <c r="B1921" s="6" t="str">
        <f t="shared" ca="1" si="522"/>
        <v>20258</v>
      </c>
      <c r="C1921" s="6">
        <f t="shared" ca="1" si="523"/>
        <v>2025</v>
      </c>
      <c r="D1921" s="6">
        <f t="shared" ca="1" si="524"/>
        <v>8</v>
      </c>
      <c r="E1921" s="68">
        <f ca="1">IFERROR(__xludf.DUMMYFUNCTION("""COMPUTED_VALUE"""),45890.6666666666)</f>
        <v>45890.666666666599</v>
      </c>
      <c r="F1921" s="6">
        <f ca="1">IFERROR(__xludf.DUMMYFUNCTION("""COMPUTED_VALUE"""),6370.17)</f>
        <v>6370.17</v>
      </c>
      <c r="J1921" s="6" t="str">
        <f t="shared" ca="1" si="525"/>
        <v>20258</v>
      </c>
      <c r="K1921" s="6">
        <f t="shared" ca="1" si="526"/>
        <v>2025</v>
      </c>
      <c r="L1921" s="6">
        <f t="shared" ca="1" si="527"/>
        <v>8</v>
      </c>
      <c r="M1921" s="68">
        <f ca="1">IFERROR(__xludf.DUMMYFUNCTION("""COMPUTED_VALUE"""),45883.6666666666)</f>
        <v>45883.666666666599</v>
      </c>
      <c r="N1921" s="6">
        <f ca="1">IFERROR(__xludf.DUMMYFUNCTION("""COMPUTED_VALUE"""),21710.67)</f>
        <v>21710.67</v>
      </c>
      <c r="R1921" s="6" t="str">
        <f t="shared" ca="1" si="528"/>
        <v>202511</v>
      </c>
      <c r="S1921" s="6">
        <f t="shared" ca="1" si="529"/>
        <v>2025</v>
      </c>
      <c r="T1921" s="6">
        <f t="shared" ca="1" si="530"/>
        <v>11</v>
      </c>
      <c r="U1921" s="68">
        <f ca="1">IFERROR(__xludf.DUMMYFUNCTION("""COMPUTED_VALUE"""),45964.6458333333)</f>
        <v>45964.645833333299</v>
      </c>
      <c r="V1921" s="6">
        <f ca="1">IFERROR(__xludf.DUMMYFUNCTION("""COMPUTED_VALUE"""),4221.87)</f>
        <v>4221.87</v>
      </c>
      <c r="Z1921" s="6" t="str">
        <f t="shared" ca="1" si="531"/>
        <v>20235</v>
      </c>
      <c r="AA1921" s="6">
        <f t="shared" ca="1" si="532"/>
        <v>2023</v>
      </c>
      <c r="AB1921" s="6">
        <f t="shared" ca="1" si="533"/>
        <v>5</v>
      </c>
      <c r="AC1921" s="68">
        <f ca="1">IFERROR(__xludf.DUMMYFUNCTION("""COMPUTED_VALUE"""),45070.9986111111)</f>
        <v>45070.998611111099</v>
      </c>
      <c r="AD1921" s="6">
        <f ca="1">IFERROR(__xludf.DUMMYFUNCTION("""COMPUTED_VALUE"""),1318.52)</f>
        <v>1318.52</v>
      </c>
      <c r="AH1921" s="6" t="str">
        <f t="shared" ca="1" si="534"/>
        <v>20233</v>
      </c>
      <c r="AI1921" s="6">
        <f t="shared" ca="1" si="535"/>
        <v>2023</v>
      </c>
      <c r="AJ1921" s="6">
        <f t="shared" ca="1" si="536"/>
        <v>3</v>
      </c>
      <c r="AK1921" s="68">
        <f ca="1">IFERROR(__xludf.DUMMYFUNCTION("""COMPUTED_VALUE"""),45014.9986111111)</f>
        <v>45014.998611111099</v>
      </c>
      <c r="AL1921" s="6">
        <f ca="1">IFERROR(__xludf.DUMMYFUNCTION("""COMPUTED_VALUE"""),28352.95)</f>
        <v>28352.95</v>
      </c>
      <c r="AP1921" s="6" t="str">
        <f t="shared" ca="1" si="537"/>
        <v>20258</v>
      </c>
      <c r="AQ1921" s="6">
        <f t="shared" ca="1" si="538"/>
        <v>2025</v>
      </c>
      <c r="AR1921" s="6">
        <f t="shared" ca="1" si="539"/>
        <v>8</v>
      </c>
      <c r="AS1921" s="68">
        <f ca="1">IFERROR(__xludf.DUMMYFUNCTION("""COMPUTED_VALUE"""),45897.9986111111)</f>
        <v>45897.998611111099</v>
      </c>
      <c r="AT1921" s="6">
        <f ca="1">IFERROR(__xludf.DUMMYFUNCTION("""COMPUTED_VALUE"""),3474.3)</f>
        <v>3474.3</v>
      </c>
    </row>
    <row r="1922" spans="2:46" x14ac:dyDescent="0.35">
      <c r="B1922" s="6" t="str">
        <f t="shared" ca="1" si="522"/>
        <v>20258</v>
      </c>
      <c r="C1922" s="6">
        <f t="shared" ca="1" si="523"/>
        <v>2025</v>
      </c>
      <c r="D1922" s="6">
        <f t="shared" ca="1" si="524"/>
        <v>8</v>
      </c>
      <c r="E1922" s="68">
        <f ca="1">IFERROR(__xludf.DUMMYFUNCTION("""COMPUTED_VALUE"""),45891.6666666666)</f>
        <v>45891.666666666599</v>
      </c>
      <c r="F1922" s="6">
        <f ca="1">IFERROR(__xludf.DUMMYFUNCTION("""COMPUTED_VALUE"""),6466.91)</f>
        <v>6466.91</v>
      </c>
      <c r="J1922" s="6" t="str">
        <f t="shared" ca="1" si="525"/>
        <v>20258</v>
      </c>
      <c r="K1922" s="6">
        <f t="shared" ca="1" si="526"/>
        <v>2025</v>
      </c>
      <c r="L1922" s="6">
        <f t="shared" ca="1" si="527"/>
        <v>8</v>
      </c>
      <c r="M1922" s="68">
        <f ca="1">IFERROR(__xludf.DUMMYFUNCTION("""COMPUTED_VALUE"""),45884.6666666666)</f>
        <v>45884.666666666599</v>
      </c>
      <c r="N1922" s="6">
        <f ca="1">IFERROR(__xludf.DUMMYFUNCTION("""COMPUTED_VALUE"""),21622.98)</f>
        <v>21622.98</v>
      </c>
      <c r="R1922" s="6" t="str">
        <f t="shared" ca="1" si="528"/>
        <v>202511</v>
      </c>
      <c r="S1922" s="6">
        <f t="shared" ca="1" si="529"/>
        <v>2025</v>
      </c>
      <c r="T1922" s="6">
        <f t="shared" ca="1" si="530"/>
        <v>11</v>
      </c>
      <c r="U1922" s="68">
        <f ca="1">IFERROR(__xludf.DUMMYFUNCTION("""COMPUTED_VALUE"""),45965.6458333333)</f>
        <v>45965.645833333299</v>
      </c>
      <c r="V1922" s="6">
        <f ca="1">IFERROR(__xludf.DUMMYFUNCTION("""COMPUTED_VALUE"""),4121.74)</f>
        <v>4121.74</v>
      </c>
      <c r="Z1922" s="6" t="str">
        <f t="shared" ca="1" si="531"/>
        <v>20235</v>
      </c>
      <c r="AA1922" s="6">
        <f t="shared" ca="1" si="532"/>
        <v>2023</v>
      </c>
      <c r="AB1922" s="6">
        <f t="shared" ca="1" si="533"/>
        <v>5</v>
      </c>
      <c r="AC1922" s="68">
        <f ca="1">IFERROR(__xludf.DUMMYFUNCTION("""COMPUTED_VALUE"""),45071.9986111111)</f>
        <v>45071.998611111099</v>
      </c>
      <c r="AD1922" s="6">
        <f ca="1">IFERROR(__xludf.DUMMYFUNCTION("""COMPUTED_VALUE"""),1330.89)</f>
        <v>1330.89</v>
      </c>
      <c r="AH1922" s="6" t="str">
        <f t="shared" ca="1" si="534"/>
        <v>20233</v>
      </c>
      <c r="AI1922" s="6">
        <f t="shared" ca="1" si="535"/>
        <v>2023</v>
      </c>
      <c r="AJ1922" s="6">
        <f t="shared" ca="1" si="536"/>
        <v>3</v>
      </c>
      <c r="AK1922" s="68">
        <f ca="1">IFERROR(__xludf.DUMMYFUNCTION("""COMPUTED_VALUE"""),45015.9986111111)</f>
        <v>45015.998611111099</v>
      </c>
      <c r="AL1922" s="6">
        <f ca="1">IFERROR(__xludf.DUMMYFUNCTION("""COMPUTED_VALUE"""),28036.68)</f>
        <v>28036.68</v>
      </c>
      <c r="AP1922" s="6" t="str">
        <f t="shared" ca="1" si="537"/>
        <v>20258</v>
      </c>
      <c r="AQ1922" s="6">
        <f t="shared" ca="1" si="538"/>
        <v>2025</v>
      </c>
      <c r="AR1922" s="6">
        <f t="shared" ca="1" si="539"/>
        <v>8</v>
      </c>
      <c r="AS1922" s="68">
        <f ca="1">IFERROR(__xludf.DUMMYFUNCTION("""COMPUTED_VALUE"""),45898.9986111111)</f>
        <v>45898.998611111099</v>
      </c>
      <c r="AT1922" s="6">
        <f ca="1">IFERROR(__xludf.DUMMYFUNCTION("""COMPUTED_VALUE"""),3516.1)</f>
        <v>3516.1</v>
      </c>
    </row>
    <row r="1923" spans="2:46" x14ac:dyDescent="0.35">
      <c r="B1923" s="6" t="str">
        <f t="shared" ca="1" si="522"/>
        <v>20258</v>
      </c>
      <c r="C1923" s="6">
        <f t="shared" ca="1" si="523"/>
        <v>2025</v>
      </c>
      <c r="D1923" s="6">
        <f t="shared" ca="1" si="524"/>
        <v>8</v>
      </c>
      <c r="E1923" s="68">
        <f ca="1">IFERROR(__xludf.DUMMYFUNCTION("""COMPUTED_VALUE"""),45894.6666666666)</f>
        <v>45894.666666666599</v>
      </c>
      <c r="F1923" s="6">
        <f ca="1">IFERROR(__xludf.DUMMYFUNCTION("""COMPUTED_VALUE"""),6439.32)</f>
        <v>6439.32</v>
      </c>
      <c r="J1923" s="6" t="str">
        <f t="shared" ca="1" si="525"/>
        <v>20258</v>
      </c>
      <c r="K1923" s="6">
        <f t="shared" ca="1" si="526"/>
        <v>2025</v>
      </c>
      <c r="L1923" s="6">
        <f t="shared" ca="1" si="527"/>
        <v>8</v>
      </c>
      <c r="M1923" s="68">
        <f ca="1">IFERROR(__xludf.DUMMYFUNCTION("""COMPUTED_VALUE"""),45887.6666666666)</f>
        <v>45887.666666666599</v>
      </c>
      <c r="N1923" s="6">
        <f ca="1">IFERROR(__xludf.DUMMYFUNCTION("""COMPUTED_VALUE"""),21629.77)</f>
        <v>21629.77</v>
      </c>
      <c r="R1923" s="6" t="str">
        <f t="shared" ca="1" si="528"/>
        <v>202511</v>
      </c>
      <c r="S1923" s="6">
        <f t="shared" ca="1" si="529"/>
        <v>2025</v>
      </c>
      <c r="T1923" s="6">
        <f t="shared" ca="1" si="530"/>
        <v>11</v>
      </c>
      <c r="U1923" s="68">
        <f ca="1">IFERROR(__xludf.DUMMYFUNCTION("""COMPUTED_VALUE"""),45966.6458333333)</f>
        <v>45966.645833333299</v>
      </c>
      <c r="V1923" s="6">
        <f ca="1">IFERROR(__xludf.DUMMYFUNCTION("""COMPUTED_VALUE"""),4004.42)</f>
        <v>4004.42</v>
      </c>
      <c r="Z1923" s="6" t="str">
        <f t="shared" ca="1" si="531"/>
        <v>20235</v>
      </c>
      <c r="AA1923" s="6">
        <f t="shared" ca="1" si="532"/>
        <v>2023</v>
      </c>
      <c r="AB1923" s="6">
        <f t="shared" ca="1" si="533"/>
        <v>5</v>
      </c>
      <c r="AC1923" s="68">
        <f ca="1">IFERROR(__xludf.DUMMYFUNCTION("""COMPUTED_VALUE"""),45072.9986111111)</f>
        <v>45072.998611111099</v>
      </c>
      <c r="AD1923" s="6">
        <f ca="1">IFERROR(__xludf.DUMMYFUNCTION("""COMPUTED_VALUE"""),1322.43)</f>
        <v>1322.43</v>
      </c>
      <c r="AH1923" s="6" t="str">
        <f t="shared" ca="1" si="534"/>
        <v>20233</v>
      </c>
      <c r="AI1923" s="6">
        <f t="shared" ca="1" si="535"/>
        <v>2023</v>
      </c>
      <c r="AJ1923" s="6">
        <f t="shared" ca="1" si="536"/>
        <v>3</v>
      </c>
      <c r="AK1923" s="68">
        <f ca="1">IFERROR(__xludf.DUMMYFUNCTION("""COMPUTED_VALUE"""),45016.9986111111)</f>
        <v>45016.998611111099</v>
      </c>
      <c r="AL1923" s="6">
        <f ca="1">IFERROR(__xludf.DUMMYFUNCTION("""COMPUTED_VALUE"""),28474.26)</f>
        <v>28474.26</v>
      </c>
      <c r="AP1923" s="6" t="str">
        <f t="shared" ca="1" si="537"/>
        <v>20259</v>
      </c>
      <c r="AQ1923" s="6">
        <f t="shared" ca="1" si="538"/>
        <v>2025</v>
      </c>
      <c r="AR1923" s="6">
        <f t="shared" ca="1" si="539"/>
        <v>9</v>
      </c>
      <c r="AS1923" s="68">
        <f ca="1">IFERROR(__xludf.DUMMYFUNCTION("""COMPUTED_VALUE"""),45902.9986111111)</f>
        <v>45902.998611111099</v>
      </c>
      <c r="AT1923" s="6">
        <f ca="1">IFERROR(__xludf.DUMMYFUNCTION("""COMPUTED_VALUE"""),3592.2)</f>
        <v>3592.2</v>
      </c>
    </row>
    <row r="1924" spans="2:46" x14ac:dyDescent="0.35">
      <c r="B1924" s="6" t="str">
        <f t="shared" ca="1" si="522"/>
        <v>20258</v>
      </c>
      <c r="C1924" s="6">
        <f t="shared" ca="1" si="523"/>
        <v>2025</v>
      </c>
      <c r="D1924" s="6">
        <f t="shared" ca="1" si="524"/>
        <v>8</v>
      </c>
      <c r="E1924" s="68">
        <f ca="1">IFERROR(__xludf.DUMMYFUNCTION("""COMPUTED_VALUE"""),45895.6666666666)</f>
        <v>45895.666666666599</v>
      </c>
      <c r="F1924" s="6">
        <f ca="1">IFERROR(__xludf.DUMMYFUNCTION("""COMPUTED_VALUE"""),6465.94)</f>
        <v>6465.94</v>
      </c>
      <c r="J1924" s="6" t="str">
        <f t="shared" ca="1" si="525"/>
        <v>20258</v>
      </c>
      <c r="K1924" s="6">
        <f t="shared" ca="1" si="526"/>
        <v>2025</v>
      </c>
      <c r="L1924" s="6">
        <f t="shared" ca="1" si="527"/>
        <v>8</v>
      </c>
      <c r="M1924" s="68">
        <f ca="1">IFERROR(__xludf.DUMMYFUNCTION("""COMPUTED_VALUE"""),45888.6666666666)</f>
        <v>45888.666666666599</v>
      </c>
      <c r="N1924" s="6">
        <f ca="1">IFERROR(__xludf.DUMMYFUNCTION("""COMPUTED_VALUE"""),21314.95)</f>
        <v>21314.95</v>
      </c>
      <c r="R1924" s="6" t="str">
        <f t="shared" ca="1" si="528"/>
        <v>202511</v>
      </c>
      <c r="S1924" s="6">
        <f t="shared" ca="1" si="529"/>
        <v>2025</v>
      </c>
      <c r="T1924" s="6">
        <f t="shared" ca="1" si="530"/>
        <v>11</v>
      </c>
      <c r="U1924" s="68">
        <f ca="1">IFERROR(__xludf.DUMMYFUNCTION("""COMPUTED_VALUE"""),45967.6458333333)</f>
        <v>45967.645833333299</v>
      </c>
      <c r="V1924" s="6">
        <f ca="1">IFERROR(__xludf.DUMMYFUNCTION("""COMPUTED_VALUE"""),4026.45)</f>
        <v>4026.45</v>
      </c>
      <c r="Z1924" s="6" t="str">
        <f t="shared" ca="1" si="531"/>
        <v>20235</v>
      </c>
      <c r="AA1924" s="6">
        <f t="shared" ca="1" si="532"/>
        <v>2023</v>
      </c>
      <c r="AB1924" s="6">
        <f t="shared" ca="1" si="533"/>
        <v>5</v>
      </c>
      <c r="AC1924" s="68">
        <f ca="1">IFERROR(__xludf.DUMMYFUNCTION("""COMPUTED_VALUE"""),45073.9986111111)</f>
        <v>45073.998611111099</v>
      </c>
      <c r="AD1924" s="6">
        <f ca="1">IFERROR(__xludf.DUMMYFUNCTION("""COMPUTED_VALUE"""),1322.43)</f>
        <v>1322.43</v>
      </c>
      <c r="AH1924" s="6" t="str">
        <f t="shared" ca="1" si="534"/>
        <v>20234</v>
      </c>
      <c r="AI1924" s="6">
        <f t="shared" ca="1" si="535"/>
        <v>2023</v>
      </c>
      <c r="AJ1924" s="6">
        <f t="shared" ca="1" si="536"/>
        <v>4</v>
      </c>
      <c r="AK1924" s="68">
        <f ca="1">IFERROR(__xludf.DUMMYFUNCTION("""COMPUTED_VALUE"""),45017.9986111111)</f>
        <v>45017.998611111099</v>
      </c>
      <c r="AL1924" s="6">
        <f ca="1">IFERROR(__xludf.DUMMYFUNCTION("""COMPUTED_VALUE"""),28463.44)</f>
        <v>28463.439999999999</v>
      </c>
      <c r="AP1924" s="6" t="str">
        <f t="shared" ca="1" si="537"/>
        <v>20259</v>
      </c>
      <c r="AQ1924" s="6">
        <f t="shared" ca="1" si="538"/>
        <v>2025</v>
      </c>
      <c r="AR1924" s="6">
        <f t="shared" ca="1" si="539"/>
        <v>9</v>
      </c>
      <c r="AS1924" s="68">
        <f ca="1">IFERROR(__xludf.DUMMYFUNCTION("""COMPUTED_VALUE"""),45903.9986111111)</f>
        <v>45903.998611111099</v>
      </c>
      <c r="AT1924" s="6">
        <f ca="1">IFERROR(__xludf.DUMMYFUNCTION("""COMPUTED_VALUE"""),3635.5)</f>
        <v>3635.5</v>
      </c>
    </row>
    <row r="1925" spans="2:46" x14ac:dyDescent="0.35">
      <c r="B1925" s="6" t="str">
        <f t="shared" ca="1" si="522"/>
        <v>20258</v>
      </c>
      <c r="C1925" s="6">
        <f t="shared" ca="1" si="523"/>
        <v>2025</v>
      </c>
      <c r="D1925" s="6">
        <f t="shared" ca="1" si="524"/>
        <v>8</v>
      </c>
      <c r="E1925" s="68">
        <f ca="1">IFERROR(__xludf.DUMMYFUNCTION("""COMPUTED_VALUE"""),45896.6666666666)</f>
        <v>45896.666666666599</v>
      </c>
      <c r="F1925" s="6">
        <f ca="1">IFERROR(__xludf.DUMMYFUNCTION("""COMPUTED_VALUE"""),6481.4)</f>
        <v>6481.4</v>
      </c>
      <c r="J1925" s="6" t="str">
        <f t="shared" ca="1" si="525"/>
        <v>20258</v>
      </c>
      <c r="K1925" s="6">
        <f t="shared" ca="1" si="526"/>
        <v>2025</v>
      </c>
      <c r="L1925" s="6">
        <f t="shared" ca="1" si="527"/>
        <v>8</v>
      </c>
      <c r="M1925" s="68">
        <f ca="1">IFERROR(__xludf.DUMMYFUNCTION("""COMPUTED_VALUE"""),45889.6666666666)</f>
        <v>45889.666666666599</v>
      </c>
      <c r="N1925" s="6">
        <f ca="1">IFERROR(__xludf.DUMMYFUNCTION("""COMPUTED_VALUE"""),21172.86)</f>
        <v>21172.86</v>
      </c>
      <c r="R1925" s="6" t="str">
        <f t="shared" ca="1" si="528"/>
        <v>202511</v>
      </c>
      <c r="S1925" s="6">
        <f t="shared" ca="1" si="529"/>
        <v>2025</v>
      </c>
      <c r="T1925" s="6">
        <f t="shared" ca="1" si="530"/>
        <v>11</v>
      </c>
      <c r="U1925" s="68">
        <f ca="1">IFERROR(__xludf.DUMMYFUNCTION("""COMPUTED_VALUE"""),45968.6458333333)</f>
        <v>45968.645833333299</v>
      </c>
      <c r="V1925" s="6">
        <f ca="1">IFERROR(__xludf.DUMMYFUNCTION("""COMPUTED_VALUE"""),3953.76)</f>
        <v>3953.76</v>
      </c>
      <c r="Z1925" s="6" t="str">
        <f t="shared" ca="1" si="531"/>
        <v>20235</v>
      </c>
      <c r="AA1925" s="6">
        <f t="shared" ca="1" si="532"/>
        <v>2023</v>
      </c>
      <c r="AB1925" s="6">
        <f t="shared" ca="1" si="533"/>
        <v>5</v>
      </c>
      <c r="AC1925" s="68">
        <f ca="1">IFERROR(__xludf.DUMMYFUNCTION("""COMPUTED_VALUE"""),45074.9986111111)</f>
        <v>45074.998611111099</v>
      </c>
      <c r="AD1925" s="6">
        <f ca="1">IFERROR(__xludf.DUMMYFUNCTION("""COMPUTED_VALUE"""),1322.43)</f>
        <v>1322.43</v>
      </c>
      <c r="AH1925" s="6" t="str">
        <f t="shared" ca="1" si="534"/>
        <v>20234</v>
      </c>
      <c r="AI1925" s="6">
        <f t="shared" ca="1" si="535"/>
        <v>2023</v>
      </c>
      <c r="AJ1925" s="6">
        <f t="shared" ca="1" si="536"/>
        <v>4</v>
      </c>
      <c r="AK1925" s="68">
        <f ca="1">IFERROR(__xludf.DUMMYFUNCTION("""COMPUTED_VALUE"""),45018.9986111111)</f>
        <v>45018.998611111099</v>
      </c>
      <c r="AL1925" s="6">
        <f ca="1">IFERROR(__xludf.DUMMYFUNCTION("""COMPUTED_VALUE"""),28188.3)</f>
        <v>28188.3</v>
      </c>
      <c r="AP1925" s="6" t="str">
        <f t="shared" ca="1" si="537"/>
        <v>20259</v>
      </c>
      <c r="AQ1925" s="6">
        <f t="shared" ca="1" si="538"/>
        <v>2025</v>
      </c>
      <c r="AR1925" s="6">
        <f t="shared" ca="1" si="539"/>
        <v>9</v>
      </c>
      <c r="AS1925" s="68">
        <f ca="1">IFERROR(__xludf.DUMMYFUNCTION("""COMPUTED_VALUE"""),45904.9986111111)</f>
        <v>45904.998611111099</v>
      </c>
      <c r="AT1925" s="6">
        <f ca="1">IFERROR(__xludf.DUMMYFUNCTION("""COMPUTED_VALUE"""),3606.7)</f>
        <v>3606.7</v>
      </c>
    </row>
    <row r="1926" spans="2:46" x14ac:dyDescent="0.35">
      <c r="B1926" s="6" t="str">
        <f t="shared" ca="1" si="522"/>
        <v>20258</v>
      </c>
      <c r="C1926" s="6">
        <f t="shared" ca="1" si="523"/>
        <v>2025</v>
      </c>
      <c r="D1926" s="6">
        <f t="shared" ca="1" si="524"/>
        <v>8</v>
      </c>
      <c r="E1926" s="68">
        <f ca="1">IFERROR(__xludf.DUMMYFUNCTION("""COMPUTED_VALUE"""),45897.6666666666)</f>
        <v>45897.666666666599</v>
      </c>
      <c r="F1926" s="6">
        <f ca="1">IFERROR(__xludf.DUMMYFUNCTION("""COMPUTED_VALUE"""),6501.86)</f>
        <v>6501.86</v>
      </c>
      <c r="J1926" s="6" t="str">
        <f t="shared" ca="1" si="525"/>
        <v>20258</v>
      </c>
      <c r="K1926" s="6">
        <f t="shared" ca="1" si="526"/>
        <v>2025</v>
      </c>
      <c r="L1926" s="6">
        <f t="shared" ca="1" si="527"/>
        <v>8</v>
      </c>
      <c r="M1926" s="68">
        <f ca="1">IFERROR(__xludf.DUMMYFUNCTION("""COMPUTED_VALUE"""),45890.6666666666)</f>
        <v>45890.666666666599</v>
      </c>
      <c r="N1926" s="6">
        <f ca="1">IFERROR(__xludf.DUMMYFUNCTION("""COMPUTED_VALUE"""),21100.31)</f>
        <v>21100.31</v>
      </c>
      <c r="R1926" s="6" t="str">
        <f t="shared" ca="1" si="528"/>
        <v>202511</v>
      </c>
      <c r="S1926" s="6">
        <f t="shared" ca="1" si="529"/>
        <v>2025</v>
      </c>
      <c r="T1926" s="6">
        <f t="shared" ca="1" si="530"/>
        <v>11</v>
      </c>
      <c r="U1926" s="68">
        <f ca="1">IFERROR(__xludf.DUMMYFUNCTION("""COMPUTED_VALUE"""),45971.6458333333)</f>
        <v>45971.645833333299</v>
      </c>
      <c r="V1926" s="6">
        <f ca="1">IFERROR(__xludf.DUMMYFUNCTION("""COMPUTED_VALUE"""),4073.24)</f>
        <v>4073.24</v>
      </c>
      <c r="Z1926" s="6" t="str">
        <f t="shared" ca="1" si="531"/>
        <v>20235</v>
      </c>
      <c r="AA1926" s="6">
        <f t="shared" ca="1" si="532"/>
        <v>2023</v>
      </c>
      <c r="AB1926" s="6">
        <f t="shared" ca="1" si="533"/>
        <v>5</v>
      </c>
      <c r="AC1926" s="68">
        <f ca="1">IFERROR(__xludf.DUMMYFUNCTION("""COMPUTED_VALUE"""),45075.9986111111)</f>
        <v>45075.998611111099</v>
      </c>
      <c r="AD1926" s="6">
        <f ca="1">IFERROR(__xludf.DUMMYFUNCTION("""COMPUTED_VALUE"""),1324.59)</f>
        <v>1324.59</v>
      </c>
      <c r="AH1926" s="6" t="str">
        <f t="shared" ca="1" si="534"/>
        <v>20234</v>
      </c>
      <c r="AI1926" s="6">
        <f t="shared" ca="1" si="535"/>
        <v>2023</v>
      </c>
      <c r="AJ1926" s="6">
        <f t="shared" ca="1" si="536"/>
        <v>4</v>
      </c>
      <c r="AK1926" s="68">
        <f ca="1">IFERROR(__xludf.DUMMYFUNCTION("""COMPUTED_VALUE"""),45019.9986111111)</f>
        <v>45019.998611111099</v>
      </c>
      <c r="AL1926" s="6">
        <f ca="1">IFERROR(__xludf.DUMMYFUNCTION("""COMPUTED_VALUE"""),27805.71)</f>
        <v>27805.71</v>
      </c>
      <c r="AP1926" s="6" t="str">
        <f t="shared" ca="1" si="537"/>
        <v>20259</v>
      </c>
      <c r="AQ1926" s="6">
        <f t="shared" ca="1" si="538"/>
        <v>2025</v>
      </c>
      <c r="AR1926" s="6">
        <f t="shared" ca="1" si="539"/>
        <v>9</v>
      </c>
      <c r="AS1926" s="68">
        <f ca="1">IFERROR(__xludf.DUMMYFUNCTION("""COMPUTED_VALUE"""),45905.9986111111)</f>
        <v>45905.998611111099</v>
      </c>
      <c r="AT1926" s="6">
        <f ca="1">IFERROR(__xludf.DUMMYFUNCTION("""COMPUTED_VALUE"""),3653.3)</f>
        <v>3653.3</v>
      </c>
    </row>
    <row r="1927" spans="2:46" x14ac:dyDescent="0.35">
      <c r="B1927" s="6" t="str">
        <f t="shared" ref="B1927:B1990" ca="1" si="540">C1927&amp;D1927</f>
        <v>20258</v>
      </c>
      <c r="C1927" s="6">
        <f t="shared" ref="C1927:C1990" ca="1" si="541">YEAR(E1927)</f>
        <v>2025</v>
      </c>
      <c r="D1927" s="6">
        <f t="shared" ref="D1927:D1990" ca="1" si="542">MONTH(E1927)</f>
        <v>8</v>
      </c>
      <c r="E1927" s="68">
        <f ca="1">IFERROR(__xludf.DUMMYFUNCTION("""COMPUTED_VALUE"""),45898.6666666666)</f>
        <v>45898.666666666599</v>
      </c>
      <c r="F1927" s="6">
        <f ca="1">IFERROR(__xludf.DUMMYFUNCTION("""COMPUTED_VALUE"""),6460.26)</f>
        <v>6460.26</v>
      </c>
      <c r="J1927" s="6" t="str">
        <f t="shared" ref="J1927:J1990" ca="1" si="543">K1927&amp;L1927</f>
        <v>20258</v>
      </c>
      <c r="K1927" s="6">
        <f t="shared" ref="K1927:K1990" ca="1" si="544">YEAR(M1927)</f>
        <v>2025</v>
      </c>
      <c r="L1927" s="6">
        <f t="shared" ref="L1927:L1990" ca="1" si="545">MONTH(M1927)</f>
        <v>8</v>
      </c>
      <c r="M1927" s="68">
        <f ca="1">IFERROR(__xludf.DUMMYFUNCTION("""COMPUTED_VALUE"""),45891.6666666666)</f>
        <v>45891.666666666599</v>
      </c>
      <c r="N1927" s="6">
        <f ca="1">IFERROR(__xludf.DUMMYFUNCTION("""COMPUTED_VALUE"""),21496.54)</f>
        <v>21496.54</v>
      </c>
      <c r="R1927" s="6" t="str">
        <f t="shared" ref="R1927:R1990" ca="1" si="546">S1927&amp;T1927</f>
        <v>202511</v>
      </c>
      <c r="S1927" s="6">
        <f t="shared" ref="S1927:S1990" ca="1" si="547">YEAR(U1927)</f>
        <v>2025</v>
      </c>
      <c r="T1927" s="6">
        <f t="shared" ref="T1927:T1990" ca="1" si="548">MONTH(U1927)</f>
        <v>11</v>
      </c>
      <c r="U1927" s="68">
        <f ca="1">IFERROR(__xludf.DUMMYFUNCTION("""COMPUTED_VALUE"""),45972.6458333333)</f>
        <v>45972.645833333299</v>
      </c>
      <c r="V1927" s="6">
        <f ca="1">IFERROR(__xludf.DUMMYFUNCTION("""COMPUTED_VALUE"""),4106.39)</f>
        <v>4106.3900000000003</v>
      </c>
      <c r="Z1927" s="6" t="str">
        <f t="shared" ref="Z1927:Z1990" ca="1" si="549">AA1927&amp;AB1927</f>
        <v>20235</v>
      </c>
      <c r="AA1927" s="6">
        <f t="shared" ref="AA1927:AA1990" ca="1" si="550">YEAR(AC1927)</f>
        <v>2023</v>
      </c>
      <c r="AB1927" s="6">
        <f t="shared" ref="AB1927:AB1990" ca="1" si="551">MONTH(AC1927)</f>
        <v>5</v>
      </c>
      <c r="AC1927" s="68">
        <f ca="1">IFERROR(__xludf.DUMMYFUNCTION("""COMPUTED_VALUE"""),45076.9986111111)</f>
        <v>45076.998611111099</v>
      </c>
      <c r="AD1927" s="6">
        <f ca="1">IFERROR(__xludf.DUMMYFUNCTION("""COMPUTED_VALUE"""),1319.79)</f>
        <v>1319.79</v>
      </c>
      <c r="AH1927" s="6" t="str">
        <f t="shared" ref="AH1927:AH1990" ca="1" si="552">AI1927&amp;AJ1927</f>
        <v>20234</v>
      </c>
      <c r="AI1927" s="6">
        <f t="shared" ref="AI1927:AI1990" ca="1" si="553">YEAR(AK1927)</f>
        <v>2023</v>
      </c>
      <c r="AJ1927" s="6">
        <f t="shared" ref="AJ1927:AJ1990" ca="1" si="554">MONTH(AK1927)</f>
        <v>4</v>
      </c>
      <c r="AK1927" s="68">
        <f ca="1">IFERROR(__xludf.DUMMYFUNCTION("""COMPUTED_VALUE"""),45020.9986111111)</f>
        <v>45020.998611111099</v>
      </c>
      <c r="AL1927" s="6">
        <f ca="1">IFERROR(__xludf.DUMMYFUNCTION("""COMPUTED_VALUE"""),28169.03)</f>
        <v>28169.03</v>
      </c>
      <c r="AP1927" s="6" t="str">
        <f t="shared" ref="AP1927:AP1990" ca="1" si="555">AQ1927&amp;AR1927</f>
        <v>20259</v>
      </c>
      <c r="AQ1927" s="6">
        <f t="shared" ref="AQ1927:AQ1990" ca="1" si="556">YEAR(AS1927)</f>
        <v>2025</v>
      </c>
      <c r="AR1927" s="6">
        <f t="shared" ref="AR1927:AR1990" ca="1" si="557">MONTH(AS1927)</f>
        <v>9</v>
      </c>
      <c r="AS1927" s="68">
        <f ca="1">IFERROR(__xludf.DUMMYFUNCTION("""COMPUTED_VALUE"""),45908.9986111111)</f>
        <v>45908.998611111099</v>
      </c>
      <c r="AT1927" s="6">
        <f ca="1">IFERROR(__xludf.DUMMYFUNCTION("""COMPUTED_VALUE"""),3677.4)</f>
        <v>3677.4</v>
      </c>
    </row>
    <row r="1928" spans="2:46" x14ac:dyDescent="0.35">
      <c r="B1928" s="6" t="str">
        <f t="shared" ca="1" si="540"/>
        <v>20259</v>
      </c>
      <c r="C1928" s="6">
        <f t="shared" ca="1" si="541"/>
        <v>2025</v>
      </c>
      <c r="D1928" s="6">
        <f t="shared" ca="1" si="542"/>
        <v>9</v>
      </c>
      <c r="E1928" s="68">
        <f ca="1">IFERROR(__xludf.DUMMYFUNCTION("""COMPUTED_VALUE"""),45902.6666666666)</f>
        <v>45902.666666666599</v>
      </c>
      <c r="F1928" s="6">
        <f ca="1">IFERROR(__xludf.DUMMYFUNCTION("""COMPUTED_VALUE"""),6415.54)</f>
        <v>6415.54</v>
      </c>
      <c r="J1928" s="6" t="str">
        <f t="shared" ca="1" si="543"/>
        <v>20258</v>
      </c>
      <c r="K1928" s="6">
        <f t="shared" ca="1" si="544"/>
        <v>2025</v>
      </c>
      <c r="L1928" s="6">
        <f t="shared" ca="1" si="545"/>
        <v>8</v>
      </c>
      <c r="M1928" s="68">
        <f ca="1">IFERROR(__xludf.DUMMYFUNCTION("""COMPUTED_VALUE"""),45894.6666666666)</f>
        <v>45894.666666666599</v>
      </c>
      <c r="N1928" s="6">
        <f ca="1">IFERROR(__xludf.DUMMYFUNCTION("""COMPUTED_VALUE"""),21449.29)</f>
        <v>21449.29</v>
      </c>
      <c r="R1928" s="6" t="str">
        <f t="shared" ca="1" si="546"/>
        <v>202511</v>
      </c>
      <c r="S1928" s="6">
        <f t="shared" ca="1" si="547"/>
        <v>2025</v>
      </c>
      <c r="T1928" s="6">
        <f t="shared" ca="1" si="548"/>
        <v>11</v>
      </c>
      <c r="U1928" s="68">
        <f ca="1">IFERROR(__xludf.DUMMYFUNCTION("""COMPUTED_VALUE"""),45973.6458333333)</f>
        <v>45973.645833333299</v>
      </c>
      <c r="V1928" s="6">
        <f ca="1">IFERROR(__xludf.DUMMYFUNCTION("""COMPUTED_VALUE"""),4150.39)</f>
        <v>4150.3900000000003</v>
      </c>
      <c r="Z1928" s="6" t="str">
        <f t="shared" ca="1" si="549"/>
        <v>20235</v>
      </c>
      <c r="AA1928" s="6">
        <f t="shared" ca="1" si="550"/>
        <v>2023</v>
      </c>
      <c r="AB1928" s="6">
        <f t="shared" ca="1" si="551"/>
        <v>5</v>
      </c>
      <c r="AC1928" s="68">
        <f ca="1">IFERROR(__xludf.DUMMYFUNCTION("""COMPUTED_VALUE"""),45077.9986111111)</f>
        <v>45077.998611111099</v>
      </c>
      <c r="AD1928" s="6">
        <f ca="1">IFERROR(__xludf.DUMMYFUNCTION("""COMPUTED_VALUE"""),1321.74)</f>
        <v>1321.74</v>
      </c>
      <c r="AH1928" s="6" t="str">
        <f t="shared" ca="1" si="552"/>
        <v>20234</v>
      </c>
      <c r="AI1928" s="6">
        <f t="shared" ca="1" si="553"/>
        <v>2023</v>
      </c>
      <c r="AJ1928" s="6">
        <f t="shared" ca="1" si="554"/>
        <v>4</v>
      </c>
      <c r="AK1928" s="68">
        <f ca="1">IFERROR(__xludf.DUMMYFUNCTION("""COMPUTED_VALUE"""),45021.9986111111)</f>
        <v>45021.998611111099</v>
      </c>
      <c r="AL1928" s="6">
        <f ca="1">IFERROR(__xludf.DUMMYFUNCTION("""COMPUTED_VALUE"""),28176.88)</f>
        <v>28176.880000000001</v>
      </c>
      <c r="AP1928" s="6" t="str">
        <f t="shared" ca="1" si="555"/>
        <v>20259</v>
      </c>
      <c r="AQ1928" s="6">
        <f t="shared" ca="1" si="556"/>
        <v>2025</v>
      </c>
      <c r="AR1928" s="6">
        <f t="shared" ca="1" si="557"/>
        <v>9</v>
      </c>
      <c r="AS1928" s="68">
        <f ca="1">IFERROR(__xludf.DUMMYFUNCTION("""COMPUTED_VALUE"""),45909.9986111111)</f>
        <v>45909.998611111099</v>
      </c>
      <c r="AT1928" s="6">
        <f ca="1">IFERROR(__xludf.DUMMYFUNCTION("""COMPUTED_VALUE"""),3682.2)</f>
        <v>3682.2</v>
      </c>
    </row>
    <row r="1929" spans="2:46" x14ac:dyDescent="0.35">
      <c r="B1929" s="6" t="str">
        <f t="shared" ca="1" si="540"/>
        <v>20259</v>
      </c>
      <c r="C1929" s="6">
        <f t="shared" ca="1" si="541"/>
        <v>2025</v>
      </c>
      <c r="D1929" s="6">
        <f t="shared" ca="1" si="542"/>
        <v>9</v>
      </c>
      <c r="E1929" s="68">
        <f ca="1">IFERROR(__xludf.DUMMYFUNCTION("""COMPUTED_VALUE"""),45903.6666666666)</f>
        <v>45903.666666666599</v>
      </c>
      <c r="F1929" s="6">
        <f ca="1">IFERROR(__xludf.DUMMYFUNCTION("""COMPUTED_VALUE"""),6448.26)</f>
        <v>6448.26</v>
      </c>
      <c r="J1929" s="6" t="str">
        <f t="shared" ca="1" si="543"/>
        <v>20258</v>
      </c>
      <c r="K1929" s="6">
        <f t="shared" ca="1" si="544"/>
        <v>2025</v>
      </c>
      <c r="L1929" s="6">
        <f t="shared" ca="1" si="545"/>
        <v>8</v>
      </c>
      <c r="M1929" s="68">
        <f ca="1">IFERROR(__xludf.DUMMYFUNCTION("""COMPUTED_VALUE"""),45895.6666666666)</f>
        <v>45895.666666666599</v>
      </c>
      <c r="N1929" s="6">
        <f ca="1">IFERROR(__xludf.DUMMYFUNCTION("""COMPUTED_VALUE"""),21544.27)</f>
        <v>21544.27</v>
      </c>
      <c r="R1929" s="6" t="str">
        <f t="shared" ca="1" si="546"/>
        <v>202511</v>
      </c>
      <c r="S1929" s="6">
        <f t="shared" ca="1" si="547"/>
        <v>2025</v>
      </c>
      <c r="T1929" s="6">
        <f t="shared" ca="1" si="548"/>
        <v>11</v>
      </c>
      <c r="U1929" s="68">
        <f ca="1">IFERROR(__xludf.DUMMYFUNCTION("""COMPUTED_VALUE"""),45974.6458333333)</f>
        <v>45974.645833333299</v>
      </c>
      <c r="V1929" s="6">
        <f ca="1">IFERROR(__xludf.DUMMYFUNCTION("""COMPUTED_VALUE"""),4170.63)</f>
        <v>4170.63</v>
      </c>
      <c r="Z1929" s="6" t="str">
        <f t="shared" ca="1" si="549"/>
        <v>20236</v>
      </c>
      <c r="AA1929" s="6">
        <f t="shared" ca="1" si="550"/>
        <v>2023</v>
      </c>
      <c r="AB1929" s="6">
        <f t="shared" ca="1" si="551"/>
        <v>6</v>
      </c>
      <c r="AC1929" s="68">
        <f ca="1">IFERROR(__xludf.DUMMYFUNCTION("""COMPUTED_VALUE"""),45078.9986111111)</f>
        <v>45078.998611111099</v>
      </c>
      <c r="AD1929" s="6">
        <f ca="1">IFERROR(__xludf.DUMMYFUNCTION("""COMPUTED_VALUE"""),1312.85)</f>
        <v>1312.85</v>
      </c>
      <c r="AH1929" s="6" t="str">
        <f t="shared" ca="1" si="552"/>
        <v>20234</v>
      </c>
      <c r="AI1929" s="6">
        <f t="shared" ca="1" si="553"/>
        <v>2023</v>
      </c>
      <c r="AJ1929" s="6">
        <f t="shared" ca="1" si="554"/>
        <v>4</v>
      </c>
      <c r="AK1929" s="68">
        <f ca="1">IFERROR(__xludf.DUMMYFUNCTION("""COMPUTED_VALUE"""),45022.9986111111)</f>
        <v>45022.998611111099</v>
      </c>
      <c r="AL1929" s="6">
        <f ca="1">IFERROR(__xludf.DUMMYFUNCTION("""COMPUTED_VALUE"""),28044.15)</f>
        <v>28044.15</v>
      </c>
      <c r="AP1929" s="6" t="str">
        <f t="shared" ca="1" si="555"/>
        <v>20259</v>
      </c>
      <c r="AQ1929" s="6">
        <f t="shared" ca="1" si="556"/>
        <v>2025</v>
      </c>
      <c r="AR1929" s="6">
        <f t="shared" ca="1" si="557"/>
        <v>9</v>
      </c>
      <c r="AS1929" s="68">
        <f ca="1">IFERROR(__xludf.DUMMYFUNCTION("""COMPUTED_VALUE"""),45910.9986111111)</f>
        <v>45910.998611111099</v>
      </c>
      <c r="AT1929" s="6">
        <f ca="1">IFERROR(__xludf.DUMMYFUNCTION("""COMPUTED_VALUE"""),3682)</f>
        <v>3682</v>
      </c>
    </row>
    <row r="1930" spans="2:46" x14ac:dyDescent="0.35">
      <c r="B1930" s="6" t="str">
        <f t="shared" ca="1" si="540"/>
        <v>20259</v>
      </c>
      <c r="C1930" s="6">
        <f t="shared" ca="1" si="541"/>
        <v>2025</v>
      </c>
      <c r="D1930" s="6">
        <f t="shared" ca="1" si="542"/>
        <v>9</v>
      </c>
      <c r="E1930" s="68">
        <f ca="1">IFERROR(__xludf.DUMMYFUNCTION("""COMPUTED_VALUE"""),45904.6666666666)</f>
        <v>45904.666666666599</v>
      </c>
      <c r="F1930" s="6">
        <f ca="1">IFERROR(__xludf.DUMMYFUNCTION("""COMPUTED_VALUE"""),6502.08)</f>
        <v>6502.08</v>
      </c>
      <c r="J1930" s="6" t="str">
        <f t="shared" ca="1" si="543"/>
        <v>20258</v>
      </c>
      <c r="K1930" s="6">
        <f t="shared" ca="1" si="544"/>
        <v>2025</v>
      </c>
      <c r="L1930" s="6">
        <f t="shared" ca="1" si="545"/>
        <v>8</v>
      </c>
      <c r="M1930" s="68">
        <f ca="1">IFERROR(__xludf.DUMMYFUNCTION("""COMPUTED_VALUE"""),45896.6666666666)</f>
        <v>45896.666666666599</v>
      </c>
      <c r="N1930" s="6">
        <f ca="1">IFERROR(__xludf.DUMMYFUNCTION("""COMPUTED_VALUE"""),21590.14)</f>
        <v>21590.14</v>
      </c>
      <c r="R1930" s="6" t="str">
        <f t="shared" ca="1" si="546"/>
        <v>202511</v>
      </c>
      <c r="S1930" s="6">
        <f t="shared" ca="1" si="547"/>
        <v>2025</v>
      </c>
      <c r="T1930" s="6">
        <f t="shared" ca="1" si="548"/>
        <v>11</v>
      </c>
      <c r="U1930" s="68">
        <f ca="1">IFERROR(__xludf.DUMMYFUNCTION("""COMPUTED_VALUE"""),45975.6458333333)</f>
        <v>45975.645833333299</v>
      </c>
      <c r="V1930" s="6">
        <f ca="1">IFERROR(__xludf.DUMMYFUNCTION("""COMPUTED_VALUE"""),4011.57)</f>
        <v>4011.57</v>
      </c>
      <c r="Z1930" s="6" t="str">
        <f t="shared" ca="1" si="549"/>
        <v>20236</v>
      </c>
      <c r="AA1930" s="6">
        <f t="shared" ca="1" si="550"/>
        <v>2023</v>
      </c>
      <c r="AB1930" s="6">
        <f t="shared" ca="1" si="551"/>
        <v>6</v>
      </c>
      <c r="AC1930" s="68">
        <f ca="1">IFERROR(__xludf.DUMMYFUNCTION("""COMPUTED_VALUE"""),45079.9986111111)</f>
        <v>45079.998611111099</v>
      </c>
      <c r="AD1930" s="6">
        <f ca="1">IFERROR(__xludf.DUMMYFUNCTION("""COMPUTED_VALUE"""),1305.15)</f>
        <v>1305.1500000000001</v>
      </c>
      <c r="AH1930" s="6" t="str">
        <f t="shared" ca="1" si="552"/>
        <v>20234</v>
      </c>
      <c r="AI1930" s="6">
        <f t="shared" ca="1" si="553"/>
        <v>2023</v>
      </c>
      <c r="AJ1930" s="6">
        <f t="shared" ca="1" si="554"/>
        <v>4</v>
      </c>
      <c r="AK1930" s="68">
        <f ca="1">IFERROR(__xludf.DUMMYFUNCTION("""COMPUTED_VALUE"""),45023.9986111111)</f>
        <v>45023.998611111099</v>
      </c>
      <c r="AL1930" s="6">
        <f ca="1">IFERROR(__xludf.DUMMYFUNCTION("""COMPUTED_VALUE"""),27920.95)</f>
        <v>27920.95</v>
      </c>
      <c r="AP1930" s="6" t="str">
        <f t="shared" ca="1" si="555"/>
        <v>20259</v>
      </c>
      <c r="AQ1930" s="6">
        <f t="shared" ca="1" si="556"/>
        <v>2025</v>
      </c>
      <c r="AR1930" s="6">
        <f t="shared" ca="1" si="557"/>
        <v>9</v>
      </c>
      <c r="AS1930" s="68">
        <f ca="1">IFERROR(__xludf.DUMMYFUNCTION("""COMPUTED_VALUE"""),45911.9986111111)</f>
        <v>45911.998611111099</v>
      </c>
      <c r="AT1930" s="6">
        <f ca="1">IFERROR(__xludf.DUMMYFUNCTION("""COMPUTED_VALUE"""),3673.6)</f>
        <v>3673.6</v>
      </c>
    </row>
    <row r="1931" spans="2:46" x14ac:dyDescent="0.35">
      <c r="B1931" s="6" t="str">
        <f t="shared" ca="1" si="540"/>
        <v>20259</v>
      </c>
      <c r="C1931" s="6">
        <f t="shared" ca="1" si="541"/>
        <v>2025</v>
      </c>
      <c r="D1931" s="6">
        <f t="shared" ca="1" si="542"/>
        <v>9</v>
      </c>
      <c r="E1931" s="68">
        <f ca="1">IFERROR(__xludf.DUMMYFUNCTION("""COMPUTED_VALUE"""),45905.6666666666)</f>
        <v>45905.666666666599</v>
      </c>
      <c r="F1931" s="6">
        <f ca="1">IFERROR(__xludf.DUMMYFUNCTION("""COMPUTED_VALUE"""),6481.5)</f>
        <v>6481.5</v>
      </c>
      <c r="J1931" s="6" t="str">
        <f t="shared" ca="1" si="543"/>
        <v>20258</v>
      </c>
      <c r="K1931" s="6">
        <f t="shared" ca="1" si="544"/>
        <v>2025</v>
      </c>
      <c r="L1931" s="6">
        <f t="shared" ca="1" si="545"/>
        <v>8</v>
      </c>
      <c r="M1931" s="68">
        <f ca="1">IFERROR(__xludf.DUMMYFUNCTION("""COMPUTED_VALUE"""),45897.6666666666)</f>
        <v>45897.666666666599</v>
      </c>
      <c r="N1931" s="6">
        <f ca="1">IFERROR(__xludf.DUMMYFUNCTION("""COMPUTED_VALUE"""),21705.16)</f>
        <v>21705.16</v>
      </c>
      <c r="R1931" s="6" t="str">
        <f t="shared" ca="1" si="546"/>
        <v>202511</v>
      </c>
      <c r="S1931" s="6">
        <f t="shared" ca="1" si="547"/>
        <v>2025</v>
      </c>
      <c r="T1931" s="6">
        <f t="shared" ca="1" si="548"/>
        <v>11</v>
      </c>
      <c r="U1931" s="68">
        <f ca="1">IFERROR(__xludf.DUMMYFUNCTION("""COMPUTED_VALUE"""),45978.6458333333)</f>
        <v>45978.645833333299</v>
      </c>
      <c r="V1931" s="6">
        <f ca="1">IFERROR(__xludf.DUMMYFUNCTION("""COMPUTED_VALUE"""),4089.25)</f>
        <v>4089.25</v>
      </c>
      <c r="Z1931" s="6" t="str">
        <f t="shared" ca="1" si="549"/>
        <v>20236</v>
      </c>
      <c r="AA1931" s="6">
        <f t="shared" ca="1" si="550"/>
        <v>2023</v>
      </c>
      <c r="AB1931" s="6">
        <f t="shared" ca="1" si="551"/>
        <v>6</v>
      </c>
      <c r="AC1931" s="68">
        <f ca="1">IFERROR(__xludf.DUMMYFUNCTION("""COMPUTED_VALUE"""),45080.9986111111)</f>
        <v>45080.998611111099</v>
      </c>
      <c r="AD1931" s="6">
        <f ca="1">IFERROR(__xludf.DUMMYFUNCTION("""COMPUTED_VALUE"""),1304.55)</f>
        <v>1304.55</v>
      </c>
      <c r="AH1931" s="6" t="str">
        <f t="shared" ca="1" si="552"/>
        <v>20234</v>
      </c>
      <c r="AI1931" s="6">
        <f t="shared" ca="1" si="553"/>
        <v>2023</v>
      </c>
      <c r="AJ1931" s="6">
        <f t="shared" ca="1" si="554"/>
        <v>4</v>
      </c>
      <c r="AK1931" s="68">
        <f ca="1">IFERROR(__xludf.DUMMYFUNCTION("""COMPUTED_VALUE"""),45024.9986111111)</f>
        <v>45024.998611111099</v>
      </c>
      <c r="AL1931" s="6">
        <f ca="1">IFERROR(__xludf.DUMMYFUNCTION("""COMPUTED_VALUE"""),27952.19)</f>
        <v>27952.19</v>
      </c>
      <c r="AP1931" s="6" t="str">
        <f t="shared" ca="1" si="555"/>
        <v>20259</v>
      </c>
      <c r="AQ1931" s="6">
        <f t="shared" ca="1" si="556"/>
        <v>2025</v>
      </c>
      <c r="AR1931" s="6">
        <f t="shared" ca="1" si="557"/>
        <v>9</v>
      </c>
      <c r="AS1931" s="68">
        <f ca="1">IFERROR(__xludf.DUMMYFUNCTION("""COMPUTED_VALUE"""),45912.9986111111)</f>
        <v>45912.998611111099</v>
      </c>
      <c r="AT1931" s="6">
        <f ca="1">IFERROR(__xludf.DUMMYFUNCTION("""COMPUTED_VALUE"""),3686.4)</f>
        <v>3686.4</v>
      </c>
    </row>
    <row r="1932" spans="2:46" x14ac:dyDescent="0.35">
      <c r="B1932" s="6" t="str">
        <f t="shared" ca="1" si="540"/>
        <v>20259</v>
      </c>
      <c r="C1932" s="6">
        <f t="shared" ca="1" si="541"/>
        <v>2025</v>
      </c>
      <c r="D1932" s="6">
        <f t="shared" ca="1" si="542"/>
        <v>9</v>
      </c>
      <c r="E1932" s="68">
        <f ca="1">IFERROR(__xludf.DUMMYFUNCTION("""COMPUTED_VALUE"""),45908.6666666666)</f>
        <v>45908.666666666599</v>
      </c>
      <c r="F1932" s="6">
        <f ca="1">IFERROR(__xludf.DUMMYFUNCTION("""COMPUTED_VALUE"""),6495.15)</f>
        <v>6495.15</v>
      </c>
      <c r="J1932" s="6" t="str">
        <f t="shared" ca="1" si="543"/>
        <v>20258</v>
      </c>
      <c r="K1932" s="6">
        <f t="shared" ca="1" si="544"/>
        <v>2025</v>
      </c>
      <c r="L1932" s="6">
        <f t="shared" ca="1" si="545"/>
        <v>8</v>
      </c>
      <c r="M1932" s="68">
        <f ca="1">IFERROR(__xludf.DUMMYFUNCTION("""COMPUTED_VALUE"""),45898.6666666666)</f>
        <v>45898.666666666599</v>
      </c>
      <c r="N1932" s="6">
        <f ca="1">IFERROR(__xludf.DUMMYFUNCTION("""COMPUTED_VALUE"""),21455.55)</f>
        <v>21455.55</v>
      </c>
      <c r="R1932" s="6" t="str">
        <f t="shared" ca="1" si="546"/>
        <v>202511</v>
      </c>
      <c r="S1932" s="6">
        <f t="shared" ca="1" si="547"/>
        <v>2025</v>
      </c>
      <c r="T1932" s="6">
        <f t="shared" ca="1" si="548"/>
        <v>11</v>
      </c>
      <c r="U1932" s="68">
        <f ca="1">IFERROR(__xludf.DUMMYFUNCTION("""COMPUTED_VALUE"""),45979.6458333333)</f>
        <v>45979.645833333299</v>
      </c>
      <c r="V1932" s="6">
        <f ca="1">IFERROR(__xludf.DUMMYFUNCTION("""COMPUTED_VALUE"""),3953.62)</f>
        <v>3953.62</v>
      </c>
      <c r="Z1932" s="6" t="str">
        <f t="shared" ca="1" si="549"/>
        <v>20236</v>
      </c>
      <c r="AA1932" s="6">
        <f t="shared" ca="1" si="550"/>
        <v>2023</v>
      </c>
      <c r="AB1932" s="6">
        <f t="shared" ca="1" si="551"/>
        <v>6</v>
      </c>
      <c r="AC1932" s="68">
        <f ca="1">IFERROR(__xludf.DUMMYFUNCTION("""COMPUTED_VALUE"""),45081.9986111111)</f>
        <v>45081.998611111099</v>
      </c>
      <c r="AD1932" s="6">
        <f ca="1">IFERROR(__xludf.DUMMYFUNCTION("""COMPUTED_VALUE"""),1305.14)</f>
        <v>1305.1400000000001</v>
      </c>
      <c r="AH1932" s="6" t="str">
        <f t="shared" ca="1" si="552"/>
        <v>20234</v>
      </c>
      <c r="AI1932" s="6">
        <f t="shared" ca="1" si="553"/>
        <v>2023</v>
      </c>
      <c r="AJ1932" s="6">
        <f t="shared" ca="1" si="554"/>
        <v>4</v>
      </c>
      <c r="AK1932" s="68">
        <f ca="1">IFERROR(__xludf.DUMMYFUNCTION("""COMPUTED_VALUE"""),45025.9986111111)</f>
        <v>45025.998611111099</v>
      </c>
      <c r="AL1932" s="6">
        <f ca="1">IFERROR(__xludf.DUMMYFUNCTION("""COMPUTED_VALUE"""),28335.4)</f>
        <v>28335.4</v>
      </c>
      <c r="AP1932" s="6" t="str">
        <f t="shared" ca="1" si="555"/>
        <v>20259</v>
      </c>
      <c r="AQ1932" s="6">
        <f t="shared" ca="1" si="556"/>
        <v>2025</v>
      </c>
      <c r="AR1932" s="6">
        <f t="shared" ca="1" si="557"/>
        <v>9</v>
      </c>
      <c r="AS1932" s="68">
        <f ca="1">IFERROR(__xludf.DUMMYFUNCTION("""COMPUTED_VALUE"""),45915.9986111111)</f>
        <v>45915.998611111099</v>
      </c>
      <c r="AT1932" s="6">
        <f ca="1">IFERROR(__xludf.DUMMYFUNCTION("""COMPUTED_VALUE"""),3719)</f>
        <v>3719</v>
      </c>
    </row>
    <row r="1933" spans="2:46" x14ac:dyDescent="0.35">
      <c r="B1933" s="6" t="str">
        <f t="shared" ca="1" si="540"/>
        <v>20259</v>
      </c>
      <c r="C1933" s="6">
        <f t="shared" ca="1" si="541"/>
        <v>2025</v>
      </c>
      <c r="D1933" s="6">
        <f t="shared" ca="1" si="542"/>
        <v>9</v>
      </c>
      <c r="E1933" s="68">
        <f ca="1">IFERROR(__xludf.DUMMYFUNCTION("""COMPUTED_VALUE"""),45909.6666666666)</f>
        <v>45909.666666666599</v>
      </c>
      <c r="F1933" s="6">
        <f ca="1">IFERROR(__xludf.DUMMYFUNCTION("""COMPUTED_VALUE"""),6512.61)</f>
        <v>6512.61</v>
      </c>
      <c r="J1933" s="6" t="str">
        <f t="shared" ca="1" si="543"/>
        <v>20259</v>
      </c>
      <c r="K1933" s="6">
        <f t="shared" ca="1" si="544"/>
        <v>2025</v>
      </c>
      <c r="L1933" s="6">
        <f t="shared" ca="1" si="545"/>
        <v>9</v>
      </c>
      <c r="M1933" s="68">
        <f ca="1">IFERROR(__xludf.DUMMYFUNCTION("""COMPUTED_VALUE"""),45902.6666666666)</f>
        <v>45902.666666666599</v>
      </c>
      <c r="N1933" s="6">
        <f ca="1">IFERROR(__xludf.DUMMYFUNCTION("""COMPUTED_VALUE"""),21279.63)</f>
        <v>21279.63</v>
      </c>
      <c r="R1933" s="6" t="str">
        <f t="shared" ca="1" si="546"/>
        <v>202511</v>
      </c>
      <c r="S1933" s="6">
        <f t="shared" ca="1" si="547"/>
        <v>2025</v>
      </c>
      <c r="T1933" s="6">
        <f t="shared" ca="1" si="548"/>
        <v>11</v>
      </c>
      <c r="U1933" s="68">
        <f ca="1">IFERROR(__xludf.DUMMYFUNCTION("""COMPUTED_VALUE"""),45980.6458333333)</f>
        <v>45980.645833333299</v>
      </c>
      <c r="V1933" s="6">
        <f ca="1">IFERROR(__xludf.DUMMYFUNCTION("""COMPUTED_VALUE"""),3929.51)</f>
        <v>3929.51</v>
      </c>
      <c r="Z1933" s="6" t="str">
        <f t="shared" ca="1" si="549"/>
        <v>20236</v>
      </c>
      <c r="AA1933" s="6">
        <f t="shared" ca="1" si="550"/>
        <v>2023</v>
      </c>
      <c r="AB1933" s="6">
        <f t="shared" ca="1" si="551"/>
        <v>6</v>
      </c>
      <c r="AC1933" s="68">
        <f ca="1">IFERROR(__xludf.DUMMYFUNCTION("""COMPUTED_VALUE"""),45082.9986111111)</f>
        <v>45082.998611111099</v>
      </c>
      <c r="AD1933" s="6">
        <f ca="1">IFERROR(__xludf.DUMMYFUNCTION("""COMPUTED_VALUE"""),1299.79)</f>
        <v>1299.79</v>
      </c>
      <c r="AH1933" s="6" t="str">
        <f t="shared" ca="1" si="552"/>
        <v>20234</v>
      </c>
      <c r="AI1933" s="6">
        <f t="shared" ca="1" si="553"/>
        <v>2023</v>
      </c>
      <c r="AJ1933" s="6">
        <f t="shared" ca="1" si="554"/>
        <v>4</v>
      </c>
      <c r="AK1933" s="68">
        <f ca="1">IFERROR(__xludf.DUMMYFUNCTION("""COMPUTED_VALUE"""),45026.9986111111)</f>
        <v>45026.998611111099</v>
      </c>
      <c r="AL1933" s="6">
        <f ca="1">IFERROR(__xludf.DUMMYFUNCTION("""COMPUTED_VALUE"""),29651.67)</f>
        <v>29651.67</v>
      </c>
      <c r="AP1933" s="6" t="str">
        <f t="shared" ca="1" si="555"/>
        <v>20259</v>
      </c>
      <c r="AQ1933" s="6">
        <f t="shared" ca="1" si="556"/>
        <v>2025</v>
      </c>
      <c r="AR1933" s="6">
        <f t="shared" ca="1" si="557"/>
        <v>9</v>
      </c>
      <c r="AS1933" s="68">
        <f ca="1">IFERROR(__xludf.DUMMYFUNCTION("""COMPUTED_VALUE"""),45916.9986111111)</f>
        <v>45916.998611111099</v>
      </c>
      <c r="AT1933" s="6">
        <f ca="1">IFERROR(__xludf.DUMMYFUNCTION("""COMPUTED_VALUE"""),3725.1)</f>
        <v>3725.1</v>
      </c>
    </row>
    <row r="1934" spans="2:46" x14ac:dyDescent="0.35">
      <c r="B1934" s="6" t="str">
        <f t="shared" ca="1" si="540"/>
        <v>20259</v>
      </c>
      <c r="C1934" s="6">
        <f t="shared" ca="1" si="541"/>
        <v>2025</v>
      </c>
      <c r="D1934" s="6">
        <f t="shared" ca="1" si="542"/>
        <v>9</v>
      </c>
      <c r="E1934" s="68">
        <f ca="1">IFERROR(__xludf.DUMMYFUNCTION("""COMPUTED_VALUE"""),45910.6666666666)</f>
        <v>45910.666666666599</v>
      </c>
      <c r="F1934" s="6">
        <f ca="1">IFERROR(__xludf.DUMMYFUNCTION("""COMPUTED_VALUE"""),6532.04)</f>
        <v>6532.04</v>
      </c>
      <c r="J1934" s="6" t="str">
        <f t="shared" ca="1" si="543"/>
        <v>20259</v>
      </c>
      <c r="K1934" s="6">
        <f t="shared" ca="1" si="544"/>
        <v>2025</v>
      </c>
      <c r="L1934" s="6">
        <f t="shared" ca="1" si="545"/>
        <v>9</v>
      </c>
      <c r="M1934" s="68">
        <f ca="1">IFERROR(__xludf.DUMMYFUNCTION("""COMPUTED_VALUE"""),45903.6666666666)</f>
        <v>45903.666666666599</v>
      </c>
      <c r="N1934" s="6">
        <f ca="1">IFERROR(__xludf.DUMMYFUNCTION("""COMPUTED_VALUE"""),21497.73)</f>
        <v>21497.73</v>
      </c>
      <c r="R1934" s="6" t="str">
        <f t="shared" ca="1" si="546"/>
        <v>202511</v>
      </c>
      <c r="S1934" s="6">
        <f t="shared" ca="1" si="547"/>
        <v>2025</v>
      </c>
      <c r="T1934" s="6">
        <f t="shared" ca="1" si="548"/>
        <v>11</v>
      </c>
      <c r="U1934" s="68">
        <f ca="1">IFERROR(__xludf.DUMMYFUNCTION("""COMPUTED_VALUE"""),45981.6458333333)</f>
        <v>45981.645833333299</v>
      </c>
      <c r="V1934" s="6">
        <f ca="1">IFERROR(__xludf.DUMMYFUNCTION("""COMPUTED_VALUE"""),4004.85)</f>
        <v>4004.85</v>
      </c>
      <c r="Z1934" s="6" t="str">
        <f t="shared" ca="1" si="549"/>
        <v>20236</v>
      </c>
      <c r="AA1934" s="6">
        <f t="shared" ca="1" si="550"/>
        <v>2023</v>
      </c>
      <c r="AB1934" s="6">
        <f t="shared" ca="1" si="551"/>
        <v>6</v>
      </c>
      <c r="AC1934" s="68">
        <f ca="1">IFERROR(__xludf.DUMMYFUNCTION("""COMPUTED_VALUE"""),45083.9986111111)</f>
        <v>45083.998611111099</v>
      </c>
      <c r="AD1934" s="6">
        <f ca="1">IFERROR(__xludf.DUMMYFUNCTION("""COMPUTED_VALUE"""),1299.2)</f>
        <v>1299.2</v>
      </c>
      <c r="AH1934" s="6" t="str">
        <f t="shared" ca="1" si="552"/>
        <v>20234</v>
      </c>
      <c r="AI1934" s="6">
        <f t="shared" ca="1" si="553"/>
        <v>2023</v>
      </c>
      <c r="AJ1934" s="6">
        <f t="shared" ca="1" si="554"/>
        <v>4</v>
      </c>
      <c r="AK1934" s="68">
        <f ca="1">IFERROR(__xludf.DUMMYFUNCTION("""COMPUTED_VALUE"""),45027.9986111111)</f>
        <v>45027.998611111099</v>
      </c>
      <c r="AL1934" s="6">
        <f ca="1">IFERROR(__xludf.DUMMYFUNCTION("""COMPUTED_VALUE"""),30222.64)</f>
        <v>30222.639999999999</v>
      </c>
      <c r="AP1934" s="6" t="str">
        <f t="shared" ca="1" si="555"/>
        <v>20259</v>
      </c>
      <c r="AQ1934" s="6">
        <f t="shared" ca="1" si="556"/>
        <v>2025</v>
      </c>
      <c r="AR1934" s="6">
        <f t="shared" ca="1" si="557"/>
        <v>9</v>
      </c>
      <c r="AS1934" s="68">
        <f ca="1">IFERROR(__xludf.DUMMYFUNCTION("""COMPUTED_VALUE"""),45917.9986111111)</f>
        <v>45917.998611111099</v>
      </c>
      <c r="AT1934" s="6">
        <f ca="1">IFERROR(__xludf.DUMMYFUNCTION("""COMPUTED_VALUE"""),3717.8)</f>
        <v>3717.8</v>
      </c>
    </row>
    <row r="1935" spans="2:46" x14ac:dyDescent="0.35">
      <c r="B1935" s="6" t="str">
        <f t="shared" ca="1" si="540"/>
        <v>20259</v>
      </c>
      <c r="C1935" s="6">
        <f t="shared" ca="1" si="541"/>
        <v>2025</v>
      </c>
      <c r="D1935" s="6">
        <f t="shared" ca="1" si="542"/>
        <v>9</v>
      </c>
      <c r="E1935" s="68">
        <f ca="1">IFERROR(__xludf.DUMMYFUNCTION("""COMPUTED_VALUE"""),45911.6666666666)</f>
        <v>45911.666666666599</v>
      </c>
      <c r="F1935" s="6">
        <f ca="1">IFERROR(__xludf.DUMMYFUNCTION("""COMPUTED_VALUE"""),6587.47)</f>
        <v>6587.47</v>
      </c>
      <c r="J1935" s="6" t="str">
        <f t="shared" ca="1" si="543"/>
        <v>20259</v>
      </c>
      <c r="K1935" s="6">
        <f t="shared" ca="1" si="544"/>
        <v>2025</v>
      </c>
      <c r="L1935" s="6">
        <f t="shared" ca="1" si="545"/>
        <v>9</v>
      </c>
      <c r="M1935" s="68">
        <f ca="1">IFERROR(__xludf.DUMMYFUNCTION("""COMPUTED_VALUE"""),45904.6666666666)</f>
        <v>45904.666666666599</v>
      </c>
      <c r="N1935" s="6">
        <f ca="1">IFERROR(__xludf.DUMMYFUNCTION("""COMPUTED_VALUE"""),21707.69)</f>
        <v>21707.69</v>
      </c>
      <c r="R1935" s="6" t="str">
        <f t="shared" ca="1" si="546"/>
        <v>202511</v>
      </c>
      <c r="S1935" s="6">
        <f t="shared" ca="1" si="547"/>
        <v>2025</v>
      </c>
      <c r="T1935" s="6">
        <f t="shared" ca="1" si="548"/>
        <v>11</v>
      </c>
      <c r="U1935" s="68">
        <f ca="1">IFERROR(__xludf.DUMMYFUNCTION("""COMPUTED_VALUE"""),45982.6458333333)</f>
        <v>45982.645833333299</v>
      </c>
      <c r="V1935" s="6">
        <f ca="1">IFERROR(__xludf.DUMMYFUNCTION("""COMPUTED_VALUE"""),3853.26)</f>
        <v>3853.26</v>
      </c>
      <c r="Z1935" s="6" t="str">
        <f t="shared" ca="1" si="549"/>
        <v>20236</v>
      </c>
      <c r="AA1935" s="6">
        <f t="shared" ca="1" si="550"/>
        <v>2023</v>
      </c>
      <c r="AB1935" s="6">
        <f t="shared" ca="1" si="551"/>
        <v>6</v>
      </c>
      <c r="AC1935" s="68">
        <f ca="1">IFERROR(__xludf.DUMMYFUNCTION("""COMPUTED_VALUE"""),45084.9986111111)</f>
        <v>45084.998611111099</v>
      </c>
      <c r="AD1935" s="6">
        <f ca="1">IFERROR(__xludf.DUMMYFUNCTION("""COMPUTED_VALUE"""),1308.34)</f>
        <v>1308.3399999999999</v>
      </c>
      <c r="AH1935" s="6" t="str">
        <f t="shared" ca="1" si="552"/>
        <v>20234</v>
      </c>
      <c r="AI1935" s="6">
        <f t="shared" ca="1" si="553"/>
        <v>2023</v>
      </c>
      <c r="AJ1935" s="6">
        <f t="shared" ca="1" si="554"/>
        <v>4</v>
      </c>
      <c r="AK1935" s="68">
        <f ca="1">IFERROR(__xludf.DUMMYFUNCTION("""COMPUTED_VALUE"""),45028.9986111111)</f>
        <v>45028.998611111099</v>
      </c>
      <c r="AL1935" s="6">
        <f ca="1">IFERROR(__xludf.DUMMYFUNCTION("""COMPUTED_VALUE"""),29896.73)</f>
        <v>29896.73</v>
      </c>
      <c r="AP1935" s="6" t="str">
        <f t="shared" ca="1" si="555"/>
        <v>20259</v>
      </c>
      <c r="AQ1935" s="6">
        <f t="shared" ca="1" si="556"/>
        <v>2025</v>
      </c>
      <c r="AR1935" s="6">
        <f t="shared" ca="1" si="557"/>
        <v>9</v>
      </c>
      <c r="AS1935" s="68">
        <f ca="1">IFERROR(__xludf.DUMMYFUNCTION("""COMPUTED_VALUE"""),45918.9986111111)</f>
        <v>45918.998611111099</v>
      </c>
      <c r="AT1935" s="6">
        <f ca="1">IFERROR(__xludf.DUMMYFUNCTION("""COMPUTED_VALUE"""),3678.3)</f>
        <v>3678.3</v>
      </c>
    </row>
    <row r="1936" spans="2:46" x14ac:dyDescent="0.35">
      <c r="B1936" s="6" t="str">
        <f t="shared" ca="1" si="540"/>
        <v>20259</v>
      </c>
      <c r="C1936" s="6">
        <f t="shared" ca="1" si="541"/>
        <v>2025</v>
      </c>
      <c r="D1936" s="6">
        <f t="shared" ca="1" si="542"/>
        <v>9</v>
      </c>
      <c r="E1936" s="68">
        <f ca="1">IFERROR(__xludf.DUMMYFUNCTION("""COMPUTED_VALUE"""),45912.6666666666)</f>
        <v>45912.666666666599</v>
      </c>
      <c r="F1936" s="6">
        <f ca="1">IFERROR(__xludf.DUMMYFUNCTION("""COMPUTED_VALUE"""),6584.29)</f>
        <v>6584.29</v>
      </c>
      <c r="J1936" s="6" t="str">
        <f t="shared" ca="1" si="543"/>
        <v>20259</v>
      </c>
      <c r="K1936" s="6">
        <f t="shared" ca="1" si="544"/>
        <v>2025</v>
      </c>
      <c r="L1936" s="6">
        <f t="shared" ca="1" si="545"/>
        <v>9</v>
      </c>
      <c r="M1936" s="68">
        <f ca="1">IFERROR(__xludf.DUMMYFUNCTION("""COMPUTED_VALUE"""),45905.6666666666)</f>
        <v>45905.666666666599</v>
      </c>
      <c r="N1936" s="6">
        <f ca="1">IFERROR(__xludf.DUMMYFUNCTION("""COMPUTED_VALUE"""),21700.39)</f>
        <v>21700.39</v>
      </c>
      <c r="R1936" s="6" t="str">
        <f t="shared" ca="1" si="546"/>
        <v>202511</v>
      </c>
      <c r="S1936" s="6">
        <f t="shared" ca="1" si="547"/>
        <v>2025</v>
      </c>
      <c r="T1936" s="6">
        <f t="shared" ca="1" si="548"/>
        <v>11</v>
      </c>
      <c r="U1936" s="68">
        <f ca="1">IFERROR(__xludf.DUMMYFUNCTION("""COMPUTED_VALUE"""),45985.6458333333)</f>
        <v>45985.645833333299</v>
      </c>
      <c r="V1936" s="6">
        <f ca="1">IFERROR(__xludf.DUMMYFUNCTION("""COMPUTED_VALUE"""),3846.06)</f>
        <v>3846.06</v>
      </c>
      <c r="Z1936" s="6" t="str">
        <f t="shared" ca="1" si="549"/>
        <v>20236</v>
      </c>
      <c r="AA1936" s="6">
        <f t="shared" ca="1" si="550"/>
        <v>2023</v>
      </c>
      <c r="AB1936" s="6">
        <f t="shared" ca="1" si="551"/>
        <v>6</v>
      </c>
      <c r="AC1936" s="68">
        <f ca="1">IFERROR(__xludf.DUMMYFUNCTION("""COMPUTED_VALUE"""),45085.9986111111)</f>
        <v>45085.998611111099</v>
      </c>
      <c r="AD1936" s="6">
        <f ca="1">IFERROR(__xludf.DUMMYFUNCTION("""COMPUTED_VALUE"""),1296.33)</f>
        <v>1296.33</v>
      </c>
      <c r="AH1936" s="6" t="str">
        <f t="shared" ca="1" si="552"/>
        <v>20234</v>
      </c>
      <c r="AI1936" s="6">
        <f t="shared" ca="1" si="553"/>
        <v>2023</v>
      </c>
      <c r="AJ1936" s="6">
        <f t="shared" ca="1" si="554"/>
        <v>4</v>
      </c>
      <c r="AK1936" s="68">
        <f ca="1">IFERROR(__xludf.DUMMYFUNCTION("""COMPUTED_VALUE"""),45029.9986111111)</f>
        <v>45029.998611111099</v>
      </c>
      <c r="AL1936" s="6">
        <f ca="1">IFERROR(__xludf.DUMMYFUNCTION("""COMPUTED_VALUE"""),30394.77)</f>
        <v>30394.77</v>
      </c>
      <c r="AP1936" s="6" t="str">
        <f t="shared" ca="1" si="555"/>
        <v>20259</v>
      </c>
      <c r="AQ1936" s="6">
        <f t="shared" ca="1" si="556"/>
        <v>2025</v>
      </c>
      <c r="AR1936" s="6">
        <f t="shared" ca="1" si="557"/>
        <v>9</v>
      </c>
      <c r="AS1936" s="68">
        <f ca="1">IFERROR(__xludf.DUMMYFUNCTION("""COMPUTED_VALUE"""),45919.9986111111)</f>
        <v>45919.998611111099</v>
      </c>
      <c r="AT1936" s="6">
        <f ca="1">IFERROR(__xludf.DUMMYFUNCTION("""COMPUTED_VALUE"""),3705.8)</f>
        <v>3705.8</v>
      </c>
    </row>
    <row r="1937" spans="2:46" x14ac:dyDescent="0.35">
      <c r="B1937" s="6" t="str">
        <f t="shared" ca="1" si="540"/>
        <v>20259</v>
      </c>
      <c r="C1937" s="6">
        <f t="shared" ca="1" si="541"/>
        <v>2025</v>
      </c>
      <c r="D1937" s="6">
        <f t="shared" ca="1" si="542"/>
        <v>9</v>
      </c>
      <c r="E1937" s="68">
        <f ca="1">IFERROR(__xludf.DUMMYFUNCTION("""COMPUTED_VALUE"""),45915.6666666666)</f>
        <v>45915.666666666599</v>
      </c>
      <c r="F1937" s="6">
        <f ca="1">IFERROR(__xludf.DUMMYFUNCTION("""COMPUTED_VALUE"""),6615.28)</f>
        <v>6615.28</v>
      </c>
      <c r="J1937" s="6" t="str">
        <f t="shared" ca="1" si="543"/>
        <v>20259</v>
      </c>
      <c r="K1937" s="6">
        <f t="shared" ca="1" si="544"/>
        <v>2025</v>
      </c>
      <c r="L1937" s="6">
        <f t="shared" ca="1" si="545"/>
        <v>9</v>
      </c>
      <c r="M1937" s="68">
        <f ca="1">IFERROR(__xludf.DUMMYFUNCTION("""COMPUTED_VALUE"""),45908.6666666666)</f>
        <v>45908.666666666599</v>
      </c>
      <c r="N1937" s="6">
        <f ca="1">IFERROR(__xludf.DUMMYFUNCTION("""COMPUTED_VALUE"""),21798.7)</f>
        <v>21798.7</v>
      </c>
      <c r="R1937" s="6" t="str">
        <f t="shared" ca="1" si="546"/>
        <v>202511</v>
      </c>
      <c r="S1937" s="6">
        <f t="shared" ca="1" si="547"/>
        <v>2025</v>
      </c>
      <c r="T1937" s="6">
        <f t="shared" ca="1" si="548"/>
        <v>11</v>
      </c>
      <c r="U1937" s="68">
        <f ca="1">IFERROR(__xludf.DUMMYFUNCTION("""COMPUTED_VALUE"""),45986.6458333333)</f>
        <v>45986.645833333299</v>
      </c>
      <c r="V1937" s="6">
        <f ca="1">IFERROR(__xludf.DUMMYFUNCTION("""COMPUTED_VALUE"""),3857.78)</f>
        <v>3857.78</v>
      </c>
      <c r="Z1937" s="6" t="str">
        <f t="shared" ca="1" si="549"/>
        <v>20236</v>
      </c>
      <c r="AA1937" s="6">
        <f t="shared" ca="1" si="550"/>
        <v>2023</v>
      </c>
      <c r="AB1937" s="6">
        <f t="shared" ca="1" si="551"/>
        <v>6</v>
      </c>
      <c r="AC1937" s="68">
        <f ca="1">IFERROR(__xludf.DUMMYFUNCTION("""COMPUTED_VALUE"""),45086.9986111111)</f>
        <v>45086.998611111099</v>
      </c>
      <c r="AD1937" s="6">
        <f ca="1">IFERROR(__xludf.DUMMYFUNCTION("""COMPUTED_VALUE"""),1287.26)</f>
        <v>1287.26</v>
      </c>
      <c r="AH1937" s="6" t="str">
        <f t="shared" ca="1" si="552"/>
        <v>20234</v>
      </c>
      <c r="AI1937" s="6">
        <f t="shared" ca="1" si="553"/>
        <v>2023</v>
      </c>
      <c r="AJ1937" s="6">
        <f t="shared" ca="1" si="554"/>
        <v>4</v>
      </c>
      <c r="AK1937" s="68">
        <f ca="1">IFERROR(__xludf.DUMMYFUNCTION("""COMPUTED_VALUE"""),45030.9986111111)</f>
        <v>45030.998611111099</v>
      </c>
      <c r="AL1937" s="6">
        <f ca="1">IFERROR(__xludf.DUMMYFUNCTION("""COMPUTED_VALUE"""),30479.65)</f>
        <v>30479.65</v>
      </c>
      <c r="AP1937" s="6" t="str">
        <f t="shared" ca="1" si="555"/>
        <v>20259</v>
      </c>
      <c r="AQ1937" s="6">
        <f t="shared" ca="1" si="556"/>
        <v>2025</v>
      </c>
      <c r="AR1937" s="6">
        <f t="shared" ca="1" si="557"/>
        <v>9</v>
      </c>
      <c r="AS1937" s="68">
        <f ca="1">IFERROR(__xludf.DUMMYFUNCTION("""COMPUTED_VALUE"""),45922.9986111111)</f>
        <v>45922.998611111099</v>
      </c>
      <c r="AT1937" s="6">
        <f ca="1">IFERROR(__xludf.DUMMYFUNCTION("""COMPUTED_VALUE"""),3775.1)</f>
        <v>3775.1</v>
      </c>
    </row>
    <row r="1938" spans="2:46" x14ac:dyDescent="0.35">
      <c r="B1938" s="6" t="str">
        <f t="shared" ca="1" si="540"/>
        <v>20259</v>
      </c>
      <c r="C1938" s="6">
        <f t="shared" ca="1" si="541"/>
        <v>2025</v>
      </c>
      <c r="D1938" s="6">
        <f t="shared" ca="1" si="542"/>
        <v>9</v>
      </c>
      <c r="E1938" s="68">
        <f ca="1">IFERROR(__xludf.DUMMYFUNCTION("""COMPUTED_VALUE"""),45916.6666666666)</f>
        <v>45916.666666666599</v>
      </c>
      <c r="F1938" s="6">
        <f ca="1">IFERROR(__xludf.DUMMYFUNCTION("""COMPUTED_VALUE"""),6606.76)</f>
        <v>6606.76</v>
      </c>
      <c r="J1938" s="6" t="str">
        <f t="shared" ca="1" si="543"/>
        <v>20259</v>
      </c>
      <c r="K1938" s="6">
        <f t="shared" ca="1" si="544"/>
        <v>2025</v>
      </c>
      <c r="L1938" s="6">
        <f t="shared" ca="1" si="545"/>
        <v>9</v>
      </c>
      <c r="M1938" s="68">
        <f ca="1">IFERROR(__xludf.DUMMYFUNCTION("""COMPUTED_VALUE"""),45909.6666666666)</f>
        <v>45909.666666666599</v>
      </c>
      <c r="N1938" s="6">
        <f ca="1">IFERROR(__xludf.DUMMYFUNCTION("""COMPUTED_VALUE"""),21879.49)</f>
        <v>21879.49</v>
      </c>
      <c r="R1938" s="6" t="str">
        <f t="shared" ca="1" si="546"/>
        <v>202511</v>
      </c>
      <c r="S1938" s="6">
        <f t="shared" ca="1" si="547"/>
        <v>2025</v>
      </c>
      <c r="T1938" s="6">
        <f t="shared" ca="1" si="548"/>
        <v>11</v>
      </c>
      <c r="U1938" s="68">
        <f ca="1">IFERROR(__xludf.DUMMYFUNCTION("""COMPUTED_VALUE"""),45987.6458333333)</f>
        <v>45987.645833333299</v>
      </c>
      <c r="V1938" s="6">
        <f ca="1">IFERROR(__xludf.DUMMYFUNCTION("""COMPUTED_VALUE"""),3960.87)</f>
        <v>3960.87</v>
      </c>
      <c r="Z1938" s="6" t="str">
        <f t="shared" ca="1" si="549"/>
        <v>20236</v>
      </c>
      <c r="AA1938" s="6">
        <f t="shared" ca="1" si="550"/>
        <v>2023</v>
      </c>
      <c r="AB1938" s="6">
        <f t="shared" ca="1" si="551"/>
        <v>6</v>
      </c>
      <c r="AC1938" s="68">
        <f ca="1">IFERROR(__xludf.DUMMYFUNCTION("""COMPUTED_VALUE"""),45087.9986111111)</f>
        <v>45087.998611111099</v>
      </c>
      <c r="AD1938" s="6">
        <f ca="1">IFERROR(__xludf.DUMMYFUNCTION("""COMPUTED_VALUE"""),1286.86)</f>
        <v>1286.8599999999999</v>
      </c>
      <c r="AH1938" s="6" t="str">
        <f t="shared" ca="1" si="552"/>
        <v>20234</v>
      </c>
      <c r="AI1938" s="6">
        <f t="shared" ca="1" si="553"/>
        <v>2023</v>
      </c>
      <c r="AJ1938" s="6">
        <f t="shared" ca="1" si="554"/>
        <v>4</v>
      </c>
      <c r="AK1938" s="68">
        <f ca="1">IFERROR(__xludf.DUMMYFUNCTION("""COMPUTED_VALUE"""),45031.9986111111)</f>
        <v>45031.998611111099</v>
      </c>
      <c r="AL1938" s="6">
        <f ca="1">IFERROR(__xludf.DUMMYFUNCTION("""COMPUTED_VALUE"""),30312.92)</f>
        <v>30312.92</v>
      </c>
      <c r="AP1938" s="6" t="str">
        <f t="shared" ca="1" si="555"/>
        <v>20259</v>
      </c>
      <c r="AQ1938" s="6">
        <f t="shared" ca="1" si="556"/>
        <v>2025</v>
      </c>
      <c r="AR1938" s="6">
        <f t="shared" ca="1" si="557"/>
        <v>9</v>
      </c>
      <c r="AS1938" s="68">
        <f ca="1">IFERROR(__xludf.DUMMYFUNCTION("""COMPUTED_VALUE"""),45923.9986111111)</f>
        <v>45923.998611111099</v>
      </c>
      <c r="AT1938" s="6">
        <f ca="1">IFERROR(__xludf.DUMMYFUNCTION("""COMPUTED_VALUE"""),3815.7)</f>
        <v>3815.7</v>
      </c>
    </row>
    <row r="1939" spans="2:46" x14ac:dyDescent="0.35">
      <c r="B1939" s="6" t="str">
        <f t="shared" ca="1" si="540"/>
        <v>20259</v>
      </c>
      <c r="C1939" s="6">
        <f t="shared" ca="1" si="541"/>
        <v>2025</v>
      </c>
      <c r="D1939" s="6">
        <f t="shared" ca="1" si="542"/>
        <v>9</v>
      </c>
      <c r="E1939" s="68">
        <f ca="1">IFERROR(__xludf.DUMMYFUNCTION("""COMPUTED_VALUE"""),45917.6666666666)</f>
        <v>45917.666666666599</v>
      </c>
      <c r="F1939" s="6">
        <f ca="1">IFERROR(__xludf.DUMMYFUNCTION("""COMPUTED_VALUE"""),6600.35)</f>
        <v>6600.35</v>
      </c>
      <c r="J1939" s="6" t="str">
        <f t="shared" ca="1" si="543"/>
        <v>20259</v>
      </c>
      <c r="K1939" s="6">
        <f t="shared" ca="1" si="544"/>
        <v>2025</v>
      </c>
      <c r="L1939" s="6">
        <f t="shared" ca="1" si="545"/>
        <v>9</v>
      </c>
      <c r="M1939" s="68">
        <f ca="1">IFERROR(__xludf.DUMMYFUNCTION("""COMPUTED_VALUE"""),45910.6666666666)</f>
        <v>45910.666666666599</v>
      </c>
      <c r="N1939" s="6">
        <f ca="1">IFERROR(__xludf.DUMMYFUNCTION("""COMPUTED_VALUE"""),21886.06)</f>
        <v>21886.06</v>
      </c>
      <c r="R1939" s="6" t="str">
        <f t="shared" ca="1" si="546"/>
        <v>202511</v>
      </c>
      <c r="S1939" s="6">
        <f t="shared" ca="1" si="547"/>
        <v>2025</v>
      </c>
      <c r="T1939" s="6">
        <f t="shared" ca="1" si="548"/>
        <v>11</v>
      </c>
      <c r="U1939" s="68">
        <f ca="1">IFERROR(__xludf.DUMMYFUNCTION("""COMPUTED_VALUE"""),45988.6458333333)</f>
        <v>45988.645833333299</v>
      </c>
      <c r="V1939" s="6">
        <f ca="1">IFERROR(__xludf.DUMMYFUNCTION("""COMPUTED_VALUE"""),3986.91)</f>
        <v>3986.91</v>
      </c>
      <c r="Z1939" s="6" t="str">
        <f t="shared" ca="1" si="549"/>
        <v>20236</v>
      </c>
      <c r="AA1939" s="6">
        <f t="shared" ca="1" si="550"/>
        <v>2023</v>
      </c>
      <c r="AB1939" s="6">
        <f t="shared" ca="1" si="551"/>
        <v>6</v>
      </c>
      <c r="AC1939" s="68">
        <f ca="1">IFERROR(__xludf.DUMMYFUNCTION("""COMPUTED_VALUE"""),45088.9986111111)</f>
        <v>45088.998611111099</v>
      </c>
      <c r="AD1939" s="6">
        <f ca="1">IFERROR(__xludf.DUMMYFUNCTION("""COMPUTED_VALUE"""),1286.69)</f>
        <v>1286.69</v>
      </c>
      <c r="AH1939" s="6" t="str">
        <f t="shared" ca="1" si="552"/>
        <v>20234</v>
      </c>
      <c r="AI1939" s="6">
        <f t="shared" ca="1" si="553"/>
        <v>2023</v>
      </c>
      <c r="AJ1939" s="6">
        <f t="shared" ca="1" si="554"/>
        <v>4</v>
      </c>
      <c r="AK1939" s="68">
        <f ca="1">IFERROR(__xludf.DUMMYFUNCTION("""COMPUTED_VALUE"""),45032.9986111111)</f>
        <v>45032.998611111099</v>
      </c>
      <c r="AL1939" s="6">
        <f ca="1">IFERROR(__xludf.DUMMYFUNCTION("""COMPUTED_VALUE"""),30313.36)</f>
        <v>30313.360000000001</v>
      </c>
      <c r="AP1939" s="6" t="str">
        <f t="shared" ca="1" si="555"/>
        <v>20259</v>
      </c>
      <c r="AQ1939" s="6">
        <f t="shared" ca="1" si="556"/>
        <v>2025</v>
      </c>
      <c r="AR1939" s="6">
        <f t="shared" ca="1" si="557"/>
        <v>9</v>
      </c>
      <c r="AS1939" s="68">
        <f ca="1">IFERROR(__xludf.DUMMYFUNCTION("""COMPUTED_VALUE"""),45924.9986111111)</f>
        <v>45924.998611111099</v>
      </c>
      <c r="AT1939" s="6">
        <f ca="1">IFERROR(__xludf.DUMMYFUNCTION("""COMPUTED_VALUE"""),3768.1)</f>
        <v>3768.1</v>
      </c>
    </row>
    <row r="1940" spans="2:46" x14ac:dyDescent="0.35">
      <c r="B1940" s="6" t="str">
        <f t="shared" ca="1" si="540"/>
        <v>20259</v>
      </c>
      <c r="C1940" s="6">
        <f t="shared" ca="1" si="541"/>
        <v>2025</v>
      </c>
      <c r="D1940" s="6">
        <f t="shared" ca="1" si="542"/>
        <v>9</v>
      </c>
      <c r="E1940" s="68">
        <f ca="1">IFERROR(__xludf.DUMMYFUNCTION("""COMPUTED_VALUE"""),45918.6666666666)</f>
        <v>45918.666666666599</v>
      </c>
      <c r="F1940" s="6">
        <f ca="1">IFERROR(__xludf.DUMMYFUNCTION("""COMPUTED_VALUE"""),6631.96)</f>
        <v>6631.96</v>
      </c>
      <c r="J1940" s="6" t="str">
        <f t="shared" ca="1" si="543"/>
        <v>20259</v>
      </c>
      <c r="K1940" s="6">
        <f t="shared" ca="1" si="544"/>
        <v>2025</v>
      </c>
      <c r="L1940" s="6">
        <f t="shared" ca="1" si="545"/>
        <v>9</v>
      </c>
      <c r="M1940" s="68">
        <f ca="1">IFERROR(__xludf.DUMMYFUNCTION("""COMPUTED_VALUE"""),45911.6666666666)</f>
        <v>45911.666666666599</v>
      </c>
      <c r="N1940" s="6">
        <f ca="1">IFERROR(__xludf.DUMMYFUNCTION("""COMPUTED_VALUE"""),22043.08)</f>
        <v>22043.08</v>
      </c>
      <c r="R1940" s="6" t="str">
        <f t="shared" ca="1" si="546"/>
        <v>202511</v>
      </c>
      <c r="S1940" s="6">
        <f t="shared" ca="1" si="547"/>
        <v>2025</v>
      </c>
      <c r="T1940" s="6">
        <f t="shared" ca="1" si="548"/>
        <v>11</v>
      </c>
      <c r="U1940" s="68">
        <f ca="1">IFERROR(__xludf.DUMMYFUNCTION("""COMPUTED_VALUE"""),45989.6458333333)</f>
        <v>45989.645833333299</v>
      </c>
      <c r="V1940" s="6">
        <f ca="1">IFERROR(__xludf.DUMMYFUNCTION("""COMPUTED_VALUE"""),3926.59)</f>
        <v>3926.59</v>
      </c>
      <c r="Z1940" s="6" t="str">
        <f t="shared" ca="1" si="549"/>
        <v>20236</v>
      </c>
      <c r="AA1940" s="6">
        <f t="shared" ca="1" si="550"/>
        <v>2023</v>
      </c>
      <c r="AB1940" s="6">
        <f t="shared" ca="1" si="551"/>
        <v>6</v>
      </c>
      <c r="AC1940" s="68">
        <f ca="1">IFERROR(__xludf.DUMMYFUNCTION("""COMPUTED_VALUE"""),45089.9986111111)</f>
        <v>45089.998611111099</v>
      </c>
      <c r="AD1940" s="6">
        <f ca="1">IFERROR(__xludf.DUMMYFUNCTION("""COMPUTED_VALUE"""),1284.58)</f>
        <v>1284.58</v>
      </c>
      <c r="AH1940" s="6" t="str">
        <f t="shared" ca="1" si="552"/>
        <v>20234</v>
      </c>
      <c r="AI1940" s="6">
        <f t="shared" ca="1" si="553"/>
        <v>2023</v>
      </c>
      <c r="AJ1940" s="6">
        <f t="shared" ca="1" si="554"/>
        <v>4</v>
      </c>
      <c r="AK1940" s="68">
        <f ca="1">IFERROR(__xludf.DUMMYFUNCTION("""COMPUTED_VALUE"""),45033.9986111111)</f>
        <v>45033.998611111099</v>
      </c>
      <c r="AL1940" s="6">
        <f ca="1">IFERROR(__xludf.DUMMYFUNCTION("""COMPUTED_VALUE"""),29443.38)</f>
        <v>29443.38</v>
      </c>
      <c r="AP1940" s="6" t="str">
        <f t="shared" ca="1" si="555"/>
        <v>20259</v>
      </c>
      <c r="AQ1940" s="6">
        <f t="shared" ca="1" si="556"/>
        <v>2025</v>
      </c>
      <c r="AR1940" s="6">
        <f t="shared" ca="1" si="557"/>
        <v>9</v>
      </c>
      <c r="AS1940" s="68">
        <f ca="1">IFERROR(__xludf.DUMMYFUNCTION("""COMPUTED_VALUE"""),45925.9986111111)</f>
        <v>45925.998611111099</v>
      </c>
      <c r="AT1940" s="6">
        <f ca="1">IFERROR(__xludf.DUMMYFUNCTION("""COMPUTED_VALUE"""),3771.1)</f>
        <v>3771.1</v>
      </c>
    </row>
    <row r="1941" spans="2:46" x14ac:dyDescent="0.35">
      <c r="B1941" s="6" t="str">
        <f t="shared" ca="1" si="540"/>
        <v>20259</v>
      </c>
      <c r="C1941" s="6">
        <f t="shared" ca="1" si="541"/>
        <v>2025</v>
      </c>
      <c r="D1941" s="6">
        <f t="shared" ca="1" si="542"/>
        <v>9</v>
      </c>
      <c r="E1941" s="68">
        <f ca="1">IFERROR(__xludf.DUMMYFUNCTION("""COMPUTED_VALUE"""),45919.6666666666)</f>
        <v>45919.666666666599</v>
      </c>
      <c r="F1941" s="6">
        <f ca="1">IFERROR(__xludf.DUMMYFUNCTION("""COMPUTED_VALUE"""),6664.36)</f>
        <v>6664.36</v>
      </c>
      <c r="J1941" s="6" t="str">
        <f t="shared" ca="1" si="543"/>
        <v>20259</v>
      </c>
      <c r="K1941" s="6">
        <f t="shared" ca="1" si="544"/>
        <v>2025</v>
      </c>
      <c r="L1941" s="6">
        <f t="shared" ca="1" si="545"/>
        <v>9</v>
      </c>
      <c r="M1941" s="68">
        <f ca="1">IFERROR(__xludf.DUMMYFUNCTION("""COMPUTED_VALUE"""),45912.6666666666)</f>
        <v>45912.666666666599</v>
      </c>
      <c r="N1941" s="6">
        <f ca="1">IFERROR(__xludf.DUMMYFUNCTION("""COMPUTED_VALUE"""),22141.1)</f>
        <v>22141.1</v>
      </c>
      <c r="R1941" s="6" t="str">
        <f t="shared" ca="1" si="546"/>
        <v>202512</v>
      </c>
      <c r="S1941" s="6">
        <f t="shared" ca="1" si="547"/>
        <v>2025</v>
      </c>
      <c r="T1941" s="6">
        <f t="shared" ca="1" si="548"/>
        <v>12</v>
      </c>
      <c r="U1941" s="68">
        <f ca="1">IFERROR(__xludf.DUMMYFUNCTION("""COMPUTED_VALUE"""),45992.6458333333)</f>
        <v>45992.645833333299</v>
      </c>
      <c r="V1941" s="6">
        <f ca="1">IFERROR(__xludf.DUMMYFUNCTION("""COMPUTED_VALUE"""),3920.37)</f>
        <v>3920.37</v>
      </c>
      <c r="Z1941" s="6" t="str">
        <f t="shared" ca="1" si="549"/>
        <v>20236</v>
      </c>
      <c r="AA1941" s="6">
        <f t="shared" ca="1" si="550"/>
        <v>2023</v>
      </c>
      <c r="AB1941" s="6">
        <f t="shared" ca="1" si="551"/>
        <v>6</v>
      </c>
      <c r="AC1941" s="68">
        <f ca="1">IFERROR(__xludf.DUMMYFUNCTION("""COMPUTED_VALUE"""),45090.9986111111)</f>
        <v>45090.998611111099</v>
      </c>
      <c r="AD1941" s="6">
        <f ca="1">IFERROR(__xludf.DUMMYFUNCTION("""COMPUTED_VALUE"""),1267.62)</f>
        <v>1267.6199999999999</v>
      </c>
      <c r="AH1941" s="6" t="str">
        <f t="shared" ca="1" si="552"/>
        <v>20234</v>
      </c>
      <c r="AI1941" s="6">
        <f t="shared" ca="1" si="553"/>
        <v>2023</v>
      </c>
      <c r="AJ1941" s="6">
        <f t="shared" ca="1" si="554"/>
        <v>4</v>
      </c>
      <c r="AK1941" s="68">
        <f ca="1">IFERROR(__xludf.DUMMYFUNCTION("""COMPUTED_VALUE"""),45034.9986111111)</f>
        <v>45034.998611111099</v>
      </c>
      <c r="AL1941" s="6">
        <f ca="1">IFERROR(__xludf.DUMMYFUNCTION("""COMPUTED_VALUE"""),30389.2)</f>
        <v>30389.200000000001</v>
      </c>
      <c r="AP1941" s="6" t="str">
        <f t="shared" ca="1" si="555"/>
        <v>20259</v>
      </c>
      <c r="AQ1941" s="6">
        <f t="shared" ca="1" si="556"/>
        <v>2025</v>
      </c>
      <c r="AR1941" s="6">
        <f t="shared" ca="1" si="557"/>
        <v>9</v>
      </c>
      <c r="AS1941" s="68">
        <f ca="1">IFERROR(__xludf.DUMMYFUNCTION("""COMPUTED_VALUE"""),45926.9986111111)</f>
        <v>45926.998611111099</v>
      </c>
      <c r="AT1941" s="6">
        <f ca="1">IFERROR(__xludf.DUMMYFUNCTION("""COMPUTED_VALUE"""),3809)</f>
        <v>3809</v>
      </c>
    </row>
    <row r="1942" spans="2:46" x14ac:dyDescent="0.35">
      <c r="B1942" s="6" t="str">
        <f t="shared" ca="1" si="540"/>
        <v>20259</v>
      </c>
      <c r="C1942" s="6">
        <f t="shared" ca="1" si="541"/>
        <v>2025</v>
      </c>
      <c r="D1942" s="6">
        <f t="shared" ca="1" si="542"/>
        <v>9</v>
      </c>
      <c r="E1942" s="68">
        <f ca="1">IFERROR(__xludf.DUMMYFUNCTION("""COMPUTED_VALUE"""),45922.6666666666)</f>
        <v>45922.666666666599</v>
      </c>
      <c r="F1942" s="6">
        <f ca="1">IFERROR(__xludf.DUMMYFUNCTION("""COMPUTED_VALUE"""),6693.75)</f>
        <v>6693.75</v>
      </c>
      <c r="J1942" s="6" t="str">
        <f t="shared" ca="1" si="543"/>
        <v>20259</v>
      </c>
      <c r="K1942" s="6">
        <f t="shared" ca="1" si="544"/>
        <v>2025</v>
      </c>
      <c r="L1942" s="6">
        <f t="shared" ca="1" si="545"/>
        <v>9</v>
      </c>
      <c r="M1942" s="68">
        <f ca="1">IFERROR(__xludf.DUMMYFUNCTION("""COMPUTED_VALUE"""),45915.6666666666)</f>
        <v>45915.666666666599</v>
      </c>
      <c r="N1942" s="6">
        <f ca="1">IFERROR(__xludf.DUMMYFUNCTION("""COMPUTED_VALUE"""),22348.75)</f>
        <v>22348.75</v>
      </c>
      <c r="R1942" s="6" t="str">
        <f t="shared" ca="1" si="546"/>
        <v>202512</v>
      </c>
      <c r="S1942" s="6">
        <f t="shared" ca="1" si="547"/>
        <v>2025</v>
      </c>
      <c r="T1942" s="6">
        <f t="shared" ca="1" si="548"/>
        <v>12</v>
      </c>
      <c r="U1942" s="68">
        <f ca="1">IFERROR(__xludf.DUMMYFUNCTION("""COMPUTED_VALUE"""),45993.6458333333)</f>
        <v>45993.645833333299</v>
      </c>
      <c r="V1942" s="6">
        <f ca="1">IFERROR(__xludf.DUMMYFUNCTION("""COMPUTED_VALUE"""),3994.93)</f>
        <v>3994.93</v>
      </c>
      <c r="Z1942" s="6" t="str">
        <f t="shared" ca="1" si="549"/>
        <v>20236</v>
      </c>
      <c r="AA1942" s="6">
        <f t="shared" ca="1" si="550"/>
        <v>2023</v>
      </c>
      <c r="AB1942" s="6">
        <f t="shared" ca="1" si="551"/>
        <v>6</v>
      </c>
      <c r="AC1942" s="68">
        <f ca="1">IFERROR(__xludf.DUMMYFUNCTION("""COMPUTED_VALUE"""),45091.9986111111)</f>
        <v>45091.998611111099</v>
      </c>
      <c r="AD1942" s="6">
        <f ca="1">IFERROR(__xludf.DUMMYFUNCTION("""COMPUTED_VALUE"""),1273.99)</f>
        <v>1273.99</v>
      </c>
      <c r="AH1942" s="6" t="str">
        <f t="shared" ca="1" si="552"/>
        <v>20234</v>
      </c>
      <c r="AI1942" s="6">
        <f t="shared" ca="1" si="553"/>
        <v>2023</v>
      </c>
      <c r="AJ1942" s="6">
        <f t="shared" ca="1" si="554"/>
        <v>4</v>
      </c>
      <c r="AK1942" s="68">
        <f ca="1">IFERROR(__xludf.DUMMYFUNCTION("""COMPUTED_VALUE"""),45035.9986111111)</f>
        <v>45035.998611111099</v>
      </c>
      <c r="AL1942" s="6">
        <f ca="1">IFERROR(__xludf.DUMMYFUNCTION("""COMPUTED_VALUE"""),28816.74)</f>
        <v>28816.74</v>
      </c>
      <c r="AP1942" s="6" t="str">
        <f t="shared" ca="1" si="555"/>
        <v>20259</v>
      </c>
      <c r="AQ1942" s="6">
        <f t="shared" ca="1" si="556"/>
        <v>2025</v>
      </c>
      <c r="AR1942" s="6">
        <f t="shared" ca="1" si="557"/>
        <v>9</v>
      </c>
      <c r="AS1942" s="68">
        <f ca="1">IFERROR(__xludf.DUMMYFUNCTION("""COMPUTED_VALUE"""),45929.9986111111)</f>
        <v>45929.998611111099</v>
      </c>
      <c r="AT1942" s="6">
        <f ca="1">IFERROR(__xludf.DUMMYFUNCTION("""COMPUTED_VALUE"""),3855.2)</f>
        <v>3855.2</v>
      </c>
    </row>
    <row r="1943" spans="2:46" x14ac:dyDescent="0.35">
      <c r="B1943" s="6" t="str">
        <f t="shared" ca="1" si="540"/>
        <v>20259</v>
      </c>
      <c r="C1943" s="6">
        <f t="shared" ca="1" si="541"/>
        <v>2025</v>
      </c>
      <c r="D1943" s="6">
        <f t="shared" ca="1" si="542"/>
        <v>9</v>
      </c>
      <c r="E1943" s="68">
        <f ca="1">IFERROR(__xludf.DUMMYFUNCTION("""COMPUTED_VALUE"""),45923.6666666666)</f>
        <v>45923.666666666599</v>
      </c>
      <c r="F1943" s="6">
        <f ca="1">IFERROR(__xludf.DUMMYFUNCTION("""COMPUTED_VALUE"""),6656.92)</f>
        <v>6656.92</v>
      </c>
      <c r="J1943" s="6" t="str">
        <f t="shared" ca="1" si="543"/>
        <v>20259</v>
      </c>
      <c r="K1943" s="6">
        <f t="shared" ca="1" si="544"/>
        <v>2025</v>
      </c>
      <c r="L1943" s="6">
        <f t="shared" ca="1" si="545"/>
        <v>9</v>
      </c>
      <c r="M1943" s="68">
        <f ca="1">IFERROR(__xludf.DUMMYFUNCTION("""COMPUTED_VALUE"""),45916.6666666666)</f>
        <v>45916.666666666599</v>
      </c>
      <c r="N1943" s="6">
        <f ca="1">IFERROR(__xludf.DUMMYFUNCTION("""COMPUTED_VALUE"""),22333.96)</f>
        <v>22333.96</v>
      </c>
      <c r="R1943" s="6" t="str">
        <f t="shared" ca="1" si="546"/>
        <v>202512</v>
      </c>
      <c r="S1943" s="6">
        <f t="shared" ca="1" si="547"/>
        <v>2025</v>
      </c>
      <c r="T1943" s="6">
        <f t="shared" ca="1" si="548"/>
        <v>12</v>
      </c>
      <c r="U1943" s="68">
        <f ca="1">IFERROR(__xludf.DUMMYFUNCTION("""COMPUTED_VALUE"""),45994.6458333333)</f>
        <v>45994.645833333299</v>
      </c>
      <c r="V1943" s="6">
        <f ca="1">IFERROR(__xludf.DUMMYFUNCTION("""COMPUTED_VALUE"""),4036.3)</f>
        <v>4036.3</v>
      </c>
      <c r="Z1943" s="6" t="str">
        <f t="shared" ca="1" si="549"/>
        <v>20236</v>
      </c>
      <c r="AA1943" s="6">
        <f t="shared" ca="1" si="550"/>
        <v>2023</v>
      </c>
      <c r="AB1943" s="6">
        <f t="shared" ca="1" si="551"/>
        <v>6</v>
      </c>
      <c r="AC1943" s="68">
        <f ca="1">IFERROR(__xludf.DUMMYFUNCTION("""COMPUTED_VALUE"""),45092.9986111111)</f>
        <v>45092.998611111099</v>
      </c>
      <c r="AD1943" s="6">
        <f ca="1">IFERROR(__xludf.DUMMYFUNCTION("""COMPUTED_VALUE"""),1270.05)</f>
        <v>1270.05</v>
      </c>
      <c r="AH1943" s="6" t="str">
        <f t="shared" ca="1" si="552"/>
        <v>20234</v>
      </c>
      <c r="AI1943" s="6">
        <f t="shared" ca="1" si="553"/>
        <v>2023</v>
      </c>
      <c r="AJ1943" s="6">
        <f t="shared" ca="1" si="554"/>
        <v>4</v>
      </c>
      <c r="AK1943" s="68">
        <f ca="1">IFERROR(__xludf.DUMMYFUNCTION("""COMPUTED_VALUE"""),45036.9986111111)</f>
        <v>45036.998611111099</v>
      </c>
      <c r="AL1943" s="6">
        <f ca="1">IFERROR(__xludf.DUMMYFUNCTION("""COMPUTED_VALUE"""),28238.7)</f>
        <v>28238.7</v>
      </c>
      <c r="AP1943" s="6" t="str">
        <f t="shared" ca="1" si="555"/>
        <v>20259</v>
      </c>
      <c r="AQ1943" s="6">
        <f t="shared" ca="1" si="556"/>
        <v>2025</v>
      </c>
      <c r="AR1943" s="6">
        <f t="shared" ca="1" si="557"/>
        <v>9</v>
      </c>
      <c r="AS1943" s="68">
        <f ca="1">IFERROR(__xludf.DUMMYFUNCTION("""COMPUTED_VALUE"""),45930.9986111111)</f>
        <v>45930.998611111099</v>
      </c>
      <c r="AT1943" s="6">
        <f ca="1">IFERROR(__xludf.DUMMYFUNCTION("""COMPUTED_VALUE"""),3873.2)</f>
        <v>3873.2</v>
      </c>
    </row>
    <row r="1944" spans="2:46" x14ac:dyDescent="0.35">
      <c r="B1944" s="6" t="str">
        <f t="shared" ca="1" si="540"/>
        <v>20259</v>
      </c>
      <c r="C1944" s="6">
        <f t="shared" ca="1" si="541"/>
        <v>2025</v>
      </c>
      <c r="D1944" s="6">
        <f t="shared" ca="1" si="542"/>
        <v>9</v>
      </c>
      <c r="E1944" s="68">
        <f ca="1">IFERROR(__xludf.DUMMYFUNCTION("""COMPUTED_VALUE"""),45924.6666666666)</f>
        <v>45924.666666666599</v>
      </c>
      <c r="F1944" s="6">
        <f ca="1">IFERROR(__xludf.DUMMYFUNCTION("""COMPUTED_VALUE"""),6637.97)</f>
        <v>6637.97</v>
      </c>
      <c r="J1944" s="6" t="str">
        <f t="shared" ca="1" si="543"/>
        <v>20259</v>
      </c>
      <c r="K1944" s="6">
        <f t="shared" ca="1" si="544"/>
        <v>2025</v>
      </c>
      <c r="L1944" s="6">
        <f t="shared" ca="1" si="545"/>
        <v>9</v>
      </c>
      <c r="M1944" s="68">
        <f ca="1">IFERROR(__xludf.DUMMYFUNCTION("""COMPUTED_VALUE"""),45917.6666666666)</f>
        <v>45917.666666666599</v>
      </c>
      <c r="N1944" s="6">
        <f ca="1">IFERROR(__xludf.DUMMYFUNCTION("""COMPUTED_VALUE"""),22261.33)</f>
        <v>22261.33</v>
      </c>
      <c r="R1944" s="6" t="str">
        <f t="shared" ca="1" si="546"/>
        <v>202512</v>
      </c>
      <c r="S1944" s="6">
        <f t="shared" ca="1" si="547"/>
        <v>2025</v>
      </c>
      <c r="T1944" s="6">
        <f t="shared" ca="1" si="548"/>
        <v>12</v>
      </c>
      <c r="U1944" s="68">
        <f ca="1">IFERROR(__xludf.DUMMYFUNCTION("""COMPUTED_VALUE"""),45995.6458333333)</f>
        <v>45995.645833333299</v>
      </c>
      <c r="V1944" s="6">
        <f ca="1">IFERROR(__xludf.DUMMYFUNCTION("""COMPUTED_VALUE"""),4028.51)</f>
        <v>4028.51</v>
      </c>
      <c r="Z1944" s="6" t="str">
        <f t="shared" ca="1" si="549"/>
        <v>20236</v>
      </c>
      <c r="AA1944" s="6">
        <f t="shared" ca="1" si="550"/>
        <v>2023</v>
      </c>
      <c r="AB1944" s="6">
        <f t="shared" ca="1" si="551"/>
        <v>6</v>
      </c>
      <c r="AC1944" s="68">
        <f ca="1">IFERROR(__xludf.DUMMYFUNCTION("""COMPUTED_VALUE"""),45093.9986111111)</f>
        <v>45093.998611111099</v>
      </c>
      <c r="AD1944" s="6">
        <f ca="1">IFERROR(__xludf.DUMMYFUNCTION("""COMPUTED_VALUE"""),1276.2)</f>
        <v>1276.2</v>
      </c>
      <c r="AH1944" s="6" t="str">
        <f t="shared" ca="1" si="552"/>
        <v>20234</v>
      </c>
      <c r="AI1944" s="6">
        <f t="shared" ca="1" si="553"/>
        <v>2023</v>
      </c>
      <c r="AJ1944" s="6">
        <f t="shared" ca="1" si="554"/>
        <v>4</v>
      </c>
      <c r="AK1944" s="68">
        <f ca="1">IFERROR(__xludf.DUMMYFUNCTION("""COMPUTED_VALUE"""),45037.9986111111)</f>
        <v>45037.998611111099</v>
      </c>
      <c r="AL1944" s="6">
        <f ca="1">IFERROR(__xludf.DUMMYFUNCTION("""COMPUTED_VALUE"""),27260.15)</f>
        <v>27260.15</v>
      </c>
      <c r="AP1944" s="6" t="str">
        <f t="shared" ca="1" si="555"/>
        <v>202510</v>
      </c>
      <c r="AQ1944" s="6">
        <f t="shared" ca="1" si="556"/>
        <v>2025</v>
      </c>
      <c r="AR1944" s="6">
        <f t="shared" ca="1" si="557"/>
        <v>10</v>
      </c>
      <c r="AS1944" s="68">
        <f ca="1">IFERROR(__xludf.DUMMYFUNCTION("""COMPUTED_VALUE"""),45931.9986111111)</f>
        <v>45931.998611111099</v>
      </c>
      <c r="AT1944" s="6">
        <f ca="1">IFERROR(__xludf.DUMMYFUNCTION("""COMPUTED_VALUE"""),3897.5)</f>
        <v>3897.5</v>
      </c>
    </row>
    <row r="1945" spans="2:46" x14ac:dyDescent="0.35">
      <c r="B1945" s="6" t="str">
        <f t="shared" ca="1" si="540"/>
        <v>20259</v>
      </c>
      <c r="C1945" s="6">
        <f t="shared" ca="1" si="541"/>
        <v>2025</v>
      </c>
      <c r="D1945" s="6">
        <f t="shared" ca="1" si="542"/>
        <v>9</v>
      </c>
      <c r="E1945" s="68">
        <f ca="1">IFERROR(__xludf.DUMMYFUNCTION("""COMPUTED_VALUE"""),45925.6666666666)</f>
        <v>45925.666666666599</v>
      </c>
      <c r="F1945" s="6">
        <f ca="1">IFERROR(__xludf.DUMMYFUNCTION("""COMPUTED_VALUE"""),6604.72)</f>
        <v>6604.72</v>
      </c>
      <c r="J1945" s="6" t="str">
        <f t="shared" ca="1" si="543"/>
        <v>20259</v>
      </c>
      <c r="K1945" s="6">
        <f t="shared" ca="1" si="544"/>
        <v>2025</v>
      </c>
      <c r="L1945" s="6">
        <f t="shared" ca="1" si="545"/>
        <v>9</v>
      </c>
      <c r="M1945" s="68">
        <f ca="1">IFERROR(__xludf.DUMMYFUNCTION("""COMPUTED_VALUE"""),45918.6666666666)</f>
        <v>45918.666666666599</v>
      </c>
      <c r="N1945" s="6">
        <f ca="1">IFERROR(__xludf.DUMMYFUNCTION("""COMPUTED_VALUE"""),22470.73)</f>
        <v>22470.73</v>
      </c>
      <c r="R1945" s="6" t="str">
        <f t="shared" ca="1" si="546"/>
        <v>202512</v>
      </c>
      <c r="S1945" s="6">
        <f t="shared" ca="1" si="547"/>
        <v>2025</v>
      </c>
      <c r="T1945" s="6">
        <f t="shared" ca="1" si="548"/>
        <v>12</v>
      </c>
      <c r="U1945" s="68">
        <f ca="1">IFERROR(__xludf.DUMMYFUNCTION("""COMPUTED_VALUE"""),45996.6458333333)</f>
        <v>45996.645833333299</v>
      </c>
      <c r="V1945" s="6">
        <f ca="1">IFERROR(__xludf.DUMMYFUNCTION("""COMPUTED_VALUE"""),4100.05)</f>
        <v>4100.05</v>
      </c>
      <c r="Z1945" s="6" t="str">
        <f t="shared" ca="1" si="549"/>
        <v>20236</v>
      </c>
      <c r="AA1945" s="6">
        <f t="shared" ca="1" si="550"/>
        <v>2023</v>
      </c>
      <c r="AB1945" s="6">
        <f t="shared" ca="1" si="551"/>
        <v>6</v>
      </c>
      <c r="AC1945" s="68">
        <f ca="1">IFERROR(__xludf.DUMMYFUNCTION("""COMPUTED_VALUE"""),45094.9986111111)</f>
        <v>45094.998611111099</v>
      </c>
      <c r="AD1945" s="6">
        <f ca="1">IFERROR(__xludf.DUMMYFUNCTION("""COMPUTED_VALUE"""),1276.2)</f>
        <v>1276.2</v>
      </c>
      <c r="AH1945" s="6" t="str">
        <f t="shared" ca="1" si="552"/>
        <v>20234</v>
      </c>
      <c r="AI1945" s="6">
        <f t="shared" ca="1" si="553"/>
        <v>2023</v>
      </c>
      <c r="AJ1945" s="6">
        <f t="shared" ca="1" si="554"/>
        <v>4</v>
      </c>
      <c r="AK1945" s="68">
        <f ca="1">IFERROR(__xludf.DUMMYFUNCTION("""COMPUTED_VALUE"""),45038.9986111111)</f>
        <v>45038.998611111099</v>
      </c>
      <c r="AL1945" s="6">
        <f ca="1">IFERROR(__xludf.DUMMYFUNCTION("""COMPUTED_VALUE"""),27816.5)</f>
        <v>27816.5</v>
      </c>
      <c r="AP1945" s="6" t="str">
        <f t="shared" ca="1" si="555"/>
        <v>202510</v>
      </c>
      <c r="AQ1945" s="6">
        <f t="shared" ca="1" si="556"/>
        <v>2025</v>
      </c>
      <c r="AR1945" s="6">
        <f t="shared" ca="1" si="557"/>
        <v>10</v>
      </c>
      <c r="AS1945" s="68">
        <f ca="1">IFERROR(__xludf.DUMMYFUNCTION("""COMPUTED_VALUE"""),45932.9986111111)</f>
        <v>45932.998611111099</v>
      </c>
      <c r="AT1945" s="6">
        <f ca="1">IFERROR(__xludf.DUMMYFUNCTION("""COMPUTED_VALUE"""),3868.1)</f>
        <v>3868.1</v>
      </c>
    </row>
    <row r="1946" spans="2:46" x14ac:dyDescent="0.35">
      <c r="B1946" s="6" t="str">
        <f t="shared" ca="1" si="540"/>
        <v>20259</v>
      </c>
      <c r="C1946" s="6">
        <f t="shared" ca="1" si="541"/>
        <v>2025</v>
      </c>
      <c r="D1946" s="6">
        <f t="shared" ca="1" si="542"/>
        <v>9</v>
      </c>
      <c r="E1946" s="68">
        <f ca="1">IFERROR(__xludf.DUMMYFUNCTION("""COMPUTED_VALUE"""),45926.6666666666)</f>
        <v>45926.666666666599</v>
      </c>
      <c r="F1946" s="6">
        <f ca="1">IFERROR(__xludf.DUMMYFUNCTION("""COMPUTED_VALUE"""),6643.7)</f>
        <v>6643.7</v>
      </c>
      <c r="J1946" s="6" t="str">
        <f t="shared" ca="1" si="543"/>
        <v>20259</v>
      </c>
      <c r="K1946" s="6">
        <f t="shared" ca="1" si="544"/>
        <v>2025</v>
      </c>
      <c r="L1946" s="6">
        <f t="shared" ca="1" si="545"/>
        <v>9</v>
      </c>
      <c r="M1946" s="68">
        <f ca="1">IFERROR(__xludf.DUMMYFUNCTION("""COMPUTED_VALUE"""),45919.6666666666)</f>
        <v>45919.666666666599</v>
      </c>
      <c r="N1946" s="6">
        <f ca="1">IFERROR(__xludf.DUMMYFUNCTION("""COMPUTED_VALUE"""),22631.48)</f>
        <v>22631.48</v>
      </c>
      <c r="R1946" s="6" t="str">
        <f t="shared" ca="1" si="546"/>
        <v>202512</v>
      </c>
      <c r="S1946" s="6">
        <f t="shared" ca="1" si="547"/>
        <v>2025</v>
      </c>
      <c r="T1946" s="6">
        <f t="shared" ca="1" si="548"/>
        <v>12</v>
      </c>
      <c r="U1946" s="68">
        <f ca="1">IFERROR(__xludf.DUMMYFUNCTION("""COMPUTED_VALUE"""),45999.6458333333)</f>
        <v>45999.645833333299</v>
      </c>
      <c r="V1946" s="6">
        <f ca="1">IFERROR(__xludf.DUMMYFUNCTION("""COMPUTED_VALUE"""),4154.85)</f>
        <v>4154.8500000000004</v>
      </c>
      <c r="Z1946" s="6" t="str">
        <f t="shared" ca="1" si="549"/>
        <v>20236</v>
      </c>
      <c r="AA1946" s="6">
        <f t="shared" ca="1" si="550"/>
        <v>2023</v>
      </c>
      <c r="AB1946" s="6">
        <f t="shared" ca="1" si="551"/>
        <v>6</v>
      </c>
      <c r="AC1946" s="68">
        <f ca="1">IFERROR(__xludf.DUMMYFUNCTION("""COMPUTED_VALUE"""),45095.9986111111)</f>
        <v>45095.998611111099</v>
      </c>
      <c r="AD1946" s="6">
        <f ca="1">IFERROR(__xludf.DUMMYFUNCTION("""COMPUTED_VALUE"""),1276.31)</f>
        <v>1276.31</v>
      </c>
      <c r="AH1946" s="6" t="str">
        <f t="shared" ca="1" si="552"/>
        <v>20234</v>
      </c>
      <c r="AI1946" s="6">
        <f t="shared" ca="1" si="553"/>
        <v>2023</v>
      </c>
      <c r="AJ1946" s="6">
        <f t="shared" ca="1" si="554"/>
        <v>4</v>
      </c>
      <c r="AK1946" s="68">
        <f ca="1">IFERROR(__xludf.DUMMYFUNCTION("""COMPUTED_VALUE"""),45039.9986111111)</f>
        <v>45039.998611111099</v>
      </c>
      <c r="AL1946" s="6">
        <f ca="1">IFERROR(__xludf.DUMMYFUNCTION("""COMPUTED_VALUE"""),27591.99)</f>
        <v>27591.99</v>
      </c>
      <c r="AP1946" s="6" t="str">
        <f t="shared" ca="1" si="555"/>
        <v>202510</v>
      </c>
      <c r="AQ1946" s="6">
        <f t="shared" ca="1" si="556"/>
        <v>2025</v>
      </c>
      <c r="AR1946" s="6">
        <f t="shared" ca="1" si="557"/>
        <v>10</v>
      </c>
      <c r="AS1946" s="68">
        <f ca="1">IFERROR(__xludf.DUMMYFUNCTION("""COMPUTED_VALUE"""),45933.9986111111)</f>
        <v>45933.998611111099</v>
      </c>
      <c r="AT1946" s="6">
        <f ca="1">IFERROR(__xludf.DUMMYFUNCTION("""COMPUTED_VALUE"""),3908.9)</f>
        <v>3908.9</v>
      </c>
    </row>
    <row r="1947" spans="2:46" x14ac:dyDescent="0.35">
      <c r="B1947" s="6" t="str">
        <f t="shared" ca="1" si="540"/>
        <v>20259</v>
      </c>
      <c r="C1947" s="6">
        <f t="shared" ca="1" si="541"/>
        <v>2025</v>
      </c>
      <c r="D1947" s="6">
        <f t="shared" ca="1" si="542"/>
        <v>9</v>
      </c>
      <c r="E1947" s="68">
        <f ca="1">IFERROR(__xludf.DUMMYFUNCTION("""COMPUTED_VALUE"""),45929.6666666666)</f>
        <v>45929.666666666599</v>
      </c>
      <c r="F1947" s="6">
        <f ca="1">IFERROR(__xludf.DUMMYFUNCTION("""COMPUTED_VALUE"""),6661.21)</f>
        <v>6661.21</v>
      </c>
      <c r="J1947" s="6" t="str">
        <f t="shared" ca="1" si="543"/>
        <v>20259</v>
      </c>
      <c r="K1947" s="6">
        <f t="shared" ca="1" si="544"/>
        <v>2025</v>
      </c>
      <c r="L1947" s="6">
        <f t="shared" ca="1" si="545"/>
        <v>9</v>
      </c>
      <c r="M1947" s="68">
        <f ca="1">IFERROR(__xludf.DUMMYFUNCTION("""COMPUTED_VALUE"""),45922.6666666666)</f>
        <v>45922.666666666599</v>
      </c>
      <c r="N1947" s="6">
        <f ca="1">IFERROR(__xludf.DUMMYFUNCTION("""COMPUTED_VALUE"""),22788.98)</f>
        <v>22788.98</v>
      </c>
      <c r="R1947" s="6" t="str">
        <f t="shared" ca="1" si="546"/>
        <v>202512</v>
      </c>
      <c r="S1947" s="6">
        <f t="shared" ca="1" si="547"/>
        <v>2025</v>
      </c>
      <c r="T1947" s="6">
        <f t="shared" ca="1" si="548"/>
        <v>12</v>
      </c>
      <c r="U1947" s="68">
        <f ca="1">IFERROR(__xludf.DUMMYFUNCTION("""COMPUTED_VALUE"""),46000.6458333333)</f>
        <v>46000.645833333299</v>
      </c>
      <c r="V1947" s="6">
        <f ca="1">IFERROR(__xludf.DUMMYFUNCTION("""COMPUTED_VALUE"""),4143.55)</f>
        <v>4143.55</v>
      </c>
      <c r="Z1947" s="6" t="str">
        <f t="shared" ca="1" si="549"/>
        <v>20236</v>
      </c>
      <c r="AA1947" s="6">
        <f t="shared" ca="1" si="550"/>
        <v>2023</v>
      </c>
      <c r="AB1947" s="6">
        <f t="shared" ca="1" si="551"/>
        <v>6</v>
      </c>
      <c r="AC1947" s="68">
        <f ca="1">IFERROR(__xludf.DUMMYFUNCTION("""COMPUTED_VALUE"""),45096.9986111111)</f>
        <v>45096.998611111099</v>
      </c>
      <c r="AD1947" s="6">
        <f ca="1">IFERROR(__xludf.DUMMYFUNCTION("""COMPUTED_VALUE"""),1283.24)</f>
        <v>1283.24</v>
      </c>
      <c r="AH1947" s="6" t="str">
        <f t="shared" ca="1" si="552"/>
        <v>20234</v>
      </c>
      <c r="AI1947" s="6">
        <f t="shared" ca="1" si="553"/>
        <v>2023</v>
      </c>
      <c r="AJ1947" s="6">
        <f t="shared" ca="1" si="554"/>
        <v>4</v>
      </c>
      <c r="AK1947" s="68">
        <f ca="1">IFERROR(__xludf.DUMMYFUNCTION("""COMPUTED_VALUE"""),45040.9986111111)</f>
        <v>45040.998611111099</v>
      </c>
      <c r="AL1947" s="6">
        <f ca="1">IFERROR(__xludf.DUMMYFUNCTION("""COMPUTED_VALUE"""),27514.24)</f>
        <v>27514.240000000002</v>
      </c>
      <c r="AP1947" s="6" t="str">
        <f t="shared" ca="1" si="555"/>
        <v>202510</v>
      </c>
      <c r="AQ1947" s="6">
        <f t="shared" ca="1" si="556"/>
        <v>2025</v>
      </c>
      <c r="AR1947" s="6">
        <f t="shared" ca="1" si="557"/>
        <v>10</v>
      </c>
      <c r="AS1947" s="68">
        <f ca="1">IFERROR(__xludf.DUMMYFUNCTION("""COMPUTED_VALUE"""),45936.9986111111)</f>
        <v>45936.998611111099</v>
      </c>
      <c r="AT1947" s="6">
        <f ca="1">IFERROR(__xludf.DUMMYFUNCTION("""COMPUTED_VALUE"""),3976.3)</f>
        <v>3976.3</v>
      </c>
    </row>
    <row r="1948" spans="2:46" x14ac:dyDescent="0.35">
      <c r="B1948" s="6" t="str">
        <f t="shared" ca="1" si="540"/>
        <v>20259</v>
      </c>
      <c r="C1948" s="6">
        <f t="shared" ca="1" si="541"/>
        <v>2025</v>
      </c>
      <c r="D1948" s="6">
        <f t="shared" ca="1" si="542"/>
        <v>9</v>
      </c>
      <c r="E1948" s="68">
        <f ca="1">IFERROR(__xludf.DUMMYFUNCTION("""COMPUTED_VALUE"""),45930.6666666666)</f>
        <v>45930.666666666599</v>
      </c>
      <c r="F1948" s="6">
        <f ca="1">IFERROR(__xludf.DUMMYFUNCTION("""COMPUTED_VALUE"""),6688.46)</f>
        <v>6688.46</v>
      </c>
      <c r="J1948" s="6" t="str">
        <f t="shared" ca="1" si="543"/>
        <v>20259</v>
      </c>
      <c r="K1948" s="6">
        <f t="shared" ca="1" si="544"/>
        <v>2025</v>
      </c>
      <c r="L1948" s="6">
        <f t="shared" ca="1" si="545"/>
        <v>9</v>
      </c>
      <c r="M1948" s="68">
        <f ca="1">IFERROR(__xludf.DUMMYFUNCTION("""COMPUTED_VALUE"""),45923.6666666666)</f>
        <v>45923.666666666599</v>
      </c>
      <c r="N1948" s="6">
        <f ca="1">IFERROR(__xludf.DUMMYFUNCTION("""COMPUTED_VALUE"""),22573.47)</f>
        <v>22573.47</v>
      </c>
      <c r="R1948" s="6" t="str">
        <f t="shared" ca="1" si="546"/>
        <v>202512</v>
      </c>
      <c r="S1948" s="6">
        <f t="shared" ca="1" si="547"/>
        <v>2025</v>
      </c>
      <c r="T1948" s="6">
        <f t="shared" ca="1" si="548"/>
        <v>12</v>
      </c>
      <c r="U1948" s="68">
        <f ca="1">IFERROR(__xludf.DUMMYFUNCTION("""COMPUTED_VALUE"""),46001.6458333333)</f>
        <v>46001.645833333299</v>
      </c>
      <c r="V1948" s="6">
        <f ca="1">IFERROR(__xludf.DUMMYFUNCTION("""COMPUTED_VALUE"""),4135)</f>
        <v>4135</v>
      </c>
      <c r="Z1948" s="6" t="str">
        <f t="shared" ca="1" si="549"/>
        <v>20236</v>
      </c>
      <c r="AA1948" s="6">
        <f t="shared" ca="1" si="550"/>
        <v>2023</v>
      </c>
      <c r="AB1948" s="6">
        <f t="shared" ca="1" si="551"/>
        <v>6</v>
      </c>
      <c r="AC1948" s="68">
        <f ca="1">IFERROR(__xludf.DUMMYFUNCTION("""COMPUTED_VALUE"""),45097.9986111111)</f>
        <v>45097.998611111099</v>
      </c>
      <c r="AD1948" s="6">
        <f ca="1">IFERROR(__xludf.DUMMYFUNCTION("""COMPUTED_VALUE"""),1287.54)</f>
        <v>1287.54</v>
      </c>
      <c r="AH1948" s="6" t="str">
        <f t="shared" ca="1" si="552"/>
        <v>20234</v>
      </c>
      <c r="AI1948" s="6">
        <f t="shared" ca="1" si="553"/>
        <v>2023</v>
      </c>
      <c r="AJ1948" s="6">
        <f t="shared" ca="1" si="554"/>
        <v>4</v>
      </c>
      <c r="AK1948" s="68">
        <f ca="1">IFERROR(__xludf.DUMMYFUNCTION("""COMPUTED_VALUE"""),45041.9986111111)</f>
        <v>45041.998611111099</v>
      </c>
      <c r="AL1948" s="6">
        <f ca="1">IFERROR(__xludf.DUMMYFUNCTION("""COMPUTED_VALUE"""),28300.83)</f>
        <v>28300.83</v>
      </c>
      <c r="AP1948" s="6" t="str">
        <f t="shared" ca="1" si="555"/>
        <v>202510</v>
      </c>
      <c r="AQ1948" s="6">
        <f t="shared" ca="1" si="556"/>
        <v>2025</v>
      </c>
      <c r="AR1948" s="6">
        <f t="shared" ca="1" si="557"/>
        <v>10</v>
      </c>
      <c r="AS1948" s="68">
        <f ca="1">IFERROR(__xludf.DUMMYFUNCTION("""COMPUTED_VALUE"""),45937.9986111111)</f>
        <v>45937.998611111099</v>
      </c>
      <c r="AT1948" s="6">
        <f ca="1">IFERROR(__xludf.DUMMYFUNCTION("""COMPUTED_VALUE"""),4004.4)</f>
        <v>4004.4</v>
      </c>
    </row>
    <row r="1949" spans="2:46" x14ac:dyDescent="0.35">
      <c r="B1949" s="6" t="str">
        <f t="shared" ca="1" si="540"/>
        <v>202510</v>
      </c>
      <c r="C1949" s="6">
        <f t="shared" ca="1" si="541"/>
        <v>2025</v>
      </c>
      <c r="D1949" s="6">
        <f t="shared" ca="1" si="542"/>
        <v>10</v>
      </c>
      <c r="E1949" s="68">
        <f ca="1">IFERROR(__xludf.DUMMYFUNCTION("""COMPUTED_VALUE"""),45931.6666666666)</f>
        <v>45931.666666666599</v>
      </c>
      <c r="F1949" s="6">
        <f ca="1">IFERROR(__xludf.DUMMYFUNCTION("""COMPUTED_VALUE"""),6711.2)</f>
        <v>6711.2</v>
      </c>
      <c r="J1949" s="6" t="str">
        <f t="shared" ca="1" si="543"/>
        <v>20259</v>
      </c>
      <c r="K1949" s="6">
        <f t="shared" ca="1" si="544"/>
        <v>2025</v>
      </c>
      <c r="L1949" s="6">
        <f t="shared" ca="1" si="545"/>
        <v>9</v>
      </c>
      <c r="M1949" s="68">
        <f ca="1">IFERROR(__xludf.DUMMYFUNCTION("""COMPUTED_VALUE"""),45924.6666666666)</f>
        <v>45924.666666666599</v>
      </c>
      <c r="N1949" s="6">
        <f ca="1">IFERROR(__xludf.DUMMYFUNCTION("""COMPUTED_VALUE"""),22497.86)</f>
        <v>22497.86</v>
      </c>
      <c r="R1949" s="6" t="str">
        <f t="shared" ca="1" si="546"/>
        <v>202512</v>
      </c>
      <c r="S1949" s="6">
        <f t="shared" ca="1" si="547"/>
        <v>2025</v>
      </c>
      <c r="T1949" s="6">
        <f t="shared" ca="1" si="548"/>
        <v>12</v>
      </c>
      <c r="U1949" s="68">
        <f ca="1">IFERROR(__xludf.DUMMYFUNCTION("""COMPUTED_VALUE"""),46002.6458333333)</f>
        <v>46002.645833333299</v>
      </c>
      <c r="V1949" s="6">
        <f ca="1">IFERROR(__xludf.DUMMYFUNCTION("""COMPUTED_VALUE"""),4110.62)</f>
        <v>4110.62</v>
      </c>
      <c r="Z1949" s="6" t="str">
        <f t="shared" ca="1" si="549"/>
        <v>20236</v>
      </c>
      <c r="AA1949" s="6">
        <f t="shared" ca="1" si="550"/>
        <v>2023</v>
      </c>
      <c r="AB1949" s="6">
        <f t="shared" ca="1" si="551"/>
        <v>6</v>
      </c>
      <c r="AC1949" s="68">
        <f ca="1">IFERROR(__xludf.DUMMYFUNCTION("""COMPUTED_VALUE"""),45098.9986111111)</f>
        <v>45098.998611111099</v>
      </c>
      <c r="AD1949" s="6">
        <f ca="1">IFERROR(__xludf.DUMMYFUNCTION("""COMPUTED_VALUE"""),1288.38)</f>
        <v>1288.3800000000001</v>
      </c>
      <c r="AH1949" s="6" t="str">
        <f t="shared" ca="1" si="552"/>
        <v>20234</v>
      </c>
      <c r="AI1949" s="6">
        <f t="shared" ca="1" si="553"/>
        <v>2023</v>
      </c>
      <c r="AJ1949" s="6">
        <f t="shared" ca="1" si="554"/>
        <v>4</v>
      </c>
      <c r="AK1949" s="68">
        <f ca="1">IFERROR(__xludf.DUMMYFUNCTION("""COMPUTED_VALUE"""),45042.9986111111)</f>
        <v>45042.998611111099</v>
      </c>
      <c r="AL1949" s="6">
        <f ca="1">IFERROR(__xludf.DUMMYFUNCTION("""COMPUTED_VALUE"""),28423.93)</f>
        <v>28423.93</v>
      </c>
      <c r="AP1949" s="6" t="str">
        <f t="shared" ca="1" si="555"/>
        <v>202510</v>
      </c>
      <c r="AQ1949" s="6">
        <f t="shared" ca="1" si="556"/>
        <v>2025</v>
      </c>
      <c r="AR1949" s="6">
        <f t="shared" ca="1" si="557"/>
        <v>10</v>
      </c>
      <c r="AS1949" s="68">
        <f ca="1">IFERROR(__xludf.DUMMYFUNCTION("""COMPUTED_VALUE"""),45938.9986111111)</f>
        <v>45938.998611111099</v>
      </c>
      <c r="AT1949" s="6">
        <f ca="1">IFERROR(__xludf.DUMMYFUNCTION("""COMPUTED_VALUE"""),4070.5)</f>
        <v>4070.5</v>
      </c>
    </row>
    <row r="1950" spans="2:46" x14ac:dyDescent="0.35">
      <c r="B1950" s="6" t="str">
        <f t="shared" ca="1" si="540"/>
        <v>202510</v>
      </c>
      <c r="C1950" s="6">
        <f t="shared" ca="1" si="541"/>
        <v>2025</v>
      </c>
      <c r="D1950" s="6">
        <f t="shared" ca="1" si="542"/>
        <v>10</v>
      </c>
      <c r="E1950" s="68">
        <f ca="1">IFERROR(__xludf.DUMMYFUNCTION("""COMPUTED_VALUE"""),45932.6666666666)</f>
        <v>45932.666666666599</v>
      </c>
      <c r="F1950" s="6">
        <f ca="1">IFERROR(__xludf.DUMMYFUNCTION("""COMPUTED_VALUE"""),6715.35)</f>
        <v>6715.35</v>
      </c>
      <c r="J1950" s="6" t="str">
        <f t="shared" ca="1" si="543"/>
        <v>20259</v>
      </c>
      <c r="K1950" s="6">
        <f t="shared" ca="1" si="544"/>
        <v>2025</v>
      </c>
      <c r="L1950" s="6">
        <f t="shared" ca="1" si="545"/>
        <v>9</v>
      </c>
      <c r="M1950" s="68">
        <f ca="1">IFERROR(__xludf.DUMMYFUNCTION("""COMPUTED_VALUE"""),45926.6666666666)</f>
        <v>45926.666666666599</v>
      </c>
      <c r="N1950" s="6">
        <f ca="1">IFERROR(__xludf.DUMMYFUNCTION("""COMPUTED_VALUE"""),22484.07)</f>
        <v>22484.07</v>
      </c>
      <c r="R1950" s="6" t="str">
        <f t="shared" ca="1" si="546"/>
        <v>202512</v>
      </c>
      <c r="S1950" s="6">
        <f t="shared" ca="1" si="547"/>
        <v>2025</v>
      </c>
      <c r="T1950" s="6">
        <f t="shared" ca="1" si="548"/>
        <v>12</v>
      </c>
      <c r="U1950" s="68">
        <f ca="1">IFERROR(__xludf.DUMMYFUNCTION("""COMPUTED_VALUE"""),46003.6458333333)</f>
        <v>46003.645833333299</v>
      </c>
      <c r="V1950" s="6">
        <f ca="1">IFERROR(__xludf.DUMMYFUNCTION("""COMPUTED_VALUE"""),4167.16)</f>
        <v>4167.16</v>
      </c>
      <c r="Z1950" s="6" t="str">
        <f t="shared" ca="1" si="549"/>
        <v>20236</v>
      </c>
      <c r="AA1950" s="6">
        <f t="shared" ca="1" si="550"/>
        <v>2023</v>
      </c>
      <c r="AB1950" s="6">
        <f t="shared" ca="1" si="551"/>
        <v>6</v>
      </c>
      <c r="AC1950" s="68">
        <f ca="1">IFERROR(__xludf.DUMMYFUNCTION("""COMPUTED_VALUE"""),45099.9986111111)</f>
        <v>45099.998611111099</v>
      </c>
      <c r="AD1950" s="6">
        <f ca="1">IFERROR(__xludf.DUMMYFUNCTION("""COMPUTED_VALUE"""),1298.21)</f>
        <v>1298.21</v>
      </c>
      <c r="AH1950" s="6" t="str">
        <f t="shared" ca="1" si="552"/>
        <v>20234</v>
      </c>
      <c r="AI1950" s="6">
        <f t="shared" ca="1" si="553"/>
        <v>2023</v>
      </c>
      <c r="AJ1950" s="6">
        <f t="shared" ca="1" si="554"/>
        <v>4</v>
      </c>
      <c r="AK1950" s="68">
        <f ca="1">IFERROR(__xludf.DUMMYFUNCTION("""COMPUTED_VALUE"""),45043.9986111111)</f>
        <v>45043.998611111099</v>
      </c>
      <c r="AL1950" s="6">
        <f ca="1">IFERROR(__xludf.DUMMYFUNCTION("""COMPUTED_VALUE"""),29476.64)</f>
        <v>29476.639999999999</v>
      </c>
      <c r="AP1950" s="6" t="str">
        <f t="shared" ca="1" si="555"/>
        <v>202510</v>
      </c>
      <c r="AQ1950" s="6">
        <f t="shared" ca="1" si="556"/>
        <v>2025</v>
      </c>
      <c r="AR1950" s="6">
        <f t="shared" ca="1" si="557"/>
        <v>10</v>
      </c>
      <c r="AS1950" s="68">
        <f ca="1">IFERROR(__xludf.DUMMYFUNCTION("""COMPUTED_VALUE"""),45939.9986111111)</f>
        <v>45939.998611111099</v>
      </c>
      <c r="AT1950" s="6">
        <f ca="1">IFERROR(__xludf.DUMMYFUNCTION("""COMPUTED_VALUE"""),3972.6)</f>
        <v>3972.6</v>
      </c>
    </row>
    <row r="1951" spans="2:46" x14ac:dyDescent="0.35">
      <c r="B1951" s="6" t="str">
        <f t="shared" ca="1" si="540"/>
        <v>202510</v>
      </c>
      <c r="C1951" s="6">
        <f t="shared" ca="1" si="541"/>
        <v>2025</v>
      </c>
      <c r="D1951" s="6">
        <f t="shared" ca="1" si="542"/>
        <v>10</v>
      </c>
      <c r="E1951" s="68">
        <f ca="1">IFERROR(__xludf.DUMMYFUNCTION("""COMPUTED_VALUE"""),45933.6666666666)</f>
        <v>45933.666666666599</v>
      </c>
      <c r="F1951" s="6">
        <f ca="1">IFERROR(__xludf.DUMMYFUNCTION("""COMPUTED_VALUE"""),6715.79)</f>
        <v>6715.79</v>
      </c>
      <c r="J1951" s="6" t="str">
        <f t="shared" ca="1" si="543"/>
        <v>20259</v>
      </c>
      <c r="K1951" s="6">
        <f t="shared" ca="1" si="544"/>
        <v>2025</v>
      </c>
      <c r="L1951" s="6">
        <f t="shared" ca="1" si="545"/>
        <v>9</v>
      </c>
      <c r="M1951" s="68">
        <f ca="1">IFERROR(__xludf.DUMMYFUNCTION("""COMPUTED_VALUE"""),45929.6666666666)</f>
        <v>45929.666666666599</v>
      </c>
      <c r="N1951" s="6">
        <f ca="1">IFERROR(__xludf.DUMMYFUNCTION("""COMPUTED_VALUE"""),22591.15)</f>
        <v>22591.15</v>
      </c>
      <c r="R1951" s="6" t="str">
        <f t="shared" ca="1" si="546"/>
        <v>202512</v>
      </c>
      <c r="S1951" s="6">
        <f t="shared" ca="1" si="547"/>
        <v>2025</v>
      </c>
      <c r="T1951" s="6">
        <f t="shared" ca="1" si="548"/>
        <v>12</v>
      </c>
      <c r="U1951" s="68">
        <f ca="1">IFERROR(__xludf.DUMMYFUNCTION("""COMPUTED_VALUE"""),46006.6458333333)</f>
        <v>46006.645833333299</v>
      </c>
      <c r="V1951" s="6">
        <f ca="1">IFERROR(__xludf.DUMMYFUNCTION("""COMPUTED_VALUE"""),4090.59)</f>
        <v>4090.59</v>
      </c>
      <c r="Z1951" s="6" t="str">
        <f t="shared" ca="1" si="549"/>
        <v>20236</v>
      </c>
      <c r="AA1951" s="6">
        <f t="shared" ca="1" si="550"/>
        <v>2023</v>
      </c>
      <c r="AB1951" s="6">
        <f t="shared" ca="1" si="551"/>
        <v>6</v>
      </c>
      <c r="AC1951" s="68">
        <f ca="1">IFERROR(__xludf.DUMMYFUNCTION("""COMPUTED_VALUE"""),45100.9986111111)</f>
        <v>45100.998611111099</v>
      </c>
      <c r="AD1951" s="6">
        <f ca="1">IFERROR(__xludf.DUMMYFUNCTION("""COMPUTED_VALUE"""),1307.78)</f>
        <v>1307.78</v>
      </c>
      <c r="AH1951" s="6" t="str">
        <f t="shared" ca="1" si="552"/>
        <v>20234</v>
      </c>
      <c r="AI1951" s="6">
        <f t="shared" ca="1" si="553"/>
        <v>2023</v>
      </c>
      <c r="AJ1951" s="6">
        <f t="shared" ca="1" si="554"/>
        <v>4</v>
      </c>
      <c r="AK1951" s="68">
        <f ca="1">IFERROR(__xludf.DUMMYFUNCTION("""COMPUTED_VALUE"""),45044.9986111111)</f>
        <v>45044.998611111099</v>
      </c>
      <c r="AL1951" s="6">
        <f ca="1">IFERROR(__xludf.DUMMYFUNCTION("""COMPUTED_VALUE"""),29328.54)</f>
        <v>29328.54</v>
      </c>
      <c r="AP1951" s="6" t="str">
        <f t="shared" ca="1" si="555"/>
        <v>202510</v>
      </c>
      <c r="AQ1951" s="6">
        <f t="shared" ca="1" si="556"/>
        <v>2025</v>
      </c>
      <c r="AR1951" s="6">
        <f t="shared" ca="1" si="557"/>
        <v>10</v>
      </c>
      <c r="AS1951" s="68">
        <f ca="1">IFERROR(__xludf.DUMMYFUNCTION("""COMPUTED_VALUE"""),45940.9986111111)</f>
        <v>45940.998611111099</v>
      </c>
      <c r="AT1951" s="6">
        <f ca="1">IFERROR(__xludf.DUMMYFUNCTION("""COMPUTED_VALUE"""),4000.4)</f>
        <v>4000.4</v>
      </c>
    </row>
    <row r="1952" spans="2:46" x14ac:dyDescent="0.35">
      <c r="B1952" s="6" t="str">
        <f t="shared" ca="1" si="540"/>
        <v>202510</v>
      </c>
      <c r="C1952" s="6">
        <f t="shared" ca="1" si="541"/>
        <v>2025</v>
      </c>
      <c r="D1952" s="6">
        <f t="shared" ca="1" si="542"/>
        <v>10</v>
      </c>
      <c r="E1952" s="68">
        <f ca="1">IFERROR(__xludf.DUMMYFUNCTION("""COMPUTED_VALUE"""),45936.6666666666)</f>
        <v>45936.666666666599</v>
      </c>
      <c r="F1952" s="6">
        <f ca="1">IFERROR(__xludf.DUMMYFUNCTION("""COMPUTED_VALUE"""),6740.28)</f>
        <v>6740.28</v>
      </c>
      <c r="J1952" s="6" t="str">
        <f t="shared" ca="1" si="543"/>
        <v>20259</v>
      </c>
      <c r="K1952" s="6">
        <f t="shared" ca="1" si="544"/>
        <v>2025</v>
      </c>
      <c r="L1952" s="6">
        <f t="shared" ca="1" si="545"/>
        <v>9</v>
      </c>
      <c r="M1952" s="68">
        <f ca="1">IFERROR(__xludf.DUMMYFUNCTION("""COMPUTED_VALUE"""),45930.6666666666)</f>
        <v>45930.666666666599</v>
      </c>
      <c r="N1952" s="6">
        <f ca="1">IFERROR(__xludf.DUMMYFUNCTION("""COMPUTED_VALUE"""),22660.01)</f>
        <v>22660.01</v>
      </c>
      <c r="R1952" s="6" t="str">
        <f t="shared" ca="1" si="546"/>
        <v>202512</v>
      </c>
      <c r="S1952" s="6">
        <f t="shared" ca="1" si="547"/>
        <v>2025</v>
      </c>
      <c r="T1952" s="6">
        <f t="shared" ca="1" si="548"/>
        <v>12</v>
      </c>
      <c r="U1952" s="68">
        <f ca="1">IFERROR(__xludf.DUMMYFUNCTION("""COMPUTED_VALUE"""),46007.6458333333)</f>
        <v>46007.645833333299</v>
      </c>
      <c r="V1952" s="6">
        <f ca="1">IFERROR(__xludf.DUMMYFUNCTION("""COMPUTED_VALUE"""),3999.13)</f>
        <v>3999.13</v>
      </c>
      <c r="Z1952" s="6" t="str">
        <f t="shared" ca="1" si="549"/>
        <v>20236</v>
      </c>
      <c r="AA1952" s="6">
        <f t="shared" ca="1" si="550"/>
        <v>2023</v>
      </c>
      <c r="AB1952" s="6">
        <f t="shared" ca="1" si="551"/>
        <v>6</v>
      </c>
      <c r="AC1952" s="68">
        <f ca="1">IFERROR(__xludf.DUMMYFUNCTION("""COMPUTED_VALUE"""),45101.9986111111)</f>
        <v>45101.998611111099</v>
      </c>
      <c r="AD1952" s="6">
        <f ca="1">IFERROR(__xludf.DUMMYFUNCTION("""COMPUTED_VALUE"""),1306.81)</f>
        <v>1306.81</v>
      </c>
      <c r="AH1952" s="6" t="str">
        <f t="shared" ca="1" si="552"/>
        <v>20234</v>
      </c>
      <c r="AI1952" s="6">
        <f t="shared" ca="1" si="553"/>
        <v>2023</v>
      </c>
      <c r="AJ1952" s="6">
        <f t="shared" ca="1" si="554"/>
        <v>4</v>
      </c>
      <c r="AK1952" s="68">
        <f ca="1">IFERROR(__xludf.DUMMYFUNCTION("""COMPUTED_VALUE"""),45045.9986111111)</f>
        <v>45045.998611111099</v>
      </c>
      <c r="AL1952" s="6">
        <f ca="1">IFERROR(__xludf.DUMMYFUNCTION("""COMPUTED_VALUE"""),29239.68)</f>
        <v>29239.68</v>
      </c>
      <c r="AP1952" s="6" t="str">
        <f t="shared" ca="1" si="555"/>
        <v>202510</v>
      </c>
      <c r="AQ1952" s="6">
        <f t="shared" ca="1" si="556"/>
        <v>2025</v>
      </c>
      <c r="AR1952" s="6">
        <f t="shared" ca="1" si="557"/>
        <v>10</v>
      </c>
      <c r="AS1952" s="68">
        <f ca="1">IFERROR(__xludf.DUMMYFUNCTION("""COMPUTED_VALUE"""),45943.9986111111)</f>
        <v>45943.998611111099</v>
      </c>
      <c r="AT1952" s="6">
        <f ca="1">IFERROR(__xludf.DUMMYFUNCTION("""COMPUTED_VALUE"""),4133)</f>
        <v>4133</v>
      </c>
    </row>
    <row r="1953" spans="2:46" x14ac:dyDescent="0.35">
      <c r="B1953" s="6" t="str">
        <f t="shared" ca="1" si="540"/>
        <v>202510</v>
      </c>
      <c r="C1953" s="6">
        <f t="shared" ca="1" si="541"/>
        <v>2025</v>
      </c>
      <c r="D1953" s="6">
        <f t="shared" ca="1" si="542"/>
        <v>10</v>
      </c>
      <c r="E1953" s="68">
        <f ca="1">IFERROR(__xludf.DUMMYFUNCTION("""COMPUTED_VALUE"""),45937.6666666666)</f>
        <v>45937.666666666599</v>
      </c>
      <c r="F1953" s="6">
        <f ca="1">IFERROR(__xludf.DUMMYFUNCTION("""COMPUTED_VALUE"""),6714.59)</f>
        <v>6714.59</v>
      </c>
      <c r="J1953" s="6" t="str">
        <f t="shared" ca="1" si="543"/>
        <v>202510</v>
      </c>
      <c r="K1953" s="6">
        <f t="shared" ca="1" si="544"/>
        <v>2025</v>
      </c>
      <c r="L1953" s="6">
        <f t="shared" ca="1" si="545"/>
        <v>10</v>
      </c>
      <c r="M1953" s="68">
        <f ca="1">IFERROR(__xludf.DUMMYFUNCTION("""COMPUTED_VALUE"""),45931.6666666666)</f>
        <v>45931.666666666599</v>
      </c>
      <c r="N1953" s="6">
        <f ca="1">IFERROR(__xludf.DUMMYFUNCTION("""COMPUTED_VALUE"""),22755.16)</f>
        <v>22755.16</v>
      </c>
      <c r="R1953" s="6" t="str">
        <f t="shared" ca="1" si="546"/>
        <v>202512</v>
      </c>
      <c r="S1953" s="6">
        <f t="shared" ca="1" si="547"/>
        <v>2025</v>
      </c>
      <c r="T1953" s="6">
        <f t="shared" ca="1" si="548"/>
        <v>12</v>
      </c>
      <c r="U1953" s="68">
        <f ca="1">IFERROR(__xludf.DUMMYFUNCTION("""COMPUTED_VALUE"""),46008.6458333333)</f>
        <v>46008.645833333299</v>
      </c>
      <c r="V1953" s="6">
        <f ca="1">IFERROR(__xludf.DUMMYFUNCTION("""COMPUTED_VALUE"""),4056.41)</f>
        <v>4056.41</v>
      </c>
      <c r="Z1953" s="6" t="str">
        <f t="shared" ca="1" si="549"/>
        <v>20236</v>
      </c>
      <c r="AA1953" s="6">
        <f t="shared" ca="1" si="550"/>
        <v>2023</v>
      </c>
      <c r="AB1953" s="6">
        <f t="shared" ca="1" si="551"/>
        <v>6</v>
      </c>
      <c r="AC1953" s="68">
        <f ca="1">IFERROR(__xludf.DUMMYFUNCTION("""COMPUTED_VALUE"""),45102.9986111111)</f>
        <v>45102.998611111099</v>
      </c>
      <c r="AD1953" s="6">
        <f ca="1">IFERROR(__xludf.DUMMYFUNCTION("""COMPUTED_VALUE"""),1307.67)</f>
        <v>1307.67</v>
      </c>
      <c r="AH1953" s="6" t="str">
        <f t="shared" ca="1" si="552"/>
        <v>20234</v>
      </c>
      <c r="AI1953" s="6">
        <f t="shared" ca="1" si="553"/>
        <v>2023</v>
      </c>
      <c r="AJ1953" s="6">
        <f t="shared" ca="1" si="554"/>
        <v>4</v>
      </c>
      <c r="AK1953" s="68">
        <f ca="1">IFERROR(__xludf.DUMMYFUNCTION("""COMPUTED_VALUE"""),45046.9986111111)</f>
        <v>45046.998611111099</v>
      </c>
      <c r="AL1953" s="6">
        <f ca="1">IFERROR(__xludf.DUMMYFUNCTION("""COMPUTED_VALUE"""),29253.14)</f>
        <v>29253.14</v>
      </c>
      <c r="AP1953" s="6" t="str">
        <f t="shared" ca="1" si="555"/>
        <v>202510</v>
      </c>
      <c r="AQ1953" s="6">
        <f t="shared" ca="1" si="556"/>
        <v>2025</v>
      </c>
      <c r="AR1953" s="6">
        <f t="shared" ca="1" si="557"/>
        <v>10</v>
      </c>
      <c r="AS1953" s="68">
        <f ca="1">IFERROR(__xludf.DUMMYFUNCTION("""COMPUTED_VALUE"""),45944.9986111111)</f>
        <v>45944.998611111099</v>
      </c>
      <c r="AT1953" s="6">
        <f ca="1">IFERROR(__xludf.DUMMYFUNCTION("""COMPUTED_VALUE"""),4163.4)</f>
        <v>4163.3999999999996</v>
      </c>
    </row>
    <row r="1954" spans="2:46" x14ac:dyDescent="0.35">
      <c r="B1954" s="6" t="str">
        <f t="shared" ca="1" si="540"/>
        <v>202510</v>
      </c>
      <c r="C1954" s="6">
        <f t="shared" ca="1" si="541"/>
        <v>2025</v>
      </c>
      <c r="D1954" s="6">
        <f t="shared" ca="1" si="542"/>
        <v>10</v>
      </c>
      <c r="E1954" s="68">
        <f ca="1">IFERROR(__xludf.DUMMYFUNCTION("""COMPUTED_VALUE"""),45938.6666666666)</f>
        <v>45938.666666666599</v>
      </c>
      <c r="F1954" s="6">
        <f ca="1">IFERROR(__xludf.DUMMYFUNCTION("""COMPUTED_VALUE"""),6753.72)</f>
        <v>6753.72</v>
      </c>
      <c r="J1954" s="6" t="str">
        <f t="shared" ca="1" si="543"/>
        <v>202510</v>
      </c>
      <c r="K1954" s="6">
        <f t="shared" ca="1" si="544"/>
        <v>2025</v>
      </c>
      <c r="L1954" s="6">
        <f t="shared" ca="1" si="545"/>
        <v>10</v>
      </c>
      <c r="M1954" s="68">
        <f ca="1">IFERROR(__xludf.DUMMYFUNCTION("""COMPUTED_VALUE"""),45932.6666666666)</f>
        <v>45932.666666666599</v>
      </c>
      <c r="N1954" s="6">
        <f ca="1">IFERROR(__xludf.DUMMYFUNCTION("""COMPUTED_VALUE"""),22844.05)</f>
        <v>22844.05</v>
      </c>
      <c r="R1954" s="6" t="str">
        <f t="shared" ca="1" si="546"/>
        <v>202512</v>
      </c>
      <c r="S1954" s="6">
        <f t="shared" ca="1" si="547"/>
        <v>2025</v>
      </c>
      <c r="T1954" s="6">
        <f t="shared" ca="1" si="548"/>
        <v>12</v>
      </c>
      <c r="U1954" s="68">
        <f ca="1">IFERROR(__xludf.DUMMYFUNCTION("""COMPUTED_VALUE"""),46009.6458333333)</f>
        <v>46009.645833333299</v>
      </c>
      <c r="V1954" s="6">
        <f ca="1">IFERROR(__xludf.DUMMYFUNCTION("""COMPUTED_VALUE"""),3994.51)</f>
        <v>3994.51</v>
      </c>
      <c r="Z1954" s="6" t="str">
        <f t="shared" ca="1" si="549"/>
        <v>20236</v>
      </c>
      <c r="AA1954" s="6">
        <f t="shared" ca="1" si="550"/>
        <v>2023</v>
      </c>
      <c r="AB1954" s="6">
        <f t="shared" ca="1" si="551"/>
        <v>6</v>
      </c>
      <c r="AC1954" s="68">
        <f ca="1">IFERROR(__xludf.DUMMYFUNCTION("""COMPUTED_VALUE"""),45103.9986111111)</f>
        <v>45103.998611111099</v>
      </c>
      <c r="AD1954" s="6">
        <f ca="1">IFERROR(__xludf.DUMMYFUNCTION("""COMPUTED_VALUE"""),1302.66)</f>
        <v>1302.6600000000001</v>
      </c>
      <c r="AH1954" s="6" t="str">
        <f t="shared" ca="1" si="552"/>
        <v>20235</v>
      </c>
      <c r="AI1954" s="6">
        <f t="shared" ca="1" si="553"/>
        <v>2023</v>
      </c>
      <c r="AJ1954" s="6">
        <f t="shared" ca="1" si="554"/>
        <v>5</v>
      </c>
      <c r="AK1954" s="68">
        <f ca="1">IFERROR(__xludf.DUMMYFUNCTION("""COMPUTED_VALUE"""),45047.9986111111)</f>
        <v>45047.998611111099</v>
      </c>
      <c r="AL1954" s="6">
        <f ca="1">IFERROR(__xludf.DUMMYFUNCTION("""COMPUTED_VALUE"""),28082.84)</f>
        <v>28082.84</v>
      </c>
      <c r="AP1954" s="6" t="str">
        <f t="shared" ca="1" si="555"/>
        <v>202510</v>
      </c>
      <c r="AQ1954" s="6">
        <f t="shared" ca="1" si="556"/>
        <v>2025</v>
      </c>
      <c r="AR1954" s="6">
        <f t="shared" ca="1" si="557"/>
        <v>10</v>
      </c>
      <c r="AS1954" s="68">
        <f ca="1">IFERROR(__xludf.DUMMYFUNCTION("""COMPUTED_VALUE"""),45945.9986111111)</f>
        <v>45945.998611111099</v>
      </c>
      <c r="AT1954" s="6">
        <f ca="1">IFERROR(__xludf.DUMMYFUNCTION("""COMPUTED_VALUE"""),4201.6)</f>
        <v>4201.6000000000004</v>
      </c>
    </row>
    <row r="1955" spans="2:46" x14ac:dyDescent="0.35">
      <c r="B1955" s="6" t="str">
        <f t="shared" ca="1" si="540"/>
        <v>202510</v>
      </c>
      <c r="C1955" s="6">
        <f t="shared" ca="1" si="541"/>
        <v>2025</v>
      </c>
      <c r="D1955" s="6">
        <f t="shared" ca="1" si="542"/>
        <v>10</v>
      </c>
      <c r="E1955" s="68">
        <f ca="1">IFERROR(__xludf.DUMMYFUNCTION("""COMPUTED_VALUE"""),45939.6666666666)</f>
        <v>45939.666666666599</v>
      </c>
      <c r="F1955" s="6">
        <f ca="1">IFERROR(__xludf.DUMMYFUNCTION("""COMPUTED_VALUE"""),6735.11)</f>
        <v>6735.11</v>
      </c>
      <c r="J1955" s="6" t="str">
        <f t="shared" ca="1" si="543"/>
        <v>202510</v>
      </c>
      <c r="K1955" s="6">
        <f t="shared" ca="1" si="544"/>
        <v>2025</v>
      </c>
      <c r="L1955" s="6">
        <f t="shared" ca="1" si="545"/>
        <v>10</v>
      </c>
      <c r="M1955" s="68">
        <f ca="1">IFERROR(__xludf.DUMMYFUNCTION("""COMPUTED_VALUE"""),45933.6666666666)</f>
        <v>45933.666666666599</v>
      </c>
      <c r="N1955" s="6">
        <f ca="1">IFERROR(__xludf.DUMMYFUNCTION("""COMPUTED_VALUE"""),22780.51)</f>
        <v>22780.51</v>
      </c>
      <c r="R1955" s="6" t="str">
        <f t="shared" ca="1" si="546"/>
        <v>202512</v>
      </c>
      <c r="S1955" s="6">
        <f t="shared" ca="1" si="547"/>
        <v>2025</v>
      </c>
      <c r="T1955" s="6">
        <f t="shared" ca="1" si="548"/>
        <v>12</v>
      </c>
      <c r="U1955" s="68">
        <f ca="1">IFERROR(__xludf.DUMMYFUNCTION("""COMPUTED_VALUE"""),46010.6458333333)</f>
        <v>46010.645833333299</v>
      </c>
      <c r="V1955" s="6">
        <f ca="1">IFERROR(__xludf.DUMMYFUNCTION("""COMPUTED_VALUE"""),4020.55)</f>
        <v>4020.55</v>
      </c>
      <c r="Z1955" s="6" t="str">
        <f t="shared" ca="1" si="549"/>
        <v>20236</v>
      </c>
      <c r="AA1955" s="6">
        <f t="shared" ca="1" si="550"/>
        <v>2023</v>
      </c>
      <c r="AB1955" s="6">
        <f t="shared" ca="1" si="551"/>
        <v>6</v>
      </c>
      <c r="AC1955" s="68">
        <f ca="1">IFERROR(__xludf.DUMMYFUNCTION("""COMPUTED_VALUE"""),45104.9986111111)</f>
        <v>45104.998611111099</v>
      </c>
      <c r="AD1955" s="6">
        <f ca="1">IFERROR(__xludf.DUMMYFUNCTION("""COMPUTED_VALUE"""),1296.6)</f>
        <v>1296.5999999999999</v>
      </c>
      <c r="AH1955" s="6" t="str">
        <f t="shared" ca="1" si="552"/>
        <v>20235</v>
      </c>
      <c r="AI1955" s="6">
        <f t="shared" ca="1" si="553"/>
        <v>2023</v>
      </c>
      <c r="AJ1955" s="6">
        <f t="shared" ca="1" si="554"/>
        <v>5</v>
      </c>
      <c r="AK1955" s="68">
        <f ca="1">IFERROR(__xludf.DUMMYFUNCTION("""COMPUTED_VALUE"""),45048.9986111111)</f>
        <v>45048.998611111099</v>
      </c>
      <c r="AL1955" s="6">
        <f ca="1">IFERROR(__xludf.DUMMYFUNCTION("""COMPUTED_VALUE"""),28675)</f>
        <v>28675</v>
      </c>
      <c r="AP1955" s="6" t="str">
        <f t="shared" ca="1" si="555"/>
        <v>202510</v>
      </c>
      <c r="AQ1955" s="6">
        <f t="shared" ca="1" si="556"/>
        <v>2025</v>
      </c>
      <c r="AR1955" s="6">
        <f t="shared" ca="1" si="557"/>
        <v>10</v>
      </c>
      <c r="AS1955" s="68">
        <f ca="1">IFERROR(__xludf.DUMMYFUNCTION("""COMPUTED_VALUE"""),45946.9986111111)</f>
        <v>45946.998611111099</v>
      </c>
      <c r="AT1955" s="6">
        <f ca="1">IFERROR(__xludf.DUMMYFUNCTION("""COMPUTED_VALUE"""),4304.6)</f>
        <v>4304.6000000000004</v>
      </c>
    </row>
    <row r="1956" spans="2:46" x14ac:dyDescent="0.35">
      <c r="B1956" s="6" t="str">
        <f t="shared" ca="1" si="540"/>
        <v>202510</v>
      </c>
      <c r="C1956" s="6">
        <f t="shared" ca="1" si="541"/>
        <v>2025</v>
      </c>
      <c r="D1956" s="6">
        <f t="shared" ca="1" si="542"/>
        <v>10</v>
      </c>
      <c r="E1956" s="68">
        <f ca="1">IFERROR(__xludf.DUMMYFUNCTION("""COMPUTED_VALUE"""),45940.6666666666)</f>
        <v>45940.666666666599</v>
      </c>
      <c r="F1956" s="6">
        <f ca="1">IFERROR(__xludf.DUMMYFUNCTION("""COMPUTED_VALUE"""),6552.51)</f>
        <v>6552.51</v>
      </c>
      <c r="J1956" s="6" t="str">
        <f t="shared" ca="1" si="543"/>
        <v>202510</v>
      </c>
      <c r="K1956" s="6">
        <f t="shared" ca="1" si="544"/>
        <v>2025</v>
      </c>
      <c r="L1956" s="6">
        <f t="shared" ca="1" si="545"/>
        <v>10</v>
      </c>
      <c r="M1956" s="68">
        <f ca="1">IFERROR(__xludf.DUMMYFUNCTION("""COMPUTED_VALUE"""),45936.6666666666)</f>
        <v>45936.666666666599</v>
      </c>
      <c r="N1956" s="6">
        <f ca="1">IFERROR(__xludf.DUMMYFUNCTION("""COMPUTED_VALUE"""),22941.67)</f>
        <v>22941.67</v>
      </c>
      <c r="R1956" s="6" t="str">
        <f t="shared" ca="1" si="546"/>
        <v>202512</v>
      </c>
      <c r="S1956" s="6">
        <f t="shared" ca="1" si="547"/>
        <v>2025</v>
      </c>
      <c r="T1956" s="6">
        <f t="shared" ca="1" si="548"/>
        <v>12</v>
      </c>
      <c r="U1956" s="68">
        <f ca="1">IFERROR(__xludf.DUMMYFUNCTION("""COMPUTED_VALUE"""),46013.6458333333)</f>
        <v>46013.645833333299</v>
      </c>
      <c r="V1956" s="6">
        <f ca="1">IFERROR(__xludf.DUMMYFUNCTION("""COMPUTED_VALUE"""),4105.93)</f>
        <v>4105.93</v>
      </c>
      <c r="Z1956" s="6" t="str">
        <f t="shared" ca="1" si="549"/>
        <v>20236</v>
      </c>
      <c r="AA1956" s="6">
        <f t="shared" ca="1" si="550"/>
        <v>2023</v>
      </c>
      <c r="AB1956" s="6">
        <f t="shared" ca="1" si="551"/>
        <v>6</v>
      </c>
      <c r="AC1956" s="68">
        <f ca="1">IFERROR(__xludf.DUMMYFUNCTION("""COMPUTED_VALUE"""),45105.9986111111)</f>
        <v>45105.998611111099</v>
      </c>
      <c r="AD1956" s="6">
        <f ca="1">IFERROR(__xludf.DUMMYFUNCTION("""COMPUTED_VALUE"""),1309.01)</f>
        <v>1309.01</v>
      </c>
      <c r="AH1956" s="6" t="str">
        <f t="shared" ca="1" si="552"/>
        <v>20235</v>
      </c>
      <c r="AI1956" s="6">
        <f t="shared" ca="1" si="553"/>
        <v>2023</v>
      </c>
      <c r="AJ1956" s="6">
        <f t="shared" ca="1" si="554"/>
        <v>5</v>
      </c>
      <c r="AK1956" s="68">
        <f ca="1">IFERROR(__xludf.DUMMYFUNCTION("""COMPUTED_VALUE"""),45049.9986111111)</f>
        <v>45049.998611111099</v>
      </c>
      <c r="AL1956" s="6">
        <f ca="1">IFERROR(__xludf.DUMMYFUNCTION("""COMPUTED_VALUE"""),29031.25)</f>
        <v>29031.25</v>
      </c>
      <c r="AP1956" s="6" t="str">
        <f t="shared" ca="1" si="555"/>
        <v>202510</v>
      </c>
      <c r="AQ1956" s="6">
        <f t="shared" ca="1" si="556"/>
        <v>2025</v>
      </c>
      <c r="AR1956" s="6">
        <f t="shared" ca="1" si="557"/>
        <v>10</v>
      </c>
      <c r="AS1956" s="68">
        <f ca="1">IFERROR(__xludf.DUMMYFUNCTION("""COMPUTED_VALUE"""),45947.9986111111)</f>
        <v>45947.998611111099</v>
      </c>
      <c r="AT1956" s="6">
        <f ca="1">IFERROR(__xludf.DUMMYFUNCTION("""COMPUTED_VALUE"""),4213.3)</f>
        <v>4213.3</v>
      </c>
    </row>
    <row r="1957" spans="2:46" x14ac:dyDescent="0.35">
      <c r="B1957" s="6" t="str">
        <f t="shared" ca="1" si="540"/>
        <v>202510</v>
      </c>
      <c r="C1957" s="6">
        <f t="shared" ca="1" si="541"/>
        <v>2025</v>
      </c>
      <c r="D1957" s="6">
        <f t="shared" ca="1" si="542"/>
        <v>10</v>
      </c>
      <c r="E1957" s="68">
        <f ca="1">IFERROR(__xludf.DUMMYFUNCTION("""COMPUTED_VALUE"""),45943.6666666666)</f>
        <v>45943.666666666599</v>
      </c>
      <c r="F1957" s="6">
        <f ca="1">IFERROR(__xludf.DUMMYFUNCTION("""COMPUTED_VALUE"""),6654.72)</f>
        <v>6654.72</v>
      </c>
      <c r="J1957" s="6" t="str">
        <f t="shared" ca="1" si="543"/>
        <v>202510</v>
      </c>
      <c r="K1957" s="6">
        <f t="shared" ca="1" si="544"/>
        <v>2025</v>
      </c>
      <c r="L1957" s="6">
        <f t="shared" ca="1" si="545"/>
        <v>10</v>
      </c>
      <c r="M1957" s="68">
        <f ca="1">IFERROR(__xludf.DUMMYFUNCTION("""COMPUTED_VALUE"""),45937.6666666666)</f>
        <v>45937.666666666599</v>
      </c>
      <c r="N1957" s="6">
        <f ca="1">IFERROR(__xludf.DUMMYFUNCTION("""COMPUTED_VALUE"""),22788.36)</f>
        <v>22788.36</v>
      </c>
      <c r="R1957" s="6" t="str">
        <f t="shared" ca="1" si="546"/>
        <v>202512</v>
      </c>
      <c r="S1957" s="6">
        <f t="shared" ca="1" si="547"/>
        <v>2025</v>
      </c>
      <c r="T1957" s="6">
        <f t="shared" ca="1" si="548"/>
        <v>12</v>
      </c>
      <c r="U1957" s="68">
        <f ca="1">IFERROR(__xludf.DUMMYFUNCTION("""COMPUTED_VALUE"""),46014.6458333333)</f>
        <v>46014.645833333299</v>
      </c>
      <c r="V1957" s="6">
        <f ca="1">IFERROR(__xludf.DUMMYFUNCTION("""COMPUTED_VALUE"""),4117.32)</f>
        <v>4117.32</v>
      </c>
      <c r="Z1957" s="6" t="str">
        <f t="shared" ca="1" si="549"/>
        <v>20236</v>
      </c>
      <c r="AA1957" s="6">
        <f t="shared" ca="1" si="550"/>
        <v>2023</v>
      </c>
      <c r="AB1957" s="6">
        <f t="shared" ca="1" si="551"/>
        <v>6</v>
      </c>
      <c r="AC1957" s="68">
        <f ca="1">IFERROR(__xludf.DUMMYFUNCTION("""COMPUTED_VALUE"""),45106.9986111111)</f>
        <v>45106.998611111099</v>
      </c>
      <c r="AD1957" s="6">
        <f ca="1">IFERROR(__xludf.DUMMYFUNCTION("""COMPUTED_VALUE"""),1323.07)</f>
        <v>1323.07</v>
      </c>
      <c r="AH1957" s="6" t="str">
        <f t="shared" ca="1" si="552"/>
        <v>20235</v>
      </c>
      <c r="AI1957" s="6">
        <f t="shared" ca="1" si="553"/>
        <v>2023</v>
      </c>
      <c r="AJ1957" s="6">
        <f t="shared" ca="1" si="554"/>
        <v>5</v>
      </c>
      <c r="AK1957" s="68">
        <f ca="1">IFERROR(__xludf.DUMMYFUNCTION("""COMPUTED_VALUE"""),45050.9986111111)</f>
        <v>45050.998611111099</v>
      </c>
      <c r="AL1957" s="6">
        <f ca="1">IFERROR(__xludf.DUMMYFUNCTION("""COMPUTED_VALUE"""),28848.39)</f>
        <v>28848.39</v>
      </c>
      <c r="AP1957" s="6" t="str">
        <f t="shared" ca="1" si="555"/>
        <v>202510</v>
      </c>
      <c r="AQ1957" s="6">
        <f t="shared" ca="1" si="556"/>
        <v>2025</v>
      </c>
      <c r="AR1957" s="6">
        <f t="shared" ca="1" si="557"/>
        <v>10</v>
      </c>
      <c r="AS1957" s="68">
        <f ca="1">IFERROR(__xludf.DUMMYFUNCTION("""COMPUTED_VALUE"""),45950.9986111111)</f>
        <v>45950.998611111099</v>
      </c>
      <c r="AT1957" s="6">
        <f ca="1">IFERROR(__xludf.DUMMYFUNCTION("""COMPUTED_VALUE"""),4359.4)</f>
        <v>4359.3999999999996</v>
      </c>
    </row>
    <row r="1958" spans="2:46" x14ac:dyDescent="0.35">
      <c r="B1958" s="6" t="str">
        <f t="shared" ca="1" si="540"/>
        <v>202510</v>
      </c>
      <c r="C1958" s="6">
        <f t="shared" ca="1" si="541"/>
        <v>2025</v>
      </c>
      <c r="D1958" s="6">
        <f t="shared" ca="1" si="542"/>
        <v>10</v>
      </c>
      <c r="E1958" s="68">
        <f ca="1">IFERROR(__xludf.DUMMYFUNCTION("""COMPUTED_VALUE"""),45944.6666666666)</f>
        <v>45944.666666666599</v>
      </c>
      <c r="F1958" s="6">
        <f ca="1">IFERROR(__xludf.DUMMYFUNCTION("""COMPUTED_VALUE"""),6644.31)</f>
        <v>6644.31</v>
      </c>
      <c r="J1958" s="6" t="str">
        <f t="shared" ca="1" si="543"/>
        <v>202510</v>
      </c>
      <c r="K1958" s="6">
        <f t="shared" ca="1" si="544"/>
        <v>2025</v>
      </c>
      <c r="L1958" s="6">
        <f t="shared" ca="1" si="545"/>
        <v>10</v>
      </c>
      <c r="M1958" s="68">
        <f ca="1">IFERROR(__xludf.DUMMYFUNCTION("""COMPUTED_VALUE"""),45938.6666666666)</f>
        <v>45938.666666666599</v>
      </c>
      <c r="N1958" s="6">
        <f ca="1">IFERROR(__xludf.DUMMYFUNCTION("""COMPUTED_VALUE"""),23043.38)</f>
        <v>23043.38</v>
      </c>
      <c r="R1958" s="6" t="str">
        <f t="shared" ca="1" si="546"/>
        <v>202512</v>
      </c>
      <c r="S1958" s="6">
        <f t="shared" ca="1" si="547"/>
        <v>2025</v>
      </c>
      <c r="T1958" s="6">
        <f t="shared" ca="1" si="548"/>
        <v>12</v>
      </c>
      <c r="U1958" s="68">
        <f ca="1">IFERROR(__xludf.DUMMYFUNCTION("""COMPUTED_VALUE"""),46015.6458333333)</f>
        <v>46015.645833333299</v>
      </c>
      <c r="V1958" s="6">
        <f ca="1">IFERROR(__xludf.DUMMYFUNCTION("""COMPUTED_VALUE"""),4108.62)</f>
        <v>4108.62</v>
      </c>
      <c r="Z1958" s="6" t="str">
        <f t="shared" ca="1" si="549"/>
        <v>20236</v>
      </c>
      <c r="AA1958" s="6">
        <f t="shared" ca="1" si="550"/>
        <v>2023</v>
      </c>
      <c r="AB1958" s="6">
        <f t="shared" ca="1" si="551"/>
        <v>6</v>
      </c>
      <c r="AC1958" s="68">
        <f ca="1">IFERROR(__xludf.DUMMYFUNCTION("""COMPUTED_VALUE"""),45107.9986111111)</f>
        <v>45107.998611111099</v>
      </c>
      <c r="AD1958" s="6">
        <f ca="1">IFERROR(__xludf.DUMMYFUNCTION("""COMPUTED_VALUE"""),1315.3)</f>
        <v>1315.3</v>
      </c>
      <c r="AH1958" s="6" t="str">
        <f t="shared" ca="1" si="552"/>
        <v>20235</v>
      </c>
      <c r="AI1958" s="6">
        <f t="shared" ca="1" si="553"/>
        <v>2023</v>
      </c>
      <c r="AJ1958" s="6">
        <f t="shared" ca="1" si="554"/>
        <v>5</v>
      </c>
      <c r="AK1958" s="68">
        <f ca="1">IFERROR(__xludf.DUMMYFUNCTION("""COMPUTED_VALUE"""),45051.9986111111)</f>
        <v>45051.998611111099</v>
      </c>
      <c r="AL1958" s="6">
        <f ca="1">IFERROR(__xludf.DUMMYFUNCTION("""COMPUTED_VALUE"""),29530.53)</f>
        <v>29530.53</v>
      </c>
      <c r="AP1958" s="6" t="str">
        <f t="shared" ca="1" si="555"/>
        <v>202510</v>
      </c>
      <c r="AQ1958" s="6">
        <f t="shared" ca="1" si="556"/>
        <v>2025</v>
      </c>
      <c r="AR1958" s="6">
        <f t="shared" ca="1" si="557"/>
        <v>10</v>
      </c>
      <c r="AS1958" s="68">
        <f ca="1">IFERROR(__xludf.DUMMYFUNCTION("""COMPUTED_VALUE"""),45951.9986111111)</f>
        <v>45951.998611111099</v>
      </c>
      <c r="AT1958" s="6">
        <f ca="1">IFERROR(__xludf.DUMMYFUNCTION("""COMPUTED_VALUE"""),4109.1)</f>
        <v>4109.1000000000004</v>
      </c>
    </row>
    <row r="1959" spans="2:46" x14ac:dyDescent="0.35">
      <c r="B1959" s="6" t="str">
        <f t="shared" ca="1" si="540"/>
        <v>202510</v>
      </c>
      <c r="C1959" s="6">
        <f t="shared" ca="1" si="541"/>
        <v>2025</v>
      </c>
      <c r="D1959" s="6">
        <f t="shared" ca="1" si="542"/>
        <v>10</v>
      </c>
      <c r="E1959" s="68">
        <f ca="1">IFERROR(__xludf.DUMMYFUNCTION("""COMPUTED_VALUE"""),45945.6666666666)</f>
        <v>45945.666666666599</v>
      </c>
      <c r="F1959" s="6">
        <f ca="1">IFERROR(__xludf.DUMMYFUNCTION("""COMPUTED_VALUE"""),6671.06)</f>
        <v>6671.06</v>
      </c>
      <c r="J1959" s="6" t="str">
        <f t="shared" ca="1" si="543"/>
        <v>202510</v>
      </c>
      <c r="K1959" s="6">
        <f t="shared" ca="1" si="544"/>
        <v>2025</v>
      </c>
      <c r="L1959" s="6">
        <f t="shared" ca="1" si="545"/>
        <v>10</v>
      </c>
      <c r="M1959" s="68">
        <f ca="1">IFERROR(__xludf.DUMMYFUNCTION("""COMPUTED_VALUE"""),45939.6666666666)</f>
        <v>45939.666666666599</v>
      </c>
      <c r="N1959" s="6">
        <f ca="1">IFERROR(__xludf.DUMMYFUNCTION("""COMPUTED_VALUE"""),23024.63)</f>
        <v>23024.63</v>
      </c>
      <c r="R1959" s="6" t="str">
        <f t="shared" ca="1" si="546"/>
        <v>202512</v>
      </c>
      <c r="S1959" s="6">
        <f t="shared" ca="1" si="547"/>
        <v>2025</v>
      </c>
      <c r="T1959" s="6">
        <f t="shared" ca="1" si="548"/>
        <v>12</v>
      </c>
      <c r="U1959" s="68">
        <f ca="1">IFERROR(__xludf.DUMMYFUNCTION("""COMPUTED_VALUE"""),46017.6458333333)</f>
        <v>46017.645833333299</v>
      </c>
      <c r="V1959" s="6">
        <f ca="1">IFERROR(__xludf.DUMMYFUNCTION("""COMPUTED_VALUE"""),4129.68)</f>
        <v>4129.68</v>
      </c>
      <c r="Z1959" s="6" t="str">
        <f t="shared" ca="1" si="549"/>
        <v>20237</v>
      </c>
      <c r="AA1959" s="6">
        <f t="shared" ca="1" si="550"/>
        <v>2023</v>
      </c>
      <c r="AB1959" s="6">
        <f t="shared" ca="1" si="551"/>
        <v>7</v>
      </c>
      <c r="AC1959" s="68">
        <f ca="1">IFERROR(__xludf.DUMMYFUNCTION("""COMPUTED_VALUE"""),45108.9986111111)</f>
        <v>45108.998611111099</v>
      </c>
      <c r="AD1959" s="6">
        <f ca="1">IFERROR(__xludf.DUMMYFUNCTION("""COMPUTED_VALUE"""),1315.3)</f>
        <v>1315.3</v>
      </c>
      <c r="AH1959" s="6" t="str">
        <f t="shared" ca="1" si="552"/>
        <v>20235</v>
      </c>
      <c r="AI1959" s="6">
        <f t="shared" ca="1" si="553"/>
        <v>2023</v>
      </c>
      <c r="AJ1959" s="6">
        <f t="shared" ca="1" si="554"/>
        <v>5</v>
      </c>
      <c r="AK1959" s="68">
        <f ca="1">IFERROR(__xludf.DUMMYFUNCTION("""COMPUTED_VALUE"""),45052.9986111111)</f>
        <v>45052.998611111099</v>
      </c>
      <c r="AL1959" s="6">
        <f ca="1">IFERROR(__xludf.DUMMYFUNCTION("""COMPUTED_VALUE"""),28902.17)</f>
        <v>28902.17</v>
      </c>
      <c r="AP1959" s="6" t="str">
        <f t="shared" ca="1" si="555"/>
        <v>202510</v>
      </c>
      <c r="AQ1959" s="6">
        <f t="shared" ca="1" si="556"/>
        <v>2025</v>
      </c>
      <c r="AR1959" s="6">
        <f t="shared" ca="1" si="557"/>
        <v>10</v>
      </c>
      <c r="AS1959" s="68">
        <f ca="1">IFERROR(__xludf.DUMMYFUNCTION("""COMPUTED_VALUE"""),45952.9986111111)</f>
        <v>45952.998611111099</v>
      </c>
      <c r="AT1959" s="6">
        <f ca="1">IFERROR(__xludf.DUMMYFUNCTION("""COMPUTED_VALUE"""),4065.4)</f>
        <v>4065.4</v>
      </c>
    </row>
    <row r="1960" spans="2:46" x14ac:dyDescent="0.35">
      <c r="B1960" s="6" t="str">
        <f t="shared" ca="1" si="540"/>
        <v>202510</v>
      </c>
      <c r="C1960" s="6">
        <f t="shared" ca="1" si="541"/>
        <v>2025</v>
      </c>
      <c r="D1960" s="6">
        <f t="shared" ca="1" si="542"/>
        <v>10</v>
      </c>
      <c r="E1960" s="68">
        <f ca="1">IFERROR(__xludf.DUMMYFUNCTION("""COMPUTED_VALUE"""),45946.6666666666)</f>
        <v>45946.666666666599</v>
      </c>
      <c r="F1960" s="6">
        <f ca="1">IFERROR(__xludf.DUMMYFUNCTION("""COMPUTED_VALUE"""),6629.07)</f>
        <v>6629.07</v>
      </c>
      <c r="J1960" s="6" t="str">
        <f t="shared" ca="1" si="543"/>
        <v>202510</v>
      </c>
      <c r="K1960" s="6">
        <f t="shared" ca="1" si="544"/>
        <v>2025</v>
      </c>
      <c r="L1960" s="6">
        <f t="shared" ca="1" si="545"/>
        <v>10</v>
      </c>
      <c r="M1960" s="68">
        <f ca="1">IFERROR(__xludf.DUMMYFUNCTION("""COMPUTED_VALUE"""),45940.6666666666)</f>
        <v>45940.666666666599</v>
      </c>
      <c r="N1960" s="6">
        <f ca="1">IFERROR(__xludf.DUMMYFUNCTION("""COMPUTED_VALUE"""),22204.43)</f>
        <v>22204.43</v>
      </c>
      <c r="R1960" s="6" t="str">
        <f t="shared" ca="1" si="546"/>
        <v>202512</v>
      </c>
      <c r="S1960" s="6">
        <f t="shared" ca="1" si="547"/>
        <v>2025</v>
      </c>
      <c r="T1960" s="6">
        <f t="shared" ca="1" si="548"/>
        <v>12</v>
      </c>
      <c r="U1960" s="68">
        <f ca="1">IFERROR(__xludf.DUMMYFUNCTION("""COMPUTED_VALUE"""),46020.6458333333)</f>
        <v>46020.645833333299</v>
      </c>
      <c r="V1960" s="6">
        <f ca="1">IFERROR(__xludf.DUMMYFUNCTION("""COMPUTED_VALUE"""),4220.56)</f>
        <v>4220.5600000000004</v>
      </c>
      <c r="Z1960" s="6" t="str">
        <f t="shared" ca="1" si="549"/>
        <v>20237</v>
      </c>
      <c r="AA1960" s="6">
        <f t="shared" ca="1" si="550"/>
        <v>2023</v>
      </c>
      <c r="AB1960" s="6">
        <f t="shared" ca="1" si="551"/>
        <v>7</v>
      </c>
      <c r="AC1960" s="68">
        <f ca="1">IFERROR(__xludf.DUMMYFUNCTION("""COMPUTED_VALUE"""),45109.9986111111)</f>
        <v>45109.998611111099</v>
      </c>
      <c r="AD1960" s="6">
        <f ca="1">IFERROR(__xludf.DUMMYFUNCTION("""COMPUTED_VALUE"""),1315.3)</f>
        <v>1315.3</v>
      </c>
      <c r="AH1960" s="6" t="str">
        <f t="shared" ca="1" si="552"/>
        <v>20235</v>
      </c>
      <c r="AI1960" s="6">
        <f t="shared" ca="1" si="553"/>
        <v>2023</v>
      </c>
      <c r="AJ1960" s="6">
        <f t="shared" ca="1" si="554"/>
        <v>5</v>
      </c>
      <c r="AK1960" s="68">
        <f ca="1">IFERROR(__xludf.DUMMYFUNCTION("""COMPUTED_VALUE"""),45053.9986111111)</f>
        <v>45053.998611111099</v>
      </c>
      <c r="AL1960" s="6">
        <f ca="1">IFERROR(__xludf.DUMMYFUNCTION("""COMPUTED_VALUE"""),28450.92)</f>
        <v>28450.92</v>
      </c>
      <c r="AP1960" s="6" t="str">
        <f t="shared" ca="1" si="555"/>
        <v>202510</v>
      </c>
      <c r="AQ1960" s="6">
        <f t="shared" ca="1" si="556"/>
        <v>2025</v>
      </c>
      <c r="AR1960" s="6">
        <f t="shared" ca="1" si="557"/>
        <v>10</v>
      </c>
      <c r="AS1960" s="68">
        <f ca="1">IFERROR(__xludf.DUMMYFUNCTION("""COMPUTED_VALUE"""),45953.9986111111)</f>
        <v>45953.998611111099</v>
      </c>
      <c r="AT1960" s="6">
        <f ca="1">IFERROR(__xludf.DUMMYFUNCTION("""COMPUTED_VALUE"""),4145.6)</f>
        <v>4145.6000000000004</v>
      </c>
    </row>
    <row r="1961" spans="2:46" x14ac:dyDescent="0.35">
      <c r="B1961" s="6" t="str">
        <f t="shared" ca="1" si="540"/>
        <v>202510</v>
      </c>
      <c r="C1961" s="6">
        <f t="shared" ca="1" si="541"/>
        <v>2025</v>
      </c>
      <c r="D1961" s="6">
        <f t="shared" ca="1" si="542"/>
        <v>10</v>
      </c>
      <c r="E1961" s="68">
        <f ca="1">IFERROR(__xludf.DUMMYFUNCTION("""COMPUTED_VALUE"""),45947.6666666666)</f>
        <v>45947.666666666599</v>
      </c>
      <c r="F1961" s="6">
        <f ca="1">IFERROR(__xludf.DUMMYFUNCTION("""COMPUTED_VALUE"""),6664.01)</f>
        <v>6664.01</v>
      </c>
      <c r="J1961" s="6" t="str">
        <f t="shared" ca="1" si="543"/>
        <v>202510</v>
      </c>
      <c r="K1961" s="6">
        <f t="shared" ca="1" si="544"/>
        <v>2025</v>
      </c>
      <c r="L1961" s="6">
        <f t="shared" ca="1" si="545"/>
        <v>10</v>
      </c>
      <c r="M1961" s="68">
        <f ca="1">IFERROR(__xludf.DUMMYFUNCTION("""COMPUTED_VALUE"""),45943.6666666666)</f>
        <v>45943.666666666599</v>
      </c>
      <c r="N1961" s="6">
        <f ca="1">IFERROR(__xludf.DUMMYFUNCTION("""COMPUTED_VALUE"""),22694.61)</f>
        <v>22694.61</v>
      </c>
      <c r="R1961" s="6" t="str">
        <f t="shared" ca="1" si="546"/>
        <v>202512</v>
      </c>
      <c r="S1961" s="6">
        <f t="shared" ca="1" si="547"/>
        <v>2025</v>
      </c>
      <c r="T1961" s="6">
        <f t="shared" ca="1" si="548"/>
        <v>12</v>
      </c>
      <c r="U1961" s="68">
        <f ca="1">IFERROR(__xludf.DUMMYFUNCTION("""COMPUTED_VALUE"""),46021.6458333333)</f>
        <v>46021.645833333299</v>
      </c>
      <c r="V1961" s="6">
        <f ca="1">IFERROR(__xludf.DUMMYFUNCTION("""COMPUTED_VALUE"""),4214.17)</f>
        <v>4214.17</v>
      </c>
      <c r="Z1961" s="6" t="str">
        <f t="shared" ca="1" si="549"/>
        <v>20237</v>
      </c>
      <c r="AA1961" s="6">
        <f t="shared" ca="1" si="550"/>
        <v>2023</v>
      </c>
      <c r="AB1961" s="6">
        <f t="shared" ca="1" si="551"/>
        <v>7</v>
      </c>
      <c r="AC1961" s="68">
        <f ca="1">IFERROR(__xludf.DUMMYFUNCTION("""COMPUTED_VALUE"""),45110.9986111111)</f>
        <v>45110.998611111099</v>
      </c>
      <c r="AD1961" s="6">
        <f ca="1">IFERROR(__xludf.DUMMYFUNCTION("""COMPUTED_VALUE"""),1306.1)</f>
        <v>1306.0999999999999</v>
      </c>
      <c r="AH1961" s="6" t="str">
        <f t="shared" ca="1" si="552"/>
        <v>20235</v>
      </c>
      <c r="AI1961" s="6">
        <f t="shared" ca="1" si="553"/>
        <v>2023</v>
      </c>
      <c r="AJ1961" s="6">
        <f t="shared" ca="1" si="554"/>
        <v>5</v>
      </c>
      <c r="AK1961" s="68">
        <f ca="1">IFERROR(__xludf.DUMMYFUNCTION("""COMPUTED_VALUE"""),45054.9986111111)</f>
        <v>45054.998611111099</v>
      </c>
      <c r="AL1961" s="6">
        <f ca="1">IFERROR(__xludf.DUMMYFUNCTION("""COMPUTED_VALUE"""),27685.34)</f>
        <v>27685.34</v>
      </c>
      <c r="AP1961" s="6" t="str">
        <f t="shared" ca="1" si="555"/>
        <v>202510</v>
      </c>
      <c r="AQ1961" s="6">
        <f t="shared" ca="1" si="556"/>
        <v>2025</v>
      </c>
      <c r="AR1961" s="6">
        <f t="shared" ca="1" si="557"/>
        <v>10</v>
      </c>
      <c r="AS1961" s="68">
        <f ca="1">IFERROR(__xludf.DUMMYFUNCTION("""COMPUTED_VALUE"""),45954.9986111111)</f>
        <v>45954.998611111099</v>
      </c>
      <c r="AT1961" s="6">
        <f ca="1">IFERROR(__xludf.DUMMYFUNCTION("""COMPUTED_VALUE"""),4137.8)</f>
        <v>4137.8</v>
      </c>
    </row>
    <row r="1962" spans="2:46" x14ac:dyDescent="0.35">
      <c r="B1962" s="6" t="str">
        <f t="shared" ca="1" si="540"/>
        <v>202510</v>
      </c>
      <c r="C1962" s="6">
        <f t="shared" ca="1" si="541"/>
        <v>2025</v>
      </c>
      <c r="D1962" s="6">
        <f t="shared" ca="1" si="542"/>
        <v>10</v>
      </c>
      <c r="E1962" s="68">
        <f ca="1">IFERROR(__xludf.DUMMYFUNCTION("""COMPUTED_VALUE"""),45950.6666666666)</f>
        <v>45950.666666666599</v>
      </c>
      <c r="F1962" s="6">
        <f ca="1">IFERROR(__xludf.DUMMYFUNCTION("""COMPUTED_VALUE"""),6735.13)</f>
        <v>6735.13</v>
      </c>
      <c r="J1962" s="6" t="str">
        <f t="shared" ca="1" si="543"/>
        <v>202510</v>
      </c>
      <c r="K1962" s="6">
        <f t="shared" ca="1" si="544"/>
        <v>2025</v>
      </c>
      <c r="L1962" s="6">
        <f t="shared" ca="1" si="545"/>
        <v>10</v>
      </c>
      <c r="M1962" s="68">
        <f ca="1">IFERROR(__xludf.DUMMYFUNCTION("""COMPUTED_VALUE"""),45944.6666666666)</f>
        <v>45944.666666666599</v>
      </c>
      <c r="N1962" s="6">
        <f ca="1">IFERROR(__xludf.DUMMYFUNCTION("""COMPUTED_VALUE"""),22521.7)</f>
        <v>22521.7</v>
      </c>
      <c r="R1962" s="6" t="str">
        <f t="shared" ca="1" si="546"/>
        <v>20261</v>
      </c>
      <c r="S1962" s="6">
        <f t="shared" ca="1" si="547"/>
        <v>2026</v>
      </c>
      <c r="T1962" s="6">
        <f t="shared" ca="1" si="548"/>
        <v>1</v>
      </c>
      <c r="U1962" s="68">
        <f ca="1">IFERROR(__xludf.DUMMYFUNCTION("""COMPUTED_VALUE"""),46024.6458333333)</f>
        <v>46024.645833333299</v>
      </c>
      <c r="V1962" s="6">
        <f ca="1">IFERROR(__xludf.DUMMYFUNCTION("""COMPUTED_VALUE"""),4309.63)</f>
        <v>4309.63</v>
      </c>
      <c r="Z1962" s="6" t="str">
        <f t="shared" ca="1" si="549"/>
        <v>20237</v>
      </c>
      <c r="AA1962" s="6">
        <f t="shared" ca="1" si="550"/>
        <v>2023</v>
      </c>
      <c r="AB1962" s="6">
        <f t="shared" ca="1" si="551"/>
        <v>7</v>
      </c>
      <c r="AC1962" s="68">
        <f ca="1">IFERROR(__xludf.DUMMYFUNCTION("""COMPUTED_VALUE"""),45111.9986111111)</f>
        <v>45111.998611111099</v>
      </c>
      <c r="AD1962" s="6">
        <f ca="1">IFERROR(__xludf.DUMMYFUNCTION("""COMPUTED_VALUE"""),1295.5)</f>
        <v>1295.5</v>
      </c>
      <c r="AH1962" s="6" t="str">
        <f t="shared" ca="1" si="552"/>
        <v>20235</v>
      </c>
      <c r="AI1962" s="6">
        <f t="shared" ca="1" si="553"/>
        <v>2023</v>
      </c>
      <c r="AJ1962" s="6">
        <f t="shared" ca="1" si="554"/>
        <v>5</v>
      </c>
      <c r="AK1962" s="68">
        <f ca="1">IFERROR(__xludf.DUMMYFUNCTION("""COMPUTED_VALUE"""),45055.9986111111)</f>
        <v>45055.998611111099</v>
      </c>
      <c r="AL1962" s="6">
        <f ca="1">IFERROR(__xludf.DUMMYFUNCTION("""COMPUTED_VALUE"""),27640.28)</f>
        <v>27640.28</v>
      </c>
      <c r="AP1962" s="6" t="str">
        <f t="shared" ca="1" si="555"/>
        <v>202510</v>
      </c>
      <c r="AQ1962" s="6">
        <f t="shared" ca="1" si="556"/>
        <v>2025</v>
      </c>
      <c r="AR1962" s="6">
        <f t="shared" ca="1" si="557"/>
        <v>10</v>
      </c>
      <c r="AS1962" s="68">
        <f ca="1">IFERROR(__xludf.DUMMYFUNCTION("""COMPUTED_VALUE"""),45957.9986111111)</f>
        <v>45957.998611111099</v>
      </c>
      <c r="AT1962" s="6">
        <f ca="1">IFERROR(__xludf.DUMMYFUNCTION("""COMPUTED_VALUE"""),4019.7)</f>
        <v>4019.7</v>
      </c>
    </row>
    <row r="1963" spans="2:46" x14ac:dyDescent="0.35">
      <c r="B1963" s="6" t="str">
        <f t="shared" ca="1" si="540"/>
        <v>202510</v>
      </c>
      <c r="C1963" s="6">
        <f t="shared" ca="1" si="541"/>
        <v>2025</v>
      </c>
      <c r="D1963" s="6">
        <f t="shared" ca="1" si="542"/>
        <v>10</v>
      </c>
      <c r="E1963" s="68">
        <f ca="1">IFERROR(__xludf.DUMMYFUNCTION("""COMPUTED_VALUE"""),45951.6666666666)</f>
        <v>45951.666666666599</v>
      </c>
      <c r="F1963" s="6">
        <f ca="1">IFERROR(__xludf.DUMMYFUNCTION("""COMPUTED_VALUE"""),6735.35)</f>
        <v>6735.35</v>
      </c>
      <c r="J1963" s="6" t="str">
        <f t="shared" ca="1" si="543"/>
        <v>202510</v>
      </c>
      <c r="K1963" s="6">
        <f t="shared" ca="1" si="544"/>
        <v>2025</v>
      </c>
      <c r="L1963" s="6">
        <f t="shared" ca="1" si="545"/>
        <v>10</v>
      </c>
      <c r="M1963" s="68">
        <f ca="1">IFERROR(__xludf.DUMMYFUNCTION("""COMPUTED_VALUE"""),45945.6666666666)</f>
        <v>45945.666666666599</v>
      </c>
      <c r="N1963" s="6">
        <f ca="1">IFERROR(__xludf.DUMMYFUNCTION("""COMPUTED_VALUE"""),22670.08)</f>
        <v>22670.080000000002</v>
      </c>
      <c r="R1963" s="6" t="str">
        <f t="shared" ca="1" si="546"/>
        <v>20261</v>
      </c>
      <c r="S1963" s="6">
        <f t="shared" ca="1" si="547"/>
        <v>2026</v>
      </c>
      <c r="T1963" s="6">
        <f t="shared" ca="1" si="548"/>
        <v>1</v>
      </c>
      <c r="U1963" s="68">
        <f ca="1">IFERROR(__xludf.DUMMYFUNCTION("""COMPUTED_VALUE"""),46027.6458333333)</f>
        <v>46027.645833333299</v>
      </c>
      <c r="V1963" s="6">
        <f ca="1">IFERROR(__xludf.DUMMYFUNCTION("""COMPUTED_VALUE"""),4457.52)</f>
        <v>4457.5200000000004</v>
      </c>
      <c r="Z1963" s="6" t="str">
        <f t="shared" ca="1" si="549"/>
        <v>20237</v>
      </c>
      <c r="AA1963" s="6">
        <f t="shared" ca="1" si="550"/>
        <v>2023</v>
      </c>
      <c r="AB1963" s="6">
        <f t="shared" ca="1" si="551"/>
        <v>7</v>
      </c>
      <c r="AC1963" s="68">
        <f ca="1">IFERROR(__xludf.DUMMYFUNCTION("""COMPUTED_VALUE"""),45112.9986111111)</f>
        <v>45112.998611111099</v>
      </c>
      <c r="AD1963" s="6">
        <f ca="1">IFERROR(__xludf.DUMMYFUNCTION("""COMPUTED_VALUE"""),1302.97)</f>
        <v>1302.97</v>
      </c>
      <c r="AH1963" s="6" t="str">
        <f t="shared" ca="1" si="552"/>
        <v>20235</v>
      </c>
      <c r="AI1963" s="6">
        <f t="shared" ca="1" si="553"/>
        <v>2023</v>
      </c>
      <c r="AJ1963" s="6">
        <f t="shared" ca="1" si="554"/>
        <v>5</v>
      </c>
      <c r="AK1963" s="68">
        <f ca="1">IFERROR(__xludf.DUMMYFUNCTION("""COMPUTED_VALUE"""),45056.9986111111)</f>
        <v>45056.998611111099</v>
      </c>
      <c r="AL1963" s="6">
        <f ca="1">IFERROR(__xludf.DUMMYFUNCTION("""COMPUTED_VALUE"""),27618.24)</f>
        <v>27618.240000000002</v>
      </c>
      <c r="AP1963" s="6" t="str">
        <f t="shared" ca="1" si="555"/>
        <v>202510</v>
      </c>
      <c r="AQ1963" s="6">
        <f t="shared" ca="1" si="556"/>
        <v>2025</v>
      </c>
      <c r="AR1963" s="6">
        <f t="shared" ca="1" si="557"/>
        <v>10</v>
      </c>
      <c r="AS1963" s="68">
        <f ca="1">IFERROR(__xludf.DUMMYFUNCTION("""COMPUTED_VALUE"""),45958.9986111111)</f>
        <v>45958.998611111099</v>
      </c>
      <c r="AT1963" s="6">
        <f ca="1">IFERROR(__xludf.DUMMYFUNCTION("""COMPUTED_VALUE"""),3983.1)</f>
        <v>3983.1</v>
      </c>
    </row>
    <row r="1964" spans="2:46" x14ac:dyDescent="0.35">
      <c r="B1964" s="6" t="str">
        <f t="shared" ca="1" si="540"/>
        <v>202510</v>
      </c>
      <c r="C1964" s="6">
        <f t="shared" ca="1" si="541"/>
        <v>2025</v>
      </c>
      <c r="D1964" s="6">
        <f t="shared" ca="1" si="542"/>
        <v>10</v>
      </c>
      <c r="E1964" s="68">
        <f ca="1">IFERROR(__xludf.DUMMYFUNCTION("""COMPUTED_VALUE"""),45952.6666666666)</f>
        <v>45952.666666666599</v>
      </c>
      <c r="F1964" s="6">
        <f ca="1">IFERROR(__xludf.DUMMYFUNCTION("""COMPUTED_VALUE"""),6699.4)</f>
        <v>6699.4</v>
      </c>
      <c r="J1964" s="6" t="str">
        <f t="shared" ca="1" si="543"/>
        <v>202510</v>
      </c>
      <c r="K1964" s="6">
        <f t="shared" ca="1" si="544"/>
        <v>2025</v>
      </c>
      <c r="L1964" s="6">
        <f t="shared" ca="1" si="545"/>
        <v>10</v>
      </c>
      <c r="M1964" s="68">
        <f ca="1">IFERROR(__xludf.DUMMYFUNCTION("""COMPUTED_VALUE"""),45946.6666666666)</f>
        <v>45946.666666666599</v>
      </c>
      <c r="N1964" s="6">
        <f ca="1">IFERROR(__xludf.DUMMYFUNCTION("""COMPUTED_VALUE"""),22562.54)</f>
        <v>22562.54</v>
      </c>
      <c r="R1964" s="6" t="str">
        <f t="shared" ca="1" si="546"/>
        <v>20261</v>
      </c>
      <c r="S1964" s="6">
        <f t="shared" ca="1" si="547"/>
        <v>2026</v>
      </c>
      <c r="T1964" s="6">
        <f t="shared" ca="1" si="548"/>
        <v>1</v>
      </c>
      <c r="U1964" s="68">
        <f ca="1">IFERROR(__xludf.DUMMYFUNCTION("""COMPUTED_VALUE"""),46028.6458333333)</f>
        <v>46028.645833333299</v>
      </c>
      <c r="V1964" s="6">
        <f ca="1">IFERROR(__xludf.DUMMYFUNCTION("""COMPUTED_VALUE"""),4525.48)</f>
        <v>4525.4799999999996</v>
      </c>
      <c r="Z1964" s="6" t="str">
        <f t="shared" ca="1" si="549"/>
        <v>20237</v>
      </c>
      <c r="AA1964" s="6">
        <f t="shared" ca="1" si="550"/>
        <v>2023</v>
      </c>
      <c r="AB1964" s="6">
        <f t="shared" ca="1" si="551"/>
        <v>7</v>
      </c>
      <c r="AC1964" s="68">
        <f ca="1">IFERROR(__xludf.DUMMYFUNCTION("""COMPUTED_VALUE"""),45113.9986111111)</f>
        <v>45113.998611111099</v>
      </c>
      <c r="AD1964" s="6">
        <f ca="1">IFERROR(__xludf.DUMMYFUNCTION("""COMPUTED_VALUE"""),1309.22)</f>
        <v>1309.22</v>
      </c>
      <c r="AH1964" s="6" t="str">
        <f t="shared" ca="1" si="552"/>
        <v>20235</v>
      </c>
      <c r="AI1964" s="6">
        <f t="shared" ca="1" si="553"/>
        <v>2023</v>
      </c>
      <c r="AJ1964" s="6">
        <f t="shared" ca="1" si="554"/>
        <v>5</v>
      </c>
      <c r="AK1964" s="68">
        <f ca="1">IFERROR(__xludf.DUMMYFUNCTION("""COMPUTED_VALUE"""),45057.9986111111)</f>
        <v>45057.998611111099</v>
      </c>
      <c r="AL1964" s="6">
        <f ca="1">IFERROR(__xludf.DUMMYFUNCTION("""COMPUTED_VALUE"""),26986.38)</f>
        <v>26986.38</v>
      </c>
      <c r="AP1964" s="6" t="str">
        <f t="shared" ca="1" si="555"/>
        <v>202510</v>
      </c>
      <c r="AQ1964" s="6">
        <f t="shared" ca="1" si="556"/>
        <v>2025</v>
      </c>
      <c r="AR1964" s="6">
        <f t="shared" ca="1" si="557"/>
        <v>10</v>
      </c>
      <c r="AS1964" s="68">
        <f ca="1">IFERROR(__xludf.DUMMYFUNCTION("""COMPUTED_VALUE"""),45959.9986111111)</f>
        <v>45959.998611111099</v>
      </c>
      <c r="AT1964" s="6">
        <f ca="1">IFERROR(__xludf.DUMMYFUNCTION("""COMPUTED_VALUE"""),4000.7)</f>
        <v>4000.7</v>
      </c>
    </row>
    <row r="1965" spans="2:46" x14ac:dyDescent="0.35">
      <c r="B1965" s="6" t="str">
        <f t="shared" ca="1" si="540"/>
        <v>202510</v>
      </c>
      <c r="C1965" s="6">
        <f t="shared" ca="1" si="541"/>
        <v>2025</v>
      </c>
      <c r="D1965" s="6">
        <f t="shared" ca="1" si="542"/>
        <v>10</v>
      </c>
      <c r="E1965" s="68">
        <f ca="1">IFERROR(__xludf.DUMMYFUNCTION("""COMPUTED_VALUE"""),45953.6666666666)</f>
        <v>45953.666666666599</v>
      </c>
      <c r="F1965" s="6">
        <f ca="1">IFERROR(__xludf.DUMMYFUNCTION("""COMPUTED_VALUE"""),6738.44)</f>
        <v>6738.44</v>
      </c>
      <c r="J1965" s="6" t="str">
        <f t="shared" ca="1" si="543"/>
        <v>202510</v>
      </c>
      <c r="K1965" s="6">
        <f t="shared" ca="1" si="544"/>
        <v>2025</v>
      </c>
      <c r="L1965" s="6">
        <f t="shared" ca="1" si="545"/>
        <v>10</v>
      </c>
      <c r="M1965" s="68">
        <f ca="1">IFERROR(__xludf.DUMMYFUNCTION("""COMPUTED_VALUE"""),45947.6666666666)</f>
        <v>45947.666666666599</v>
      </c>
      <c r="N1965" s="6">
        <f ca="1">IFERROR(__xludf.DUMMYFUNCTION("""COMPUTED_VALUE"""),22679.98)</f>
        <v>22679.98</v>
      </c>
      <c r="R1965" s="6" t="str">
        <f t="shared" ca="1" si="546"/>
        <v>20261</v>
      </c>
      <c r="S1965" s="6">
        <f t="shared" ca="1" si="547"/>
        <v>2026</v>
      </c>
      <c r="T1965" s="6">
        <f t="shared" ca="1" si="548"/>
        <v>1</v>
      </c>
      <c r="U1965" s="68">
        <f ca="1">IFERROR(__xludf.DUMMYFUNCTION("""COMPUTED_VALUE"""),46029.6458333333)</f>
        <v>46029.645833333299</v>
      </c>
      <c r="V1965" s="6">
        <f ca="1">IFERROR(__xludf.DUMMYFUNCTION("""COMPUTED_VALUE"""),4551.06)</f>
        <v>4551.0600000000004</v>
      </c>
      <c r="Z1965" s="6" t="str">
        <f t="shared" ca="1" si="549"/>
        <v>20237</v>
      </c>
      <c r="AA1965" s="6">
        <f t="shared" ca="1" si="550"/>
        <v>2023</v>
      </c>
      <c r="AB1965" s="6">
        <f t="shared" ca="1" si="551"/>
        <v>7</v>
      </c>
      <c r="AC1965" s="68">
        <f ca="1">IFERROR(__xludf.DUMMYFUNCTION("""COMPUTED_VALUE"""),45114.9986111111)</f>
        <v>45114.998611111099</v>
      </c>
      <c r="AD1965" s="6">
        <f ca="1">IFERROR(__xludf.DUMMYFUNCTION("""COMPUTED_VALUE"""),1297.66)</f>
        <v>1297.6600000000001</v>
      </c>
      <c r="AH1965" s="6" t="str">
        <f t="shared" ca="1" si="552"/>
        <v>20235</v>
      </c>
      <c r="AI1965" s="6">
        <f t="shared" ca="1" si="553"/>
        <v>2023</v>
      </c>
      <c r="AJ1965" s="6">
        <f t="shared" ca="1" si="554"/>
        <v>5</v>
      </c>
      <c r="AK1965" s="68">
        <f ca="1">IFERROR(__xludf.DUMMYFUNCTION("""COMPUTED_VALUE"""),45058.9986111111)</f>
        <v>45058.998611111099</v>
      </c>
      <c r="AL1965" s="6">
        <f ca="1">IFERROR(__xludf.DUMMYFUNCTION("""COMPUTED_VALUE"""),26800.62)</f>
        <v>26800.62</v>
      </c>
      <c r="AP1965" s="6" t="str">
        <f t="shared" ca="1" si="555"/>
        <v>202510</v>
      </c>
      <c r="AQ1965" s="6">
        <f t="shared" ca="1" si="556"/>
        <v>2025</v>
      </c>
      <c r="AR1965" s="6">
        <f t="shared" ca="1" si="557"/>
        <v>10</v>
      </c>
      <c r="AS1965" s="68">
        <f ca="1">IFERROR(__xludf.DUMMYFUNCTION("""COMPUTED_VALUE"""),45960.9986111111)</f>
        <v>45960.998611111099</v>
      </c>
      <c r="AT1965" s="6">
        <f ca="1">IFERROR(__xludf.DUMMYFUNCTION("""COMPUTED_VALUE"""),4015.9)</f>
        <v>4015.9</v>
      </c>
    </row>
    <row r="1966" spans="2:46" x14ac:dyDescent="0.35">
      <c r="B1966" s="6" t="str">
        <f t="shared" ca="1" si="540"/>
        <v>202510</v>
      </c>
      <c r="C1966" s="6">
        <f t="shared" ca="1" si="541"/>
        <v>2025</v>
      </c>
      <c r="D1966" s="6">
        <f t="shared" ca="1" si="542"/>
        <v>10</v>
      </c>
      <c r="E1966" s="68">
        <f ca="1">IFERROR(__xludf.DUMMYFUNCTION("""COMPUTED_VALUE"""),45954.6666666666)</f>
        <v>45954.666666666599</v>
      </c>
      <c r="F1966" s="6">
        <f ca="1">IFERROR(__xludf.DUMMYFUNCTION("""COMPUTED_VALUE"""),6791.69)</f>
        <v>6791.69</v>
      </c>
      <c r="J1966" s="6" t="str">
        <f t="shared" ca="1" si="543"/>
        <v>202510</v>
      </c>
      <c r="K1966" s="6">
        <f t="shared" ca="1" si="544"/>
        <v>2025</v>
      </c>
      <c r="L1966" s="6">
        <f t="shared" ca="1" si="545"/>
        <v>10</v>
      </c>
      <c r="M1966" s="68">
        <f ca="1">IFERROR(__xludf.DUMMYFUNCTION("""COMPUTED_VALUE"""),45950.6666666666)</f>
        <v>45950.666666666599</v>
      </c>
      <c r="N1966" s="6">
        <f ca="1">IFERROR(__xludf.DUMMYFUNCTION("""COMPUTED_VALUE"""),22990.54)</f>
        <v>22990.54</v>
      </c>
      <c r="R1966" s="6" t="str">
        <f t="shared" ca="1" si="546"/>
        <v>20261</v>
      </c>
      <c r="S1966" s="6">
        <f t="shared" ca="1" si="547"/>
        <v>2026</v>
      </c>
      <c r="T1966" s="6">
        <f t="shared" ca="1" si="548"/>
        <v>1</v>
      </c>
      <c r="U1966" s="68">
        <f ca="1">IFERROR(__xludf.DUMMYFUNCTION("""COMPUTED_VALUE"""),46030.6458333333)</f>
        <v>46030.645833333299</v>
      </c>
      <c r="V1966" s="6">
        <f ca="1">IFERROR(__xludf.DUMMYFUNCTION("""COMPUTED_VALUE"""),4552.37)</f>
        <v>4552.37</v>
      </c>
      <c r="Z1966" s="6" t="str">
        <f t="shared" ca="1" si="549"/>
        <v>20237</v>
      </c>
      <c r="AA1966" s="6">
        <f t="shared" ca="1" si="550"/>
        <v>2023</v>
      </c>
      <c r="AB1966" s="6">
        <f t="shared" ca="1" si="551"/>
        <v>7</v>
      </c>
      <c r="AC1966" s="68">
        <f ca="1">IFERROR(__xludf.DUMMYFUNCTION("""COMPUTED_VALUE"""),45115.9986111111)</f>
        <v>45115.998611111099</v>
      </c>
      <c r="AD1966" s="6">
        <f ca="1">IFERROR(__xludf.DUMMYFUNCTION("""COMPUTED_VALUE"""),1297.06)</f>
        <v>1297.06</v>
      </c>
      <c r="AH1966" s="6" t="str">
        <f t="shared" ca="1" si="552"/>
        <v>20235</v>
      </c>
      <c r="AI1966" s="6">
        <f t="shared" ca="1" si="553"/>
        <v>2023</v>
      </c>
      <c r="AJ1966" s="6">
        <f t="shared" ca="1" si="554"/>
        <v>5</v>
      </c>
      <c r="AK1966" s="68">
        <f ca="1">IFERROR(__xludf.DUMMYFUNCTION("""COMPUTED_VALUE"""),45059.9986111111)</f>
        <v>45059.998611111099</v>
      </c>
      <c r="AL1966" s="6">
        <f ca="1">IFERROR(__xludf.DUMMYFUNCTION("""COMPUTED_VALUE"""),26780.87)</f>
        <v>26780.87</v>
      </c>
      <c r="AP1966" s="6" t="str">
        <f t="shared" ca="1" si="555"/>
        <v>202510</v>
      </c>
      <c r="AQ1966" s="6">
        <f t="shared" ca="1" si="556"/>
        <v>2025</v>
      </c>
      <c r="AR1966" s="6">
        <f t="shared" ca="1" si="557"/>
        <v>10</v>
      </c>
      <c r="AS1966" s="68">
        <f ca="1">IFERROR(__xludf.DUMMYFUNCTION("""COMPUTED_VALUE"""),45961.9986111111)</f>
        <v>45961.998611111099</v>
      </c>
      <c r="AT1966" s="6">
        <f ca="1">IFERROR(__xludf.DUMMYFUNCTION("""COMPUTED_VALUE"""),3996.5)</f>
        <v>3996.5</v>
      </c>
    </row>
    <row r="1967" spans="2:46" x14ac:dyDescent="0.35">
      <c r="B1967" s="6" t="str">
        <f t="shared" ca="1" si="540"/>
        <v>202510</v>
      </c>
      <c r="C1967" s="6">
        <f t="shared" ca="1" si="541"/>
        <v>2025</v>
      </c>
      <c r="D1967" s="6">
        <f t="shared" ca="1" si="542"/>
        <v>10</v>
      </c>
      <c r="E1967" s="68">
        <f ca="1">IFERROR(__xludf.DUMMYFUNCTION("""COMPUTED_VALUE"""),45957.6666666666)</f>
        <v>45957.666666666599</v>
      </c>
      <c r="F1967" s="6">
        <f ca="1">IFERROR(__xludf.DUMMYFUNCTION("""COMPUTED_VALUE"""),6875.16)</f>
        <v>6875.16</v>
      </c>
      <c r="J1967" s="6" t="str">
        <f t="shared" ca="1" si="543"/>
        <v>202510</v>
      </c>
      <c r="K1967" s="6">
        <f t="shared" ca="1" si="544"/>
        <v>2025</v>
      </c>
      <c r="L1967" s="6">
        <f t="shared" ca="1" si="545"/>
        <v>10</v>
      </c>
      <c r="M1967" s="68">
        <f ca="1">IFERROR(__xludf.DUMMYFUNCTION("""COMPUTED_VALUE"""),45951.6666666666)</f>
        <v>45951.666666666599</v>
      </c>
      <c r="N1967" s="6">
        <f ca="1">IFERROR(__xludf.DUMMYFUNCTION("""COMPUTED_VALUE"""),22953.67)</f>
        <v>22953.67</v>
      </c>
      <c r="R1967" s="6" t="str">
        <f t="shared" ca="1" si="546"/>
        <v>20261</v>
      </c>
      <c r="S1967" s="6">
        <f t="shared" ca="1" si="547"/>
        <v>2026</v>
      </c>
      <c r="T1967" s="6">
        <f t="shared" ca="1" si="548"/>
        <v>1</v>
      </c>
      <c r="U1967" s="68">
        <f ca="1">IFERROR(__xludf.DUMMYFUNCTION("""COMPUTED_VALUE"""),46031.6458333333)</f>
        <v>46031.645833333299</v>
      </c>
      <c r="V1967" s="6">
        <f ca="1">IFERROR(__xludf.DUMMYFUNCTION("""COMPUTED_VALUE"""),4586.32)</f>
        <v>4586.32</v>
      </c>
      <c r="Z1967" s="6" t="str">
        <f t="shared" ca="1" si="549"/>
        <v>20237</v>
      </c>
      <c r="AA1967" s="6">
        <f t="shared" ca="1" si="550"/>
        <v>2023</v>
      </c>
      <c r="AB1967" s="6">
        <f t="shared" ca="1" si="551"/>
        <v>7</v>
      </c>
      <c r="AC1967" s="68">
        <f ca="1">IFERROR(__xludf.DUMMYFUNCTION("""COMPUTED_VALUE"""),45116.9986111111)</f>
        <v>45116.998611111099</v>
      </c>
      <c r="AD1967" s="6">
        <f ca="1">IFERROR(__xludf.DUMMYFUNCTION("""COMPUTED_VALUE"""),1297.37)</f>
        <v>1297.3699999999999</v>
      </c>
      <c r="AH1967" s="6" t="str">
        <f t="shared" ca="1" si="552"/>
        <v>20235</v>
      </c>
      <c r="AI1967" s="6">
        <f t="shared" ca="1" si="553"/>
        <v>2023</v>
      </c>
      <c r="AJ1967" s="6">
        <f t="shared" ca="1" si="554"/>
        <v>5</v>
      </c>
      <c r="AK1967" s="68">
        <f ca="1">IFERROR(__xludf.DUMMYFUNCTION("""COMPUTED_VALUE"""),45060.9986111111)</f>
        <v>45060.998611111099</v>
      </c>
      <c r="AL1967" s="6">
        <f ca="1">IFERROR(__xludf.DUMMYFUNCTION("""COMPUTED_VALUE"""),26922.28)</f>
        <v>26922.28</v>
      </c>
      <c r="AP1967" s="6" t="str">
        <f t="shared" ca="1" si="555"/>
        <v>202511</v>
      </c>
      <c r="AQ1967" s="6">
        <f t="shared" ca="1" si="556"/>
        <v>2025</v>
      </c>
      <c r="AR1967" s="6">
        <f t="shared" ca="1" si="557"/>
        <v>11</v>
      </c>
      <c r="AS1967" s="68">
        <f ca="1">IFERROR(__xludf.DUMMYFUNCTION("""COMPUTED_VALUE"""),45964.9986111111)</f>
        <v>45964.998611111099</v>
      </c>
      <c r="AT1967" s="6">
        <f ca="1">IFERROR(__xludf.DUMMYFUNCTION("""COMPUTED_VALUE"""),4014)</f>
        <v>4014</v>
      </c>
    </row>
    <row r="1968" spans="2:46" x14ac:dyDescent="0.35">
      <c r="B1968" s="6" t="str">
        <f t="shared" ca="1" si="540"/>
        <v>202510</v>
      </c>
      <c r="C1968" s="6">
        <f t="shared" ca="1" si="541"/>
        <v>2025</v>
      </c>
      <c r="D1968" s="6">
        <f t="shared" ca="1" si="542"/>
        <v>10</v>
      </c>
      <c r="E1968" s="68">
        <f ca="1">IFERROR(__xludf.DUMMYFUNCTION("""COMPUTED_VALUE"""),45958.6666666666)</f>
        <v>45958.666666666599</v>
      </c>
      <c r="F1968" s="6">
        <f ca="1">IFERROR(__xludf.DUMMYFUNCTION("""COMPUTED_VALUE"""),6890.89)</f>
        <v>6890.89</v>
      </c>
      <c r="J1968" s="6" t="str">
        <f t="shared" ca="1" si="543"/>
        <v>202510</v>
      </c>
      <c r="K1968" s="6">
        <f t="shared" ca="1" si="544"/>
        <v>2025</v>
      </c>
      <c r="L1968" s="6">
        <f t="shared" ca="1" si="545"/>
        <v>10</v>
      </c>
      <c r="M1968" s="68">
        <f ca="1">IFERROR(__xludf.DUMMYFUNCTION("""COMPUTED_VALUE"""),45952.6666666666)</f>
        <v>45952.666666666599</v>
      </c>
      <c r="N1968" s="6">
        <f ca="1">IFERROR(__xludf.DUMMYFUNCTION("""COMPUTED_VALUE"""),22740.4)</f>
        <v>22740.400000000001</v>
      </c>
      <c r="R1968" s="6" t="str">
        <f t="shared" ca="1" si="546"/>
        <v>20261</v>
      </c>
      <c r="S1968" s="6">
        <f t="shared" ca="1" si="547"/>
        <v>2026</v>
      </c>
      <c r="T1968" s="6">
        <f t="shared" ca="1" si="548"/>
        <v>1</v>
      </c>
      <c r="U1968" s="68">
        <f ca="1">IFERROR(__xludf.DUMMYFUNCTION("""COMPUTED_VALUE"""),46034.6458333333)</f>
        <v>46034.645833333299</v>
      </c>
      <c r="V1968" s="6">
        <f ca="1">IFERROR(__xludf.DUMMYFUNCTION("""COMPUTED_VALUE"""),4624.79)</f>
        <v>4624.79</v>
      </c>
      <c r="Z1968" s="6" t="str">
        <f t="shared" ca="1" si="549"/>
        <v>20237</v>
      </c>
      <c r="AA1968" s="6">
        <f t="shared" ca="1" si="550"/>
        <v>2023</v>
      </c>
      <c r="AB1968" s="6">
        <f t="shared" ca="1" si="551"/>
        <v>7</v>
      </c>
      <c r="AC1968" s="68">
        <f ca="1">IFERROR(__xludf.DUMMYFUNCTION("""COMPUTED_VALUE"""),45117.9986111111)</f>
        <v>45117.998611111099</v>
      </c>
      <c r="AD1968" s="6">
        <f ca="1">IFERROR(__xludf.DUMMYFUNCTION("""COMPUTED_VALUE"""),1299.54)</f>
        <v>1299.54</v>
      </c>
      <c r="AH1968" s="6" t="str">
        <f t="shared" ca="1" si="552"/>
        <v>20235</v>
      </c>
      <c r="AI1968" s="6">
        <f t="shared" ca="1" si="553"/>
        <v>2023</v>
      </c>
      <c r="AJ1968" s="6">
        <f t="shared" ca="1" si="554"/>
        <v>5</v>
      </c>
      <c r="AK1968" s="68">
        <f ca="1">IFERROR(__xludf.DUMMYFUNCTION("""COMPUTED_VALUE"""),45061.9986111111)</f>
        <v>45061.998611111099</v>
      </c>
      <c r="AL1968" s="6">
        <f ca="1">IFERROR(__xludf.DUMMYFUNCTION("""COMPUTED_VALUE"""),27176.95)</f>
        <v>27176.95</v>
      </c>
      <c r="AP1968" s="6" t="str">
        <f t="shared" ca="1" si="555"/>
        <v>202511</v>
      </c>
      <c r="AQ1968" s="6">
        <f t="shared" ca="1" si="556"/>
        <v>2025</v>
      </c>
      <c r="AR1968" s="6">
        <f t="shared" ca="1" si="557"/>
        <v>11</v>
      </c>
      <c r="AS1968" s="68">
        <f ca="1">IFERROR(__xludf.DUMMYFUNCTION("""COMPUTED_VALUE"""),45965.9986111111)</f>
        <v>45965.998611111099</v>
      </c>
      <c r="AT1968" s="6">
        <f ca="1">IFERROR(__xludf.DUMMYFUNCTION("""COMPUTED_VALUE"""),3960.5)</f>
        <v>3960.5</v>
      </c>
    </row>
    <row r="1969" spans="2:46" x14ac:dyDescent="0.35">
      <c r="B1969" s="6" t="str">
        <f t="shared" ca="1" si="540"/>
        <v>202510</v>
      </c>
      <c r="C1969" s="6">
        <f t="shared" ca="1" si="541"/>
        <v>2025</v>
      </c>
      <c r="D1969" s="6">
        <f t="shared" ca="1" si="542"/>
        <v>10</v>
      </c>
      <c r="E1969" s="68">
        <f ca="1">IFERROR(__xludf.DUMMYFUNCTION("""COMPUTED_VALUE"""),45959.6666666666)</f>
        <v>45959.666666666599</v>
      </c>
      <c r="F1969" s="6">
        <f ca="1">IFERROR(__xludf.DUMMYFUNCTION("""COMPUTED_VALUE"""),6890.59)</f>
        <v>6890.59</v>
      </c>
      <c r="J1969" s="6" t="str">
        <f t="shared" ca="1" si="543"/>
        <v>202510</v>
      </c>
      <c r="K1969" s="6">
        <f t="shared" ca="1" si="544"/>
        <v>2025</v>
      </c>
      <c r="L1969" s="6">
        <f t="shared" ca="1" si="545"/>
        <v>10</v>
      </c>
      <c r="M1969" s="68">
        <f ca="1">IFERROR(__xludf.DUMMYFUNCTION("""COMPUTED_VALUE"""),45953.6666666666)</f>
        <v>45953.666666666599</v>
      </c>
      <c r="N1969" s="6">
        <f ca="1">IFERROR(__xludf.DUMMYFUNCTION("""COMPUTED_VALUE"""),22941.8)</f>
        <v>22941.8</v>
      </c>
      <c r="R1969" s="6" t="str">
        <f t="shared" ca="1" si="546"/>
        <v>20261</v>
      </c>
      <c r="S1969" s="6">
        <f t="shared" ca="1" si="547"/>
        <v>2026</v>
      </c>
      <c r="T1969" s="6">
        <f t="shared" ca="1" si="548"/>
        <v>1</v>
      </c>
      <c r="U1969" s="68">
        <f ca="1">IFERROR(__xludf.DUMMYFUNCTION("""COMPUTED_VALUE"""),46035.6458333333)</f>
        <v>46035.645833333299</v>
      </c>
      <c r="V1969" s="6">
        <f ca="1">IFERROR(__xludf.DUMMYFUNCTION("""COMPUTED_VALUE"""),4692.64)</f>
        <v>4692.6400000000003</v>
      </c>
      <c r="Z1969" s="6" t="str">
        <f t="shared" ca="1" si="549"/>
        <v>20237</v>
      </c>
      <c r="AA1969" s="6">
        <f t="shared" ca="1" si="550"/>
        <v>2023</v>
      </c>
      <c r="AB1969" s="6">
        <f t="shared" ca="1" si="551"/>
        <v>7</v>
      </c>
      <c r="AC1969" s="68">
        <f ca="1">IFERROR(__xludf.DUMMYFUNCTION("""COMPUTED_VALUE"""),45118.9986111111)</f>
        <v>45118.998611111099</v>
      </c>
      <c r="AD1969" s="6">
        <f ca="1">IFERROR(__xludf.DUMMYFUNCTION("""COMPUTED_VALUE"""),1291.51)</f>
        <v>1291.51</v>
      </c>
      <c r="AH1969" s="6" t="str">
        <f t="shared" ca="1" si="552"/>
        <v>20235</v>
      </c>
      <c r="AI1969" s="6">
        <f t="shared" ca="1" si="553"/>
        <v>2023</v>
      </c>
      <c r="AJ1969" s="6">
        <f t="shared" ca="1" si="554"/>
        <v>5</v>
      </c>
      <c r="AK1969" s="68">
        <f ca="1">IFERROR(__xludf.DUMMYFUNCTION("""COMPUTED_VALUE"""),45062.9986111111)</f>
        <v>45062.998611111099</v>
      </c>
      <c r="AL1969" s="6">
        <f ca="1">IFERROR(__xludf.DUMMYFUNCTION("""COMPUTED_VALUE"""),27035.87)</f>
        <v>27035.87</v>
      </c>
      <c r="AP1969" s="6" t="str">
        <f t="shared" ca="1" si="555"/>
        <v>202511</v>
      </c>
      <c r="AQ1969" s="6">
        <f t="shared" ca="1" si="556"/>
        <v>2025</v>
      </c>
      <c r="AR1969" s="6">
        <f t="shared" ca="1" si="557"/>
        <v>11</v>
      </c>
      <c r="AS1969" s="68">
        <f ca="1">IFERROR(__xludf.DUMMYFUNCTION("""COMPUTED_VALUE"""),45966.9986111111)</f>
        <v>45966.998611111099</v>
      </c>
      <c r="AT1969" s="6">
        <f ca="1">IFERROR(__xludf.DUMMYFUNCTION("""COMPUTED_VALUE"""),3992.9)</f>
        <v>3992.9</v>
      </c>
    </row>
    <row r="1970" spans="2:46" x14ac:dyDescent="0.35">
      <c r="B1970" s="6" t="str">
        <f t="shared" ca="1" si="540"/>
        <v>202510</v>
      </c>
      <c r="C1970" s="6">
        <f t="shared" ca="1" si="541"/>
        <v>2025</v>
      </c>
      <c r="D1970" s="6">
        <f t="shared" ca="1" si="542"/>
        <v>10</v>
      </c>
      <c r="E1970" s="68">
        <f ca="1">IFERROR(__xludf.DUMMYFUNCTION("""COMPUTED_VALUE"""),45960.6666666666)</f>
        <v>45960.666666666599</v>
      </c>
      <c r="F1970" s="6">
        <f ca="1">IFERROR(__xludf.DUMMYFUNCTION("""COMPUTED_VALUE"""),6822.34)</f>
        <v>6822.34</v>
      </c>
      <c r="J1970" s="6" t="str">
        <f t="shared" ca="1" si="543"/>
        <v>202510</v>
      </c>
      <c r="K1970" s="6">
        <f t="shared" ca="1" si="544"/>
        <v>2025</v>
      </c>
      <c r="L1970" s="6">
        <f t="shared" ca="1" si="545"/>
        <v>10</v>
      </c>
      <c r="M1970" s="68">
        <f ca="1">IFERROR(__xludf.DUMMYFUNCTION("""COMPUTED_VALUE"""),45954.6666666666)</f>
        <v>45954.666666666599</v>
      </c>
      <c r="N1970" s="6">
        <f ca="1">IFERROR(__xludf.DUMMYFUNCTION("""COMPUTED_VALUE"""),23204.87)</f>
        <v>23204.87</v>
      </c>
      <c r="R1970" s="6" t="str">
        <f t="shared" ca="1" si="546"/>
        <v>20261</v>
      </c>
      <c r="S1970" s="6">
        <f t="shared" ca="1" si="547"/>
        <v>2026</v>
      </c>
      <c r="T1970" s="6">
        <f t="shared" ca="1" si="548"/>
        <v>1</v>
      </c>
      <c r="U1970" s="68">
        <f ca="1">IFERROR(__xludf.DUMMYFUNCTION("""COMPUTED_VALUE"""),46036.6458333333)</f>
        <v>46036.645833333299</v>
      </c>
      <c r="V1970" s="6">
        <f ca="1">IFERROR(__xludf.DUMMYFUNCTION("""COMPUTED_VALUE"""),4723.1)</f>
        <v>4723.1000000000004</v>
      </c>
      <c r="Z1970" s="6" t="str">
        <f t="shared" ca="1" si="549"/>
        <v>20237</v>
      </c>
      <c r="AA1970" s="6">
        <f t="shared" ca="1" si="550"/>
        <v>2023</v>
      </c>
      <c r="AB1970" s="6">
        <f t="shared" ca="1" si="551"/>
        <v>7</v>
      </c>
      <c r="AC1970" s="68">
        <f ca="1">IFERROR(__xludf.DUMMYFUNCTION("""COMPUTED_VALUE"""),45119.9986111111)</f>
        <v>45119.998611111099</v>
      </c>
      <c r="AD1970" s="6">
        <f ca="1">IFERROR(__xludf.DUMMYFUNCTION("""COMPUTED_VALUE"""),1274.7)</f>
        <v>1274.7</v>
      </c>
      <c r="AH1970" s="6" t="str">
        <f t="shared" ca="1" si="552"/>
        <v>20235</v>
      </c>
      <c r="AI1970" s="6">
        <f t="shared" ca="1" si="553"/>
        <v>2023</v>
      </c>
      <c r="AJ1970" s="6">
        <f t="shared" ca="1" si="554"/>
        <v>5</v>
      </c>
      <c r="AK1970" s="68">
        <f ca="1">IFERROR(__xludf.DUMMYFUNCTION("""COMPUTED_VALUE"""),45063.9986111111)</f>
        <v>45063.998611111099</v>
      </c>
      <c r="AL1970" s="6">
        <f ca="1">IFERROR(__xludf.DUMMYFUNCTION("""COMPUTED_VALUE"""),27401.65)</f>
        <v>27401.65</v>
      </c>
      <c r="AP1970" s="6" t="str">
        <f t="shared" ca="1" si="555"/>
        <v>202511</v>
      </c>
      <c r="AQ1970" s="6">
        <f t="shared" ca="1" si="556"/>
        <v>2025</v>
      </c>
      <c r="AR1970" s="6">
        <f t="shared" ca="1" si="557"/>
        <v>11</v>
      </c>
      <c r="AS1970" s="68">
        <f ca="1">IFERROR(__xludf.DUMMYFUNCTION("""COMPUTED_VALUE"""),45967.9986111111)</f>
        <v>45967.998611111099</v>
      </c>
      <c r="AT1970" s="6">
        <f ca="1">IFERROR(__xludf.DUMMYFUNCTION("""COMPUTED_VALUE"""),3991)</f>
        <v>3991</v>
      </c>
    </row>
    <row r="1971" spans="2:46" x14ac:dyDescent="0.35">
      <c r="B1971" s="6" t="str">
        <f t="shared" ca="1" si="540"/>
        <v>202510</v>
      </c>
      <c r="C1971" s="6">
        <f t="shared" ca="1" si="541"/>
        <v>2025</v>
      </c>
      <c r="D1971" s="6">
        <f t="shared" ca="1" si="542"/>
        <v>10</v>
      </c>
      <c r="E1971" s="68">
        <f ca="1">IFERROR(__xludf.DUMMYFUNCTION("""COMPUTED_VALUE"""),45961.6666666666)</f>
        <v>45961.666666666599</v>
      </c>
      <c r="F1971" s="6">
        <f ca="1">IFERROR(__xludf.DUMMYFUNCTION("""COMPUTED_VALUE"""),6840.2)</f>
        <v>6840.2</v>
      </c>
      <c r="J1971" s="6" t="str">
        <f t="shared" ca="1" si="543"/>
        <v>202510</v>
      </c>
      <c r="K1971" s="6">
        <f t="shared" ca="1" si="544"/>
        <v>2025</v>
      </c>
      <c r="L1971" s="6">
        <f t="shared" ca="1" si="545"/>
        <v>10</v>
      </c>
      <c r="M1971" s="68">
        <f ca="1">IFERROR(__xludf.DUMMYFUNCTION("""COMPUTED_VALUE"""),45957.6666666666)</f>
        <v>45957.666666666599</v>
      </c>
      <c r="N1971" s="6">
        <f ca="1">IFERROR(__xludf.DUMMYFUNCTION("""COMPUTED_VALUE"""),23637.46)</f>
        <v>23637.46</v>
      </c>
      <c r="R1971" s="6" t="str">
        <f t="shared" ca="1" si="546"/>
        <v>20261</v>
      </c>
      <c r="S1971" s="6">
        <f t="shared" ca="1" si="547"/>
        <v>2026</v>
      </c>
      <c r="T1971" s="6">
        <f t="shared" ca="1" si="548"/>
        <v>1</v>
      </c>
      <c r="U1971" s="68">
        <f ca="1">IFERROR(__xludf.DUMMYFUNCTION("""COMPUTED_VALUE"""),46037.6458333333)</f>
        <v>46037.645833333299</v>
      </c>
      <c r="V1971" s="6">
        <f ca="1">IFERROR(__xludf.DUMMYFUNCTION("""COMPUTED_VALUE"""),4797.55)</f>
        <v>4797.55</v>
      </c>
      <c r="Z1971" s="6" t="str">
        <f t="shared" ca="1" si="549"/>
        <v>20237</v>
      </c>
      <c r="AA1971" s="6">
        <f t="shared" ca="1" si="550"/>
        <v>2023</v>
      </c>
      <c r="AB1971" s="6">
        <f t="shared" ca="1" si="551"/>
        <v>7</v>
      </c>
      <c r="AC1971" s="68">
        <f ca="1">IFERROR(__xludf.DUMMYFUNCTION("""COMPUTED_VALUE"""),45120.9986111111)</f>
        <v>45120.998611111099</v>
      </c>
      <c r="AD1971" s="6">
        <f ca="1">IFERROR(__xludf.DUMMYFUNCTION("""COMPUTED_VALUE"""),1266.83)</f>
        <v>1266.83</v>
      </c>
      <c r="AH1971" s="6" t="str">
        <f t="shared" ca="1" si="552"/>
        <v>20235</v>
      </c>
      <c r="AI1971" s="6">
        <f t="shared" ca="1" si="553"/>
        <v>2023</v>
      </c>
      <c r="AJ1971" s="6">
        <f t="shared" ca="1" si="554"/>
        <v>5</v>
      </c>
      <c r="AK1971" s="68">
        <f ca="1">IFERROR(__xludf.DUMMYFUNCTION("""COMPUTED_VALUE"""),45064.9986111111)</f>
        <v>45064.998611111099</v>
      </c>
      <c r="AL1971" s="6">
        <f ca="1">IFERROR(__xludf.DUMMYFUNCTION("""COMPUTED_VALUE"""),26828.17)</f>
        <v>26828.17</v>
      </c>
      <c r="AP1971" s="6" t="str">
        <f t="shared" ca="1" si="555"/>
        <v>202511</v>
      </c>
      <c r="AQ1971" s="6">
        <f t="shared" ca="1" si="556"/>
        <v>2025</v>
      </c>
      <c r="AR1971" s="6">
        <f t="shared" ca="1" si="557"/>
        <v>11</v>
      </c>
      <c r="AS1971" s="68">
        <f ca="1">IFERROR(__xludf.DUMMYFUNCTION("""COMPUTED_VALUE"""),45968.9986111111)</f>
        <v>45968.998611111099</v>
      </c>
      <c r="AT1971" s="6">
        <f ca="1">IFERROR(__xludf.DUMMYFUNCTION("""COMPUTED_VALUE"""),4009.8)</f>
        <v>4009.8</v>
      </c>
    </row>
    <row r="1972" spans="2:46" x14ac:dyDescent="0.35">
      <c r="B1972" s="6" t="str">
        <f t="shared" ca="1" si="540"/>
        <v>202511</v>
      </c>
      <c r="C1972" s="6">
        <f t="shared" ca="1" si="541"/>
        <v>2025</v>
      </c>
      <c r="D1972" s="6">
        <f t="shared" ca="1" si="542"/>
        <v>11</v>
      </c>
      <c r="E1972" s="68">
        <f ca="1">IFERROR(__xludf.DUMMYFUNCTION("""COMPUTED_VALUE"""),45964.6666666666)</f>
        <v>45964.666666666599</v>
      </c>
      <c r="F1972" s="6">
        <f ca="1">IFERROR(__xludf.DUMMYFUNCTION("""COMPUTED_VALUE"""),6851.97)</f>
        <v>6851.97</v>
      </c>
      <c r="J1972" s="6" t="str">
        <f t="shared" ca="1" si="543"/>
        <v>202510</v>
      </c>
      <c r="K1972" s="6">
        <f t="shared" ca="1" si="544"/>
        <v>2025</v>
      </c>
      <c r="L1972" s="6">
        <f t="shared" ca="1" si="545"/>
        <v>10</v>
      </c>
      <c r="M1972" s="68">
        <f ca="1">IFERROR(__xludf.DUMMYFUNCTION("""COMPUTED_VALUE"""),45958.6666666666)</f>
        <v>45958.666666666599</v>
      </c>
      <c r="N1972" s="6">
        <f ca="1">IFERROR(__xludf.DUMMYFUNCTION("""COMPUTED_VALUE"""),23827.49)</f>
        <v>23827.49</v>
      </c>
      <c r="R1972" s="6" t="str">
        <f t="shared" ca="1" si="546"/>
        <v>20261</v>
      </c>
      <c r="S1972" s="6">
        <f t="shared" ca="1" si="547"/>
        <v>2026</v>
      </c>
      <c r="T1972" s="6">
        <f t="shared" ca="1" si="548"/>
        <v>1</v>
      </c>
      <c r="U1972" s="68">
        <f ca="1">IFERROR(__xludf.DUMMYFUNCTION("""COMPUTED_VALUE"""),46038.6458333333)</f>
        <v>46038.645833333299</v>
      </c>
      <c r="V1972" s="6">
        <f ca="1">IFERROR(__xludf.DUMMYFUNCTION("""COMPUTED_VALUE"""),4840.74)</f>
        <v>4840.74</v>
      </c>
      <c r="Z1972" s="6" t="str">
        <f t="shared" ca="1" si="549"/>
        <v>20237</v>
      </c>
      <c r="AA1972" s="6">
        <f t="shared" ca="1" si="550"/>
        <v>2023</v>
      </c>
      <c r="AB1972" s="6">
        <f t="shared" ca="1" si="551"/>
        <v>7</v>
      </c>
      <c r="AC1972" s="68">
        <f ca="1">IFERROR(__xludf.DUMMYFUNCTION("""COMPUTED_VALUE"""),45121.9986111111)</f>
        <v>45121.998611111099</v>
      </c>
      <c r="AD1972" s="6">
        <f ca="1">IFERROR(__xludf.DUMMYFUNCTION("""COMPUTED_VALUE"""),1268.23)</f>
        <v>1268.23</v>
      </c>
      <c r="AH1972" s="6" t="str">
        <f t="shared" ca="1" si="552"/>
        <v>20235</v>
      </c>
      <c r="AI1972" s="6">
        <f t="shared" ca="1" si="553"/>
        <v>2023</v>
      </c>
      <c r="AJ1972" s="6">
        <f t="shared" ca="1" si="554"/>
        <v>5</v>
      </c>
      <c r="AK1972" s="68">
        <f ca="1">IFERROR(__xludf.DUMMYFUNCTION("""COMPUTED_VALUE"""),45065.9986111111)</f>
        <v>45065.998611111099</v>
      </c>
      <c r="AL1972" s="6">
        <f ca="1">IFERROR(__xludf.DUMMYFUNCTION("""COMPUTED_VALUE"""),26887.22)</f>
        <v>26887.22</v>
      </c>
      <c r="AP1972" s="6" t="str">
        <f t="shared" ca="1" si="555"/>
        <v>202511</v>
      </c>
      <c r="AQ1972" s="6">
        <f t="shared" ca="1" si="556"/>
        <v>2025</v>
      </c>
      <c r="AR1972" s="6">
        <f t="shared" ca="1" si="557"/>
        <v>11</v>
      </c>
      <c r="AS1972" s="68">
        <f ca="1">IFERROR(__xludf.DUMMYFUNCTION("""COMPUTED_VALUE"""),45971.9986111111)</f>
        <v>45971.998611111099</v>
      </c>
      <c r="AT1972" s="6">
        <f ca="1">IFERROR(__xludf.DUMMYFUNCTION("""COMPUTED_VALUE"""),4122)</f>
        <v>4122</v>
      </c>
    </row>
    <row r="1973" spans="2:46" x14ac:dyDescent="0.35">
      <c r="B1973" s="6" t="str">
        <f t="shared" ca="1" si="540"/>
        <v>202511</v>
      </c>
      <c r="C1973" s="6">
        <f t="shared" ca="1" si="541"/>
        <v>2025</v>
      </c>
      <c r="D1973" s="6">
        <f t="shared" ca="1" si="542"/>
        <v>11</v>
      </c>
      <c r="E1973" s="68">
        <f ca="1">IFERROR(__xludf.DUMMYFUNCTION("""COMPUTED_VALUE"""),45965.6666666666)</f>
        <v>45965.666666666599</v>
      </c>
      <c r="F1973" s="6">
        <f ca="1">IFERROR(__xludf.DUMMYFUNCTION("""COMPUTED_VALUE"""),6771.55)</f>
        <v>6771.55</v>
      </c>
      <c r="J1973" s="6" t="str">
        <f t="shared" ca="1" si="543"/>
        <v>202510</v>
      </c>
      <c r="K1973" s="6">
        <f t="shared" ca="1" si="544"/>
        <v>2025</v>
      </c>
      <c r="L1973" s="6">
        <f t="shared" ca="1" si="545"/>
        <v>10</v>
      </c>
      <c r="M1973" s="68">
        <f ca="1">IFERROR(__xludf.DUMMYFUNCTION("""COMPUTED_VALUE"""),45959.6666666666)</f>
        <v>45959.666666666599</v>
      </c>
      <c r="N1973" s="6">
        <f ca="1">IFERROR(__xludf.DUMMYFUNCTION("""COMPUTED_VALUE"""),23958.47)</f>
        <v>23958.47</v>
      </c>
      <c r="R1973" s="6" t="str">
        <f t="shared" ca="1" si="546"/>
        <v>20261</v>
      </c>
      <c r="S1973" s="6">
        <f t="shared" ca="1" si="547"/>
        <v>2026</v>
      </c>
      <c r="T1973" s="6">
        <f t="shared" ca="1" si="548"/>
        <v>1</v>
      </c>
      <c r="U1973" s="68">
        <f ca="1">IFERROR(__xludf.DUMMYFUNCTION("""COMPUTED_VALUE"""),46041.6458333333)</f>
        <v>46041.645833333299</v>
      </c>
      <c r="V1973" s="6">
        <f ca="1">IFERROR(__xludf.DUMMYFUNCTION("""COMPUTED_VALUE"""),4904.66)</f>
        <v>4904.66</v>
      </c>
      <c r="Z1973" s="6" t="str">
        <f t="shared" ca="1" si="549"/>
        <v>20237</v>
      </c>
      <c r="AA1973" s="6">
        <f t="shared" ca="1" si="550"/>
        <v>2023</v>
      </c>
      <c r="AB1973" s="6">
        <f t="shared" ca="1" si="551"/>
        <v>7</v>
      </c>
      <c r="AC1973" s="68">
        <f ca="1">IFERROR(__xludf.DUMMYFUNCTION("""COMPUTED_VALUE"""),45122.9986111111)</f>
        <v>45122.998611111099</v>
      </c>
      <c r="AD1973" s="6">
        <f ca="1">IFERROR(__xludf.DUMMYFUNCTION("""COMPUTED_VALUE"""),1267.83)</f>
        <v>1267.83</v>
      </c>
      <c r="AH1973" s="6" t="str">
        <f t="shared" ca="1" si="552"/>
        <v>20235</v>
      </c>
      <c r="AI1973" s="6">
        <f t="shared" ca="1" si="553"/>
        <v>2023</v>
      </c>
      <c r="AJ1973" s="6">
        <f t="shared" ca="1" si="554"/>
        <v>5</v>
      </c>
      <c r="AK1973" s="68">
        <f ca="1">IFERROR(__xludf.DUMMYFUNCTION("""COMPUTED_VALUE"""),45066.9986111111)</f>
        <v>45066.998611111099</v>
      </c>
      <c r="AL1973" s="6">
        <f ca="1">IFERROR(__xludf.DUMMYFUNCTION("""COMPUTED_VALUE"""),27118.38)</f>
        <v>27118.38</v>
      </c>
      <c r="AP1973" s="6" t="str">
        <f t="shared" ca="1" si="555"/>
        <v>202511</v>
      </c>
      <c r="AQ1973" s="6">
        <f t="shared" ca="1" si="556"/>
        <v>2025</v>
      </c>
      <c r="AR1973" s="6">
        <f t="shared" ca="1" si="557"/>
        <v>11</v>
      </c>
      <c r="AS1973" s="68">
        <f ca="1">IFERROR(__xludf.DUMMYFUNCTION("""COMPUTED_VALUE"""),45972.9986111111)</f>
        <v>45972.998611111099</v>
      </c>
      <c r="AT1973" s="6">
        <f ca="1">IFERROR(__xludf.DUMMYFUNCTION("""COMPUTED_VALUE"""),4116.3)</f>
        <v>4116.3</v>
      </c>
    </row>
    <row r="1974" spans="2:46" x14ac:dyDescent="0.35">
      <c r="B1974" s="6" t="str">
        <f t="shared" ca="1" si="540"/>
        <v>202511</v>
      </c>
      <c r="C1974" s="6">
        <f t="shared" ca="1" si="541"/>
        <v>2025</v>
      </c>
      <c r="D1974" s="6">
        <f t="shared" ca="1" si="542"/>
        <v>11</v>
      </c>
      <c r="E1974" s="68">
        <f ca="1">IFERROR(__xludf.DUMMYFUNCTION("""COMPUTED_VALUE"""),45966.6666666666)</f>
        <v>45966.666666666599</v>
      </c>
      <c r="F1974" s="6">
        <f ca="1">IFERROR(__xludf.DUMMYFUNCTION("""COMPUTED_VALUE"""),6796.29)</f>
        <v>6796.29</v>
      </c>
      <c r="J1974" s="6" t="str">
        <f t="shared" ca="1" si="543"/>
        <v>202510</v>
      </c>
      <c r="K1974" s="6">
        <f t="shared" ca="1" si="544"/>
        <v>2025</v>
      </c>
      <c r="L1974" s="6">
        <f t="shared" ca="1" si="545"/>
        <v>10</v>
      </c>
      <c r="M1974" s="68">
        <f ca="1">IFERROR(__xludf.DUMMYFUNCTION("""COMPUTED_VALUE"""),45960.6666666666)</f>
        <v>45960.666666666599</v>
      </c>
      <c r="N1974" s="6">
        <f ca="1">IFERROR(__xludf.DUMMYFUNCTION("""COMPUTED_VALUE"""),23581.14)</f>
        <v>23581.14</v>
      </c>
      <c r="R1974" s="6" t="str">
        <f t="shared" ca="1" si="546"/>
        <v>20261</v>
      </c>
      <c r="S1974" s="6">
        <f t="shared" ca="1" si="547"/>
        <v>2026</v>
      </c>
      <c r="T1974" s="6">
        <f t="shared" ca="1" si="548"/>
        <v>1</v>
      </c>
      <c r="U1974" s="68">
        <f ca="1">IFERROR(__xludf.DUMMYFUNCTION("""COMPUTED_VALUE"""),46042.6458333333)</f>
        <v>46042.645833333299</v>
      </c>
      <c r="V1974" s="6">
        <f ca="1">IFERROR(__xludf.DUMMYFUNCTION("""COMPUTED_VALUE"""),4885.75)</f>
        <v>4885.75</v>
      </c>
      <c r="Z1974" s="6" t="str">
        <f t="shared" ca="1" si="549"/>
        <v>20237</v>
      </c>
      <c r="AA1974" s="6">
        <f t="shared" ca="1" si="550"/>
        <v>2023</v>
      </c>
      <c r="AB1974" s="6">
        <f t="shared" ca="1" si="551"/>
        <v>7</v>
      </c>
      <c r="AC1974" s="68">
        <f ca="1">IFERROR(__xludf.DUMMYFUNCTION("""COMPUTED_VALUE"""),45123.9986111111)</f>
        <v>45123.998611111099</v>
      </c>
      <c r="AD1974" s="6">
        <f ca="1">IFERROR(__xludf.DUMMYFUNCTION("""COMPUTED_VALUE"""),1268.34)</f>
        <v>1268.3399999999999</v>
      </c>
      <c r="AH1974" s="6" t="str">
        <f t="shared" ca="1" si="552"/>
        <v>20235</v>
      </c>
      <c r="AI1974" s="6">
        <f t="shared" ca="1" si="553"/>
        <v>2023</v>
      </c>
      <c r="AJ1974" s="6">
        <f t="shared" ca="1" si="554"/>
        <v>5</v>
      </c>
      <c r="AK1974" s="68">
        <f ca="1">IFERROR(__xludf.DUMMYFUNCTION("""COMPUTED_VALUE"""),45067.9986111111)</f>
        <v>45067.998611111099</v>
      </c>
      <c r="AL1974" s="6">
        <f ca="1">IFERROR(__xludf.DUMMYFUNCTION("""COMPUTED_VALUE"""),26750.97)</f>
        <v>26750.97</v>
      </c>
      <c r="AP1974" s="6" t="str">
        <f t="shared" ca="1" si="555"/>
        <v>202511</v>
      </c>
      <c r="AQ1974" s="6">
        <f t="shared" ca="1" si="556"/>
        <v>2025</v>
      </c>
      <c r="AR1974" s="6">
        <f t="shared" ca="1" si="557"/>
        <v>11</v>
      </c>
      <c r="AS1974" s="68">
        <f ca="1">IFERROR(__xludf.DUMMYFUNCTION("""COMPUTED_VALUE"""),45973.9986111111)</f>
        <v>45973.998611111099</v>
      </c>
      <c r="AT1974" s="6">
        <f ca="1">IFERROR(__xludf.DUMMYFUNCTION("""COMPUTED_VALUE"""),4213.6)</f>
        <v>4213.6000000000004</v>
      </c>
    </row>
    <row r="1975" spans="2:46" x14ac:dyDescent="0.35">
      <c r="B1975" s="6" t="str">
        <f t="shared" ca="1" si="540"/>
        <v>202511</v>
      </c>
      <c r="C1975" s="6">
        <f t="shared" ca="1" si="541"/>
        <v>2025</v>
      </c>
      <c r="D1975" s="6">
        <f t="shared" ca="1" si="542"/>
        <v>11</v>
      </c>
      <c r="E1975" s="68">
        <f ca="1">IFERROR(__xludf.DUMMYFUNCTION("""COMPUTED_VALUE"""),45967.6666666666)</f>
        <v>45967.666666666599</v>
      </c>
      <c r="F1975" s="6">
        <f ca="1">IFERROR(__xludf.DUMMYFUNCTION("""COMPUTED_VALUE"""),6720.32)</f>
        <v>6720.32</v>
      </c>
      <c r="J1975" s="6" t="str">
        <f t="shared" ca="1" si="543"/>
        <v>202510</v>
      </c>
      <c r="K1975" s="6">
        <f t="shared" ca="1" si="544"/>
        <v>2025</v>
      </c>
      <c r="L1975" s="6">
        <f t="shared" ca="1" si="545"/>
        <v>10</v>
      </c>
      <c r="M1975" s="68">
        <f ca="1">IFERROR(__xludf.DUMMYFUNCTION("""COMPUTED_VALUE"""),45961.6666666666)</f>
        <v>45961.666666666599</v>
      </c>
      <c r="N1975" s="6">
        <f ca="1">IFERROR(__xludf.DUMMYFUNCTION("""COMPUTED_VALUE"""),23724.96)</f>
        <v>23724.959999999999</v>
      </c>
      <c r="R1975" s="6" t="str">
        <f t="shared" ca="1" si="546"/>
        <v>20261</v>
      </c>
      <c r="S1975" s="6">
        <f t="shared" ca="1" si="547"/>
        <v>2026</v>
      </c>
      <c r="T1975" s="6">
        <f t="shared" ca="1" si="548"/>
        <v>1</v>
      </c>
      <c r="U1975" s="68">
        <f ca="1">IFERROR(__xludf.DUMMYFUNCTION("""COMPUTED_VALUE"""),46043.6458333333)</f>
        <v>46043.645833333299</v>
      </c>
      <c r="V1975" s="6">
        <f ca="1">IFERROR(__xludf.DUMMYFUNCTION("""COMPUTED_VALUE"""),4909.93)</f>
        <v>4909.93</v>
      </c>
      <c r="Z1975" s="6" t="str">
        <f t="shared" ca="1" si="549"/>
        <v>20237</v>
      </c>
      <c r="AA1975" s="6">
        <f t="shared" ca="1" si="550"/>
        <v>2023</v>
      </c>
      <c r="AB1975" s="6">
        <f t="shared" ca="1" si="551"/>
        <v>7</v>
      </c>
      <c r="AC1975" s="68">
        <f ca="1">IFERROR(__xludf.DUMMYFUNCTION("""COMPUTED_VALUE"""),45124.9986111111)</f>
        <v>45124.998611111099</v>
      </c>
      <c r="AD1975" s="6">
        <f ca="1">IFERROR(__xludf.DUMMYFUNCTION("""COMPUTED_VALUE"""),1265.45)</f>
        <v>1265.45</v>
      </c>
      <c r="AH1975" s="6" t="str">
        <f t="shared" ca="1" si="552"/>
        <v>20235</v>
      </c>
      <c r="AI1975" s="6">
        <f t="shared" ca="1" si="553"/>
        <v>2023</v>
      </c>
      <c r="AJ1975" s="6">
        <f t="shared" ca="1" si="554"/>
        <v>5</v>
      </c>
      <c r="AK1975" s="68">
        <f ca="1">IFERROR(__xludf.DUMMYFUNCTION("""COMPUTED_VALUE"""),45068.9986111111)</f>
        <v>45068.998611111099</v>
      </c>
      <c r="AL1975" s="6">
        <f ca="1">IFERROR(__xludf.DUMMYFUNCTION("""COMPUTED_VALUE"""),26852.15)</f>
        <v>26852.15</v>
      </c>
      <c r="AP1975" s="6" t="str">
        <f t="shared" ca="1" si="555"/>
        <v>202511</v>
      </c>
      <c r="AQ1975" s="6">
        <f t="shared" ca="1" si="556"/>
        <v>2025</v>
      </c>
      <c r="AR1975" s="6">
        <f t="shared" ca="1" si="557"/>
        <v>11</v>
      </c>
      <c r="AS1975" s="68">
        <f ca="1">IFERROR(__xludf.DUMMYFUNCTION("""COMPUTED_VALUE"""),45974.9986111111)</f>
        <v>45974.998611111099</v>
      </c>
      <c r="AT1975" s="6">
        <f ca="1">IFERROR(__xludf.DUMMYFUNCTION("""COMPUTED_VALUE"""),4194.5)</f>
        <v>4194.5</v>
      </c>
    </row>
    <row r="1976" spans="2:46" x14ac:dyDescent="0.35">
      <c r="B1976" s="6" t="str">
        <f t="shared" ca="1" si="540"/>
        <v>202511</v>
      </c>
      <c r="C1976" s="6">
        <f t="shared" ca="1" si="541"/>
        <v>2025</v>
      </c>
      <c r="D1976" s="6">
        <f t="shared" ca="1" si="542"/>
        <v>11</v>
      </c>
      <c r="E1976" s="68">
        <f ca="1">IFERROR(__xludf.DUMMYFUNCTION("""COMPUTED_VALUE"""),45968.6666666666)</f>
        <v>45968.666666666599</v>
      </c>
      <c r="F1976" s="6">
        <f ca="1">IFERROR(__xludf.DUMMYFUNCTION("""COMPUTED_VALUE"""),6728.8)</f>
        <v>6728.8</v>
      </c>
      <c r="J1976" s="6" t="str">
        <f t="shared" ca="1" si="543"/>
        <v>202511</v>
      </c>
      <c r="K1976" s="6">
        <f t="shared" ca="1" si="544"/>
        <v>2025</v>
      </c>
      <c r="L1976" s="6">
        <f t="shared" ca="1" si="545"/>
        <v>11</v>
      </c>
      <c r="M1976" s="68">
        <f ca="1">IFERROR(__xludf.DUMMYFUNCTION("""COMPUTED_VALUE"""),45964.6666666666)</f>
        <v>45964.666666666599</v>
      </c>
      <c r="N1976" s="6">
        <f ca="1">IFERROR(__xludf.DUMMYFUNCTION("""COMPUTED_VALUE"""),23834.72)</f>
        <v>23834.720000000001</v>
      </c>
      <c r="R1976" s="6" t="str">
        <f t="shared" ca="1" si="546"/>
        <v>20261</v>
      </c>
      <c r="S1976" s="6">
        <f t="shared" ca="1" si="547"/>
        <v>2026</v>
      </c>
      <c r="T1976" s="6">
        <f t="shared" ca="1" si="548"/>
        <v>1</v>
      </c>
      <c r="U1976" s="68">
        <f ca="1">IFERROR(__xludf.DUMMYFUNCTION("""COMPUTED_VALUE"""),46044.6458333333)</f>
        <v>46044.645833333299</v>
      </c>
      <c r="V1976" s="6">
        <f ca="1">IFERROR(__xludf.DUMMYFUNCTION("""COMPUTED_VALUE"""),4952.53)</f>
        <v>4952.53</v>
      </c>
      <c r="Z1976" s="6" t="str">
        <f t="shared" ca="1" si="549"/>
        <v>20237</v>
      </c>
      <c r="AA1976" s="6">
        <f t="shared" ca="1" si="550"/>
        <v>2023</v>
      </c>
      <c r="AB1976" s="6">
        <f t="shared" ca="1" si="551"/>
        <v>7</v>
      </c>
      <c r="AC1976" s="68">
        <f ca="1">IFERROR(__xludf.DUMMYFUNCTION("""COMPUTED_VALUE"""),45125.9986111111)</f>
        <v>45125.998611111099</v>
      </c>
      <c r="AD1976" s="6">
        <f ca="1">IFERROR(__xludf.DUMMYFUNCTION("""COMPUTED_VALUE"""),1264.94)</f>
        <v>1264.94</v>
      </c>
      <c r="AH1976" s="6" t="str">
        <f t="shared" ca="1" si="552"/>
        <v>20235</v>
      </c>
      <c r="AI1976" s="6">
        <f t="shared" ca="1" si="553"/>
        <v>2023</v>
      </c>
      <c r="AJ1976" s="6">
        <f t="shared" ca="1" si="554"/>
        <v>5</v>
      </c>
      <c r="AK1976" s="68">
        <f ca="1">IFERROR(__xludf.DUMMYFUNCTION("""COMPUTED_VALUE"""),45069.9986111111)</f>
        <v>45069.998611111099</v>
      </c>
      <c r="AL1976" s="6">
        <f ca="1">IFERROR(__xludf.DUMMYFUNCTION("""COMPUTED_VALUE"""),27220.68)</f>
        <v>27220.68</v>
      </c>
      <c r="AP1976" s="6" t="str">
        <f t="shared" ca="1" si="555"/>
        <v>202511</v>
      </c>
      <c r="AQ1976" s="6">
        <f t="shared" ca="1" si="556"/>
        <v>2025</v>
      </c>
      <c r="AR1976" s="6">
        <f t="shared" ca="1" si="557"/>
        <v>11</v>
      </c>
      <c r="AS1976" s="68">
        <f ca="1">IFERROR(__xludf.DUMMYFUNCTION("""COMPUTED_VALUE"""),45975.9986111111)</f>
        <v>45975.998611111099</v>
      </c>
      <c r="AT1976" s="6">
        <f ca="1">IFERROR(__xludf.DUMMYFUNCTION("""COMPUTED_VALUE"""),4094.2)</f>
        <v>4094.2</v>
      </c>
    </row>
    <row r="1977" spans="2:46" x14ac:dyDescent="0.35">
      <c r="B1977" s="6" t="str">
        <f t="shared" ca="1" si="540"/>
        <v>202511</v>
      </c>
      <c r="C1977" s="6">
        <f t="shared" ca="1" si="541"/>
        <v>2025</v>
      </c>
      <c r="D1977" s="6">
        <f t="shared" ca="1" si="542"/>
        <v>11</v>
      </c>
      <c r="E1977" s="68">
        <f ca="1">IFERROR(__xludf.DUMMYFUNCTION("""COMPUTED_VALUE"""),45971.6666666666)</f>
        <v>45971.666666666599</v>
      </c>
      <c r="F1977" s="6">
        <f ca="1">IFERROR(__xludf.DUMMYFUNCTION("""COMPUTED_VALUE"""),6832.43)</f>
        <v>6832.43</v>
      </c>
      <c r="J1977" s="6" t="str">
        <f t="shared" ca="1" si="543"/>
        <v>202511</v>
      </c>
      <c r="K1977" s="6">
        <f t="shared" ca="1" si="544"/>
        <v>2025</v>
      </c>
      <c r="L1977" s="6">
        <f t="shared" ca="1" si="545"/>
        <v>11</v>
      </c>
      <c r="M1977" s="68">
        <f ca="1">IFERROR(__xludf.DUMMYFUNCTION("""COMPUTED_VALUE"""),45965.6666666666)</f>
        <v>45965.666666666599</v>
      </c>
      <c r="N1977" s="6">
        <f ca="1">IFERROR(__xludf.DUMMYFUNCTION("""COMPUTED_VALUE"""),23348.64)</f>
        <v>23348.639999999999</v>
      </c>
      <c r="R1977" s="6" t="str">
        <f t="shared" ca="1" si="546"/>
        <v>20261</v>
      </c>
      <c r="S1977" s="6">
        <f t="shared" ca="1" si="547"/>
        <v>2026</v>
      </c>
      <c r="T1977" s="6">
        <f t="shared" ca="1" si="548"/>
        <v>1</v>
      </c>
      <c r="U1977" s="68">
        <f ca="1">IFERROR(__xludf.DUMMYFUNCTION("""COMPUTED_VALUE"""),46045.6458333333)</f>
        <v>46045.645833333299</v>
      </c>
      <c r="V1977" s="6">
        <f ca="1">IFERROR(__xludf.DUMMYFUNCTION("""COMPUTED_VALUE"""),4990.07)</f>
        <v>4990.07</v>
      </c>
      <c r="Z1977" s="6" t="str">
        <f t="shared" ca="1" si="549"/>
        <v>20237</v>
      </c>
      <c r="AA1977" s="6">
        <f t="shared" ca="1" si="550"/>
        <v>2023</v>
      </c>
      <c r="AB1977" s="6">
        <f t="shared" ca="1" si="551"/>
        <v>7</v>
      </c>
      <c r="AC1977" s="68">
        <f ca="1">IFERROR(__xludf.DUMMYFUNCTION("""COMPUTED_VALUE"""),45126.9986111111)</f>
        <v>45126.998611111099</v>
      </c>
      <c r="AD1977" s="6">
        <f ca="1">IFERROR(__xludf.DUMMYFUNCTION("""COMPUTED_VALUE"""),1265.09)</f>
        <v>1265.0899999999999</v>
      </c>
      <c r="AH1977" s="6" t="str">
        <f t="shared" ca="1" si="552"/>
        <v>20235</v>
      </c>
      <c r="AI1977" s="6">
        <f t="shared" ca="1" si="553"/>
        <v>2023</v>
      </c>
      <c r="AJ1977" s="6">
        <f t="shared" ca="1" si="554"/>
        <v>5</v>
      </c>
      <c r="AK1977" s="68">
        <f ca="1">IFERROR(__xludf.DUMMYFUNCTION("""COMPUTED_VALUE"""),45070.9986111111)</f>
        <v>45070.998611111099</v>
      </c>
      <c r="AL1977" s="6">
        <f ca="1">IFERROR(__xludf.DUMMYFUNCTION("""COMPUTED_VALUE"""),26325.69)</f>
        <v>26325.69</v>
      </c>
      <c r="AP1977" s="6" t="str">
        <f t="shared" ca="1" si="555"/>
        <v>202511</v>
      </c>
      <c r="AQ1977" s="6">
        <f t="shared" ca="1" si="556"/>
        <v>2025</v>
      </c>
      <c r="AR1977" s="6">
        <f t="shared" ca="1" si="557"/>
        <v>11</v>
      </c>
      <c r="AS1977" s="68">
        <f ca="1">IFERROR(__xludf.DUMMYFUNCTION("""COMPUTED_VALUE"""),45978.9986111111)</f>
        <v>45978.998611111099</v>
      </c>
      <c r="AT1977" s="6">
        <f ca="1">IFERROR(__xludf.DUMMYFUNCTION("""COMPUTED_VALUE"""),4074.5)</f>
        <v>4074.5</v>
      </c>
    </row>
    <row r="1978" spans="2:46" x14ac:dyDescent="0.35">
      <c r="B1978" s="6" t="str">
        <f t="shared" ca="1" si="540"/>
        <v>202511</v>
      </c>
      <c r="C1978" s="6">
        <f t="shared" ca="1" si="541"/>
        <v>2025</v>
      </c>
      <c r="D1978" s="6">
        <f t="shared" ca="1" si="542"/>
        <v>11</v>
      </c>
      <c r="E1978" s="68">
        <f ca="1">IFERROR(__xludf.DUMMYFUNCTION("""COMPUTED_VALUE"""),45972.6666666666)</f>
        <v>45972.666666666599</v>
      </c>
      <c r="F1978" s="6">
        <f ca="1">IFERROR(__xludf.DUMMYFUNCTION("""COMPUTED_VALUE"""),6846.61)</f>
        <v>6846.61</v>
      </c>
      <c r="J1978" s="6" t="str">
        <f t="shared" ca="1" si="543"/>
        <v>202511</v>
      </c>
      <c r="K1978" s="6">
        <f t="shared" ca="1" si="544"/>
        <v>2025</v>
      </c>
      <c r="L1978" s="6">
        <f t="shared" ca="1" si="545"/>
        <v>11</v>
      </c>
      <c r="M1978" s="68">
        <f ca="1">IFERROR(__xludf.DUMMYFUNCTION("""COMPUTED_VALUE"""),45966.6666666666)</f>
        <v>45966.666666666599</v>
      </c>
      <c r="N1978" s="6">
        <f ca="1">IFERROR(__xludf.DUMMYFUNCTION("""COMPUTED_VALUE"""),23499.8)</f>
        <v>23499.8</v>
      </c>
      <c r="R1978" s="6" t="str">
        <f t="shared" ca="1" si="546"/>
        <v>20261</v>
      </c>
      <c r="S1978" s="6">
        <f t="shared" ca="1" si="547"/>
        <v>2026</v>
      </c>
      <c r="T1978" s="6">
        <f t="shared" ca="1" si="548"/>
        <v>1</v>
      </c>
      <c r="U1978" s="68">
        <f ca="1">IFERROR(__xludf.DUMMYFUNCTION("""COMPUTED_VALUE"""),46048.6458333333)</f>
        <v>46048.645833333299</v>
      </c>
      <c r="V1978" s="6">
        <f ca="1">IFERROR(__xludf.DUMMYFUNCTION("""COMPUTED_VALUE"""),4949.59)</f>
        <v>4949.59</v>
      </c>
      <c r="Z1978" s="6" t="str">
        <f t="shared" ca="1" si="549"/>
        <v>20237</v>
      </c>
      <c r="AA1978" s="6">
        <f t="shared" ca="1" si="550"/>
        <v>2023</v>
      </c>
      <c r="AB1978" s="6">
        <f t="shared" ca="1" si="551"/>
        <v>7</v>
      </c>
      <c r="AC1978" s="68">
        <f ca="1">IFERROR(__xludf.DUMMYFUNCTION("""COMPUTED_VALUE"""),45127.9986111111)</f>
        <v>45127.998611111099</v>
      </c>
      <c r="AD1978" s="6">
        <f ca="1">IFERROR(__xludf.DUMMYFUNCTION("""COMPUTED_VALUE"""),1278.4)</f>
        <v>1278.4000000000001</v>
      </c>
      <c r="AH1978" s="6" t="str">
        <f t="shared" ca="1" si="552"/>
        <v>20235</v>
      </c>
      <c r="AI1978" s="6">
        <f t="shared" ca="1" si="553"/>
        <v>2023</v>
      </c>
      <c r="AJ1978" s="6">
        <f t="shared" ca="1" si="554"/>
        <v>5</v>
      </c>
      <c r="AK1978" s="68">
        <f ca="1">IFERROR(__xludf.DUMMYFUNCTION("""COMPUTED_VALUE"""),45071.9986111111)</f>
        <v>45071.998611111099</v>
      </c>
      <c r="AL1978" s="6">
        <f ca="1">IFERROR(__xludf.DUMMYFUNCTION("""COMPUTED_VALUE"""),26477.4)</f>
        <v>26477.4</v>
      </c>
      <c r="AP1978" s="6" t="str">
        <f t="shared" ca="1" si="555"/>
        <v>202511</v>
      </c>
      <c r="AQ1978" s="6">
        <f t="shared" ca="1" si="556"/>
        <v>2025</v>
      </c>
      <c r="AR1978" s="6">
        <f t="shared" ca="1" si="557"/>
        <v>11</v>
      </c>
      <c r="AS1978" s="68">
        <f ca="1">IFERROR(__xludf.DUMMYFUNCTION("""COMPUTED_VALUE"""),45979.9986111111)</f>
        <v>45979.998611111099</v>
      </c>
      <c r="AT1978" s="6">
        <f ca="1">IFERROR(__xludf.DUMMYFUNCTION("""COMPUTED_VALUE"""),4066.5)</f>
        <v>4066.5</v>
      </c>
    </row>
    <row r="1979" spans="2:46" x14ac:dyDescent="0.35">
      <c r="B1979" s="6" t="str">
        <f t="shared" ca="1" si="540"/>
        <v>202511</v>
      </c>
      <c r="C1979" s="6">
        <f t="shared" ca="1" si="541"/>
        <v>2025</v>
      </c>
      <c r="D1979" s="6">
        <f t="shared" ca="1" si="542"/>
        <v>11</v>
      </c>
      <c r="E1979" s="68">
        <f ca="1">IFERROR(__xludf.DUMMYFUNCTION("""COMPUTED_VALUE"""),45973.6666666666)</f>
        <v>45973.666666666599</v>
      </c>
      <c r="F1979" s="6">
        <f ca="1">IFERROR(__xludf.DUMMYFUNCTION("""COMPUTED_VALUE"""),6850.92)</f>
        <v>6850.92</v>
      </c>
      <c r="J1979" s="6" t="str">
        <f t="shared" ca="1" si="543"/>
        <v>202511</v>
      </c>
      <c r="K1979" s="6">
        <f t="shared" ca="1" si="544"/>
        <v>2025</v>
      </c>
      <c r="L1979" s="6">
        <f t="shared" ca="1" si="545"/>
        <v>11</v>
      </c>
      <c r="M1979" s="68">
        <f ca="1">IFERROR(__xludf.DUMMYFUNCTION("""COMPUTED_VALUE"""),45967.6666666666)</f>
        <v>45967.666666666599</v>
      </c>
      <c r="N1979" s="6">
        <f ca="1">IFERROR(__xludf.DUMMYFUNCTION("""COMPUTED_VALUE"""),23053.99)</f>
        <v>23053.99</v>
      </c>
      <c r="R1979" s="6" t="str">
        <f t="shared" ca="1" si="546"/>
        <v>20261</v>
      </c>
      <c r="S1979" s="6">
        <f t="shared" ca="1" si="547"/>
        <v>2026</v>
      </c>
      <c r="T1979" s="6">
        <f t="shared" ca="1" si="548"/>
        <v>1</v>
      </c>
      <c r="U1979" s="68">
        <f ca="1">IFERROR(__xludf.DUMMYFUNCTION("""COMPUTED_VALUE"""),46049.6458333333)</f>
        <v>46049.645833333299</v>
      </c>
      <c r="V1979" s="6">
        <f ca="1">IFERROR(__xludf.DUMMYFUNCTION("""COMPUTED_VALUE"""),5084.85)</f>
        <v>5084.8500000000004</v>
      </c>
      <c r="Z1979" s="6" t="str">
        <f t="shared" ca="1" si="549"/>
        <v>20237</v>
      </c>
      <c r="AA1979" s="6">
        <f t="shared" ca="1" si="550"/>
        <v>2023</v>
      </c>
      <c r="AB1979" s="6">
        <f t="shared" ca="1" si="551"/>
        <v>7</v>
      </c>
      <c r="AC1979" s="68">
        <f ca="1">IFERROR(__xludf.DUMMYFUNCTION("""COMPUTED_VALUE"""),45128.9986111111)</f>
        <v>45128.998611111099</v>
      </c>
      <c r="AD1979" s="6">
        <f ca="1">IFERROR(__xludf.DUMMYFUNCTION("""COMPUTED_VALUE"""),1285.65)</f>
        <v>1285.6500000000001</v>
      </c>
      <c r="AH1979" s="6" t="str">
        <f t="shared" ca="1" si="552"/>
        <v>20235</v>
      </c>
      <c r="AI1979" s="6">
        <f t="shared" ca="1" si="553"/>
        <v>2023</v>
      </c>
      <c r="AJ1979" s="6">
        <f t="shared" ca="1" si="554"/>
        <v>5</v>
      </c>
      <c r="AK1979" s="68">
        <f ca="1">IFERROR(__xludf.DUMMYFUNCTION("""COMPUTED_VALUE"""),45072.9986111111)</f>
        <v>45072.998611111099</v>
      </c>
      <c r="AL1979" s="6">
        <f ca="1">IFERROR(__xludf.DUMMYFUNCTION("""COMPUTED_VALUE"""),26713.51)</f>
        <v>26713.51</v>
      </c>
      <c r="AP1979" s="6" t="str">
        <f t="shared" ca="1" si="555"/>
        <v>202511</v>
      </c>
      <c r="AQ1979" s="6">
        <f t="shared" ca="1" si="556"/>
        <v>2025</v>
      </c>
      <c r="AR1979" s="6">
        <f t="shared" ca="1" si="557"/>
        <v>11</v>
      </c>
      <c r="AS1979" s="68">
        <f ca="1">IFERROR(__xludf.DUMMYFUNCTION("""COMPUTED_VALUE"""),45980.9986111111)</f>
        <v>45980.998611111099</v>
      </c>
      <c r="AT1979" s="6">
        <f ca="1">IFERROR(__xludf.DUMMYFUNCTION("""COMPUTED_VALUE"""),4082.8)</f>
        <v>4082.8</v>
      </c>
    </row>
    <row r="1980" spans="2:46" x14ac:dyDescent="0.35">
      <c r="B1980" s="6" t="str">
        <f t="shared" ca="1" si="540"/>
        <v>202511</v>
      </c>
      <c r="C1980" s="6">
        <f t="shared" ca="1" si="541"/>
        <v>2025</v>
      </c>
      <c r="D1980" s="6">
        <f t="shared" ca="1" si="542"/>
        <v>11</v>
      </c>
      <c r="E1980" s="68">
        <f ca="1">IFERROR(__xludf.DUMMYFUNCTION("""COMPUTED_VALUE"""),45974.6666666666)</f>
        <v>45974.666666666599</v>
      </c>
      <c r="F1980" s="6">
        <f ca="1">IFERROR(__xludf.DUMMYFUNCTION("""COMPUTED_VALUE"""),6737.49)</f>
        <v>6737.49</v>
      </c>
      <c r="J1980" s="6" t="str">
        <f t="shared" ca="1" si="543"/>
        <v>202511</v>
      </c>
      <c r="K1980" s="6">
        <f t="shared" ca="1" si="544"/>
        <v>2025</v>
      </c>
      <c r="L1980" s="6">
        <f t="shared" ca="1" si="545"/>
        <v>11</v>
      </c>
      <c r="M1980" s="68">
        <f ca="1">IFERROR(__xludf.DUMMYFUNCTION("""COMPUTED_VALUE"""),45968.6666666666)</f>
        <v>45968.666666666599</v>
      </c>
      <c r="N1980" s="6">
        <f ca="1">IFERROR(__xludf.DUMMYFUNCTION("""COMPUTED_VALUE"""),23004.54)</f>
        <v>23004.54</v>
      </c>
      <c r="R1980" s="6" t="str">
        <f t="shared" ca="1" si="546"/>
        <v>20261</v>
      </c>
      <c r="S1980" s="6">
        <f t="shared" ca="1" si="547"/>
        <v>2026</v>
      </c>
      <c r="T1980" s="6">
        <f t="shared" ca="1" si="548"/>
        <v>1</v>
      </c>
      <c r="U1980" s="68">
        <f ca="1">IFERROR(__xludf.DUMMYFUNCTION("""COMPUTED_VALUE"""),46050.6458333333)</f>
        <v>46050.645833333299</v>
      </c>
      <c r="V1980" s="6">
        <f ca="1">IFERROR(__xludf.DUMMYFUNCTION("""COMPUTED_VALUE"""),5170.81)</f>
        <v>5170.8100000000004</v>
      </c>
      <c r="Z1980" s="6" t="str">
        <f t="shared" ca="1" si="549"/>
        <v>20237</v>
      </c>
      <c r="AA1980" s="6">
        <f t="shared" ca="1" si="550"/>
        <v>2023</v>
      </c>
      <c r="AB1980" s="6">
        <f t="shared" ca="1" si="551"/>
        <v>7</v>
      </c>
      <c r="AC1980" s="68">
        <f ca="1">IFERROR(__xludf.DUMMYFUNCTION("""COMPUTED_VALUE"""),45129.9986111111)</f>
        <v>45129.998611111099</v>
      </c>
      <c r="AD1980" s="6">
        <f ca="1">IFERROR(__xludf.DUMMYFUNCTION("""COMPUTED_VALUE"""),1285.55)</f>
        <v>1285.55</v>
      </c>
      <c r="AH1980" s="6" t="str">
        <f t="shared" ca="1" si="552"/>
        <v>20235</v>
      </c>
      <c r="AI1980" s="6">
        <f t="shared" ca="1" si="553"/>
        <v>2023</v>
      </c>
      <c r="AJ1980" s="6">
        <f t="shared" ca="1" si="554"/>
        <v>5</v>
      </c>
      <c r="AK1980" s="68">
        <f ca="1">IFERROR(__xludf.DUMMYFUNCTION("""COMPUTED_VALUE"""),45073.9986111111)</f>
        <v>45073.998611111099</v>
      </c>
      <c r="AL1980" s="6">
        <f ca="1">IFERROR(__xludf.DUMMYFUNCTION("""COMPUTED_VALUE"""),26865.48)</f>
        <v>26865.48</v>
      </c>
      <c r="AP1980" s="6" t="str">
        <f t="shared" ca="1" si="555"/>
        <v>202511</v>
      </c>
      <c r="AQ1980" s="6">
        <f t="shared" ca="1" si="556"/>
        <v>2025</v>
      </c>
      <c r="AR1980" s="6">
        <f t="shared" ca="1" si="557"/>
        <v>11</v>
      </c>
      <c r="AS1980" s="68">
        <f ca="1">IFERROR(__xludf.DUMMYFUNCTION("""COMPUTED_VALUE"""),45981.9986111111)</f>
        <v>45981.998611111099</v>
      </c>
      <c r="AT1980" s="6">
        <f ca="1">IFERROR(__xludf.DUMMYFUNCTION("""COMPUTED_VALUE"""),4060)</f>
        <v>4060</v>
      </c>
    </row>
    <row r="1981" spans="2:46" x14ac:dyDescent="0.35">
      <c r="B1981" s="6" t="str">
        <f t="shared" ca="1" si="540"/>
        <v>202511</v>
      </c>
      <c r="C1981" s="6">
        <f t="shared" ca="1" si="541"/>
        <v>2025</v>
      </c>
      <c r="D1981" s="6">
        <f t="shared" ca="1" si="542"/>
        <v>11</v>
      </c>
      <c r="E1981" s="68">
        <f ca="1">IFERROR(__xludf.DUMMYFUNCTION("""COMPUTED_VALUE"""),45975.6666666666)</f>
        <v>45975.666666666599</v>
      </c>
      <c r="F1981" s="6">
        <f ca="1">IFERROR(__xludf.DUMMYFUNCTION("""COMPUTED_VALUE"""),6734.11)</f>
        <v>6734.11</v>
      </c>
      <c r="J1981" s="6" t="str">
        <f t="shared" ca="1" si="543"/>
        <v>202511</v>
      </c>
      <c r="K1981" s="6">
        <f t="shared" ca="1" si="544"/>
        <v>2025</v>
      </c>
      <c r="L1981" s="6">
        <f t="shared" ca="1" si="545"/>
        <v>11</v>
      </c>
      <c r="M1981" s="68">
        <f ca="1">IFERROR(__xludf.DUMMYFUNCTION("""COMPUTED_VALUE"""),45971.6666666666)</f>
        <v>45971.666666666599</v>
      </c>
      <c r="N1981" s="6">
        <f ca="1">IFERROR(__xludf.DUMMYFUNCTION("""COMPUTED_VALUE"""),23527.17)</f>
        <v>23527.17</v>
      </c>
      <c r="R1981" s="6" t="str">
        <f t="shared" ca="1" si="546"/>
        <v>20261</v>
      </c>
      <c r="S1981" s="6">
        <f t="shared" ca="1" si="547"/>
        <v>2026</v>
      </c>
      <c r="T1981" s="6">
        <f t="shared" ca="1" si="548"/>
        <v>1</v>
      </c>
      <c r="U1981" s="68">
        <f ca="1">IFERROR(__xludf.DUMMYFUNCTION("""COMPUTED_VALUE"""),46051.6458333333)</f>
        <v>46051.645833333299</v>
      </c>
      <c r="V1981" s="6">
        <f ca="1">IFERROR(__xludf.DUMMYFUNCTION("""COMPUTED_VALUE"""),5221.25)</f>
        <v>5221.25</v>
      </c>
      <c r="Z1981" s="6" t="str">
        <f t="shared" ca="1" si="549"/>
        <v>20237</v>
      </c>
      <c r="AA1981" s="6">
        <f t="shared" ca="1" si="550"/>
        <v>2023</v>
      </c>
      <c r="AB1981" s="6">
        <f t="shared" ca="1" si="551"/>
        <v>7</v>
      </c>
      <c r="AC1981" s="68">
        <f ca="1">IFERROR(__xludf.DUMMYFUNCTION("""COMPUTED_VALUE"""),45130.9986111111)</f>
        <v>45130.998611111099</v>
      </c>
      <c r="AD1981" s="6">
        <f ca="1">IFERROR(__xludf.DUMMYFUNCTION("""COMPUTED_VALUE"""),1285.65)</f>
        <v>1285.6500000000001</v>
      </c>
      <c r="AH1981" s="6" t="str">
        <f t="shared" ca="1" si="552"/>
        <v>20235</v>
      </c>
      <c r="AI1981" s="6">
        <f t="shared" ca="1" si="553"/>
        <v>2023</v>
      </c>
      <c r="AJ1981" s="6">
        <f t="shared" ca="1" si="554"/>
        <v>5</v>
      </c>
      <c r="AK1981" s="68">
        <f ca="1">IFERROR(__xludf.DUMMYFUNCTION("""COMPUTED_VALUE"""),45074.9986111111)</f>
        <v>45074.998611111099</v>
      </c>
      <c r="AL1981" s="6">
        <f ca="1">IFERROR(__xludf.DUMMYFUNCTION("""COMPUTED_VALUE"""),28079.08)</f>
        <v>28079.08</v>
      </c>
      <c r="AP1981" s="6" t="str">
        <f t="shared" ca="1" si="555"/>
        <v>202511</v>
      </c>
      <c r="AQ1981" s="6">
        <f t="shared" ca="1" si="556"/>
        <v>2025</v>
      </c>
      <c r="AR1981" s="6">
        <f t="shared" ca="1" si="557"/>
        <v>11</v>
      </c>
      <c r="AS1981" s="68">
        <f ca="1">IFERROR(__xludf.DUMMYFUNCTION("""COMPUTED_VALUE"""),45982.9986111111)</f>
        <v>45982.998611111099</v>
      </c>
      <c r="AT1981" s="6">
        <f ca="1">IFERROR(__xludf.DUMMYFUNCTION("""COMPUTED_VALUE"""),4116)</f>
        <v>4116</v>
      </c>
    </row>
    <row r="1982" spans="2:46" x14ac:dyDescent="0.35">
      <c r="B1982" s="6" t="str">
        <f t="shared" ca="1" si="540"/>
        <v>202511</v>
      </c>
      <c r="C1982" s="6">
        <f t="shared" ca="1" si="541"/>
        <v>2025</v>
      </c>
      <c r="D1982" s="6">
        <f t="shared" ca="1" si="542"/>
        <v>11</v>
      </c>
      <c r="E1982" s="68">
        <f ca="1">IFERROR(__xludf.DUMMYFUNCTION("""COMPUTED_VALUE"""),45978.6666666666)</f>
        <v>45978.666666666599</v>
      </c>
      <c r="F1982" s="6">
        <f ca="1">IFERROR(__xludf.DUMMYFUNCTION("""COMPUTED_VALUE"""),6672.41)</f>
        <v>6672.41</v>
      </c>
      <c r="J1982" s="6" t="str">
        <f t="shared" ca="1" si="543"/>
        <v>202511</v>
      </c>
      <c r="K1982" s="6">
        <f t="shared" ca="1" si="544"/>
        <v>2025</v>
      </c>
      <c r="L1982" s="6">
        <f t="shared" ca="1" si="545"/>
        <v>11</v>
      </c>
      <c r="M1982" s="68">
        <f ca="1">IFERROR(__xludf.DUMMYFUNCTION("""COMPUTED_VALUE"""),45972.6666666666)</f>
        <v>45972.666666666599</v>
      </c>
      <c r="N1982" s="6">
        <f ca="1">IFERROR(__xludf.DUMMYFUNCTION("""COMPUTED_VALUE"""),23468.3)</f>
        <v>23468.3</v>
      </c>
      <c r="R1982" s="6" t="str">
        <f t="shared" ca="1" si="546"/>
        <v>20261</v>
      </c>
      <c r="S1982" s="6">
        <f t="shared" ca="1" si="547"/>
        <v>2026</v>
      </c>
      <c r="T1982" s="6">
        <f t="shared" ca="1" si="548"/>
        <v>1</v>
      </c>
      <c r="U1982" s="68">
        <f ca="1">IFERROR(__xludf.DUMMYFUNCTION("""COMPUTED_VALUE"""),46052.6458333333)</f>
        <v>46052.645833333299</v>
      </c>
      <c r="V1982" s="6">
        <f ca="1">IFERROR(__xludf.DUMMYFUNCTION("""COMPUTED_VALUE"""),5224.36)</f>
        <v>5224.3599999999997</v>
      </c>
      <c r="Z1982" s="6" t="str">
        <f t="shared" ca="1" si="549"/>
        <v>20237</v>
      </c>
      <c r="AA1982" s="6">
        <f t="shared" ca="1" si="550"/>
        <v>2023</v>
      </c>
      <c r="AB1982" s="6">
        <f t="shared" ca="1" si="551"/>
        <v>7</v>
      </c>
      <c r="AC1982" s="68">
        <f ca="1">IFERROR(__xludf.DUMMYFUNCTION("""COMPUTED_VALUE"""),45131.9986111111)</f>
        <v>45131.998611111099</v>
      </c>
      <c r="AD1982" s="6">
        <f ca="1">IFERROR(__xludf.DUMMYFUNCTION("""COMPUTED_VALUE"""),1280.53)</f>
        <v>1280.53</v>
      </c>
      <c r="AH1982" s="6" t="str">
        <f t="shared" ca="1" si="552"/>
        <v>20235</v>
      </c>
      <c r="AI1982" s="6">
        <f t="shared" ca="1" si="553"/>
        <v>2023</v>
      </c>
      <c r="AJ1982" s="6">
        <f t="shared" ca="1" si="554"/>
        <v>5</v>
      </c>
      <c r="AK1982" s="68">
        <f ca="1">IFERROR(__xludf.DUMMYFUNCTION("""COMPUTED_VALUE"""),45075.9986111111)</f>
        <v>45075.998611111099</v>
      </c>
      <c r="AL1982" s="6">
        <f ca="1">IFERROR(__xludf.DUMMYFUNCTION("""COMPUTED_VALUE"""),27743)</f>
        <v>27743</v>
      </c>
      <c r="AP1982" s="6" t="str">
        <f t="shared" ca="1" si="555"/>
        <v>202511</v>
      </c>
      <c r="AQ1982" s="6">
        <f t="shared" ca="1" si="556"/>
        <v>2025</v>
      </c>
      <c r="AR1982" s="6">
        <f t="shared" ca="1" si="557"/>
        <v>11</v>
      </c>
      <c r="AS1982" s="68">
        <f ca="1">IFERROR(__xludf.DUMMYFUNCTION("""COMPUTED_VALUE"""),45985.9986111111)</f>
        <v>45985.998611111099</v>
      </c>
      <c r="AT1982" s="6">
        <f ca="1">IFERROR(__xludf.DUMMYFUNCTION("""COMPUTED_VALUE"""),4130.8)</f>
        <v>4130.8</v>
      </c>
    </row>
    <row r="1983" spans="2:46" x14ac:dyDescent="0.35">
      <c r="B1983" s="6" t="str">
        <f t="shared" ca="1" si="540"/>
        <v>202511</v>
      </c>
      <c r="C1983" s="6">
        <f t="shared" ca="1" si="541"/>
        <v>2025</v>
      </c>
      <c r="D1983" s="6">
        <f t="shared" ca="1" si="542"/>
        <v>11</v>
      </c>
      <c r="E1983" s="68">
        <f ca="1">IFERROR(__xludf.DUMMYFUNCTION("""COMPUTED_VALUE"""),45979.6666666666)</f>
        <v>45979.666666666599</v>
      </c>
      <c r="F1983" s="6">
        <f ca="1">IFERROR(__xludf.DUMMYFUNCTION("""COMPUTED_VALUE"""),6617.32)</f>
        <v>6617.32</v>
      </c>
      <c r="J1983" s="6" t="str">
        <f t="shared" ca="1" si="543"/>
        <v>202511</v>
      </c>
      <c r="K1983" s="6">
        <f t="shared" ca="1" si="544"/>
        <v>2025</v>
      </c>
      <c r="L1983" s="6">
        <f t="shared" ca="1" si="545"/>
        <v>11</v>
      </c>
      <c r="M1983" s="68">
        <f ca="1">IFERROR(__xludf.DUMMYFUNCTION("""COMPUTED_VALUE"""),45973.6666666666)</f>
        <v>45973.666666666599</v>
      </c>
      <c r="N1983" s="6">
        <f ca="1">IFERROR(__xludf.DUMMYFUNCTION("""COMPUTED_VALUE"""),23406.46)</f>
        <v>23406.46</v>
      </c>
      <c r="R1983" s="6" t="str">
        <f t="shared" ca="1" si="546"/>
        <v>20262</v>
      </c>
      <c r="S1983" s="6">
        <f t="shared" ca="1" si="547"/>
        <v>2026</v>
      </c>
      <c r="T1983" s="6">
        <f t="shared" ca="1" si="548"/>
        <v>2</v>
      </c>
      <c r="U1983" s="68">
        <f ca="1">IFERROR(__xludf.DUMMYFUNCTION("""COMPUTED_VALUE"""),46055.6458333333)</f>
        <v>46055.645833333299</v>
      </c>
      <c r="V1983" s="6">
        <f ca="1">IFERROR(__xludf.DUMMYFUNCTION("""COMPUTED_VALUE"""),4949.67)</f>
        <v>4949.67</v>
      </c>
      <c r="Z1983" s="6" t="str">
        <f t="shared" ca="1" si="549"/>
        <v>20237</v>
      </c>
      <c r="AA1983" s="6">
        <f t="shared" ca="1" si="550"/>
        <v>2023</v>
      </c>
      <c r="AB1983" s="6">
        <f t="shared" ca="1" si="551"/>
        <v>7</v>
      </c>
      <c r="AC1983" s="68">
        <f ca="1">IFERROR(__xludf.DUMMYFUNCTION("""COMPUTED_VALUE"""),45132.9986111111)</f>
        <v>45132.998611111099</v>
      </c>
      <c r="AD1983" s="6">
        <f ca="1">IFERROR(__xludf.DUMMYFUNCTION("""COMPUTED_VALUE"""),1274.12)</f>
        <v>1274.1199999999999</v>
      </c>
      <c r="AH1983" s="6" t="str">
        <f t="shared" ca="1" si="552"/>
        <v>20235</v>
      </c>
      <c r="AI1983" s="6">
        <f t="shared" ca="1" si="553"/>
        <v>2023</v>
      </c>
      <c r="AJ1983" s="6">
        <f t="shared" ca="1" si="554"/>
        <v>5</v>
      </c>
      <c r="AK1983" s="68">
        <f ca="1">IFERROR(__xludf.DUMMYFUNCTION("""COMPUTED_VALUE"""),45076.9986111111)</f>
        <v>45076.998611111099</v>
      </c>
      <c r="AL1983" s="6">
        <f ca="1">IFERROR(__xludf.DUMMYFUNCTION("""COMPUTED_VALUE"""),27698.92)</f>
        <v>27698.92</v>
      </c>
      <c r="AP1983" s="6" t="str">
        <f t="shared" ca="1" si="555"/>
        <v>202511</v>
      </c>
      <c r="AQ1983" s="6">
        <f t="shared" ca="1" si="556"/>
        <v>2025</v>
      </c>
      <c r="AR1983" s="6">
        <f t="shared" ca="1" si="557"/>
        <v>11</v>
      </c>
      <c r="AS1983" s="68">
        <f ca="1">IFERROR(__xludf.DUMMYFUNCTION("""COMPUTED_VALUE"""),45986.9986111111)</f>
        <v>45986.998611111099</v>
      </c>
      <c r="AT1983" s="6">
        <f ca="1">IFERROR(__xludf.DUMMYFUNCTION("""COMPUTED_VALUE"""),4177.3)</f>
        <v>4177.3</v>
      </c>
    </row>
    <row r="1984" spans="2:46" x14ac:dyDescent="0.35">
      <c r="B1984" s="6" t="str">
        <f t="shared" ca="1" si="540"/>
        <v>202511</v>
      </c>
      <c r="C1984" s="6">
        <f t="shared" ca="1" si="541"/>
        <v>2025</v>
      </c>
      <c r="D1984" s="6">
        <f t="shared" ca="1" si="542"/>
        <v>11</v>
      </c>
      <c r="E1984" s="68">
        <f ca="1">IFERROR(__xludf.DUMMYFUNCTION("""COMPUTED_VALUE"""),45980.6666666666)</f>
        <v>45980.666666666599</v>
      </c>
      <c r="F1984" s="6">
        <f ca="1">IFERROR(__xludf.DUMMYFUNCTION("""COMPUTED_VALUE"""),6642.16)</f>
        <v>6642.16</v>
      </c>
      <c r="J1984" s="6" t="str">
        <f t="shared" ca="1" si="543"/>
        <v>202511</v>
      </c>
      <c r="K1984" s="6">
        <f t="shared" ca="1" si="544"/>
        <v>2025</v>
      </c>
      <c r="L1984" s="6">
        <f t="shared" ca="1" si="545"/>
        <v>11</v>
      </c>
      <c r="M1984" s="68">
        <f ca="1">IFERROR(__xludf.DUMMYFUNCTION("""COMPUTED_VALUE"""),45974.6666666666)</f>
        <v>45974.666666666599</v>
      </c>
      <c r="N1984" s="6">
        <f ca="1">IFERROR(__xludf.DUMMYFUNCTION("""COMPUTED_VALUE"""),22870.36)</f>
        <v>22870.36</v>
      </c>
      <c r="R1984" s="6" t="str">
        <f t="shared" ca="1" si="546"/>
        <v>20262</v>
      </c>
      <c r="S1984" s="6">
        <f t="shared" ca="1" si="547"/>
        <v>2026</v>
      </c>
      <c r="T1984" s="6">
        <f t="shared" ca="1" si="548"/>
        <v>2</v>
      </c>
      <c r="U1984" s="68">
        <f ca="1">IFERROR(__xludf.DUMMYFUNCTION("""COMPUTED_VALUE"""),46056.6458333333)</f>
        <v>46056.645833333299</v>
      </c>
      <c r="V1984" s="6">
        <f ca="1">IFERROR(__xludf.DUMMYFUNCTION("""COMPUTED_VALUE"""),5288.08)</f>
        <v>5288.08</v>
      </c>
      <c r="Z1984" s="6" t="str">
        <f t="shared" ca="1" si="549"/>
        <v>20237</v>
      </c>
      <c r="AA1984" s="6">
        <f t="shared" ca="1" si="550"/>
        <v>2023</v>
      </c>
      <c r="AB1984" s="6">
        <f t="shared" ca="1" si="551"/>
        <v>7</v>
      </c>
      <c r="AC1984" s="68">
        <f ca="1">IFERROR(__xludf.DUMMYFUNCTION("""COMPUTED_VALUE"""),45133.9986111111)</f>
        <v>45133.998611111099</v>
      </c>
      <c r="AD1984" s="6">
        <f ca="1">IFERROR(__xludf.DUMMYFUNCTION("""COMPUTED_VALUE"""),1275.17)</f>
        <v>1275.17</v>
      </c>
      <c r="AH1984" s="6" t="str">
        <f t="shared" ca="1" si="552"/>
        <v>20235</v>
      </c>
      <c r="AI1984" s="6">
        <f t="shared" ca="1" si="553"/>
        <v>2023</v>
      </c>
      <c r="AJ1984" s="6">
        <f t="shared" ca="1" si="554"/>
        <v>5</v>
      </c>
      <c r="AK1984" s="68">
        <f ca="1">IFERROR(__xludf.DUMMYFUNCTION("""COMPUTED_VALUE"""),45077.9986111111)</f>
        <v>45077.998611111099</v>
      </c>
      <c r="AL1984" s="6">
        <f ca="1">IFERROR(__xludf.DUMMYFUNCTION("""COMPUTED_VALUE"""),27218.21)</f>
        <v>27218.21</v>
      </c>
      <c r="AP1984" s="6" t="str">
        <f t="shared" ca="1" si="555"/>
        <v>202511</v>
      </c>
      <c r="AQ1984" s="6">
        <f t="shared" ca="1" si="556"/>
        <v>2025</v>
      </c>
      <c r="AR1984" s="6">
        <f t="shared" ca="1" si="557"/>
        <v>11</v>
      </c>
      <c r="AS1984" s="68">
        <f ca="1">IFERROR(__xludf.DUMMYFUNCTION("""COMPUTED_VALUE"""),45987.9986111111)</f>
        <v>45987.998611111099</v>
      </c>
      <c r="AT1984" s="6">
        <f ca="1">IFERROR(__xludf.DUMMYFUNCTION("""COMPUTED_VALUE"""),4202.3)</f>
        <v>4202.3</v>
      </c>
    </row>
    <row r="1985" spans="2:46" x14ac:dyDescent="0.35">
      <c r="B1985" s="6" t="str">
        <f t="shared" ca="1" si="540"/>
        <v>202511</v>
      </c>
      <c r="C1985" s="6">
        <f t="shared" ca="1" si="541"/>
        <v>2025</v>
      </c>
      <c r="D1985" s="6">
        <f t="shared" ca="1" si="542"/>
        <v>11</v>
      </c>
      <c r="E1985" s="68">
        <f ca="1">IFERROR(__xludf.DUMMYFUNCTION("""COMPUTED_VALUE"""),45981.6666666666)</f>
        <v>45981.666666666599</v>
      </c>
      <c r="F1985" s="6">
        <f ca="1">IFERROR(__xludf.DUMMYFUNCTION("""COMPUTED_VALUE"""),6538.76)</f>
        <v>6538.76</v>
      </c>
      <c r="J1985" s="6" t="str">
        <f t="shared" ca="1" si="543"/>
        <v>202511</v>
      </c>
      <c r="K1985" s="6">
        <f t="shared" ca="1" si="544"/>
        <v>2025</v>
      </c>
      <c r="L1985" s="6">
        <f t="shared" ca="1" si="545"/>
        <v>11</v>
      </c>
      <c r="M1985" s="68">
        <f ca="1">IFERROR(__xludf.DUMMYFUNCTION("""COMPUTED_VALUE"""),45975.6666666666)</f>
        <v>45975.666666666599</v>
      </c>
      <c r="N1985" s="6">
        <f ca="1">IFERROR(__xludf.DUMMYFUNCTION("""COMPUTED_VALUE"""),22900.59)</f>
        <v>22900.59</v>
      </c>
      <c r="R1985" s="6" t="str">
        <f t="shared" ca="1" si="546"/>
        <v>20262</v>
      </c>
      <c r="S1985" s="6">
        <f t="shared" ca="1" si="547"/>
        <v>2026</v>
      </c>
      <c r="T1985" s="6">
        <f t="shared" ca="1" si="548"/>
        <v>2</v>
      </c>
      <c r="U1985" s="68">
        <f ca="1">IFERROR(__xludf.DUMMYFUNCTION("""COMPUTED_VALUE"""),46057.6458333333)</f>
        <v>46057.645833333299</v>
      </c>
      <c r="V1985" s="6">
        <f ca="1">IFERROR(__xludf.DUMMYFUNCTION("""COMPUTED_VALUE"""),5371.1)</f>
        <v>5371.1</v>
      </c>
      <c r="Z1985" s="6" t="str">
        <f t="shared" ca="1" si="549"/>
        <v>20237</v>
      </c>
      <c r="AA1985" s="6">
        <f t="shared" ca="1" si="550"/>
        <v>2023</v>
      </c>
      <c r="AB1985" s="6">
        <f t="shared" ca="1" si="551"/>
        <v>7</v>
      </c>
      <c r="AC1985" s="68">
        <f ca="1">IFERROR(__xludf.DUMMYFUNCTION("""COMPUTED_VALUE"""),45134.9986111111)</f>
        <v>45134.998611111099</v>
      </c>
      <c r="AD1985" s="6">
        <f ca="1">IFERROR(__xludf.DUMMYFUNCTION("""COMPUTED_VALUE"""),1283.88)</f>
        <v>1283.8800000000001</v>
      </c>
      <c r="AH1985" s="6" t="str">
        <f t="shared" ca="1" si="552"/>
        <v>20236</v>
      </c>
      <c r="AI1985" s="6">
        <f t="shared" ca="1" si="553"/>
        <v>2023</v>
      </c>
      <c r="AJ1985" s="6">
        <f t="shared" ca="1" si="554"/>
        <v>6</v>
      </c>
      <c r="AK1985" s="68">
        <f ca="1">IFERROR(__xludf.DUMMYFUNCTION("""COMPUTED_VALUE"""),45078.9986111111)</f>
        <v>45078.998611111099</v>
      </c>
      <c r="AL1985" s="6">
        <f ca="1">IFERROR(__xludf.DUMMYFUNCTION("""COMPUTED_VALUE"""),26819.79)</f>
        <v>26819.79</v>
      </c>
      <c r="AP1985" s="6" t="str">
        <f t="shared" ca="1" si="555"/>
        <v>202511</v>
      </c>
      <c r="AQ1985" s="6">
        <f t="shared" ca="1" si="556"/>
        <v>2025</v>
      </c>
      <c r="AR1985" s="6">
        <f t="shared" ca="1" si="557"/>
        <v>11</v>
      </c>
      <c r="AS1985" s="68">
        <f ca="1">IFERROR(__xludf.DUMMYFUNCTION("""COMPUTED_VALUE"""),45989.5416666666)</f>
        <v>45989.541666666599</v>
      </c>
      <c r="AT1985" s="6">
        <f ca="1">IFERROR(__xludf.DUMMYFUNCTION("""COMPUTED_VALUE"""),4254.9)</f>
        <v>4254.8999999999996</v>
      </c>
    </row>
    <row r="1986" spans="2:46" x14ac:dyDescent="0.35">
      <c r="B1986" s="6" t="str">
        <f t="shared" ca="1" si="540"/>
        <v>202511</v>
      </c>
      <c r="C1986" s="6">
        <f t="shared" ca="1" si="541"/>
        <v>2025</v>
      </c>
      <c r="D1986" s="6">
        <f t="shared" ca="1" si="542"/>
        <v>11</v>
      </c>
      <c r="E1986" s="68">
        <f ca="1">IFERROR(__xludf.DUMMYFUNCTION("""COMPUTED_VALUE"""),45982.6666666666)</f>
        <v>45982.666666666599</v>
      </c>
      <c r="F1986" s="6">
        <f ca="1">IFERROR(__xludf.DUMMYFUNCTION("""COMPUTED_VALUE"""),6602.99)</f>
        <v>6602.99</v>
      </c>
      <c r="J1986" s="6" t="str">
        <f t="shared" ca="1" si="543"/>
        <v>202511</v>
      </c>
      <c r="K1986" s="6">
        <f t="shared" ca="1" si="544"/>
        <v>2025</v>
      </c>
      <c r="L1986" s="6">
        <f t="shared" ca="1" si="545"/>
        <v>11</v>
      </c>
      <c r="M1986" s="68">
        <f ca="1">IFERROR(__xludf.DUMMYFUNCTION("""COMPUTED_VALUE"""),45978.6666666666)</f>
        <v>45978.666666666599</v>
      </c>
      <c r="N1986" s="6">
        <f ca="1">IFERROR(__xludf.DUMMYFUNCTION("""COMPUTED_VALUE"""),22708.08)</f>
        <v>22708.080000000002</v>
      </c>
      <c r="R1986" s="6" t="str">
        <f t="shared" ca="1" si="546"/>
        <v>20262</v>
      </c>
      <c r="S1986" s="6">
        <f t="shared" ca="1" si="547"/>
        <v>2026</v>
      </c>
      <c r="T1986" s="6">
        <f t="shared" ca="1" si="548"/>
        <v>2</v>
      </c>
      <c r="U1986" s="68">
        <f ca="1">IFERROR(__xludf.DUMMYFUNCTION("""COMPUTED_VALUE"""),46058.6458333333)</f>
        <v>46058.645833333299</v>
      </c>
      <c r="V1986" s="6">
        <f ca="1">IFERROR(__xludf.DUMMYFUNCTION("""COMPUTED_VALUE"""),5163.57)</f>
        <v>5163.57</v>
      </c>
      <c r="Z1986" s="6" t="str">
        <f t="shared" ca="1" si="549"/>
        <v>20237</v>
      </c>
      <c r="AA1986" s="6">
        <f t="shared" ca="1" si="550"/>
        <v>2023</v>
      </c>
      <c r="AB1986" s="6">
        <f t="shared" ca="1" si="551"/>
        <v>7</v>
      </c>
      <c r="AC1986" s="68">
        <f ca="1">IFERROR(__xludf.DUMMYFUNCTION("""COMPUTED_VALUE"""),45135.9986111111)</f>
        <v>45135.998611111099</v>
      </c>
      <c r="AD1986" s="6">
        <f ca="1">IFERROR(__xludf.DUMMYFUNCTION("""COMPUTED_VALUE"""),1272.38)</f>
        <v>1272.3800000000001</v>
      </c>
      <c r="AH1986" s="6" t="str">
        <f t="shared" ca="1" si="552"/>
        <v>20236</v>
      </c>
      <c r="AI1986" s="6">
        <f t="shared" ca="1" si="553"/>
        <v>2023</v>
      </c>
      <c r="AJ1986" s="6">
        <f t="shared" ca="1" si="554"/>
        <v>6</v>
      </c>
      <c r="AK1986" s="68">
        <f ca="1">IFERROR(__xludf.DUMMYFUNCTION("""COMPUTED_VALUE"""),45079.9986111111)</f>
        <v>45079.998611111099</v>
      </c>
      <c r="AL1986" s="6">
        <f ca="1">IFERROR(__xludf.DUMMYFUNCTION("""COMPUTED_VALUE"""),27249.86)</f>
        <v>27249.86</v>
      </c>
      <c r="AP1986" s="6" t="str">
        <f t="shared" ca="1" si="555"/>
        <v>202512</v>
      </c>
      <c r="AQ1986" s="6">
        <f t="shared" ca="1" si="556"/>
        <v>2025</v>
      </c>
      <c r="AR1986" s="6">
        <f t="shared" ca="1" si="557"/>
        <v>12</v>
      </c>
      <c r="AS1986" s="68">
        <f ca="1">IFERROR(__xludf.DUMMYFUNCTION("""COMPUTED_VALUE"""),45992.9986111111)</f>
        <v>45992.998611111099</v>
      </c>
      <c r="AT1986" s="6">
        <f ca="1">IFERROR(__xludf.DUMMYFUNCTION("""COMPUTED_VALUE"""),4274.8)</f>
        <v>4274.8</v>
      </c>
    </row>
    <row r="1987" spans="2:46" x14ac:dyDescent="0.35">
      <c r="B1987" s="6" t="str">
        <f t="shared" ca="1" si="540"/>
        <v>202511</v>
      </c>
      <c r="C1987" s="6">
        <f t="shared" ca="1" si="541"/>
        <v>2025</v>
      </c>
      <c r="D1987" s="6">
        <f t="shared" ca="1" si="542"/>
        <v>11</v>
      </c>
      <c r="E1987" s="68">
        <f ca="1">IFERROR(__xludf.DUMMYFUNCTION("""COMPUTED_VALUE"""),45985.6666666666)</f>
        <v>45985.666666666599</v>
      </c>
      <c r="F1987" s="6">
        <f ca="1">IFERROR(__xludf.DUMMYFUNCTION("""COMPUTED_VALUE"""),6705.12)</f>
        <v>6705.12</v>
      </c>
      <c r="J1987" s="6" t="str">
        <f t="shared" ca="1" si="543"/>
        <v>202511</v>
      </c>
      <c r="K1987" s="6">
        <f t="shared" ca="1" si="544"/>
        <v>2025</v>
      </c>
      <c r="L1987" s="6">
        <f t="shared" ca="1" si="545"/>
        <v>11</v>
      </c>
      <c r="M1987" s="68">
        <f ca="1">IFERROR(__xludf.DUMMYFUNCTION("""COMPUTED_VALUE"""),45979.6666666666)</f>
        <v>45979.666666666599</v>
      </c>
      <c r="N1987" s="6">
        <f ca="1">IFERROR(__xludf.DUMMYFUNCTION("""COMPUTED_VALUE"""),22432.85)</f>
        <v>22432.85</v>
      </c>
      <c r="R1987" s="6" t="str">
        <f t="shared" ca="1" si="546"/>
        <v>20262</v>
      </c>
      <c r="S1987" s="6">
        <f t="shared" ca="1" si="547"/>
        <v>2026</v>
      </c>
      <c r="T1987" s="6">
        <f t="shared" ca="1" si="548"/>
        <v>2</v>
      </c>
      <c r="U1987" s="68">
        <f ca="1">IFERROR(__xludf.DUMMYFUNCTION("""COMPUTED_VALUE"""),46059.6458333333)</f>
        <v>46059.645833333299</v>
      </c>
      <c r="V1987" s="6">
        <f ca="1">IFERROR(__xludf.DUMMYFUNCTION("""COMPUTED_VALUE"""),5089.14)</f>
        <v>5089.1400000000003</v>
      </c>
      <c r="Z1987" s="6" t="str">
        <f t="shared" ca="1" si="549"/>
        <v>20237</v>
      </c>
      <c r="AA1987" s="6">
        <f t="shared" ca="1" si="550"/>
        <v>2023</v>
      </c>
      <c r="AB1987" s="6">
        <f t="shared" ca="1" si="551"/>
        <v>7</v>
      </c>
      <c r="AC1987" s="68">
        <f ca="1">IFERROR(__xludf.DUMMYFUNCTION("""COMPUTED_VALUE"""),45136.9986111111)</f>
        <v>45136.998611111099</v>
      </c>
      <c r="AD1987" s="6">
        <f ca="1">IFERROR(__xludf.DUMMYFUNCTION("""COMPUTED_VALUE"""),1272.38)</f>
        <v>1272.3800000000001</v>
      </c>
      <c r="AH1987" s="6" t="str">
        <f t="shared" ca="1" si="552"/>
        <v>20236</v>
      </c>
      <c r="AI1987" s="6">
        <f t="shared" ca="1" si="553"/>
        <v>2023</v>
      </c>
      <c r="AJ1987" s="6">
        <f t="shared" ca="1" si="554"/>
        <v>6</v>
      </c>
      <c r="AK1987" s="68">
        <f ca="1">IFERROR(__xludf.DUMMYFUNCTION("""COMPUTED_VALUE"""),45080.9986111111)</f>
        <v>45080.998611111099</v>
      </c>
      <c r="AL1987" s="6">
        <f ca="1">IFERROR(__xludf.DUMMYFUNCTION("""COMPUTED_VALUE"""),27072.09)</f>
        <v>27072.09</v>
      </c>
      <c r="AP1987" s="6" t="str">
        <f t="shared" ca="1" si="555"/>
        <v>202512</v>
      </c>
      <c r="AQ1987" s="6">
        <f t="shared" ca="1" si="556"/>
        <v>2025</v>
      </c>
      <c r="AR1987" s="6">
        <f t="shared" ca="1" si="557"/>
        <v>12</v>
      </c>
      <c r="AS1987" s="68">
        <f ca="1">IFERROR(__xludf.DUMMYFUNCTION("""COMPUTED_VALUE"""),45993.9986111111)</f>
        <v>45993.998611111099</v>
      </c>
      <c r="AT1987" s="6">
        <f ca="1">IFERROR(__xludf.DUMMYFUNCTION("""COMPUTED_VALUE"""),4220.8)</f>
        <v>4220.8</v>
      </c>
    </row>
    <row r="1988" spans="2:46" x14ac:dyDescent="0.35">
      <c r="B1988" s="6" t="str">
        <f t="shared" ca="1" si="540"/>
        <v>202511</v>
      </c>
      <c r="C1988" s="6">
        <f t="shared" ca="1" si="541"/>
        <v>2025</v>
      </c>
      <c r="D1988" s="6">
        <f t="shared" ca="1" si="542"/>
        <v>11</v>
      </c>
      <c r="E1988" s="68">
        <f ca="1">IFERROR(__xludf.DUMMYFUNCTION("""COMPUTED_VALUE"""),45986.6666666666)</f>
        <v>45986.666666666599</v>
      </c>
      <c r="F1988" s="6">
        <f ca="1">IFERROR(__xludf.DUMMYFUNCTION("""COMPUTED_VALUE"""),6765.88)</f>
        <v>6765.88</v>
      </c>
      <c r="J1988" s="6" t="str">
        <f t="shared" ca="1" si="543"/>
        <v>202511</v>
      </c>
      <c r="K1988" s="6">
        <f t="shared" ca="1" si="544"/>
        <v>2025</v>
      </c>
      <c r="L1988" s="6">
        <f t="shared" ca="1" si="545"/>
        <v>11</v>
      </c>
      <c r="M1988" s="68">
        <f ca="1">IFERROR(__xludf.DUMMYFUNCTION("""COMPUTED_VALUE"""),45980.6666666666)</f>
        <v>45980.666666666599</v>
      </c>
      <c r="N1988" s="6">
        <f ca="1">IFERROR(__xludf.DUMMYFUNCTION("""COMPUTED_VALUE"""),22564.23)</f>
        <v>22564.23</v>
      </c>
      <c r="R1988" s="6" t="str">
        <f t="shared" ca="1" si="546"/>
        <v>20262</v>
      </c>
      <c r="S1988" s="6">
        <f t="shared" ca="1" si="547"/>
        <v>2026</v>
      </c>
      <c r="T1988" s="6">
        <f t="shared" ca="1" si="548"/>
        <v>2</v>
      </c>
      <c r="U1988" s="68">
        <f ca="1">IFERROR(__xludf.DUMMYFUNCTION("""COMPUTED_VALUE"""),46062.6458333333)</f>
        <v>46062.645833333299</v>
      </c>
      <c r="V1988" s="6">
        <f ca="1">IFERROR(__xludf.DUMMYFUNCTION("""COMPUTED_VALUE"""),5298.04)</f>
        <v>5298.04</v>
      </c>
      <c r="Z1988" s="6" t="str">
        <f t="shared" ca="1" si="549"/>
        <v>20237</v>
      </c>
      <c r="AA1988" s="6">
        <f t="shared" ca="1" si="550"/>
        <v>2023</v>
      </c>
      <c r="AB1988" s="6">
        <f t="shared" ca="1" si="551"/>
        <v>7</v>
      </c>
      <c r="AC1988" s="68">
        <f ca="1">IFERROR(__xludf.DUMMYFUNCTION("""COMPUTED_VALUE"""),45137.9986111111)</f>
        <v>45137.998611111099</v>
      </c>
      <c r="AD1988" s="6">
        <f ca="1">IFERROR(__xludf.DUMMYFUNCTION("""COMPUTED_VALUE"""),1272.39)</f>
        <v>1272.3900000000001</v>
      </c>
      <c r="AH1988" s="6" t="str">
        <f t="shared" ca="1" si="552"/>
        <v>20236</v>
      </c>
      <c r="AI1988" s="6">
        <f t="shared" ca="1" si="553"/>
        <v>2023</v>
      </c>
      <c r="AJ1988" s="6">
        <f t="shared" ca="1" si="554"/>
        <v>6</v>
      </c>
      <c r="AK1988" s="68">
        <f ca="1">IFERROR(__xludf.DUMMYFUNCTION("""COMPUTED_VALUE"""),45081.9986111111)</f>
        <v>45081.998611111099</v>
      </c>
      <c r="AL1988" s="6">
        <f ca="1">IFERROR(__xludf.DUMMYFUNCTION("""COMPUTED_VALUE"""),27126.87)</f>
        <v>27126.87</v>
      </c>
      <c r="AP1988" s="6" t="str">
        <f t="shared" ca="1" si="555"/>
        <v>202512</v>
      </c>
      <c r="AQ1988" s="6">
        <f t="shared" ca="1" si="556"/>
        <v>2025</v>
      </c>
      <c r="AR1988" s="6">
        <f t="shared" ca="1" si="557"/>
        <v>12</v>
      </c>
      <c r="AS1988" s="68">
        <f ca="1">IFERROR(__xludf.DUMMYFUNCTION("""COMPUTED_VALUE"""),45994.9986111111)</f>
        <v>45994.998611111099</v>
      </c>
      <c r="AT1988" s="6">
        <f ca="1">IFERROR(__xludf.DUMMYFUNCTION("""COMPUTED_VALUE"""),4232.5)</f>
        <v>4232.5</v>
      </c>
    </row>
    <row r="1989" spans="2:46" x14ac:dyDescent="0.35">
      <c r="B1989" s="6" t="str">
        <f t="shared" ca="1" si="540"/>
        <v>202511</v>
      </c>
      <c r="C1989" s="6">
        <f t="shared" ca="1" si="541"/>
        <v>2025</v>
      </c>
      <c r="D1989" s="6">
        <f t="shared" ca="1" si="542"/>
        <v>11</v>
      </c>
      <c r="E1989" s="68">
        <f ca="1">IFERROR(__xludf.DUMMYFUNCTION("""COMPUTED_VALUE"""),45987.6666666666)</f>
        <v>45987.666666666599</v>
      </c>
      <c r="F1989" s="6">
        <f ca="1">IFERROR(__xludf.DUMMYFUNCTION("""COMPUTED_VALUE"""),6812.61)</f>
        <v>6812.61</v>
      </c>
      <c r="J1989" s="6" t="str">
        <f t="shared" ca="1" si="543"/>
        <v>202511</v>
      </c>
      <c r="K1989" s="6">
        <f t="shared" ca="1" si="544"/>
        <v>2025</v>
      </c>
      <c r="L1989" s="6">
        <f t="shared" ca="1" si="545"/>
        <v>11</v>
      </c>
      <c r="M1989" s="68">
        <f ca="1">IFERROR(__xludf.DUMMYFUNCTION("""COMPUTED_VALUE"""),45981.6666666666)</f>
        <v>45981.666666666599</v>
      </c>
      <c r="N1989" s="6">
        <f ca="1">IFERROR(__xludf.DUMMYFUNCTION("""COMPUTED_VALUE"""),22078.05)</f>
        <v>22078.05</v>
      </c>
      <c r="R1989" s="6" t="str">
        <f t="shared" ca="1" si="546"/>
        <v>20262</v>
      </c>
      <c r="S1989" s="6">
        <f t="shared" ca="1" si="547"/>
        <v>2026</v>
      </c>
      <c r="T1989" s="6">
        <f t="shared" ca="1" si="548"/>
        <v>2</v>
      </c>
      <c r="U1989" s="68">
        <f ca="1">IFERROR(__xludf.DUMMYFUNCTION("""COMPUTED_VALUE"""),46063.6458333333)</f>
        <v>46063.645833333299</v>
      </c>
      <c r="V1989" s="6">
        <f ca="1">IFERROR(__xludf.DUMMYFUNCTION("""COMPUTED_VALUE"""),5301.69)</f>
        <v>5301.69</v>
      </c>
      <c r="Z1989" s="6" t="str">
        <f t="shared" ca="1" si="549"/>
        <v>20237</v>
      </c>
      <c r="AA1989" s="6">
        <f t="shared" ca="1" si="550"/>
        <v>2023</v>
      </c>
      <c r="AB1989" s="6">
        <f t="shared" ca="1" si="551"/>
        <v>7</v>
      </c>
      <c r="AC1989" s="68">
        <f ca="1">IFERROR(__xludf.DUMMYFUNCTION("""COMPUTED_VALUE"""),45138.9986111111)</f>
        <v>45138.998611111099</v>
      </c>
      <c r="AD1989" s="6">
        <f ca="1">IFERROR(__xludf.DUMMYFUNCTION("""COMPUTED_VALUE"""),1277.93)</f>
        <v>1277.93</v>
      </c>
      <c r="AH1989" s="6" t="str">
        <f t="shared" ca="1" si="552"/>
        <v>20236</v>
      </c>
      <c r="AI1989" s="6">
        <f t="shared" ca="1" si="553"/>
        <v>2023</v>
      </c>
      <c r="AJ1989" s="6">
        <f t="shared" ca="1" si="554"/>
        <v>6</v>
      </c>
      <c r="AK1989" s="68">
        <f ca="1">IFERROR(__xludf.DUMMYFUNCTION("""COMPUTED_VALUE"""),45082.9986111111)</f>
        <v>45082.998611111099</v>
      </c>
      <c r="AL1989" s="6">
        <f ca="1">IFERROR(__xludf.DUMMYFUNCTION("""COMPUTED_VALUE"""),25736.08)</f>
        <v>25736.080000000002</v>
      </c>
      <c r="AP1989" s="6" t="str">
        <f t="shared" ca="1" si="555"/>
        <v>202512</v>
      </c>
      <c r="AQ1989" s="6">
        <f t="shared" ca="1" si="556"/>
        <v>2025</v>
      </c>
      <c r="AR1989" s="6">
        <f t="shared" ca="1" si="557"/>
        <v>12</v>
      </c>
      <c r="AS1989" s="68">
        <f ca="1">IFERROR(__xludf.DUMMYFUNCTION("""COMPUTED_VALUE"""),45995.9986111111)</f>
        <v>45995.998611111099</v>
      </c>
      <c r="AT1989" s="6">
        <f ca="1">IFERROR(__xludf.DUMMYFUNCTION("""COMPUTED_VALUE"""),4243)</f>
        <v>4243</v>
      </c>
    </row>
    <row r="1990" spans="2:46" x14ac:dyDescent="0.35">
      <c r="B1990" s="6" t="str">
        <f t="shared" ca="1" si="540"/>
        <v>202511</v>
      </c>
      <c r="C1990" s="6">
        <f t="shared" ca="1" si="541"/>
        <v>2025</v>
      </c>
      <c r="D1990" s="6">
        <f t="shared" ca="1" si="542"/>
        <v>11</v>
      </c>
      <c r="E1990" s="68">
        <f ca="1">IFERROR(__xludf.DUMMYFUNCTION("""COMPUTED_VALUE"""),45989.5416666666)</f>
        <v>45989.541666666599</v>
      </c>
      <c r="F1990" s="6">
        <f ca="1">IFERROR(__xludf.DUMMYFUNCTION("""COMPUTED_VALUE"""),6849.09)</f>
        <v>6849.09</v>
      </c>
      <c r="J1990" s="6" t="str">
        <f t="shared" ca="1" si="543"/>
        <v>202511</v>
      </c>
      <c r="K1990" s="6">
        <f t="shared" ca="1" si="544"/>
        <v>2025</v>
      </c>
      <c r="L1990" s="6">
        <f t="shared" ca="1" si="545"/>
        <v>11</v>
      </c>
      <c r="M1990" s="68">
        <f ca="1">IFERROR(__xludf.DUMMYFUNCTION("""COMPUTED_VALUE"""),45982.6666666666)</f>
        <v>45982.666666666599</v>
      </c>
      <c r="N1990" s="6">
        <f ca="1">IFERROR(__xludf.DUMMYFUNCTION("""COMPUTED_VALUE"""),22273.08)</f>
        <v>22273.08</v>
      </c>
      <c r="R1990" s="6" t="str">
        <f t="shared" ca="1" si="546"/>
        <v>20262</v>
      </c>
      <c r="S1990" s="6">
        <f t="shared" ca="1" si="547"/>
        <v>2026</v>
      </c>
      <c r="T1990" s="6">
        <f t="shared" ca="1" si="548"/>
        <v>2</v>
      </c>
      <c r="U1990" s="68">
        <f ca="1">IFERROR(__xludf.DUMMYFUNCTION("""COMPUTED_VALUE"""),46064.6458333333)</f>
        <v>46064.645833333299</v>
      </c>
      <c r="V1990" s="6">
        <f ca="1">IFERROR(__xludf.DUMMYFUNCTION("""COMPUTED_VALUE"""),5354.49)</f>
        <v>5354.49</v>
      </c>
      <c r="Z1990" s="6" t="str">
        <f t="shared" ca="1" si="549"/>
        <v>20238</v>
      </c>
      <c r="AA1990" s="6">
        <f t="shared" ca="1" si="550"/>
        <v>2023</v>
      </c>
      <c r="AB1990" s="6">
        <f t="shared" ca="1" si="551"/>
        <v>8</v>
      </c>
      <c r="AC1990" s="68">
        <f ca="1">IFERROR(__xludf.DUMMYFUNCTION("""COMPUTED_VALUE"""),45139.9986111111)</f>
        <v>45139.998611111099</v>
      </c>
      <c r="AD1990" s="6">
        <f ca="1">IFERROR(__xludf.DUMMYFUNCTION("""COMPUTED_VALUE"""),1289.05)</f>
        <v>1289.05</v>
      </c>
      <c r="AH1990" s="6" t="str">
        <f t="shared" ca="1" si="552"/>
        <v>20236</v>
      </c>
      <c r="AI1990" s="6">
        <f t="shared" ca="1" si="553"/>
        <v>2023</v>
      </c>
      <c r="AJ1990" s="6">
        <f t="shared" ca="1" si="554"/>
        <v>6</v>
      </c>
      <c r="AK1990" s="68">
        <f ca="1">IFERROR(__xludf.DUMMYFUNCTION("""COMPUTED_VALUE"""),45083.9986111111)</f>
        <v>45083.998611111099</v>
      </c>
      <c r="AL1990" s="6">
        <f ca="1">IFERROR(__xludf.DUMMYFUNCTION("""COMPUTED_VALUE"""),27232.56)</f>
        <v>27232.560000000001</v>
      </c>
      <c r="AP1990" s="6" t="str">
        <f t="shared" ca="1" si="555"/>
        <v>202512</v>
      </c>
      <c r="AQ1990" s="6">
        <f t="shared" ca="1" si="556"/>
        <v>2025</v>
      </c>
      <c r="AR1990" s="6">
        <f t="shared" ca="1" si="557"/>
        <v>12</v>
      </c>
      <c r="AS1990" s="68">
        <f ca="1">IFERROR(__xludf.DUMMYFUNCTION("""COMPUTED_VALUE"""),45996.9986111111)</f>
        <v>45996.998611111099</v>
      </c>
      <c r="AT1990" s="6">
        <f ca="1">IFERROR(__xludf.DUMMYFUNCTION("""COMPUTED_VALUE"""),4243)</f>
        <v>4243</v>
      </c>
    </row>
    <row r="1991" spans="2:46" x14ac:dyDescent="0.35">
      <c r="B1991" s="6" t="str">
        <f t="shared" ref="B1991:B2054" ca="1" si="558">C1991&amp;D1991</f>
        <v>202512</v>
      </c>
      <c r="C1991" s="6">
        <f t="shared" ref="C1991:C2054" ca="1" si="559">YEAR(E1991)</f>
        <v>2025</v>
      </c>
      <c r="D1991" s="6">
        <f t="shared" ref="D1991:D2054" ca="1" si="560">MONTH(E1991)</f>
        <v>12</v>
      </c>
      <c r="E1991" s="68">
        <f ca="1">IFERROR(__xludf.DUMMYFUNCTION("""COMPUTED_VALUE"""),45992.6666666666)</f>
        <v>45992.666666666599</v>
      </c>
      <c r="F1991" s="6">
        <f ca="1">IFERROR(__xludf.DUMMYFUNCTION("""COMPUTED_VALUE"""),6812.63)</f>
        <v>6812.63</v>
      </c>
      <c r="J1991" s="6" t="str">
        <f t="shared" ref="J1991:J2054" ca="1" si="561">K1991&amp;L1991</f>
        <v>202511</v>
      </c>
      <c r="K1991" s="6">
        <f t="shared" ref="K1991:K2054" ca="1" si="562">YEAR(M1991)</f>
        <v>2025</v>
      </c>
      <c r="L1991" s="6">
        <f t="shared" ref="L1991:L2054" ca="1" si="563">MONTH(M1991)</f>
        <v>11</v>
      </c>
      <c r="M1991" s="68">
        <f ca="1">IFERROR(__xludf.DUMMYFUNCTION("""COMPUTED_VALUE"""),45985.6666666666)</f>
        <v>45985.666666666599</v>
      </c>
      <c r="N1991" s="6">
        <f ca="1">IFERROR(__xludf.DUMMYFUNCTION("""COMPUTED_VALUE"""),22872.01)</f>
        <v>22872.01</v>
      </c>
      <c r="R1991" s="6" t="str">
        <f t="shared" ref="R1991:R2054" ca="1" si="564">S1991&amp;T1991</f>
        <v>20262</v>
      </c>
      <c r="S1991" s="6">
        <f t="shared" ref="S1991:S2054" ca="1" si="565">YEAR(U1991)</f>
        <v>2026</v>
      </c>
      <c r="T1991" s="6">
        <f t="shared" ref="T1991:T2054" ca="1" si="566">MONTH(U1991)</f>
        <v>2</v>
      </c>
      <c r="U1991" s="68">
        <f ca="1">IFERROR(__xludf.DUMMYFUNCTION("""COMPUTED_VALUE"""),46065.6458333333)</f>
        <v>46065.645833333299</v>
      </c>
      <c r="V1991" s="6">
        <f ca="1">IFERROR(__xludf.DUMMYFUNCTION("""COMPUTED_VALUE"""),5522.27)</f>
        <v>5522.27</v>
      </c>
      <c r="Z1991" s="6" t="str">
        <f t="shared" ref="Z1991:Z2054" ca="1" si="567">AA1991&amp;AB1991</f>
        <v>20238</v>
      </c>
      <c r="AA1991" s="6">
        <f t="shared" ref="AA1991:AA2054" ca="1" si="568">YEAR(AC1991)</f>
        <v>2023</v>
      </c>
      <c r="AB1991" s="6">
        <f t="shared" ref="AB1991:AB2054" ca="1" si="569">MONTH(AC1991)</f>
        <v>8</v>
      </c>
      <c r="AC1991" s="68">
        <f ca="1">IFERROR(__xludf.DUMMYFUNCTION("""COMPUTED_VALUE"""),45140.9986111111)</f>
        <v>45140.998611111099</v>
      </c>
      <c r="AD1991" s="6">
        <f ca="1">IFERROR(__xludf.DUMMYFUNCTION("""COMPUTED_VALUE"""),1295.37)</f>
        <v>1295.3699999999999</v>
      </c>
      <c r="AH1991" s="6" t="str">
        <f t="shared" ref="AH1991:AH2054" ca="1" si="570">AI1991&amp;AJ1991</f>
        <v>20236</v>
      </c>
      <c r="AI1991" s="6">
        <f t="shared" ref="AI1991:AI2054" ca="1" si="571">YEAR(AK1991)</f>
        <v>2023</v>
      </c>
      <c r="AJ1991" s="6">
        <f t="shared" ref="AJ1991:AJ2054" ca="1" si="572">MONTH(AK1991)</f>
        <v>6</v>
      </c>
      <c r="AK1991" s="68">
        <f ca="1">IFERROR(__xludf.DUMMYFUNCTION("""COMPUTED_VALUE"""),45084.9986111111)</f>
        <v>45084.998611111099</v>
      </c>
      <c r="AL1991" s="6">
        <f ca="1">IFERROR(__xludf.DUMMYFUNCTION("""COMPUTED_VALUE"""),26349.59)</f>
        <v>26349.59</v>
      </c>
      <c r="AP1991" s="6" t="str">
        <f t="shared" ref="AP1991:AP2054" ca="1" si="573">AQ1991&amp;AR1991</f>
        <v>202512</v>
      </c>
      <c r="AQ1991" s="6">
        <f t="shared" ref="AQ1991:AQ2054" ca="1" si="574">YEAR(AS1991)</f>
        <v>2025</v>
      </c>
      <c r="AR1991" s="6">
        <f t="shared" ref="AR1991:AR2054" ca="1" si="575">MONTH(AS1991)</f>
        <v>12</v>
      </c>
      <c r="AS1991" s="68">
        <f ca="1">IFERROR(__xludf.DUMMYFUNCTION("""COMPUTED_VALUE"""),45999.9986111111)</f>
        <v>45999.998611111099</v>
      </c>
      <c r="AT1991" s="6">
        <f ca="1">IFERROR(__xludf.DUMMYFUNCTION("""COMPUTED_VALUE"""),4217.7)</f>
        <v>4217.7</v>
      </c>
    </row>
    <row r="1992" spans="2:46" x14ac:dyDescent="0.35">
      <c r="B1992" s="6" t="str">
        <f t="shared" ca="1" si="558"/>
        <v>202512</v>
      </c>
      <c r="C1992" s="6">
        <f t="shared" ca="1" si="559"/>
        <v>2025</v>
      </c>
      <c r="D1992" s="6">
        <f t="shared" ca="1" si="560"/>
        <v>12</v>
      </c>
      <c r="E1992" s="68">
        <f ca="1">IFERROR(__xludf.DUMMYFUNCTION("""COMPUTED_VALUE"""),45993.6666666666)</f>
        <v>45993.666666666599</v>
      </c>
      <c r="F1992" s="6">
        <f ca="1">IFERROR(__xludf.DUMMYFUNCTION("""COMPUTED_VALUE"""),6829.37)</f>
        <v>6829.37</v>
      </c>
      <c r="J1992" s="6" t="str">
        <f t="shared" ca="1" si="561"/>
        <v>202511</v>
      </c>
      <c r="K1992" s="6">
        <f t="shared" ca="1" si="562"/>
        <v>2025</v>
      </c>
      <c r="L1992" s="6">
        <f t="shared" ca="1" si="563"/>
        <v>11</v>
      </c>
      <c r="M1992" s="68">
        <f ca="1">IFERROR(__xludf.DUMMYFUNCTION("""COMPUTED_VALUE"""),45986.6666666666)</f>
        <v>45986.666666666599</v>
      </c>
      <c r="N1992" s="6">
        <f ca="1">IFERROR(__xludf.DUMMYFUNCTION("""COMPUTED_VALUE"""),23025.59)</f>
        <v>23025.59</v>
      </c>
      <c r="R1992" s="6" t="str">
        <f t="shared" ca="1" si="564"/>
        <v>20262</v>
      </c>
      <c r="S1992" s="6">
        <f t="shared" ca="1" si="565"/>
        <v>2026</v>
      </c>
      <c r="T1992" s="6">
        <f t="shared" ca="1" si="566"/>
        <v>2</v>
      </c>
      <c r="U1992" s="68">
        <f ca="1">IFERROR(__xludf.DUMMYFUNCTION("""COMPUTED_VALUE"""),46066.6458333333)</f>
        <v>46066.645833333299</v>
      </c>
      <c r="V1992" s="6">
        <f ca="1">IFERROR(__xludf.DUMMYFUNCTION("""COMPUTED_VALUE"""),5507.01)</f>
        <v>5507.01</v>
      </c>
      <c r="Z1992" s="6" t="str">
        <f t="shared" ca="1" si="567"/>
        <v>20238</v>
      </c>
      <c r="AA1992" s="6">
        <f t="shared" ca="1" si="568"/>
        <v>2023</v>
      </c>
      <c r="AB1992" s="6">
        <f t="shared" ca="1" si="569"/>
        <v>8</v>
      </c>
      <c r="AC1992" s="68">
        <f ca="1">IFERROR(__xludf.DUMMYFUNCTION("""COMPUTED_VALUE"""),45141.9986111111)</f>
        <v>45141.998611111099</v>
      </c>
      <c r="AD1992" s="6">
        <f ca="1">IFERROR(__xludf.DUMMYFUNCTION("""COMPUTED_VALUE"""),1296.4)</f>
        <v>1296.4000000000001</v>
      </c>
      <c r="AH1992" s="6" t="str">
        <f t="shared" ca="1" si="570"/>
        <v>20236</v>
      </c>
      <c r="AI1992" s="6">
        <f t="shared" ca="1" si="571"/>
        <v>2023</v>
      </c>
      <c r="AJ1992" s="6">
        <f t="shared" ca="1" si="572"/>
        <v>6</v>
      </c>
      <c r="AK1992" s="68">
        <f ca="1">IFERROR(__xludf.DUMMYFUNCTION("""COMPUTED_VALUE"""),45085.9986111111)</f>
        <v>45085.998611111099</v>
      </c>
      <c r="AL1992" s="6">
        <f ca="1">IFERROR(__xludf.DUMMYFUNCTION("""COMPUTED_VALUE"""),26506.83)</f>
        <v>26506.83</v>
      </c>
      <c r="AP1992" s="6" t="str">
        <f t="shared" ca="1" si="573"/>
        <v>202512</v>
      </c>
      <c r="AQ1992" s="6">
        <f t="shared" ca="1" si="574"/>
        <v>2025</v>
      </c>
      <c r="AR1992" s="6">
        <f t="shared" ca="1" si="575"/>
        <v>12</v>
      </c>
      <c r="AS1992" s="68">
        <f ca="1">IFERROR(__xludf.DUMMYFUNCTION("""COMPUTED_VALUE"""),46000.9986111111)</f>
        <v>46000.998611111099</v>
      </c>
      <c r="AT1992" s="6">
        <f ca="1">IFERROR(__xludf.DUMMYFUNCTION("""COMPUTED_VALUE"""),4236.2)</f>
        <v>4236.2</v>
      </c>
    </row>
    <row r="1993" spans="2:46" x14ac:dyDescent="0.35">
      <c r="B1993" s="6" t="str">
        <f t="shared" ca="1" si="558"/>
        <v>202512</v>
      </c>
      <c r="C1993" s="6">
        <f t="shared" ca="1" si="559"/>
        <v>2025</v>
      </c>
      <c r="D1993" s="6">
        <f t="shared" ca="1" si="560"/>
        <v>12</v>
      </c>
      <c r="E1993" s="68">
        <f ca="1">IFERROR(__xludf.DUMMYFUNCTION("""COMPUTED_VALUE"""),45994.6666666666)</f>
        <v>45994.666666666599</v>
      </c>
      <c r="F1993" s="6">
        <f ca="1">IFERROR(__xludf.DUMMYFUNCTION("""COMPUTED_VALUE"""),6849.72)</f>
        <v>6849.72</v>
      </c>
      <c r="J1993" s="6" t="str">
        <f t="shared" ca="1" si="561"/>
        <v>202511</v>
      </c>
      <c r="K1993" s="6">
        <f t="shared" ca="1" si="562"/>
        <v>2025</v>
      </c>
      <c r="L1993" s="6">
        <f t="shared" ca="1" si="563"/>
        <v>11</v>
      </c>
      <c r="M1993" s="68">
        <f ca="1">IFERROR(__xludf.DUMMYFUNCTION("""COMPUTED_VALUE"""),45987.6666666666)</f>
        <v>45987.666666666599</v>
      </c>
      <c r="N1993" s="6">
        <f ca="1">IFERROR(__xludf.DUMMYFUNCTION("""COMPUTED_VALUE"""),23214.69)</f>
        <v>23214.69</v>
      </c>
      <c r="R1993" s="6" t="str">
        <f t="shared" ca="1" si="564"/>
        <v>20262</v>
      </c>
      <c r="S1993" s="6">
        <f t="shared" ca="1" si="565"/>
        <v>2026</v>
      </c>
      <c r="T1993" s="6">
        <f t="shared" ca="1" si="566"/>
        <v>2</v>
      </c>
      <c r="U1993" s="68">
        <f ca="1">IFERROR(__xludf.DUMMYFUNCTION("""COMPUTED_VALUE"""),46072.6458333333)</f>
        <v>46072.645833333299</v>
      </c>
      <c r="V1993" s="6">
        <f ca="1">IFERROR(__xludf.DUMMYFUNCTION("""COMPUTED_VALUE"""),5677.25)</f>
        <v>5677.25</v>
      </c>
      <c r="Z1993" s="6" t="str">
        <f t="shared" ca="1" si="567"/>
        <v>20238</v>
      </c>
      <c r="AA1993" s="6">
        <f t="shared" ca="1" si="568"/>
        <v>2023</v>
      </c>
      <c r="AB1993" s="6">
        <f t="shared" ca="1" si="569"/>
        <v>8</v>
      </c>
      <c r="AC1993" s="68">
        <f ca="1">IFERROR(__xludf.DUMMYFUNCTION("""COMPUTED_VALUE"""),45142.9986111111)</f>
        <v>45142.998611111099</v>
      </c>
      <c r="AD1993" s="6">
        <f ca="1">IFERROR(__xludf.DUMMYFUNCTION("""COMPUTED_VALUE"""),1303.04)</f>
        <v>1303.04</v>
      </c>
      <c r="AH1993" s="6" t="str">
        <f t="shared" ca="1" si="570"/>
        <v>20236</v>
      </c>
      <c r="AI1993" s="6">
        <f t="shared" ca="1" si="571"/>
        <v>2023</v>
      </c>
      <c r="AJ1993" s="6">
        <f t="shared" ca="1" si="572"/>
        <v>6</v>
      </c>
      <c r="AK1993" s="68">
        <f ca="1">IFERROR(__xludf.DUMMYFUNCTION("""COMPUTED_VALUE"""),45086.9986111111)</f>
        <v>45086.998611111099</v>
      </c>
      <c r="AL1993" s="6">
        <f ca="1">IFERROR(__xludf.DUMMYFUNCTION("""COMPUTED_VALUE"""),26483.8)</f>
        <v>26483.8</v>
      </c>
      <c r="AP1993" s="6" t="str">
        <f t="shared" ca="1" si="573"/>
        <v>202512</v>
      </c>
      <c r="AQ1993" s="6">
        <f t="shared" ca="1" si="574"/>
        <v>2025</v>
      </c>
      <c r="AR1993" s="6">
        <f t="shared" ca="1" si="575"/>
        <v>12</v>
      </c>
      <c r="AS1993" s="68">
        <f ca="1">IFERROR(__xludf.DUMMYFUNCTION("""COMPUTED_VALUE"""),46001.9986111111)</f>
        <v>46001.998611111099</v>
      </c>
      <c r="AT1993" s="6">
        <f ca="1">IFERROR(__xludf.DUMMYFUNCTION("""COMPUTED_VALUE"""),4224.7)</f>
        <v>4224.7</v>
      </c>
    </row>
    <row r="1994" spans="2:46" x14ac:dyDescent="0.35">
      <c r="B1994" s="6" t="str">
        <f t="shared" ca="1" si="558"/>
        <v>202512</v>
      </c>
      <c r="C1994" s="6">
        <f t="shared" ca="1" si="559"/>
        <v>2025</v>
      </c>
      <c r="D1994" s="6">
        <f t="shared" ca="1" si="560"/>
        <v>12</v>
      </c>
      <c r="E1994" s="68">
        <f ca="1">IFERROR(__xludf.DUMMYFUNCTION("""COMPUTED_VALUE"""),45995.6666666666)</f>
        <v>45995.666666666599</v>
      </c>
      <c r="F1994" s="6">
        <f ca="1">IFERROR(__xludf.DUMMYFUNCTION("""COMPUTED_VALUE"""),6857.12)</f>
        <v>6857.12</v>
      </c>
      <c r="J1994" s="6" t="str">
        <f t="shared" ca="1" si="561"/>
        <v>202511</v>
      </c>
      <c r="K1994" s="6">
        <f t="shared" ca="1" si="562"/>
        <v>2025</v>
      </c>
      <c r="L1994" s="6">
        <f t="shared" ca="1" si="563"/>
        <v>11</v>
      </c>
      <c r="M1994" s="68">
        <f ca="1">IFERROR(__xludf.DUMMYFUNCTION("""COMPUTED_VALUE"""),45989.5451388888)</f>
        <v>45989.545138888803</v>
      </c>
      <c r="N1994" s="6">
        <f ca="1">IFERROR(__xludf.DUMMYFUNCTION("""COMPUTED_VALUE"""),23365.69)</f>
        <v>23365.69</v>
      </c>
      <c r="R1994" s="6" t="str">
        <f t="shared" ca="1" si="564"/>
        <v>20262</v>
      </c>
      <c r="S1994" s="6">
        <f t="shared" ca="1" si="565"/>
        <v>2026</v>
      </c>
      <c r="T1994" s="6">
        <f t="shared" ca="1" si="566"/>
        <v>2</v>
      </c>
      <c r="U1994" s="68">
        <f ca="1">IFERROR(__xludf.DUMMYFUNCTION("""COMPUTED_VALUE"""),46073.6458333333)</f>
        <v>46073.645833333299</v>
      </c>
      <c r="V1994" s="6">
        <f ca="1">IFERROR(__xludf.DUMMYFUNCTION("""COMPUTED_VALUE"""),5808.53)</f>
        <v>5808.53</v>
      </c>
      <c r="Z1994" s="6" t="str">
        <f t="shared" ca="1" si="567"/>
        <v>20238</v>
      </c>
      <c r="AA1994" s="6">
        <f t="shared" ca="1" si="568"/>
        <v>2023</v>
      </c>
      <c r="AB1994" s="6">
        <f t="shared" ca="1" si="569"/>
        <v>8</v>
      </c>
      <c r="AC1994" s="68">
        <f ca="1">IFERROR(__xludf.DUMMYFUNCTION("""COMPUTED_VALUE"""),45143.9986111111)</f>
        <v>45143.998611111099</v>
      </c>
      <c r="AD1994" s="6">
        <f ca="1">IFERROR(__xludf.DUMMYFUNCTION("""COMPUTED_VALUE"""),1303.04)</f>
        <v>1303.04</v>
      </c>
      <c r="AH1994" s="6" t="str">
        <f t="shared" ca="1" si="570"/>
        <v>20236</v>
      </c>
      <c r="AI1994" s="6">
        <f t="shared" ca="1" si="571"/>
        <v>2023</v>
      </c>
      <c r="AJ1994" s="6">
        <f t="shared" ca="1" si="572"/>
        <v>6</v>
      </c>
      <c r="AK1994" s="68">
        <f ca="1">IFERROR(__xludf.DUMMYFUNCTION("""COMPUTED_VALUE"""),45087.9986111111)</f>
        <v>45087.998611111099</v>
      </c>
      <c r="AL1994" s="6">
        <f ca="1">IFERROR(__xludf.DUMMYFUNCTION("""COMPUTED_VALUE"""),25853.87)</f>
        <v>25853.87</v>
      </c>
      <c r="AP1994" s="6" t="str">
        <f t="shared" ca="1" si="573"/>
        <v>202512</v>
      </c>
      <c r="AQ1994" s="6">
        <f t="shared" ca="1" si="574"/>
        <v>2025</v>
      </c>
      <c r="AR1994" s="6">
        <f t="shared" ca="1" si="575"/>
        <v>12</v>
      </c>
      <c r="AS1994" s="68">
        <f ca="1">IFERROR(__xludf.DUMMYFUNCTION("""COMPUTED_VALUE"""),46002.9986111111)</f>
        <v>46002.998611111099</v>
      </c>
      <c r="AT1994" s="6">
        <f ca="1">IFERROR(__xludf.DUMMYFUNCTION("""COMPUTED_VALUE"""),4313)</f>
        <v>4313</v>
      </c>
    </row>
    <row r="1995" spans="2:46" x14ac:dyDescent="0.35">
      <c r="B1995" s="6" t="str">
        <f t="shared" ca="1" si="558"/>
        <v>202512</v>
      </c>
      <c r="C1995" s="6">
        <f t="shared" ca="1" si="559"/>
        <v>2025</v>
      </c>
      <c r="D1995" s="6">
        <f t="shared" ca="1" si="560"/>
        <v>12</v>
      </c>
      <c r="E1995" s="68">
        <f ca="1">IFERROR(__xludf.DUMMYFUNCTION("""COMPUTED_VALUE"""),45996.6666666666)</f>
        <v>45996.666666666599</v>
      </c>
      <c r="F1995" s="6">
        <f ca="1">IFERROR(__xludf.DUMMYFUNCTION("""COMPUTED_VALUE"""),6870.4)</f>
        <v>6870.4</v>
      </c>
      <c r="J1995" s="6" t="str">
        <f t="shared" ca="1" si="561"/>
        <v>202512</v>
      </c>
      <c r="K1995" s="6">
        <f t="shared" ca="1" si="562"/>
        <v>2025</v>
      </c>
      <c r="L1995" s="6">
        <f t="shared" ca="1" si="563"/>
        <v>12</v>
      </c>
      <c r="M1995" s="68">
        <f ca="1">IFERROR(__xludf.DUMMYFUNCTION("""COMPUTED_VALUE"""),45992.6666666666)</f>
        <v>45992.666666666599</v>
      </c>
      <c r="N1995" s="6">
        <f ca="1">IFERROR(__xludf.DUMMYFUNCTION("""COMPUTED_VALUE"""),23275.92)</f>
        <v>23275.919999999998</v>
      </c>
      <c r="R1995" s="6" t="str">
        <f t="shared" ca="1" si="564"/>
        <v>20262</v>
      </c>
      <c r="S1995" s="6">
        <f t="shared" ca="1" si="565"/>
        <v>2026</v>
      </c>
      <c r="T1995" s="6">
        <f t="shared" ca="1" si="566"/>
        <v>2</v>
      </c>
      <c r="U1995" s="68">
        <f ca="1">IFERROR(__xludf.DUMMYFUNCTION("""COMPUTED_VALUE"""),46076.6458333333)</f>
        <v>46076.645833333299</v>
      </c>
      <c r="V1995" s="6">
        <f ca="1">IFERROR(__xludf.DUMMYFUNCTION("""COMPUTED_VALUE"""),5846.09)</f>
        <v>5846.09</v>
      </c>
      <c r="Z1995" s="6" t="str">
        <f t="shared" ca="1" si="567"/>
        <v>20238</v>
      </c>
      <c r="AA1995" s="6">
        <f t="shared" ca="1" si="568"/>
        <v>2023</v>
      </c>
      <c r="AB1995" s="6">
        <f t="shared" ca="1" si="569"/>
        <v>8</v>
      </c>
      <c r="AC1995" s="68">
        <f ca="1">IFERROR(__xludf.DUMMYFUNCTION("""COMPUTED_VALUE"""),45144.9986111111)</f>
        <v>45144.998611111099</v>
      </c>
      <c r="AD1995" s="6">
        <f ca="1">IFERROR(__xludf.DUMMYFUNCTION("""COMPUTED_VALUE"""),1303.05)</f>
        <v>1303.05</v>
      </c>
      <c r="AH1995" s="6" t="str">
        <f t="shared" ca="1" si="570"/>
        <v>20236</v>
      </c>
      <c r="AI1995" s="6">
        <f t="shared" ca="1" si="571"/>
        <v>2023</v>
      </c>
      <c r="AJ1995" s="6">
        <f t="shared" ca="1" si="572"/>
        <v>6</v>
      </c>
      <c r="AK1995" s="68">
        <f ca="1">IFERROR(__xludf.DUMMYFUNCTION("""COMPUTED_VALUE"""),45088.9986111111)</f>
        <v>45088.998611111099</v>
      </c>
      <c r="AL1995" s="6">
        <f ca="1">IFERROR(__xludf.DUMMYFUNCTION("""COMPUTED_VALUE"""),25933.86)</f>
        <v>25933.86</v>
      </c>
      <c r="AP1995" s="6" t="str">
        <f t="shared" ca="1" si="573"/>
        <v>202512</v>
      </c>
      <c r="AQ1995" s="6">
        <f t="shared" ca="1" si="574"/>
        <v>2025</v>
      </c>
      <c r="AR1995" s="6">
        <f t="shared" ca="1" si="575"/>
        <v>12</v>
      </c>
      <c r="AS1995" s="68">
        <f ca="1">IFERROR(__xludf.DUMMYFUNCTION("""COMPUTED_VALUE"""),46003.9986111111)</f>
        <v>46003.998611111099</v>
      </c>
      <c r="AT1995" s="6">
        <f ca="1">IFERROR(__xludf.DUMMYFUNCTION("""COMPUTED_VALUE"""),4328.3)</f>
        <v>4328.3</v>
      </c>
    </row>
    <row r="1996" spans="2:46" x14ac:dyDescent="0.35">
      <c r="B1996" s="6" t="str">
        <f t="shared" ca="1" si="558"/>
        <v>202512</v>
      </c>
      <c r="C1996" s="6">
        <f t="shared" ca="1" si="559"/>
        <v>2025</v>
      </c>
      <c r="D1996" s="6">
        <f t="shared" ca="1" si="560"/>
        <v>12</v>
      </c>
      <c r="E1996" s="68">
        <f ca="1">IFERROR(__xludf.DUMMYFUNCTION("""COMPUTED_VALUE"""),45999.6666666666)</f>
        <v>45999.666666666599</v>
      </c>
      <c r="F1996" s="6">
        <f ca="1">IFERROR(__xludf.DUMMYFUNCTION("""COMPUTED_VALUE"""),6846.51)</f>
        <v>6846.51</v>
      </c>
      <c r="J1996" s="6" t="str">
        <f t="shared" ca="1" si="561"/>
        <v>202512</v>
      </c>
      <c r="K1996" s="6">
        <f t="shared" ca="1" si="562"/>
        <v>2025</v>
      </c>
      <c r="L1996" s="6">
        <f t="shared" ca="1" si="563"/>
        <v>12</v>
      </c>
      <c r="M1996" s="68">
        <f ca="1">IFERROR(__xludf.DUMMYFUNCTION("""COMPUTED_VALUE"""),45993.6666666666)</f>
        <v>45993.666666666599</v>
      </c>
      <c r="N1996" s="6">
        <f ca="1">IFERROR(__xludf.DUMMYFUNCTION("""COMPUTED_VALUE"""),23413.67)</f>
        <v>23413.67</v>
      </c>
      <c r="R1996" s="6" t="str">
        <f t="shared" ca="1" si="564"/>
        <v>20262</v>
      </c>
      <c r="S1996" s="6">
        <f t="shared" ca="1" si="565"/>
        <v>2026</v>
      </c>
      <c r="T1996" s="6">
        <f t="shared" ca="1" si="566"/>
        <v>2</v>
      </c>
      <c r="U1996" s="68">
        <f ca="1">IFERROR(__xludf.DUMMYFUNCTION("""COMPUTED_VALUE"""),46077.6458333333)</f>
        <v>46077.645833333299</v>
      </c>
      <c r="V1996" s="6">
        <f ca="1">IFERROR(__xludf.DUMMYFUNCTION("""COMPUTED_VALUE"""),5969.64)</f>
        <v>5969.64</v>
      </c>
      <c r="Z1996" s="6" t="str">
        <f t="shared" ca="1" si="567"/>
        <v>20238</v>
      </c>
      <c r="AA1996" s="6">
        <f t="shared" ca="1" si="568"/>
        <v>2023</v>
      </c>
      <c r="AB1996" s="6">
        <f t="shared" ca="1" si="569"/>
        <v>8</v>
      </c>
      <c r="AC1996" s="68">
        <f ca="1">IFERROR(__xludf.DUMMYFUNCTION("""COMPUTED_VALUE"""),45145.9986111111)</f>
        <v>45145.998611111099</v>
      </c>
      <c r="AD1996" s="6">
        <f ca="1">IFERROR(__xludf.DUMMYFUNCTION("""COMPUTED_VALUE"""),1307.75)</f>
        <v>1307.75</v>
      </c>
      <c r="AH1996" s="6" t="str">
        <f t="shared" ca="1" si="570"/>
        <v>20236</v>
      </c>
      <c r="AI1996" s="6">
        <f t="shared" ca="1" si="571"/>
        <v>2023</v>
      </c>
      <c r="AJ1996" s="6">
        <f t="shared" ca="1" si="572"/>
        <v>6</v>
      </c>
      <c r="AK1996" s="68">
        <f ca="1">IFERROR(__xludf.DUMMYFUNCTION("""COMPUTED_VALUE"""),45089.9986111111)</f>
        <v>45089.998611111099</v>
      </c>
      <c r="AL1996" s="6">
        <f ca="1">IFERROR(__xludf.DUMMYFUNCTION("""COMPUTED_VALUE"""),25905.95)</f>
        <v>25905.95</v>
      </c>
      <c r="AP1996" s="6" t="str">
        <f t="shared" ca="1" si="573"/>
        <v>202512</v>
      </c>
      <c r="AQ1996" s="6">
        <f t="shared" ca="1" si="574"/>
        <v>2025</v>
      </c>
      <c r="AR1996" s="6">
        <f t="shared" ca="1" si="575"/>
        <v>12</v>
      </c>
      <c r="AS1996" s="68">
        <f ca="1">IFERROR(__xludf.DUMMYFUNCTION("""COMPUTED_VALUE"""),46006.9986111111)</f>
        <v>46006.998611111099</v>
      </c>
      <c r="AT1996" s="6">
        <f ca="1">IFERROR(__xludf.DUMMYFUNCTION("""COMPUTED_VALUE"""),4335.2)</f>
        <v>4335.2</v>
      </c>
    </row>
    <row r="1997" spans="2:46" x14ac:dyDescent="0.35">
      <c r="B1997" s="6" t="str">
        <f t="shared" ca="1" si="558"/>
        <v>202512</v>
      </c>
      <c r="C1997" s="6">
        <f t="shared" ca="1" si="559"/>
        <v>2025</v>
      </c>
      <c r="D1997" s="6">
        <f t="shared" ca="1" si="560"/>
        <v>12</v>
      </c>
      <c r="E1997" s="68">
        <f ca="1">IFERROR(__xludf.DUMMYFUNCTION("""COMPUTED_VALUE"""),46000.6666666666)</f>
        <v>46000.666666666599</v>
      </c>
      <c r="F1997" s="6">
        <f ca="1">IFERROR(__xludf.DUMMYFUNCTION("""COMPUTED_VALUE"""),6840.51)</f>
        <v>6840.51</v>
      </c>
      <c r="J1997" s="6" t="str">
        <f t="shared" ca="1" si="561"/>
        <v>202512</v>
      </c>
      <c r="K1997" s="6">
        <f t="shared" ca="1" si="562"/>
        <v>2025</v>
      </c>
      <c r="L1997" s="6">
        <f t="shared" ca="1" si="563"/>
        <v>12</v>
      </c>
      <c r="M1997" s="68">
        <f ca="1">IFERROR(__xludf.DUMMYFUNCTION("""COMPUTED_VALUE"""),45994.6666666666)</f>
        <v>45994.666666666599</v>
      </c>
      <c r="N1997" s="6">
        <f ca="1">IFERROR(__xludf.DUMMYFUNCTION("""COMPUTED_VALUE"""),23454.09)</f>
        <v>23454.09</v>
      </c>
      <c r="R1997" s="6" t="str">
        <f t="shared" ca="1" si="564"/>
        <v>20262</v>
      </c>
      <c r="S1997" s="6">
        <f t="shared" ca="1" si="565"/>
        <v>2026</v>
      </c>
      <c r="T1997" s="6">
        <f t="shared" ca="1" si="566"/>
        <v>2</v>
      </c>
      <c r="U1997" s="68">
        <f ca="1">IFERROR(__xludf.DUMMYFUNCTION("""COMPUTED_VALUE"""),46078.6458333333)</f>
        <v>46078.645833333299</v>
      </c>
      <c r="V1997" s="6">
        <f ca="1">IFERROR(__xludf.DUMMYFUNCTION("""COMPUTED_VALUE"""),6083.86)</f>
        <v>6083.86</v>
      </c>
      <c r="Z1997" s="6" t="str">
        <f t="shared" ca="1" si="567"/>
        <v>20238</v>
      </c>
      <c r="AA1997" s="6">
        <f t="shared" ca="1" si="568"/>
        <v>2023</v>
      </c>
      <c r="AB1997" s="6">
        <f t="shared" ca="1" si="569"/>
        <v>8</v>
      </c>
      <c r="AC1997" s="68">
        <f ca="1">IFERROR(__xludf.DUMMYFUNCTION("""COMPUTED_VALUE"""),45146.9986111111)</f>
        <v>45146.998611111099</v>
      </c>
      <c r="AD1997" s="6">
        <f ca="1">IFERROR(__xludf.DUMMYFUNCTION("""COMPUTED_VALUE"""),1316.67)</f>
        <v>1316.67</v>
      </c>
      <c r="AH1997" s="6" t="str">
        <f t="shared" ca="1" si="570"/>
        <v>20236</v>
      </c>
      <c r="AI1997" s="6">
        <f t="shared" ca="1" si="571"/>
        <v>2023</v>
      </c>
      <c r="AJ1997" s="6">
        <f t="shared" ca="1" si="572"/>
        <v>6</v>
      </c>
      <c r="AK1997" s="68">
        <f ca="1">IFERROR(__xludf.DUMMYFUNCTION("""COMPUTED_VALUE"""),45090.9986111111)</f>
        <v>45090.998611111099</v>
      </c>
      <c r="AL1997" s="6">
        <f ca="1">IFERROR(__xludf.DUMMYFUNCTION("""COMPUTED_VALUE"""),25925.74)</f>
        <v>25925.74</v>
      </c>
      <c r="AP1997" s="6" t="str">
        <f t="shared" ca="1" si="573"/>
        <v>202512</v>
      </c>
      <c r="AQ1997" s="6">
        <f t="shared" ca="1" si="574"/>
        <v>2025</v>
      </c>
      <c r="AR1997" s="6">
        <f t="shared" ca="1" si="575"/>
        <v>12</v>
      </c>
      <c r="AS1997" s="68">
        <f ca="1">IFERROR(__xludf.DUMMYFUNCTION("""COMPUTED_VALUE"""),46007.9986111111)</f>
        <v>46007.998611111099</v>
      </c>
      <c r="AT1997" s="6">
        <f ca="1">IFERROR(__xludf.DUMMYFUNCTION("""COMPUTED_VALUE"""),4332.3)</f>
        <v>4332.3</v>
      </c>
    </row>
    <row r="1998" spans="2:46" x14ac:dyDescent="0.35">
      <c r="B1998" s="6" t="str">
        <f t="shared" ca="1" si="558"/>
        <v>202512</v>
      </c>
      <c r="C1998" s="6">
        <f t="shared" ca="1" si="559"/>
        <v>2025</v>
      </c>
      <c r="D1998" s="6">
        <f t="shared" ca="1" si="560"/>
        <v>12</v>
      </c>
      <c r="E1998" s="68">
        <f ca="1">IFERROR(__xludf.DUMMYFUNCTION("""COMPUTED_VALUE"""),46001.6666666666)</f>
        <v>46001.666666666599</v>
      </c>
      <c r="F1998" s="6">
        <f ca="1">IFERROR(__xludf.DUMMYFUNCTION("""COMPUTED_VALUE"""),6886.68)</f>
        <v>6886.68</v>
      </c>
      <c r="J1998" s="6" t="str">
        <f t="shared" ca="1" si="561"/>
        <v>202512</v>
      </c>
      <c r="K1998" s="6">
        <f t="shared" ca="1" si="562"/>
        <v>2025</v>
      </c>
      <c r="L1998" s="6">
        <f t="shared" ca="1" si="563"/>
        <v>12</v>
      </c>
      <c r="M1998" s="68">
        <f ca="1">IFERROR(__xludf.DUMMYFUNCTION("""COMPUTED_VALUE"""),45995.6666666666)</f>
        <v>45995.666666666599</v>
      </c>
      <c r="N1998" s="6">
        <f ca="1">IFERROR(__xludf.DUMMYFUNCTION("""COMPUTED_VALUE"""),23505.14)</f>
        <v>23505.14</v>
      </c>
      <c r="R1998" s="6" t="str">
        <f t="shared" ca="1" si="564"/>
        <v>20262</v>
      </c>
      <c r="S1998" s="6">
        <f t="shared" ca="1" si="565"/>
        <v>2026</v>
      </c>
      <c r="T1998" s="6">
        <f t="shared" ca="1" si="566"/>
        <v>2</v>
      </c>
      <c r="U1998" s="68">
        <f ca="1">IFERROR(__xludf.DUMMYFUNCTION("""COMPUTED_VALUE"""),46079.6458333333)</f>
        <v>46079.645833333299</v>
      </c>
      <c r="V1998" s="6">
        <f ca="1">IFERROR(__xludf.DUMMYFUNCTION("""COMPUTED_VALUE"""),6307.27)</f>
        <v>6307.27</v>
      </c>
      <c r="Z1998" s="6" t="str">
        <f t="shared" ca="1" si="567"/>
        <v>20238</v>
      </c>
      <c r="AA1998" s="6">
        <f t="shared" ca="1" si="568"/>
        <v>2023</v>
      </c>
      <c r="AB1998" s="6">
        <f t="shared" ca="1" si="569"/>
        <v>8</v>
      </c>
      <c r="AC1998" s="68">
        <f ca="1">IFERROR(__xludf.DUMMYFUNCTION("""COMPUTED_VALUE"""),45147.9986111111)</f>
        <v>45147.998611111099</v>
      </c>
      <c r="AD1998" s="6">
        <f ca="1">IFERROR(__xludf.DUMMYFUNCTION("""COMPUTED_VALUE"""),1313.64)</f>
        <v>1313.64</v>
      </c>
      <c r="AH1998" s="6" t="str">
        <f t="shared" ca="1" si="570"/>
        <v>20236</v>
      </c>
      <c r="AI1998" s="6">
        <f t="shared" ca="1" si="571"/>
        <v>2023</v>
      </c>
      <c r="AJ1998" s="6">
        <f t="shared" ca="1" si="572"/>
        <v>6</v>
      </c>
      <c r="AK1998" s="68">
        <f ca="1">IFERROR(__xludf.DUMMYFUNCTION("""COMPUTED_VALUE"""),45091.9986111111)</f>
        <v>45091.998611111099</v>
      </c>
      <c r="AL1998" s="6">
        <f ca="1">IFERROR(__xludf.DUMMYFUNCTION("""COMPUTED_VALUE"""),25126.3)</f>
        <v>25126.3</v>
      </c>
      <c r="AP1998" s="6" t="str">
        <f t="shared" ca="1" si="573"/>
        <v>202512</v>
      </c>
      <c r="AQ1998" s="6">
        <f t="shared" ca="1" si="574"/>
        <v>2025</v>
      </c>
      <c r="AR1998" s="6">
        <f t="shared" ca="1" si="575"/>
        <v>12</v>
      </c>
      <c r="AS1998" s="68">
        <f ca="1">IFERROR(__xludf.DUMMYFUNCTION("""COMPUTED_VALUE"""),46008.9986111111)</f>
        <v>46008.998611111099</v>
      </c>
      <c r="AT1998" s="6">
        <f ca="1">IFERROR(__xludf.DUMMYFUNCTION("""COMPUTED_VALUE"""),4373.9)</f>
        <v>4373.8999999999996</v>
      </c>
    </row>
    <row r="1999" spans="2:46" x14ac:dyDescent="0.35">
      <c r="B1999" s="6" t="str">
        <f t="shared" ca="1" si="558"/>
        <v>202512</v>
      </c>
      <c r="C1999" s="6">
        <f t="shared" ca="1" si="559"/>
        <v>2025</v>
      </c>
      <c r="D1999" s="6">
        <f t="shared" ca="1" si="560"/>
        <v>12</v>
      </c>
      <c r="E1999" s="68">
        <f ca="1">IFERROR(__xludf.DUMMYFUNCTION("""COMPUTED_VALUE"""),46002.6666666666)</f>
        <v>46002.666666666599</v>
      </c>
      <c r="F1999" s="6">
        <f ca="1">IFERROR(__xludf.DUMMYFUNCTION("""COMPUTED_VALUE"""),6901)</f>
        <v>6901</v>
      </c>
      <c r="J1999" s="6" t="str">
        <f t="shared" ca="1" si="561"/>
        <v>202512</v>
      </c>
      <c r="K1999" s="6">
        <f t="shared" ca="1" si="562"/>
        <v>2025</v>
      </c>
      <c r="L1999" s="6">
        <f t="shared" ca="1" si="563"/>
        <v>12</v>
      </c>
      <c r="M1999" s="68">
        <f ca="1">IFERROR(__xludf.DUMMYFUNCTION("""COMPUTED_VALUE"""),45996.6666666666)</f>
        <v>45996.666666666599</v>
      </c>
      <c r="N1999" s="6">
        <f ca="1">IFERROR(__xludf.DUMMYFUNCTION("""COMPUTED_VALUE"""),23578.13)</f>
        <v>23578.13</v>
      </c>
      <c r="R1999" s="6" t="str">
        <f t="shared" ca="1" si="564"/>
        <v>20262</v>
      </c>
      <c r="S1999" s="6">
        <f t="shared" ca="1" si="565"/>
        <v>2026</v>
      </c>
      <c r="T1999" s="6">
        <f t="shared" ca="1" si="566"/>
        <v>2</v>
      </c>
      <c r="U1999" s="68">
        <f ca="1">IFERROR(__xludf.DUMMYFUNCTION("""COMPUTED_VALUE"""),46080.6458333333)</f>
        <v>46080.645833333299</v>
      </c>
      <c r="V1999" s="6">
        <f ca="1">IFERROR(__xludf.DUMMYFUNCTION("""COMPUTED_VALUE"""),6244.13)</f>
        <v>6244.13</v>
      </c>
      <c r="Z1999" s="6" t="str">
        <f t="shared" ca="1" si="567"/>
        <v>20238</v>
      </c>
      <c r="AA1999" s="6">
        <f t="shared" ca="1" si="568"/>
        <v>2023</v>
      </c>
      <c r="AB1999" s="6">
        <f t="shared" ca="1" si="569"/>
        <v>8</v>
      </c>
      <c r="AC1999" s="68">
        <f ca="1">IFERROR(__xludf.DUMMYFUNCTION("""COMPUTED_VALUE"""),45148.9986111111)</f>
        <v>45148.998611111099</v>
      </c>
      <c r="AD1999" s="6">
        <f ca="1">IFERROR(__xludf.DUMMYFUNCTION("""COMPUTED_VALUE"""),1318.33)</f>
        <v>1318.33</v>
      </c>
      <c r="AH1999" s="6" t="str">
        <f t="shared" ca="1" si="570"/>
        <v>20236</v>
      </c>
      <c r="AI1999" s="6">
        <f t="shared" ca="1" si="571"/>
        <v>2023</v>
      </c>
      <c r="AJ1999" s="6">
        <f t="shared" ca="1" si="572"/>
        <v>6</v>
      </c>
      <c r="AK1999" s="68">
        <f ca="1">IFERROR(__xludf.DUMMYFUNCTION("""COMPUTED_VALUE"""),45092.9986111111)</f>
        <v>45092.998611111099</v>
      </c>
      <c r="AL1999" s="6">
        <f ca="1">IFERROR(__xludf.DUMMYFUNCTION("""COMPUTED_VALUE"""),25579.45)</f>
        <v>25579.45</v>
      </c>
      <c r="AP1999" s="6" t="str">
        <f t="shared" ca="1" si="573"/>
        <v>202512</v>
      </c>
      <c r="AQ1999" s="6">
        <f t="shared" ca="1" si="574"/>
        <v>2025</v>
      </c>
      <c r="AR1999" s="6">
        <f t="shared" ca="1" si="575"/>
        <v>12</v>
      </c>
      <c r="AS1999" s="68">
        <f ca="1">IFERROR(__xludf.DUMMYFUNCTION("""COMPUTED_VALUE"""),46009.9986111111)</f>
        <v>46009.998611111099</v>
      </c>
      <c r="AT1999" s="6">
        <f ca="1">IFERROR(__xludf.DUMMYFUNCTION("""COMPUTED_VALUE"""),4364.5)</f>
        <v>4364.5</v>
      </c>
    </row>
    <row r="2000" spans="2:46" x14ac:dyDescent="0.35">
      <c r="B2000" s="6" t="str">
        <f t="shared" ca="1" si="558"/>
        <v>202512</v>
      </c>
      <c r="C2000" s="6">
        <f t="shared" ca="1" si="559"/>
        <v>2025</v>
      </c>
      <c r="D2000" s="6">
        <f t="shared" ca="1" si="560"/>
        <v>12</v>
      </c>
      <c r="E2000" s="68">
        <f ca="1">IFERROR(__xludf.DUMMYFUNCTION("""COMPUTED_VALUE"""),46003.6666666666)</f>
        <v>46003.666666666599</v>
      </c>
      <c r="F2000" s="6">
        <f ca="1">IFERROR(__xludf.DUMMYFUNCTION("""COMPUTED_VALUE"""),6827.41)</f>
        <v>6827.41</v>
      </c>
      <c r="J2000" s="6" t="str">
        <f t="shared" ca="1" si="561"/>
        <v>202512</v>
      </c>
      <c r="K2000" s="6">
        <f t="shared" ca="1" si="562"/>
        <v>2025</v>
      </c>
      <c r="L2000" s="6">
        <f t="shared" ca="1" si="563"/>
        <v>12</v>
      </c>
      <c r="M2000" s="68">
        <f ca="1">IFERROR(__xludf.DUMMYFUNCTION("""COMPUTED_VALUE"""),45999.6666666666)</f>
        <v>45999.666666666599</v>
      </c>
      <c r="N2000" s="6">
        <f ca="1">IFERROR(__xludf.DUMMYFUNCTION("""COMPUTED_VALUE"""),23545.9)</f>
        <v>23545.9</v>
      </c>
      <c r="R2000" s="6" t="str">
        <f t="shared" ca="1" si="564"/>
        <v>20263</v>
      </c>
      <c r="S2000" s="6">
        <f t="shared" ca="1" si="565"/>
        <v>2026</v>
      </c>
      <c r="T2000" s="6">
        <f t="shared" ca="1" si="566"/>
        <v>3</v>
      </c>
      <c r="U2000" s="68">
        <f ca="1">IFERROR(__xludf.DUMMYFUNCTION("""COMPUTED_VALUE"""),46084.6458333333)</f>
        <v>46084.645833333299</v>
      </c>
      <c r="V2000" s="6">
        <f ca="1">IFERROR(__xludf.DUMMYFUNCTION("""COMPUTED_VALUE"""),5791.91)</f>
        <v>5791.91</v>
      </c>
      <c r="Z2000" s="6" t="str">
        <f t="shared" ca="1" si="567"/>
        <v>20238</v>
      </c>
      <c r="AA2000" s="6">
        <f t="shared" ca="1" si="568"/>
        <v>2023</v>
      </c>
      <c r="AB2000" s="6">
        <f t="shared" ca="1" si="569"/>
        <v>8</v>
      </c>
      <c r="AC2000" s="68">
        <f ca="1">IFERROR(__xludf.DUMMYFUNCTION("""COMPUTED_VALUE"""),45149.9986111111)</f>
        <v>45149.998611111099</v>
      </c>
      <c r="AD2000" s="6">
        <f ca="1">IFERROR(__xludf.DUMMYFUNCTION("""COMPUTED_VALUE"""),1329.6)</f>
        <v>1329.6</v>
      </c>
      <c r="AH2000" s="6" t="str">
        <f t="shared" ca="1" si="570"/>
        <v>20236</v>
      </c>
      <c r="AI2000" s="6">
        <f t="shared" ca="1" si="571"/>
        <v>2023</v>
      </c>
      <c r="AJ2000" s="6">
        <f t="shared" ca="1" si="572"/>
        <v>6</v>
      </c>
      <c r="AK2000" s="68">
        <f ca="1">IFERROR(__xludf.DUMMYFUNCTION("""COMPUTED_VALUE"""),45093.9986111111)</f>
        <v>45093.998611111099</v>
      </c>
      <c r="AL2000" s="6">
        <f ca="1">IFERROR(__xludf.DUMMYFUNCTION("""COMPUTED_VALUE"""),26338.52)</f>
        <v>26338.52</v>
      </c>
      <c r="AP2000" s="6" t="str">
        <f t="shared" ca="1" si="573"/>
        <v>202512</v>
      </c>
      <c r="AQ2000" s="6">
        <f t="shared" ca="1" si="574"/>
        <v>2025</v>
      </c>
      <c r="AR2000" s="6">
        <f t="shared" ca="1" si="575"/>
        <v>12</v>
      </c>
      <c r="AS2000" s="68">
        <f ca="1">IFERROR(__xludf.DUMMYFUNCTION("""COMPUTED_VALUE"""),46010.9986111111)</f>
        <v>46010.998611111099</v>
      </c>
      <c r="AT2000" s="6">
        <f ca="1">IFERROR(__xludf.DUMMYFUNCTION("""COMPUTED_VALUE"""),4387.3)</f>
        <v>4387.3</v>
      </c>
    </row>
    <row r="2001" spans="2:46" x14ac:dyDescent="0.35">
      <c r="B2001" s="6" t="str">
        <f t="shared" ca="1" si="558"/>
        <v>202512</v>
      </c>
      <c r="C2001" s="6">
        <f t="shared" ca="1" si="559"/>
        <v>2025</v>
      </c>
      <c r="D2001" s="6">
        <f t="shared" ca="1" si="560"/>
        <v>12</v>
      </c>
      <c r="E2001" s="68">
        <f ca="1">IFERROR(__xludf.DUMMYFUNCTION("""COMPUTED_VALUE"""),46006.6666666666)</f>
        <v>46006.666666666599</v>
      </c>
      <c r="F2001" s="6">
        <f ca="1">IFERROR(__xludf.DUMMYFUNCTION("""COMPUTED_VALUE"""),6816.51)</f>
        <v>6816.51</v>
      </c>
      <c r="J2001" s="6" t="str">
        <f t="shared" ca="1" si="561"/>
        <v>202512</v>
      </c>
      <c r="K2001" s="6">
        <f t="shared" ca="1" si="562"/>
        <v>2025</v>
      </c>
      <c r="L2001" s="6">
        <f t="shared" ca="1" si="563"/>
        <v>12</v>
      </c>
      <c r="M2001" s="68">
        <f ca="1">IFERROR(__xludf.DUMMYFUNCTION("""COMPUTED_VALUE"""),46000.6666666666)</f>
        <v>46000.666666666599</v>
      </c>
      <c r="N2001" s="6">
        <f ca="1">IFERROR(__xludf.DUMMYFUNCTION("""COMPUTED_VALUE"""),23576.49)</f>
        <v>23576.49</v>
      </c>
      <c r="R2001" s="6" t="str">
        <f t="shared" ca="1" si="564"/>
        <v>20263</v>
      </c>
      <c r="S2001" s="6">
        <f t="shared" ca="1" si="565"/>
        <v>2026</v>
      </c>
      <c r="T2001" s="6">
        <f t="shared" ca="1" si="566"/>
        <v>3</v>
      </c>
      <c r="U2001" s="68">
        <f ca="1">IFERROR(__xludf.DUMMYFUNCTION("""COMPUTED_VALUE"""),46085.6458333333)</f>
        <v>46085.645833333299</v>
      </c>
      <c r="V2001" s="6">
        <f ca="1">IFERROR(__xludf.DUMMYFUNCTION("""COMPUTED_VALUE"""),5093.54)</f>
        <v>5093.54</v>
      </c>
      <c r="Z2001" s="6" t="str">
        <f t="shared" ca="1" si="567"/>
        <v>20238</v>
      </c>
      <c r="AA2001" s="6">
        <f t="shared" ca="1" si="568"/>
        <v>2023</v>
      </c>
      <c r="AB2001" s="6">
        <f t="shared" ca="1" si="569"/>
        <v>8</v>
      </c>
      <c r="AC2001" s="68">
        <f ca="1">IFERROR(__xludf.DUMMYFUNCTION("""COMPUTED_VALUE"""),45150.9986111111)</f>
        <v>45150.998611111099</v>
      </c>
      <c r="AD2001" s="6">
        <f ca="1">IFERROR(__xludf.DUMMYFUNCTION("""COMPUTED_VALUE"""),1329.6)</f>
        <v>1329.6</v>
      </c>
      <c r="AH2001" s="6" t="str">
        <f t="shared" ca="1" si="570"/>
        <v>20236</v>
      </c>
      <c r="AI2001" s="6">
        <f t="shared" ca="1" si="571"/>
        <v>2023</v>
      </c>
      <c r="AJ2001" s="6">
        <f t="shared" ca="1" si="572"/>
        <v>6</v>
      </c>
      <c r="AK2001" s="68">
        <f ca="1">IFERROR(__xludf.DUMMYFUNCTION("""COMPUTED_VALUE"""),45094.9986111111)</f>
        <v>45094.998611111099</v>
      </c>
      <c r="AL2001" s="6">
        <f ca="1">IFERROR(__xludf.DUMMYFUNCTION("""COMPUTED_VALUE"""),26520.6)</f>
        <v>26520.6</v>
      </c>
      <c r="AP2001" s="6" t="str">
        <f t="shared" ca="1" si="573"/>
        <v>202512</v>
      </c>
      <c r="AQ2001" s="6">
        <f t="shared" ca="1" si="574"/>
        <v>2025</v>
      </c>
      <c r="AR2001" s="6">
        <f t="shared" ca="1" si="575"/>
        <v>12</v>
      </c>
      <c r="AS2001" s="68">
        <f ca="1">IFERROR(__xludf.DUMMYFUNCTION("""COMPUTED_VALUE"""),46013.9986111111)</f>
        <v>46013.998611111099</v>
      </c>
      <c r="AT2001" s="6">
        <f ca="1">IFERROR(__xludf.DUMMYFUNCTION("""COMPUTED_VALUE"""),4469.4)</f>
        <v>4469.3999999999996</v>
      </c>
    </row>
    <row r="2002" spans="2:46" x14ac:dyDescent="0.35">
      <c r="B2002" s="6" t="str">
        <f t="shared" ca="1" si="558"/>
        <v>202512</v>
      </c>
      <c r="C2002" s="6">
        <f t="shared" ca="1" si="559"/>
        <v>2025</v>
      </c>
      <c r="D2002" s="6">
        <f t="shared" ca="1" si="560"/>
        <v>12</v>
      </c>
      <c r="E2002" s="68">
        <f ca="1">IFERROR(__xludf.DUMMYFUNCTION("""COMPUTED_VALUE"""),46007.6666666666)</f>
        <v>46007.666666666599</v>
      </c>
      <c r="F2002" s="6">
        <f ca="1">IFERROR(__xludf.DUMMYFUNCTION("""COMPUTED_VALUE"""),6800.26)</f>
        <v>6800.26</v>
      </c>
      <c r="J2002" s="6" t="str">
        <f t="shared" ca="1" si="561"/>
        <v>202512</v>
      </c>
      <c r="K2002" s="6">
        <f t="shared" ca="1" si="562"/>
        <v>2025</v>
      </c>
      <c r="L2002" s="6">
        <f t="shared" ca="1" si="563"/>
        <v>12</v>
      </c>
      <c r="M2002" s="68">
        <f ca="1">IFERROR(__xludf.DUMMYFUNCTION("""COMPUTED_VALUE"""),46001.6666666666)</f>
        <v>46001.666666666599</v>
      </c>
      <c r="N2002" s="6">
        <f ca="1">IFERROR(__xludf.DUMMYFUNCTION("""COMPUTED_VALUE"""),23654.16)</f>
        <v>23654.16</v>
      </c>
      <c r="R2002" s="6" t="str">
        <f t="shared" ca="1" si="564"/>
        <v>20263</v>
      </c>
      <c r="S2002" s="6">
        <f t="shared" ca="1" si="565"/>
        <v>2026</v>
      </c>
      <c r="T2002" s="6">
        <f t="shared" ca="1" si="566"/>
        <v>3</v>
      </c>
      <c r="U2002" s="68">
        <f ca="1">IFERROR(__xludf.DUMMYFUNCTION("""COMPUTED_VALUE"""),46086.6458333333)</f>
        <v>46086.645833333299</v>
      </c>
      <c r="V2002" s="6">
        <f ca="1">IFERROR(__xludf.DUMMYFUNCTION("""COMPUTED_VALUE"""),5583.9)</f>
        <v>5583.9</v>
      </c>
      <c r="Z2002" s="6" t="str">
        <f t="shared" ca="1" si="567"/>
        <v>20238</v>
      </c>
      <c r="AA2002" s="6">
        <f t="shared" ca="1" si="568"/>
        <v>2023</v>
      </c>
      <c r="AB2002" s="6">
        <f t="shared" ca="1" si="569"/>
        <v>8</v>
      </c>
      <c r="AC2002" s="68">
        <f ca="1">IFERROR(__xludf.DUMMYFUNCTION("""COMPUTED_VALUE"""),45151.9986111111)</f>
        <v>45151.998611111099</v>
      </c>
      <c r="AD2002" s="6">
        <f ca="1">IFERROR(__xludf.DUMMYFUNCTION("""COMPUTED_VALUE"""),1329.61)</f>
        <v>1329.61</v>
      </c>
      <c r="AH2002" s="6" t="str">
        <f t="shared" ca="1" si="570"/>
        <v>20236</v>
      </c>
      <c r="AI2002" s="6">
        <f t="shared" ca="1" si="571"/>
        <v>2023</v>
      </c>
      <c r="AJ2002" s="6">
        <f t="shared" ca="1" si="572"/>
        <v>6</v>
      </c>
      <c r="AK2002" s="68">
        <f ca="1">IFERROR(__xludf.DUMMYFUNCTION("""COMPUTED_VALUE"""),45095.9986111111)</f>
        <v>45095.998611111099</v>
      </c>
      <c r="AL2002" s="6">
        <f ca="1">IFERROR(__xludf.DUMMYFUNCTION("""COMPUTED_VALUE"""),26344.33)</f>
        <v>26344.33</v>
      </c>
      <c r="AP2002" s="6" t="str">
        <f t="shared" ca="1" si="573"/>
        <v>202512</v>
      </c>
      <c r="AQ2002" s="6">
        <f t="shared" ca="1" si="574"/>
        <v>2025</v>
      </c>
      <c r="AR2002" s="6">
        <f t="shared" ca="1" si="575"/>
        <v>12</v>
      </c>
      <c r="AS2002" s="68">
        <f ca="1">IFERROR(__xludf.DUMMYFUNCTION("""COMPUTED_VALUE"""),46014.9986111111)</f>
        <v>46014.998611111099</v>
      </c>
      <c r="AT2002" s="6">
        <f ca="1">IFERROR(__xludf.DUMMYFUNCTION("""COMPUTED_VALUE"""),4505.7)</f>
        <v>4505.7</v>
      </c>
    </row>
    <row r="2003" spans="2:46" x14ac:dyDescent="0.35">
      <c r="B2003" s="6" t="str">
        <f t="shared" ca="1" si="558"/>
        <v>202512</v>
      </c>
      <c r="C2003" s="6">
        <f t="shared" ca="1" si="559"/>
        <v>2025</v>
      </c>
      <c r="D2003" s="6">
        <f t="shared" ca="1" si="560"/>
        <v>12</v>
      </c>
      <c r="E2003" s="68">
        <f ca="1">IFERROR(__xludf.DUMMYFUNCTION("""COMPUTED_VALUE"""),46008.6666666666)</f>
        <v>46008.666666666599</v>
      </c>
      <c r="F2003" s="6">
        <f ca="1">IFERROR(__xludf.DUMMYFUNCTION("""COMPUTED_VALUE"""),6721.43)</f>
        <v>6721.43</v>
      </c>
      <c r="J2003" s="6" t="str">
        <f t="shared" ca="1" si="561"/>
        <v>202512</v>
      </c>
      <c r="K2003" s="6">
        <f t="shared" ca="1" si="562"/>
        <v>2025</v>
      </c>
      <c r="L2003" s="6">
        <f t="shared" ca="1" si="563"/>
        <v>12</v>
      </c>
      <c r="M2003" s="68">
        <f ca="1">IFERROR(__xludf.DUMMYFUNCTION("""COMPUTED_VALUE"""),46002.6666666666)</f>
        <v>46002.666666666599</v>
      </c>
      <c r="N2003" s="6">
        <f ca="1">IFERROR(__xludf.DUMMYFUNCTION("""COMPUTED_VALUE"""),23593.86)</f>
        <v>23593.86</v>
      </c>
      <c r="R2003" s="6" t="str">
        <f t="shared" ca="1" si="564"/>
        <v>20263</v>
      </c>
      <c r="S2003" s="6">
        <f t="shared" ca="1" si="565"/>
        <v>2026</v>
      </c>
      <c r="T2003" s="6">
        <f t="shared" ca="1" si="566"/>
        <v>3</v>
      </c>
      <c r="U2003" s="68">
        <f ca="1">IFERROR(__xludf.DUMMYFUNCTION("""COMPUTED_VALUE"""),46087.6458333333)</f>
        <v>46087.645833333299</v>
      </c>
      <c r="V2003" s="6">
        <f ca="1">IFERROR(__xludf.DUMMYFUNCTION("""COMPUTED_VALUE"""),5584.87)</f>
        <v>5584.87</v>
      </c>
      <c r="Z2003" s="6" t="str">
        <f t="shared" ca="1" si="567"/>
        <v>20238</v>
      </c>
      <c r="AA2003" s="6">
        <f t="shared" ca="1" si="568"/>
        <v>2023</v>
      </c>
      <c r="AB2003" s="6">
        <f t="shared" ca="1" si="569"/>
        <v>8</v>
      </c>
      <c r="AC2003" s="68">
        <f ca="1">IFERROR(__xludf.DUMMYFUNCTION("""COMPUTED_VALUE"""),45152.9986111111)</f>
        <v>45152.998611111099</v>
      </c>
      <c r="AD2003" s="6">
        <f ca="1">IFERROR(__xludf.DUMMYFUNCTION("""COMPUTED_VALUE"""),1334.74)</f>
        <v>1334.74</v>
      </c>
      <c r="AH2003" s="6" t="str">
        <f t="shared" ca="1" si="570"/>
        <v>20236</v>
      </c>
      <c r="AI2003" s="6">
        <f t="shared" ca="1" si="571"/>
        <v>2023</v>
      </c>
      <c r="AJ2003" s="6">
        <f t="shared" ca="1" si="572"/>
        <v>6</v>
      </c>
      <c r="AK2003" s="68">
        <f ca="1">IFERROR(__xludf.DUMMYFUNCTION("""COMPUTED_VALUE"""),45096.9986111111)</f>
        <v>45096.998611111099</v>
      </c>
      <c r="AL2003" s="6">
        <f ca="1">IFERROR(__xludf.DUMMYFUNCTION("""COMPUTED_VALUE"""),26838.21)</f>
        <v>26838.21</v>
      </c>
      <c r="AP2003" s="6" t="str">
        <f t="shared" ca="1" si="573"/>
        <v>202512</v>
      </c>
      <c r="AQ2003" s="6">
        <f t="shared" ca="1" si="574"/>
        <v>2025</v>
      </c>
      <c r="AR2003" s="6">
        <f t="shared" ca="1" si="575"/>
        <v>12</v>
      </c>
      <c r="AS2003" s="68">
        <f ca="1">IFERROR(__xludf.DUMMYFUNCTION("""COMPUTED_VALUE"""),46015.5416666666)</f>
        <v>46015.541666666599</v>
      </c>
      <c r="AT2003" s="6">
        <f ca="1">IFERROR(__xludf.DUMMYFUNCTION("""COMPUTED_VALUE"""),4502.8)</f>
        <v>4502.8</v>
      </c>
    </row>
    <row r="2004" spans="2:46" x14ac:dyDescent="0.35">
      <c r="B2004" s="6" t="str">
        <f t="shared" ca="1" si="558"/>
        <v>202512</v>
      </c>
      <c r="C2004" s="6">
        <f t="shared" ca="1" si="559"/>
        <v>2025</v>
      </c>
      <c r="D2004" s="6">
        <f t="shared" ca="1" si="560"/>
        <v>12</v>
      </c>
      <c r="E2004" s="68">
        <f ca="1">IFERROR(__xludf.DUMMYFUNCTION("""COMPUTED_VALUE"""),46009.6666666666)</f>
        <v>46009.666666666599</v>
      </c>
      <c r="F2004" s="6">
        <f ca="1">IFERROR(__xludf.DUMMYFUNCTION("""COMPUTED_VALUE"""),6774.76)</f>
        <v>6774.76</v>
      </c>
      <c r="J2004" s="6" t="str">
        <f t="shared" ca="1" si="561"/>
        <v>202512</v>
      </c>
      <c r="K2004" s="6">
        <f t="shared" ca="1" si="562"/>
        <v>2025</v>
      </c>
      <c r="L2004" s="6">
        <f t="shared" ca="1" si="563"/>
        <v>12</v>
      </c>
      <c r="M2004" s="68">
        <f ca="1">IFERROR(__xludf.DUMMYFUNCTION("""COMPUTED_VALUE"""),46003.6666666666)</f>
        <v>46003.666666666599</v>
      </c>
      <c r="N2004" s="6">
        <f ca="1">IFERROR(__xludf.DUMMYFUNCTION("""COMPUTED_VALUE"""),23195.17)</f>
        <v>23195.17</v>
      </c>
      <c r="R2004" s="6" t="str">
        <f t="shared" ca="1" si="564"/>
        <v>20263</v>
      </c>
      <c r="S2004" s="6">
        <f t="shared" ca="1" si="565"/>
        <v>2026</v>
      </c>
      <c r="T2004" s="6">
        <f t="shared" ca="1" si="566"/>
        <v>3</v>
      </c>
      <c r="U2004" s="68">
        <f ca="1">IFERROR(__xludf.DUMMYFUNCTION("""COMPUTED_VALUE"""),46090.6458333333)</f>
        <v>46090.645833333299</v>
      </c>
      <c r="V2004" s="6">
        <f ca="1">IFERROR(__xludf.DUMMYFUNCTION("""COMPUTED_VALUE"""),5251.87)</f>
        <v>5251.87</v>
      </c>
      <c r="Z2004" s="6" t="str">
        <f t="shared" ca="1" si="567"/>
        <v>20238</v>
      </c>
      <c r="AA2004" s="6">
        <f t="shared" ca="1" si="568"/>
        <v>2023</v>
      </c>
      <c r="AB2004" s="6">
        <f t="shared" ca="1" si="569"/>
        <v>8</v>
      </c>
      <c r="AC2004" s="68">
        <f ca="1">IFERROR(__xludf.DUMMYFUNCTION("""COMPUTED_VALUE"""),45153.9986111111)</f>
        <v>45153.998611111099</v>
      </c>
      <c r="AD2004" s="6">
        <f ca="1">IFERROR(__xludf.DUMMYFUNCTION("""COMPUTED_VALUE"""),1338.74)</f>
        <v>1338.74</v>
      </c>
      <c r="AH2004" s="6" t="str">
        <f t="shared" ca="1" si="570"/>
        <v>20236</v>
      </c>
      <c r="AI2004" s="6">
        <f t="shared" ca="1" si="571"/>
        <v>2023</v>
      </c>
      <c r="AJ2004" s="6">
        <f t="shared" ca="1" si="572"/>
        <v>6</v>
      </c>
      <c r="AK2004" s="68">
        <f ca="1">IFERROR(__xludf.DUMMYFUNCTION("""COMPUTED_VALUE"""),45097.9986111111)</f>
        <v>45097.998611111099</v>
      </c>
      <c r="AL2004" s="6">
        <f ca="1">IFERROR(__xludf.DUMMYFUNCTION("""COMPUTED_VALUE"""),28311.79)</f>
        <v>28311.79</v>
      </c>
      <c r="AP2004" s="6" t="str">
        <f t="shared" ca="1" si="573"/>
        <v>202512</v>
      </c>
      <c r="AQ2004" s="6">
        <f t="shared" ca="1" si="574"/>
        <v>2025</v>
      </c>
      <c r="AR2004" s="6">
        <f t="shared" ca="1" si="575"/>
        <v>12</v>
      </c>
      <c r="AS2004" s="68">
        <f ca="1">IFERROR(__xludf.DUMMYFUNCTION("""COMPUTED_VALUE"""),46017.9986111111)</f>
        <v>46017.998611111099</v>
      </c>
      <c r="AT2004" s="6">
        <f ca="1">IFERROR(__xludf.DUMMYFUNCTION("""COMPUTED_VALUE"""),4552.7)</f>
        <v>4552.7</v>
      </c>
    </row>
    <row r="2005" spans="2:46" x14ac:dyDescent="0.35">
      <c r="B2005" s="6" t="str">
        <f t="shared" ca="1" si="558"/>
        <v>202512</v>
      </c>
      <c r="C2005" s="6">
        <f t="shared" ca="1" si="559"/>
        <v>2025</v>
      </c>
      <c r="D2005" s="6">
        <f t="shared" ca="1" si="560"/>
        <v>12</v>
      </c>
      <c r="E2005" s="68">
        <f ca="1">IFERROR(__xludf.DUMMYFUNCTION("""COMPUTED_VALUE"""),46010.6666666666)</f>
        <v>46010.666666666599</v>
      </c>
      <c r="F2005" s="6">
        <f ca="1">IFERROR(__xludf.DUMMYFUNCTION("""COMPUTED_VALUE"""),6834.5)</f>
        <v>6834.5</v>
      </c>
      <c r="J2005" s="6" t="str">
        <f t="shared" ca="1" si="561"/>
        <v>202512</v>
      </c>
      <c r="K2005" s="6">
        <f t="shared" ca="1" si="562"/>
        <v>2025</v>
      </c>
      <c r="L2005" s="6">
        <f t="shared" ca="1" si="563"/>
        <v>12</v>
      </c>
      <c r="M2005" s="68">
        <f ca="1">IFERROR(__xludf.DUMMYFUNCTION("""COMPUTED_VALUE"""),46006.6666666666)</f>
        <v>46006.666666666599</v>
      </c>
      <c r="N2005" s="6">
        <f ca="1">IFERROR(__xludf.DUMMYFUNCTION("""COMPUTED_VALUE"""),23057.41)</f>
        <v>23057.41</v>
      </c>
      <c r="R2005" s="6" t="str">
        <f t="shared" ca="1" si="564"/>
        <v>20263</v>
      </c>
      <c r="S2005" s="6">
        <f t="shared" ca="1" si="565"/>
        <v>2026</v>
      </c>
      <c r="T2005" s="6">
        <f t="shared" ca="1" si="566"/>
        <v>3</v>
      </c>
      <c r="U2005" s="68">
        <f ca="1">IFERROR(__xludf.DUMMYFUNCTION("""COMPUTED_VALUE"""),46091.6458333333)</f>
        <v>46091.645833333299</v>
      </c>
      <c r="V2005" s="6">
        <f ca="1">IFERROR(__xludf.DUMMYFUNCTION("""COMPUTED_VALUE"""),5532.59)</f>
        <v>5532.59</v>
      </c>
      <c r="Z2005" s="6" t="str">
        <f t="shared" ca="1" si="567"/>
        <v>20238</v>
      </c>
      <c r="AA2005" s="6">
        <f t="shared" ca="1" si="568"/>
        <v>2023</v>
      </c>
      <c r="AB2005" s="6">
        <f t="shared" ca="1" si="569"/>
        <v>8</v>
      </c>
      <c r="AC2005" s="68">
        <f ca="1">IFERROR(__xludf.DUMMYFUNCTION("""COMPUTED_VALUE"""),45154.9986111111)</f>
        <v>45154.998611111099</v>
      </c>
      <c r="AD2005" s="6">
        <f ca="1">IFERROR(__xludf.DUMMYFUNCTION("""COMPUTED_VALUE"""),1343.33)</f>
        <v>1343.33</v>
      </c>
      <c r="AH2005" s="6" t="str">
        <f t="shared" ca="1" si="570"/>
        <v>20236</v>
      </c>
      <c r="AI2005" s="6">
        <f t="shared" ca="1" si="571"/>
        <v>2023</v>
      </c>
      <c r="AJ2005" s="6">
        <f t="shared" ca="1" si="572"/>
        <v>6</v>
      </c>
      <c r="AK2005" s="68">
        <f ca="1">IFERROR(__xludf.DUMMYFUNCTION("""COMPUTED_VALUE"""),45098.9986111111)</f>
        <v>45098.998611111099</v>
      </c>
      <c r="AL2005" s="6">
        <f ca="1">IFERROR(__xludf.DUMMYFUNCTION("""COMPUTED_VALUE"""),30001.54)</f>
        <v>30001.54</v>
      </c>
      <c r="AP2005" s="6" t="str">
        <f t="shared" ca="1" si="573"/>
        <v>202512</v>
      </c>
      <c r="AQ2005" s="6">
        <f t="shared" ca="1" si="574"/>
        <v>2025</v>
      </c>
      <c r="AR2005" s="6">
        <f t="shared" ca="1" si="575"/>
        <v>12</v>
      </c>
      <c r="AS2005" s="68">
        <f ca="1">IFERROR(__xludf.DUMMYFUNCTION("""COMPUTED_VALUE"""),46020.9986111111)</f>
        <v>46020.998611111099</v>
      </c>
      <c r="AT2005" s="6">
        <f ca="1">IFERROR(__xludf.DUMMYFUNCTION("""COMPUTED_VALUE"""),4343.6)</f>
        <v>4343.6000000000004</v>
      </c>
    </row>
    <row r="2006" spans="2:46" x14ac:dyDescent="0.35">
      <c r="B2006" s="6" t="str">
        <f t="shared" ca="1" si="558"/>
        <v>202512</v>
      </c>
      <c r="C2006" s="6">
        <f t="shared" ca="1" si="559"/>
        <v>2025</v>
      </c>
      <c r="D2006" s="6">
        <f t="shared" ca="1" si="560"/>
        <v>12</v>
      </c>
      <c r="E2006" s="68">
        <f ca="1">IFERROR(__xludf.DUMMYFUNCTION("""COMPUTED_VALUE"""),46013.6666666666)</f>
        <v>46013.666666666599</v>
      </c>
      <c r="F2006" s="6">
        <f ca="1">IFERROR(__xludf.DUMMYFUNCTION("""COMPUTED_VALUE"""),6878.49)</f>
        <v>6878.49</v>
      </c>
      <c r="J2006" s="6" t="str">
        <f t="shared" ca="1" si="561"/>
        <v>202512</v>
      </c>
      <c r="K2006" s="6">
        <f t="shared" ca="1" si="562"/>
        <v>2025</v>
      </c>
      <c r="L2006" s="6">
        <f t="shared" ca="1" si="563"/>
        <v>12</v>
      </c>
      <c r="M2006" s="68">
        <f ca="1">IFERROR(__xludf.DUMMYFUNCTION("""COMPUTED_VALUE"""),46007.6666666666)</f>
        <v>46007.666666666599</v>
      </c>
      <c r="N2006" s="6">
        <f ca="1">IFERROR(__xludf.DUMMYFUNCTION("""COMPUTED_VALUE"""),23111.46)</f>
        <v>23111.46</v>
      </c>
      <c r="R2006" s="6" t="str">
        <f t="shared" ca="1" si="564"/>
        <v>20263</v>
      </c>
      <c r="S2006" s="6">
        <f t="shared" ca="1" si="565"/>
        <v>2026</v>
      </c>
      <c r="T2006" s="6">
        <f t="shared" ca="1" si="566"/>
        <v>3</v>
      </c>
      <c r="U2006" s="68">
        <f ca="1">IFERROR(__xludf.DUMMYFUNCTION("""COMPUTED_VALUE"""),46092.6458333333)</f>
        <v>46092.645833333299</v>
      </c>
      <c r="V2006" s="6">
        <f ca="1">IFERROR(__xludf.DUMMYFUNCTION("""COMPUTED_VALUE"""),5609.95)</f>
        <v>5609.95</v>
      </c>
      <c r="Z2006" s="6" t="str">
        <f t="shared" ca="1" si="567"/>
        <v>20238</v>
      </c>
      <c r="AA2006" s="6">
        <f t="shared" ca="1" si="568"/>
        <v>2023</v>
      </c>
      <c r="AB2006" s="6">
        <f t="shared" ca="1" si="569"/>
        <v>8</v>
      </c>
      <c r="AC2006" s="68">
        <f ca="1">IFERROR(__xludf.DUMMYFUNCTION("""COMPUTED_VALUE"""),45155.9986111111)</f>
        <v>45155.998611111099</v>
      </c>
      <c r="AD2006" s="6">
        <f ca="1">IFERROR(__xludf.DUMMYFUNCTION("""COMPUTED_VALUE"""),1339.08)</f>
        <v>1339.08</v>
      </c>
      <c r="AH2006" s="6" t="str">
        <f t="shared" ca="1" si="570"/>
        <v>20236</v>
      </c>
      <c r="AI2006" s="6">
        <f t="shared" ca="1" si="571"/>
        <v>2023</v>
      </c>
      <c r="AJ2006" s="6">
        <f t="shared" ca="1" si="572"/>
        <v>6</v>
      </c>
      <c r="AK2006" s="68">
        <f ca="1">IFERROR(__xludf.DUMMYFUNCTION("""COMPUTED_VALUE"""),45099.9986111111)</f>
        <v>45099.998611111099</v>
      </c>
      <c r="AL2006" s="6">
        <f ca="1">IFERROR(__xludf.DUMMYFUNCTION("""COMPUTED_VALUE"""),29900.9)</f>
        <v>29900.9</v>
      </c>
      <c r="AP2006" s="6" t="str">
        <f t="shared" ca="1" si="573"/>
        <v>202512</v>
      </c>
      <c r="AQ2006" s="6">
        <f t="shared" ca="1" si="574"/>
        <v>2025</v>
      </c>
      <c r="AR2006" s="6">
        <f t="shared" ca="1" si="575"/>
        <v>12</v>
      </c>
      <c r="AS2006" s="68">
        <f ca="1">IFERROR(__xludf.DUMMYFUNCTION("""COMPUTED_VALUE"""),46021.9986111111)</f>
        <v>46021.998611111099</v>
      </c>
      <c r="AT2006" s="6">
        <f ca="1">IFERROR(__xludf.DUMMYFUNCTION("""COMPUTED_VALUE"""),4386.3)</f>
        <v>4386.3</v>
      </c>
    </row>
    <row r="2007" spans="2:46" x14ac:dyDescent="0.35">
      <c r="B2007" s="6" t="str">
        <f t="shared" ca="1" si="558"/>
        <v>202512</v>
      </c>
      <c r="C2007" s="6">
        <f t="shared" ca="1" si="559"/>
        <v>2025</v>
      </c>
      <c r="D2007" s="6">
        <f t="shared" ca="1" si="560"/>
        <v>12</v>
      </c>
      <c r="E2007" s="68">
        <f ca="1">IFERROR(__xludf.DUMMYFUNCTION("""COMPUTED_VALUE"""),46014.6666666666)</f>
        <v>46014.666666666599</v>
      </c>
      <c r="F2007" s="6">
        <f ca="1">IFERROR(__xludf.DUMMYFUNCTION("""COMPUTED_VALUE"""),6909.79)</f>
        <v>6909.79</v>
      </c>
      <c r="J2007" s="6" t="str">
        <f t="shared" ca="1" si="561"/>
        <v>202512</v>
      </c>
      <c r="K2007" s="6">
        <f t="shared" ca="1" si="562"/>
        <v>2025</v>
      </c>
      <c r="L2007" s="6">
        <f t="shared" ca="1" si="563"/>
        <v>12</v>
      </c>
      <c r="M2007" s="68">
        <f ca="1">IFERROR(__xludf.DUMMYFUNCTION("""COMPUTED_VALUE"""),46008.6666666666)</f>
        <v>46008.666666666599</v>
      </c>
      <c r="N2007" s="6">
        <f ca="1">IFERROR(__xludf.DUMMYFUNCTION("""COMPUTED_VALUE"""),22693.32)</f>
        <v>22693.32</v>
      </c>
      <c r="R2007" s="6" t="str">
        <f t="shared" ca="1" si="564"/>
        <v>20263</v>
      </c>
      <c r="S2007" s="6">
        <f t="shared" ca="1" si="565"/>
        <v>2026</v>
      </c>
      <c r="T2007" s="6">
        <f t="shared" ca="1" si="566"/>
        <v>3</v>
      </c>
      <c r="U2007" s="68">
        <f ca="1">IFERROR(__xludf.DUMMYFUNCTION("""COMPUTED_VALUE"""),46093.6458333333)</f>
        <v>46093.645833333299</v>
      </c>
      <c r="V2007" s="6">
        <f ca="1">IFERROR(__xludf.DUMMYFUNCTION("""COMPUTED_VALUE"""),5583.25)</f>
        <v>5583.25</v>
      </c>
      <c r="Z2007" s="6" t="str">
        <f t="shared" ca="1" si="567"/>
        <v>20238</v>
      </c>
      <c r="AA2007" s="6">
        <f t="shared" ca="1" si="568"/>
        <v>2023</v>
      </c>
      <c r="AB2007" s="6">
        <f t="shared" ca="1" si="569"/>
        <v>8</v>
      </c>
      <c r="AC2007" s="68">
        <f ca="1">IFERROR(__xludf.DUMMYFUNCTION("""COMPUTED_VALUE"""),45156.9986111111)</f>
        <v>45156.998611111099</v>
      </c>
      <c r="AD2007" s="6">
        <f ca="1">IFERROR(__xludf.DUMMYFUNCTION("""COMPUTED_VALUE"""),1339.16)</f>
        <v>1339.16</v>
      </c>
      <c r="AH2007" s="6" t="str">
        <f t="shared" ca="1" si="570"/>
        <v>20236</v>
      </c>
      <c r="AI2007" s="6">
        <f t="shared" ca="1" si="571"/>
        <v>2023</v>
      </c>
      <c r="AJ2007" s="6">
        <f t="shared" ca="1" si="572"/>
        <v>6</v>
      </c>
      <c r="AK2007" s="68">
        <f ca="1">IFERROR(__xludf.DUMMYFUNCTION("""COMPUTED_VALUE"""),45100.9986111111)</f>
        <v>45100.998611111099</v>
      </c>
      <c r="AL2007" s="6">
        <f ca="1">IFERROR(__xludf.DUMMYFUNCTION("""COMPUTED_VALUE"""),30702.18)</f>
        <v>30702.18</v>
      </c>
      <c r="AP2007" s="6" t="str">
        <f t="shared" ca="1" si="573"/>
        <v>202512</v>
      </c>
      <c r="AQ2007" s="6">
        <f t="shared" ca="1" si="574"/>
        <v>2025</v>
      </c>
      <c r="AR2007" s="6">
        <f t="shared" ca="1" si="575"/>
        <v>12</v>
      </c>
      <c r="AS2007" s="68">
        <f ca="1">IFERROR(__xludf.DUMMYFUNCTION("""COMPUTED_VALUE"""),46022.9986111111)</f>
        <v>46022.998611111099</v>
      </c>
      <c r="AT2007" s="6">
        <f ca="1">IFERROR(__xludf.DUMMYFUNCTION("""COMPUTED_VALUE"""),4341.1)</f>
        <v>4341.1000000000004</v>
      </c>
    </row>
    <row r="2008" spans="2:46" x14ac:dyDescent="0.35">
      <c r="B2008" s="6" t="str">
        <f t="shared" ca="1" si="558"/>
        <v>202512</v>
      </c>
      <c r="C2008" s="6">
        <f t="shared" ca="1" si="559"/>
        <v>2025</v>
      </c>
      <c r="D2008" s="6">
        <f t="shared" ca="1" si="560"/>
        <v>12</v>
      </c>
      <c r="E2008" s="68">
        <f ca="1">IFERROR(__xludf.DUMMYFUNCTION("""COMPUTED_VALUE"""),46015.5416666666)</f>
        <v>46015.541666666599</v>
      </c>
      <c r="F2008" s="6">
        <f ca="1">IFERROR(__xludf.DUMMYFUNCTION("""COMPUTED_VALUE"""),6932.05)</f>
        <v>6932.05</v>
      </c>
      <c r="J2008" s="6" t="str">
        <f t="shared" ca="1" si="561"/>
        <v>202512</v>
      </c>
      <c r="K2008" s="6">
        <f t="shared" ca="1" si="562"/>
        <v>2025</v>
      </c>
      <c r="L2008" s="6">
        <f t="shared" ca="1" si="563"/>
        <v>12</v>
      </c>
      <c r="M2008" s="68">
        <f ca="1">IFERROR(__xludf.DUMMYFUNCTION("""COMPUTED_VALUE"""),46009.6666666666)</f>
        <v>46009.666666666599</v>
      </c>
      <c r="N2008" s="6">
        <f ca="1">IFERROR(__xludf.DUMMYFUNCTION("""COMPUTED_VALUE"""),23006.36)</f>
        <v>23006.36</v>
      </c>
      <c r="R2008" s="6" t="str">
        <f t="shared" ca="1" si="564"/>
        <v>20263</v>
      </c>
      <c r="S2008" s="6">
        <f t="shared" ca="1" si="565"/>
        <v>2026</v>
      </c>
      <c r="T2008" s="6">
        <f t="shared" ca="1" si="566"/>
        <v>3</v>
      </c>
      <c r="U2008" s="68">
        <f ca="1">IFERROR(__xludf.DUMMYFUNCTION("""COMPUTED_VALUE"""),46094.6458333333)</f>
        <v>46094.645833333299</v>
      </c>
      <c r="V2008" s="6">
        <f ca="1">IFERROR(__xludf.DUMMYFUNCTION("""COMPUTED_VALUE"""),5487.24)</f>
        <v>5487.24</v>
      </c>
      <c r="Z2008" s="6" t="str">
        <f t="shared" ca="1" si="567"/>
        <v>20238</v>
      </c>
      <c r="AA2008" s="6">
        <f t="shared" ca="1" si="568"/>
        <v>2023</v>
      </c>
      <c r="AB2008" s="6">
        <f t="shared" ca="1" si="569"/>
        <v>8</v>
      </c>
      <c r="AC2008" s="68">
        <f ca="1">IFERROR(__xludf.DUMMYFUNCTION("""COMPUTED_VALUE"""),45157.9986111111)</f>
        <v>45157.998611111099</v>
      </c>
      <c r="AD2008" s="6">
        <f ca="1">IFERROR(__xludf.DUMMYFUNCTION("""COMPUTED_VALUE"""),1339.16)</f>
        <v>1339.16</v>
      </c>
      <c r="AH2008" s="6" t="str">
        <f t="shared" ca="1" si="570"/>
        <v>20236</v>
      </c>
      <c r="AI2008" s="6">
        <f t="shared" ca="1" si="571"/>
        <v>2023</v>
      </c>
      <c r="AJ2008" s="6">
        <f t="shared" ca="1" si="572"/>
        <v>6</v>
      </c>
      <c r="AK2008" s="68">
        <f ca="1">IFERROR(__xludf.DUMMYFUNCTION("""COMPUTED_VALUE"""),45101.9986111111)</f>
        <v>45101.998611111099</v>
      </c>
      <c r="AL2008" s="6">
        <f ca="1">IFERROR(__xludf.DUMMYFUNCTION("""COMPUTED_VALUE"""),30550.17)</f>
        <v>30550.17</v>
      </c>
      <c r="AP2008" s="6" t="str">
        <f t="shared" ca="1" si="573"/>
        <v>20261</v>
      </c>
      <c r="AQ2008" s="6">
        <f t="shared" ca="1" si="574"/>
        <v>2026</v>
      </c>
      <c r="AR2008" s="6">
        <f t="shared" ca="1" si="575"/>
        <v>1</v>
      </c>
      <c r="AS2008" s="68">
        <f ca="1">IFERROR(__xludf.DUMMYFUNCTION("""COMPUTED_VALUE"""),46024.9986111111)</f>
        <v>46024.998611111099</v>
      </c>
      <c r="AT2008" s="6">
        <f ca="1">IFERROR(__xludf.DUMMYFUNCTION("""COMPUTED_VALUE"""),4329.6)</f>
        <v>4329.6000000000004</v>
      </c>
    </row>
    <row r="2009" spans="2:46" x14ac:dyDescent="0.35">
      <c r="B2009" s="6" t="str">
        <f t="shared" ca="1" si="558"/>
        <v>202512</v>
      </c>
      <c r="C2009" s="6">
        <f t="shared" ca="1" si="559"/>
        <v>2025</v>
      </c>
      <c r="D2009" s="6">
        <f t="shared" ca="1" si="560"/>
        <v>12</v>
      </c>
      <c r="E2009" s="68">
        <f ca="1">IFERROR(__xludf.DUMMYFUNCTION("""COMPUTED_VALUE"""),46017.6666666666)</f>
        <v>46017.666666666599</v>
      </c>
      <c r="F2009" s="6">
        <f ca="1">IFERROR(__xludf.DUMMYFUNCTION("""COMPUTED_VALUE"""),6929.94)</f>
        <v>6929.94</v>
      </c>
      <c r="J2009" s="6" t="str">
        <f t="shared" ca="1" si="561"/>
        <v>202512</v>
      </c>
      <c r="K2009" s="6">
        <f t="shared" ca="1" si="562"/>
        <v>2025</v>
      </c>
      <c r="L2009" s="6">
        <f t="shared" ca="1" si="563"/>
        <v>12</v>
      </c>
      <c r="M2009" s="68">
        <f ca="1">IFERROR(__xludf.DUMMYFUNCTION("""COMPUTED_VALUE"""),46010.6666666666)</f>
        <v>46010.666666666599</v>
      </c>
      <c r="N2009" s="6">
        <f ca="1">IFERROR(__xludf.DUMMYFUNCTION("""COMPUTED_VALUE"""),23307.62)</f>
        <v>23307.62</v>
      </c>
      <c r="R2009" s="6" t="str">
        <f t="shared" ca="1" si="564"/>
        <v>20263</v>
      </c>
      <c r="S2009" s="6">
        <f t="shared" ca="1" si="565"/>
        <v>2026</v>
      </c>
      <c r="T2009" s="6">
        <f t="shared" ca="1" si="566"/>
        <v>3</v>
      </c>
      <c r="U2009" s="68">
        <f ca="1">IFERROR(__xludf.DUMMYFUNCTION("""COMPUTED_VALUE"""),46097.6458333333)</f>
        <v>46097.645833333299</v>
      </c>
      <c r="V2009" s="6">
        <f ca="1">IFERROR(__xludf.DUMMYFUNCTION("""COMPUTED_VALUE"""),5549.85)</f>
        <v>5549.85</v>
      </c>
      <c r="Z2009" s="6" t="str">
        <f t="shared" ca="1" si="567"/>
        <v>20238</v>
      </c>
      <c r="AA2009" s="6">
        <f t="shared" ca="1" si="568"/>
        <v>2023</v>
      </c>
      <c r="AB2009" s="6">
        <f t="shared" ca="1" si="569"/>
        <v>8</v>
      </c>
      <c r="AC2009" s="68">
        <f ca="1">IFERROR(__xludf.DUMMYFUNCTION("""COMPUTED_VALUE"""),45158.9986111111)</f>
        <v>45158.998611111099</v>
      </c>
      <c r="AD2009" s="6">
        <f ca="1">IFERROR(__xludf.DUMMYFUNCTION("""COMPUTED_VALUE"""),1339.17)</f>
        <v>1339.17</v>
      </c>
      <c r="AH2009" s="6" t="str">
        <f t="shared" ca="1" si="570"/>
        <v>20236</v>
      </c>
      <c r="AI2009" s="6">
        <f t="shared" ca="1" si="571"/>
        <v>2023</v>
      </c>
      <c r="AJ2009" s="6">
        <f t="shared" ca="1" si="572"/>
        <v>6</v>
      </c>
      <c r="AK2009" s="68">
        <f ca="1">IFERROR(__xludf.DUMMYFUNCTION("""COMPUTED_VALUE"""),45102.9986111111)</f>
        <v>45102.998611111099</v>
      </c>
      <c r="AL2009" s="6">
        <f ca="1">IFERROR(__xludf.DUMMYFUNCTION("""COMPUTED_VALUE"""),30478.53)</f>
        <v>30478.53</v>
      </c>
      <c r="AP2009" s="6" t="str">
        <f t="shared" ca="1" si="573"/>
        <v>20261</v>
      </c>
      <c r="AQ2009" s="6">
        <f t="shared" ca="1" si="574"/>
        <v>2026</v>
      </c>
      <c r="AR2009" s="6">
        <f t="shared" ca="1" si="575"/>
        <v>1</v>
      </c>
      <c r="AS2009" s="68">
        <f ca="1">IFERROR(__xludf.DUMMYFUNCTION("""COMPUTED_VALUE"""),46027.9986111111)</f>
        <v>46027.998611111099</v>
      </c>
      <c r="AT2009" s="6">
        <f ca="1">IFERROR(__xludf.DUMMYFUNCTION("""COMPUTED_VALUE"""),4451.5)</f>
        <v>4451.5</v>
      </c>
    </row>
    <row r="2010" spans="2:46" x14ac:dyDescent="0.35">
      <c r="B2010" s="6" t="str">
        <f t="shared" ca="1" si="558"/>
        <v>202512</v>
      </c>
      <c r="C2010" s="6">
        <f t="shared" ca="1" si="559"/>
        <v>2025</v>
      </c>
      <c r="D2010" s="6">
        <f t="shared" ca="1" si="560"/>
        <v>12</v>
      </c>
      <c r="E2010" s="68">
        <f ca="1">IFERROR(__xludf.DUMMYFUNCTION("""COMPUTED_VALUE"""),46020.6666666666)</f>
        <v>46020.666666666599</v>
      </c>
      <c r="F2010" s="6">
        <f ca="1">IFERROR(__xludf.DUMMYFUNCTION("""COMPUTED_VALUE"""),6905.74)</f>
        <v>6905.74</v>
      </c>
      <c r="J2010" s="6" t="str">
        <f t="shared" ca="1" si="561"/>
        <v>202512</v>
      </c>
      <c r="K2010" s="6">
        <f t="shared" ca="1" si="562"/>
        <v>2025</v>
      </c>
      <c r="L2010" s="6">
        <f t="shared" ca="1" si="563"/>
        <v>12</v>
      </c>
      <c r="M2010" s="68">
        <f ca="1">IFERROR(__xludf.DUMMYFUNCTION("""COMPUTED_VALUE"""),46013.6666666666)</f>
        <v>46013.666666666599</v>
      </c>
      <c r="N2010" s="6">
        <f ca="1">IFERROR(__xludf.DUMMYFUNCTION("""COMPUTED_VALUE"""),23428.83)</f>
        <v>23428.83</v>
      </c>
      <c r="R2010" s="6" t="str">
        <f t="shared" ca="1" si="564"/>
        <v>20263</v>
      </c>
      <c r="S2010" s="6">
        <f t="shared" ca="1" si="565"/>
        <v>2026</v>
      </c>
      <c r="T2010" s="6">
        <f t="shared" ca="1" si="566"/>
        <v>3</v>
      </c>
      <c r="U2010" s="68">
        <f ca="1">IFERROR(__xludf.DUMMYFUNCTION("""COMPUTED_VALUE"""),46098.6458333333)</f>
        <v>46098.645833333299</v>
      </c>
      <c r="V2010" s="6">
        <f ca="1">IFERROR(__xludf.DUMMYFUNCTION("""COMPUTED_VALUE"""),5640.48)</f>
        <v>5640.48</v>
      </c>
      <c r="Z2010" s="6" t="str">
        <f t="shared" ca="1" si="567"/>
        <v>20238</v>
      </c>
      <c r="AA2010" s="6">
        <f t="shared" ca="1" si="568"/>
        <v>2023</v>
      </c>
      <c r="AB2010" s="6">
        <f t="shared" ca="1" si="569"/>
        <v>8</v>
      </c>
      <c r="AC2010" s="68">
        <f ca="1">IFERROR(__xludf.DUMMYFUNCTION("""COMPUTED_VALUE"""),45159.9986111111)</f>
        <v>45159.998611111099</v>
      </c>
      <c r="AD2010" s="6">
        <f ca="1">IFERROR(__xludf.DUMMYFUNCTION("""COMPUTED_VALUE"""),1339.74)</f>
        <v>1339.74</v>
      </c>
      <c r="AH2010" s="6" t="str">
        <f t="shared" ca="1" si="570"/>
        <v>20236</v>
      </c>
      <c r="AI2010" s="6">
        <f t="shared" ca="1" si="571"/>
        <v>2023</v>
      </c>
      <c r="AJ2010" s="6">
        <f t="shared" ca="1" si="572"/>
        <v>6</v>
      </c>
      <c r="AK2010" s="68">
        <f ca="1">IFERROR(__xludf.DUMMYFUNCTION("""COMPUTED_VALUE"""),45103.9986111111)</f>
        <v>45103.998611111099</v>
      </c>
      <c r="AL2010" s="6">
        <f ca="1">IFERROR(__xludf.DUMMYFUNCTION("""COMPUTED_VALUE"""),30274.02)</f>
        <v>30274.02</v>
      </c>
      <c r="AP2010" s="6" t="str">
        <f t="shared" ca="1" si="573"/>
        <v>20261</v>
      </c>
      <c r="AQ2010" s="6">
        <f t="shared" ca="1" si="574"/>
        <v>2026</v>
      </c>
      <c r="AR2010" s="6">
        <f t="shared" ca="1" si="575"/>
        <v>1</v>
      </c>
      <c r="AS2010" s="68">
        <f ca="1">IFERROR(__xludf.DUMMYFUNCTION("""COMPUTED_VALUE"""),46028.9986111111)</f>
        <v>46028.998611111099</v>
      </c>
      <c r="AT2010" s="6">
        <f ca="1">IFERROR(__xludf.DUMMYFUNCTION("""COMPUTED_VALUE"""),4496.1)</f>
        <v>4496.1000000000004</v>
      </c>
    </row>
    <row r="2011" spans="2:46" x14ac:dyDescent="0.35">
      <c r="B2011" s="6" t="str">
        <f t="shared" ca="1" si="558"/>
        <v>202512</v>
      </c>
      <c r="C2011" s="6">
        <f t="shared" ca="1" si="559"/>
        <v>2025</v>
      </c>
      <c r="D2011" s="6">
        <f t="shared" ca="1" si="560"/>
        <v>12</v>
      </c>
      <c r="E2011" s="68">
        <f ca="1">IFERROR(__xludf.DUMMYFUNCTION("""COMPUTED_VALUE"""),46021.6666666666)</f>
        <v>46021.666666666599</v>
      </c>
      <c r="F2011" s="6">
        <f ca="1">IFERROR(__xludf.DUMMYFUNCTION("""COMPUTED_VALUE"""),6896.24)</f>
        <v>6896.24</v>
      </c>
      <c r="J2011" s="6" t="str">
        <f t="shared" ca="1" si="561"/>
        <v>202512</v>
      </c>
      <c r="K2011" s="6">
        <f t="shared" ca="1" si="562"/>
        <v>2025</v>
      </c>
      <c r="L2011" s="6">
        <f t="shared" ca="1" si="563"/>
        <v>12</v>
      </c>
      <c r="M2011" s="68">
        <f ca="1">IFERROR(__xludf.DUMMYFUNCTION("""COMPUTED_VALUE"""),46014.6666666666)</f>
        <v>46014.666666666599</v>
      </c>
      <c r="N2011" s="6">
        <f ca="1">IFERROR(__xludf.DUMMYFUNCTION("""COMPUTED_VALUE"""),23561.84)</f>
        <v>23561.84</v>
      </c>
      <c r="R2011" s="6" t="str">
        <f t="shared" ca="1" si="564"/>
        <v>20263</v>
      </c>
      <c r="S2011" s="6">
        <f t="shared" ca="1" si="565"/>
        <v>2026</v>
      </c>
      <c r="T2011" s="6">
        <f t="shared" ca="1" si="566"/>
        <v>3</v>
      </c>
      <c r="U2011" s="68">
        <f ca="1">IFERROR(__xludf.DUMMYFUNCTION("""COMPUTED_VALUE"""),46099.6458333333)</f>
        <v>46099.645833333299</v>
      </c>
      <c r="V2011" s="6">
        <f ca="1">IFERROR(__xludf.DUMMYFUNCTION("""COMPUTED_VALUE"""),5925.03)</f>
        <v>5925.03</v>
      </c>
      <c r="Z2011" s="6" t="str">
        <f t="shared" ca="1" si="567"/>
        <v>20238</v>
      </c>
      <c r="AA2011" s="6">
        <f t="shared" ca="1" si="568"/>
        <v>2023</v>
      </c>
      <c r="AB2011" s="6">
        <f t="shared" ca="1" si="569"/>
        <v>8</v>
      </c>
      <c r="AC2011" s="68">
        <f ca="1">IFERROR(__xludf.DUMMYFUNCTION("""COMPUTED_VALUE"""),45160.9986111111)</f>
        <v>45160.998611111099</v>
      </c>
      <c r="AD2011" s="6">
        <f ca="1">IFERROR(__xludf.DUMMYFUNCTION("""COMPUTED_VALUE"""),1339.69)</f>
        <v>1339.69</v>
      </c>
      <c r="AH2011" s="6" t="str">
        <f t="shared" ca="1" si="570"/>
        <v>20236</v>
      </c>
      <c r="AI2011" s="6">
        <f t="shared" ca="1" si="571"/>
        <v>2023</v>
      </c>
      <c r="AJ2011" s="6">
        <f t="shared" ca="1" si="572"/>
        <v>6</v>
      </c>
      <c r="AK2011" s="68">
        <f ca="1">IFERROR(__xludf.DUMMYFUNCTION("""COMPUTED_VALUE"""),45104.9986111111)</f>
        <v>45104.998611111099</v>
      </c>
      <c r="AL2011" s="6">
        <f ca="1">IFERROR(__xludf.DUMMYFUNCTION("""COMPUTED_VALUE"""),30701.64)</f>
        <v>30701.64</v>
      </c>
      <c r="AP2011" s="6" t="str">
        <f t="shared" ca="1" si="573"/>
        <v>20261</v>
      </c>
      <c r="AQ2011" s="6">
        <f t="shared" ca="1" si="574"/>
        <v>2026</v>
      </c>
      <c r="AR2011" s="6">
        <f t="shared" ca="1" si="575"/>
        <v>1</v>
      </c>
      <c r="AS2011" s="68">
        <f ca="1">IFERROR(__xludf.DUMMYFUNCTION("""COMPUTED_VALUE"""),46029.9986111111)</f>
        <v>46029.998611111099</v>
      </c>
      <c r="AT2011" s="6">
        <f ca="1">IFERROR(__xludf.DUMMYFUNCTION("""COMPUTED_VALUE"""),4462.5)</f>
        <v>4462.5</v>
      </c>
    </row>
    <row r="2012" spans="2:46" x14ac:dyDescent="0.35">
      <c r="B2012" s="6" t="str">
        <f t="shared" ca="1" si="558"/>
        <v>202512</v>
      </c>
      <c r="C2012" s="6">
        <f t="shared" ca="1" si="559"/>
        <v>2025</v>
      </c>
      <c r="D2012" s="6">
        <f t="shared" ca="1" si="560"/>
        <v>12</v>
      </c>
      <c r="E2012" s="68">
        <f ca="1">IFERROR(__xludf.DUMMYFUNCTION("""COMPUTED_VALUE"""),46022.6666666666)</f>
        <v>46022.666666666599</v>
      </c>
      <c r="F2012" s="6">
        <f ca="1">IFERROR(__xludf.DUMMYFUNCTION("""COMPUTED_VALUE"""),6845.5)</f>
        <v>6845.5</v>
      </c>
      <c r="J2012" s="6" t="str">
        <f t="shared" ca="1" si="561"/>
        <v>202512</v>
      </c>
      <c r="K2012" s="6">
        <f t="shared" ca="1" si="562"/>
        <v>2025</v>
      </c>
      <c r="L2012" s="6">
        <f t="shared" ca="1" si="563"/>
        <v>12</v>
      </c>
      <c r="M2012" s="68">
        <f ca="1">IFERROR(__xludf.DUMMYFUNCTION("""COMPUTED_VALUE"""),46015.5451388888)</f>
        <v>46015.545138888803</v>
      </c>
      <c r="N2012" s="6">
        <f ca="1">IFERROR(__xludf.DUMMYFUNCTION("""COMPUTED_VALUE"""),23613.31)</f>
        <v>23613.31</v>
      </c>
      <c r="R2012" s="6" t="str">
        <f t="shared" ca="1" si="564"/>
        <v>20263</v>
      </c>
      <c r="S2012" s="6">
        <f t="shared" ca="1" si="565"/>
        <v>2026</v>
      </c>
      <c r="T2012" s="6">
        <f t="shared" ca="1" si="566"/>
        <v>3</v>
      </c>
      <c r="U2012" s="68">
        <f ca="1">IFERROR(__xludf.DUMMYFUNCTION("""COMPUTED_VALUE"""),46100.6458333333)</f>
        <v>46100.645833333299</v>
      </c>
      <c r="V2012" s="6">
        <f ca="1">IFERROR(__xludf.DUMMYFUNCTION("""COMPUTED_VALUE"""),5763.22)</f>
        <v>5763.22</v>
      </c>
      <c r="Z2012" s="6" t="str">
        <f t="shared" ca="1" si="567"/>
        <v>20238</v>
      </c>
      <c r="AA2012" s="6">
        <f t="shared" ca="1" si="568"/>
        <v>2023</v>
      </c>
      <c r="AB2012" s="6">
        <f t="shared" ca="1" si="569"/>
        <v>8</v>
      </c>
      <c r="AC2012" s="68">
        <f ca="1">IFERROR(__xludf.DUMMYFUNCTION("""COMPUTED_VALUE"""),45161.9986111111)</f>
        <v>45161.998611111099</v>
      </c>
      <c r="AD2012" s="6">
        <f ca="1">IFERROR(__xludf.DUMMYFUNCTION("""COMPUTED_VALUE"""),1327.78)</f>
        <v>1327.78</v>
      </c>
      <c r="AH2012" s="6" t="str">
        <f t="shared" ca="1" si="570"/>
        <v>20236</v>
      </c>
      <c r="AI2012" s="6">
        <f t="shared" ca="1" si="571"/>
        <v>2023</v>
      </c>
      <c r="AJ2012" s="6">
        <f t="shared" ca="1" si="572"/>
        <v>6</v>
      </c>
      <c r="AK2012" s="68">
        <f ca="1">IFERROR(__xludf.DUMMYFUNCTION("""COMPUTED_VALUE"""),45105.9986111111)</f>
        <v>45105.998611111099</v>
      </c>
      <c r="AL2012" s="6">
        <f ca="1">IFERROR(__xludf.DUMMYFUNCTION("""COMPUTED_VALUE"""),30080.25)</f>
        <v>30080.25</v>
      </c>
      <c r="AP2012" s="6" t="str">
        <f t="shared" ca="1" si="573"/>
        <v>20261</v>
      </c>
      <c r="AQ2012" s="6">
        <f t="shared" ca="1" si="574"/>
        <v>2026</v>
      </c>
      <c r="AR2012" s="6">
        <f t="shared" ca="1" si="575"/>
        <v>1</v>
      </c>
      <c r="AS2012" s="68">
        <f ca="1">IFERROR(__xludf.DUMMYFUNCTION("""COMPUTED_VALUE"""),46030.9986111111)</f>
        <v>46030.998611111099</v>
      </c>
      <c r="AT2012" s="6">
        <f ca="1">IFERROR(__xludf.DUMMYFUNCTION("""COMPUTED_VALUE"""),4460.7)</f>
        <v>4460.7</v>
      </c>
    </row>
    <row r="2013" spans="2:46" x14ac:dyDescent="0.35">
      <c r="B2013" s="6" t="str">
        <f t="shared" ca="1" si="558"/>
        <v>20261</v>
      </c>
      <c r="C2013" s="6">
        <f t="shared" ca="1" si="559"/>
        <v>2026</v>
      </c>
      <c r="D2013" s="6">
        <f t="shared" ca="1" si="560"/>
        <v>1</v>
      </c>
      <c r="E2013" s="68">
        <f ca="1">IFERROR(__xludf.DUMMYFUNCTION("""COMPUTED_VALUE"""),46024.6666666666)</f>
        <v>46024.666666666599</v>
      </c>
      <c r="F2013" s="71">
        <f ca="1">IFERROR(__xludf.DUMMYFUNCTION("""COMPUTED_VALUE"""),6858.47)</f>
        <v>6858.47</v>
      </c>
      <c r="J2013" s="6" t="str">
        <f t="shared" ca="1" si="561"/>
        <v>202512</v>
      </c>
      <c r="K2013" s="6">
        <f t="shared" ca="1" si="562"/>
        <v>2025</v>
      </c>
      <c r="L2013" s="6">
        <f t="shared" ca="1" si="563"/>
        <v>12</v>
      </c>
      <c r="M2013" s="68">
        <f ca="1">IFERROR(__xludf.DUMMYFUNCTION("""COMPUTED_VALUE"""),46017.6666666666)</f>
        <v>46017.666666666599</v>
      </c>
      <c r="N2013" s="6">
        <f ca="1">IFERROR(__xludf.DUMMYFUNCTION("""COMPUTED_VALUE"""),23593.1)</f>
        <v>23593.1</v>
      </c>
      <c r="R2013" s="6" t="str">
        <f t="shared" ca="1" si="564"/>
        <v>20263</v>
      </c>
      <c r="S2013" s="6">
        <f t="shared" ca="1" si="565"/>
        <v>2026</v>
      </c>
      <c r="T2013" s="6">
        <f t="shared" ca="1" si="566"/>
        <v>3</v>
      </c>
      <c r="U2013" s="68">
        <f ca="1">IFERROR(__xludf.DUMMYFUNCTION("""COMPUTED_VALUE"""),46101.6458333333)</f>
        <v>46101.645833333299</v>
      </c>
      <c r="V2013" s="6">
        <f ca="1">IFERROR(__xludf.DUMMYFUNCTION("""COMPUTED_VALUE"""),5781.2)</f>
        <v>5781.2</v>
      </c>
      <c r="Z2013" s="6" t="str">
        <f t="shared" ca="1" si="567"/>
        <v>20238</v>
      </c>
      <c r="AA2013" s="6">
        <f t="shared" ca="1" si="568"/>
        <v>2023</v>
      </c>
      <c r="AB2013" s="6">
        <f t="shared" ca="1" si="569"/>
        <v>8</v>
      </c>
      <c r="AC2013" s="68">
        <f ca="1">IFERROR(__xludf.DUMMYFUNCTION("""COMPUTED_VALUE"""),45162.9986111111)</f>
        <v>45162.998611111099</v>
      </c>
      <c r="AD2013" s="6">
        <f ca="1">IFERROR(__xludf.DUMMYFUNCTION("""COMPUTED_VALUE"""),1326.62)</f>
        <v>1326.62</v>
      </c>
      <c r="AH2013" s="6" t="str">
        <f t="shared" ca="1" si="570"/>
        <v>20236</v>
      </c>
      <c r="AI2013" s="6">
        <f t="shared" ca="1" si="571"/>
        <v>2023</v>
      </c>
      <c r="AJ2013" s="6">
        <f t="shared" ca="1" si="572"/>
        <v>6</v>
      </c>
      <c r="AK2013" s="68">
        <f ca="1">IFERROR(__xludf.DUMMYFUNCTION("""COMPUTED_VALUE"""),45106.9986111111)</f>
        <v>45106.998611111099</v>
      </c>
      <c r="AL2013" s="6">
        <f ca="1">IFERROR(__xludf.DUMMYFUNCTION("""COMPUTED_VALUE"""),30450.42)</f>
        <v>30450.42</v>
      </c>
      <c r="AP2013" s="6" t="str">
        <f t="shared" ca="1" si="573"/>
        <v>20261</v>
      </c>
      <c r="AQ2013" s="6">
        <f t="shared" ca="1" si="574"/>
        <v>2026</v>
      </c>
      <c r="AR2013" s="6">
        <f t="shared" ca="1" si="575"/>
        <v>1</v>
      </c>
      <c r="AS2013" s="68">
        <f ca="1">IFERROR(__xludf.DUMMYFUNCTION("""COMPUTED_VALUE"""),46031.9986111111)</f>
        <v>46031.998611111099</v>
      </c>
      <c r="AT2013" s="6">
        <f ca="1">IFERROR(__xludf.DUMMYFUNCTION("""COMPUTED_VALUE"""),4500.9)</f>
        <v>4500.8999999999996</v>
      </c>
    </row>
    <row r="2014" spans="2:46" x14ac:dyDescent="0.35">
      <c r="B2014" s="6" t="str">
        <f t="shared" ca="1" si="558"/>
        <v>20261</v>
      </c>
      <c r="C2014" s="6">
        <f t="shared" ca="1" si="559"/>
        <v>2026</v>
      </c>
      <c r="D2014" s="6">
        <f t="shared" ca="1" si="560"/>
        <v>1</v>
      </c>
      <c r="E2014" s="68">
        <f ca="1">IFERROR(__xludf.DUMMYFUNCTION("""COMPUTED_VALUE"""),46027.6666666666)</f>
        <v>46027.666666666599</v>
      </c>
      <c r="F2014" s="6">
        <f ca="1">IFERROR(__xludf.DUMMYFUNCTION("""COMPUTED_VALUE"""),6902.05)</f>
        <v>6902.05</v>
      </c>
      <c r="J2014" s="6" t="str">
        <f t="shared" ca="1" si="561"/>
        <v>202512</v>
      </c>
      <c r="K2014" s="6">
        <f t="shared" ca="1" si="562"/>
        <v>2025</v>
      </c>
      <c r="L2014" s="6">
        <f t="shared" ca="1" si="563"/>
        <v>12</v>
      </c>
      <c r="M2014" s="68">
        <f ca="1">IFERROR(__xludf.DUMMYFUNCTION("""COMPUTED_VALUE"""),46020.6666666666)</f>
        <v>46020.666666666599</v>
      </c>
      <c r="N2014" s="6">
        <f ca="1">IFERROR(__xludf.DUMMYFUNCTION("""COMPUTED_VALUE"""),23474.35)</f>
        <v>23474.35</v>
      </c>
      <c r="R2014" s="6" t="str">
        <f t="shared" ca="1" si="564"/>
        <v>20263</v>
      </c>
      <c r="S2014" s="6">
        <f t="shared" ca="1" si="565"/>
        <v>2026</v>
      </c>
      <c r="T2014" s="6">
        <f t="shared" ca="1" si="566"/>
        <v>3</v>
      </c>
      <c r="U2014" s="68">
        <f ca="1">IFERROR(__xludf.DUMMYFUNCTION("""COMPUTED_VALUE"""),46104.6458333333)</f>
        <v>46104.645833333299</v>
      </c>
      <c r="V2014" s="6">
        <f ca="1">IFERROR(__xludf.DUMMYFUNCTION("""COMPUTED_VALUE"""),5405.75)</f>
        <v>5405.75</v>
      </c>
      <c r="Z2014" s="6" t="str">
        <f t="shared" ca="1" si="567"/>
        <v>20238</v>
      </c>
      <c r="AA2014" s="6">
        <f t="shared" ca="1" si="568"/>
        <v>2023</v>
      </c>
      <c r="AB2014" s="6">
        <f t="shared" ca="1" si="569"/>
        <v>8</v>
      </c>
      <c r="AC2014" s="68">
        <f ca="1">IFERROR(__xludf.DUMMYFUNCTION("""COMPUTED_VALUE"""),45163.9986111111)</f>
        <v>45163.998611111099</v>
      </c>
      <c r="AD2014" s="6">
        <f ca="1">IFERROR(__xludf.DUMMYFUNCTION("""COMPUTED_VALUE"""),1323.61)</f>
        <v>1323.61</v>
      </c>
      <c r="AH2014" s="6" t="str">
        <f t="shared" ca="1" si="570"/>
        <v>20236</v>
      </c>
      <c r="AI2014" s="6">
        <f t="shared" ca="1" si="571"/>
        <v>2023</v>
      </c>
      <c r="AJ2014" s="6">
        <f t="shared" ca="1" si="572"/>
        <v>6</v>
      </c>
      <c r="AK2014" s="68">
        <f ca="1">IFERROR(__xludf.DUMMYFUNCTION("""COMPUTED_VALUE"""),45107.9986111111)</f>
        <v>45107.998611111099</v>
      </c>
      <c r="AL2014" s="6">
        <f ca="1">IFERROR(__xludf.DUMMYFUNCTION("""COMPUTED_VALUE"""),30472.82)</f>
        <v>30472.82</v>
      </c>
      <c r="AP2014" s="6" t="str">
        <f t="shared" ca="1" si="573"/>
        <v>20261</v>
      </c>
      <c r="AQ2014" s="6">
        <f t="shared" ca="1" si="574"/>
        <v>2026</v>
      </c>
      <c r="AR2014" s="6">
        <f t="shared" ca="1" si="575"/>
        <v>1</v>
      </c>
      <c r="AS2014" s="68">
        <f ca="1">IFERROR(__xludf.DUMMYFUNCTION("""COMPUTED_VALUE"""),46034.9986111111)</f>
        <v>46034.998611111099</v>
      </c>
      <c r="AT2014" s="6">
        <f ca="1">IFERROR(__xludf.DUMMYFUNCTION("""COMPUTED_VALUE"""),4614.7)</f>
        <v>4614.7</v>
      </c>
    </row>
    <row r="2015" spans="2:46" x14ac:dyDescent="0.35">
      <c r="B2015" s="6" t="str">
        <f t="shared" ca="1" si="558"/>
        <v>20261</v>
      </c>
      <c r="C2015" s="6">
        <f t="shared" ca="1" si="559"/>
        <v>2026</v>
      </c>
      <c r="D2015" s="6">
        <f t="shared" ca="1" si="560"/>
        <v>1</v>
      </c>
      <c r="E2015" s="68">
        <f ca="1">IFERROR(__xludf.DUMMYFUNCTION("""COMPUTED_VALUE"""),46028.6666666666)</f>
        <v>46028.666666666599</v>
      </c>
      <c r="F2015" s="6">
        <f ca="1">IFERROR(__xludf.DUMMYFUNCTION("""COMPUTED_VALUE"""),6944.82)</f>
        <v>6944.82</v>
      </c>
      <c r="J2015" s="6" t="str">
        <f t="shared" ca="1" si="561"/>
        <v>202512</v>
      </c>
      <c r="K2015" s="6">
        <f t="shared" ca="1" si="562"/>
        <v>2025</v>
      </c>
      <c r="L2015" s="6">
        <f t="shared" ca="1" si="563"/>
        <v>12</v>
      </c>
      <c r="M2015" s="68">
        <f ca="1">IFERROR(__xludf.DUMMYFUNCTION("""COMPUTED_VALUE"""),46021.6666666666)</f>
        <v>46021.666666666599</v>
      </c>
      <c r="N2015" s="6">
        <f ca="1">IFERROR(__xludf.DUMMYFUNCTION("""COMPUTED_VALUE"""),23419.08)</f>
        <v>23419.08</v>
      </c>
      <c r="R2015" s="6" t="str">
        <f t="shared" ca="1" si="564"/>
        <v>20263</v>
      </c>
      <c r="S2015" s="6">
        <f t="shared" ca="1" si="565"/>
        <v>2026</v>
      </c>
      <c r="T2015" s="6">
        <f t="shared" ca="1" si="566"/>
        <v>3</v>
      </c>
      <c r="U2015" s="68">
        <f ca="1">IFERROR(__xludf.DUMMYFUNCTION("""COMPUTED_VALUE"""),46105.6458333333)</f>
        <v>46105.645833333299</v>
      </c>
      <c r="V2015" s="6">
        <f ca="1">IFERROR(__xludf.DUMMYFUNCTION("""COMPUTED_VALUE"""),5553.92)</f>
        <v>5553.92</v>
      </c>
      <c r="Z2015" s="6" t="str">
        <f t="shared" ca="1" si="567"/>
        <v>20238</v>
      </c>
      <c r="AA2015" s="6">
        <f t="shared" ca="1" si="568"/>
        <v>2023</v>
      </c>
      <c r="AB2015" s="6">
        <f t="shared" ca="1" si="569"/>
        <v>8</v>
      </c>
      <c r="AC2015" s="68">
        <f ca="1">IFERROR(__xludf.DUMMYFUNCTION("""COMPUTED_VALUE"""),45164.9986111111)</f>
        <v>45164.998611111099</v>
      </c>
      <c r="AD2015" s="6">
        <f ca="1">IFERROR(__xludf.DUMMYFUNCTION("""COMPUTED_VALUE"""),1323.61)</f>
        <v>1323.61</v>
      </c>
      <c r="AH2015" s="6" t="str">
        <f t="shared" ca="1" si="570"/>
        <v>20237</v>
      </c>
      <c r="AI2015" s="6">
        <f t="shared" ca="1" si="571"/>
        <v>2023</v>
      </c>
      <c r="AJ2015" s="6">
        <f t="shared" ca="1" si="572"/>
        <v>7</v>
      </c>
      <c r="AK2015" s="68">
        <f ca="1">IFERROR(__xludf.DUMMYFUNCTION("""COMPUTED_VALUE"""),45108.9986111111)</f>
        <v>45108.998611111099</v>
      </c>
      <c r="AL2015" s="6">
        <f ca="1">IFERROR(__xludf.DUMMYFUNCTION("""COMPUTED_VALUE"""),30600.18)</f>
        <v>30600.18</v>
      </c>
      <c r="AP2015" s="6" t="str">
        <f t="shared" ca="1" si="573"/>
        <v>20261</v>
      </c>
      <c r="AQ2015" s="6">
        <f t="shared" ca="1" si="574"/>
        <v>2026</v>
      </c>
      <c r="AR2015" s="6">
        <f t="shared" ca="1" si="575"/>
        <v>1</v>
      </c>
      <c r="AS2015" s="68">
        <f ca="1">IFERROR(__xludf.DUMMYFUNCTION("""COMPUTED_VALUE"""),46035.9986111111)</f>
        <v>46035.998611111099</v>
      </c>
      <c r="AT2015" s="6">
        <f ca="1">IFERROR(__xludf.DUMMYFUNCTION("""COMPUTED_VALUE"""),4599.1)</f>
        <v>4599.1000000000004</v>
      </c>
    </row>
    <row r="2016" spans="2:46" x14ac:dyDescent="0.35">
      <c r="B2016" s="6" t="str">
        <f t="shared" ca="1" si="558"/>
        <v>20261</v>
      </c>
      <c r="C2016" s="6">
        <f t="shared" ca="1" si="559"/>
        <v>2026</v>
      </c>
      <c r="D2016" s="6">
        <f t="shared" ca="1" si="560"/>
        <v>1</v>
      </c>
      <c r="E2016" s="68">
        <f ca="1">IFERROR(__xludf.DUMMYFUNCTION("""COMPUTED_VALUE"""),46029.6666666666)</f>
        <v>46029.666666666599</v>
      </c>
      <c r="F2016" s="6">
        <f ca="1">IFERROR(__xludf.DUMMYFUNCTION("""COMPUTED_VALUE"""),6920.93)</f>
        <v>6920.93</v>
      </c>
      <c r="J2016" s="6" t="str">
        <f t="shared" ca="1" si="561"/>
        <v>202512</v>
      </c>
      <c r="K2016" s="6">
        <f t="shared" ca="1" si="562"/>
        <v>2025</v>
      </c>
      <c r="L2016" s="6">
        <f t="shared" ca="1" si="563"/>
        <v>12</v>
      </c>
      <c r="M2016" s="68">
        <f ca="1">IFERROR(__xludf.DUMMYFUNCTION("""COMPUTED_VALUE"""),46022.6666666666)</f>
        <v>46022.666666666599</v>
      </c>
      <c r="N2016" s="6">
        <f ca="1">IFERROR(__xludf.DUMMYFUNCTION("""COMPUTED_VALUE"""),23241.99)</f>
        <v>23241.99</v>
      </c>
      <c r="R2016" s="6" t="str">
        <f t="shared" ca="1" si="564"/>
        <v>20263</v>
      </c>
      <c r="S2016" s="6">
        <f t="shared" ca="1" si="565"/>
        <v>2026</v>
      </c>
      <c r="T2016" s="6">
        <f t="shared" ca="1" si="566"/>
        <v>3</v>
      </c>
      <c r="U2016" s="68">
        <f ca="1">IFERROR(__xludf.DUMMYFUNCTION("""COMPUTED_VALUE"""),46106.6458333333)</f>
        <v>46106.645833333299</v>
      </c>
      <c r="V2016" s="6">
        <f ca="1">IFERROR(__xludf.DUMMYFUNCTION("""COMPUTED_VALUE"""),5642.21)</f>
        <v>5642.21</v>
      </c>
      <c r="Z2016" s="6" t="str">
        <f t="shared" ca="1" si="567"/>
        <v>20238</v>
      </c>
      <c r="AA2016" s="6">
        <f t="shared" ca="1" si="568"/>
        <v>2023</v>
      </c>
      <c r="AB2016" s="6">
        <f t="shared" ca="1" si="569"/>
        <v>8</v>
      </c>
      <c r="AC2016" s="68">
        <f ca="1">IFERROR(__xludf.DUMMYFUNCTION("""COMPUTED_VALUE"""),45165.9986111111)</f>
        <v>45165.998611111099</v>
      </c>
      <c r="AD2016" s="6">
        <f ca="1">IFERROR(__xludf.DUMMYFUNCTION("""COMPUTED_VALUE"""),1323.61)</f>
        <v>1323.61</v>
      </c>
      <c r="AH2016" s="6" t="str">
        <f t="shared" ca="1" si="570"/>
        <v>20237</v>
      </c>
      <c r="AI2016" s="6">
        <f t="shared" ca="1" si="571"/>
        <v>2023</v>
      </c>
      <c r="AJ2016" s="6">
        <f t="shared" ca="1" si="572"/>
        <v>7</v>
      </c>
      <c r="AK2016" s="68">
        <f ca="1">IFERROR(__xludf.DUMMYFUNCTION("""COMPUTED_VALUE"""),45109.9986111111)</f>
        <v>45109.998611111099</v>
      </c>
      <c r="AL2016" s="6">
        <f ca="1">IFERROR(__xludf.DUMMYFUNCTION("""COMPUTED_VALUE"""),30619.66)</f>
        <v>30619.66</v>
      </c>
      <c r="AP2016" s="6" t="str">
        <f t="shared" ca="1" si="573"/>
        <v>20261</v>
      </c>
      <c r="AQ2016" s="6">
        <f t="shared" ca="1" si="574"/>
        <v>2026</v>
      </c>
      <c r="AR2016" s="6">
        <f t="shared" ca="1" si="575"/>
        <v>1</v>
      </c>
      <c r="AS2016" s="68">
        <f ca="1">IFERROR(__xludf.DUMMYFUNCTION("""COMPUTED_VALUE"""),46036.9986111111)</f>
        <v>46036.998611111099</v>
      </c>
      <c r="AT2016" s="6">
        <f ca="1">IFERROR(__xludf.DUMMYFUNCTION("""COMPUTED_VALUE"""),4635.7)</f>
        <v>4635.7</v>
      </c>
    </row>
    <row r="2017" spans="2:46" x14ac:dyDescent="0.35">
      <c r="B2017" s="6" t="str">
        <f t="shared" ca="1" si="558"/>
        <v>20261</v>
      </c>
      <c r="C2017" s="6">
        <f t="shared" ca="1" si="559"/>
        <v>2026</v>
      </c>
      <c r="D2017" s="6">
        <f t="shared" ca="1" si="560"/>
        <v>1</v>
      </c>
      <c r="E2017" s="68">
        <f ca="1">IFERROR(__xludf.DUMMYFUNCTION("""COMPUTED_VALUE"""),46030.6666666666)</f>
        <v>46030.666666666599</v>
      </c>
      <c r="F2017" s="6">
        <f ca="1">IFERROR(__xludf.DUMMYFUNCTION("""COMPUTED_VALUE"""),6921.46)</f>
        <v>6921.46</v>
      </c>
      <c r="J2017" s="6" t="str">
        <f t="shared" ca="1" si="561"/>
        <v>20261</v>
      </c>
      <c r="K2017" s="6">
        <f t="shared" ca="1" si="562"/>
        <v>2026</v>
      </c>
      <c r="L2017" s="6">
        <f t="shared" ca="1" si="563"/>
        <v>1</v>
      </c>
      <c r="M2017" s="68">
        <f ca="1">IFERROR(__xludf.DUMMYFUNCTION("""COMPUTED_VALUE"""),46024.6666666666)</f>
        <v>46024.666666666599</v>
      </c>
      <c r="N2017" s="6">
        <f ca="1">IFERROR(__xludf.DUMMYFUNCTION("""COMPUTED_VALUE"""),23235.63)</f>
        <v>23235.63</v>
      </c>
      <c r="R2017" s="6" t="str">
        <f t="shared" ca="1" si="564"/>
        <v>20263</v>
      </c>
      <c r="S2017" s="6">
        <f t="shared" ca="1" si="565"/>
        <v>2026</v>
      </c>
      <c r="T2017" s="6">
        <f t="shared" ca="1" si="566"/>
        <v>3</v>
      </c>
      <c r="U2017" s="68">
        <f ca="1">IFERROR(__xludf.DUMMYFUNCTION("""COMPUTED_VALUE"""),46107.6458333333)</f>
        <v>46107.645833333299</v>
      </c>
      <c r="V2017" s="6">
        <f ca="1">IFERROR(__xludf.DUMMYFUNCTION("""COMPUTED_VALUE"""),5460.46)</f>
        <v>5460.46</v>
      </c>
      <c r="Z2017" s="6" t="str">
        <f t="shared" ca="1" si="567"/>
        <v>20238</v>
      </c>
      <c r="AA2017" s="6">
        <f t="shared" ca="1" si="568"/>
        <v>2023</v>
      </c>
      <c r="AB2017" s="6">
        <f t="shared" ca="1" si="569"/>
        <v>8</v>
      </c>
      <c r="AC2017" s="68">
        <f ca="1">IFERROR(__xludf.DUMMYFUNCTION("""COMPUTED_VALUE"""),45166.9986111111)</f>
        <v>45166.998611111099</v>
      </c>
      <c r="AD2017" s="6">
        <f ca="1">IFERROR(__xludf.DUMMYFUNCTION("""COMPUTED_VALUE"""),1322.82)</f>
        <v>1322.82</v>
      </c>
      <c r="AH2017" s="6" t="str">
        <f t="shared" ca="1" si="570"/>
        <v>20237</v>
      </c>
      <c r="AI2017" s="6">
        <f t="shared" ca="1" si="571"/>
        <v>2023</v>
      </c>
      <c r="AJ2017" s="6">
        <f t="shared" ca="1" si="572"/>
        <v>7</v>
      </c>
      <c r="AK2017" s="68">
        <f ca="1">IFERROR(__xludf.DUMMYFUNCTION("""COMPUTED_VALUE"""),45110.9986111111)</f>
        <v>45110.998611111099</v>
      </c>
      <c r="AL2017" s="6">
        <f ca="1">IFERROR(__xludf.DUMMYFUNCTION("""COMPUTED_VALUE"""),31155.26)</f>
        <v>31155.26</v>
      </c>
      <c r="AP2017" s="6" t="str">
        <f t="shared" ca="1" si="573"/>
        <v>20261</v>
      </c>
      <c r="AQ2017" s="6">
        <f t="shared" ca="1" si="574"/>
        <v>2026</v>
      </c>
      <c r="AR2017" s="6">
        <f t="shared" ca="1" si="575"/>
        <v>1</v>
      </c>
      <c r="AS2017" s="68">
        <f ca="1">IFERROR(__xludf.DUMMYFUNCTION("""COMPUTED_VALUE"""),46037.9986111111)</f>
        <v>46037.998611111099</v>
      </c>
      <c r="AT2017" s="6">
        <f ca="1">IFERROR(__xludf.DUMMYFUNCTION("""COMPUTED_VALUE"""),4623.7)</f>
        <v>4623.7</v>
      </c>
    </row>
    <row r="2018" spans="2:46" x14ac:dyDescent="0.35">
      <c r="B2018" s="6" t="str">
        <f t="shared" ca="1" si="558"/>
        <v>20261</v>
      </c>
      <c r="C2018" s="6">
        <f t="shared" ca="1" si="559"/>
        <v>2026</v>
      </c>
      <c r="D2018" s="6">
        <f t="shared" ca="1" si="560"/>
        <v>1</v>
      </c>
      <c r="E2018" s="68">
        <f ca="1">IFERROR(__xludf.DUMMYFUNCTION("""COMPUTED_VALUE"""),46031.6666666666)</f>
        <v>46031.666666666599</v>
      </c>
      <c r="F2018" s="6">
        <f ca="1">IFERROR(__xludf.DUMMYFUNCTION("""COMPUTED_VALUE"""),6966.28)</f>
        <v>6966.28</v>
      </c>
      <c r="J2018" s="6" t="str">
        <f t="shared" ca="1" si="561"/>
        <v>20261</v>
      </c>
      <c r="K2018" s="6">
        <f t="shared" ca="1" si="562"/>
        <v>2026</v>
      </c>
      <c r="L2018" s="6">
        <f t="shared" ca="1" si="563"/>
        <v>1</v>
      </c>
      <c r="M2018" s="68">
        <f ca="1">IFERROR(__xludf.DUMMYFUNCTION("""COMPUTED_VALUE"""),46027.6666666666)</f>
        <v>46027.666666666599</v>
      </c>
      <c r="N2018" s="6">
        <f ca="1">IFERROR(__xludf.DUMMYFUNCTION("""COMPUTED_VALUE"""),23395.82)</f>
        <v>23395.82</v>
      </c>
      <c r="R2018" s="6" t="str">
        <f t="shared" ca="1" si="564"/>
        <v>20263</v>
      </c>
      <c r="S2018" s="6">
        <f t="shared" ca="1" si="565"/>
        <v>2026</v>
      </c>
      <c r="T2018" s="6">
        <f t="shared" ca="1" si="566"/>
        <v>3</v>
      </c>
      <c r="U2018" s="68">
        <f ca="1">IFERROR(__xludf.DUMMYFUNCTION("""COMPUTED_VALUE"""),46108.6458333333)</f>
        <v>46108.645833333299</v>
      </c>
      <c r="V2018" s="6">
        <f ca="1">IFERROR(__xludf.DUMMYFUNCTION("""COMPUTED_VALUE"""),5438.87)</f>
        <v>5438.87</v>
      </c>
      <c r="Z2018" s="6" t="str">
        <f t="shared" ca="1" si="567"/>
        <v>20238</v>
      </c>
      <c r="AA2018" s="6">
        <f t="shared" ca="1" si="568"/>
        <v>2023</v>
      </c>
      <c r="AB2018" s="6">
        <f t="shared" ca="1" si="569"/>
        <v>8</v>
      </c>
      <c r="AC2018" s="68">
        <f ca="1">IFERROR(__xludf.DUMMYFUNCTION("""COMPUTED_VALUE"""),45167.9986111111)</f>
        <v>45167.998611111099</v>
      </c>
      <c r="AD2018" s="6">
        <f ca="1">IFERROR(__xludf.DUMMYFUNCTION("""COMPUTED_VALUE"""),1321.07)</f>
        <v>1321.07</v>
      </c>
      <c r="AH2018" s="6" t="str">
        <f t="shared" ca="1" si="570"/>
        <v>20237</v>
      </c>
      <c r="AI2018" s="6">
        <f t="shared" ca="1" si="571"/>
        <v>2023</v>
      </c>
      <c r="AJ2018" s="6">
        <f t="shared" ca="1" si="572"/>
        <v>7</v>
      </c>
      <c r="AK2018" s="68">
        <f ca="1">IFERROR(__xludf.DUMMYFUNCTION("""COMPUTED_VALUE"""),45111.9986111111)</f>
        <v>45111.998611111099</v>
      </c>
      <c r="AL2018" s="6">
        <f ca="1">IFERROR(__xludf.DUMMYFUNCTION("""COMPUTED_VALUE"""),30783.76)</f>
        <v>30783.759999999998</v>
      </c>
      <c r="AP2018" s="6" t="str">
        <f t="shared" ca="1" si="573"/>
        <v>20261</v>
      </c>
      <c r="AQ2018" s="6">
        <f t="shared" ca="1" si="574"/>
        <v>2026</v>
      </c>
      <c r="AR2018" s="6">
        <f t="shared" ca="1" si="575"/>
        <v>1</v>
      </c>
      <c r="AS2018" s="68">
        <f ca="1">IFERROR(__xludf.DUMMYFUNCTION("""COMPUTED_VALUE"""),46038.9986111111)</f>
        <v>46038.998611111099</v>
      </c>
      <c r="AT2018" s="6">
        <f ca="1">IFERROR(__xludf.DUMMYFUNCTION("""COMPUTED_VALUE"""),4595.4)</f>
        <v>4595.3999999999996</v>
      </c>
    </row>
    <row r="2019" spans="2:46" x14ac:dyDescent="0.35">
      <c r="B2019" s="6" t="str">
        <f t="shared" ca="1" si="558"/>
        <v>20261</v>
      </c>
      <c r="C2019" s="6">
        <f t="shared" ca="1" si="559"/>
        <v>2026</v>
      </c>
      <c r="D2019" s="6">
        <f t="shared" ca="1" si="560"/>
        <v>1</v>
      </c>
      <c r="E2019" s="68">
        <f ca="1">IFERROR(__xludf.DUMMYFUNCTION("""COMPUTED_VALUE"""),46034.6666666666)</f>
        <v>46034.666666666599</v>
      </c>
      <c r="F2019" s="6">
        <f ca="1">IFERROR(__xludf.DUMMYFUNCTION("""COMPUTED_VALUE"""),6977.27)</f>
        <v>6977.27</v>
      </c>
      <c r="J2019" s="6" t="str">
        <f t="shared" ca="1" si="561"/>
        <v>20261</v>
      </c>
      <c r="K2019" s="6">
        <f t="shared" ca="1" si="562"/>
        <v>2026</v>
      </c>
      <c r="L2019" s="6">
        <f t="shared" ca="1" si="563"/>
        <v>1</v>
      </c>
      <c r="M2019" s="68">
        <f ca="1">IFERROR(__xludf.DUMMYFUNCTION("""COMPUTED_VALUE"""),46028.6666666666)</f>
        <v>46028.666666666599</v>
      </c>
      <c r="N2019" s="6">
        <f ca="1">IFERROR(__xludf.DUMMYFUNCTION("""COMPUTED_VALUE"""),23547.17)</f>
        <v>23547.17</v>
      </c>
      <c r="R2019" s="6" t="str">
        <f t="shared" ca="1" si="564"/>
        <v>20263</v>
      </c>
      <c r="S2019" s="6">
        <f t="shared" ca="1" si="565"/>
        <v>2026</v>
      </c>
      <c r="T2019" s="6">
        <f t="shared" ca="1" si="566"/>
        <v>3</v>
      </c>
      <c r="U2019" s="68">
        <f ca="1">IFERROR(__xludf.DUMMYFUNCTION("""COMPUTED_VALUE"""),46111.6458333333)</f>
        <v>46111.645833333299</v>
      </c>
      <c r="V2019" s="6">
        <f ca="1">IFERROR(__xludf.DUMMYFUNCTION("""COMPUTED_VALUE"""),5277.3)</f>
        <v>5277.3</v>
      </c>
      <c r="Z2019" s="6" t="str">
        <f t="shared" ca="1" si="567"/>
        <v>20238</v>
      </c>
      <c r="AA2019" s="6">
        <f t="shared" ca="1" si="568"/>
        <v>2023</v>
      </c>
      <c r="AB2019" s="6">
        <f t="shared" ca="1" si="569"/>
        <v>8</v>
      </c>
      <c r="AC2019" s="68">
        <f ca="1">IFERROR(__xludf.DUMMYFUNCTION("""COMPUTED_VALUE"""),45168.9986111111)</f>
        <v>45168.998611111099</v>
      </c>
      <c r="AD2019" s="6">
        <f ca="1">IFERROR(__xludf.DUMMYFUNCTION("""COMPUTED_VALUE"""),1323.03)</f>
        <v>1323.03</v>
      </c>
      <c r="AH2019" s="6" t="str">
        <f t="shared" ca="1" si="570"/>
        <v>20237</v>
      </c>
      <c r="AI2019" s="6">
        <f t="shared" ca="1" si="571"/>
        <v>2023</v>
      </c>
      <c r="AJ2019" s="6">
        <f t="shared" ca="1" si="572"/>
        <v>7</v>
      </c>
      <c r="AK2019" s="68">
        <f ca="1">IFERROR(__xludf.DUMMYFUNCTION("""COMPUTED_VALUE"""),45112.9986111111)</f>
        <v>45112.998611111099</v>
      </c>
      <c r="AL2019" s="6">
        <f ca="1">IFERROR(__xludf.DUMMYFUNCTION("""COMPUTED_VALUE"""),30512.26)</f>
        <v>30512.26</v>
      </c>
      <c r="AP2019" s="6" t="str">
        <f t="shared" ca="1" si="573"/>
        <v>20261</v>
      </c>
      <c r="AQ2019" s="6">
        <f t="shared" ca="1" si="574"/>
        <v>2026</v>
      </c>
      <c r="AR2019" s="6">
        <f t="shared" ca="1" si="575"/>
        <v>1</v>
      </c>
      <c r="AS2019" s="68">
        <f ca="1">IFERROR(__xludf.DUMMYFUNCTION("""COMPUTED_VALUE"""),46042.9986111111)</f>
        <v>46042.998611111099</v>
      </c>
      <c r="AT2019" s="6">
        <f ca="1">IFERROR(__xludf.DUMMYFUNCTION("""COMPUTED_VALUE"""),4765.8)</f>
        <v>4765.8</v>
      </c>
    </row>
    <row r="2020" spans="2:46" x14ac:dyDescent="0.35">
      <c r="B2020" s="6" t="str">
        <f t="shared" ca="1" si="558"/>
        <v>20261</v>
      </c>
      <c r="C2020" s="6">
        <f t="shared" ca="1" si="559"/>
        <v>2026</v>
      </c>
      <c r="D2020" s="6">
        <f t="shared" ca="1" si="560"/>
        <v>1</v>
      </c>
      <c r="E2020" s="68">
        <f ca="1">IFERROR(__xludf.DUMMYFUNCTION("""COMPUTED_VALUE"""),46035.6666666666)</f>
        <v>46035.666666666599</v>
      </c>
      <c r="F2020" s="6">
        <f ca="1">IFERROR(__xludf.DUMMYFUNCTION("""COMPUTED_VALUE"""),6963.74)</f>
        <v>6963.74</v>
      </c>
      <c r="J2020" s="6" t="str">
        <f t="shared" ca="1" si="561"/>
        <v>20261</v>
      </c>
      <c r="K2020" s="6">
        <f t="shared" ca="1" si="562"/>
        <v>2026</v>
      </c>
      <c r="L2020" s="6">
        <f t="shared" ca="1" si="563"/>
        <v>1</v>
      </c>
      <c r="M2020" s="68">
        <f ca="1">IFERROR(__xludf.DUMMYFUNCTION("""COMPUTED_VALUE"""),46029.6666666666)</f>
        <v>46029.666666666599</v>
      </c>
      <c r="N2020" s="6">
        <f ca="1">IFERROR(__xludf.DUMMYFUNCTION("""COMPUTED_VALUE"""),23584.28)</f>
        <v>23584.28</v>
      </c>
      <c r="R2020" s="6" t="str">
        <f t="shared" ca="1" si="564"/>
        <v>20263</v>
      </c>
      <c r="S2020" s="6">
        <f t="shared" ca="1" si="565"/>
        <v>2026</v>
      </c>
      <c r="T2020" s="6">
        <f t="shared" ca="1" si="566"/>
        <v>3</v>
      </c>
      <c r="U2020" s="68">
        <f ca="1">IFERROR(__xludf.DUMMYFUNCTION("""COMPUTED_VALUE"""),46112.6458333333)</f>
        <v>46112.645833333299</v>
      </c>
      <c r="V2020" s="6">
        <f ca="1">IFERROR(__xludf.DUMMYFUNCTION("""COMPUTED_VALUE"""),5052.46)</f>
        <v>5052.46</v>
      </c>
      <c r="Z2020" s="6" t="str">
        <f t="shared" ca="1" si="567"/>
        <v>20238</v>
      </c>
      <c r="AA2020" s="6">
        <f t="shared" ca="1" si="568"/>
        <v>2023</v>
      </c>
      <c r="AB2020" s="6">
        <f t="shared" ca="1" si="569"/>
        <v>8</v>
      </c>
      <c r="AC2020" s="68">
        <f ca="1">IFERROR(__xludf.DUMMYFUNCTION("""COMPUTED_VALUE"""),45169.9986111111)</f>
        <v>45169.998611111099</v>
      </c>
      <c r="AD2020" s="6">
        <f ca="1">IFERROR(__xludf.DUMMYFUNCTION("""COMPUTED_VALUE"""),1324.64)</f>
        <v>1324.64</v>
      </c>
      <c r="AH2020" s="6" t="str">
        <f t="shared" ca="1" si="570"/>
        <v>20237</v>
      </c>
      <c r="AI2020" s="6">
        <f t="shared" ca="1" si="571"/>
        <v>2023</v>
      </c>
      <c r="AJ2020" s="6">
        <f t="shared" ca="1" si="572"/>
        <v>7</v>
      </c>
      <c r="AK2020" s="68">
        <f ca="1">IFERROR(__xludf.DUMMYFUNCTION("""COMPUTED_VALUE"""),45113.9986111111)</f>
        <v>45113.998611111099</v>
      </c>
      <c r="AL2020" s="6">
        <f ca="1">IFERROR(__xludf.DUMMYFUNCTION("""COMPUTED_VALUE"""),29917.44)</f>
        <v>29917.439999999999</v>
      </c>
      <c r="AP2020" s="6" t="str">
        <f t="shared" ca="1" si="573"/>
        <v>20261</v>
      </c>
      <c r="AQ2020" s="6">
        <f t="shared" ca="1" si="574"/>
        <v>2026</v>
      </c>
      <c r="AR2020" s="6">
        <f t="shared" ca="1" si="575"/>
        <v>1</v>
      </c>
      <c r="AS2020" s="68">
        <f ca="1">IFERROR(__xludf.DUMMYFUNCTION("""COMPUTED_VALUE"""),46043.9986111111)</f>
        <v>46043.998611111099</v>
      </c>
      <c r="AT2020" s="6">
        <f ca="1">IFERROR(__xludf.DUMMYFUNCTION("""COMPUTED_VALUE"""),4837.5)</f>
        <v>4837.5</v>
      </c>
    </row>
    <row r="2021" spans="2:46" x14ac:dyDescent="0.35">
      <c r="B2021" s="6" t="str">
        <f t="shared" ca="1" si="558"/>
        <v>20261</v>
      </c>
      <c r="C2021" s="6">
        <f t="shared" ca="1" si="559"/>
        <v>2026</v>
      </c>
      <c r="D2021" s="6">
        <f t="shared" ca="1" si="560"/>
        <v>1</v>
      </c>
      <c r="E2021" s="68">
        <f ca="1">IFERROR(__xludf.DUMMYFUNCTION("""COMPUTED_VALUE"""),46036.6666666666)</f>
        <v>46036.666666666599</v>
      </c>
      <c r="F2021" s="6">
        <f ca="1">IFERROR(__xludf.DUMMYFUNCTION("""COMPUTED_VALUE"""),6926.6)</f>
        <v>6926.6</v>
      </c>
      <c r="J2021" s="6" t="str">
        <f t="shared" ca="1" si="561"/>
        <v>20261</v>
      </c>
      <c r="K2021" s="6">
        <f t="shared" ca="1" si="562"/>
        <v>2026</v>
      </c>
      <c r="L2021" s="6">
        <f t="shared" ca="1" si="563"/>
        <v>1</v>
      </c>
      <c r="M2021" s="68">
        <f ca="1">IFERROR(__xludf.DUMMYFUNCTION("""COMPUTED_VALUE"""),46030.6666666666)</f>
        <v>46030.666666666599</v>
      </c>
      <c r="N2021" s="6">
        <f ca="1">IFERROR(__xludf.DUMMYFUNCTION("""COMPUTED_VALUE"""),23480.02)</f>
        <v>23480.02</v>
      </c>
      <c r="R2021" s="6" t="str">
        <f t="shared" ca="1" si="564"/>
        <v>20264</v>
      </c>
      <c r="S2021" s="6">
        <f t="shared" ca="1" si="565"/>
        <v>2026</v>
      </c>
      <c r="T2021" s="6">
        <f t="shared" ca="1" si="566"/>
        <v>4</v>
      </c>
      <c r="U2021" s="68">
        <f ca="1">IFERROR(__xludf.DUMMYFUNCTION("""COMPUTED_VALUE"""),46113.6458333333)</f>
        <v>46113.645833333299</v>
      </c>
      <c r="V2021" s="6">
        <f ca="1">IFERROR(__xludf.DUMMYFUNCTION("""COMPUTED_VALUE"""),5478.7)</f>
        <v>5478.7</v>
      </c>
      <c r="Z2021" s="6" t="str">
        <f t="shared" ca="1" si="567"/>
        <v>20239</v>
      </c>
      <c r="AA2021" s="6">
        <f t="shared" ca="1" si="568"/>
        <v>2023</v>
      </c>
      <c r="AB2021" s="6">
        <f t="shared" ca="1" si="569"/>
        <v>9</v>
      </c>
      <c r="AC2021" s="68">
        <f ca="1">IFERROR(__xludf.DUMMYFUNCTION("""COMPUTED_VALUE"""),45170.9986111111)</f>
        <v>45170.998611111099</v>
      </c>
      <c r="AD2021" s="6">
        <f ca="1">IFERROR(__xludf.DUMMYFUNCTION("""COMPUTED_VALUE"""),1317.55)</f>
        <v>1317.55</v>
      </c>
      <c r="AH2021" s="6" t="str">
        <f t="shared" ca="1" si="570"/>
        <v>20237</v>
      </c>
      <c r="AI2021" s="6">
        <f t="shared" ca="1" si="571"/>
        <v>2023</v>
      </c>
      <c r="AJ2021" s="6">
        <f t="shared" ca="1" si="572"/>
        <v>7</v>
      </c>
      <c r="AK2021" s="68">
        <f ca="1">IFERROR(__xludf.DUMMYFUNCTION("""COMPUTED_VALUE"""),45114.9986111111)</f>
        <v>45114.998611111099</v>
      </c>
      <c r="AL2021" s="6">
        <f ca="1">IFERROR(__xludf.DUMMYFUNCTION("""COMPUTED_VALUE"""),30360.05)</f>
        <v>30360.05</v>
      </c>
      <c r="AP2021" s="6" t="str">
        <f t="shared" ca="1" si="573"/>
        <v>20261</v>
      </c>
      <c r="AQ2021" s="6">
        <f t="shared" ca="1" si="574"/>
        <v>2026</v>
      </c>
      <c r="AR2021" s="6">
        <f t="shared" ca="1" si="575"/>
        <v>1</v>
      </c>
      <c r="AS2021" s="68">
        <f ca="1">IFERROR(__xludf.DUMMYFUNCTION("""COMPUTED_VALUE"""),46044.9986111111)</f>
        <v>46044.998611111099</v>
      </c>
      <c r="AT2021" s="6">
        <f ca="1">IFERROR(__xludf.DUMMYFUNCTION("""COMPUTED_VALUE"""),4913.4)</f>
        <v>4913.3999999999996</v>
      </c>
    </row>
    <row r="2022" spans="2:46" x14ac:dyDescent="0.35">
      <c r="B2022" s="6" t="str">
        <f t="shared" ca="1" si="558"/>
        <v>20261</v>
      </c>
      <c r="C2022" s="6">
        <f t="shared" ca="1" si="559"/>
        <v>2026</v>
      </c>
      <c r="D2022" s="6">
        <f t="shared" ca="1" si="560"/>
        <v>1</v>
      </c>
      <c r="E2022" s="68">
        <f ca="1">IFERROR(__xludf.DUMMYFUNCTION("""COMPUTED_VALUE"""),46037.6666666666)</f>
        <v>46037.666666666599</v>
      </c>
      <c r="F2022" s="6">
        <f ca="1">IFERROR(__xludf.DUMMYFUNCTION("""COMPUTED_VALUE"""),6944.47)</f>
        <v>6944.47</v>
      </c>
      <c r="J2022" s="6" t="str">
        <f t="shared" ca="1" si="561"/>
        <v>20261</v>
      </c>
      <c r="K2022" s="6">
        <f t="shared" ca="1" si="562"/>
        <v>2026</v>
      </c>
      <c r="L2022" s="6">
        <f t="shared" ca="1" si="563"/>
        <v>1</v>
      </c>
      <c r="M2022" s="68">
        <f ca="1">IFERROR(__xludf.DUMMYFUNCTION("""COMPUTED_VALUE"""),46031.6666666666)</f>
        <v>46031.666666666599</v>
      </c>
      <c r="N2022" s="6">
        <f ca="1">IFERROR(__xludf.DUMMYFUNCTION("""COMPUTED_VALUE"""),23671.35)</f>
        <v>23671.35</v>
      </c>
      <c r="R2022" s="6" t="str">
        <f t="shared" ca="1" si="564"/>
        <v>20264</v>
      </c>
      <c r="S2022" s="6">
        <f t="shared" ca="1" si="565"/>
        <v>2026</v>
      </c>
      <c r="T2022" s="6">
        <f t="shared" ca="1" si="566"/>
        <v>4</v>
      </c>
      <c r="U2022" s="68">
        <f ca="1">IFERROR(__xludf.DUMMYFUNCTION("""COMPUTED_VALUE"""),46114.6458333333)</f>
        <v>46114.645833333299</v>
      </c>
      <c r="V2022" s="6">
        <f ca="1">IFERROR(__xludf.DUMMYFUNCTION("""COMPUTED_VALUE"""),5234.05)</f>
        <v>5234.05</v>
      </c>
      <c r="Z2022" s="6" t="str">
        <f t="shared" ca="1" si="567"/>
        <v>20239</v>
      </c>
      <c r="AA2022" s="6">
        <f t="shared" ca="1" si="568"/>
        <v>2023</v>
      </c>
      <c r="AB2022" s="6">
        <f t="shared" ca="1" si="569"/>
        <v>9</v>
      </c>
      <c r="AC2022" s="68">
        <f ca="1">IFERROR(__xludf.DUMMYFUNCTION("""COMPUTED_VALUE"""),45171.9986111111)</f>
        <v>45171.998611111099</v>
      </c>
      <c r="AD2022" s="6">
        <f ca="1">IFERROR(__xludf.DUMMYFUNCTION("""COMPUTED_VALUE"""),1317.55)</f>
        <v>1317.55</v>
      </c>
      <c r="AH2022" s="6" t="str">
        <f t="shared" ca="1" si="570"/>
        <v>20237</v>
      </c>
      <c r="AI2022" s="6">
        <f t="shared" ca="1" si="571"/>
        <v>2023</v>
      </c>
      <c r="AJ2022" s="6">
        <f t="shared" ca="1" si="572"/>
        <v>7</v>
      </c>
      <c r="AK2022" s="68">
        <f ca="1">IFERROR(__xludf.DUMMYFUNCTION("""COMPUTED_VALUE"""),45115.9986111111)</f>
        <v>45115.998611111099</v>
      </c>
      <c r="AL2022" s="6">
        <f ca="1">IFERROR(__xludf.DUMMYFUNCTION("""COMPUTED_VALUE"""),30307.61)</f>
        <v>30307.61</v>
      </c>
      <c r="AP2022" s="6" t="str">
        <f t="shared" ca="1" si="573"/>
        <v>20261</v>
      </c>
      <c r="AQ2022" s="6">
        <f t="shared" ca="1" si="574"/>
        <v>2026</v>
      </c>
      <c r="AR2022" s="6">
        <f t="shared" ca="1" si="575"/>
        <v>1</v>
      </c>
      <c r="AS2022" s="68">
        <f ca="1">IFERROR(__xludf.DUMMYFUNCTION("""COMPUTED_VALUE"""),46045.9986111111)</f>
        <v>46045.998611111099</v>
      </c>
      <c r="AT2022" s="6">
        <f ca="1">IFERROR(__xludf.DUMMYFUNCTION("""COMPUTED_VALUE"""),4979.7)</f>
        <v>4979.7</v>
      </c>
    </row>
    <row r="2023" spans="2:46" x14ac:dyDescent="0.35">
      <c r="B2023" s="6" t="str">
        <f t="shared" ca="1" si="558"/>
        <v>20261</v>
      </c>
      <c r="C2023" s="6">
        <f t="shared" ca="1" si="559"/>
        <v>2026</v>
      </c>
      <c r="D2023" s="6">
        <f t="shared" ca="1" si="560"/>
        <v>1</v>
      </c>
      <c r="E2023" s="68">
        <f ca="1">IFERROR(__xludf.DUMMYFUNCTION("""COMPUTED_VALUE"""),46038.6666666666)</f>
        <v>46038.666666666599</v>
      </c>
      <c r="F2023" s="6">
        <f ca="1">IFERROR(__xludf.DUMMYFUNCTION("""COMPUTED_VALUE"""),6940.01)</f>
        <v>6940.01</v>
      </c>
      <c r="J2023" s="6" t="str">
        <f t="shared" ca="1" si="561"/>
        <v>20261</v>
      </c>
      <c r="K2023" s="6">
        <f t="shared" ca="1" si="562"/>
        <v>2026</v>
      </c>
      <c r="L2023" s="6">
        <f t="shared" ca="1" si="563"/>
        <v>1</v>
      </c>
      <c r="M2023" s="68">
        <f ca="1">IFERROR(__xludf.DUMMYFUNCTION("""COMPUTED_VALUE"""),46034.6666666666)</f>
        <v>46034.666666666599</v>
      </c>
      <c r="N2023" s="6">
        <f ca="1">IFERROR(__xludf.DUMMYFUNCTION("""COMPUTED_VALUE"""),23733.9)</f>
        <v>23733.9</v>
      </c>
      <c r="R2023" s="6" t="str">
        <f t="shared" ca="1" si="564"/>
        <v>20264</v>
      </c>
      <c r="S2023" s="6">
        <f t="shared" ca="1" si="565"/>
        <v>2026</v>
      </c>
      <c r="T2023" s="6">
        <f t="shared" ca="1" si="566"/>
        <v>4</v>
      </c>
      <c r="U2023" s="68">
        <f ca="1">IFERROR(__xludf.DUMMYFUNCTION("""COMPUTED_VALUE"""),46115.6458333333)</f>
        <v>46115.645833333299</v>
      </c>
      <c r="V2023" s="6">
        <f ca="1">IFERROR(__xludf.DUMMYFUNCTION("""COMPUTED_VALUE"""),5377.3)</f>
        <v>5377.3</v>
      </c>
      <c r="Z2023" s="6" t="str">
        <f t="shared" ca="1" si="567"/>
        <v>20239</v>
      </c>
      <c r="AA2023" s="6">
        <f t="shared" ca="1" si="568"/>
        <v>2023</v>
      </c>
      <c r="AB2023" s="6">
        <f t="shared" ca="1" si="569"/>
        <v>9</v>
      </c>
      <c r="AC2023" s="68">
        <f ca="1">IFERROR(__xludf.DUMMYFUNCTION("""COMPUTED_VALUE"""),45172.9986111111)</f>
        <v>45172.998611111099</v>
      </c>
      <c r="AD2023" s="6">
        <f ca="1">IFERROR(__xludf.DUMMYFUNCTION("""COMPUTED_VALUE"""),1317.46)</f>
        <v>1317.46</v>
      </c>
      <c r="AH2023" s="6" t="str">
        <f t="shared" ca="1" si="570"/>
        <v>20237</v>
      </c>
      <c r="AI2023" s="6">
        <f t="shared" ca="1" si="571"/>
        <v>2023</v>
      </c>
      <c r="AJ2023" s="6">
        <f t="shared" ca="1" si="572"/>
        <v>7</v>
      </c>
      <c r="AK2023" s="68">
        <f ca="1">IFERROR(__xludf.DUMMYFUNCTION("""COMPUTED_VALUE"""),45116.9986111111)</f>
        <v>45116.998611111099</v>
      </c>
      <c r="AL2023" s="6">
        <f ca="1">IFERROR(__xludf.DUMMYFUNCTION("""COMPUTED_VALUE"""),30182.26)</f>
        <v>30182.26</v>
      </c>
      <c r="AP2023" s="6" t="str">
        <f t="shared" ca="1" si="573"/>
        <v>20261</v>
      </c>
      <c r="AQ2023" s="6">
        <f t="shared" ca="1" si="574"/>
        <v>2026</v>
      </c>
      <c r="AR2023" s="6">
        <f t="shared" ca="1" si="575"/>
        <v>1</v>
      </c>
      <c r="AS2023" s="68">
        <f ca="1">IFERROR(__xludf.DUMMYFUNCTION("""COMPUTED_VALUE"""),46048.9986111111)</f>
        <v>46048.998611111099</v>
      </c>
      <c r="AT2023" s="6">
        <f ca="1">IFERROR(__xludf.DUMMYFUNCTION("""COMPUTED_VALUE"""),5122.3)</f>
        <v>5122.3</v>
      </c>
    </row>
    <row r="2024" spans="2:46" x14ac:dyDescent="0.35">
      <c r="B2024" s="6" t="str">
        <f t="shared" ca="1" si="558"/>
        <v>20261</v>
      </c>
      <c r="C2024" s="6">
        <f t="shared" ca="1" si="559"/>
        <v>2026</v>
      </c>
      <c r="D2024" s="6">
        <f t="shared" ca="1" si="560"/>
        <v>1</v>
      </c>
      <c r="E2024" s="68">
        <f ca="1">IFERROR(__xludf.DUMMYFUNCTION("""COMPUTED_VALUE"""),46042.6666666666)</f>
        <v>46042.666666666599</v>
      </c>
      <c r="F2024" s="6">
        <f ca="1">IFERROR(__xludf.DUMMYFUNCTION("""COMPUTED_VALUE"""),6796.86)</f>
        <v>6796.86</v>
      </c>
      <c r="J2024" s="6" t="str">
        <f t="shared" ca="1" si="561"/>
        <v>20261</v>
      </c>
      <c r="K2024" s="6">
        <f t="shared" ca="1" si="562"/>
        <v>2026</v>
      </c>
      <c r="L2024" s="6">
        <f t="shared" ca="1" si="563"/>
        <v>1</v>
      </c>
      <c r="M2024" s="68">
        <f ca="1">IFERROR(__xludf.DUMMYFUNCTION("""COMPUTED_VALUE"""),46035.6666666666)</f>
        <v>46035.666666666599</v>
      </c>
      <c r="N2024" s="6">
        <f ca="1">IFERROR(__xludf.DUMMYFUNCTION("""COMPUTED_VALUE"""),23709.87)</f>
        <v>23709.87</v>
      </c>
      <c r="R2024" s="6" t="str">
        <f t="shared" ca="1" si="564"/>
        <v>20264</v>
      </c>
      <c r="S2024" s="6">
        <f t="shared" ca="1" si="565"/>
        <v>2026</v>
      </c>
      <c r="T2024" s="6">
        <f t="shared" ca="1" si="566"/>
        <v>4</v>
      </c>
      <c r="U2024" s="68">
        <f ca="1">IFERROR(__xludf.DUMMYFUNCTION("""COMPUTED_VALUE"""),46118.6458333333)</f>
        <v>46118.645833333299</v>
      </c>
      <c r="V2024" s="6">
        <f ca="1">IFERROR(__xludf.DUMMYFUNCTION("""COMPUTED_VALUE"""),5450.33)</f>
        <v>5450.33</v>
      </c>
      <c r="Z2024" s="6" t="str">
        <f t="shared" ca="1" si="567"/>
        <v>20239</v>
      </c>
      <c r="AA2024" s="6">
        <f t="shared" ca="1" si="568"/>
        <v>2023</v>
      </c>
      <c r="AB2024" s="6">
        <f t="shared" ca="1" si="569"/>
        <v>9</v>
      </c>
      <c r="AC2024" s="68">
        <f ca="1">IFERROR(__xludf.DUMMYFUNCTION("""COMPUTED_VALUE"""),45173.9986111111)</f>
        <v>45173.998611111099</v>
      </c>
      <c r="AD2024" s="6">
        <f ca="1">IFERROR(__xludf.DUMMYFUNCTION("""COMPUTED_VALUE"""),1317.95)</f>
        <v>1317.95</v>
      </c>
      <c r="AH2024" s="6" t="str">
        <f t="shared" ca="1" si="570"/>
        <v>20237</v>
      </c>
      <c r="AI2024" s="6">
        <f t="shared" ca="1" si="571"/>
        <v>2023</v>
      </c>
      <c r="AJ2024" s="6">
        <f t="shared" ca="1" si="572"/>
        <v>7</v>
      </c>
      <c r="AK2024" s="68">
        <f ca="1">IFERROR(__xludf.DUMMYFUNCTION("""COMPUTED_VALUE"""),45117.9986111111)</f>
        <v>45117.998611111099</v>
      </c>
      <c r="AL2024" s="6">
        <f ca="1">IFERROR(__xludf.DUMMYFUNCTION("""COMPUTED_VALUE"""),30422.21)</f>
        <v>30422.21</v>
      </c>
      <c r="AP2024" s="6" t="str">
        <f t="shared" ca="1" si="573"/>
        <v>20261</v>
      </c>
      <c r="AQ2024" s="6">
        <f t="shared" ca="1" si="574"/>
        <v>2026</v>
      </c>
      <c r="AR2024" s="6">
        <f t="shared" ca="1" si="575"/>
        <v>1</v>
      </c>
      <c r="AS2024" s="68">
        <f ca="1">IFERROR(__xludf.DUMMYFUNCTION("""COMPUTED_VALUE"""),46049.9986111111)</f>
        <v>46049.998611111099</v>
      </c>
      <c r="AT2024" s="6">
        <f ca="1">IFERROR(__xludf.DUMMYFUNCTION("""COMPUTED_VALUE"""),5120.6)</f>
        <v>5120.6000000000004</v>
      </c>
    </row>
    <row r="2025" spans="2:46" x14ac:dyDescent="0.35">
      <c r="B2025" s="6" t="str">
        <f t="shared" ca="1" si="558"/>
        <v>20261</v>
      </c>
      <c r="C2025" s="6">
        <f t="shared" ca="1" si="559"/>
        <v>2026</v>
      </c>
      <c r="D2025" s="6">
        <f t="shared" ca="1" si="560"/>
        <v>1</v>
      </c>
      <c r="E2025" s="68">
        <f ca="1">IFERROR(__xludf.DUMMYFUNCTION("""COMPUTED_VALUE"""),46043.6666666666)</f>
        <v>46043.666666666599</v>
      </c>
      <c r="F2025" s="6">
        <f ca="1">IFERROR(__xludf.DUMMYFUNCTION("""COMPUTED_VALUE"""),6875.62)</f>
        <v>6875.62</v>
      </c>
      <c r="J2025" s="6" t="str">
        <f t="shared" ca="1" si="561"/>
        <v>20261</v>
      </c>
      <c r="K2025" s="6">
        <f t="shared" ca="1" si="562"/>
        <v>2026</v>
      </c>
      <c r="L2025" s="6">
        <f t="shared" ca="1" si="563"/>
        <v>1</v>
      </c>
      <c r="M2025" s="68">
        <f ca="1">IFERROR(__xludf.DUMMYFUNCTION("""COMPUTED_VALUE"""),46036.6666666666)</f>
        <v>46036.666666666599</v>
      </c>
      <c r="N2025" s="6">
        <f ca="1">IFERROR(__xludf.DUMMYFUNCTION("""COMPUTED_VALUE"""),23471.75)</f>
        <v>23471.75</v>
      </c>
      <c r="R2025" s="6" t="str">
        <f t="shared" ca="1" si="564"/>
        <v>20264</v>
      </c>
      <c r="S2025" s="6">
        <f t="shared" ca="1" si="565"/>
        <v>2026</v>
      </c>
      <c r="T2025" s="6">
        <f t="shared" ca="1" si="566"/>
        <v>4</v>
      </c>
      <c r="U2025" s="68">
        <f ca="1">IFERROR(__xludf.DUMMYFUNCTION("""COMPUTED_VALUE"""),46119.6458333333)</f>
        <v>46119.645833333299</v>
      </c>
      <c r="V2025" s="6">
        <f ca="1">IFERROR(__xludf.DUMMYFUNCTION("""COMPUTED_VALUE"""),5494.78)</f>
        <v>5494.78</v>
      </c>
      <c r="Z2025" s="6" t="str">
        <f t="shared" ca="1" si="567"/>
        <v>20239</v>
      </c>
      <c r="AA2025" s="6">
        <f t="shared" ca="1" si="568"/>
        <v>2023</v>
      </c>
      <c r="AB2025" s="6">
        <f t="shared" ca="1" si="569"/>
        <v>9</v>
      </c>
      <c r="AC2025" s="68">
        <f ca="1">IFERROR(__xludf.DUMMYFUNCTION("""COMPUTED_VALUE"""),45174.9986111111)</f>
        <v>45174.998611111099</v>
      </c>
      <c r="AD2025" s="6">
        <f ca="1">IFERROR(__xludf.DUMMYFUNCTION("""COMPUTED_VALUE"""),1331.73)</f>
        <v>1331.73</v>
      </c>
      <c r="AH2025" s="6" t="str">
        <f t="shared" ca="1" si="570"/>
        <v>20237</v>
      </c>
      <c r="AI2025" s="6">
        <f t="shared" ca="1" si="571"/>
        <v>2023</v>
      </c>
      <c r="AJ2025" s="6">
        <f t="shared" ca="1" si="572"/>
        <v>7</v>
      </c>
      <c r="AK2025" s="68">
        <f ca="1">IFERROR(__xludf.DUMMYFUNCTION("""COMPUTED_VALUE"""),45118.9986111111)</f>
        <v>45118.998611111099</v>
      </c>
      <c r="AL2025" s="6">
        <f ca="1">IFERROR(__xludf.DUMMYFUNCTION("""COMPUTED_VALUE"""),30636.85)</f>
        <v>30636.85</v>
      </c>
      <c r="AP2025" s="6" t="str">
        <f t="shared" ca="1" si="573"/>
        <v>20261</v>
      </c>
      <c r="AQ2025" s="6">
        <f t="shared" ca="1" si="574"/>
        <v>2026</v>
      </c>
      <c r="AR2025" s="6">
        <f t="shared" ca="1" si="575"/>
        <v>1</v>
      </c>
      <c r="AS2025" s="68">
        <f ca="1">IFERROR(__xludf.DUMMYFUNCTION("""COMPUTED_VALUE"""),46050.9986111111)</f>
        <v>46050.998611111099</v>
      </c>
      <c r="AT2025" s="6">
        <f ca="1">IFERROR(__xludf.DUMMYFUNCTION("""COMPUTED_VALUE"""),5340.2)</f>
        <v>5340.2</v>
      </c>
    </row>
    <row r="2026" spans="2:46" x14ac:dyDescent="0.35">
      <c r="B2026" s="6" t="str">
        <f t="shared" ca="1" si="558"/>
        <v>20261</v>
      </c>
      <c r="C2026" s="6">
        <f t="shared" ca="1" si="559"/>
        <v>2026</v>
      </c>
      <c r="D2026" s="6">
        <f t="shared" ca="1" si="560"/>
        <v>1</v>
      </c>
      <c r="E2026" s="68">
        <f ca="1">IFERROR(__xludf.DUMMYFUNCTION("""COMPUTED_VALUE"""),46044.6666666666)</f>
        <v>46044.666666666599</v>
      </c>
      <c r="F2026" s="6">
        <f ca="1">IFERROR(__xludf.DUMMYFUNCTION("""COMPUTED_VALUE"""),6913.35)</f>
        <v>6913.35</v>
      </c>
      <c r="J2026" s="6" t="str">
        <f t="shared" ca="1" si="561"/>
        <v>20261</v>
      </c>
      <c r="K2026" s="6">
        <f t="shared" ca="1" si="562"/>
        <v>2026</v>
      </c>
      <c r="L2026" s="6">
        <f t="shared" ca="1" si="563"/>
        <v>1</v>
      </c>
      <c r="M2026" s="68">
        <f ca="1">IFERROR(__xludf.DUMMYFUNCTION("""COMPUTED_VALUE"""),46037.6666666666)</f>
        <v>46037.666666666599</v>
      </c>
      <c r="N2026" s="6">
        <f ca="1">IFERROR(__xludf.DUMMYFUNCTION("""COMPUTED_VALUE"""),23530.02)</f>
        <v>23530.02</v>
      </c>
      <c r="R2026" s="6" t="str">
        <f t="shared" ca="1" si="564"/>
        <v>20264</v>
      </c>
      <c r="S2026" s="6">
        <f t="shared" ca="1" si="565"/>
        <v>2026</v>
      </c>
      <c r="T2026" s="6">
        <f t="shared" ca="1" si="566"/>
        <v>4</v>
      </c>
      <c r="U2026" s="68">
        <f ca="1">IFERROR(__xludf.DUMMYFUNCTION("""COMPUTED_VALUE"""),46120.6458333333)</f>
        <v>46120.645833333299</v>
      </c>
      <c r="V2026" s="6">
        <f ca="1">IFERROR(__xludf.DUMMYFUNCTION("""COMPUTED_VALUE"""),5872.34)</f>
        <v>5872.34</v>
      </c>
      <c r="Z2026" s="6" t="str">
        <f t="shared" ca="1" si="567"/>
        <v>20239</v>
      </c>
      <c r="AA2026" s="6">
        <f t="shared" ca="1" si="568"/>
        <v>2023</v>
      </c>
      <c r="AB2026" s="6">
        <f t="shared" ca="1" si="569"/>
        <v>9</v>
      </c>
      <c r="AC2026" s="68">
        <f ca="1">IFERROR(__xludf.DUMMYFUNCTION("""COMPUTED_VALUE"""),45175.9986111111)</f>
        <v>45175.998611111099</v>
      </c>
      <c r="AD2026" s="6">
        <f ca="1">IFERROR(__xludf.DUMMYFUNCTION("""COMPUTED_VALUE"""),1333.46)</f>
        <v>1333.46</v>
      </c>
      <c r="AH2026" s="6" t="str">
        <f t="shared" ca="1" si="570"/>
        <v>20237</v>
      </c>
      <c r="AI2026" s="6">
        <f t="shared" ca="1" si="571"/>
        <v>2023</v>
      </c>
      <c r="AJ2026" s="6">
        <f t="shared" ca="1" si="572"/>
        <v>7</v>
      </c>
      <c r="AK2026" s="68">
        <f ca="1">IFERROR(__xludf.DUMMYFUNCTION("""COMPUTED_VALUE"""),45119.9986111111)</f>
        <v>45119.998611111099</v>
      </c>
      <c r="AL2026" s="6">
        <f ca="1">IFERROR(__xludf.DUMMYFUNCTION("""COMPUTED_VALUE"""),30397.57)</f>
        <v>30397.57</v>
      </c>
      <c r="AP2026" s="6" t="str">
        <f t="shared" ca="1" si="573"/>
        <v>20261</v>
      </c>
      <c r="AQ2026" s="6">
        <f t="shared" ca="1" si="574"/>
        <v>2026</v>
      </c>
      <c r="AR2026" s="6">
        <f t="shared" ca="1" si="575"/>
        <v>1</v>
      </c>
      <c r="AS2026" s="68">
        <f ca="1">IFERROR(__xludf.DUMMYFUNCTION("""COMPUTED_VALUE"""),46051.9986111111)</f>
        <v>46051.998611111099</v>
      </c>
      <c r="AT2026" s="6">
        <f ca="1">IFERROR(__xludf.DUMMYFUNCTION("""COMPUTED_VALUE"""),5354.8)</f>
        <v>5354.8</v>
      </c>
    </row>
    <row r="2027" spans="2:46" x14ac:dyDescent="0.35">
      <c r="B2027" s="6" t="str">
        <f t="shared" ca="1" si="558"/>
        <v>20261</v>
      </c>
      <c r="C2027" s="6">
        <f t="shared" ca="1" si="559"/>
        <v>2026</v>
      </c>
      <c r="D2027" s="6">
        <f t="shared" ca="1" si="560"/>
        <v>1</v>
      </c>
      <c r="E2027" s="68">
        <f ca="1">IFERROR(__xludf.DUMMYFUNCTION("""COMPUTED_VALUE"""),46045.6666666666)</f>
        <v>46045.666666666599</v>
      </c>
      <c r="F2027" s="6">
        <f ca="1">IFERROR(__xludf.DUMMYFUNCTION("""COMPUTED_VALUE"""),6915.61)</f>
        <v>6915.61</v>
      </c>
      <c r="J2027" s="6" t="str">
        <f t="shared" ca="1" si="561"/>
        <v>20261</v>
      </c>
      <c r="K2027" s="6">
        <f t="shared" ca="1" si="562"/>
        <v>2026</v>
      </c>
      <c r="L2027" s="6">
        <f t="shared" ca="1" si="563"/>
        <v>1</v>
      </c>
      <c r="M2027" s="68">
        <f ca="1">IFERROR(__xludf.DUMMYFUNCTION("""COMPUTED_VALUE"""),46038.6666666666)</f>
        <v>46038.666666666599</v>
      </c>
      <c r="N2027" s="6">
        <f ca="1">IFERROR(__xludf.DUMMYFUNCTION("""COMPUTED_VALUE"""),23515.39)</f>
        <v>23515.39</v>
      </c>
      <c r="R2027" s="6" t="str">
        <f t="shared" ca="1" si="564"/>
        <v>20264</v>
      </c>
      <c r="S2027" s="6">
        <f t="shared" ca="1" si="565"/>
        <v>2026</v>
      </c>
      <c r="T2027" s="6">
        <f t="shared" ca="1" si="566"/>
        <v>4</v>
      </c>
      <c r="U2027" s="68">
        <f ca="1">IFERROR(__xludf.DUMMYFUNCTION("""COMPUTED_VALUE"""),46121.6458333333)</f>
        <v>46121.645833333299</v>
      </c>
      <c r="V2027" s="6">
        <f ca="1">IFERROR(__xludf.DUMMYFUNCTION("""COMPUTED_VALUE"""),5778.01)</f>
        <v>5778.01</v>
      </c>
      <c r="Z2027" s="6" t="str">
        <f t="shared" ca="1" si="567"/>
        <v>20239</v>
      </c>
      <c r="AA2027" s="6">
        <f t="shared" ca="1" si="568"/>
        <v>2023</v>
      </c>
      <c r="AB2027" s="6">
        <f t="shared" ca="1" si="569"/>
        <v>9</v>
      </c>
      <c r="AC2027" s="68">
        <f ca="1">IFERROR(__xludf.DUMMYFUNCTION("""COMPUTED_VALUE"""),45176.9986111111)</f>
        <v>45176.998611111099</v>
      </c>
      <c r="AD2027" s="6">
        <f ca="1">IFERROR(__xludf.DUMMYFUNCTION("""COMPUTED_VALUE"""),1334.02)</f>
        <v>1334.02</v>
      </c>
      <c r="AH2027" s="6" t="str">
        <f t="shared" ca="1" si="570"/>
        <v>20237</v>
      </c>
      <c r="AI2027" s="6">
        <f t="shared" ca="1" si="571"/>
        <v>2023</v>
      </c>
      <c r="AJ2027" s="6">
        <f t="shared" ca="1" si="572"/>
        <v>7</v>
      </c>
      <c r="AK2027" s="68">
        <f ca="1">IFERROR(__xludf.DUMMYFUNCTION("""COMPUTED_VALUE"""),45120.9986111111)</f>
        <v>45120.998611111099</v>
      </c>
      <c r="AL2027" s="6">
        <f ca="1">IFERROR(__xludf.DUMMYFUNCTION("""COMPUTED_VALUE"""),31470.53)</f>
        <v>31470.53</v>
      </c>
      <c r="AP2027" s="6" t="str">
        <f t="shared" ca="1" si="573"/>
        <v>20261</v>
      </c>
      <c r="AQ2027" s="6">
        <f t="shared" ca="1" si="574"/>
        <v>2026</v>
      </c>
      <c r="AR2027" s="6">
        <f t="shared" ca="1" si="575"/>
        <v>1</v>
      </c>
      <c r="AS2027" s="68">
        <f ca="1">IFERROR(__xludf.DUMMYFUNCTION("""COMPUTED_VALUE"""),46052.9986111111)</f>
        <v>46052.998611111099</v>
      </c>
      <c r="AT2027" s="6">
        <f ca="1">IFERROR(__xludf.DUMMYFUNCTION("""COMPUTED_VALUE"""),4745.1)</f>
        <v>4745.1000000000004</v>
      </c>
    </row>
    <row r="2028" spans="2:46" x14ac:dyDescent="0.35">
      <c r="B2028" s="6" t="str">
        <f t="shared" ca="1" si="558"/>
        <v>20261</v>
      </c>
      <c r="C2028" s="6">
        <f t="shared" ca="1" si="559"/>
        <v>2026</v>
      </c>
      <c r="D2028" s="6">
        <f t="shared" ca="1" si="560"/>
        <v>1</v>
      </c>
      <c r="E2028" s="68">
        <f ca="1">IFERROR(__xludf.DUMMYFUNCTION("""COMPUTED_VALUE"""),46048.6666666666)</f>
        <v>46048.666666666599</v>
      </c>
      <c r="F2028" s="6">
        <f ca="1">IFERROR(__xludf.DUMMYFUNCTION("""COMPUTED_VALUE"""),6950.23)</f>
        <v>6950.23</v>
      </c>
      <c r="J2028" s="6" t="str">
        <f t="shared" ca="1" si="561"/>
        <v>20261</v>
      </c>
      <c r="K2028" s="6">
        <f t="shared" ca="1" si="562"/>
        <v>2026</v>
      </c>
      <c r="L2028" s="6">
        <f t="shared" ca="1" si="563"/>
        <v>1</v>
      </c>
      <c r="M2028" s="68">
        <f ca="1">IFERROR(__xludf.DUMMYFUNCTION("""COMPUTED_VALUE"""),46042.6666666666)</f>
        <v>46042.666666666599</v>
      </c>
      <c r="N2028" s="6">
        <f ca="1">IFERROR(__xludf.DUMMYFUNCTION("""COMPUTED_VALUE"""),22954.32)</f>
        <v>22954.32</v>
      </c>
      <c r="R2028" s="6" t="str">
        <f t="shared" ca="1" si="564"/>
        <v>20264</v>
      </c>
      <c r="S2028" s="6">
        <f t="shared" ca="1" si="565"/>
        <v>2026</v>
      </c>
      <c r="T2028" s="6">
        <f t="shared" ca="1" si="566"/>
        <v>4</v>
      </c>
      <c r="U2028" s="68">
        <f ca="1">IFERROR(__xludf.DUMMYFUNCTION("""COMPUTED_VALUE"""),46122.6458333333)</f>
        <v>46122.645833333299</v>
      </c>
      <c r="V2028" s="6">
        <f ca="1">IFERROR(__xludf.DUMMYFUNCTION("""COMPUTED_VALUE"""),5858.87)</f>
        <v>5858.87</v>
      </c>
      <c r="Z2028" s="6" t="str">
        <f t="shared" ca="1" si="567"/>
        <v>20239</v>
      </c>
      <c r="AA2028" s="6">
        <f t="shared" ca="1" si="568"/>
        <v>2023</v>
      </c>
      <c r="AB2028" s="6">
        <f t="shared" ca="1" si="569"/>
        <v>9</v>
      </c>
      <c r="AC2028" s="68">
        <f ca="1">IFERROR(__xludf.DUMMYFUNCTION("""COMPUTED_VALUE"""),45177.9986111111)</f>
        <v>45177.998611111099</v>
      </c>
      <c r="AD2028" s="6">
        <f ca="1">IFERROR(__xludf.DUMMYFUNCTION("""COMPUTED_VALUE"""),1335.36)</f>
        <v>1335.36</v>
      </c>
      <c r="AH2028" s="6" t="str">
        <f t="shared" ca="1" si="570"/>
        <v>20237</v>
      </c>
      <c r="AI2028" s="6">
        <f t="shared" ca="1" si="571"/>
        <v>2023</v>
      </c>
      <c r="AJ2028" s="6">
        <f t="shared" ca="1" si="572"/>
        <v>7</v>
      </c>
      <c r="AK2028" s="68">
        <f ca="1">IFERROR(__xludf.DUMMYFUNCTION("""COMPUTED_VALUE"""),45121.9986111111)</f>
        <v>45121.998611111099</v>
      </c>
      <c r="AL2028" s="6">
        <f ca="1">IFERROR(__xludf.DUMMYFUNCTION("""COMPUTED_VALUE"""),30345.3)</f>
        <v>30345.3</v>
      </c>
      <c r="AP2028" s="6" t="str">
        <f t="shared" ca="1" si="573"/>
        <v>20262</v>
      </c>
      <c r="AQ2028" s="6">
        <f t="shared" ca="1" si="574"/>
        <v>2026</v>
      </c>
      <c r="AR2028" s="6">
        <f t="shared" ca="1" si="575"/>
        <v>2</v>
      </c>
      <c r="AS2028" s="68">
        <f ca="1">IFERROR(__xludf.DUMMYFUNCTION("""COMPUTED_VALUE"""),46055.9986111111)</f>
        <v>46055.998611111099</v>
      </c>
      <c r="AT2028" s="6">
        <f ca="1">IFERROR(__xludf.DUMMYFUNCTION("""COMPUTED_VALUE"""),4652.6)</f>
        <v>4652.6000000000004</v>
      </c>
    </row>
    <row r="2029" spans="2:46" x14ac:dyDescent="0.35">
      <c r="B2029" s="6" t="str">
        <f t="shared" ca="1" si="558"/>
        <v>20261</v>
      </c>
      <c r="C2029" s="6">
        <f t="shared" ca="1" si="559"/>
        <v>2026</v>
      </c>
      <c r="D2029" s="6">
        <f t="shared" ca="1" si="560"/>
        <v>1</v>
      </c>
      <c r="E2029" s="68">
        <f ca="1">IFERROR(__xludf.DUMMYFUNCTION("""COMPUTED_VALUE"""),46049.6666666666)</f>
        <v>46049.666666666599</v>
      </c>
      <c r="F2029" s="6">
        <f ca="1">IFERROR(__xludf.DUMMYFUNCTION("""COMPUTED_VALUE"""),6978.6)</f>
        <v>6978.6</v>
      </c>
      <c r="J2029" s="6" t="str">
        <f t="shared" ca="1" si="561"/>
        <v>20261</v>
      </c>
      <c r="K2029" s="6">
        <f t="shared" ca="1" si="562"/>
        <v>2026</v>
      </c>
      <c r="L2029" s="6">
        <f t="shared" ca="1" si="563"/>
        <v>1</v>
      </c>
      <c r="M2029" s="68">
        <f ca="1">IFERROR(__xludf.DUMMYFUNCTION("""COMPUTED_VALUE"""),46043.6666666666)</f>
        <v>46043.666666666599</v>
      </c>
      <c r="N2029" s="6">
        <f ca="1">IFERROR(__xludf.DUMMYFUNCTION("""COMPUTED_VALUE"""),23224.83)</f>
        <v>23224.83</v>
      </c>
      <c r="R2029" s="6" t="str">
        <f t="shared" ca="1" si="564"/>
        <v>20264</v>
      </c>
      <c r="S2029" s="6">
        <f t="shared" ca="1" si="565"/>
        <v>2026</v>
      </c>
      <c r="T2029" s="6">
        <f t="shared" ca="1" si="566"/>
        <v>4</v>
      </c>
      <c r="U2029" s="68">
        <f ca="1">IFERROR(__xludf.DUMMYFUNCTION("""COMPUTED_VALUE"""),46125.6458333333)</f>
        <v>46125.645833333299</v>
      </c>
      <c r="V2029" s="6">
        <f ca="1">IFERROR(__xludf.DUMMYFUNCTION("""COMPUTED_VALUE"""),5808.62)</f>
        <v>5808.62</v>
      </c>
      <c r="Z2029" s="6" t="str">
        <f t="shared" ca="1" si="567"/>
        <v>20239</v>
      </c>
      <c r="AA2029" s="6">
        <f t="shared" ca="1" si="568"/>
        <v>2023</v>
      </c>
      <c r="AB2029" s="6">
        <f t="shared" ca="1" si="569"/>
        <v>9</v>
      </c>
      <c r="AC2029" s="68">
        <f ca="1">IFERROR(__xludf.DUMMYFUNCTION("""COMPUTED_VALUE"""),45178.9986111111)</f>
        <v>45178.998611111099</v>
      </c>
      <c r="AD2029" s="6">
        <f ca="1">IFERROR(__xludf.DUMMYFUNCTION("""COMPUTED_VALUE"""),1335.36)</f>
        <v>1335.36</v>
      </c>
      <c r="AH2029" s="6" t="str">
        <f t="shared" ca="1" si="570"/>
        <v>20237</v>
      </c>
      <c r="AI2029" s="6">
        <f t="shared" ca="1" si="571"/>
        <v>2023</v>
      </c>
      <c r="AJ2029" s="6">
        <f t="shared" ca="1" si="572"/>
        <v>7</v>
      </c>
      <c r="AK2029" s="68">
        <f ca="1">IFERROR(__xludf.DUMMYFUNCTION("""COMPUTED_VALUE"""),45122.9986111111)</f>
        <v>45122.998611111099</v>
      </c>
      <c r="AL2029" s="6">
        <f ca="1">IFERROR(__xludf.DUMMYFUNCTION("""COMPUTED_VALUE"""),30330.87)</f>
        <v>30330.87</v>
      </c>
      <c r="AP2029" s="6" t="str">
        <f t="shared" ca="1" si="573"/>
        <v>20262</v>
      </c>
      <c r="AQ2029" s="6">
        <f t="shared" ca="1" si="574"/>
        <v>2026</v>
      </c>
      <c r="AR2029" s="6">
        <f t="shared" ca="1" si="575"/>
        <v>2</v>
      </c>
      <c r="AS2029" s="68">
        <f ca="1">IFERROR(__xludf.DUMMYFUNCTION("""COMPUTED_VALUE"""),46056.9986111111)</f>
        <v>46056.998611111099</v>
      </c>
      <c r="AT2029" s="6">
        <f ca="1">IFERROR(__xludf.DUMMYFUNCTION("""COMPUTED_VALUE"""),4935)</f>
        <v>4935</v>
      </c>
    </row>
    <row r="2030" spans="2:46" x14ac:dyDescent="0.35">
      <c r="B2030" s="6" t="str">
        <f t="shared" ca="1" si="558"/>
        <v>20261</v>
      </c>
      <c r="C2030" s="6">
        <f t="shared" ca="1" si="559"/>
        <v>2026</v>
      </c>
      <c r="D2030" s="6">
        <f t="shared" ca="1" si="560"/>
        <v>1</v>
      </c>
      <c r="E2030" s="68">
        <f ca="1">IFERROR(__xludf.DUMMYFUNCTION("""COMPUTED_VALUE"""),46050.6666666666)</f>
        <v>46050.666666666599</v>
      </c>
      <c r="F2030" s="6">
        <f ca="1">IFERROR(__xludf.DUMMYFUNCTION("""COMPUTED_VALUE"""),6978.03)</f>
        <v>6978.03</v>
      </c>
      <c r="J2030" s="6" t="str">
        <f t="shared" ca="1" si="561"/>
        <v>20261</v>
      </c>
      <c r="K2030" s="6">
        <f t="shared" ca="1" si="562"/>
        <v>2026</v>
      </c>
      <c r="L2030" s="6">
        <f t="shared" ca="1" si="563"/>
        <v>1</v>
      </c>
      <c r="M2030" s="68">
        <f ca="1">IFERROR(__xludf.DUMMYFUNCTION("""COMPUTED_VALUE"""),46044.6666666666)</f>
        <v>46044.666666666599</v>
      </c>
      <c r="N2030" s="6">
        <f ca="1">IFERROR(__xludf.DUMMYFUNCTION("""COMPUTED_VALUE"""),23436.02)</f>
        <v>23436.02</v>
      </c>
      <c r="R2030" s="6" t="str">
        <f t="shared" ca="1" si="564"/>
        <v>20264</v>
      </c>
      <c r="S2030" s="6">
        <f t="shared" ca="1" si="565"/>
        <v>2026</v>
      </c>
      <c r="T2030" s="6">
        <f t="shared" ca="1" si="566"/>
        <v>4</v>
      </c>
      <c r="U2030" s="68">
        <f ca="1">IFERROR(__xludf.DUMMYFUNCTION("""COMPUTED_VALUE"""),46126.6458333333)</f>
        <v>46126.645833333299</v>
      </c>
      <c r="V2030" s="6">
        <f ca="1">IFERROR(__xludf.DUMMYFUNCTION("""COMPUTED_VALUE"""),5967.75)</f>
        <v>5967.75</v>
      </c>
      <c r="Z2030" s="6" t="str">
        <f t="shared" ca="1" si="567"/>
        <v>20239</v>
      </c>
      <c r="AA2030" s="6">
        <f t="shared" ca="1" si="568"/>
        <v>2023</v>
      </c>
      <c r="AB2030" s="6">
        <f t="shared" ca="1" si="569"/>
        <v>9</v>
      </c>
      <c r="AC2030" s="68">
        <f ca="1">IFERROR(__xludf.DUMMYFUNCTION("""COMPUTED_VALUE"""),45179.9986111111)</f>
        <v>45179.998611111099</v>
      </c>
      <c r="AD2030" s="6">
        <f ca="1">IFERROR(__xludf.DUMMYFUNCTION("""COMPUTED_VALUE"""),1335.32)</f>
        <v>1335.32</v>
      </c>
      <c r="AH2030" s="6" t="str">
        <f t="shared" ca="1" si="570"/>
        <v>20237</v>
      </c>
      <c r="AI2030" s="6">
        <f t="shared" ca="1" si="571"/>
        <v>2023</v>
      </c>
      <c r="AJ2030" s="6">
        <f t="shared" ca="1" si="572"/>
        <v>7</v>
      </c>
      <c r="AK2030" s="68">
        <f ca="1">IFERROR(__xludf.DUMMYFUNCTION("""COMPUTED_VALUE"""),45123.9986111111)</f>
        <v>45123.998611111099</v>
      </c>
      <c r="AL2030" s="6">
        <f ca="1">IFERROR(__xludf.DUMMYFUNCTION("""COMPUTED_VALUE"""),30262.35)</f>
        <v>30262.35</v>
      </c>
      <c r="AP2030" s="6" t="str">
        <f t="shared" ca="1" si="573"/>
        <v>20262</v>
      </c>
      <c r="AQ2030" s="6">
        <f t="shared" ca="1" si="574"/>
        <v>2026</v>
      </c>
      <c r="AR2030" s="6">
        <f t="shared" ca="1" si="575"/>
        <v>2</v>
      </c>
      <c r="AS2030" s="68">
        <f ca="1">IFERROR(__xludf.DUMMYFUNCTION("""COMPUTED_VALUE"""),46057.9986111111)</f>
        <v>46057.998611111099</v>
      </c>
      <c r="AT2030" s="6">
        <f ca="1">IFERROR(__xludf.DUMMYFUNCTION("""COMPUTED_VALUE"""),4950.8)</f>
        <v>4950.8</v>
      </c>
    </row>
    <row r="2031" spans="2:46" x14ac:dyDescent="0.35">
      <c r="B2031" s="6" t="str">
        <f t="shared" ca="1" si="558"/>
        <v>20261</v>
      </c>
      <c r="C2031" s="6">
        <f t="shared" ca="1" si="559"/>
        <v>2026</v>
      </c>
      <c r="D2031" s="6">
        <f t="shared" ca="1" si="560"/>
        <v>1</v>
      </c>
      <c r="E2031" s="68">
        <f ca="1">IFERROR(__xludf.DUMMYFUNCTION("""COMPUTED_VALUE"""),46051.6666666666)</f>
        <v>46051.666666666599</v>
      </c>
      <c r="F2031" s="6">
        <f ca="1">IFERROR(__xludf.DUMMYFUNCTION("""COMPUTED_VALUE"""),6969.01)</f>
        <v>6969.01</v>
      </c>
      <c r="J2031" s="6" t="str">
        <f t="shared" ca="1" si="561"/>
        <v>20261</v>
      </c>
      <c r="K2031" s="6">
        <f t="shared" ca="1" si="562"/>
        <v>2026</v>
      </c>
      <c r="L2031" s="6">
        <f t="shared" ca="1" si="563"/>
        <v>1</v>
      </c>
      <c r="M2031" s="68">
        <f ca="1">IFERROR(__xludf.DUMMYFUNCTION("""COMPUTED_VALUE"""),46045.6666666666)</f>
        <v>46045.666666666599</v>
      </c>
      <c r="N2031" s="6">
        <f ca="1">IFERROR(__xludf.DUMMYFUNCTION("""COMPUTED_VALUE"""),23501.24)</f>
        <v>23501.24</v>
      </c>
      <c r="R2031" s="6" t="str">
        <f t="shared" ca="1" si="564"/>
        <v>20264</v>
      </c>
      <c r="S2031" s="6">
        <f t="shared" ca="1" si="565"/>
        <v>2026</v>
      </c>
      <c r="T2031" s="6">
        <f t="shared" ca="1" si="566"/>
        <v>4</v>
      </c>
      <c r="U2031" s="68">
        <f ca="1">IFERROR(__xludf.DUMMYFUNCTION("""COMPUTED_VALUE"""),46127.6458333333)</f>
        <v>46127.645833333299</v>
      </c>
      <c r="V2031" s="6">
        <f ca="1">IFERROR(__xludf.DUMMYFUNCTION("""COMPUTED_VALUE"""),6091.39)</f>
        <v>6091.39</v>
      </c>
      <c r="Z2031" s="6" t="str">
        <f t="shared" ca="1" si="567"/>
        <v>20239</v>
      </c>
      <c r="AA2031" s="6">
        <f t="shared" ca="1" si="568"/>
        <v>2023</v>
      </c>
      <c r="AB2031" s="6">
        <f t="shared" ca="1" si="569"/>
        <v>9</v>
      </c>
      <c r="AC2031" s="68">
        <f ca="1">IFERROR(__xludf.DUMMYFUNCTION("""COMPUTED_VALUE"""),45180.9986111111)</f>
        <v>45180.998611111099</v>
      </c>
      <c r="AD2031" s="6">
        <f ca="1">IFERROR(__xludf.DUMMYFUNCTION("""COMPUTED_VALUE"""),1320.44)</f>
        <v>1320.44</v>
      </c>
      <c r="AH2031" s="6" t="str">
        <f t="shared" ca="1" si="570"/>
        <v>20237</v>
      </c>
      <c r="AI2031" s="6">
        <f t="shared" ca="1" si="571"/>
        <v>2023</v>
      </c>
      <c r="AJ2031" s="6">
        <f t="shared" ca="1" si="572"/>
        <v>7</v>
      </c>
      <c r="AK2031" s="68">
        <f ca="1">IFERROR(__xludf.DUMMYFUNCTION("""COMPUTED_VALUE"""),45124.9986111111)</f>
        <v>45124.998611111099</v>
      </c>
      <c r="AL2031" s="6">
        <f ca="1">IFERROR(__xludf.DUMMYFUNCTION("""COMPUTED_VALUE"""),30157.59)</f>
        <v>30157.59</v>
      </c>
      <c r="AP2031" s="6" t="str">
        <f t="shared" ca="1" si="573"/>
        <v>20262</v>
      </c>
      <c r="AQ2031" s="6">
        <f t="shared" ca="1" si="574"/>
        <v>2026</v>
      </c>
      <c r="AR2031" s="6">
        <f t="shared" ca="1" si="575"/>
        <v>2</v>
      </c>
      <c r="AS2031" s="68">
        <f ca="1">IFERROR(__xludf.DUMMYFUNCTION("""COMPUTED_VALUE"""),46058.9986111111)</f>
        <v>46058.998611111099</v>
      </c>
      <c r="AT2031" s="6">
        <f ca="1">IFERROR(__xludf.DUMMYFUNCTION("""COMPUTED_VALUE"""),4889.5)</f>
        <v>4889.5</v>
      </c>
    </row>
    <row r="2032" spans="2:46" x14ac:dyDescent="0.35">
      <c r="B2032" s="6" t="str">
        <f t="shared" ca="1" si="558"/>
        <v>20261</v>
      </c>
      <c r="C2032" s="6">
        <f t="shared" ca="1" si="559"/>
        <v>2026</v>
      </c>
      <c r="D2032" s="6">
        <f t="shared" ca="1" si="560"/>
        <v>1</v>
      </c>
      <c r="E2032" s="68">
        <f ca="1">IFERROR(__xludf.DUMMYFUNCTION("""COMPUTED_VALUE"""),46052.6666666666)</f>
        <v>46052.666666666599</v>
      </c>
      <c r="F2032" s="6">
        <f ca="1">IFERROR(__xludf.DUMMYFUNCTION("""COMPUTED_VALUE"""),6939.03)</f>
        <v>6939.03</v>
      </c>
      <c r="J2032" s="6" t="str">
        <f t="shared" ca="1" si="561"/>
        <v>20261</v>
      </c>
      <c r="K2032" s="6">
        <f t="shared" ca="1" si="562"/>
        <v>2026</v>
      </c>
      <c r="L2032" s="6">
        <f t="shared" ca="1" si="563"/>
        <v>1</v>
      </c>
      <c r="M2032" s="68">
        <f ca="1">IFERROR(__xludf.DUMMYFUNCTION("""COMPUTED_VALUE"""),46048.6666666666)</f>
        <v>46048.666666666599</v>
      </c>
      <c r="N2032" s="6">
        <f ca="1">IFERROR(__xludf.DUMMYFUNCTION("""COMPUTED_VALUE"""),23601.36)</f>
        <v>23601.360000000001</v>
      </c>
      <c r="R2032" s="6" t="str">
        <f t="shared" ca="1" si="564"/>
        <v>20264</v>
      </c>
      <c r="S2032" s="6">
        <f t="shared" ca="1" si="565"/>
        <v>2026</v>
      </c>
      <c r="T2032" s="6">
        <f t="shared" ca="1" si="566"/>
        <v>4</v>
      </c>
      <c r="U2032" s="68">
        <f ca="1">IFERROR(__xludf.DUMMYFUNCTION("""COMPUTED_VALUE"""),46128.6458333333)</f>
        <v>46128.645833333299</v>
      </c>
      <c r="V2032" s="6">
        <f ca="1">IFERROR(__xludf.DUMMYFUNCTION("""COMPUTED_VALUE"""),6226.05)</f>
        <v>6226.05</v>
      </c>
      <c r="Z2032" s="6" t="str">
        <f t="shared" ca="1" si="567"/>
        <v>20239</v>
      </c>
      <c r="AA2032" s="6">
        <f t="shared" ca="1" si="568"/>
        <v>2023</v>
      </c>
      <c r="AB2032" s="6">
        <f t="shared" ca="1" si="569"/>
        <v>9</v>
      </c>
      <c r="AC2032" s="68">
        <f ca="1">IFERROR(__xludf.DUMMYFUNCTION("""COMPUTED_VALUE"""),45181.9986111111)</f>
        <v>45181.998611111099</v>
      </c>
      <c r="AD2032" s="6">
        <f ca="1">IFERROR(__xludf.DUMMYFUNCTION("""COMPUTED_VALUE"""),1324.1)</f>
        <v>1324.1</v>
      </c>
      <c r="AH2032" s="6" t="str">
        <f t="shared" ca="1" si="570"/>
        <v>20237</v>
      </c>
      <c r="AI2032" s="6">
        <f t="shared" ca="1" si="571"/>
        <v>2023</v>
      </c>
      <c r="AJ2032" s="6">
        <f t="shared" ca="1" si="572"/>
        <v>7</v>
      </c>
      <c r="AK2032" s="68">
        <f ca="1">IFERROR(__xludf.DUMMYFUNCTION("""COMPUTED_VALUE"""),45125.9986111111)</f>
        <v>45125.998611111099</v>
      </c>
      <c r="AL2032" s="6">
        <f ca="1">IFERROR(__xludf.DUMMYFUNCTION("""COMPUTED_VALUE"""),29878.96)</f>
        <v>29878.959999999999</v>
      </c>
      <c r="AP2032" s="6" t="str">
        <f t="shared" ca="1" si="573"/>
        <v>20262</v>
      </c>
      <c r="AQ2032" s="6">
        <f t="shared" ca="1" si="574"/>
        <v>2026</v>
      </c>
      <c r="AR2032" s="6">
        <f t="shared" ca="1" si="575"/>
        <v>2</v>
      </c>
      <c r="AS2032" s="68">
        <f ca="1">IFERROR(__xludf.DUMMYFUNCTION("""COMPUTED_VALUE"""),46059.9986111111)</f>
        <v>46059.998611111099</v>
      </c>
      <c r="AT2032" s="6">
        <f ca="1">IFERROR(__xludf.DUMMYFUNCTION("""COMPUTED_VALUE"""),4979.8)</f>
        <v>4979.8</v>
      </c>
    </row>
    <row r="2033" spans="2:46" x14ac:dyDescent="0.35">
      <c r="B2033" s="6" t="str">
        <f t="shared" ca="1" si="558"/>
        <v>20262</v>
      </c>
      <c r="C2033" s="6">
        <f t="shared" ca="1" si="559"/>
        <v>2026</v>
      </c>
      <c r="D2033" s="6">
        <f t="shared" ca="1" si="560"/>
        <v>2</v>
      </c>
      <c r="E2033" s="68">
        <f ca="1">IFERROR(__xludf.DUMMYFUNCTION("""COMPUTED_VALUE"""),46055.6666666666)</f>
        <v>46055.666666666599</v>
      </c>
      <c r="F2033" s="6">
        <f ca="1">IFERROR(__xludf.DUMMYFUNCTION("""COMPUTED_VALUE"""),6976.44)</f>
        <v>6976.44</v>
      </c>
      <c r="J2033" s="6" t="str">
        <f t="shared" ca="1" si="561"/>
        <v>20261</v>
      </c>
      <c r="K2033" s="6">
        <f t="shared" ca="1" si="562"/>
        <v>2026</v>
      </c>
      <c r="L2033" s="6">
        <f t="shared" ca="1" si="563"/>
        <v>1</v>
      </c>
      <c r="M2033" s="68">
        <f ca="1">IFERROR(__xludf.DUMMYFUNCTION("""COMPUTED_VALUE"""),46049.6666666666)</f>
        <v>46049.666666666599</v>
      </c>
      <c r="N2033" s="6">
        <f ca="1">IFERROR(__xludf.DUMMYFUNCTION("""COMPUTED_VALUE"""),23817.1)</f>
        <v>23817.1</v>
      </c>
      <c r="R2033" s="6" t="str">
        <f t="shared" ca="1" si="564"/>
        <v>20264</v>
      </c>
      <c r="S2033" s="6">
        <f t="shared" ca="1" si="565"/>
        <v>2026</v>
      </c>
      <c r="T2033" s="6">
        <f t="shared" ca="1" si="566"/>
        <v>4</v>
      </c>
      <c r="U2033" s="68">
        <f ca="1">IFERROR(__xludf.DUMMYFUNCTION("""COMPUTED_VALUE"""),46129.6458333333)</f>
        <v>46129.645833333299</v>
      </c>
      <c r="V2033" s="6">
        <f ca="1">IFERROR(__xludf.DUMMYFUNCTION("""COMPUTED_VALUE"""),6191.92)</f>
        <v>6191.92</v>
      </c>
      <c r="Z2033" s="6" t="str">
        <f t="shared" ca="1" si="567"/>
        <v>20239</v>
      </c>
      <c r="AA2033" s="6">
        <f t="shared" ca="1" si="568"/>
        <v>2023</v>
      </c>
      <c r="AB2033" s="6">
        <f t="shared" ca="1" si="569"/>
        <v>9</v>
      </c>
      <c r="AC2033" s="68">
        <f ca="1">IFERROR(__xludf.DUMMYFUNCTION("""COMPUTED_VALUE"""),45182.9986111111)</f>
        <v>45182.998611111099</v>
      </c>
      <c r="AD2033" s="6">
        <f ca="1">IFERROR(__xludf.DUMMYFUNCTION("""COMPUTED_VALUE"""),1329.77)</f>
        <v>1329.77</v>
      </c>
      <c r="AH2033" s="6" t="str">
        <f t="shared" ca="1" si="570"/>
        <v>20237</v>
      </c>
      <c r="AI2033" s="6">
        <f t="shared" ca="1" si="571"/>
        <v>2023</v>
      </c>
      <c r="AJ2033" s="6">
        <f t="shared" ca="1" si="572"/>
        <v>7</v>
      </c>
      <c r="AK2033" s="68">
        <f ca="1">IFERROR(__xludf.DUMMYFUNCTION("""COMPUTED_VALUE"""),45126.9986111111)</f>
        <v>45126.998611111099</v>
      </c>
      <c r="AL2033" s="6">
        <f ca="1">IFERROR(__xludf.DUMMYFUNCTION("""COMPUTED_VALUE"""),29926.23)</f>
        <v>29926.23</v>
      </c>
      <c r="AP2033" s="6" t="str">
        <f t="shared" ca="1" si="573"/>
        <v>20262</v>
      </c>
      <c r="AQ2033" s="6">
        <f t="shared" ca="1" si="574"/>
        <v>2026</v>
      </c>
      <c r="AR2033" s="6">
        <f t="shared" ca="1" si="575"/>
        <v>2</v>
      </c>
      <c r="AS2033" s="68">
        <f ca="1">IFERROR(__xludf.DUMMYFUNCTION("""COMPUTED_VALUE"""),46062.9986111111)</f>
        <v>46062.998611111099</v>
      </c>
      <c r="AT2033" s="6">
        <f ca="1">IFERROR(__xludf.DUMMYFUNCTION("""COMPUTED_VALUE"""),5079.4)</f>
        <v>5079.3999999999996</v>
      </c>
    </row>
    <row r="2034" spans="2:46" x14ac:dyDescent="0.35">
      <c r="B2034" s="6" t="str">
        <f t="shared" ca="1" si="558"/>
        <v>20262</v>
      </c>
      <c r="C2034" s="6">
        <f t="shared" ca="1" si="559"/>
        <v>2026</v>
      </c>
      <c r="D2034" s="6">
        <f t="shared" ca="1" si="560"/>
        <v>2</v>
      </c>
      <c r="E2034" s="68">
        <f ca="1">IFERROR(__xludf.DUMMYFUNCTION("""COMPUTED_VALUE"""),46056.6666666666)</f>
        <v>46056.666666666599</v>
      </c>
      <c r="F2034" s="6">
        <f ca="1">IFERROR(__xludf.DUMMYFUNCTION("""COMPUTED_VALUE"""),6917.81)</f>
        <v>6917.81</v>
      </c>
      <c r="J2034" s="6" t="str">
        <f t="shared" ca="1" si="561"/>
        <v>20261</v>
      </c>
      <c r="K2034" s="6">
        <f t="shared" ca="1" si="562"/>
        <v>2026</v>
      </c>
      <c r="L2034" s="6">
        <f t="shared" ca="1" si="563"/>
        <v>1</v>
      </c>
      <c r="M2034" s="68">
        <f ca="1">IFERROR(__xludf.DUMMYFUNCTION("""COMPUTED_VALUE"""),46050.6666666666)</f>
        <v>46050.666666666599</v>
      </c>
      <c r="N2034" s="6">
        <f ca="1">IFERROR(__xludf.DUMMYFUNCTION("""COMPUTED_VALUE"""),23857.45)</f>
        <v>23857.45</v>
      </c>
      <c r="R2034" s="6" t="str">
        <f t="shared" ca="1" si="564"/>
        <v>20264</v>
      </c>
      <c r="S2034" s="6">
        <f t="shared" ca="1" si="565"/>
        <v>2026</v>
      </c>
      <c r="T2034" s="6">
        <f t="shared" ca="1" si="566"/>
        <v>4</v>
      </c>
      <c r="U2034" s="68">
        <f ca="1">IFERROR(__xludf.DUMMYFUNCTION("""COMPUTED_VALUE"""),46132.6458333333)</f>
        <v>46132.645833333299</v>
      </c>
      <c r="V2034" s="6">
        <f ca="1">IFERROR(__xludf.DUMMYFUNCTION("""COMPUTED_VALUE"""),6219.09)</f>
        <v>6219.09</v>
      </c>
      <c r="Z2034" s="6" t="str">
        <f t="shared" ca="1" si="567"/>
        <v>20239</v>
      </c>
      <c r="AA2034" s="6">
        <f t="shared" ca="1" si="568"/>
        <v>2023</v>
      </c>
      <c r="AB2034" s="6">
        <f t="shared" ca="1" si="569"/>
        <v>9</v>
      </c>
      <c r="AC2034" s="68">
        <f ca="1">IFERROR(__xludf.DUMMYFUNCTION("""COMPUTED_VALUE"""),45183.9986111111)</f>
        <v>45183.998611111099</v>
      </c>
      <c r="AD2034" s="6">
        <f ca="1">IFERROR(__xludf.DUMMYFUNCTION("""COMPUTED_VALUE"""),1327.06)</f>
        <v>1327.06</v>
      </c>
      <c r="AH2034" s="6" t="str">
        <f t="shared" ca="1" si="570"/>
        <v>20237</v>
      </c>
      <c r="AI2034" s="6">
        <f t="shared" ca="1" si="571"/>
        <v>2023</v>
      </c>
      <c r="AJ2034" s="6">
        <f t="shared" ca="1" si="572"/>
        <v>7</v>
      </c>
      <c r="AK2034" s="68">
        <f ca="1">IFERROR(__xludf.DUMMYFUNCTION("""COMPUTED_VALUE"""),45127.9986111111)</f>
        <v>45127.998611111099</v>
      </c>
      <c r="AL2034" s="6">
        <f ca="1">IFERROR(__xludf.DUMMYFUNCTION("""COMPUTED_VALUE"""),29812.25)</f>
        <v>29812.25</v>
      </c>
      <c r="AP2034" s="6" t="str">
        <f t="shared" ca="1" si="573"/>
        <v>20262</v>
      </c>
      <c r="AQ2034" s="6">
        <f t="shared" ca="1" si="574"/>
        <v>2026</v>
      </c>
      <c r="AR2034" s="6">
        <f t="shared" ca="1" si="575"/>
        <v>2</v>
      </c>
      <c r="AS2034" s="68">
        <f ca="1">IFERROR(__xludf.DUMMYFUNCTION("""COMPUTED_VALUE"""),46063.9986111111)</f>
        <v>46063.998611111099</v>
      </c>
      <c r="AT2034" s="6">
        <f ca="1">IFERROR(__xludf.DUMMYFUNCTION("""COMPUTED_VALUE"""),5031)</f>
        <v>5031</v>
      </c>
    </row>
    <row r="2035" spans="2:46" x14ac:dyDescent="0.35">
      <c r="B2035" s="6" t="str">
        <f t="shared" ca="1" si="558"/>
        <v>20262</v>
      </c>
      <c r="C2035" s="6">
        <f t="shared" ca="1" si="559"/>
        <v>2026</v>
      </c>
      <c r="D2035" s="6">
        <f t="shared" ca="1" si="560"/>
        <v>2</v>
      </c>
      <c r="E2035" s="68">
        <f ca="1">IFERROR(__xludf.DUMMYFUNCTION("""COMPUTED_VALUE"""),46057.6666666666)</f>
        <v>46057.666666666599</v>
      </c>
      <c r="F2035" s="6">
        <f ca="1">IFERROR(__xludf.DUMMYFUNCTION("""COMPUTED_VALUE"""),6882.72)</f>
        <v>6882.72</v>
      </c>
      <c r="J2035" s="6" t="str">
        <f t="shared" ca="1" si="561"/>
        <v>20261</v>
      </c>
      <c r="K2035" s="6">
        <f t="shared" ca="1" si="562"/>
        <v>2026</v>
      </c>
      <c r="L2035" s="6">
        <f t="shared" ca="1" si="563"/>
        <v>1</v>
      </c>
      <c r="M2035" s="68">
        <f ca="1">IFERROR(__xludf.DUMMYFUNCTION("""COMPUTED_VALUE"""),46051.6666666666)</f>
        <v>46051.666666666599</v>
      </c>
      <c r="N2035" s="6">
        <f ca="1">IFERROR(__xludf.DUMMYFUNCTION("""COMPUTED_VALUE"""),23685.12)</f>
        <v>23685.119999999999</v>
      </c>
      <c r="R2035" s="6" t="str">
        <f t="shared" ca="1" si="564"/>
        <v>20264</v>
      </c>
      <c r="S2035" s="6">
        <f t="shared" ca="1" si="565"/>
        <v>2026</v>
      </c>
      <c r="T2035" s="6">
        <f t="shared" ca="1" si="566"/>
        <v>4</v>
      </c>
      <c r="U2035" s="68">
        <f ca="1">IFERROR(__xludf.DUMMYFUNCTION("""COMPUTED_VALUE"""),46133.6458333333)</f>
        <v>46133.645833333299</v>
      </c>
      <c r="V2035" s="6">
        <f ca="1">IFERROR(__xludf.DUMMYFUNCTION("""COMPUTED_VALUE"""),6388.47)</f>
        <v>6388.47</v>
      </c>
      <c r="Z2035" s="6" t="str">
        <f t="shared" ca="1" si="567"/>
        <v>20239</v>
      </c>
      <c r="AA2035" s="6">
        <f t="shared" ca="1" si="568"/>
        <v>2023</v>
      </c>
      <c r="AB2035" s="6">
        <f t="shared" ca="1" si="569"/>
        <v>9</v>
      </c>
      <c r="AC2035" s="68">
        <f ca="1">IFERROR(__xludf.DUMMYFUNCTION("""COMPUTED_VALUE"""),45184.9986111111)</f>
        <v>45184.998611111099</v>
      </c>
      <c r="AD2035" s="6">
        <f ca="1">IFERROR(__xludf.DUMMYFUNCTION("""COMPUTED_VALUE"""),1328.41)</f>
        <v>1328.41</v>
      </c>
      <c r="AH2035" s="6" t="str">
        <f t="shared" ca="1" si="570"/>
        <v>20237</v>
      </c>
      <c r="AI2035" s="6">
        <f t="shared" ca="1" si="571"/>
        <v>2023</v>
      </c>
      <c r="AJ2035" s="6">
        <f t="shared" ca="1" si="572"/>
        <v>7</v>
      </c>
      <c r="AK2035" s="68">
        <f ca="1">IFERROR(__xludf.DUMMYFUNCTION("""COMPUTED_VALUE"""),45128.9986111111)</f>
        <v>45128.998611111099</v>
      </c>
      <c r="AL2035" s="6">
        <f ca="1">IFERROR(__xludf.DUMMYFUNCTION("""COMPUTED_VALUE"""),29927.21)</f>
        <v>29927.21</v>
      </c>
      <c r="AP2035" s="6" t="str">
        <f t="shared" ca="1" si="573"/>
        <v>20262</v>
      </c>
      <c r="AQ2035" s="6">
        <f t="shared" ca="1" si="574"/>
        <v>2026</v>
      </c>
      <c r="AR2035" s="6">
        <f t="shared" ca="1" si="575"/>
        <v>2</v>
      </c>
      <c r="AS2035" s="68">
        <f ca="1">IFERROR(__xludf.DUMMYFUNCTION("""COMPUTED_VALUE"""),46064.9986111111)</f>
        <v>46064.998611111099</v>
      </c>
      <c r="AT2035" s="6">
        <f ca="1">IFERROR(__xludf.DUMMYFUNCTION("""COMPUTED_VALUE"""),5098.5)</f>
        <v>5098.5</v>
      </c>
    </row>
    <row r="2036" spans="2:46" x14ac:dyDescent="0.35">
      <c r="B2036" s="6" t="str">
        <f t="shared" ca="1" si="558"/>
        <v>20262</v>
      </c>
      <c r="C2036" s="6">
        <f t="shared" ca="1" si="559"/>
        <v>2026</v>
      </c>
      <c r="D2036" s="6">
        <f t="shared" ca="1" si="560"/>
        <v>2</v>
      </c>
      <c r="E2036" s="68">
        <f ca="1">IFERROR(__xludf.DUMMYFUNCTION("""COMPUTED_VALUE"""),46058.6666666666)</f>
        <v>46058.666666666599</v>
      </c>
      <c r="F2036" s="6">
        <f ca="1">IFERROR(__xludf.DUMMYFUNCTION("""COMPUTED_VALUE"""),6798.4)</f>
        <v>6798.4</v>
      </c>
      <c r="J2036" s="6" t="str">
        <f t="shared" ca="1" si="561"/>
        <v>20261</v>
      </c>
      <c r="K2036" s="6">
        <f t="shared" ca="1" si="562"/>
        <v>2026</v>
      </c>
      <c r="L2036" s="6">
        <f t="shared" ca="1" si="563"/>
        <v>1</v>
      </c>
      <c r="M2036" s="68">
        <f ca="1">IFERROR(__xludf.DUMMYFUNCTION("""COMPUTED_VALUE"""),46052.6666666666)</f>
        <v>46052.666666666599</v>
      </c>
      <c r="N2036" s="6">
        <f ca="1">IFERROR(__xludf.DUMMYFUNCTION("""COMPUTED_VALUE"""),23461.82)</f>
        <v>23461.82</v>
      </c>
      <c r="R2036" s="6" t="str">
        <f t="shared" ca="1" si="564"/>
        <v>20264</v>
      </c>
      <c r="S2036" s="6">
        <f t="shared" ca="1" si="565"/>
        <v>2026</v>
      </c>
      <c r="T2036" s="6">
        <f t="shared" ca="1" si="566"/>
        <v>4</v>
      </c>
      <c r="U2036" s="68">
        <f ca="1">IFERROR(__xludf.DUMMYFUNCTION("""COMPUTED_VALUE"""),46134.6458333333)</f>
        <v>46134.645833333299</v>
      </c>
      <c r="V2036" s="6">
        <f ca="1">IFERROR(__xludf.DUMMYFUNCTION("""COMPUTED_VALUE"""),6417.93)</f>
        <v>6417.93</v>
      </c>
      <c r="Z2036" s="6" t="str">
        <f t="shared" ca="1" si="567"/>
        <v>20239</v>
      </c>
      <c r="AA2036" s="6">
        <f t="shared" ca="1" si="568"/>
        <v>2023</v>
      </c>
      <c r="AB2036" s="6">
        <f t="shared" ca="1" si="569"/>
        <v>9</v>
      </c>
      <c r="AC2036" s="68">
        <f ca="1">IFERROR(__xludf.DUMMYFUNCTION("""COMPUTED_VALUE"""),45185.9986111111)</f>
        <v>45185.998611111099</v>
      </c>
      <c r="AD2036" s="6">
        <f ca="1">IFERROR(__xludf.DUMMYFUNCTION("""COMPUTED_VALUE"""),1328.41)</f>
        <v>1328.41</v>
      </c>
      <c r="AH2036" s="6" t="str">
        <f t="shared" ca="1" si="570"/>
        <v>20237</v>
      </c>
      <c r="AI2036" s="6">
        <f t="shared" ca="1" si="571"/>
        <v>2023</v>
      </c>
      <c r="AJ2036" s="6">
        <f t="shared" ca="1" si="572"/>
        <v>7</v>
      </c>
      <c r="AK2036" s="68">
        <f ca="1">IFERROR(__xludf.DUMMYFUNCTION("""COMPUTED_VALUE"""),45129.9986111111)</f>
        <v>45129.998611111099</v>
      </c>
      <c r="AL2036" s="6">
        <f ca="1">IFERROR(__xludf.DUMMYFUNCTION("""COMPUTED_VALUE"""),29805.75)</f>
        <v>29805.75</v>
      </c>
      <c r="AP2036" s="6" t="str">
        <f t="shared" ca="1" si="573"/>
        <v>20262</v>
      </c>
      <c r="AQ2036" s="6">
        <f t="shared" ca="1" si="574"/>
        <v>2026</v>
      </c>
      <c r="AR2036" s="6">
        <f t="shared" ca="1" si="575"/>
        <v>2</v>
      </c>
      <c r="AS2036" s="68">
        <f ca="1">IFERROR(__xludf.DUMMYFUNCTION("""COMPUTED_VALUE"""),46065.9986111111)</f>
        <v>46065.998611111099</v>
      </c>
      <c r="AT2036" s="6">
        <f ca="1">IFERROR(__xludf.DUMMYFUNCTION("""COMPUTED_VALUE"""),4948.4)</f>
        <v>4948.3999999999996</v>
      </c>
    </row>
    <row r="2037" spans="2:46" x14ac:dyDescent="0.35">
      <c r="B2037" s="6" t="str">
        <f t="shared" ca="1" si="558"/>
        <v>20262</v>
      </c>
      <c r="C2037" s="6">
        <f t="shared" ca="1" si="559"/>
        <v>2026</v>
      </c>
      <c r="D2037" s="6">
        <f t="shared" ca="1" si="560"/>
        <v>2</v>
      </c>
      <c r="E2037" s="68">
        <f ca="1">IFERROR(__xludf.DUMMYFUNCTION("""COMPUTED_VALUE"""),46059.6666666666)</f>
        <v>46059.666666666599</v>
      </c>
      <c r="F2037" s="6">
        <f ca="1">IFERROR(__xludf.DUMMYFUNCTION("""COMPUTED_VALUE"""),6932.3)</f>
        <v>6932.3</v>
      </c>
      <c r="J2037" s="6" t="str">
        <f t="shared" ca="1" si="561"/>
        <v>20262</v>
      </c>
      <c r="K2037" s="6">
        <f t="shared" ca="1" si="562"/>
        <v>2026</v>
      </c>
      <c r="L2037" s="6">
        <f t="shared" ca="1" si="563"/>
        <v>2</v>
      </c>
      <c r="M2037" s="68">
        <f ca="1">IFERROR(__xludf.DUMMYFUNCTION("""COMPUTED_VALUE"""),46055.6666666666)</f>
        <v>46055.666666666599</v>
      </c>
      <c r="N2037" s="6">
        <f ca="1">IFERROR(__xludf.DUMMYFUNCTION("""COMPUTED_VALUE"""),23592.11)</f>
        <v>23592.11</v>
      </c>
      <c r="R2037" s="6" t="str">
        <f t="shared" ca="1" si="564"/>
        <v>20264</v>
      </c>
      <c r="S2037" s="6">
        <f t="shared" ca="1" si="565"/>
        <v>2026</v>
      </c>
      <c r="T2037" s="6">
        <f t="shared" ca="1" si="566"/>
        <v>4</v>
      </c>
      <c r="U2037" s="68">
        <f ca="1">IFERROR(__xludf.DUMMYFUNCTION("""COMPUTED_VALUE"""),46135.6458333333)</f>
        <v>46135.645833333299</v>
      </c>
      <c r="V2037" s="6">
        <f ca="1">IFERROR(__xludf.DUMMYFUNCTION("""COMPUTED_VALUE"""),6475.81)</f>
        <v>6475.81</v>
      </c>
      <c r="Z2037" s="6" t="str">
        <f t="shared" ca="1" si="567"/>
        <v>20239</v>
      </c>
      <c r="AA2037" s="6">
        <f t="shared" ca="1" si="568"/>
        <v>2023</v>
      </c>
      <c r="AB2037" s="6">
        <f t="shared" ca="1" si="569"/>
        <v>9</v>
      </c>
      <c r="AC2037" s="68">
        <f ca="1">IFERROR(__xludf.DUMMYFUNCTION("""COMPUTED_VALUE"""),45186.9986111111)</f>
        <v>45186.998611111099</v>
      </c>
      <c r="AD2037" s="6">
        <f ca="1">IFERROR(__xludf.DUMMYFUNCTION("""COMPUTED_VALUE"""),1328.42)</f>
        <v>1328.42</v>
      </c>
      <c r="AH2037" s="6" t="str">
        <f t="shared" ca="1" si="570"/>
        <v>20237</v>
      </c>
      <c r="AI2037" s="6">
        <f t="shared" ca="1" si="571"/>
        <v>2023</v>
      </c>
      <c r="AJ2037" s="6">
        <f t="shared" ca="1" si="572"/>
        <v>7</v>
      </c>
      <c r="AK2037" s="68">
        <f ca="1">IFERROR(__xludf.DUMMYFUNCTION("""COMPUTED_VALUE"""),45130.9986111111)</f>
        <v>45130.998611111099</v>
      </c>
      <c r="AL2037" s="6">
        <f ca="1">IFERROR(__xludf.DUMMYFUNCTION("""COMPUTED_VALUE"""),30100.01)</f>
        <v>30100.01</v>
      </c>
      <c r="AP2037" s="6" t="str">
        <f t="shared" ca="1" si="573"/>
        <v>20262</v>
      </c>
      <c r="AQ2037" s="6">
        <f t="shared" ca="1" si="574"/>
        <v>2026</v>
      </c>
      <c r="AR2037" s="6">
        <f t="shared" ca="1" si="575"/>
        <v>2</v>
      </c>
      <c r="AS2037" s="68">
        <f ca="1">IFERROR(__xludf.DUMMYFUNCTION("""COMPUTED_VALUE"""),46066.9986111111)</f>
        <v>46066.998611111099</v>
      </c>
      <c r="AT2037" s="6">
        <f ca="1">IFERROR(__xludf.DUMMYFUNCTION("""COMPUTED_VALUE"""),5046.3)</f>
        <v>5046.3</v>
      </c>
    </row>
    <row r="2038" spans="2:46" x14ac:dyDescent="0.35">
      <c r="B2038" s="6" t="str">
        <f t="shared" ca="1" si="558"/>
        <v>20262</v>
      </c>
      <c r="C2038" s="6">
        <f t="shared" ca="1" si="559"/>
        <v>2026</v>
      </c>
      <c r="D2038" s="6">
        <f t="shared" ca="1" si="560"/>
        <v>2</v>
      </c>
      <c r="E2038" s="68">
        <f ca="1">IFERROR(__xludf.DUMMYFUNCTION("""COMPUTED_VALUE"""),46062.6666666666)</f>
        <v>46062.666666666599</v>
      </c>
      <c r="F2038" s="6">
        <f ca="1">IFERROR(__xludf.DUMMYFUNCTION("""COMPUTED_VALUE"""),6964.82)</f>
        <v>6964.82</v>
      </c>
      <c r="J2038" s="6" t="str">
        <f t="shared" ca="1" si="561"/>
        <v>20262</v>
      </c>
      <c r="K2038" s="6">
        <f t="shared" ca="1" si="562"/>
        <v>2026</v>
      </c>
      <c r="L2038" s="6">
        <f t="shared" ca="1" si="563"/>
        <v>2</v>
      </c>
      <c r="M2038" s="68">
        <f ca="1">IFERROR(__xludf.DUMMYFUNCTION("""COMPUTED_VALUE"""),46056.6666666666)</f>
        <v>46056.666666666599</v>
      </c>
      <c r="N2038" s="6">
        <f ca="1">IFERROR(__xludf.DUMMYFUNCTION("""COMPUTED_VALUE"""),23255.19)</f>
        <v>23255.19</v>
      </c>
      <c r="R2038" s="6" t="str">
        <f t="shared" ca="1" si="564"/>
        <v>20264</v>
      </c>
      <c r="S2038" s="6">
        <f t="shared" ca="1" si="565"/>
        <v>2026</v>
      </c>
      <c r="T2038" s="6">
        <f t="shared" ca="1" si="566"/>
        <v>4</v>
      </c>
      <c r="U2038" s="68">
        <f ca="1">IFERROR(__xludf.DUMMYFUNCTION("""COMPUTED_VALUE"""),46136.6458333333)</f>
        <v>46136.645833333299</v>
      </c>
      <c r="V2038" s="6">
        <f ca="1">IFERROR(__xludf.DUMMYFUNCTION("""COMPUTED_VALUE"""),6475.63)</f>
        <v>6475.63</v>
      </c>
      <c r="Z2038" s="6" t="str">
        <f t="shared" ca="1" si="567"/>
        <v>20239</v>
      </c>
      <c r="AA2038" s="6">
        <f t="shared" ca="1" si="568"/>
        <v>2023</v>
      </c>
      <c r="AB2038" s="6">
        <f t="shared" ca="1" si="569"/>
        <v>9</v>
      </c>
      <c r="AC2038" s="68">
        <f ca="1">IFERROR(__xludf.DUMMYFUNCTION("""COMPUTED_VALUE"""),45187.9986111111)</f>
        <v>45187.998611111099</v>
      </c>
      <c r="AD2038" s="6">
        <f ca="1">IFERROR(__xludf.DUMMYFUNCTION("""COMPUTED_VALUE"""),1329.66)</f>
        <v>1329.66</v>
      </c>
      <c r="AH2038" s="6" t="str">
        <f t="shared" ca="1" si="570"/>
        <v>20237</v>
      </c>
      <c r="AI2038" s="6">
        <f t="shared" ca="1" si="571"/>
        <v>2023</v>
      </c>
      <c r="AJ2038" s="6">
        <f t="shared" ca="1" si="572"/>
        <v>7</v>
      </c>
      <c r="AK2038" s="68">
        <f ca="1">IFERROR(__xludf.DUMMYFUNCTION("""COMPUTED_VALUE"""),45131.9986111111)</f>
        <v>45131.998611111099</v>
      </c>
      <c r="AL2038" s="6">
        <f ca="1">IFERROR(__xludf.DUMMYFUNCTION("""COMPUTED_VALUE"""),29189.36)</f>
        <v>29189.360000000001</v>
      </c>
      <c r="AP2038" s="6" t="str">
        <f t="shared" ca="1" si="573"/>
        <v>20262</v>
      </c>
      <c r="AQ2038" s="6">
        <f t="shared" ca="1" si="574"/>
        <v>2026</v>
      </c>
      <c r="AR2038" s="6">
        <f t="shared" ca="1" si="575"/>
        <v>2</v>
      </c>
      <c r="AS2038" s="68">
        <f ca="1">IFERROR(__xludf.DUMMYFUNCTION("""COMPUTED_VALUE"""),46070.9986111111)</f>
        <v>46070.998611111099</v>
      </c>
      <c r="AT2038" s="6">
        <f ca="1">IFERROR(__xludf.DUMMYFUNCTION("""COMPUTED_VALUE"""),4905.9)</f>
        <v>4905.8999999999996</v>
      </c>
    </row>
    <row r="2039" spans="2:46" x14ac:dyDescent="0.35">
      <c r="B2039" s="6" t="str">
        <f t="shared" ca="1" si="558"/>
        <v>20262</v>
      </c>
      <c r="C2039" s="6">
        <f t="shared" ca="1" si="559"/>
        <v>2026</v>
      </c>
      <c r="D2039" s="6">
        <f t="shared" ca="1" si="560"/>
        <v>2</v>
      </c>
      <c r="E2039" s="68">
        <f ca="1">IFERROR(__xludf.DUMMYFUNCTION("""COMPUTED_VALUE"""),46063.6666666666)</f>
        <v>46063.666666666599</v>
      </c>
      <c r="F2039" s="6">
        <f ca="1">IFERROR(__xludf.DUMMYFUNCTION("""COMPUTED_VALUE"""),6941.81)</f>
        <v>6941.81</v>
      </c>
      <c r="J2039" s="6" t="str">
        <f t="shared" ca="1" si="561"/>
        <v>20262</v>
      </c>
      <c r="K2039" s="6">
        <f t="shared" ca="1" si="562"/>
        <v>2026</v>
      </c>
      <c r="L2039" s="6">
        <f t="shared" ca="1" si="563"/>
        <v>2</v>
      </c>
      <c r="M2039" s="68">
        <f ca="1">IFERROR(__xludf.DUMMYFUNCTION("""COMPUTED_VALUE"""),46057.6666666666)</f>
        <v>46057.666666666599</v>
      </c>
      <c r="N2039" s="6">
        <f ca="1">IFERROR(__xludf.DUMMYFUNCTION("""COMPUTED_VALUE"""),22904.58)</f>
        <v>22904.58</v>
      </c>
      <c r="R2039" s="6" t="str">
        <f t="shared" ca="1" si="564"/>
        <v>20264</v>
      </c>
      <c r="S2039" s="6">
        <f t="shared" ca="1" si="565"/>
        <v>2026</v>
      </c>
      <c r="T2039" s="6">
        <f t="shared" ca="1" si="566"/>
        <v>4</v>
      </c>
      <c r="U2039" s="68">
        <f ca="1">IFERROR(__xludf.DUMMYFUNCTION("""COMPUTED_VALUE"""),46139.6458333333)</f>
        <v>46139.645833333299</v>
      </c>
      <c r="V2039" s="6">
        <f ca="1">IFERROR(__xludf.DUMMYFUNCTION("""COMPUTED_VALUE"""),6615.03)</f>
        <v>6615.03</v>
      </c>
      <c r="Z2039" s="6" t="str">
        <f t="shared" ca="1" si="567"/>
        <v>20239</v>
      </c>
      <c r="AA2039" s="6">
        <f t="shared" ca="1" si="568"/>
        <v>2023</v>
      </c>
      <c r="AB2039" s="6">
        <f t="shared" ca="1" si="569"/>
        <v>9</v>
      </c>
      <c r="AC2039" s="68">
        <f ca="1">IFERROR(__xludf.DUMMYFUNCTION("""COMPUTED_VALUE"""),45188.9986111111)</f>
        <v>45188.998611111099</v>
      </c>
      <c r="AD2039" s="6">
        <f ca="1">IFERROR(__xludf.DUMMYFUNCTION("""COMPUTED_VALUE"""),1328.53)</f>
        <v>1328.53</v>
      </c>
      <c r="AH2039" s="6" t="str">
        <f t="shared" ca="1" si="570"/>
        <v>20237</v>
      </c>
      <c r="AI2039" s="6">
        <f t="shared" ca="1" si="571"/>
        <v>2023</v>
      </c>
      <c r="AJ2039" s="6">
        <f t="shared" ca="1" si="572"/>
        <v>7</v>
      </c>
      <c r="AK2039" s="68">
        <f ca="1">IFERROR(__xludf.DUMMYFUNCTION("""COMPUTED_VALUE"""),45132.9986111111)</f>
        <v>45132.998611111099</v>
      </c>
      <c r="AL2039" s="6">
        <f ca="1">IFERROR(__xludf.DUMMYFUNCTION("""COMPUTED_VALUE"""),29239.03)</f>
        <v>29239.03</v>
      </c>
      <c r="AP2039" s="6" t="str">
        <f t="shared" ca="1" si="573"/>
        <v>20262</v>
      </c>
      <c r="AQ2039" s="6">
        <f t="shared" ca="1" si="574"/>
        <v>2026</v>
      </c>
      <c r="AR2039" s="6">
        <f t="shared" ca="1" si="575"/>
        <v>2</v>
      </c>
      <c r="AS2039" s="68">
        <f ca="1">IFERROR(__xludf.DUMMYFUNCTION("""COMPUTED_VALUE"""),46071.9986111111)</f>
        <v>46071.998611111099</v>
      </c>
      <c r="AT2039" s="6">
        <f ca="1">IFERROR(__xludf.DUMMYFUNCTION("""COMPUTED_VALUE"""),5009.5)</f>
        <v>5009.5</v>
      </c>
    </row>
    <row r="2040" spans="2:46" x14ac:dyDescent="0.35">
      <c r="B2040" s="6" t="str">
        <f t="shared" ca="1" si="558"/>
        <v>20262</v>
      </c>
      <c r="C2040" s="6">
        <f t="shared" ca="1" si="559"/>
        <v>2026</v>
      </c>
      <c r="D2040" s="6">
        <f t="shared" ca="1" si="560"/>
        <v>2</v>
      </c>
      <c r="E2040" s="68">
        <f ca="1">IFERROR(__xludf.DUMMYFUNCTION("""COMPUTED_VALUE"""),46064.6666666666)</f>
        <v>46064.666666666599</v>
      </c>
      <c r="F2040" s="6">
        <f ca="1">IFERROR(__xludf.DUMMYFUNCTION("""COMPUTED_VALUE"""),6941.47)</f>
        <v>6941.47</v>
      </c>
      <c r="J2040" s="6" t="str">
        <f t="shared" ca="1" si="561"/>
        <v>20262</v>
      </c>
      <c r="K2040" s="6">
        <f t="shared" ca="1" si="562"/>
        <v>2026</v>
      </c>
      <c r="L2040" s="6">
        <f t="shared" ca="1" si="563"/>
        <v>2</v>
      </c>
      <c r="M2040" s="68">
        <f ca="1">IFERROR(__xludf.DUMMYFUNCTION("""COMPUTED_VALUE"""),46058.6666666666)</f>
        <v>46058.666666666599</v>
      </c>
      <c r="N2040" s="6">
        <f ca="1">IFERROR(__xludf.DUMMYFUNCTION("""COMPUTED_VALUE"""),22540.59)</f>
        <v>22540.59</v>
      </c>
      <c r="R2040" s="6" t="str">
        <f t="shared" ca="1" si="564"/>
        <v>20264</v>
      </c>
      <c r="S2040" s="6">
        <f t="shared" ca="1" si="565"/>
        <v>2026</v>
      </c>
      <c r="T2040" s="6">
        <f t="shared" ca="1" si="566"/>
        <v>4</v>
      </c>
      <c r="U2040" s="68">
        <f ca="1">IFERROR(__xludf.DUMMYFUNCTION("""COMPUTED_VALUE"""),46140.6458333333)</f>
        <v>46140.645833333299</v>
      </c>
      <c r="V2040" s="6">
        <f ca="1">IFERROR(__xludf.DUMMYFUNCTION("""COMPUTED_VALUE"""),6641.02)</f>
        <v>6641.02</v>
      </c>
      <c r="Z2040" s="6" t="str">
        <f t="shared" ca="1" si="567"/>
        <v>20239</v>
      </c>
      <c r="AA2040" s="6">
        <f t="shared" ca="1" si="568"/>
        <v>2023</v>
      </c>
      <c r="AB2040" s="6">
        <f t="shared" ca="1" si="569"/>
        <v>9</v>
      </c>
      <c r="AC2040" s="68">
        <f ca="1">IFERROR(__xludf.DUMMYFUNCTION("""COMPUTED_VALUE"""),45189.9986111111)</f>
        <v>45189.998611111099</v>
      </c>
      <c r="AD2040" s="6">
        <f ca="1">IFERROR(__xludf.DUMMYFUNCTION("""COMPUTED_VALUE"""),1332.34)</f>
        <v>1332.34</v>
      </c>
      <c r="AH2040" s="6" t="str">
        <f t="shared" ca="1" si="570"/>
        <v>20237</v>
      </c>
      <c r="AI2040" s="6">
        <f t="shared" ca="1" si="571"/>
        <v>2023</v>
      </c>
      <c r="AJ2040" s="6">
        <f t="shared" ca="1" si="572"/>
        <v>7</v>
      </c>
      <c r="AK2040" s="68">
        <f ca="1">IFERROR(__xludf.DUMMYFUNCTION("""COMPUTED_VALUE"""),45133.9986111111)</f>
        <v>45133.998611111099</v>
      </c>
      <c r="AL2040" s="6">
        <f ca="1">IFERROR(__xludf.DUMMYFUNCTION("""COMPUTED_VALUE"""),29366.65)</f>
        <v>29366.65</v>
      </c>
      <c r="AP2040" s="6" t="str">
        <f t="shared" ca="1" si="573"/>
        <v>20262</v>
      </c>
      <c r="AQ2040" s="6">
        <f t="shared" ca="1" si="574"/>
        <v>2026</v>
      </c>
      <c r="AR2040" s="6">
        <f t="shared" ca="1" si="575"/>
        <v>2</v>
      </c>
      <c r="AS2040" s="68">
        <f ca="1">IFERROR(__xludf.DUMMYFUNCTION("""COMPUTED_VALUE"""),46072.9986111111)</f>
        <v>46072.998611111099</v>
      </c>
      <c r="AT2040" s="6">
        <f ca="1">IFERROR(__xludf.DUMMYFUNCTION("""COMPUTED_VALUE"""),4997.4)</f>
        <v>4997.3999999999996</v>
      </c>
    </row>
    <row r="2041" spans="2:46" x14ac:dyDescent="0.35">
      <c r="B2041" s="6" t="str">
        <f t="shared" ca="1" si="558"/>
        <v>20262</v>
      </c>
      <c r="C2041" s="6">
        <f t="shared" ca="1" si="559"/>
        <v>2026</v>
      </c>
      <c r="D2041" s="6">
        <f t="shared" ca="1" si="560"/>
        <v>2</v>
      </c>
      <c r="E2041" s="68">
        <f ca="1">IFERROR(__xludf.DUMMYFUNCTION("""COMPUTED_VALUE"""),46065.6666666666)</f>
        <v>46065.666666666599</v>
      </c>
      <c r="F2041" s="6">
        <f ca="1">IFERROR(__xludf.DUMMYFUNCTION("""COMPUTED_VALUE"""),6832.76)</f>
        <v>6832.76</v>
      </c>
      <c r="J2041" s="6" t="str">
        <f t="shared" ca="1" si="561"/>
        <v>20262</v>
      </c>
      <c r="K2041" s="6">
        <f t="shared" ca="1" si="562"/>
        <v>2026</v>
      </c>
      <c r="L2041" s="6">
        <f t="shared" ca="1" si="563"/>
        <v>2</v>
      </c>
      <c r="M2041" s="68">
        <f ca="1">IFERROR(__xludf.DUMMYFUNCTION("""COMPUTED_VALUE"""),46059.6666666666)</f>
        <v>46059.666666666599</v>
      </c>
      <c r="N2041" s="6">
        <f ca="1">IFERROR(__xludf.DUMMYFUNCTION("""COMPUTED_VALUE"""),23031.21)</f>
        <v>23031.21</v>
      </c>
      <c r="R2041" s="6" t="str">
        <f t="shared" ca="1" si="564"/>
        <v>20264</v>
      </c>
      <c r="S2041" s="6">
        <f t="shared" ca="1" si="565"/>
        <v>2026</v>
      </c>
      <c r="T2041" s="6">
        <f t="shared" ca="1" si="566"/>
        <v>4</v>
      </c>
      <c r="U2041" s="68">
        <f ca="1">IFERROR(__xludf.DUMMYFUNCTION("""COMPUTED_VALUE"""),46141.6458333333)</f>
        <v>46141.645833333299</v>
      </c>
      <c r="V2041" s="6">
        <f ca="1">IFERROR(__xludf.DUMMYFUNCTION("""COMPUTED_VALUE"""),6690.9)</f>
        <v>6690.9</v>
      </c>
      <c r="Z2041" s="6" t="str">
        <f t="shared" ca="1" si="567"/>
        <v>20239</v>
      </c>
      <c r="AA2041" s="6">
        <f t="shared" ca="1" si="568"/>
        <v>2023</v>
      </c>
      <c r="AB2041" s="6">
        <f t="shared" ca="1" si="569"/>
        <v>9</v>
      </c>
      <c r="AC2041" s="68">
        <f ca="1">IFERROR(__xludf.DUMMYFUNCTION("""COMPUTED_VALUE"""),45190.9986111111)</f>
        <v>45190.998611111099</v>
      </c>
      <c r="AD2041" s="6">
        <f ca="1">IFERROR(__xludf.DUMMYFUNCTION("""COMPUTED_VALUE"""),1341.17)</f>
        <v>1341.17</v>
      </c>
      <c r="AH2041" s="6" t="str">
        <f t="shared" ca="1" si="570"/>
        <v>20237</v>
      </c>
      <c r="AI2041" s="6">
        <f t="shared" ca="1" si="571"/>
        <v>2023</v>
      </c>
      <c r="AJ2041" s="6">
        <f t="shared" ca="1" si="572"/>
        <v>7</v>
      </c>
      <c r="AK2041" s="68">
        <f ca="1">IFERROR(__xludf.DUMMYFUNCTION("""COMPUTED_VALUE"""),45134.9986111111)</f>
        <v>45134.998611111099</v>
      </c>
      <c r="AL2041" s="6">
        <f ca="1">IFERROR(__xludf.DUMMYFUNCTION("""COMPUTED_VALUE"""),29226.86)</f>
        <v>29226.86</v>
      </c>
      <c r="AP2041" s="6" t="str">
        <f t="shared" ca="1" si="573"/>
        <v>20262</v>
      </c>
      <c r="AQ2041" s="6">
        <f t="shared" ca="1" si="574"/>
        <v>2026</v>
      </c>
      <c r="AR2041" s="6">
        <f t="shared" ca="1" si="575"/>
        <v>2</v>
      </c>
      <c r="AS2041" s="68">
        <f ca="1">IFERROR(__xludf.DUMMYFUNCTION("""COMPUTED_VALUE"""),46073.9986111111)</f>
        <v>46073.998611111099</v>
      </c>
      <c r="AT2041" s="6">
        <f ca="1">IFERROR(__xludf.DUMMYFUNCTION("""COMPUTED_VALUE"""),5080.9)</f>
        <v>5080.8999999999996</v>
      </c>
    </row>
    <row r="2042" spans="2:46" x14ac:dyDescent="0.35">
      <c r="B2042" s="6" t="str">
        <f t="shared" ca="1" si="558"/>
        <v>20262</v>
      </c>
      <c r="C2042" s="6">
        <f t="shared" ca="1" si="559"/>
        <v>2026</v>
      </c>
      <c r="D2042" s="6">
        <f t="shared" ca="1" si="560"/>
        <v>2</v>
      </c>
      <c r="E2042" s="68">
        <f ca="1">IFERROR(__xludf.DUMMYFUNCTION("""COMPUTED_VALUE"""),46066.6666666666)</f>
        <v>46066.666666666599</v>
      </c>
      <c r="F2042" s="6">
        <f ca="1">IFERROR(__xludf.DUMMYFUNCTION("""COMPUTED_VALUE"""),6836.17)</f>
        <v>6836.17</v>
      </c>
      <c r="J2042" s="6" t="str">
        <f t="shared" ca="1" si="561"/>
        <v>20262</v>
      </c>
      <c r="K2042" s="6">
        <f t="shared" ca="1" si="562"/>
        <v>2026</v>
      </c>
      <c r="L2042" s="6">
        <f t="shared" ca="1" si="563"/>
        <v>2</v>
      </c>
      <c r="M2042" s="68">
        <f ca="1">IFERROR(__xludf.DUMMYFUNCTION("""COMPUTED_VALUE"""),46062.6666666666)</f>
        <v>46062.666666666599</v>
      </c>
      <c r="N2042" s="6">
        <f ca="1">IFERROR(__xludf.DUMMYFUNCTION("""COMPUTED_VALUE"""),23238.67)</f>
        <v>23238.67</v>
      </c>
      <c r="R2042" s="6" t="str">
        <f t="shared" ca="1" si="564"/>
        <v>20264</v>
      </c>
      <c r="S2042" s="6">
        <f t="shared" ca="1" si="565"/>
        <v>2026</v>
      </c>
      <c r="T2042" s="6">
        <f t="shared" ca="1" si="566"/>
        <v>4</v>
      </c>
      <c r="U2042" s="68">
        <f ca="1">IFERROR(__xludf.DUMMYFUNCTION("""COMPUTED_VALUE"""),46142.6458333333)</f>
        <v>46142.645833333299</v>
      </c>
      <c r="V2042" s="6">
        <f ca="1">IFERROR(__xludf.DUMMYFUNCTION("""COMPUTED_VALUE"""),6598.87)</f>
        <v>6598.87</v>
      </c>
      <c r="Z2042" s="6" t="str">
        <f t="shared" ca="1" si="567"/>
        <v>20239</v>
      </c>
      <c r="AA2042" s="6">
        <f t="shared" ca="1" si="568"/>
        <v>2023</v>
      </c>
      <c r="AB2042" s="6">
        <f t="shared" ca="1" si="569"/>
        <v>9</v>
      </c>
      <c r="AC2042" s="68">
        <f ca="1">IFERROR(__xludf.DUMMYFUNCTION("""COMPUTED_VALUE"""),45191.9986111111)</f>
        <v>45191.998611111099</v>
      </c>
      <c r="AD2042" s="6">
        <f ca="1">IFERROR(__xludf.DUMMYFUNCTION("""COMPUTED_VALUE"""),1334.86)</f>
        <v>1334.86</v>
      </c>
      <c r="AH2042" s="6" t="str">
        <f t="shared" ca="1" si="570"/>
        <v>20237</v>
      </c>
      <c r="AI2042" s="6">
        <f t="shared" ca="1" si="571"/>
        <v>2023</v>
      </c>
      <c r="AJ2042" s="6">
        <f t="shared" ca="1" si="572"/>
        <v>7</v>
      </c>
      <c r="AK2042" s="68">
        <f ca="1">IFERROR(__xludf.DUMMYFUNCTION("""COMPUTED_VALUE"""),45135.9986111111)</f>
        <v>45135.998611111099</v>
      </c>
      <c r="AL2042" s="6">
        <f ca="1">IFERROR(__xludf.DUMMYFUNCTION("""COMPUTED_VALUE"""),29324.19)</f>
        <v>29324.19</v>
      </c>
      <c r="AP2042" s="6" t="str">
        <f t="shared" ca="1" si="573"/>
        <v>20262</v>
      </c>
      <c r="AQ2042" s="6">
        <f t="shared" ca="1" si="574"/>
        <v>2026</v>
      </c>
      <c r="AR2042" s="6">
        <f t="shared" ca="1" si="575"/>
        <v>2</v>
      </c>
      <c r="AS2042" s="68">
        <f ca="1">IFERROR(__xludf.DUMMYFUNCTION("""COMPUTED_VALUE"""),46076.9986111111)</f>
        <v>46076.998611111099</v>
      </c>
      <c r="AT2042" s="6">
        <f ca="1">IFERROR(__xludf.DUMMYFUNCTION("""COMPUTED_VALUE"""),5225.6)</f>
        <v>5225.6000000000004</v>
      </c>
    </row>
    <row r="2043" spans="2:46" x14ac:dyDescent="0.35">
      <c r="B2043" s="6" t="str">
        <f t="shared" ca="1" si="558"/>
        <v>20262</v>
      </c>
      <c r="C2043" s="6">
        <f t="shared" ca="1" si="559"/>
        <v>2026</v>
      </c>
      <c r="D2043" s="6">
        <f t="shared" ca="1" si="560"/>
        <v>2</v>
      </c>
      <c r="E2043" s="68">
        <f ca="1">IFERROR(__xludf.DUMMYFUNCTION("""COMPUTED_VALUE"""),46070.6666666666)</f>
        <v>46070.666666666599</v>
      </c>
      <c r="F2043" s="6">
        <f ca="1">IFERROR(__xludf.DUMMYFUNCTION("""COMPUTED_VALUE"""),6843.22)</f>
        <v>6843.22</v>
      </c>
      <c r="J2043" s="6" t="str">
        <f t="shared" ca="1" si="561"/>
        <v>20262</v>
      </c>
      <c r="K2043" s="6">
        <f t="shared" ca="1" si="562"/>
        <v>2026</v>
      </c>
      <c r="L2043" s="6">
        <f t="shared" ca="1" si="563"/>
        <v>2</v>
      </c>
      <c r="M2043" s="68">
        <f ca="1">IFERROR(__xludf.DUMMYFUNCTION("""COMPUTED_VALUE"""),46063.6666666666)</f>
        <v>46063.666666666599</v>
      </c>
      <c r="N2043" s="6">
        <f ca="1">IFERROR(__xludf.DUMMYFUNCTION("""COMPUTED_VALUE"""),23102.47)</f>
        <v>23102.47</v>
      </c>
      <c r="R2043" s="6" t="str">
        <f t="shared" ca="1" si="564"/>
        <v>20265</v>
      </c>
      <c r="S2043" s="6">
        <f t="shared" ca="1" si="565"/>
        <v>2026</v>
      </c>
      <c r="T2043" s="6">
        <f t="shared" ca="1" si="566"/>
        <v>5</v>
      </c>
      <c r="U2043" s="68">
        <f ca="1">IFERROR(__xludf.DUMMYFUNCTION("""COMPUTED_VALUE"""),46146.6458333333)</f>
        <v>46146.645833333299</v>
      </c>
      <c r="V2043" s="6">
        <f ca="1">IFERROR(__xludf.DUMMYFUNCTION("""COMPUTED_VALUE"""),6936.99)</f>
        <v>6936.99</v>
      </c>
      <c r="Z2043" s="6" t="str">
        <f t="shared" ca="1" si="567"/>
        <v>20239</v>
      </c>
      <c r="AA2043" s="6">
        <f t="shared" ca="1" si="568"/>
        <v>2023</v>
      </c>
      <c r="AB2043" s="6">
        <f t="shared" ca="1" si="569"/>
        <v>9</v>
      </c>
      <c r="AC2043" s="68">
        <f ca="1">IFERROR(__xludf.DUMMYFUNCTION("""COMPUTED_VALUE"""),45192.9986111111)</f>
        <v>45192.998611111099</v>
      </c>
      <c r="AD2043" s="6">
        <f ca="1">IFERROR(__xludf.DUMMYFUNCTION("""COMPUTED_VALUE"""),1334.86)</f>
        <v>1334.86</v>
      </c>
      <c r="AH2043" s="6" t="str">
        <f t="shared" ca="1" si="570"/>
        <v>20237</v>
      </c>
      <c r="AI2043" s="6">
        <f t="shared" ca="1" si="571"/>
        <v>2023</v>
      </c>
      <c r="AJ2043" s="6">
        <f t="shared" ca="1" si="572"/>
        <v>7</v>
      </c>
      <c r="AK2043" s="68">
        <f ca="1">IFERROR(__xludf.DUMMYFUNCTION("""COMPUTED_VALUE"""),45136.9986111111)</f>
        <v>45136.998611111099</v>
      </c>
      <c r="AL2043" s="6">
        <f ca="1">IFERROR(__xludf.DUMMYFUNCTION("""COMPUTED_VALUE"""),29391.08)</f>
        <v>29391.08</v>
      </c>
      <c r="AP2043" s="6" t="str">
        <f t="shared" ca="1" si="573"/>
        <v>20262</v>
      </c>
      <c r="AQ2043" s="6">
        <f t="shared" ca="1" si="574"/>
        <v>2026</v>
      </c>
      <c r="AR2043" s="6">
        <f t="shared" ca="1" si="575"/>
        <v>2</v>
      </c>
      <c r="AS2043" s="68">
        <f ca="1">IFERROR(__xludf.DUMMYFUNCTION("""COMPUTED_VALUE"""),46077.9986111111)</f>
        <v>46077.998611111099</v>
      </c>
      <c r="AT2043" s="6">
        <f ca="1">IFERROR(__xludf.DUMMYFUNCTION("""COMPUTED_VALUE"""),5176.3)</f>
        <v>5176.3</v>
      </c>
    </row>
    <row r="2044" spans="2:46" x14ac:dyDescent="0.35">
      <c r="B2044" s="6" t="str">
        <f t="shared" ca="1" si="558"/>
        <v>20262</v>
      </c>
      <c r="C2044" s="6">
        <f t="shared" ca="1" si="559"/>
        <v>2026</v>
      </c>
      <c r="D2044" s="6">
        <f t="shared" ca="1" si="560"/>
        <v>2</v>
      </c>
      <c r="E2044" s="68">
        <f ca="1">IFERROR(__xludf.DUMMYFUNCTION("""COMPUTED_VALUE"""),46071.6666666666)</f>
        <v>46071.666666666599</v>
      </c>
      <c r="F2044" s="6">
        <f ca="1">IFERROR(__xludf.DUMMYFUNCTION("""COMPUTED_VALUE"""),6881.31)</f>
        <v>6881.31</v>
      </c>
      <c r="J2044" s="6" t="str">
        <f t="shared" ca="1" si="561"/>
        <v>20262</v>
      </c>
      <c r="K2044" s="6">
        <f t="shared" ca="1" si="562"/>
        <v>2026</v>
      </c>
      <c r="L2044" s="6">
        <f t="shared" ca="1" si="563"/>
        <v>2</v>
      </c>
      <c r="M2044" s="68">
        <f ca="1">IFERROR(__xludf.DUMMYFUNCTION("""COMPUTED_VALUE"""),46064.6666666666)</f>
        <v>46064.666666666599</v>
      </c>
      <c r="N2044" s="6">
        <f ca="1">IFERROR(__xludf.DUMMYFUNCTION("""COMPUTED_VALUE"""),23066.47)</f>
        <v>23066.47</v>
      </c>
      <c r="R2044" s="6" t="str">
        <f t="shared" ca="1" si="564"/>
        <v>20265</v>
      </c>
      <c r="S2044" s="6">
        <f t="shared" ca="1" si="565"/>
        <v>2026</v>
      </c>
      <c r="T2044" s="6">
        <f t="shared" ca="1" si="566"/>
        <v>5</v>
      </c>
      <c r="U2044" s="68">
        <f ca="1">IFERROR(__xludf.DUMMYFUNCTION("""COMPUTED_VALUE"""),46148.6458333333)</f>
        <v>46148.645833333299</v>
      </c>
      <c r="V2044" s="6">
        <f ca="1">IFERROR(__xludf.DUMMYFUNCTION("""COMPUTED_VALUE"""),7384.56)</f>
        <v>7384.56</v>
      </c>
      <c r="Z2044" s="6" t="str">
        <f t="shared" ca="1" si="567"/>
        <v>20239</v>
      </c>
      <c r="AA2044" s="6">
        <f t="shared" ca="1" si="568"/>
        <v>2023</v>
      </c>
      <c r="AB2044" s="6">
        <f t="shared" ca="1" si="569"/>
        <v>9</v>
      </c>
      <c r="AC2044" s="68">
        <f ca="1">IFERROR(__xludf.DUMMYFUNCTION("""COMPUTED_VALUE"""),45193.9986111111)</f>
        <v>45193.998611111099</v>
      </c>
      <c r="AD2044" s="6">
        <f ca="1">IFERROR(__xludf.DUMMYFUNCTION("""COMPUTED_VALUE"""),1334.66)</f>
        <v>1334.66</v>
      </c>
      <c r="AH2044" s="6" t="str">
        <f t="shared" ca="1" si="570"/>
        <v>20237</v>
      </c>
      <c r="AI2044" s="6">
        <f t="shared" ca="1" si="571"/>
        <v>2023</v>
      </c>
      <c r="AJ2044" s="6">
        <f t="shared" ca="1" si="572"/>
        <v>7</v>
      </c>
      <c r="AK2044" s="68">
        <f ca="1">IFERROR(__xludf.DUMMYFUNCTION("""COMPUTED_VALUE"""),45137.9986111111)</f>
        <v>45137.998611111099</v>
      </c>
      <c r="AL2044" s="6">
        <f ca="1">IFERROR(__xludf.DUMMYFUNCTION("""COMPUTED_VALUE"""),29295)</f>
        <v>29295</v>
      </c>
      <c r="AP2044" s="6" t="str">
        <f t="shared" ca="1" si="573"/>
        <v>20262</v>
      </c>
      <c r="AQ2044" s="6">
        <f t="shared" ca="1" si="574"/>
        <v>2026</v>
      </c>
      <c r="AR2044" s="6">
        <f t="shared" ca="1" si="575"/>
        <v>2</v>
      </c>
      <c r="AS2044" s="68">
        <f ca="1">IFERROR(__xludf.DUMMYFUNCTION("""COMPUTED_VALUE"""),46078.9986111111)</f>
        <v>46078.998611111099</v>
      </c>
      <c r="AT2044" s="6">
        <f ca="1">IFERROR(__xludf.DUMMYFUNCTION("""COMPUTED_VALUE"""),5226.2)</f>
        <v>5226.2</v>
      </c>
    </row>
    <row r="2045" spans="2:46" x14ac:dyDescent="0.35">
      <c r="B2045" s="6" t="str">
        <f t="shared" ca="1" si="558"/>
        <v>20262</v>
      </c>
      <c r="C2045" s="6">
        <f t="shared" ca="1" si="559"/>
        <v>2026</v>
      </c>
      <c r="D2045" s="6">
        <f t="shared" ca="1" si="560"/>
        <v>2</v>
      </c>
      <c r="E2045" s="68">
        <f ca="1">IFERROR(__xludf.DUMMYFUNCTION("""COMPUTED_VALUE"""),46072.6666666666)</f>
        <v>46072.666666666599</v>
      </c>
      <c r="F2045" s="6">
        <f ca="1">IFERROR(__xludf.DUMMYFUNCTION("""COMPUTED_VALUE"""),6861.89)</f>
        <v>6861.89</v>
      </c>
      <c r="J2045" s="6" t="str">
        <f t="shared" ca="1" si="561"/>
        <v>20262</v>
      </c>
      <c r="K2045" s="6">
        <f t="shared" ca="1" si="562"/>
        <v>2026</v>
      </c>
      <c r="L2045" s="6">
        <f t="shared" ca="1" si="563"/>
        <v>2</v>
      </c>
      <c r="M2045" s="68">
        <f ca="1">IFERROR(__xludf.DUMMYFUNCTION("""COMPUTED_VALUE"""),46065.6666666666)</f>
        <v>46065.666666666599</v>
      </c>
      <c r="N2045" s="6">
        <f ca="1">IFERROR(__xludf.DUMMYFUNCTION("""COMPUTED_VALUE"""),22597.15)</f>
        <v>22597.15</v>
      </c>
      <c r="R2045" s="6" t="str">
        <f t="shared" ca="1" si="564"/>
        <v>20265</v>
      </c>
      <c r="S2045" s="6">
        <f t="shared" ca="1" si="565"/>
        <v>2026</v>
      </c>
      <c r="T2045" s="6">
        <f t="shared" ca="1" si="566"/>
        <v>5</v>
      </c>
      <c r="U2045" s="68">
        <f ca="1">IFERROR(__xludf.DUMMYFUNCTION("""COMPUTED_VALUE"""),46149.6458333333)</f>
        <v>46149.645833333299</v>
      </c>
      <c r="V2045" s="6">
        <f ca="1">IFERROR(__xludf.DUMMYFUNCTION("""COMPUTED_VALUE"""),7490.05)</f>
        <v>7490.05</v>
      </c>
      <c r="Z2045" s="6" t="str">
        <f t="shared" ca="1" si="567"/>
        <v>20239</v>
      </c>
      <c r="AA2045" s="6">
        <f t="shared" ca="1" si="568"/>
        <v>2023</v>
      </c>
      <c r="AB2045" s="6">
        <f t="shared" ca="1" si="569"/>
        <v>9</v>
      </c>
      <c r="AC2045" s="68">
        <f ca="1">IFERROR(__xludf.DUMMYFUNCTION("""COMPUTED_VALUE"""),45194.9986111111)</f>
        <v>45194.998611111099</v>
      </c>
      <c r="AD2045" s="6">
        <f ca="1">IFERROR(__xludf.DUMMYFUNCTION("""COMPUTED_VALUE"""),1338.45)</f>
        <v>1338.45</v>
      </c>
      <c r="AH2045" s="6" t="str">
        <f t="shared" ca="1" si="570"/>
        <v>20237</v>
      </c>
      <c r="AI2045" s="6">
        <f t="shared" ca="1" si="571"/>
        <v>2023</v>
      </c>
      <c r="AJ2045" s="6">
        <f t="shared" ca="1" si="572"/>
        <v>7</v>
      </c>
      <c r="AK2045" s="68">
        <f ca="1">IFERROR(__xludf.DUMMYFUNCTION("""COMPUTED_VALUE"""),45138.9986111111)</f>
        <v>45138.998611111099</v>
      </c>
      <c r="AL2045" s="6">
        <f ca="1">IFERROR(__xludf.DUMMYFUNCTION("""COMPUTED_VALUE"""),29244.09)</f>
        <v>29244.09</v>
      </c>
      <c r="AP2045" s="6" t="str">
        <f t="shared" ca="1" si="573"/>
        <v>20262</v>
      </c>
      <c r="AQ2045" s="6">
        <f t="shared" ca="1" si="574"/>
        <v>2026</v>
      </c>
      <c r="AR2045" s="6">
        <f t="shared" ca="1" si="575"/>
        <v>2</v>
      </c>
      <c r="AS2045" s="68">
        <f ca="1">IFERROR(__xludf.DUMMYFUNCTION("""COMPUTED_VALUE"""),46079.9986111111)</f>
        <v>46079.998611111099</v>
      </c>
      <c r="AT2045" s="6">
        <f ca="1">IFERROR(__xludf.DUMMYFUNCTION("""COMPUTED_VALUE"""),5194.2)</f>
        <v>5194.2</v>
      </c>
    </row>
    <row r="2046" spans="2:46" x14ac:dyDescent="0.35">
      <c r="B2046" s="6" t="str">
        <f t="shared" ca="1" si="558"/>
        <v>20262</v>
      </c>
      <c r="C2046" s="6">
        <f t="shared" ca="1" si="559"/>
        <v>2026</v>
      </c>
      <c r="D2046" s="6">
        <f t="shared" ca="1" si="560"/>
        <v>2</v>
      </c>
      <c r="E2046" s="68">
        <f ca="1">IFERROR(__xludf.DUMMYFUNCTION("""COMPUTED_VALUE"""),46073.6666666666)</f>
        <v>46073.666666666599</v>
      </c>
      <c r="F2046" s="6">
        <f ca="1">IFERROR(__xludf.DUMMYFUNCTION("""COMPUTED_VALUE"""),6909.51)</f>
        <v>6909.51</v>
      </c>
      <c r="J2046" s="6" t="str">
        <f t="shared" ca="1" si="561"/>
        <v>20262</v>
      </c>
      <c r="K2046" s="6">
        <f t="shared" ca="1" si="562"/>
        <v>2026</v>
      </c>
      <c r="L2046" s="6">
        <f t="shared" ca="1" si="563"/>
        <v>2</v>
      </c>
      <c r="M2046" s="68">
        <f ca="1">IFERROR(__xludf.DUMMYFUNCTION("""COMPUTED_VALUE"""),46066.6666666666)</f>
        <v>46066.666666666599</v>
      </c>
      <c r="N2046" s="6">
        <f ca="1">IFERROR(__xludf.DUMMYFUNCTION("""COMPUTED_VALUE"""),22546.67)</f>
        <v>22546.67</v>
      </c>
      <c r="R2046" s="6" t="str">
        <f t="shared" ca="1" si="564"/>
        <v>20265</v>
      </c>
      <c r="S2046" s="6">
        <f t="shared" ca="1" si="565"/>
        <v>2026</v>
      </c>
      <c r="T2046" s="6">
        <f t="shared" ca="1" si="566"/>
        <v>5</v>
      </c>
      <c r="U2046" s="68">
        <f ca="1">IFERROR(__xludf.DUMMYFUNCTION("""COMPUTED_VALUE"""),46150.6458333333)</f>
        <v>46150.645833333299</v>
      </c>
      <c r="V2046" s="6">
        <f ca="1">IFERROR(__xludf.DUMMYFUNCTION("""COMPUTED_VALUE"""),7498)</f>
        <v>7498</v>
      </c>
      <c r="Z2046" s="6" t="str">
        <f t="shared" ca="1" si="567"/>
        <v>20239</v>
      </c>
      <c r="AA2046" s="6">
        <f t="shared" ca="1" si="568"/>
        <v>2023</v>
      </c>
      <c r="AB2046" s="6">
        <f t="shared" ca="1" si="569"/>
        <v>9</v>
      </c>
      <c r="AC2046" s="68">
        <f ca="1">IFERROR(__xludf.DUMMYFUNCTION("""COMPUTED_VALUE"""),45195.9986111111)</f>
        <v>45195.998611111099</v>
      </c>
      <c r="AD2046" s="6">
        <f ca="1">IFERROR(__xludf.DUMMYFUNCTION("""COMPUTED_VALUE"""),1353.75)</f>
        <v>1353.75</v>
      </c>
      <c r="AH2046" s="6" t="str">
        <f t="shared" ca="1" si="570"/>
        <v>20238</v>
      </c>
      <c r="AI2046" s="6">
        <f t="shared" ca="1" si="571"/>
        <v>2023</v>
      </c>
      <c r="AJ2046" s="6">
        <f t="shared" ca="1" si="572"/>
        <v>8</v>
      </c>
      <c r="AK2046" s="68">
        <f ca="1">IFERROR(__xludf.DUMMYFUNCTION("""COMPUTED_VALUE"""),45139.9986111111)</f>
        <v>45139.998611111099</v>
      </c>
      <c r="AL2046" s="6">
        <f ca="1">IFERROR(__xludf.DUMMYFUNCTION("""COMPUTED_VALUE"""),29704.41)</f>
        <v>29704.41</v>
      </c>
      <c r="AP2046" s="6" t="str">
        <f t="shared" ca="1" si="573"/>
        <v>20262</v>
      </c>
      <c r="AQ2046" s="6">
        <f t="shared" ca="1" si="574"/>
        <v>2026</v>
      </c>
      <c r="AR2046" s="6">
        <f t="shared" ca="1" si="575"/>
        <v>2</v>
      </c>
      <c r="AS2046" s="68">
        <f ca="1">IFERROR(__xludf.DUMMYFUNCTION("""COMPUTED_VALUE"""),46080.9986111111)</f>
        <v>46080.998611111099</v>
      </c>
      <c r="AT2046" s="6">
        <f ca="1">IFERROR(__xludf.DUMMYFUNCTION("""COMPUTED_VALUE"""),5247.9)</f>
        <v>5247.9</v>
      </c>
    </row>
    <row r="2047" spans="2:46" x14ac:dyDescent="0.35">
      <c r="B2047" s="6" t="str">
        <f t="shared" ca="1" si="558"/>
        <v>20262</v>
      </c>
      <c r="C2047" s="6">
        <f t="shared" ca="1" si="559"/>
        <v>2026</v>
      </c>
      <c r="D2047" s="6">
        <f t="shared" ca="1" si="560"/>
        <v>2</v>
      </c>
      <c r="E2047" s="68">
        <f ca="1">IFERROR(__xludf.DUMMYFUNCTION("""COMPUTED_VALUE"""),46076.6666666666)</f>
        <v>46076.666666666599</v>
      </c>
      <c r="F2047" s="6">
        <f ca="1">IFERROR(__xludf.DUMMYFUNCTION("""COMPUTED_VALUE"""),6837.75)</f>
        <v>6837.75</v>
      </c>
      <c r="J2047" s="6" t="str">
        <f t="shared" ca="1" si="561"/>
        <v>20262</v>
      </c>
      <c r="K2047" s="6">
        <f t="shared" ca="1" si="562"/>
        <v>2026</v>
      </c>
      <c r="L2047" s="6">
        <f t="shared" ca="1" si="563"/>
        <v>2</v>
      </c>
      <c r="M2047" s="68">
        <f ca="1">IFERROR(__xludf.DUMMYFUNCTION("""COMPUTED_VALUE"""),46070.6666666666)</f>
        <v>46070.666666666599</v>
      </c>
      <c r="N2047" s="6">
        <f ca="1">IFERROR(__xludf.DUMMYFUNCTION("""COMPUTED_VALUE"""),22578.38)</f>
        <v>22578.38</v>
      </c>
      <c r="R2047" s="6" t="str">
        <f t="shared" ca="1" si="564"/>
        <v>20265</v>
      </c>
      <c r="S2047" s="6">
        <f t="shared" ca="1" si="565"/>
        <v>2026</v>
      </c>
      <c r="T2047" s="6">
        <f t="shared" ca="1" si="566"/>
        <v>5</v>
      </c>
      <c r="U2047" s="68">
        <f ca="1">IFERROR(__xludf.DUMMYFUNCTION("""COMPUTED_VALUE"""),46153.6458333333)</f>
        <v>46153.645833333299</v>
      </c>
      <c r="V2047" s="6">
        <f ca="1">IFERROR(__xludf.DUMMYFUNCTION("""COMPUTED_VALUE"""),7822.24)</f>
        <v>7822.24</v>
      </c>
      <c r="Z2047" s="6" t="str">
        <f t="shared" ca="1" si="567"/>
        <v>20239</v>
      </c>
      <c r="AA2047" s="6">
        <f t="shared" ca="1" si="568"/>
        <v>2023</v>
      </c>
      <c r="AB2047" s="6">
        <f t="shared" ca="1" si="569"/>
        <v>9</v>
      </c>
      <c r="AC2047" s="68">
        <f ca="1">IFERROR(__xludf.DUMMYFUNCTION("""COMPUTED_VALUE"""),45196.9986111111)</f>
        <v>45196.998611111099</v>
      </c>
      <c r="AD2047" s="6">
        <f ca="1">IFERROR(__xludf.DUMMYFUNCTION("""COMPUTED_VALUE"""),1352.82)</f>
        <v>1352.82</v>
      </c>
      <c r="AH2047" s="6" t="str">
        <f t="shared" ca="1" si="570"/>
        <v>20238</v>
      </c>
      <c r="AI2047" s="6">
        <f t="shared" ca="1" si="571"/>
        <v>2023</v>
      </c>
      <c r="AJ2047" s="6">
        <f t="shared" ca="1" si="572"/>
        <v>8</v>
      </c>
      <c r="AK2047" s="68">
        <f ca="1">IFERROR(__xludf.DUMMYFUNCTION("""COMPUTED_VALUE"""),45140.9986111111)</f>
        <v>45140.998611111099</v>
      </c>
      <c r="AL2047" s="6">
        <f ca="1">IFERROR(__xludf.DUMMYFUNCTION("""COMPUTED_VALUE"""),29168.12)</f>
        <v>29168.12</v>
      </c>
      <c r="AP2047" s="6" t="str">
        <f t="shared" ca="1" si="573"/>
        <v>20263</v>
      </c>
      <c r="AQ2047" s="6">
        <f t="shared" ca="1" si="574"/>
        <v>2026</v>
      </c>
      <c r="AR2047" s="6">
        <f t="shared" ca="1" si="575"/>
        <v>3</v>
      </c>
      <c r="AS2047" s="68">
        <f ca="1">IFERROR(__xludf.DUMMYFUNCTION("""COMPUTED_VALUE"""),46083.9986111111)</f>
        <v>46083.998611111099</v>
      </c>
      <c r="AT2047" s="6">
        <f ca="1">IFERROR(__xludf.DUMMYFUNCTION("""COMPUTED_VALUE"""),5311.6)</f>
        <v>5311.6</v>
      </c>
    </row>
    <row r="2048" spans="2:46" x14ac:dyDescent="0.35">
      <c r="B2048" s="6" t="str">
        <f t="shared" ca="1" si="558"/>
        <v>20262</v>
      </c>
      <c r="C2048" s="6">
        <f t="shared" ca="1" si="559"/>
        <v>2026</v>
      </c>
      <c r="D2048" s="6">
        <f t="shared" ca="1" si="560"/>
        <v>2</v>
      </c>
      <c r="E2048" s="68">
        <f ca="1">IFERROR(__xludf.DUMMYFUNCTION("""COMPUTED_VALUE"""),46077.6666666666)</f>
        <v>46077.666666666599</v>
      </c>
      <c r="F2048" s="6">
        <f ca="1">IFERROR(__xludf.DUMMYFUNCTION("""COMPUTED_VALUE"""),6890.07)</f>
        <v>6890.07</v>
      </c>
      <c r="J2048" s="6" t="str">
        <f t="shared" ca="1" si="561"/>
        <v>20262</v>
      </c>
      <c r="K2048" s="6">
        <f t="shared" ca="1" si="562"/>
        <v>2026</v>
      </c>
      <c r="L2048" s="6">
        <f t="shared" ca="1" si="563"/>
        <v>2</v>
      </c>
      <c r="M2048" s="68">
        <f ca="1">IFERROR(__xludf.DUMMYFUNCTION("""COMPUTED_VALUE"""),46071.6666666666)</f>
        <v>46071.666666666599</v>
      </c>
      <c r="N2048" s="6">
        <f ca="1">IFERROR(__xludf.DUMMYFUNCTION("""COMPUTED_VALUE"""),22753.64)</f>
        <v>22753.64</v>
      </c>
      <c r="R2048" s="6" t="str">
        <f t="shared" ca="1" si="564"/>
        <v>20265</v>
      </c>
      <c r="S2048" s="6">
        <f t="shared" ca="1" si="565"/>
        <v>2026</v>
      </c>
      <c r="T2048" s="6">
        <f t="shared" ca="1" si="566"/>
        <v>5</v>
      </c>
      <c r="U2048" s="68">
        <f ca="1">IFERROR(__xludf.DUMMYFUNCTION("""COMPUTED_VALUE"""),46154.6458333333)</f>
        <v>46154.645833333299</v>
      </c>
      <c r="V2048" s="6">
        <f ca="1">IFERROR(__xludf.DUMMYFUNCTION("""COMPUTED_VALUE"""),7643.15)</f>
        <v>7643.15</v>
      </c>
      <c r="Z2048" s="6" t="str">
        <f t="shared" ca="1" si="567"/>
        <v>20239</v>
      </c>
      <c r="AA2048" s="6">
        <f t="shared" ca="1" si="568"/>
        <v>2023</v>
      </c>
      <c r="AB2048" s="6">
        <f t="shared" ca="1" si="569"/>
        <v>9</v>
      </c>
      <c r="AC2048" s="68">
        <f ca="1">IFERROR(__xludf.DUMMYFUNCTION("""COMPUTED_VALUE"""),45197.9986111111)</f>
        <v>45197.998611111099</v>
      </c>
      <c r="AD2048" s="6">
        <f ca="1">IFERROR(__xludf.DUMMYFUNCTION("""COMPUTED_VALUE"""),1347.85)</f>
        <v>1347.85</v>
      </c>
      <c r="AH2048" s="6" t="str">
        <f t="shared" ca="1" si="570"/>
        <v>20238</v>
      </c>
      <c r="AI2048" s="6">
        <f t="shared" ca="1" si="571"/>
        <v>2023</v>
      </c>
      <c r="AJ2048" s="6">
        <f t="shared" ca="1" si="572"/>
        <v>8</v>
      </c>
      <c r="AK2048" s="68">
        <f ca="1">IFERROR(__xludf.DUMMYFUNCTION("""COMPUTED_VALUE"""),45141.9986111111)</f>
        <v>45141.998611111099</v>
      </c>
      <c r="AL2048" s="6">
        <f ca="1">IFERROR(__xludf.DUMMYFUNCTION("""COMPUTED_VALUE"""),29187.88)</f>
        <v>29187.88</v>
      </c>
      <c r="AP2048" s="6" t="str">
        <f t="shared" ca="1" si="573"/>
        <v>20263</v>
      </c>
      <c r="AQ2048" s="6">
        <f t="shared" ca="1" si="574"/>
        <v>2026</v>
      </c>
      <c r="AR2048" s="6">
        <f t="shared" ca="1" si="575"/>
        <v>3</v>
      </c>
      <c r="AS2048" s="68">
        <f ca="1">IFERROR(__xludf.DUMMYFUNCTION("""COMPUTED_VALUE"""),46084.9986111111)</f>
        <v>46084.998611111099</v>
      </c>
      <c r="AT2048" s="6">
        <f ca="1">IFERROR(__xludf.DUMMYFUNCTION("""COMPUTED_VALUE"""),5123.7)</f>
        <v>5123.7</v>
      </c>
    </row>
    <row r="2049" spans="2:46" x14ac:dyDescent="0.35">
      <c r="B2049" s="6" t="str">
        <f t="shared" ca="1" si="558"/>
        <v>20262</v>
      </c>
      <c r="C2049" s="6">
        <f t="shared" ca="1" si="559"/>
        <v>2026</v>
      </c>
      <c r="D2049" s="6">
        <f t="shared" ca="1" si="560"/>
        <v>2</v>
      </c>
      <c r="E2049" s="68">
        <f ca="1">IFERROR(__xludf.DUMMYFUNCTION("""COMPUTED_VALUE"""),46078.6666666666)</f>
        <v>46078.666666666599</v>
      </c>
      <c r="F2049" s="6">
        <f ca="1">IFERROR(__xludf.DUMMYFUNCTION("""COMPUTED_VALUE"""),6946.13)</f>
        <v>6946.13</v>
      </c>
      <c r="J2049" s="6" t="str">
        <f t="shared" ca="1" si="561"/>
        <v>20262</v>
      </c>
      <c r="K2049" s="6">
        <f t="shared" ca="1" si="562"/>
        <v>2026</v>
      </c>
      <c r="L2049" s="6">
        <f t="shared" ca="1" si="563"/>
        <v>2</v>
      </c>
      <c r="M2049" s="68">
        <f ca="1">IFERROR(__xludf.DUMMYFUNCTION("""COMPUTED_VALUE"""),46072.6666666666)</f>
        <v>46072.666666666599</v>
      </c>
      <c r="N2049" s="6">
        <f ca="1">IFERROR(__xludf.DUMMYFUNCTION("""COMPUTED_VALUE"""),22682.73)</f>
        <v>22682.73</v>
      </c>
      <c r="R2049" s="6" t="str">
        <f t="shared" ca="1" si="564"/>
        <v>20265</v>
      </c>
      <c r="S2049" s="6">
        <f t="shared" ca="1" si="565"/>
        <v>2026</v>
      </c>
      <c r="T2049" s="6">
        <f t="shared" ca="1" si="566"/>
        <v>5</v>
      </c>
      <c r="U2049" s="68">
        <f ca="1">IFERROR(__xludf.DUMMYFUNCTION("""COMPUTED_VALUE"""),46155.6458333333)</f>
        <v>46155.645833333299</v>
      </c>
      <c r="V2049" s="6">
        <f ca="1">IFERROR(__xludf.DUMMYFUNCTION("""COMPUTED_VALUE"""),7844.01)</f>
        <v>7844.01</v>
      </c>
      <c r="Z2049" s="6" t="str">
        <f t="shared" ca="1" si="567"/>
        <v>20239</v>
      </c>
      <c r="AA2049" s="6">
        <f t="shared" ca="1" si="568"/>
        <v>2023</v>
      </c>
      <c r="AB2049" s="6">
        <f t="shared" ca="1" si="569"/>
        <v>9</v>
      </c>
      <c r="AC2049" s="68">
        <f ca="1">IFERROR(__xludf.DUMMYFUNCTION("""COMPUTED_VALUE"""),45198.9986111111)</f>
        <v>45198.998611111099</v>
      </c>
      <c r="AD2049" s="6">
        <f ca="1">IFERROR(__xludf.DUMMYFUNCTION("""COMPUTED_VALUE"""),1351.93)</f>
        <v>1351.93</v>
      </c>
      <c r="AH2049" s="6" t="str">
        <f t="shared" ca="1" si="570"/>
        <v>20238</v>
      </c>
      <c r="AI2049" s="6">
        <f t="shared" ca="1" si="571"/>
        <v>2023</v>
      </c>
      <c r="AJ2049" s="6">
        <f t="shared" ca="1" si="572"/>
        <v>8</v>
      </c>
      <c r="AK2049" s="68">
        <f ca="1">IFERROR(__xludf.DUMMYFUNCTION("""COMPUTED_VALUE"""),45142.9986111111)</f>
        <v>45142.998611111099</v>
      </c>
      <c r="AL2049" s="6">
        <f ca="1">IFERROR(__xludf.DUMMYFUNCTION("""COMPUTED_VALUE"""),29107.64)</f>
        <v>29107.64</v>
      </c>
      <c r="AP2049" s="6" t="str">
        <f t="shared" ca="1" si="573"/>
        <v>20263</v>
      </c>
      <c r="AQ2049" s="6">
        <f t="shared" ca="1" si="574"/>
        <v>2026</v>
      </c>
      <c r="AR2049" s="6">
        <f t="shared" ca="1" si="575"/>
        <v>3</v>
      </c>
      <c r="AS2049" s="68">
        <f ca="1">IFERROR(__xludf.DUMMYFUNCTION("""COMPUTED_VALUE"""),46085.9986111111)</f>
        <v>46085.998611111099</v>
      </c>
      <c r="AT2049" s="6">
        <f ca="1">IFERROR(__xludf.DUMMYFUNCTION("""COMPUTED_VALUE"""),5134.7)</f>
        <v>5134.7</v>
      </c>
    </row>
    <row r="2050" spans="2:46" x14ac:dyDescent="0.35">
      <c r="B2050" s="6" t="str">
        <f t="shared" ca="1" si="558"/>
        <v>20262</v>
      </c>
      <c r="C2050" s="6">
        <f t="shared" ca="1" si="559"/>
        <v>2026</v>
      </c>
      <c r="D2050" s="6">
        <f t="shared" ca="1" si="560"/>
        <v>2</v>
      </c>
      <c r="E2050" s="68">
        <f ca="1">IFERROR(__xludf.DUMMYFUNCTION("""COMPUTED_VALUE"""),46079.6666666666)</f>
        <v>46079.666666666599</v>
      </c>
      <c r="F2050" s="6">
        <f ca="1">IFERROR(__xludf.DUMMYFUNCTION("""COMPUTED_VALUE"""),6908.86)</f>
        <v>6908.86</v>
      </c>
      <c r="J2050" s="6" t="str">
        <f t="shared" ca="1" si="561"/>
        <v>20262</v>
      </c>
      <c r="K2050" s="6">
        <f t="shared" ca="1" si="562"/>
        <v>2026</v>
      </c>
      <c r="L2050" s="6">
        <f t="shared" ca="1" si="563"/>
        <v>2</v>
      </c>
      <c r="M2050" s="68">
        <f ca="1">IFERROR(__xludf.DUMMYFUNCTION("""COMPUTED_VALUE"""),46073.6666666666)</f>
        <v>46073.666666666599</v>
      </c>
      <c r="N2050" s="6">
        <f ca="1">IFERROR(__xludf.DUMMYFUNCTION("""COMPUTED_VALUE"""),22886.07)</f>
        <v>22886.07</v>
      </c>
      <c r="R2050" s="6" t="str">
        <f t="shared" ca="1" si="564"/>
        <v>20265</v>
      </c>
      <c r="S2050" s="6">
        <f t="shared" ca="1" si="565"/>
        <v>2026</v>
      </c>
      <c r="T2050" s="6">
        <f t="shared" ca="1" si="566"/>
        <v>5</v>
      </c>
      <c r="U2050" s="68">
        <f ca="1">IFERROR(__xludf.DUMMYFUNCTION("""COMPUTED_VALUE"""),46156.6458333333)</f>
        <v>46156.645833333299</v>
      </c>
      <c r="V2050" s="6">
        <f ca="1">IFERROR(__xludf.DUMMYFUNCTION("""COMPUTED_VALUE"""),7981.41)</f>
        <v>7981.41</v>
      </c>
      <c r="Z2050" s="6" t="str">
        <f t="shared" ca="1" si="567"/>
        <v>20239</v>
      </c>
      <c r="AA2050" s="6">
        <f t="shared" ca="1" si="568"/>
        <v>2023</v>
      </c>
      <c r="AB2050" s="6">
        <f t="shared" ca="1" si="569"/>
        <v>9</v>
      </c>
      <c r="AC2050" s="68">
        <f ca="1">IFERROR(__xludf.DUMMYFUNCTION("""COMPUTED_VALUE"""),45199.9986111111)</f>
        <v>45199.998611111099</v>
      </c>
      <c r="AD2050" s="6">
        <f ca="1">IFERROR(__xludf.DUMMYFUNCTION("""COMPUTED_VALUE"""),1351.93)</f>
        <v>1351.93</v>
      </c>
      <c r="AH2050" s="6" t="str">
        <f t="shared" ca="1" si="570"/>
        <v>20238</v>
      </c>
      <c r="AI2050" s="6">
        <f t="shared" ca="1" si="571"/>
        <v>2023</v>
      </c>
      <c r="AJ2050" s="6">
        <f t="shared" ca="1" si="572"/>
        <v>8</v>
      </c>
      <c r="AK2050" s="68">
        <f ca="1">IFERROR(__xludf.DUMMYFUNCTION("""COMPUTED_VALUE"""),45143.9986111111)</f>
        <v>45143.998611111099</v>
      </c>
      <c r="AL2050" s="6">
        <f ca="1">IFERROR(__xludf.DUMMYFUNCTION("""COMPUTED_VALUE"""),29077.05)</f>
        <v>29077.05</v>
      </c>
      <c r="AP2050" s="6" t="str">
        <f t="shared" ca="1" si="573"/>
        <v>20263</v>
      </c>
      <c r="AQ2050" s="6">
        <f t="shared" ca="1" si="574"/>
        <v>2026</v>
      </c>
      <c r="AR2050" s="6">
        <f t="shared" ca="1" si="575"/>
        <v>3</v>
      </c>
      <c r="AS2050" s="68">
        <f ca="1">IFERROR(__xludf.DUMMYFUNCTION("""COMPUTED_VALUE"""),46086.9986111111)</f>
        <v>46086.998611111099</v>
      </c>
      <c r="AT2050" s="6">
        <f ca="1">IFERROR(__xludf.DUMMYFUNCTION("""COMPUTED_VALUE"""),5078.7)</f>
        <v>5078.7</v>
      </c>
    </row>
    <row r="2051" spans="2:46" x14ac:dyDescent="0.35">
      <c r="B2051" s="6" t="str">
        <f t="shared" ca="1" si="558"/>
        <v>20262</v>
      </c>
      <c r="C2051" s="6">
        <f t="shared" ca="1" si="559"/>
        <v>2026</v>
      </c>
      <c r="D2051" s="6">
        <f t="shared" ca="1" si="560"/>
        <v>2</v>
      </c>
      <c r="E2051" s="68">
        <f ca="1">IFERROR(__xludf.DUMMYFUNCTION("""COMPUTED_VALUE"""),46080.6666666666)</f>
        <v>46080.666666666599</v>
      </c>
      <c r="F2051" s="6">
        <f ca="1">IFERROR(__xludf.DUMMYFUNCTION("""COMPUTED_VALUE"""),6878.88)</f>
        <v>6878.88</v>
      </c>
      <c r="J2051" s="6" t="str">
        <f t="shared" ca="1" si="561"/>
        <v>20262</v>
      </c>
      <c r="K2051" s="6">
        <f t="shared" ca="1" si="562"/>
        <v>2026</v>
      </c>
      <c r="L2051" s="6">
        <f t="shared" ca="1" si="563"/>
        <v>2</v>
      </c>
      <c r="M2051" s="68">
        <f ca="1">IFERROR(__xludf.DUMMYFUNCTION("""COMPUTED_VALUE"""),46076.6666666666)</f>
        <v>46076.666666666599</v>
      </c>
      <c r="N2051" s="6">
        <f ca="1">IFERROR(__xludf.DUMMYFUNCTION("""COMPUTED_VALUE"""),22627.27)</f>
        <v>22627.27</v>
      </c>
      <c r="R2051" s="6" t="str">
        <f t="shared" ca="1" si="564"/>
        <v>20265</v>
      </c>
      <c r="S2051" s="6">
        <f t="shared" ca="1" si="565"/>
        <v>2026</v>
      </c>
      <c r="T2051" s="6">
        <f t="shared" ca="1" si="566"/>
        <v>5</v>
      </c>
      <c r="U2051" s="68">
        <f ca="1">IFERROR(__xludf.DUMMYFUNCTION("""COMPUTED_VALUE"""),46157.6458333333)</f>
        <v>46157.645833333299</v>
      </c>
      <c r="V2051" s="6">
        <f ca="1">IFERROR(__xludf.DUMMYFUNCTION("""COMPUTED_VALUE"""),7493.18)</f>
        <v>7493.18</v>
      </c>
      <c r="Z2051" s="6" t="str">
        <f t="shared" ca="1" si="567"/>
        <v>202310</v>
      </c>
      <c r="AA2051" s="6">
        <f t="shared" ca="1" si="568"/>
        <v>2023</v>
      </c>
      <c r="AB2051" s="6">
        <f t="shared" ca="1" si="569"/>
        <v>10</v>
      </c>
      <c r="AC2051" s="68">
        <f ca="1">IFERROR(__xludf.DUMMYFUNCTION("""COMPUTED_VALUE"""),45200.9986111111)</f>
        <v>45200.998611111099</v>
      </c>
      <c r="AD2051" s="6">
        <f ca="1">IFERROR(__xludf.DUMMYFUNCTION("""COMPUTED_VALUE"""),1351.94)</f>
        <v>1351.94</v>
      </c>
      <c r="AH2051" s="6" t="str">
        <f t="shared" ca="1" si="570"/>
        <v>20238</v>
      </c>
      <c r="AI2051" s="6">
        <f t="shared" ca="1" si="571"/>
        <v>2023</v>
      </c>
      <c r="AJ2051" s="6">
        <f t="shared" ca="1" si="572"/>
        <v>8</v>
      </c>
      <c r="AK2051" s="68">
        <f ca="1">IFERROR(__xludf.DUMMYFUNCTION("""COMPUTED_VALUE"""),45144.9986111111)</f>
        <v>45144.998611111099</v>
      </c>
      <c r="AL2051" s="6">
        <f ca="1">IFERROR(__xludf.DUMMYFUNCTION("""COMPUTED_VALUE"""),29071.92)</f>
        <v>29071.919999999998</v>
      </c>
      <c r="AP2051" s="6" t="str">
        <f t="shared" ca="1" si="573"/>
        <v>20263</v>
      </c>
      <c r="AQ2051" s="6">
        <f t="shared" ca="1" si="574"/>
        <v>2026</v>
      </c>
      <c r="AR2051" s="6">
        <f t="shared" ca="1" si="575"/>
        <v>3</v>
      </c>
      <c r="AS2051" s="68">
        <f ca="1">IFERROR(__xludf.DUMMYFUNCTION("""COMPUTED_VALUE"""),46087.9986111111)</f>
        <v>46087.998611111099</v>
      </c>
      <c r="AT2051" s="6">
        <f ca="1">IFERROR(__xludf.DUMMYFUNCTION("""COMPUTED_VALUE"""),5158.7)</f>
        <v>5158.7</v>
      </c>
    </row>
    <row r="2052" spans="2:46" x14ac:dyDescent="0.35">
      <c r="B2052" s="6" t="str">
        <f t="shared" ca="1" si="558"/>
        <v>20263</v>
      </c>
      <c r="C2052" s="6">
        <f t="shared" ca="1" si="559"/>
        <v>2026</v>
      </c>
      <c r="D2052" s="6">
        <f t="shared" ca="1" si="560"/>
        <v>3</v>
      </c>
      <c r="E2052" s="68">
        <f ca="1">IFERROR(__xludf.DUMMYFUNCTION("""COMPUTED_VALUE"""),46083.6666666666)</f>
        <v>46083.666666666599</v>
      </c>
      <c r="F2052" s="6">
        <f ca="1">IFERROR(__xludf.DUMMYFUNCTION("""COMPUTED_VALUE"""),6881.62)</f>
        <v>6881.62</v>
      </c>
      <c r="J2052" s="6" t="str">
        <f t="shared" ca="1" si="561"/>
        <v>20262</v>
      </c>
      <c r="K2052" s="6">
        <f t="shared" ca="1" si="562"/>
        <v>2026</v>
      </c>
      <c r="L2052" s="6">
        <f t="shared" ca="1" si="563"/>
        <v>2</v>
      </c>
      <c r="M2052" s="68">
        <f ca="1">IFERROR(__xludf.DUMMYFUNCTION("""COMPUTED_VALUE"""),46077.6666666666)</f>
        <v>46077.666666666599</v>
      </c>
      <c r="N2052" s="6">
        <f ca="1">IFERROR(__xludf.DUMMYFUNCTION("""COMPUTED_VALUE"""),22863.68)</f>
        <v>22863.68</v>
      </c>
      <c r="R2052" s="6" t="str">
        <f t="shared" ca="1" si="564"/>
        <v>20265</v>
      </c>
      <c r="S2052" s="6">
        <f t="shared" ca="1" si="565"/>
        <v>2026</v>
      </c>
      <c r="T2052" s="6">
        <f t="shared" ca="1" si="566"/>
        <v>5</v>
      </c>
      <c r="U2052" s="68">
        <f ca="1">IFERROR(__xludf.DUMMYFUNCTION("""COMPUTED_VALUE"""),46160.6458333333)</f>
        <v>46160.645833333299</v>
      </c>
      <c r="V2052" s="6">
        <f ca="1">IFERROR(__xludf.DUMMYFUNCTION("""COMPUTED_VALUE"""),7516.04)</f>
        <v>7516.04</v>
      </c>
      <c r="Z2052" s="6" t="str">
        <f t="shared" ca="1" si="567"/>
        <v>202310</v>
      </c>
      <c r="AA2052" s="6">
        <f t="shared" ca="1" si="568"/>
        <v>2023</v>
      </c>
      <c r="AB2052" s="6">
        <f t="shared" ca="1" si="569"/>
        <v>10</v>
      </c>
      <c r="AC2052" s="68">
        <f ca="1">IFERROR(__xludf.DUMMYFUNCTION("""COMPUTED_VALUE"""),45201.9986111111)</f>
        <v>45201.998611111099</v>
      </c>
      <c r="AD2052" s="6">
        <f ca="1">IFERROR(__xludf.DUMMYFUNCTION("""COMPUTED_VALUE"""),1354.19)</f>
        <v>1354.19</v>
      </c>
      <c r="AH2052" s="6" t="str">
        <f t="shared" ca="1" si="570"/>
        <v>20238</v>
      </c>
      <c r="AI2052" s="6">
        <f t="shared" ca="1" si="571"/>
        <v>2023</v>
      </c>
      <c r="AJ2052" s="6">
        <f t="shared" ca="1" si="572"/>
        <v>8</v>
      </c>
      <c r="AK2052" s="68">
        <f ca="1">IFERROR(__xludf.DUMMYFUNCTION("""COMPUTED_VALUE"""),45145.9986111111)</f>
        <v>45145.998611111099</v>
      </c>
      <c r="AL2052" s="6">
        <f ca="1">IFERROR(__xludf.DUMMYFUNCTION("""COMPUTED_VALUE"""),29189.82)</f>
        <v>29189.82</v>
      </c>
      <c r="AP2052" s="6" t="str">
        <f t="shared" ca="1" si="573"/>
        <v>20263</v>
      </c>
      <c r="AQ2052" s="6">
        <f t="shared" ca="1" si="574"/>
        <v>2026</v>
      </c>
      <c r="AR2052" s="6">
        <f t="shared" ca="1" si="575"/>
        <v>3</v>
      </c>
      <c r="AS2052" s="68">
        <f ca="1">IFERROR(__xludf.DUMMYFUNCTION("""COMPUTED_VALUE"""),46090.9986111111)</f>
        <v>46090.998611111099</v>
      </c>
      <c r="AT2052" s="6">
        <f ca="1">IFERROR(__xludf.DUMMYFUNCTION("""COMPUTED_VALUE"""),5103.7)</f>
        <v>5103.7</v>
      </c>
    </row>
    <row r="2053" spans="2:46" x14ac:dyDescent="0.35">
      <c r="B2053" s="6" t="str">
        <f t="shared" ca="1" si="558"/>
        <v>20263</v>
      </c>
      <c r="C2053" s="6">
        <f t="shared" ca="1" si="559"/>
        <v>2026</v>
      </c>
      <c r="D2053" s="6">
        <f t="shared" ca="1" si="560"/>
        <v>3</v>
      </c>
      <c r="E2053" s="68">
        <f ca="1">IFERROR(__xludf.DUMMYFUNCTION("""COMPUTED_VALUE"""),46084.6666666666)</f>
        <v>46084.666666666599</v>
      </c>
      <c r="F2053" s="6">
        <f ca="1">IFERROR(__xludf.DUMMYFUNCTION("""COMPUTED_VALUE"""),6816.63)</f>
        <v>6816.63</v>
      </c>
      <c r="J2053" s="6" t="str">
        <f t="shared" ca="1" si="561"/>
        <v>20262</v>
      </c>
      <c r="K2053" s="6">
        <f t="shared" ca="1" si="562"/>
        <v>2026</v>
      </c>
      <c r="L2053" s="6">
        <f t="shared" ca="1" si="563"/>
        <v>2</v>
      </c>
      <c r="M2053" s="68">
        <f ca="1">IFERROR(__xludf.DUMMYFUNCTION("""COMPUTED_VALUE"""),46078.6666666666)</f>
        <v>46078.666666666599</v>
      </c>
      <c r="N2053" s="6">
        <f ca="1">IFERROR(__xludf.DUMMYFUNCTION("""COMPUTED_VALUE"""),23152.08)</f>
        <v>23152.080000000002</v>
      </c>
      <c r="R2053" s="6" t="str">
        <f t="shared" ca="1" si="564"/>
        <v>20265</v>
      </c>
      <c r="S2053" s="6">
        <f t="shared" ca="1" si="565"/>
        <v>2026</v>
      </c>
      <c r="T2053" s="6">
        <f t="shared" ca="1" si="566"/>
        <v>5</v>
      </c>
      <c r="U2053" s="68">
        <f ca="1">IFERROR(__xludf.DUMMYFUNCTION("""COMPUTED_VALUE"""),46161.6458333333)</f>
        <v>46161.645833333299</v>
      </c>
      <c r="V2053" s="6">
        <f ca="1">IFERROR(__xludf.DUMMYFUNCTION("""COMPUTED_VALUE"""),7271.66)</f>
        <v>7271.66</v>
      </c>
      <c r="Z2053" s="6" t="str">
        <f t="shared" ca="1" si="567"/>
        <v>202310</v>
      </c>
      <c r="AA2053" s="6">
        <f t="shared" ca="1" si="568"/>
        <v>2023</v>
      </c>
      <c r="AB2053" s="6">
        <f t="shared" ca="1" si="569"/>
        <v>10</v>
      </c>
      <c r="AC2053" s="68">
        <f ca="1">IFERROR(__xludf.DUMMYFUNCTION("""COMPUTED_VALUE"""),45202.9986111111)</f>
        <v>45202.998611111099</v>
      </c>
      <c r="AD2053" s="6">
        <f ca="1">IFERROR(__xludf.DUMMYFUNCTION("""COMPUTED_VALUE"""),1359.22)</f>
        <v>1359.22</v>
      </c>
      <c r="AH2053" s="6" t="str">
        <f t="shared" ca="1" si="570"/>
        <v>20238</v>
      </c>
      <c r="AI2053" s="6">
        <f t="shared" ca="1" si="571"/>
        <v>2023</v>
      </c>
      <c r="AJ2053" s="6">
        <f t="shared" ca="1" si="572"/>
        <v>8</v>
      </c>
      <c r="AK2053" s="68">
        <f ca="1">IFERROR(__xludf.DUMMYFUNCTION("""COMPUTED_VALUE"""),45146.9986111111)</f>
        <v>45146.998611111099</v>
      </c>
      <c r="AL2053" s="6">
        <f ca="1">IFERROR(__xludf.DUMMYFUNCTION("""COMPUTED_VALUE"""),29771.04)</f>
        <v>29771.040000000001</v>
      </c>
      <c r="AP2053" s="6" t="str">
        <f t="shared" ca="1" si="573"/>
        <v>20263</v>
      </c>
      <c r="AQ2053" s="6">
        <f t="shared" ca="1" si="574"/>
        <v>2026</v>
      </c>
      <c r="AR2053" s="6">
        <f t="shared" ca="1" si="575"/>
        <v>3</v>
      </c>
      <c r="AS2053" s="68">
        <f ca="1">IFERROR(__xludf.DUMMYFUNCTION("""COMPUTED_VALUE"""),46091.9986111111)</f>
        <v>46091.998611111099</v>
      </c>
      <c r="AT2053" s="6">
        <f ca="1">IFERROR(__xludf.DUMMYFUNCTION("""COMPUTED_VALUE"""),5242.1)</f>
        <v>5242.1000000000004</v>
      </c>
    </row>
    <row r="2054" spans="2:46" x14ac:dyDescent="0.35">
      <c r="B2054" s="6" t="str">
        <f t="shared" ca="1" si="558"/>
        <v>20263</v>
      </c>
      <c r="C2054" s="6">
        <f t="shared" ca="1" si="559"/>
        <v>2026</v>
      </c>
      <c r="D2054" s="6">
        <f t="shared" ca="1" si="560"/>
        <v>3</v>
      </c>
      <c r="E2054" s="68">
        <f ca="1">IFERROR(__xludf.DUMMYFUNCTION("""COMPUTED_VALUE"""),46085.6666666666)</f>
        <v>46085.666666666599</v>
      </c>
      <c r="F2054" s="6">
        <f ca="1">IFERROR(__xludf.DUMMYFUNCTION("""COMPUTED_VALUE"""),6869.5)</f>
        <v>6869.5</v>
      </c>
      <c r="J2054" s="6" t="str">
        <f t="shared" ca="1" si="561"/>
        <v>20262</v>
      </c>
      <c r="K2054" s="6">
        <f t="shared" ca="1" si="562"/>
        <v>2026</v>
      </c>
      <c r="L2054" s="6">
        <f t="shared" ca="1" si="563"/>
        <v>2</v>
      </c>
      <c r="M2054" s="68">
        <f ca="1">IFERROR(__xludf.DUMMYFUNCTION("""COMPUTED_VALUE"""),46079.6666666666)</f>
        <v>46079.666666666599</v>
      </c>
      <c r="N2054" s="6">
        <f ca="1">IFERROR(__xludf.DUMMYFUNCTION("""COMPUTED_VALUE"""),22878.38)</f>
        <v>22878.38</v>
      </c>
      <c r="R2054" s="6" t="str">
        <f t="shared" ca="1" si="564"/>
        <v>20265</v>
      </c>
      <c r="S2054" s="6">
        <f t="shared" ca="1" si="565"/>
        <v>2026</v>
      </c>
      <c r="T2054" s="6">
        <f t="shared" ca="1" si="566"/>
        <v>5</v>
      </c>
      <c r="U2054" s="68">
        <f ca="1">IFERROR(__xludf.DUMMYFUNCTION("""COMPUTED_VALUE"""),46162.6458333333)</f>
        <v>46162.645833333299</v>
      </c>
      <c r="V2054" s="6">
        <f ca="1">IFERROR(__xludf.DUMMYFUNCTION("""COMPUTED_VALUE"""),7208.95)</f>
        <v>7208.95</v>
      </c>
      <c r="Z2054" s="6" t="str">
        <f t="shared" ca="1" si="567"/>
        <v>202310</v>
      </c>
      <c r="AA2054" s="6">
        <f t="shared" ca="1" si="568"/>
        <v>2023</v>
      </c>
      <c r="AB2054" s="6">
        <f t="shared" ca="1" si="569"/>
        <v>10</v>
      </c>
      <c r="AC2054" s="68">
        <f ca="1">IFERROR(__xludf.DUMMYFUNCTION("""COMPUTED_VALUE"""),45203.9986111111)</f>
        <v>45203.998611111099</v>
      </c>
      <c r="AD2054" s="6">
        <f ca="1">IFERROR(__xludf.DUMMYFUNCTION("""COMPUTED_VALUE"""),1351.16)</f>
        <v>1351.16</v>
      </c>
      <c r="AH2054" s="6" t="str">
        <f t="shared" ca="1" si="570"/>
        <v>20238</v>
      </c>
      <c r="AI2054" s="6">
        <f t="shared" ca="1" si="571"/>
        <v>2023</v>
      </c>
      <c r="AJ2054" s="6">
        <f t="shared" ca="1" si="572"/>
        <v>8</v>
      </c>
      <c r="AK2054" s="68">
        <f ca="1">IFERROR(__xludf.DUMMYFUNCTION("""COMPUTED_VALUE"""),45147.9986111111)</f>
        <v>45147.998611111099</v>
      </c>
      <c r="AL2054" s="6">
        <f ca="1">IFERROR(__xludf.DUMMYFUNCTION("""COMPUTED_VALUE"""),29569.32)</f>
        <v>29569.32</v>
      </c>
      <c r="AP2054" s="6" t="str">
        <f t="shared" ca="1" si="573"/>
        <v>20263</v>
      </c>
      <c r="AQ2054" s="6">
        <f t="shared" ca="1" si="574"/>
        <v>2026</v>
      </c>
      <c r="AR2054" s="6">
        <f t="shared" ca="1" si="575"/>
        <v>3</v>
      </c>
      <c r="AS2054" s="68">
        <f ca="1">IFERROR(__xludf.DUMMYFUNCTION("""COMPUTED_VALUE"""),46092.9986111111)</f>
        <v>46092.998611111099</v>
      </c>
      <c r="AT2054" s="6">
        <f ca="1">IFERROR(__xludf.DUMMYFUNCTION("""COMPUTED_VALUE"""),5179.1)</f>
        <v>5179.1000000000004</v>
      </c>
    </row>
    <row r="2055" spans="2:46" x14ac:dyDescent="0.35">
      <c r="B2055" s="6" t="str">
        <f t="shared" ref="B2055:B2118" ca="1" si="576">C2055&amp;D2055</f>
        <v>20263</v>
      </c>
      <c r="C2055" s="6">
        <f t="shared" ref="C2055:C2118" ca="1" si="577">YEAR(E2055)</f>
        <v>2026</v>
      </c>
      <c r="D2055" s="6">
        <f t="shared" ref="D2055:D2118" ca="1" si="578">MONTH(E2055)</f>
        <v>3</v>
      </c>
      <c r="E2055" s="68">
        <f ca="1">IFERROR(__xludf.DUMMYFUNCTION("""COMPUTED_VALUE"""),46086.6666666666)</f>
        <v>46086.666666666599</v>
      </c>
      <c r="F2055" s="6">
        <f ca="1">IFERROR(__xludf.DUMMYFUNCTION("""COMPUTED_VALUE"""),6830.71)</f>
        <v>6830.71</v>
      </c>
      <c r="J2055" s="6" t="str">
        <f t="shared" ref="J2055:J2118" ca="1" si="579">K2055&amp;L2055</f>
        <v>20262</v>
      </c>
      <c r="K2055" s="6">
        <f t="shared" ref="K2055:K2118" ca="1" si="580">YEAR(M2055)</f>
        <v>2026</v>
      </c>
      <c r="L2055" s="6">
        <f t="shared" ref="L2055:L2118" ca="1" si="581">MONTH(M2055)</f>
        <v>2</v>
      </c>
      <c r="M2055" s="68">
        <f ca="1">IFERROR(__xludf.DUMMYFUNCTION("""COMPUTED_VALUE"""),46080.6666666666)</f>
        <v>46080.666666666599</v>
      </c>
      <c r="N2055" s="6">
        <f ca="1">IFERROR(__xludf.DUMMYFUNCTION("""COMPUTED_VALUE"""),22668.21)</f>
        <v>22668.21</v>
      </c>
      <c r="R2055" s="6" t="str">
        <f t="shared" ref="R2055:R2118" ca="1" si="582">S2055&amp;T2055</f>
        <v>20265</v>
      </c>
      <c r="S2055" s="6">
        <f t="shared" ref="S2055:S2118" ca="1" si="583">YEAR(U2055)</f>
        <v>2026</v>
      </c>
      <c r="T2055" s="6">
        <f t="shared" ref="T2055:T2118" ca="1" si="584">MONTH(U2055)</f>
        <v>5</v>
      </c>
      <c r="U2055" s="68">
        <f ca="1">IFERROR(__xludf.DUMMYFUNCTION("""COMPUTED_VALUE"""),46163.6458333333)</f>
        <v>46163.645833333299</v>
      </c>
      <c r="V2055" s="6">
        <f ca="1">IFERROR(__xludf.DUMMYFUNCTION("""COMPUTED_VALUE"""),7815.59)</f>
        <v>7815.59</v>
      </c>
      <c r="Z2055" s="6" t="str">
        <f t="shared" ref="Z2055:Z2118" ca="1" si="585">AA2055&amp;AB2055</f>
        <v>202310</v>
      </c>
      <c r="AA2055" s="6">
        <f t="shared" ref="AA2055:AA2118" ca="1" si="586">YEAR(AC2055)</f>
        <v>2023</v>
      </c>
      <c r="AB2055" s="6">
        <f t="shared" ref="AB2055:AB2118" ca="1" si="587">MONTH(AC2055)</f>
        <v>10</v>
      </c>
      <c r="AC2055" s="68">
        <f ca="1">IFERROR(__xludf.DUMMYFUNCTION("""COMPUTED_VALUE"""),45204.9986111111)</f>
        <v>45204.998611111099</v>
      </c>
      <c r="AD2055" s="6">
        <f ca="1">IFERROR(__xludf.DUMMYFUNCTION("""COMPUTED_VALUE"""),1346.06)</f>
        <v>1346.06</v>
      </c>
      <c r="AH2055" s="6" t="str">
        <f t="shared" ref="AH2055:AH2118" ca="1" si="588">AI2055&amp;AJ2055</f>
        <v>20238</v>
      </c>
      <c r="AI2055" s="6">
        <f t="shared" ref="AI2055:AI2118" ca="1" si="589">YEAR(AK2055)</f>
        <v>2023</v>
      </c>
      <c r="AJ2055" s="6">
        <f t="shared" ref="AJ2055:AJ2118" ca="1" si="590">MONTH(AK2055)</f>
        <v>8</v>
      </c>
      <c r="AK2055" s="68">
        <f ca="1">IFERROR(__xludf.DUMMYFUNCTION("""COMPUTED_VALUE"""),45148.9986111111)</f>
        <v>45148.998611111099</v>
      </c>
      <c r="AL2055" s="6">
        <f ca="1">IFERROR(__xludf.DUMMYFUNCTION("""COMPUTED_VALUE"""),29439.7)</f>
        <v>29439.7</v>
      </c>
      <c r="AP2055" s="6" t="str">
        <f t="shared" ref="AP2055:AP2118" ca="1" si="591">AQ2055&amp;AR2055</f>
        <v>20263</v>
      </c>
      <c r="AQ2055" s="6">
        <f t="shared" ref="AQ2055:AQ2118" ca="1" si="592">YEAR(AS2055)</f>
        <v>2026</v>
      </c>
      <c r="AR2055" s="6">
        <f t="shared" ref="AR2055:AR2118" ca="1" si="593">MONTH(AS2055)</f>
        <v>3</v>
      </c>
      <c r="AS2055" s="68">
        <f ca="1">IFERROR(__xludf.DUMMYFUNCTION("""COMPUTED_VALUE"""),46093.9986111111)</f>
        <v>46093.998611111099</v>
      </c>
      <c r="AT2055" s="6">
        <f ca="1">IFERROR(__xludf.DUMMYFUNCTION("""COMPUTED_VALUE"""),5125.8)</f>
        <v>5125.8</v>
      </c>
    </row>
    <row r="2056" spans="2:46" x14ac:dyDescent="0.35">
      <c r="B2056" s="6" t="str">
        <f t="shared" ca="1" si="576"/>
        <v>20263</v>
      </c>
      <c r="C2056" s="6">
        <f t="shared" ca="1" si="577"/>
        <v>2026</v>
      </c>
      <c r="D2056" s="6">
        <f t="shared" ca="1" si="578"/>
        <v>3</v>
      </c>
      <c r="E2056" s="68">
        <f ca="1">IFERROR(__xludf.DUMMYFUNCTION("""COMPUTED_VALUE"""),46087.6666666666)</f>
        <v>46087.666666666599</v>
      </c>
      <c r="F2056" s="6">
        <f ca="1">IFERROR(__xludf.DUMMYFUNCTION("""COMPUTED_VALUE"""),6740.02)</f>
        <v>6740.02</v>
      </c>
      <c r="J2056" s="6" t="str">
        <f t="shared" ca="1" si="579"/>
        <v>20263</v>
      </c>
      <c r="K2056" s="6">
        <f t="shared" ca="1" si="580"/>
        <v>2026</v>
      </c>
      <c r="L2056" s="6">
        <f t="shared" ca="1" si="581"/>
        <v>3</v>
      </c>
      <c r="M2056" s="68">
        <f ca="1">IFERROR(__xludf.DUMMYFUNCTION("""COMPUTED_VALUE"""),46083.6666666666)</f>
        <v>46083.666666666599</v>
      </c>
      <c r="N2056" s="6">
        <f ca="1">IFERROR(__xludf.DUMMYFUNCTION("""COMPUTED_VALUE"""),22748.86)</f>
        <v>22748.86</v>
      </c>
      <c r="R2056" s="6" t="str">
        <f t="shared" ca="1" si="582"/>
        <v>20265</v>
      </c>
      <c r="S2056" s="6">
        <f t="shared" ca="1" si="583"/>
        <v>2026</v>
      </c>
      <c r="T2056" s="6">
        <f t="shared" ca="1" si="584"/>
        <v>5</v>
      </c>
      <c r="U2056" s="68">
        <f ca="1">IFERROR(__xludf.DUMMYFUNCTION("""COMPUTED_VALUE"""),46164.6458333333)</f>
        <v>46164.645833333299</v>
      </c>
      <c r="V2056" s="6">
        <f ca="1">IFERROR(__xludf.DUMMYFUNCTION("""COMPUTED_VALUE"""),7847.71)</f>
        <v>7847.71</v>
      </c>
      <c r="Z2056" s="6" t="str">
        <f t="shared" ca="1" si="585"/>
        <v>202310</v>
      </c>
      <c r="AA2056" s="6">
        <f t="shared" ca="1" si="586"/>
        <v>2023</v>
      </c>
      <c r="AB2056" s="6">
        <f t="shared" ca="1" si="587"/>
        <v>10</v>
      </c>
      <c r="AC2056" s="68">
        <f ca="1">IFERROR(__xludf.DUMMYFUNCTION("""COMPUTED_VALUE"""),45205.9986111111)</f>
        <v>45205.998611111099</v>
      </c>
      <c r="AD2056" s="6">
        <f ca="1">IFERROR(__xludf.DUMMYFUNCTION("""COMPUTED_VALUE"""),1343.24)</f>
        <v>1343.24</v>
      </c>
      <c r="AH2056" s="6" t="str">
        <f t="shared" ca="1" si="588"/>
        <v>20238</v>
      </c>
      <c r="AI2056" s="6">
        <f t="shared" ca="1" si="589"/>
        <v>2023</v>
      </c>
      <c r="AJ2056" s="6">
        <f t="shared" ca="1" si="590"/>
        <v>8</v>
      </c>
      <c r="AK2056" s="68">
        <f ca="1">IFERROR(__xludf.DUMMYFUNCTION("""COMPUTED_VALUE"""),45149.9986111111)</f>
        <v>45149.998611111099</v>
      </c>
      <c r="AL2056" s="6">
        <f ca="1">IFERROR(__xludf.DUMMYFUNCTION("""COMPUTED_VALUE"""),29416.77)</f>
        <v>29416.77</v>
      </c>
      <c r="AP2056" s="6" t="str">
        <f t="shared" ca="1" si="591"/>
        <v>20263</v>
      </c>
      <c r="AQ2056" s="6">
        <f t="shared" ca="1" si="592"/>
        <v>2026</v>
      </c>
      <c r="AR2056" s="6">
        <f t="shared" ca="1" si="593"/>
        <v>3</v>
      </c>
      <c r="AS2056" s="68">
        <f ca="1">IFERROR(__xludf.DUMMYFUNCTION("""COMPUTED_VALUE"""),46094.9986111111)</f>
        <v>46094.998611111099</v>
      </c>
      <c r="AT2056" s="6">
        <f ca="1">IFERROR(__xludf.DUMMYFUNCTION("""COMPUTED_VALUE"""),5061.7)</f>
        <v>5061.7</v>
      </c>
    </row>
    <row r="2057" spans="2:46" x14ac:dyDescent="0.35">
      <c r="B2057" s="6" t="str">
        <f t="shared" ca="1" si="576"/>
        <v>20263</v>
      </c>
      <c r="C2057" s="6">
        <f t="shared" ca="1" si="577"/>
        <v>2026</v>
      </c>
      <c r="D2057" s="6">
        <f t="shared" ca="1" si="578"/>
        <v>3</v>
      </c>
      <c r="E2057" s="68">
        <f ca="1">IFERROR(__xludf.DUMMYFUNCTION("""COMPUTED_VALUE"""),46090.6666666666)</f>
        <v>46090.666666666599</v>
      </c>
      <c r="F2057" s="6">
        <f ca="1">IFERROR(__xludf.DUMMYFUNCTION("""COMPUTED_VALUE"""),6795.99)</f>
        <v>6795.99</v>
      </c>
      <c r="J2057" s="6" t="str">
        <f t="shared" ca="1" si="579"/>
        <v>20263</v>
      </c>
      <c r="K2057" s="6">
        <f t="shared" ca="1" si="580"/>
        <v>2026</v>
      </c>
      <c r="L2057" s="6">
        <f t="shared" ca="1" si="581"/>
        <v>3</v>
      </c>
      <c r="M2057" s="68">
        <f ca="1">IFERROR(__xludf.DUMMYFUNCTION("""COMPUTED_VALUE"""),46084.6666666666)</f>
        <v>46084.666666666599</v>
      </c>
      <c r="N2057" s="6">
        <f ca="1">IFERROR(__xludf.DUMMYFUNCTION("""COMPUTED_VALUE"""),22516.69)</f>
        <v>22516.69</v>
      </c>
      <c r="R2057" s="6" t="str">
        <f t="shared" ca="1" si="582"/>
        <v>20265</v>
      </c>
      <c r="S2057" s="6">
        <f t="shared" ca="1" si="583"/>
        <v>2026</v>
      </c>
      <c r="T2057" s="6">
        <f t="shared" ca="1" si="584"/>
        <v>5</v>
      </c>
      <c r="U2057" s="68">
        <f ca="1">IFERROR(__xludf.DUMMYFUNCTION("""COMPUTED_VALUE"""),46168.6458333333)</f>
        <v>46168.645833333299</v>
      </c>
      <c r="V2057" s="6">
        <f ca="1">IFERROR(__xludf.DUMMYFUNCTION("""COMPUTED_VALUE"""),8047.51)</f>
        <v>8047.51</v>
      </c>
      <c r="Z2057" s="6" t="str">
        <f t="shared" ca="1" si="585"/>
        <v>202310</v>
      </c>
      <c r="AA2057" s="6">
        <f t="shared" ca="1" si="586"/>
        <v>2023</v>
      </c>
      <c r="AB2057" s="6">
        <f t="shared" ca="1" si="587"/>
        <v>10</v>
      </c>
      <c r="AC2057" s="68">
        <f ca="1">IFERROR(__xludf.DUMMYFUNCTION("""COMPUTED_VALUE"""),45206.9986111111)</f>
        <v>45206.998611111099</v>
      </c>
      <c r="AD2057" s="6">
        <f ca="1">IFERROR(__xludf.DUMMYFUNCTION("""COMPUTED_VALUE"""),1343.24)</f>
        <v>1343.24</v>
      </c>
      <c r="AH2057" s="6" t="str">
        <f t="shared" ca="1" si="588"/>
        <v>20238</v>
      </c>
      <c r="AI2057" s="6">
        <f t="shared" ca="1" si="589"/>
        <v>2023</v>
      </c>
      <c r="AJ2057" s="6">
        <f t="shared" ca="1" si="590"/>
        <v>8</v>
      </c>
      <c r="AK2057" s="68">
        <f ca="1">IFERROR(__xludf.DUMMYFUNCTION("""COMPUTED_VALUE"""),45150.9986111111)</f>
        <v>45150.998611111099</v>
      </c>
      <c r="AL2057" s="6">
        <f ca="1">IFERROR(__xludf.DUMMYFUNCTION("""COMPUTED_VALUE"""),29445.23)</f>
        <v>29445.23</v>
      </c>
      <c r="AP2057" s="6" t="str">
        <f t="shared" ca="1" si="591"/>
        <v>20263</v>
      </c>
      <c r="AQ2057" s="6">
        <f t="shared" ca="1" si="592"/>
        <v>2026</v>
      </c>
      <c r="AR2057" s="6">
        <f t="shared" ca="1" si="593"/>
        <v>3</v>
      </c>
      <c r="AS2057" s="68">
        <f ca="1">IFERROR(__xludf.DUMMYFUNCTION("""COMPUTED_VALUE"""),46097.9986111111)</f>
        <v>46097.998611111099</v>
      </c>
      <c r="AT2057" s="6">
        <f ca="1">IFERROR(__xludf.DUMMYFUNCTION("""COMPUTED_VALUE"""),5002.2)</f>
        <v>5002.2</v>
      </c>
    </row>
    <row r="2058" spans="2:46" x14ac:dyDescent="0.35">
      <c r="B2058" s="6" t="str">
        <f t="shared" ca="1" si="576"/>
        <v>20263</v>
      </c>
      <c r="C2058" s="6">
        <f t="shared" ca="1" si="577"/>
        <v>2026</v>
      </c>
      <c r="D2058" s="6">
        <f t="shared" ca="1" si="578"/>
        <v>3</v>
      </c>
      <c r="E2058" s="68">
        <f ca="1">IFERROR(__xludf.DUMMYFUNCTION("""COMPUTED_VALUE"""),46091.6666666666)</f>
        <v>46091.666666666599</v>
      </c>
      <c r="F2058" s="6">
        <f ca="1">IFERROR(__xludf.DUMMYFUNCTION("""COMPUTED_VALUE"""),6781.48)</f>
        <v>6781.48</v>
      </c>
      <c r="J2058" s="6" t="str">
        <f t="shared" ca="1" si="579"/>
        <v>20263</v>
      </c>
      <c r="K2058" s="6">
        <f t="shared" ca="1" si="580"/>
        <v>2026</v>
      </c>
      <c r="L2058" s="6">
        <f t="shared" ca="1" si="581"/>
        <v>3</v>
      </c>
      <c r="M2058" s="68">
        <f ca="1">IFERROR(__xludf.DUMMYFUNCTION("""COMPUTED_VALUE"""),46085.6666666666)</f>
        <v>46085.666666666599</v>
      </c>
      <c r="N2058" s="6">
        <f ca="1">IFERROR(__xludf.DUMMYFUNCTION("""COMPUTED_VALUE"""),22807.48)</f>
        <v>22807.48</v>
      </c>
      <c r="R2058" s="6" t="str">
        <f t="shared" ca="1" si="582"/>
        <v>20265</v>
      </c>
      <c r="S2058" s="6">
        <f t="shared" ca="1" si="583"/>
        <v>2026</v>
      </c>
      <c r="T2058" s="6">
        <f t="shared" ca="1" si="584"/>
        <v>5</v>
      </c>
      <c r="U2058" s="68">
        <f ca="1">IFERROR(__xludf.DUMMYFUNCTION("""COMPUTED_VALUE"""),46169.6458333333)</f>
        <v>46169.645833333299</v>
      </c>
      <c r="V2058" s="6">
        <f ca="1">IFERROR(__xludf.DUMMYFUNCTION("""COMPUTED_VALUE"""),8228.7)</f>
        <v>8228.7000000000007</v>
      </c>
      <c r="Z2058" s="6" t="str">
        <f t="shared" ca="1" si="585"/>
        <v>202310</v>
      </c>
      <c r="AA2058" s="6">
        <f t="shared" ca="1" si="586"/>
        <v>2023</v>
      </c>
      <c r="AB2058" s="6">
        <f t="shared" ca="1" si="587"/>
        <v>10</v>
      </c>
      <c r="AC2058" s="68">
        <f ca="1">IFERROR(__xludf.DUMMYFUNCTION("""COMPUTED_VALUE"""),45207.9986111111)</f>
        <v>45207.998611111099</v>
      </c>
      <c r="AD2058" s="6">
        <f ca="1">IFERROR(__xludf.DUMMYFUNCTION("""COMPUTED_VALUE"""),1343.36)</f>
        <v>1343.36</v>
      </c>
      <c r="AH2058" s="6" t="str">
        <f t="shared" ca="1" si="588"/>
        <v>20238</v>
      </c>
      <c r="AI2058" s="6">
        <f t="shared" ca="1" si="589"/>
        <v>2023</v>
      </c>
      <c r="AJ2058" s="6">
        <f t="shared" ca="1" si="590"/>
        <v>8</v>
      </c>
      <c r="AK2058" s="68">
        <f ca="1">IFERROR(__xludf.DUMMYFUNCTION("""COMPUTED_VALUE"""),45151.9986111111)</f>
        <v>45151.998611111099</v>
      </c>
      <c r="AL2058" s="6">
        <f ca="1">IFERROR(__xludf.DUMMYFUNCTION("""COMPUTED_VALUE"""),29301.46)</f>
        <v>29301.46</v>
      </c>
      <c r="AP2058" s="6" t="str">
        <f t="shared" ca="1" si="591"/>
        <v>20263</v>
      </c>
      <c r="AQ2058" s="6">
        <f t="shared" ca="1" si="592"/>
        <v>2026</v>
      </c>
      <c r="AR2058" s="6">
        <f t="shared" ca="1" si="593"/>
        <v>3</v>
      </c>
      <c r="AS2058" s="68">
        <f ca="1">IFERROR(__xludf.DUMMYFUNCTION("""COMPUTED_VALUE"""),46098.9986111111)</f>
        <v>46098.998611111099</v>
      </c>
      <c r="AT2058" s="6">
        <f ca="1">IFERROR(__xludf.DUMMYFUNCTION("""COMPUTED_VALUE"""),5008.2)</f>
        <v>5008.2</v>
      </c>
    </row>
    <row r="2059" spans="2:46" x14ac:dyDescent="0.35">
      <c r="B2059" s="6" t="str">
        <f t="shared" ca="1" si="576"/>
        <v>20263</v>
      </c>
      <c r="C2059" s="6">
        <f t="shared" ca="1" si="577"/>
        <v>2026</v>
      </c>
      <c r="D2059" s="6">
        <f t="shared" ca="1" si="578"/>
        <v>3</v>
      </c>
      <c r="E2059" s="68">
        <f ca="1">IFERROR(__xludf.DUMMYFUNCTION("""COMPUTED_VALUE"""),46092.6666666666)</f>
        <v>46092.666666666599</v>
      </c>
      <c r="F2059" s="6">
        <f ca="1">IFERROR(__xludf.DUMMYFUNCTION("""COMPUTED_VALUE"""),6775.8)</f>
        <v>6775.8</v>
      </c>
      <c r="J2059" s="6" t="str">
        <f t="shared" ca="1" si="579"/>
        <v>20263</v>
      </c>
      <c r="K2059" s="6">
        <f t="shared" ca="1" si="580"/>
        <v>2026</v>
      </c>
      <c r="L2059" s="6">
        <f t="shared" ca="1" si="581"/>
        <v>3</v>
      </c>
      <c r="M2059" s="68">
        <f ca="1">IFERROR(__xludf.DUMMYFUNCTION("""COMPUTED_VALUE"""),46086.6666666666)</f>
        <v>46086.666666666599</v>
      </c>
      <c r="N2059" s="6">
        <f ca="1">IFERROR(__xludf.DUMMYFUNCTION("""COMPUTED_VALUE"""),22748.99)</f>
        <v>22748.99</v>
      </c>
      <c r="R2059" s="6" t="str">
        <f t="shared" ca="1" si="582"/>
        <v>20265</v>
      </c>
      <c r="S2059" s="6">
        <f t="shared" ca="1" si="583"/>
        <v>2026</v>
      </c>
      <c r="T2059" s="6">
        <f t="shared" ca="1" si="584"/>
        <v>5</v>
      </c>
      <c r="U2059" s="68">
        <f ca="1">IFERROR(__xludf.DUMMYFUNCTION("""COMPUTED_VALUE"""),46170.6458333333)</f>
        <v>46170.645833333299</v>
      </c>
      <c r="V2059" s="6">
        <f ca="1">IFERROR(__xludf.DUMMYFUNCTION("""COMPUTED_VALUE"""),8185.29)</f>
        <v>8185.29</v>
      </c>
      <c r="Z2059" s="6" t="str">
        <f t="shared" ca="1" si="585"/>
        <v>202310</v>
      </c>
      <c r="AA2059" s="6">
        <f t="shared" ca="1" si="586"/>
        <v>2023</v>
      </c>
      <c r="AB2059" s="6">
        <f t="shared" ca="1" si="587"/>
        <v>10</v>
      </c>
      <c r="AC2059" s="68">
        <f ca="1">IFERROR(__xludf.DUMMYFUNCTION("""COMPUTED_VALUE"""),45208.9986111111)</f>
        <v>45208.998611111099</v>
      </c>
      <c r="AD2059" s="6">
        <f ca="1">IFERROR(__xludf.DUMMYFUNCTION("""COMPUTED_VALUE"""),1346.89)</f>
        <v>1346.89</v>
      </c>
      <c r="AH2059" s="6" t="str">
        <f t="shared" ca="1" si="588"/>
        <v>20238</v>
      </c>
      <c r="AI2059" s="6">
        <f t="shared" ca="1" si="589"/>
        <v>2023</v>
      </c>
      <c r="AJ2059" s="6">
        <f t="shared" ca="1" si="590"/>
        <v>8</v>
      </c>
      <c r="AK2059" s="68">
        <f ca="1">IFERROR(__xludf.DUMMYFUNCTION("""COMPUTED_VALUE"""),45152.9986111111)</f>
        <v>45152.998611111099</v>
      </c>
      <c r="AL2059" s="6">
        <f ca="1">IFERROR(__xludf.DUMMYFUNCTION("""COMPUTED_VALUE"""),29414.31)</f>
        <v>29414.31</v>
      </c>
      <c r="AP2059" s="6" t="str">
        <f t="shared" ca="1" si="591"/>
        <v>20263</v>
      </c>
      <c r="AQ2059" s="6">
        <f t="shared" ca="1" si="592"/>
        <v>2026</v>
      </c>
      <c r="AR2059" s="6">
        <f t="shared" ca="1" si="593"/>
        <v>3</v>
      </c>
      <c r="AS2059" s="68">
        <f ca="1">IFERROR(__xludf.DUMMYFUNCTION("""COMPUTED_VALUE"""),46099.9986111111)</f>
        <v>46099.998611111099</v>
      </c>
      <c r="AT2059" s="6">
        <f ca="1">IFERROR(__xludf.DUMMYFUNCTION("""COMPUTED_VALUE"""),4896.2)</f>
        <v>4896.2</v>
      </c>
    </row>
    <row r="2060" spans="2:46" x14ac:dyDescent="0.35">
      <c r="B2060" s="6" t="str">
        <f t="shared" ca="1" si="576"/>
        <v>20263</v>
      </c>
      <c r="C2060" s="6">
        <f t="shared" ca="1" si="577"/>
        <v>2026</v>
      </c>
      <c r="D2060" s="6">
        <f t="shared" ca="1" si="578"/>
        <v>3</v>
      </c>
      <c r="E2060" s="68">
        <f ca="1">IFERROR(__xludf.DUMMYFUNCTION("""COMPUTED_VALUE"""),46093.6666666666)</f>
        <v>46093.666666666599</v>
      </c>
      <c r="F2060" s="6">
        <f ca="1">IFERROR(__xludf.DUMMYFUNCTION("""COMPUTED_VALUE"""),6672.62)</f>
        <v>6672.62</v>
      </c>
      <c r="J2060" s="6" t="str">
        <f t="shared" ca="1" si="579"/>
        <v>20263</v>
      </c>
      <c r="K2060" s="6">
        <f t="shared" ca="1" si="580"/>
        <v>2026</v>
      </c>
      <c r="L2060" s="6">
        <f t="shared" ca="1" si="581"/>
        <v>3</v>
      </c>
      <c r="M2060" s="68">
        <f ca="1">IFERROR(__xludf.DUMMYFUNCTION("""COMPUTED_VALUE"""),46087.6666666666)</f>
        <v>46087.666666666599</v>
      </c>
      <c r="N2060" s="6">
        <f ca="1">IFERROR(__xludf.DUMMYFUNCTION("""COMPUTED_VALUE"""),22387.68)</f>
        <v>22387.68</v>
      </c>
      <c r="R2060" s="6" t="str">
        <f t="shared" ca="1" si="582"/>
        <v>20265</v>
      </c>
      <c r="S2060" s="6">
        <f t="shared" ca="1" si="583"/>
        <v>2026</v>
      </c>
      <c r="T2060" s="6">
        <f t="shared" ca="1" si="584"/>
        <v>5</v>
      </c>
      <c r="U2060" s="68">
        <f ca="1">IFERROR(__xludf.DUMMYFUNCTION("""COMPUTED_VALUE"""),46171.6458333333)</f>
        <v>46171.645833333299</v>
      </c>
      <c r="V2060" s="6">
        <f ca="1">IFERROR(__xludf.DUMMYFUNCTION("""COMPUTED_VALUE"""),8476.15)</f>
        <v>8476.15</v>
      </c>
      <c r="Z2060" s="6" t="str">
        <f t="shared" ca="1" si="585"/>
        <v>202310</v>
      </c>
      <c r="AA2060" s="6">
        <f t="shared" ca="1" si="586"/>
        <v>2023</v>
      </c>
      <c r="AB2060" s="6">
        <f t="shared" ca="1" si="587"/>
        <v>10</v>
      </c>
      <c r="AC2060" s="68">
        <f ca="1">IFERROR(__xludf.DUMMYFUNCTION("""COMPUTED_VALUE"""),45209.9986111111)</f>
        <v>45209.998611111099</v>
      </c>
      <c r="AD2060" s="6">
        <f ca="1">IFERROR(__xludf.DUMMYFUNCTION("""COMPUTED_VALUE"""),1341.89)</f>
        <v>1341.89</v>
      </c>
      <c r="AH2060" s="6" t="str">
        <f t="shared" ca="1" si="588"/>
        <v>20238</v>
      </c>
      <c r="AI2060" s="6">
        <f t="shared" ca="1" si="589"/>
        <v>2023</v>
      </c>
      <c r="AJ2060" s="6">
        <f t="shared" ca="1" si="590"/>
        <v>8</v>
      </c>
      <c r="AK2060" s="68">
        <f ca="1">IFERROR(__xludf.DUMMYFUNCTION("""COMPUTED_VALUE"""),45153.9986111111)</f>
        <v>45153.998611111099</v>
      </c>
      <c r="AL2060" s="6">
        <f ca="1">IFERROR(__xludf.DUMMYFUNCTION("""COMPUTED_VALUE"""),29177.08)</f>
        <v>29177.08</v>
      </c>
      <c r="AP2060" s="6" t="str">
        <f t="shared" ca="1" si="591"/>
        <v>20263</v>
      </c>
      <c r="AQ2060" s="6">
        <f t="shared" ca="1" si="592"/>
        <v>2026</v>
      </c>
      <c r="AR2060" s="6">
        <f t="shared" ca="1" si="593"/>
        <v>3</v>
      </c>
      <c r="AS2060" s="68">
        <f ca="1">IFERROR(__xludf.DUMMYFUNCTION("""COMPUTED_VALUE"""),46100.9986111111)</f>
        <v>46100.998611111099</v>
      </c>
      <c r="AT2060" s="6">
        <f ca="1">IFERROR(__xludf.DUMMYFUNCTION("""COMPUTED_VALUE"""),4605.7)</f>
        <v>4605.7</v>
      </c>
    </row>
    <row r="2061" spans="2:46" x14ac:dyDescent="0.35">
      <c r="B2061" s="6" t="str">
        <f t="shared" ca="1" si="576"/>
        <v>20263</v>
      </c>
      <c r="C2061" s="6">
        <f t="shared" ca="1" si="577"/>
        <v>2026</v>
      </c>
      <c r="D2061" s="6">
        <f t="shared" ca="1" si="578"/>
        <v>3</v>
      </c>
      <c r="E2061" s="68">
        <f ca="1">IFERROR(__xludf.DUMMYFUNCTION("""COMPUTED_VALUE"""),46094.6666666666)</f>
        <v>46094.666666666599</v>
      </c>
      <c r="F2061" s="6">
        <f ca="1">IFERROR(__xludf.DUMMYFUNCTION("""COMPUTED_VALUE"""),6632.19)</f>
        <v>6632.19</v>
      </c>
      <c r="J2061" s="6" t="str">
        <f t="shared" ca="1" si="579"/>
        <v>20263</v>
      </c>
      <c r="K2061" s="6">
        <f t="shared" ca="1" si="580"/>
        <v>2026</v>
      </c>
      <c r="L2061" s="6">
        <f t="shared" ca="1" si="581"/>
        <v>3</v>
      </c>
      <c r="M2061" s="68">
        <f ca="1">IFERROR(__xludf.DUMMYFUNCTION("""COMPUTED_VALUE"""),46090.6666666666)</f>
        <v>46090.666666666599</v>
      </c>
      <c r="N2061" s="6">
        <f ca="1">IFERROR(__xludf.DUMMYFUNCTION("""COMPUTED_VALUE"""),22695.95)</f>
        <v>22695.95</v>
      </c>
      <c r="R2061" s="6" t="str">
        <f t="shared" ca="1" si="582"/>
        <v>20266</v>
      </c>
      <c r="S2061" s="6">
        <f t="shared" ca="1" si="583"/>
        <v>2026</v>
      </c>
      <c r="T2061" s="6">
        <f t="shared" ca="1" si="584"/>
        <v>6</v>
      </c>
      <c r="U2061" s="68">
        <f ca="1">IFERROR(__xludf.DUMMYFUNCTION("""COMPUTED_VALUE"""),46174.6458333333)</f>
        <v>46174.645833333299</v>
      </c>
      <c r="V2061" s="6">
        <f ca="1">IFERROR(__xludf.DUMMYFUNCTION("""COMPUTED_VALUE"""),8788.38)</f>
        <v>8788.3799999999992</v>
      </c>
      <c r="Z2061" s="6" t="str">
        <f t="shared" ca="1" si="585"/>
        <v>202310</v>
      </c>
      <c r="AA2061" s="6">
        <f t="shared" ca="1" si="586"/>
        <v>2023</v>
      </c>
      <c r="AB2061" s="6">
        <f t="shared" ca="1" si="587"/>
        <v>10</v>
      </c>
      <c r="AC2061" s="68">
        <f ca="1">IFERROR(__xludf.DUMMYFUNCTION("""COMPUTED_VALUE"""),45210.9986111111)</f>
        <v>45210.998611111099</v>
      </c>
      <c r="AD2061" s="6">
        <f ca="1">IFERROR(__xludf.DUMMYFUNCTION("""COMPUTED_VALUE"""),1338.26)</f>
        <v>1338.26</v>
      </c>
      <c r="AH2061" s="6" t="str">
        <f t="shared" ca="1" si="588"/>
        <v>20238</v>
      </c>
      <c r="AI2061" s="6">
        <f t="shared" ca="1" si="589"/>
        <v>2023</v>
      </c>
      <c r="AJ2061" s="6">
        <f t="shared" ca="1" si="590"/>
        <v>8</v>
      </c>
      <c r="AK2061" s="68">
        <f ca="1">IFERROR(__xludf.DUMMYFUNCTION("""COMPUTED_VALUE"""),45154.9986111111)</f>
        <v>45154.998611111099</v>
      </c>
      <c r="AL2061" s="6">
        <f ca="1">IFERROR(__xludf.DUMMYFUNCTION("""COMPUTED_VALUE"""),28719.62)</f>
        <v>28719.62</v>
      </c>
      <c r="AP2061" s="6" t="str">
        <f t="shared" ca="1" si="591"/>
        <v>20263</v>
      </c>
      <c r="AQ2061" s="6">
        <f t="shared" ca="1" si="592"/>
        <v>2026</v>
      </c>
      <c r="AR2061" s="6">
        <f t="shared" ca="1" si="593"/>
        <v>3</v>
      </c>
      <c r="AS2061" s="68">
        <f ca="1">IFERROR(__xludf.DUMMYFUNCTION("""COMPUTED_VALUE"""),46101.9986111111)</f>
        <v>46101.998611111099</v>
      </c>
      <c r="AT2061" s="6">
        <f ca="1">IFERROR(__xludf.DUMMYFUNCTION("""COMPUTED_VALUE"""),4574.9)</f>
        <v>4574.8999999999996</v>
      </c>
    </row>
    <row r="2062" spans="2:46" x14ac:dyDescent="0.35">
      <c r="B2062" s="6" t="str">
        <f t="shared" ca="1" si="576"/>
        <v>20263</v>
      </c>
      <c r="C2062" s="6">
        <f t="shared" ca="1" si="577"/>
        <v>2026</v>
      </c>
      <c r="D2062" s="6">
        <f t="shared" ca="1" si="578"/>
        <v>3</v>
      </c>
      <c r="E2062" s="68">
        <f ca="1">IFERROR(__xludf.DUMMYFUNCTION("""COMPUTED_VALUE"""),46097.6666666666)</f>
        <v>46097.666666666599</v>
      </c>
      <c r="F2062" s="6">
        <f ca="1">IFERROR(__xludf.DUMMYFUNCTION("""COMPUTED_VALUE"""),6699.38)</f>
        <v>6699.38</v>
      </c>
      <c r="J2062" s="6" t="str">
        <f t="shared" ca="1" si="579"/>
        <v>20263</v>
      </c>
      <c r="K2062" s="6">
        <f t="shared" ca="1" si="580"/>
        <v>2026</v>
      </c>
      <c r="L2062" s="6">
        <f t="shared" ca="1" si="581"/>
        <v>3</v>
      </c>
      <c r="M2062" s="68">
        <f ca="1">IFERROR(__xludf.DUMMYFUNCTION("""COMPUTED_VALUE"""),46091.6666666666)</f>
        <v>46091.666666666599</v>
      </c>
      <c r="N2062" s="6">
        <f ca="1">IFERROR(__xludf.DUMMYFUNCTION("""COMPUTED_VALUE"""),22697.1)</f>
        <v>22697.1</v>
      </c>
      <c r="R2062" s="6" t="str">
        <f t="shared" ca="1" si="582"/>
        <v>20266</v>
      </c>
      <c r="S2062" s="6">
        <f t="shared" ca="1" si="583"/>
        <v>2026</v>
      </c>
      <c r="T2062" s="6">
        <f t="shared" ca="1" si="584"/>
        <v>6</v>
      </c>
      <c r="U2062" s="68">
        <f ca="1">IFERROR(__xludf.DUMMYFUNCTION("""COMPUTED_VALUE"""),46175.6458333333)</f>
        <v>46175.645833333299</v>
      </c>
      <c r="V2062" s="6">
        <f ca="1">IFERROR(__xludf.DUMMYFUNCTION("""COMPUTED_VALUE"""),8801.49)</f>
        <v>8801.49</v>
      </c>
      <c r="Z2062" s="6" t="str">
        <f t="shared" ca="1" si="585"/>
        <v>202310</v>
      </c>
      <c r="AA2062" s="6">
        <f t="shared" ca="1" si="586"/>
        <v>2023</v>
      </c>
      <c r="AB2062" s="6">
        <f t="shared" ca="1" si="587"/>
        <v>10</v>
      </c>
      <c r="AC2062" s="68">
        <f ca="1">IFERROR(__xludf.DUMMYFUNCTION("""COMPUTED_VALUE"""),45211.9986111111)</f>
        <v>45211.998611111099</v>
      </c>
      <c r="AD2062" s="6">
        <f ca="1">IFERROR(__xludf.DUMMYFUNCTION("""COMPUTED_VALUE"""),1348.34)</f>
        <v>1348.34</v>
      </c>
      <c r="AH2062" s="6" t="str">
        <f t="shared" ca="1" si="588"/>
        <v>20238</v>
      </c>
      <c r="AI2062" s="6">
        <f t="shared" ca="1" si="589"/>
        <v>2023</v>
      </c>
      <c r="AJ2062" s="6">
        <f t="shared" ca="1" si="590"/>
        <v>8</v>
      </c>
      <c r="AK2062" s="68">
        <f ca="1">IFERROR(__xludf.DUMMYFUNCTION("""COMPUTED_VALUE"""),45155.9986111111)</f>
        <v>45155.998611111099</v>
      </c>
      <c r="AL2062" s="6">
        <f ca="1">IFERROR(__xludf.DUMMYFUNCTION("""COMPUTED_VALUE"""),26643.99)</f>
        <v>26643.99</v>
      </c>
      <c r="AP2062" s="6" t="str">
        <f t="shared" ca="1" si="591"/>
        <v>20263</v>
      </c>
      <c r="AQ2062" s="6">
        <f t="shared" ca="1" si="592"/>
        <v>2026</v>
      </c>
      <c r="AR2062" s="6">
        <f t="shared" ca="1" si="593"/>
        <v>3</v>
      </c>
      <c r="AS2062" s="68">
        <f ca="1">IFERROR(__xludf.DUMMYFUNCTION("""COMPUTED_VALUE"""),46104.9986111111)</f>
        <v>46104.998611111099</v>
      </c>
      <c r="AT2062" s="6">
        <f ca="1">IFERROR(__xludf.DUMMYFUNCTION("""COMPUTED_VALUE"""),4439.5)</f>
        <v>4439.5</v>
      </c>
    </row>
    <row r="2063" spans="2:46" x14ac:dyDescent="0.35">
      <c r="B2063" s="6" t="str">
        <f t="shared" ca="1" si="576"/>
        <v>20263</v>
      </c>
      <c r="C2063" s="6">
        <f t="shared" ca="1" si="577"/>
        <v>2026</v>
      </c>
      <c r="D2063" s="6">
        <f t="shared" ca="1" si="578"/>
        <v>3</v>
      </c>
      <c r="E2063" s="68">
        <f ca="1">IFERROR(__xludf.DUMMYFUNCTION("""COMPUTED_VALUE"""),46098.6666666666)</f>
        <v>46098.666666666599</v>
      </c>
      <c r="F2063" s="6">
        <f ca="1">IFERROR(__xludf.DUMMYFUNCTION("""COMPUTED_VALUE"""),6716.09)</f>
        <v>6716.09</v>
      </c>
      <c r="J2063" s="6" t="str">
        <f t="shared" ca="1" si="579"/>
        <v>20263</v>
      </c>
      <c r="K2063" s="6">
        <f t="shared" ca="1" si="580"/>
        <v>2026</v>
      </c>
      <c r="L2063" s="6">
        <f t="shared" ca="1" si="581"/>
        <v>3</v>
      </c>
      <c r="M2063" s="68">
        <f ca="1">IFERROR(__xludf.DUMMYFUNCTION("""COMPUTED_VALUE"""),46092.6666666666)</f>
        <v>46092.666666666599</v>
      </c>
      <c r="N2063" s="6">
        <f ca="1">IFERROR(__xludf.DUMMYFUNCTION("""COMPUTED_VALUE"""),22716.14)</f>
        <v>22716.14</v>
      </c>
      <c r="R2063" s="6" t="str">
        <f t="shared" ca="1" si="582"/>
        <v>20266</v>
      </c>
      <c r="S2063" s="6">
        <f t="shared" ca="1" si="583"/>
        <v>2026</v>
      </c>
      <c r="T2063" s="6">
        <f t="shared" ca="1" si="584"/>
        <v>6</v>
      </c>
      <c r="U2063" s="68">
        <f ca="1">IFERROR(__xludf.DUMMYFUNCTION("""COMPUTED_VALUE"""),46177.6458333333)</f>
        <v>46177.645833333299</v>
      </c>
      <c r="V2063" s="6">
        <f ca="1">IFERROR(__xludf.DUMMYFUNCTION("""COMPUTED_VALUE"""),8639.41)</f>
        <v>8639.41</v>
      </c>
      <c r="Z2063" s="6" t="str">
        <f t="shared" ca="1" si="585"/>
        <v>202310</v>
      </c>
      <c r="AA2063" s="6">
        <f t="shared" ca="1" si="586"/>
        <v>2023</v>
      </c>
      <c r="AB2063" s="6">
        <f t="shared" ca="1" si="587"/>
        <v>10</v>
      </c>
      <c r="AC2063" s="68">
        <f ca="1">IFERROR(__xludf.DUMMYFUNCTION("""COMPUTED_VALUE"""),45212.9986111111)</f>
        <v>45212.998611111099</v>
      </c>
      <c r="AD2063" s="6">
        <f ca="1">IFERROR(__xludf.DUMMYFUNCTION("""COMPUTED_VALUE"""),1352.09)</f>
        <v>1352.09</v>
      </c>
      <c r="AH2063" s="6" t="str">
        <f t="shared" ca="1" si="588"/>
        <v>20238</v>
      </c>
      <c r="AI2063" s="6">
        <f t="shared" ca="1" si="589"/>
        <v>2023</v>
      </c>
      <c r="AJ2063" s="6">
        <f t="shared" ca="1" si="590"/>
        <v>8</v>
      </c>
      <c r="AK2063" s="68">
        <f ca="1">IFERROR(__xludf.DUMMYFUNCTION("""COMPUTED_VALUE"""),45156.9986111111)</f>
        <v>45156.998611111099</v>
      </c>
      <c r="AL2063" s="6">
        <f ca="1">IFERROR(__xludf.DUMMYFUNCTION("""COMPUTED_VALUE"""),26063.93)</f>
        <v>26063.93</v>
      </c>
      <c r="AP2063" s="6" t="str">
        <f t="shared" ca="1" si="591"/>
        <v>20263</v>
      </c>
      <c r="AQ2063" s="6">
        <f t="shared" ca="1" si="592"/>
        <v>2026</v>
      </c>
      <c r="AR2063" s="6">
        <f t="shared" ca="1" si="593"/>
        <v>3</v>
      </c>
      <c r="AS2063" s="68">
        <f ca="1">IFERROR(__xludf.DUMMYFUNCTION("""COMPUTED_VALUE"""),46105.9986111111)</f>
        <v>46105.998611111099</v>
      </c>
      <c r="AT2063" s="6">
        <f ca="1">IFERROR(__xludf.DUMMYFUNCTION("""COMPUTED_VALUE"""),4434.1)</f>
        <v>4434.1000000000004</v>
      </c>
    </row>
    <row r="2064" spans="2:46" x14ac:dyDescent="0.35">
      <c r="B2064" s="6" t="str">
        <f t="shared" ca="1" si="576"/>
        <v>20263</v>
      </c>
      <c r="C2064" s="6">
        <f t="shared" ca="1" si="577"/>
        <v>2026</v>
      </c>
      <c r="D2064" s="6">
        <f t="shared" ca="1" si="578"/>
        <v>3</v>
      </c>
      <c r="E2064" s="68">
        <f ca="1">IFERROR(__xludf.DUMMYFUNCTION("""COMPUTED_VALUE"""),46099.6666666666)</f>
        <v>46099.666666666599</v>
      </c>
      <c r="F2064" s="6">
        <f ca="1">IFERROR(__xludf.DUMMYFUNCTION("""COMPUTED_VALUE"""),6624.7)</f>
        <v>6624.7</v>
      </c>
      <c r="J2064" s="6" t="str">
        <f t="shared" ca="1" si="579"/>
        <v>20263</v>
      </c>
      <c r="K2064" s="6">
        <f t="shared" ca="1" si="580"/>
        <v>2026</v>
      </c>
      <c r="L2064" s="6">
        <f t="shared" ca="1" si="581"/>
        <v>3</v>
      </c>
      <c r="M2064" s="68">
        <f ca="1">IFERROR(__xludf.DUMMYFUNCTION("""COMPUTED_VALUE"""),46093.6666666666)</f>
        <v>46093.666666666599</v>
      </c>
      <c r="N2064" s="6">
        <f ca="1">IFERROR(__xludf.DUMMYFUNCTION("""COMPUTED_VALUE"""),22311.98)</f>
        <v>22311.98</v>
      </c>
      <c r="R2064" s="6" t="str">
        <f t="shared" ca="1" si="582"/>
        <v>20266</v>
      </c>
      <c r="S2064" s="6">
        <f t="shared" ca="1" si="583"/>
        <v>2026</v>
      </c>
      <c r="T2064" s="6">
        <f t="shared" ca="1" si="584"/>
        <v>6</v>
      </c>
      <c r="U2064" s="68">
        <f ca="1">IFERROR(__xludf.DUMMYFUNCTION("""COMPUTED_VALUE"""),46178.6458333333)</f>
        <v>46178.645833333299</v>
      </c>
      <c r="V2064" s="6">
        <f ca="1">IFERROR(__xludf.DUMMYFUNCTION("""COMPUTED_VALUE"""),8160.59)</f>
        <v>8160.59</v>
      </c>
      <c r="Z2064" s="6" t="str">
        <f t="shared" ca="1" si="585"/>
        <v>202310</v>
      </c>
      <c r="AA2064" s="6">
        <f t="shared" ca="1" si="586"/>
        <v>2023</v>
      </c>
      <c r="AB2064" s="6">
        <f t="shared" ca="1" si="587"/>
        <v>10</v>
      </c>
      <c r="AC2064" s="68">
        <f ca="1">IFERROR(__xludf.DUMMYFUNCTION("""COMPUTED_VALUE"""),45213.9986111111)</f>
        <v>45213.998611111099</v>
      </c>
      <c r="AD2064" s="6">
        <f ca="1">IFERROR(__xludf.DUMMYFUNCTION("""COMPUTED_VALUE"""),1352.09)</f>
        <v>1352.09</v>
      </c>
      <c r="AH2064" s="6" t="str">
        <f t="shared" ca="1" si="588"/>
        <v>20238</v>
      </c>
      <c r="AI2064" s="6">
        <f t="shared" ca="1" si="589"/>
        <v>2023</v>
      </c>
      <c r="AJ2064" s="6">
        <f t="shared" ca="1" si="590"/>
        <v>8</v>
      </c>
      <c r="AK2064" s="68">
        <f ca="1">IFERROR(__xludf.DUMMYFUNCTION("""COMPUTED_VALUE"""),45157.9986111111)</f>
        <v>45157.998611111099</v>
      </c>
      <c r="AL2064" s="6">
        <f ca="1">IFERROR(__xludf.DUMMYFUNCTION("""COMPUTED_VALUE"""),26117.54)</f>
        <v>26117.54</v>
      </c>
      <c r="AP2064" s="6" t="str">
        <f t="shared" ca="1" si="591"/>
        <v>20263</v>
      </c>
      <c r="AQ2064" s="6">
        <f t="shared" ca="1" si="592"/>
        <v>2026</v>
      </c>
      <c r="AR2064" s="6">
        <f t="shared" ca="1" si="593"/>
        <v>3</v>
      </c>
      <c r="AS2064" s="68">
        <f ca="1">IFERROR(__xludf.DUMMYFUNCTION("""COMPUTED_VALUE"""),46106.9986111111)</f>
        <v>46106.998611111099</v>
      </c>
      <c r="AT2064" s="6">
        <f ca="1">IFERROR(__xludf.DUMMYFUNCTION("""COMPUTED_VALUE"""),4585.5)</f>
        <v>4585.5</v>
      </c>
    </row>
    <row r="2065" spans="2:46" x14ac:dyDescent="0.35">
      <c r="B2065" s="6" t="str">
        <f t="shared" ca="1" si="576"/>
        <v>20263</v>
      </c>
      <c r="C2065" s="6">
        <f t="shared" ca="1" si="577"/>
        <v>2026</v>
      </c>
      <c r="D2065" s="6">
        <f t="shared" ca="1" si="578"/>
        <v>3</v>
      </c>
      <c r="E2065" s="68">
        <f ca="1">IFERROR(__xludf.DUMMYFUNCTION("""COMPUTED_VALUE"""),46100.6666666666)</f>
        <v>46100.666666666599</v>
      </c>
      <c r="F2065" s="6">
        <f ca="1">IFERROR(__xludf.DUMMYFUNCTION("""COMPUTED_VALUE"""),6606.49)</f>
        <v>6606.49</v>
      </c>
      <c r="J2065" s="6" t="str">
        <f t="shared" ca="1" si="579"/>
        <v>20263</v>
      </c>
      <c r="K2065" s="6">
        <f t="shared" ca="1" si="580"/>
        <v>2026</v>
      </c>
      <c r="L2065" s="6">
        <f t="shared" ca="1" si="581"/>
        <v>3</v>
      </c>
      <c r="M2065" s="68">
        <f ca="1">IFERROR(__xludf.DUMMYFUNCTION("""COMPUTED_VALUE"""),46094.6666666666)</f>
        <v>46094.666666666599</v>
      </c>
      <c r="N2065" s="6">
        <f ca="1">IFERROR(__xludf.DUMMYFUNCTION("""COMPUTED_VALUE"""),22105.36)</f>
        <v>22105.360000000001</v>
      </c>
      <c r="R2065" s="6" t="str">
        <f t="shared" ca="1" si="582"/>
        <v>20266</v>
      </c>
      <c r="S2065" s="6">
        <f t="shared" ca="1" si="583"/>
        <v>2026</v>
      </c>
      <c r="T2065" s="6">
        <f t="shared" ca="1" si="584"/>
        <v>6</v>
      </c>
      <c r="U2065" s="68">
        <f ca="1">IFERROR(__xludf.DUMMYFUNCTION("""COMPUTED_VALUE"""),46181.6458333333)</f>
        <v>46181.645833333299</v>
      </c>
      <c r="V2065" s="6">
        <f ca="1">IFERROR(__xludf.DUMMYFUNCTION("""COMPUTED_VALUE"""),7484.41)</f>
        <v>7484.41</v>
      </c>
      <c r="Z2065" s="6" t="str">
        <f t="shared" ca="1" si="585"/>
        <v>202310</v>
      </c>
      <c r="AA2065" s="6">
        <f t="shared" ca="1" si="586"/>
        <v>2023</v>
      </c>
      <c r="AB2065" s="6">
        <f t="shared" ca="1" si="587"/>
        <v>10</v>
      </c>
      <c r="AC2065" s="68">
        <f ca="1">IFERROR(__xludf.DUMMYFUNCTION("""COMPUTED_VALUE"""),45214.9986111111)</f>
        <v>45214.998611111099</v>
      </c>
      <c r="AD2065" s="6">
        <f ca="1">IFERROR(__xludf.DUMMYFUNCTION("""COMPUTED_VALUE"""),1352.07)</f>
        <v>1352.07</v>
      </c>
      <c r="AH2065" s="6" t="str">
        <f t="shared" ca="1" si="588"/>
        <v>20238</v>
      </c>
      <c r="AI2065" s="6">
        <f t="shared" ca="1" si="589"/>
        <v>2023</v>
      </c>
      <c r="AJ2065" s="6">
        <f t="shared" ca="1" si="590"/>
        <v>8</v>
      </c>
      <c r="AK2065" s="68">
        <f ca="1">IFERROR(__xludf.DUMMYFUNCTION("""COMPUTED_VALUE"""),45158.9986111111)</f>
        <v>45158.998611111099</v>
      </c>
      <c r="AL2065" s="6">
        <f ca="1">IFERROR(__xludf.DUMMYFUNCTION("""COMPUTED_VALUE"""),26203.13)</f>
        <v>26203.13</v>
      </c>
      <c r="AP2065" s="6" t="str">
        <f t="shared" ca="1" si="591"/>
        <v>20263</v>
      </c>
      <c r="AQ2065" s="6">
        <f t="shared" ca="1" si="592"/>
        <v>2026</v>
      </c>
      <c r="AR2065" s="6">
        <f t="shared" ca="1" si="593"/>
        <v>3</v>
      </c>
      <c r="AS2065" s="68">
        <f ca="1">IFERROR(__xludf.DUMMYFUNCTION("""COMPUTED_VALUE"""),46107.9986111111)</f>
        <v>46107.998611111099</v>
      </c>
      <c r="AT2065" s="6">
        <f ca="1">IFERROR(__xludf.DUMMYFUNCTION("""COMPUTED_VALUE"""),4409)</f>
        <v>4409</v>
      </c>
    </row>
    <row r="2066" spans="2:46" x14ac:dyDescent="0.35">
      <c r="B2066" s="6" t="str">
        <f t="shared" ca="1" si="576"/>
        <v>20263</v>
      </c>
      <c r="C2066" s="6">
        <f t="shared" ca="1" si="577"/>
        <v>2026</v>
      </c>
      <c r="D2066" s="6">
        <f t="shared" ca="1" si="578"/>
        <v>3</v>
      </c>
      <c r="E2066" s="68">
        <f ca="1">IFERROR(__xludf.DUMMYFUNCTION("""COMPUTED_VALUE"""),46101.6666666666)</f>
        <v>46101.666666666599</v>
      </c>
      <c r="F2066" s="6">
        <f ca="1">IFERROR(__xludf.DUMMYFUNCTION("""COMPUTED_VALUE"""),6506.48)</f>
        <v>6506.48</v>
      </c>
      <c r="J2066" s="6" t="str">
        <f t="shared" ca="1" si="579"/>
        <v>20263</v>
      </c>
      <c r="K2066" s="6">
        <f t="shared" ca="1" si="580"/>
        <v>2026</v>
      </c>
      <c r="L2066" s="6">
        <f t="shared" ca="1" si="581"/>
        <v>3</v>
      </c>
      <c r="M2066" s="68">
        <f ca="1">IFERROR(__xludf.DUMMYFUNCTION("""COMPUTED_VALUE"""),46097.6666666666)</f>
        <v>46097.666666666599</v>
      </c>
      <c r="N2066" s="6">
        <f ca="1">IFERROR(__xludf.DUMMYFUNCTION("""COMPUTED_VALUE"""),22374.18)</f>
        <v>22374.18</v>
      </c>
      <c r="R2066" s="6" t="str">
        <f t="shared" ca="1" si="582"/>
        <v>20266</v>
      </c>
      <c r="S2066" s="6">
        <f t="shared" ca="1" si="583"/>
        <v>2026</v>
      </c>
      <c r="T2066" s="6">
        <f t="shared" ca="1" si="584"/>
        <v>6</v>
      </c>
      <c r="U2066" s="68">
        <f ca="1">IFERROR(__xludf.DUMMYFUNCTION("""COMPUTED_VALUE"""),46182.6458333333)</f>
        <v>46182.645833333299</v>
      </c>
      <c r="V2066" s="6">
        <f ca="1">IFERROR(__xludf.DUMMYFUNCTION("""COMPUTED_VALUE"""),8096.93)</f>
        <v>8096.93</v>
      </c>
      <c r="Z2066" s="6" t="str">
        <f t="shared" ca="1" si="585"/>
        <v>202310</v>
      </c>
      <c r="AA2066" s="6">
        <f t="shared" ca="1" si="586"/>
        <v>2023</v>
      </c>
      <c r="AB2066" s="6">
        <f t="shared" ca="1" si="587"/>
        <v>10</v>
      </c>
      <c r="AC2066" s="68">
        <f ca="1">IFERROR(__xludf.DUMMYFUNCTION("""COMPUTED_VALUE"""),45215.9986111111)</f>
        <v>45215.998611111099</v>
      </c>
      <c r="AD2066" s="6">
        <f ca="1">IFERROR(__xludf.DUMMYFUNCTION("""COMPUTED_VALUE"""),1347.76)</f>
        <v>1347.76</v>
      </c>
      <c r="AH2066" s="6" t="str">
        <f t="shared" ca="1" si="588"/>
        <v>20238</v>
      </c>
      <c r="AI2066" s="6">
        <f t="shared" ca="1" si="589"/>
        <v>2023</v>
      </c>
      <c r="AJ2066" s="6">
        <f t="shared" ca="1" si="590"/>
        <v>8</v>
      </c>
      <c r="AK2066" s="68">
        <f ca="1">IFERROR(__xludf.DUMMYFUNCTION("""COMPUTED_VALUE"""),45159.9986111111)</f>
        <v>45159.998611111099</v>
      </c>
      <c r="AL2066" s="6">
        <f ca="1">IFERROR(__xludf.DUMMYFUNCTION("""COMPUTED_VALUE"""),26130.78)</f>
        <v>26130.78</v>
      </c>
      <c r="AP2066" s="6" t="str">
        <f t="shared" ca="1" si="591"/>
        <v>20263</v>
      </c>
      <c r="AQ2066" s="6">
        <f t="shared" ca="1" si="592"/>
        <v>2026</v>
      </c>
      <c r="AR2066" s="6">
        <f t="shared" ca="1" si="593"/>
        <v>3</v>
      </c>
      <c r="AS2066" s="68">
        <f ca="1">IFERROR(__xludf.DUMMYFUNCTION("""COMPUTED_VALUE"""),46108.9986111111)</f>
        <v>46108.998611111099</v>
      </c>
      <c r="AT2066" s="6">
        <f ca="1">IFERROR(__xludf.DUMMYFUNCTION("""COMPUTED_VALUE"""),4524.3)</f>
        <v>4524.3</v>
      </c>
    </row>
    <row r="2067" spans="2:46" x14ac:dyDescent="0.35">
      <c r="B2067" s="6" t="str">
        <f t="shared" ca="1" si="576"/>
        <v>20263</v>
      </c>
      <c r="C2067" s="6">
        <f t="shared" ca="1" si="577"/>
        <v>2026</v>
      </c>
      <c r="D2067" s="6">
        <f t="shared" ca="1" si="578"/>
        <v>3</v>
      </c>
      <c r="E2067" s="68">
        <f ca="1">IFERROR(__xludf.DUMMYFUNCTION("""COMPUTED_VALUE"""),46104.6666666666)</f>
        <v>46104.666666666599</v>
      </c>
      <c r="F2067" s="6">
        <f ca="1">IFERROR(__xludf.DUMMYFUNCTION("""COMPUTED_VALUE"""),6581)</f>
        <v>6581</v>
      </c>
      <c r="J2067" s="6" t="str">
        <f t="shared" ca="1" si="579"/>
        <v>20263</v>
      </c>
      <c r="K2067" s="6">
        <f t="shared" ca="1" si="580"/>
        <v>2026</v>
      </c>
      <c r="L2067" s="6">
        <f t="shared" ca="1" si="581"/>
        <v>3</v>
      </c>
      <c r="M2067" s="68">
        <f ca="1">IFERROR(__xludf.DUMMYFUNCTION("""COMPUTED_VALUE"""),46098.6666666666)</f>
        <v>46098.666666666599</v>
      </c>
      <c r="N2067" s="6">
        <f ca="1">IFERROR(__xludf.DUMMYFUNCTION("""COMPUTED_VALUE"""),22479.53)</f>
        <v>22479.53</v>
      </c>
      <c r="R2067" s="6" t="str">
        <f t="shared" ca="1" si="582"/>
        <v>20266</v>
      </c>
      <c r="S2067" s="6">
        <f t="shared" ca="1" si="583"/>
        <v>2026</v>
      </c>
      <c r="T2067" s="6">
        <f t="shared" ca="1" si="584"/>
        <v>6</v>
      </c>
      <c r="U2067" s="68">
        <f ca="1">IFERROR(__xludf.DUMMYFUNCTION("""COMPUTED_VALUE"""),46183.6458333333)</f>
        <v>46183.645833333299</v>
      </c>
      <c r="V2067" s="6">
        <f ca="1">IFERROR(__xludf.DUMMYFUNCTION("""COMPUTED_VALUE"""),7730.82)</f>
        <v>7730.82</v>
      </c>
      <c r="Z2067" s="6" t="str">
        <f t="shared" ca="1" si="585"/>
        <v>202310</v>
      </c>
      <c r="AA2067" s="6">
        <f t="shared" ca="1" si="586"/>
        <v>2023</v>
      </c>
      <c r="AB2067" s="6">
        <f t="shared" ca="1" si="587"/>
        <v>10</v>
      </c>
      <c r="AC2067" s="68">
        <f ca="1">IFERROR(__xludf.DUMMYFUNCTION("""COMPUTED_VALUE"""),45216.9986111111)</f>
        <v>45216.998611111099</v>
      </c>
      <c r="AD2067" s="6">
        <f ca="1">IFERROR(__xludf.DUMMYFUNCTION("""COMPUTED_VALUE"""),1352.99)</f>
        <v>1352.99</v>
      </c>
      <c r="AH2067" s="6" t="str">
        <f t="shared" ca="1" si="588"/>
        <v>20238</v>
      </c>
      <c r="AI2067" s="6">
        <f t="shared" ca="1" si="589"/>
        <v>2023</v>
      </c>
      <c r="AJ2067" s="6">
        <f t="shared" ca="1" si="590"/>
        <v>8</v>
      </c>
      <c r="AK2067" s="68">
        <f ca="1">IFERROR(__xludf.DUMMYFUNCTION("""COMPUTED_VALUE"""),45160.9986111111)</f>
        <v>45160.998611111099</v>
      </c>
      <c r="AL2067" s="6">
        <f ca="1">IFERROR(__xludf.DUMMYFUNCTION("""COMPUTED_VALUE"""),26043.79)</f>
        <v>26043.79</v>
      </c>
      <c r="AP2067" s="6" t="str">
        <f t="shared" ca="1" si="591"/>
        <v>20263</v>
      </c>
      <c r="AQ2067" s="6">
        <f t="shared" ca="1" si="592"/>
        <v>2026</v>
      </c>
      <c r="AR2067" s="6">
        <f t="shared" ca="1" si="593"/>
        <v>3</v>
      </c>
      <c r="AS2067" s="68">
        <f ca="1">IFERROR(__xludf.DUMMYFUNCTION("""COMPUTED_VALUE"""),46111.9986111111)</f>
        <v>46111.998611111099</v>
      </c>
      <c r="AT2067" s="6">
        <f ca="1">IFERROR(__xludf.DUMMYFUNCTION("""COMPUTED_VALUE"""),4557.5)</f>
        <v>4557.5</v>
      </c>
    </row>
    <row r="2068" spans="2:46" x14ac:dyDescent="0.35">
      <c r="B2068" s="6" t="str">
        <f t="shared" ca="1" si="576"/>
        <v>20263</v>
      </c>
      <c r="C2068" s="6">
        <f t="shared" ca="1" si="577"/>
        <v>2026</v>
      </c>
      <c r="D2068" s="6">
        <f t="shared" ca="1" si="578"/>
        <v>3</v>
      </c>
      <c r="E2068" s="68">
        <f ca="1">IFERROR(__xludf.DUMMYFUNCTION("""COMPUTED_VALUE"""),46105.6666666666)</f>
        <v>46105.666666666599</v>
      </c>
      <c r="F2068" s="6">
        <f ca="1">IFERROR(__xludf.DUMMYFUNCTION("""COMPUTED_VALUE"""),6556.37)</f>
        <v>6556.37</v>
      </c>
      <c r="J2068" s="6" t="str">
        <f t="shared" ca="1" si="579"/>
        <v>20263</v>
      </c>
      <c r="K2068" s="6">
        <f t="shared" ca="1" si="580"/>
        <v>2026</v>
      </c>
      <c r="L2068" s="6">
        <f t="shared" ca="1" si="581"/>
        <v>3</v>
      </c>
      <c r="M2068" s="68">
        <f ca="1">IFERROR(__xludf.DUMMYFUNCTION("""COMPUTED_VALUE"""),46099.6666666666)</f>
        <v>46099.666666666599</v>
      </c>
      <c r="N2068" s="6">
        <f ca="1">IFERROR(__xludf.DUMMYFUNCTION("""COMPUTED_VALUE"""),22152.42)</f>
        <v>22152.42</v>
      </c>
      <c r="R2068" s="6" t="str">
        <f t="shared" ca="1" si="582"/>
        <v>20266</v>
      </c>
      <c r="S2068" s="6">
        <f t="shared" ca="1" si="583"/>
        <v>2026</v>
      </c>
      <c r="T2068" s="6">
        <f t="shared" ca="1" si="584"/>
        <v>6</v>
      </c>
      <c r="U2068" s="68">
        <f ca="1">IFERROR(__xludf.DUMMYFUNCTION("""COMPUTED_VALUE"""),46184.6458333333)</f>
        <v>46184.645833333299</v>
      </c>
      <c r="V2068" s="6">
        <f ca="1">IFERROR(__xludf.DUMMYFUNCTION("""COMPUTED_VALUE"""),7763.95)</f>
        <v>7763.95</v>
      </c>
      <c r="Z2068" s="6" t="str">
        <f t="shared" ca="1" si="585"/>
        <v>202310</v>
      </c>
      <c r="AA2068" s="6">
        <f t="shared" ca="1" si="586"/>
        <v>2023</v>
      </c>
      <c r="AB2068" s="6">
        <f t="shared" ca="1" si="587"/>
        <v>10</v>
      </c>
      <c r="AC2068" s="68">
        <f ca="1">IFERROR(__xludf.DUMMYFUNCTION("""COMPUTED_VALUE"""),45217.9986111111)</f>
        <v>45217.998611111099</v>
      </c>
      <c r="AD2068" s="6">
        <f ca="1">IFERROR(__xludf.DUMMYFUNCTION("""COMPUTED_VALUE"""),1354.56)</f>
        <v>1354.56</v>
      </c>
      <c r="AH2068" s="6" t="str">
        <f t="shared" ca="1" si="588"/>
        <v>20238</v>
      </c>
      <c r="AI2068" s="6">
        <f t="shared" ca="1" si="589"/>
        <v>2023</v>
      </c>
      <c r="AJ2068" s="6">
        <f t="shared" ca="1" si="590"/>
        <v>8</v>
      </c>
      <c r="AK2068" s="68">
        <f ca="1">IFERROR(__xludf.DUMMYFUNCTION("""COMPUTED_VALUE"""),45161.9986111111)</f>
        <v>45161.998611111099</v>
      </c>
      <c r="AL2068" s="6">
        <f ca="1">IFERROR(__xludf.DUMMYFUNCTION("""COMPUTED_VALUE"""),26435.17)</f>
        <v>26435.17</v>
      </c>
      <c r="AP2068" s="6" t="str">
        <f t="shared" ca="1" si="591"/>
        <v>20263</v>
      </c>
      <c r="AQ2068" s="6">
        <f t="shared" ca="1" si="592"/>
        <v>2026</v>
      </c>
      <c r="AR2068" s="6">
        <f t="shared" ca="1" si="593"/>
        <v>3</v>
      </c>
      <c r="AS2068" s="68">
        <f ca="1">IFERROR(__xludf.DUMMYFUNCTION("""COMPUTED_VALUE"""),46112.9986111111)</f>
        <v>46112.998611111099</v>
      </c>
      <c r="AT2068" s="6">
        <f ca="1">IFERROR(__xludf.DUMMYFUNCTION("""COMPUTED_VALUE"""),4678.6)</f>
        <v>4678.6000000000004</v>
      </c>
    </row>
    <row r="2069" spans="2:46" x14ac:dyDescent="0.35">
      <c r="B2069" s="6" t="str">
        <f t="shared" ca="1" si="576"/>
        <v>20263</v>
      </c>
      <c r="C2069" s="6">
        <f t="shared" ca="1" si="577"/>
        <v>2026</v>
      </c>
      <c r="D2069" s="6">
        <f t="shared" ca="1" si="578"/>
        <v>3</v>
      </c>
      <c r="E2069" s="68">
        <f ca="1">IFERROR(__xludf.DUMMYFUNCTION("""COMPUTED_VALUE"""),46106.6666666666)</f>
        <v>46106.666666666599</v>
      </c>
      <c r="F2069" s="6">
        <f ca="1">IFERROR(__xludf.DUMMYFUNCTION("""COMPUTED_VALUE"""),6591.9)</f>
        <v>6591.9</v>
      </c>
      <c r="J2069" s="6" t="str">
        <f t="shared" ca="1" si="579"/>
        <v>20263</v>
      </c>
      <c r="K2069" s="6">
        <f t="shared" ca="1" si="580"/>
        <v>2026</v>
      </c>
      <c r="L2069" s="6">
        <f t="shared" ca="1" si="581"/>
        <v>3</v>
      </c>
      <c r="M2069" s="68">
        <f ca="1">IFERROR(__xludf.DUMMYFUNCTION("""COMPUTED_VALUE"""),46100.6666666666)</f>
        <v>46100.666666666599</v>
      </c>
      <c r="N2069" s="6">
        <f ca="1">IFERROR(__xludf.DUMMYFUNCTION("""COMPUTED_VALUE"""),22090.69)</f>
        <v>22090.69</v>
      </c>
      <c r="R2069" s="6" t="str">
        <f t="shared" ca="1" si="582"/>
        <v>20266</v>
      </c>
      <c r="S2069" s="6">
        <f t="shared" ca="1" si="583"/>
        <v>2026</v>
      </c>
      <c r="T2069" s="6">
        <f t="shared" ca="1" si="584"/>
        <v>6</v>
      </c>
      <c r="U2069" s="68">
        <f ca="1">IFERROR(__xludf.DUMMYFUNCTION("""COMPUTED_VALUE"""),46185.6458333333)</f>
        <v>46185.645833333299</v>
      </c>
      <c r="V2069" s="6">
        <f ca="1">IFERROR(__xludf.DUMMYFUNCTION("""COMPUTED_VALUE"""),8123.62)</f>
        <v>8123.62</v>
      </c>
      <c r="Z2069" s="6" t="str">
        <f t="shared" ca="1" si="585"/>
        <v>202310</v>
      </c>
      <c r="AA2069" s="6">
        <f t="shared" ca="1" si="586"/>
        <v>2023</v>
      </c>
      <c r="AB2069" s="6">
        <f t="shared" ca="1" si="587"/>
        <v>10</v>
      </c>
      <c r="AC2069" s="68">
        <f ca="1">IFERROR(__xludf.DUMMYFUNCTION("""COMPUTED_VALUE"""),45218.9986111111)</f>
        <v>45218.998611111099</v>
      </c>
      <c r="AD2069" s="6">
        <f ca="1">IFERROR(__xludf.DUMMYFUNCTION("""COMPUTED_VALUE"""),1356.23)</f>
        <v>1356.23</v>
      </c>
      <c r="AH2069" s="6" t="str">
        <f t="shared" ca="1" si="588"/>
        <v>20238</v>
      </c>
      <c r="AI2069" s="6">
        <f t="shared" ca="1" si="589"/>
        <v>2023</v>
      </c>
      <c r="AJ2069" s="6">
        <f t="shared" ca="1" si="590"/>
        <v>8</v>
      </c>
      <c r="AK2069" s="68">
        <f ca="1">IFERROR(__xludf.DUMMYFUNCTION("""COMPUTED_VALUE"""),45162.9986111111)</f>
        <v>45162.998611111099</v>
      </c>
      <c r="AL2069" s="6">
        <f ca="1">IFERROR(__xludf.DUMMYFUNCTION("""COMPUTED_VALUE"""),26173.38)</f>
        <v>26173.38</v>
      </c>
      <c r="AP2069" s="6" t="str">
        <f t="shared" ca="1" si="591"/>
        <v>20264</v>
      </c>
      <c r="AQ2069" s="6">
        <f t="shared" ca="1" si="592"/>
        <v>2026</v>
      </c>
      <c r="AR2069" s="6">
        <f t="shared" ca="1" si="593"/>
        <v>4</v>
      </c>
      <c r="AS2069" s="68">
        <f ca="1">IFERROR(__xludf.DUMMYFUNCTION("""COMPUTED_VALUE"""),46113.9986111111)</f>
        <v>46113.998611111099</v>
      </c>
      <c r="AT2069" s="6">
        <f ca="1">IFERROR(__xludf.DUMMYFUNCTION("""COMPUTED_VALUE"""),4813.1)</f>
        <v>4813.1000000000004</v>
      </c>
    </row>
    <row r="2070" spans="2:46" x14ac:dyDescent="0.35">
      <c r="B2070" s="6" t="str">
        <f t="shared" ca="1" si="576"/>
        <v>20263</v>
      </c>
      <c r="C2070" s="6">
        <f t="shared" ca="1" si="577"/>
        <v>2026</v>
      </c>
      <c r="D2070" s="6">
        <f t="shared" ca="1" si="578"/>
        <v>3</v>
      </c>
      <c r="E2070" s="68">
        <f ca="1">IFERROR(__xludf.DUMMYFUNCTION("""COMPUTED_VALUE"""),46107.6666666666)</f>
        <v>46107.666666666599</v>
      </c>
      <c r="F2070" s="6">
        <f ca="1">IFERROR(__xludf.DUMMYFUNCTION("""COMPUTED_VALUE"""),6477.16)</f>
        <v>6477.16</v>
      </c>
      <c r="J2070" s="6" t="str">
        <f t="shared" ca="1" si="579"/>
        <v>20263</v>
      </c>
      <c r="K2070" s="6">
        <f t="shared" ca="1" si="580"/>
        <v>2026</v>
      </c>
      <c r="L2070" s="6">
        <f t="shared" ca="1" si="581"/>
        <v>3</v>
      </c>
      <c r="M2070" s="68">
        <f ca="1">IFERROR(__xludf.DUMMYFUNCTION("""COMPUTED_VALUE"""),46101.6666666666)</f>
        <v>46101.666666666599</v>
      </c>
      <c r="N2070" s="6">
        <f ca="1">IFERROR(__xludf.DUMMYFUNCTION("""COMPUTED_VALUE"""),21647.61)</f>
        <v>21647.61</v>
      </c>
      <c r="R2070" s="6" t="str">
        <f t="shared" ca="1" si="582"/>
        <v>20266</v>
      </c>
      <c r="S2070" s="6">
        <f t="shared" ca="1" si="583"/>
        <v>2026</v>
      </c>
      <c r="T2070" s="6">
        <f t="shared" ca="1" si="584"/>
        <v>6</v>
      </c>
      <c r="U2070" s="68">
        <f ca="1">IFERROR(__xludf.DUMMYFUNCTION("""COMPUTED_VALUE"""),46188.6458333333)</f>
        <v>46188.645833333299</v>
      </c>
      <c r="V2070" s="6">
        <f ca="1">IFERROR(__xludf.DUMMYFUNCTION("""COMPUTED_VALUE"""),8545.98)</f>
        <v>8545.98</v>
      </c>
      <c r="Z2070" s="6" t="str">
        <f t="shared" ca="1" si="585"/>
        <v>202310</v>
      </c>
      <c r="AA2070" s="6">
        <f t="shared" ca="1" si="586"/>
        <v>2023</v>
      </c>
      <c r="AB2070" s="6">
        <f t="shared" ca="1" si="587"/>
        <v>10</v>
      </c>
      <c r="AC2070" s="68">
        <f ca="1">IFERROR(__xludf.DUMMYFUNCTION("""COMPUTED_VALUE"""),45219.9986111111)</f>
        <v>45219.998611111099</v>
      </c>
      <c r="AD2070" s="6">
        <f ca="1">IFERROR(__xludf.DUMMYFUNCTION("""COMPUTED_VALUE"""),1349.33)</f>
        <v>1349.33</v>
      </c>
      <c r="AH2070" s="6" t="str">
        <f t="shared" ca="1" si="588"/>
        <v>20238</v>
      </c>
      <c r="AI2070" s="6">
        <f t="shared" ca="1" si="589"/>
        <v>2023</v>
      </c>
      <c r="AJ2070" s="6">
        <f t="shared" ca="1" si="590"/>
        <v>8</v>
      </c>
      <c r="AK2070" s="68">
        <f ca="1">IFERROR(__xludf.DUMMYFUNCTION("""COMPUTED_VALUE"""),45163.9986111111)</f>
        <v>45163.998611111099</v>
      </c>
      <c r="AL2070" s="6">
        <f ca="1">IFERROR(__xludf.DUMMYFUNCTION("""COMPUTED_VALUE"""),26054.19)</f>
        <v>26054.19</v>
      </c>
      <c r="AP2070" s="6" t="str">
        <f t="shared" ca="1" si="591"/>
        <v>20264</v>
      </c>
      <c r="AQ2070" s="6">
        <f t="shared" ca="1" si="592"/>
        <v>2026</v>
      </c>
      <c r="AR2070" s="6">
        <f t="shared" ca="1" si="593"/>
        <v>4</v>
      </c>
      <c r="AS2070" s="68">
        <f ca="1">IFERROR(__xludf.DUMMYFUNCTION("""COMPUTED_VALUE"""),46114.9986111111)</f>
        <v>46114.998611111099</v>
      </c>
      <c r="AT2070" s="6">
        <f ca="1">IFERROR(__xludf.DUMMYFUNCTION("""COMPUTED_VALUE"""),4679.7)</f>
        <v>4679.7</v>
      </c>
    </row>
    <row r="2071" spans="2:46" x14ac:dyDescent="0.35">
      <c r="B2071" s="6" t="str">
        <f t="shared" ca="1" si="576"/>
        <v>20263</v>
      </c>
      <c r="C2071" s="6">
        <f t="shared" ca="1" si="577"/>
        <v>2026</v>
      </c>
      <c r="D2071" s="6">
        <f t="shared" ca="1" si="578"/>
        <v>3</v>
      </c>
      <c r="E2071" s="68">
        <f ca="1">IFERROR(__xludf.DUMMYFUNCTION("""COMPUTED_VALUE"""),46108.6666666666)</f>
        <v>46108.666666666599</v>
      </c>
      <c r="F2071" s="6">
        <f ca="1">IFERROR(__xludf.DUMMYFUNCTION("""COMPUTED_VALUE"""),6368.85)</f>
        <v>6368.85</v>
      </c>
      <c r="J2071" s="6" t="str">
        <f t="shared" ca="1" si="579"/>
        <v>20263</v>
      </c>
      <c r="K2071" s="6">
        <f t="shared" ca="1" si="580"/>
        <v>2026</v>
      </c>
      <c r="L2071" s="6">
        <f t="shared" ca="1" si="581"/>
        <v>3</v>
      </c>
      <c r="M2071" s="68">
        <f ca="1">IFERROR(__xludf.DUMMYFUNCTION("""COMPUTED_VALUE"""),46104.6666666666)</f>
        <v>46104.666666666599</v>
      </c>
      <c r="N2071" s="6">
        <f ca="1">IFERROR(__xludf.DUMMYFUNCTION("""COMPUTED_VALUE"""),21946.76)</f>
        <v>21946.76</v>
      </c>
      <c r="R2071" s="6" t="str">
        <f t="shared" ca="1" si="582"/>
        <v>20266</v>
      </c>
      <c r="S2071" s="6">
        <f t="shared" ca="1" si="583"/>
        <v>2026</v>
      </c>
      <c r="T2071" s="6">
        <f t="shared" ca="1" si="584"/>
        <v>6</v>
      </c>
      <c r="U2071" s="68">
        <f ca="1">IFERROR(__xludf.DUMMYFUNCTION("""COMPUTED_VALUE"""),46189.6458333333)</f>
        <v>46189.645833333299</v>
      </c>
      <c r="V2071" s="6">
        <f ca="1">IFERROR(__xludf.DUMMYFUNCTION("""COMPUTED_VALUE"""),8726.6)</f>
        <v>8726.6</v>
      </c>
      <c r="Z2071" s="6" t="str">
        <f t="shared" ca="1" si="585"/>
        <v>202310</v>
      </c>
      <c r="AA2071" s="6">
        <f t="shared" ca="1" si="586"/>
        <v>2023</v>
      </c>
      <c r="AB2071" s="6">
        <f t="shared" ca="1" si="587"/>
        <v>10</v>
      </c>
      <c r="AC2071" s="68">
        <f ca="1">IFERROR(__xludf.DUMMYFUNCTION("""COMPUTED_VALUE"""),45220.9986111111)</f>
        <v>45220.998611111099</v>
      </c>
      <c r="AD2071" s="6">
        <f ca="1">IFERROR(__xludf.DUMMYFUNCTION("""COMPUTED_VALUE"""),1349.33)</f>
        <v>1349.33</v>
      </c>
      <c r="AH2071" s="6" t="str">
        <f t="shared" ca="1" si="588"/>
        <v>20238</v>
      </c>
      <c r="AI2071" s="6">
        <f t="shared" ca="1" si="589"/>
        <v>2023</v>
      </c>
      <c r="AJ2071" s="6">
        <f t="shared" ca="1" si="590"/>
        <v>8</v>
      </c>
      <c r="AK2071" s="68">
        <f ca="1">IFERROR(__xludf.DUMMYFUNCTION("""COMPUTED_VALUE"""),45164.9986111111)</f>
        <v>45164.998611111099</v>
      </c>
      <c r="AL2071" s="6">
        <f ca="1">IFERROR(__xludf.DUMMYFUNCTION("""COMPUTED_VALUE"""),26020.23)</f>
        <v>26020.23</v>
      </c>
      <c r="AP2071" s="6" t="str">
        <f t="shared" ca="1" si="591"/>
        <v>20264</v>
      </c>
      <c r="AQ2071" s="6">
        <f t="shared" ca="1" si="592"/>
        <v>2026</v>
      </c>
      <c r="AR2071" s="6">
        <f t="shared" ca="1" si="593"/>
        <v>4</v>
      </c>
      <c r="AS2071" s="68">
        <f ca="1">IFERROR(__xludf.DUMMYFUNCTION("""COMPUTED_VALUE"""),46118.9986111111)</f>
        <v>46118.998611111099</v>
      </c>
      <c r="AT2071" s="6">
        <f ca="1">IFERROR(__xludf.DUMMYFUNCTION("""COMPUTED_VALUE"""),4684.7)</f>
        <v>4684.7</v>
      </c>
    </row>
    <row r="2072" spans="2:46" x14ac:dyDescent="0.35">
      <c r="B2072" s="6" t="str">
        <f t="shared" ca="1" si="576"/>
        <v>20263</v>
      </c>
      <c r="C2072" s="6">
        <f t="shared" ca="1" si="577"/>
        <v>2026</v>
      </c>
      <c r="D2072" s="6">
        <f t="shared" ca="1" si="578"/>
        <v>3</v>
      </c>
      <c r="E2072" s="68">
        <f ca="1">IFERROR(__xludf.DUMMYFUNCTION("""COMPUTED_VALUE"""),46111.6666666666)</f>
        <v>46111.666666666599</v>
      </c>
      <c r="F2072" s="6">
        <f ca="1">IFERROR(__xludf.DUMMYFUNCTION("""COMPUTED_VALUE"""),6343.72)</f>
        <v>6343.72</v>
      </c>
      <c r="J2072" s="6" t="str">
        <f t="shared" ca="1" si="579"/>
        <v>20263</v>
      </c>
      <c r="K2072" s="6">
        <f t="shared" ca="1" si="580"/>
        <v>2026</v>
      </c>
      <c r="L2072" s="6">
        <f t="shared" ca="1" si="581"/>
        <v>3</v>
      </c>
      <c r="M2072" s="68">
        <f ca="1">IFERROR(__xludf.DUMMYFUNCTION("""COMPUTED_VALUE"""),46105.6666666666)</f>
        <v>46105.666666666599</v>
      </c>
      <c r="N2072" s="6">
        <f ca="1">IFERROR(__xludf.DUMMYFUNCTION("""COMPUTED_VALUE"""),21761.89)</f>
        <v>21761.89</v>
      </c>
      <c r="R2072" s="6" t="str">
        <f t="shared" ca="1" si="582"/>
        <v>20266</v>
      </c>
      <c r="S2072" s="6">
        <f t="shared" ca="1" si="583"/>
        <v>2026</v>
      </c>
      <c r="T2072" s="6">
        <f t="shared" ca="1" si="584"/>
        <v>6</v>
      </c>
      <c r="U2072" s="68">
        <f ca="1">IFERROR(__xludf.DUMMYFUNCTION("""COMPUTED_VALUE"""),46190.6458333333)</f>
        <v>46190.645833333299</v>
      </c>
      <c r="V2072" s="6">
        <f ca="1">IFERROR(__xludf.DUMMYFUNCTION("""COMPUTED_VALUE"""),8864.24)</f>
        <v>8864.24</v>
      </c>
      <c r="Z2072" s="6" t="str">
        <f t="shared" ca="1" si="585"/>
        <v>202310</v>
      </c>
      <c r="AA2072" s="6">
        <f t="shared" ca="1" si="586"/>
        <v>2023</v>
      </c>
      <c r="AB2072" s="6">
        <f t="shared" ca="1" si="587"/>
        <v>10</v>
      </c>
      <c r="AC2072" s="68">
        <f ca="1">IFERROR(__xludf.DUMMYFUNCTION("""COMPUTED_VALUE"""),45221.9986111111)</f>
        <v>45221.998611111099</v>
      </c>
      <c r="AD2072" s="6">
        <f ca="1">IFERROR(__xludf.DUMMYFUNCTION("""COMPUTED_VALUE"""),1349.34)</f>
        <v>1349.34</v>
      </c>
      <c r="AH2072" s="6" t="str">
        <f t="shared" ca="1" si="588"/>
        <v>20238</v>
      </c>
      <c r="AI2072" s="6">
        <f t="shared" ca="1" si="589"/>
        <v>2023</v>
      </c>
      <c r="AJ2072" s="6">
        <f t="shared" ca="1" si="590"/>
        <v>8</v>
      </c>
      <c r="AK2072" s="68">
        <f ca="1">IFERROR(__xludf.DUMMYFUNCTION("""COMPUTED_VALUE"""),45165.9986111111)</f>
        <v>45165.998611111099</v>
      </c>
      <c r="AL2072" s="6">
        <f ca="1">IFERROR(__xludf.DUMMYFUNCTION("""COMPUTED_VALUE"""),26099.84)</f>
        <v>26099.84</v>
      </c>
      <c r="AP2072" s="6" t="str">
        <f t="shared" ca="1" si="591"/>
        <v>20264</v>
      </c>
      <c r="AQ2072" s="6">
        <f t="shared" ca="1" si="592"/>
        <v>2026</v>
      </c>
      <c r="AR2072" s="6">
        <f t="shared" ca="1" si="593"/>
        <v>4</v>
      </c>
      <c r="AS2072" s="68">
        <f ca="1">IFERROR(__xludf.DUMMYFUNCTION("""COMPUTED_VALUE"""),46119.9986111111)</f>
        <v>46119.998611111099</v>
      </c>
      <c r="AT2072" s="6">
        <f ca="1">IFERROR(__xludf.DUMMYFUNCTION("""COMPUTED_VALUE"""),4684.7)</f>
        <v>4684.7</v>
      </c>
    </row>
    <row r="2073" spans="2:46" x14ac:dyDescent="0.35">
      <c r="B2073" s="6" t="str">
        <f t="shared" ca="1" si="576"/>
        <v>20263</v>
      </c>
      <c r="C2073" s="6">
        <f t="shared" ca="1" si="577"/>
        <v>2026</v>
      </c>
      <c r="D2073" s="6">
        <f t="shared" ca="1" si="578"/>
        <v>3</v>
      </c>
      <c r="E2073" s="68">
        <f ca="1">IFERROR(__xludf.DUMMYFUNCTION("""COMPUTED_VALUE"""),46112.6666666666)</f>
        <v>46112.666666666599</v>
      </c>
      <c r="F2073" s="6">
        <f ca="1">IFERROR(__xludf.DUMMYFUNCTION("""COMPUTED_VALUE"""),6528.52)</f>
        <v>6528.52</v>
      </c>
      <c r="J2073" s="6" t="str">
        <f t="shared" ca="1" si="579"/>
        <v>20263</v>
      </c>
      <c r="K2073" s="6">
        <f t="shared" ca="1" si="580"/>
        <v>2026</v>
      </c>
      <c r="L2073" s="6">
        <f t="shared" ca="1" si="581"/>
        <v>3</v>
      </c>
      <c r="M2073" s="68">
        <f ca="1">IFERROR(__xludf.DUMMYFUNCTION("""COMPUTED_VALUE"""),46106.6666666666)</f>
        <v>46106.666666666599</v>
      </c>
      <c r="N2073" s="6">
        <f ca="1">IFERROR(__xludf.DUMMYFUNCTION("""COMPUTED_VALUE"""),21929.83)</f>
        <v>21929.83</v>
      </c>
      <c r="R2073" s="6" t="str">
        <f t="shared" ca="1" si="582"/>
        <v>20266</v>
      </c>
      <c r="S2073" s="6">
        <f t="shared" ca="1" si="583"/>
        <v>2026</v>
      </c>
      <c r="T2073" s="6">
        <f t="shared" ca="1" si="584"/>
        <v>6</v>
      </c>
      <c r="U2073" s="68">
        <f ca="1">IFERROR(__xludf.DUMMYFUNCTION("""COMPUTED_VALUE"""),46191.6458333333)</f>
        <v>46191.645833333299</v>
      </c>
      <c r="V2073" s="6">
        <f ca="1">IFERROR(__xludf.DUMMYFUNCTION("""COMPUTED_VALUE"""),9063.84)</f>
        <v>9063.84</v>
      </c>
      <c r="Z2073" s="6" t="str">
        <f t="shared" ca="1" si="585"/>
        <v>202310</v>
      </c>
      <c r="AA2073" s="6">
        <f t="shared" ca="1" si="586"/>
        <v>2023</v>
      </c>
      <c r="AB2073" s="6">
        <f t="shared" ca="1" si="587"/>
        <v>10</v>
      </c>
      <c r="AC2073" s="68">
        <f ca="1">IFERROR(__xludf.DUMMYFUNCTION("""COMPUTED_VALUE"""),45222.9986111111)</f>
        <v>45222.998611111099</v>
      </c>
      <c r="AD2073" s="6">
        <f ca="1">IFERROR(__xludf.DUMMYFUNCTION("""COMPUTED_VALUE"""),1334.44)</f>
        <v>1334.44</v>
      </c>
      <c r="AH2073" s="6" t="str">
        <f t="shared" ca="1" si="588"/>
        <v>20238</v>
      </c>
      <c r="AI2073" s="6">
        <f t="shared" ca="1" si="589"/>
        <v>2023</v>
      </c>
      <c r="AJ2073" s="6">
        <f t="shared" ca="1" si="590"/>
        <v>8</v>
      </c>
      <c r="AK2073" s="68">
        <f ca="1">IFERROR(__xludf.DUMMYFUNCTION("""COMPUTED_VALUE"""),45166.9986111111)</f>
        <v>45166.998611111099</v>
      </c>
      <c r="AL2073" s="6">
        <f ca="1">IFERROR(__xludf.DUMMYFUNCTION("""COMPUTED_VALUE"""),26108.12)</f>
        <v>26108.12</v>
      </c>
      <c r="AP2073" s="6" t="str">
        <f t="shared" ca="1" si="591"/>
        <v>20264</v>
      </c>
      <c r="AQ2073" s="6">
        <f t="shared" ca="1" si="592"/>
        <v>2026</v>
      </c>
      <c r="AR2073" s="6">
        <f t="shared" ca="1" si="593"/>
        <v>4</v>
      </c>
      <c r="AS2073" s="68">
        <f ca="1">IFERROR(__xludf.DUMMYFUNCTION("""COMPUTED_VALUE"""),46120.9986111111)</f>
        <v>46120.998611111099</v>
      </c>
      <c r="AT2073" s="6">
        <f ca="1">IFERROR(__xludf.DUMMYFUNCTION("""COMPUTED_VALUE"""),4777.2)</f>
        <v>4777.2</v>
      </c>
    </row>
    <row r="2074" spans="2:46" x14ac:dyDescent="0.35">
      <c r="B2074" s="6" t="str">
        <f t="shared" ca="1" si="576"/>
        <v>20264</v>
      </c>
      <c r="C2074" s="6">
        <f t="shared" ca="1" si="577"/>
        <v>2026</v>
      </c>
      <c r="D2074" s="6">
        <f t="shared" ca="1" si="578"/>
        <v>4</v>
      </c>
      <c r="E2074" s="68">
        <f ca="1">IFERROR(__xludf.DUMMYFUNCTION("""COMPUTED_VALUE"""),46113.6666666666)</f>
        <v>46113.666666666599</v>
      </c>
      <c r="F2074" s="6">
        <f ca="1">IFERROR(__xludf.DUMMYFUNCTION("""COMPUTED_VALUE"""),6575.32)</f>
        <v>6575.32</v>
      </c>
      <c r="J2074" s="6" t="str">
        <f t="shared" ca="1" si="579"/>
        <v>20263</v>
      </c>
      <c r="K2074" s="6">
        <f t="shared" ca="1" si="580"/>
        <v>2026</v>
      </c>
      <c r="L2074" s="6">
        <f t="shared" ca="1" si="581"/>
        <v>3</v>
      </c>
      <c r="M2074" s="68">
        <f ca="1">IFERROR(__xludf.DUMMYFUNCTION("""COMPUTED_VALUE"""),46107.6666666666)</f>
        <v>46107.666666666599</v>
      </c>
      <c r="N2074" s="6">
        <f ca="1">IFERROR(__xludf.DUMMYFUNCTION("""COMPUTED_VALUE"""),21408.08)</f>
        <v>21408.080000000002</v>
      </c>
      <c r="R2074" s="6" t="str">
        <f t="shared" ca="1" si="582"/>
        <v>20266</v>
      </c>
      <c r="S2074" s="6">
        <f t="shared" ca="1" si="583"/>
        <v>2026</v>
      </c>
      <c r="T2074" s="6">
        <f t="shared" ca="1" si="584"/>
        <v>6</v>
      </c>
      <c r="U2074" s="68">
        <f ca="1">IFERROR(__xludf.DUMMYFUNCTION("""COMPUTED_VALUE"""),46192.6458333333)</f>
        <v>46192.645833333299</v>
      </c>
      <c r="V2074" s="6">
        <f ca="1">IFERROR(__xludf.DUMMYFUNCTION("""COMPUTED_VALUE"""),9052.42)</f>
        <v>9052.42</v>
      </c>
      <c r="Z2074" s="6" t="str">
        <f t="shared" ca="1" si="585"/>
        <v>202310</v>
      </c>
      <c r="AA2074" s="6">
        <f t="shared" ca="1" si="586"/>
        <v>2023</v>
      </c>
      <c r="AB2074" s="6">
        <f t="shared" ca="1" si="587"/>
        <v>10</v>
      </c>
      <c r="AC2074" s="68">
        <f ca="1">IFERROR(__xludf.DUMMYFUNCTION("""COMPUTED_VALUE"""),45223.9986111111)</f>
        <v>45223.998611111099</v>
      </c>
      <c r="AD2074" s="6">
        <f ca="1">IFERROR(__xludf.DUMMYFUNCTION("""COMPUTED_VALUE"""),1343.64)</f>
        <v>1343.64</v>
      </c>
      <c r="AH2074" s="6" t="str">
        <f t="shared" ca="1" si="588"/>
        <v>20238</v>
      </c>
      <c r="AI2074" s="6">
        <f t="shared" ca="1" si="589"/>
        <v>2023</v>
      </c>
      <c r="AJ2074" s="6">
        <f t="shared" ca="1" si="590"/>
        <v>8</v>
      </c>
      <c r="AK2074" s="68">
        <f ca="1">IFERROR(__xludf.DUMMYFUNCTION("""COMPUTED_VALUE"""),45167.9986111111)</f>
        <v>45167.998611111099</v>
      </c>
      <c r="AL2074" s="6">
        <f ca="1">IFERROR(__xludf.DUMMYFUNCTION("""COMPUTED_VALUE"""),27728.26)</f>
        <v>27728.26</v>
      </c>
      <c r="AP2074" s="6" t="str">
        <f t="shared" ca="1" si="591"/>
        <v>20264</v>
      </c>
      <c r="AQ2074" s="6">
        <f t="shared" ca="1" si="592"/>
        <v>2026</v>
      </c>
      <c r="AR2074" s="6">
        <f t="shared" ca="1" si="593"/>
        <v>4</v>
      </c>
      <c r="AS2074" s="68">
        <f ca="1">IFERROR(__xludf.DUMMYFUNCTION("""COMPUTED_VALUE"""),46121.9986111111)</f>
        <v>46121.998611111099</v>
      </c>
      <c r="AT2074" s="6">
        <f ca="1">IFERROR(__xludf.DUMMYFUNCTION("""COMPUTED_VALUE"""),4818)</f>
        <v>4818</v>
      </c>
    </row>
    <row r="2075" spans="2:46" x14ac:dyDescent="0.35">
      <c r="B2075" s="6" t="str">
        <f t="shared" ca="1" si="576"/>
        <v>20264</v>
      </c>
      <c r="C2075" s="6">
        <f t="shared" ca="1" si="577"/>
        <v>2026</v>
      </c>
      <c r="D2075" s="6">
        <f t="shared" ca="1" si="578"/>
        <v>4</v>
      </c>
      <c r="E2075" s="68">
        <f ca="1">IFERROR(__xludf.DUMMYFUNCTION("""COMPUTED_VALUE"""),46114.6666666666)</f>
        <v>46114.666666666599</v>
      </c>
      <c r="F2075" s="6">
        <f ca="1">IFERROR(__xludf.DUMMYFUNCTION("""COMPUTED_VALUE"""),6582.69)</f>
        <v>6582.69</v>
      </c>
      <c r="J2075" s="6" t="str">
        <f t="shared" ca="1" si="579"/>
        <v>20263</v>
      </c>
      <c r="K2075" s="6">
        <f t="shared" ca="1" si="580"/>
        <v>2026</v>
      </c>
      <c r="L2075" s="6">
        <f t="shared" ca="1" si="581"/>
        <v>3</v>
      </c>
      <c r="M2075" s="68">
        <f ca="1">IFERROR(__xludf.DUMMYFUNCTION("""COMPUTED_VALUE"""),46108.6666666666)</f>
        <v>46108.666666666599</v>
      </c>
      <c r="N2075" s="6">
        <f ca="1">IFERROR(__xludf.DUMMYFUNCTION("""COMPUTED_VALUE"""),20948.36)</f>
        <v>20948.36</v>
      </c>
      <c r="R2075" s="6" t="str">
        <f t="shared" ca="1" si="582"/>
        <v>20266</v>
      </c>
      <c r="S2075" s="6">
        <f t="shared" ca="1" si="583"/>
        <v>2026</v>
      </c>
      <c r="T2075" s="6">
        <f t="shared" ca="1" si="584"/>
        <v>6</v>
      </c>
      <c r="U2075" s="68">
        <f ca="1">IFERROR(__xludf.DUMMYFUNCTION("""COMPUTED_VALUE"""),46195.6458333333)</f>
        <v>46195.645833333299</v>
      </c>
      <c r="V2075" s="6">
        <f ca="1">IFERROR(__xludf.DUMMYFUNCTION("""COMPUTED_VALUE"""),9114.55)</f>
        <v>9114.5499999999993</v>
      </c>
      <c r="Z2075" s="6" t="str">
        <f t="shared" ca="1" si="585"/>
        <v>202310</v>
      </c>
      <c r="AA2075" s="6">
        <f t="shared" ca="1" si="586"/>
        <v>2023</v>
      </c>
      <c r="AB2075" s="6">
        <f t="shared" ca="1" si="587"/>
        <v>10</v>
      </c>
      <c r="AC2075" s="68">
        <f ca="1">IFERROR(__xludf.DUMMYFUNCTION("""COMPUTED_VALUE"""),45224.9986111111)</f>
        <v>45224.998611111099</v>
      </c>
      <c r="AD2075" s="6">
        <f ca="1">IFERROR(__xludf.DUMMYFUNCTION("""COMPUTED_VALUE"""),1352.68)</f>
        <v>1352.68</v>
      </c>
      <c r="AH2075" s="6" t="str">
        <f t="shared" ca="1" si="588"/>
        <v>20238</v>
      </c>
      <c r="AI2075" s="6">
        <f t="shared" ca="1" si="589"/>
        <v>2023</v>
      </c>
      <c r="AJ2075" s="6">
        <f t="shared" ca="1" si="590"/>
        <v>8</v>
      </c>
      <c r="AK2075" s="68">
        <f ca="1">IFERROR(__xludf.DUMMYFUNCTION("""COMPUTED_VALUE"""),45168.9986111111)</f>
        <v>45168.998611111099</v>
      </c>
      <c r="AL2075" s="6">
        <f ca="1">IFERROR(__xludf.DUMMYFUNCTION("""COMPUTED_VALUE"""),27304.24)</f>
        <v>27304.240000000002</v>
      </c>
      <c r="AP2075" s="6" t="str">
        <f t="shared" ca="1" si="591"/>
        <v>20264</v>
      </c>
      <c r="AQ2075" s="6">
        <f t="shared" ca="1" si="592"/>
        <v>2026</v>
      </c>
      <c r="AR2075" s="6">
        <f t="shared" ca="1" si="593"/>
        <v>4</v>
      </c>
      <c r="AS2075" s="68">
        <f ca="1">IFERROR(__xludf.DUMMYFUNCTION("""COMPUTED_VALUE"""),46122.9986111111)</f>
        <v>46122.998611111099</v>
      </c>
      <c r="AT2075" s="6">
        <f ca="1">IFERROR(__xludf.DUMMYFUNCTION("""COMPUTED_VALUE"""),4787.4)</f>
        <v>4787.3999999999996</v>
      </c>
    </row>
    <row r="2076" spans="2:46" x14ac:dyDescent="0.35">
      <c r="B2076" s="6" t="str">
        <f t="shared" ca="1" si="576"/>
        <v>20264</v>
      </c>
      <c r="C2076" s="6">
        <f t="shared" ca="1" si="577"/>
        <v>2026</v>
      </c>
      <c r="D2076" s="6">
        <f t="shared" ca="1" si="578"/>
        <v>4</v>
      </c>
      <c r="E2076" s="68">
        <f ca="1">IFERROR(__xludf.DUMMYFUNCTION("""COMPUTED_VALUE"""),46118.6666666666)</f>
        <v>46118.666666666599</v>
      </c>
      <c r="F2076" s="6">
        <f ca="1">IFERROR(__xludf.DUMMYFUNCTION("""COMPUTED_VALUE"""),6611.83)</f>
        <v>6611.83</v>
      </c>
      <c r="J2076" s="6" t="str">
        <f t="shared" ca="1" si="579"/>
        <v>20263</v>
      </c>
      <c r="K2076" s="6">
        <f t="shared" ca="1" si="580"/>
        <v>2026</v>
      </c>
      <c r="L2076" s="6">
        <f t="shared" ca="1" si="581"/>
        <v>3</v>
      </c>
      <c r="M2076" s="68">
        <f ca="1">IFERROR(__xludf.DUMMYFUNCTION("""COMPUTED_VALUE"""),46111.6666666666)</f>
        <v>46111.666666666599</v>
      </c>
      <c r="N2076" s="6">
        <f ca="1">IFERROR(__xludf.DUMMYFUNCTION("""COMPUTED_VALUE"""),20794.64)</f>
        <v>20794.64</v>
      </c>
      <c r="R2076" s="6" t="str">
        <f t="shared" ca="1" si="582"/>
        <v>20266</v>
      </c>
      <c r="S2076" s="6">
        <f t="shared" ca="1" si="583"/>
        <v>2026</v>
      </c>
      <c r="T2076" s="6">
        <f t="shared" ca="1" si="584"/>
        <v>6</v>
      </c>
      <c r="U2076" s="68">
        <f ca="1">IFERROR(__xludf.DUMMYFUNCTION("""COMPUTED_VALUE"""),46196.6458333333)</f>
        <v>46196.645833333299</v>
      </c>
      <c r="V2076" s="6">
        <f ca="1">IFERROR(__xludf.DUMMYFUNCTION("""COMPUTED_VALUE"""),8203.84)</f>
        <v>8203.84</v>
      </c>
      <c r="Z2076" s="6" t="str">
        <f t="shared" ca="1" si="585"/>
        <v>202310</v>
      </c>
      <c r="AA2076" s="6">
        <f t="shared" ca="1" si="586"/>
        <v>2023</v>
      </c>
      <c r="AB2076" s="6">
        <f t="shared" ca="1" si="587"/>
        <v>10</v>
      </c>
      <c r="AC2076" s="68">
        <f ca="1">IFERROR(__xludf.DUMMYFUNCTION("""COMPUTED_VALUE"""),45225.9986111111)</f>
        <v>45225.998611111099</v>
      </c>
      <c r="AD2076" s="6">
        <f ca="1">IFERROR(__xludf.DUMMYFUNCTION("""COMPUTED_VALUE"""),1350.34)</f>
        <v>1350.34</v>
      </c>
      <c r="AH2076" s="6" t="str">
        <f t="shared" ca="1" si="588"/>
        <v>20238</v>
      </c>
      <c r="AI2076" s="6">
        <f t="shared" ca="1" si="589"/>
        <v>2023</v>
      </c>
      <c r="AJ2076" s="6">
        <f t="shared" ca="1" si="590"/>
        <v>8</v>
      </c>
      <c r="AK2076" s="68">
        <f ca="1">IFERROR(__xludf.DUMMYFUNCTION("""COMPUTED_VALUE"""),45169.9986111111)</f>
        <v>45169.998611111099</v>
      </c>
      <c r="AL2076" s="6">
        <f ca="1">IFERROR(__xludf.DUMMYFUNCTION("""COMPUTED_VALUE"""),25936.08)</f>
        <v>25936.080000000002</v>
      </c>
      <c r="AP2076" s="6" t="str">
        <f t="shared" ca="1" si="591"/>
        <v>20264</v>
      </c>
      <c r="AQ2076" s="6">
        <f t="shared" ca="1" si="592"/>
        <v>2026</v>
      </c>
      <c r="AR2076" s="6">
        <f t="shared" ca="1" si="593"/>
        <v>4</v>
      </c>
      <c r="AS2076" s="68">
        <f ca="1">IFERROR(__xludf.DUMMYFUNCTION("""COMPUTED_VALUE"""),46125.9986111111)</f>
        <v>46125.998611111099</v>
      </c>
      <c r="AT2076" s="6">
        <f ca="1">IFERROR(__xludf.DUMMYFUNCTION("""COMPUTED_VALUE"""),4767.4)</f>
        <v>4767.3999999999996</v>
      </c>
    </row>
    <row r="2077" spans="2:46" x14ac:dyDescent="0.35">
      <c r="B2077" s="6" t="str">
        <f t="shared" ca="1" si="576"/>
        <v>20264</v>
      </c>
      <c r="C2077" s="6">
        <f t="shared" ca="1" si="577"/>
        <v>2026</v>
      </c>
      <c r="D2077" s="6">
        <f t="shared" ca="1" si="578"/>
        <v>4</v>
      </c>
      <c r="E2077" s="68">
        <f ca="1">IFERROR(__xludf.DUMMYFUNCTION("""COMPUTED_VALUE"""),46119.6666666666)</f>
        <v>46119.666666666599</v>
      </c>
      <c r="F2077" s="6">
        <f ca="1">IFERROR(__xludf.DUMMYFUNCTION("""COMPUTED_VALUE"""),6616.85)</f>
        <v>6616.85</v>
      </c>
      <c r="J2077" s="6" t="str">
        <f t="shared" ca="1" si="579"/>
        <v>20263</v>
      </c>
      <c r="K2077" s="6">
        <f t="shared" ca="1" si="580"/>
        <v>2026</v>
      </c>
      <c r="L2077" s="6">
        <f t="shared" ca="1" si="581"/>
        <v>3</v>
      </c>
      <c r="M2077" s="68">
        <f ca="1">IFERROR(__xludf.DUMMYFUNCTION("""COMPUTED_VALUE"""),46112.6666666666)</f>
        <v>46112.666666666599</v>
      </c>
      <c r="N2077" s="6">
        <f ca="1">IFERROR(__xludf.DUMMYFUNCTION("""COMPUTED_VALUE"""),21590.63)</f>
        <v>21590.63</v>
      </c>
      <c r="R2077" s="6" t="str">
        <f t="shared" ca="1" si="582"/>
        <v>20266</v>
      </c>
      <c r="S2077" s="6">
        <f t="shared" ca="1" si="583"/>
        <v>2026</v>
      </c>
      <c r="T2077" s="6">
        <f t="shared" ca="1" si="584"/>
        <v>6</v>
      </c>
      <c r="U2077" s="68">
        <f ca="1">IFERROR(__xludf.DUMMYFUNCTION("""COMPUTED_VALUE"""),46197.6458333333)</f>
        <v>46197.645833333299</v>
      </c>
      <c r="V2077" s="6">
        <f ca="1">IFERROR(__xludf.DUMMYFUNCTION("""COMPUTED_VALUE"""),8471.02)</f>
        <v>8471.02</v>
      </c>
      <c r="Z2077" s="6" t="str">
        <f t="shared" ca="1" si="585"/>
        <v>202310</v>
      </c>
      <c r="AA2077" s="6">
        <f t="shared" ca="1" si="586"/>
        <v>2023</v>
      </c>
      <c r="AB2077" s="6">
        <f t="shared" ca="1" si="587"/>
        <v>10</v>
      </c>
      <c r="AC2077" s="68">
        <f ca="1">IFERROR(__xludf.DUMMYFUNCTION("""COMPUTED_VALUE"""),45226.9986111111)</f>
        <v>45226.998611111099</v>
      </c>
      <c r="AD2077" s="6">
        <f ca="1">IFERROR(__xludf.DUMMYFUNCTION("""COMPUTED_VALUE"""),1355.22)</f>
        <v>1355.22</v>
      </c>
      <c r="AH2077" s="6" t="str">
        <f t="shared" ca="1" si="588"/>
        <v>20239</v>
      </c>
      <c r="AI2077" s="6">
        <f t="shared" ca="1" si="589"/>
        <v>2023</v>
      </c>
      <c r="AJ2077" s="6">
        <f t="shared" ca="1" si="590"/>
        <v>9</v>
      </c>
      <c r="AK2077" s="68">
        <f ca="1">IFERROR(__xludf.DUMMYFUNCTION("""COMPUTED_VALUE"""),45170.9986111111)</f>
        <v>45170.998611111099</v>
      </c>
      <c r="AL2077" s="6">
        <f ca="1">IFERROR(__xludf.DUMMYFUNCTION("""COMPUTED_VALUE"""),25798.36)</f>
        <v>25798.36</v>
      </c>
      <c r="AP2077" s="6" t="str">
        <f t="shared" ca="1" si="591"/>
        <v>20264</v>
      </c>
      <c r="AQ2077" s="6">
        <f t="shared" ca="1" si="592"/>
        <v>2026</v>
      </c>
      <c r="AR2077" s="6">
        <f t="shared" ca="1" si="593"/>
        <v>4</v>
      </c>
      <c r="AS2077" s="68">
        <f ca="1">IFERROR(__xludf.DUMMYFUNCTION("""COMPUTED_VALUE"""),46126.9986111111)</f>
        <v>46126.998611111099</v>
      </c>
      <c r="AT2077" s="6">
        <f ca="1">IFERROR(__xludf.DUMMYFUNCTION("""COMPUTED_VALUE"""),4850.1)</f>
        <v>4850.1000000000004</v>
      </c>
    </row>
    <row r="2078" spans="2:46" x14ac:dyDescent="0.35">
      <c r="B2078" s="6" t="str">
        <f t="shared" ca="1" si="576"/>
        <v>20264</v>
      </c>
      <c r="C2078" s="6">
        <f t="shared" ca="1" si="577"/>
        <v>2026</v>
      </c>
      <c r="D2078" s="6">
        <f t="shared" ca="1" si="578"/>
        <v>4</v>
      </c>
      <c r="E2078" s="68">
        <f ca="1">IFERROR(__xludf.DUMMYFUNCTION("""COMPUTED_VALUE"""),46120.6666666666)</f>
        <v>46120.666666666599</v>
      </c>
      <c r="F2078" s="6">
        <f ca="1">IFERROR(__xludf.DUMMYFUNCTION("""COMPUTED_VALUE"""),6782.81)</f>
        <v>6782.81</v>
      </c>
      <c r="J2078" s="6" t="str">
        <f t="shared" ca="1" si="579"/>
        <v>20264</v>
      </c>
      <c r="K2078" s="6">
        <f t="shared" ca="1" si="580"/>
        <v>2026</v>
      </c>
      <c r="L2078" s="6">
        <f t="shared" ca="1" si="581"/>
        <v>4</v>
      </c>
      <c r="M2078" s="68">
        <f ca="1">IFERROR(__xludf.DUMMYFUNCTION("""COMPUTED_VALUE"""),46113.6666666666)</f>
        <v>46113.666666666599</v>
      </c>
      <c r="N2078" s="6">
        <f ca="1">IFERROR(__xludf.DUMMYFUNCTION("""COMPUTED_VALUE"""),21840.95)</f>
        <v>21840.95</v>
      </c>
      <c r="R2078" s="6" t="str">
        <f t="shared" ca="1" si="582"/>
        <v>20266</v>
      </c>
      <c r="S2078" s="6">
        <f t="shared" ca="1" si="583"/>
        <v>2026</v>
      </c>
      <c r="T2078" s="6">
        <f t="shared" ca="1" si="584"/>
        <v>6</v>
      </c>
      <c r="U2078" s="68">
        <f ca="1">IFERROR(__xludf.DUMMYFUNCTION("""COMPUTED_VALUE"""),46198.6458333333)</f>
        <v>46198.645833333299</v>
      </c>
      <c r="V2078" s="6">
        <f ca="1">IFERROR(__xludf.DUMMYFUNCTION("""COMPUTED_VALUE"""),8930.3)</f>
        <v>8930.2999999999993</v>
      </c>
      <c r="Z2078" s="6" t="str">
        <f t="shared" ca="1" si="585"/>
        <v>202310</v>
      </c>
      <c r="AA2078" s="6">
        <f t="shared" ca="1" si="586"/>
        <v>2023</v>
      </c>
      <c r="AB2078" s="6">
        <f t="shared" ca="1" si="587"/>
        <v>10</v>
      </c>
      <c r="AC2078" s="68">
        <f ca="1">IFERROR(__xludf.DUMMYFUNCTION("""COMPUTED_VALUE"""),45227.9986111111)</f>
        <v>45227.998611111099</v>
      </c>
      <c r="AD2078" s="6">
        <f ca="1">IFERROR(__xludf.DUMMYFUNCTION("""COMPUTED_VALUE"""),1355.22)</f>
        <v>1355.22</v>
      </c>
      <c r="AH2078" s="6" t="str">
        <f t="shared" ca="1" si="588"/>
        <v>20239</v>
      </c>
      <c r="AI2078" s="6">
        <f t="shared" ca="1" si="589"/>
        <v>2023</v>
      </c>
      <c r="AJ2078" s="6">
        <f t="shared" ca="1" si="590"/>
        <v>9</v>
      </c>
      <c r="AK2078" s="68">
        <f ca="1">IFERROR(__xludf.DUMMYFUNCTION("""COMPUTED_VALUE"""),45171.9986111111)</f>
        <v>45171.998611111099</v>
      </c>
      <c r="AL2078" s="6">
        <f ca="1">IFERROR(__xludf.DUMMYFUNCTION("""COMPUTED_VALUE"""),25877.09)</f>
        <v>25877.09</v>
      </c>
      <c r="AP2078" s="6" t="str">
        <f t="shared" ca="1" si="591"/>
        <v>20264</v>
      </c>
      <c r="AQ2078" s="6">
        <f t="shared" ca="1" si="592"/>
        <v>2026</v>
      </c>
      <c r="AR2078" s="6">
        <f t="shared" ca="1" si="593"/>
        <v>4</v>
      </c>
      <c r="AS2078" s="68">
        <f ca="1">IFERROR(__xludf.DUMMYFUNCTION("""COMPUTED_VALUE"""),46127.9986111111)</f>
        <v>46127.998611111099</v>
      </c>
      <c r="AT2078" s="6">
        <f ca="1">IFERROR(__xludf.DUMMYFUNCTION("""COMPUTED_VALUE"""),4823.6)</f>
        <v>4823.6000000000004</v>
      </c>
    </row>
    <row r="2079" spans="2:46" x14ac:dyDescent="0.35">
      <c r="B2079" s="6" t="str">
        <f t="shared" ca="1" si="576"/>
        <v>20264</v>
      </c>
      <c r="C2079" s="6">
        <f t="shared" ca="1" si="577"/>
        <v>2026</v>
      </c>
      <c r="D2079" s="6">
        <f t="shared" ca="1" si="578"/>
        <v>4</v>
      </c>
      <c r="E2079" s="68">
        <f ca="1">IFERROR(__xludf.DUMMYFUNCTION("""COMPUTED_VALUE"""),46121.6666666666)</f>
        <v>46121.666666666599</v>
      </c>
      <c r="F2079" s="6">
        <f ca="1">IFERROR(__xludf.DUMMYFUNCTION("""COMPUTED_VALUE"""),6824.66)</f>
        <v>6824.66</v>
      </c>
      <c r="J2079" s="6" t="str">
        <f t="shared" ca="1" si="579"/>
        <v>20264</v>
      </c>
      <c r="K2079" s="6">
        <f t="shared" ca="1" si="580"/>
        <v>2026</v>
      </c>
      <c r="L2079" s="6">
        <f t="shared" ca="1" si="581"/>
        <v>4</v>
      </c>
      <c r="M2079" s="68">
        <f ca="1">IFERROR(__xludf.DUMMYFUNCTION("""COMPUTED_VALUE"""),46114.6666666666)</f>
        <v>46114.666666666599</v>
      </c>
      <c r="N2079" s="6">
        <f ca="1">IFERROR(__xludf.DUMMYFUNCTION("""COMPUTED_VALUE"""),21879.18)</f>
        <v>21879.18</v>
      </c>
      <c r="R2079" s="6" t="str">
        <f t="shared" ca="1" si="582"/>
        <v>20266</v>
      </c>
      <c r="S2079" s="6">
        <f t="shared" ca="1" si="583"/>
        <v>2026</v>
      </c>
      <c r="T2079" s="6">
        <f t="shared" ca="1" si="584"/>
        <v>6</v>
      </c>
      <c r="U2079" s="68">
        <f ca="1">IFERROR(__xludf.DUMMYFUNCTION("""COMPUTED_VALUE"""),46199.6458333333)</f>
        <v>46199.645833333299</v>
      </c>
      <c r="V2079" s="6">
        <f ca="1">IFERROR(__xludf.DUMMYFUNCTION("""COMPUTED_VALUE"""),8411.21)</f>
        <v>8411.2099999999991</v>
      </c>
      <c r="Z2079" s="6" t="str">
        <f t="shared" ca="1" si="585"/>
        <v>202310</v>
      </c>
      <c r="AA2079" s="6">
        <f t="shared" ca="1" si="586"/>
        <v>2023</v>
      </c>
      <c r="AB2079" s="6">
        <f t="shared" ca="1" si="587"/>
        <v>10</v>
      </c>
      <c r="AC2079" s="68">
        <f ca="1">IFERROR(__xludf.DUMMYFUNCTION("""COMPUTED_VALUE"""),45228.9986111111)</f>
        <v>45228.998611111099</v>
      </c>
      <c r="AD2079" s="6">
        <f ca="1">IFERROR(__xludf.DUMMYFUNCTION("""COMPUTED_VALUE"""),1355.22)</f>
        <v>1355.22</v>
      </c>
      <c r="AH2079" s="6" t="str">
        <f t="shared" ca="1" si="588"/>
        <v>20239</v>
      </c>
      <c r="AI2079" s="6">
        <f t="shared" ca="1" si="589"/>
        <v>2023</v>
      </c>
      <c r="AJ2079" s="6">
        <f t="shared" ca="1" si="590"/>
        <v>9</v>
      </c>
      <c r="AK2079" s="68">
        <f ca="1">IFERROR(__xludf.DUMMYFUNCTION("""COMPUTED_VALUE"""),45172.9986111111)</f>
        <v>45172.998611111099</v>
      </c>
      <c r="AL2079" s="6">
        <f ca="1">IFERROR(__xludf.DUMMYFUNCTION("""COMPUTED_VALUE"""),25974.93)</f>
        <v>25974.93</v>
      </c>
      <c r="AP2079" s="6" t="str">
        <f t="shared" ca="1" si="591"/>
        <v>20264</v>
      </c>
      <c r="AQ2079" s="6">
        <f t="shared" ca="1" si="592"/>
        <v>2026</v>
      </c>
      <c r="AR2079" s="6">
        <f t="shared" ca="1" si="593"/>
        <v>4</v>
      </c>
      <c r="AS2079" s="68">
        <f ca="1">IFERROR(__xludf.DUMMYFUNCTION("""COMPUTED_VALUE"""),46128.9986111111)</f>
        <v>46128.998611111099</v>
      </c>
      <c r="AT2079" s="6">
        <f ca="1">IFERROR(__xludf.DUMMYFUNCTION("""COMPUTED_VALUE"""),4808.3)</f>
        <v>4808.3</v>
      </c>
    </row>
    <row r="2080" spans="2:46" x14ac:dyDescent="0.35">
      <c r="B2080" s="6" t="str">
        <f t="shared" ca="1" si="576"/>
        <v>20264</v>
      </c>
      <c r="C2080" s="6">
        <f t="shared" ca="1" si="577"/>
        <v>2026</v>
      </c>
      <c r="D2080" s="6">
        <f t="shared" ca="1" si="578"/>
        <v>4</v>
      </c>
      <c r="E2080" s="68">
        <f ca="1">IFERROR(__xludf.DUMMYFUNCTION("""COMPUTED_VALUE"""),46122.6666666666)</f>
        <v>46122.666666666599</v>
      </c>
      <c r="F2080" s="6">
        <f ca="1">IFERROR(__xludf.DUMMYFUNCTION("""COMPUTED_VALUE"""),6816.89)</f>
        <v>6816.89</v>
      </c>
      <c r="J2080" s="6" t="str">
        <f t="shared" ca="1" si="579"/>
        <v>20264</v>
      </c>
      <c r="K2080" s="6">
        <f t="shared" ca="1" si="580"/>
        <v>2026</v>
      </c>
      <c r="L2080" s="6">
        <f t="shared" ca="1" si="581"/>
        <v>4</v>
      </c>
      <c r="M2080" s="68">
        <f ca="1">IFERROR(__xludf.DUMMYFUNCTION("""COMPUTED_VALUE"""),46118.6666666666)</f>
        <v>46118.666666666599</v>
      </c>
      <c r="N2080" s="6">
        <f ca="1">IFERROR(__xludf.DUMMYFUNCTION("""COMPUTED_VALUE"""),21996.34)</f>
        <v>21996.34</v>
      </c>
      <c r="R2080" s="6" t="str">
        <f t="shared" ca="1" si="582"/>
        <v>20266</v>
      </c>
      <c r="S2080" s="6">
        <f t="shared" ca="1" si="583"/>
        <v>2026</v>
      </c>
      <c r="T2080" s="6">
        <f t="shared" ca="1" si="584"/>
        <v>6</v>
      </c>
      <c r="U2080" s="68">
        <f ca="1">IFERROR(__xludf.DUMMYFUNCTION("""COMPUTED_VALUE"""),46202.6458333333)</f>
        <v>46202.645833333299</v>
      </c>
      <c r="V2080" s="6">
        <f ca="1">IFERROR(__xludf.DUMMYFUNCTION("""COMPUTED_VALUE"""),8394.65)</f>
        <v>8394.65</v>
      </c>
      <c r="Z2080" s="6" t="str">
        <f t="shared" ca="1" si="585"/>
        <v>202310</v>
      </c>
      <c r="AA2080" s="6">
        <f t="shared" ca="1" si="586"/>
        <v>2023</v>
      </c>
      <c r="AB2080" s="6">
        <f t="shared" ca="1" si="587"/>
        <v>10</v>
      </c>
      <c r="AC2080" s="68">
        <f ca="1">IFERROR(__xludf.DUMMYFUNCTION("""COMPUTED_VALUE"""),45229.9986111111)</f>
        <v>45229.998611111099</v>
      </c>
      <c r="AD2080" s="6">
        <f ca="1">IFERROR(__xludf.DUMMYFUNCTION("""COMPUTED_VALUE"""),1348.07)</f>
        <v>1348.07</v>
      </c>
      <c r="AH2080" s="6" t="str">
        <f t="shared" ca="1" si="588"/>
        <v>20239</v>
      </c>
      <c r="AI2080" s="6">
        <f t="shared" ca="1" si="589"/>
        <v>2023</v>
      </c>
      <c r="AJ2080" s="6">
        <f t="shared" ca="1" si="590"/>
        <v>9</v>
      </c>
      <c r="AK2080" s="68">
        <f ca="1">IFERROR(__xludf.DUMMYFUNCTION("""COMPUTED_VALUE"""),45173.9986111111)</f>
        <v>45173.998611111099</v>
      </c>
      <c r="AL2080" s="6">
        <f ca="1">IFERROR(__xludf.DUMMYFUNCTION("""COMPUTED_VALUE"""),25822.07)</f>
        <v>25822.07</v>
      </c>
      <c r="AP2080" s="6" t="str">
        <f t="shared" ca="1" si="591"/>
        <v>20264</v>
      </c>
      <c r="AQ2080" s="6">
        <f t="shared" ca="1" si="592"/>
        <v>2026</v>
      </c>
      <c r="AR2080" s="6">
        <f t="shared" ca="1" si="593"/>
        <v>4</v>
      </c>
      <c r="AS2080" s="68">
        <f ca="1">IFERROR(__xludf.DUMMYFUNCTION("""COMPUTED_VALUE"""),46129.9986111111)</f>
        <v>46129.998611111099</v>
      </c>
      <c r="AT2080" s="6">
        <f ca="1">IFERROR(__xludf.DUMMYFUNCTION("""COMPUTED_VALUE"""),4879.6)</f>
        <v>4879.6000000000004</v>
      </c>
    </row>
    <row r="2081" spans="2:46" x14ac:dyDescent="0.35">
      <c r="B2081" s="6" t="str">
        <f t="shared" ca="1" si="576"/>
        <v>20264</v>
      </c>
      <c r="C2081" s="6">
        <f t="shared" ca="1" si="577"/>
        <v>2026</v>
      </c>
      <c r="D2081" s="6">
        <f t="shared" ca="1" si="578"/>
        <v>4</v>
      </c>
      <c r="E2081" s="68">
        <f ca="1">IFERROR(__xludf.DUMMYFUNCTION("""COMPUTED_VALUE"""),46125.6666666666)</f>
        <v>46125.666666666599</v>
      </c>
      <c r="F2081" s="6">
        <f ca="1">IFERROR(__xludf.DUMMYFUNCTION("""COMPUTED_VALUE"""),6886.24)</f>
        <v>6886.24</v>
      </c>
      <c r="J2081" s="6" t="str">
        <f t="shared" ca="1" si="579"/>
        <v>20264</v>
      </c>
      <c r="K2081" s="6">
        <f t="shared" ca="1" si="580"/>
        <v>2026</v>
      </c>
      <c r="L2081" s="6">
        <f t="shared" ca="1" si="581"/>
        <v>4</v>
      </c>
      <c r="M2081" s="68">
        <f ca="1">IFERROR(__xludf.DUMMYFUNCTION("""COMPUTED_VALUE"""),46119.6666666666)</f>
        <v>46119.666666666599</v>
      </c>
      <c r="N2081" s="6">
        <f ca="1">IFERROR(__xludf.DUMMYFUNCTION("""COMPUTED_VALUE"""),22017.85)</f>
        <v>22017.85</v>
      </c>
      <c r="R2081" s="6" t="str">
        <f t="shared" ca="1" si="582"/>
        <v>20266</v>
      </c>
      <c r="S2081" s="6">
        <f t="shared" ca="1" si="583"/>
        <v>2026</v>
      </c>
      <c r="T2081" s="6">
        <f t="shared" ca="1" si="584"/>
        <v>6</v>
      </c>
      <c r="U2081" s="68">
        <f ca="1">IFERROR(__xludf.DUMMYFUNCTION("""COMPUTED_VALUE"""),46203.6458333333)</f>
        <v>46203.645833333299</v>
      </c>
      <c r="V2081" s="6">
        <f ca="1">IFERROR(__xludf.DUMMYFUNCTION("""COMPUTED_VALUE"""),8476.48)</f>
        <v>8476.48</v>
      </c>
      <c r="Z2081" s="6" t="str">
        <f t="shared" ca="1" si="585"/>
        <v>202310</v>
      </c>
      <c r="AA2081" s="6">
        <f t="shared" ca="1" si="586"/>
        <v>2023</v>
      </c>
      <c r="AB2081" s="6">
        <f t="shared" ca="1" si="587"/>
        <v>10</v>
      </c>
      <c r="AC2081" s="68">
        <f ca="1">IFERROR(__xludf.DUMMYFUNCTION("""COMPUTED_VALUE"""),45230.9986111111)</f>
        <v>45230.998611111099</v>
      </c>
      <c r="AD2081" s="6">
        <f ca="1">IFERROR(__xludf.DUMMYFUNCTION("""COMPUTED_VALUE"""),1350.16)</f>
        <v>1350.16</v>
      </c>
      <c r="AH2081" s="6" t="str">
        <f t="shared" ca="1" si="588"/>
        <v>20239</v>
      </c>
      <c r="AI2081" s="6">
        <f t="shared" ca="1" si="589"/>
        <v>2023</v>
      </c>
      <c r="AJ2081" s="6">
        <f t="shared" ca="1" si="590"/>
        <v>9</v>
      </c>
      <c r="AK2081" s="68">
        <f ca="1">IFERROR(__xludf.DUMMYFUNCTION("""COMPUTED_VALUE"""),45174.9986111111)</f>
        <v>45174.998611111099</v>
      </c>
      <c r="AL2081" s="6">
        <f ca="1">IFERROR(__xludf.DUMMYFUNCTION("""COMPUTED_VALUE"""),25785.84)</f>
        <v>25785.84</v>
      </c>
      <c r="AP2081" s="6" t="str">
        <f t="shared" ca="1" si="591"/>
        <v>20264</v>
      </c>
      <c r="AQ2081" s="6">
        <f t="shared" ca="1" si="592"/>
        <v>2026</v>
      </c>
      <c r="AR2081" s="6">
        <f t="shared" ca="1" si="593"/>
        <v>4</v>
      </c>
      <c r="AS2081" s="68">
        <f ca="1">IFERROR(__xludf.DUMMYFUNCTION("""COMPUTED_VALUE"""),46132.9986111111)</f>
        <v>46132.998611111099</v>
      </c>
      <c r="AT2081" s="6">
        <f ca="1">IFERROR(__xludf.DUMMYFUNCTION("""COMPUTED_VALUE"""),4828.8)</f>
        <v>4828.8</v>
      </c>
    </row>
    <row r="2082" spans="2:46" x14ac:dyDescent="0.35">
      <c r="B2082" s="6" t="str">
        <f t="shared" ca="1" si="576"/>
        <v>20264</v>
      </c>
      <c r="C2082" s="6">
        <f t="shared" ca="1" si="577"/>
        <v>2026</v>
      </c>
      <c r="D2082" s="6">
        <f t="shared" ca="1" si="578"/>
        <v>4</v>
      </c>
      <c r="E2082" s="68">
        <f ca="1">IFERROR(__xludf.DUMMYFUNCTION("""COMPUTED_VALUE"""),46126.6666666666)</f>
        <v>46126.666666666599</v>
      </c>
      <c r="F2082" s="6">
        <f ca="1">IFERROR(__xludf.DUMMYFUNCTION("""COMPUTED_VALUE"""),6967.38)</f>
        <v>6967.38</v>
      </c>
      <c r="J2082" s="6" t="str">
        <f t="shared" ca="1" si="579"/>
        <v>20264</v>
      </c>
      <c r="K2082" s="6">
        <f t="shared" ca="1" si="580"/>
        <v>2026</v>
      </c>
      <c r="L2082" s="6">
        <f t="shared" ca="1" si="581"/>
        <v>4</v>
      </c>
      <c r="M2082" s="68">
        <f ca="1">IFERROR(__xludf.DUMMYFUNCTION("""COMPUTED_VALUE"""),46120.6666666666)</f>
        <v>46120.666666666599</v>
      </c>
      <c r="N2082" s="6">
        <f ca="1">IFERROR(__xludf.DUMMYFUNCTION("""COMPUTED_VALUE"""),22635)</f>
        <v>22635</v>
      </c>
      <c r="R2082" s="6" t="str">
        <f t="shared" ca="1" si="582"/>
        <v>20267</v>
      </c>
      <c r="S2082" s="6">
        <f t="shared" ca="1" si="583"/>
        <v>2026</v>
      </c>
      <c r="T2082" s="6">
        <f t="shared" ca="1" si="584"/>
        <v>7</v>
      </c>
      <c r="U2082" s="68">
        <f ca="1">IFERROR(__xludf.DUMMYFUNCTION("""COMPUTED_VALUE"""),46204.6458333333)</f>
        <v>46204.645833333299</v>
      </c>
      <c r="V2082" s="6">
        <f ca="1">IFERROR(__xludf.DUMMYFUNCTION("""COMPUTED_VALUE"""),8303.41)</f>
        <v>8303.41</v>
      </c>
      <c r="Z2082" s="6" t="str">
        <f t="shared" ca="1" si="585"/>
        <v>202311</v>
      </c>
      <c r="AA2082" s="6">
        <f t="shared" ca="1" si="586"/>
        <v>2023</v>
      </c>
      <c r="AB2082" s="6">
        <f t="shared" ca="1" si="587"/>
        <v>11</v>
      </c>
      <c r="AC2082" s="68">
        <f ca="1">IFERROR(__xludf.DUMMYFUNCTION("""COMPUTED_VALUE"""),45231.9986111111)</f>
        <v>45231.998611111099</v>
      </c>
      <c r="AD2082" s="6">
        <f ca="1">IFERROR(__xludf.DUMMYFUNCTION("""COMPUTED_VALUE"""),1347.84)</f>
        <v>1347.84</v>
      </c>
      <c r="AH2082" s="6" t="str">
        <f t="shared" ca="1" si="588"/>
        <v>20239</v>
      </c>
      <c r="AI2082" s="6">
        <f t="shared" ca="1" si="589"/>
        <v>2023</v>
      </c>
      <c r="AJ2082" s="6">
        <f t="shared" ca="1" si="590"/>
        <v>9</v>
      </c>
      <c r="AK2082" s="68">
        <f ca="1">IFERROR(__xludf.DUMMYFUNCTION("""COMPUTED_VALUE"""),45175.9986111111)</f>
        <v>45175.998611111099</v>
      </c>
      <c r="AL2082" s="6">
        <f ca="1">IFERROR(__xludf.DUMMYFUNCTION("""COMPUTED_VALUE"""),25755.55)</f>
        <v>25755.55</v>
      </c>
      <c r="AP2082" s="6" t="str">
        <f t="shared" ca="1" si="591"/>
        <v>20264</v>
      </c>
      <c r="AQ2082" s="6">
        <f t="shared" ca="1" si="592"/>
        <v>2026</v>
      </c>
      <c r="AR2082" s="6">
        <f t="shared" ca="1" si="593"/>
        <v>4</v>
      </c>
      <c r="AS2082" s="68">
        <f ca="1">IFERROR(__xludf.DUMMYFUNCTION("""COMPUTED_VALUE"""),46133.9986111111)</f>
        <v>46133.998611111099</v>
      </c>
      <c r="AT2082" s="6">
        <f ca="1">IFERROR(__xludf.DUMMYFUNCTION("""COMPUTED_VALUE"""),4719.6)</f>
        <v>4719.6000000000004</v>
      </c>
    </row>
    <row r="2083" spans="2:46" x14ac:dyDescent="0.35">
      <c r="B2083" s="6" t="str">
        <f t="shared" ca="1" si="576"/>
        <v>20264</v>
      </c>
      <c r="C2083" s="6">
        <f t="shared" ca="1" si="577"/>
        <v>2026</v>
      </c>
      <c r="D2083" s="6">
        <f t="shared" ca="1" si="578"/>
        <v>4</v>
      </c>
      <c r="E2083" s="68">
        <f ca="1">IFERROR(__xludf.DUMMYFUNCTION("""COMPUTED_VALUE"""),46127.6666666666)</f>
        <v>46127.666666666599</v>
      </c>
      <c r="F2083" s="6">
        <f ca="1">IFERROR(__xludf.DUMMYFUNCTION("""COMPUTED_VALUE"""),7022.95)</f>
        <v>7022.95</v>
      </c>
      <c r="J2083" s="6" t="str">
        <f t="shared" ca="1" si="579"/>
        <v>20264</v>
      </c>
      <c r="K2083" s="6">
        <f t="shared" ca="1" si="580"/>
        <v>2026</v>
      </c>
      <c r="L2083" s="6">
        <f t="shared" ca="1" si="581"/>
        <v>4</v>
      </c>
      <c r="M2083" s="68">
        <f ca="1">IFERROR(__xludf.DUMMYFUNCTION("""COMPUTED_VALUE"""),46121.6666666666)</f>
        <v>46121.666666666599</v>
      </c>
      <c r="N2083" s="6">
        <f ca="1">IFERROR(__xludf.DUMMYFUNCTION("""COMPUTED_VALUE"""),22822.42)</f>
        <v>22822.42</v>
      </c>
      <c r="R2083" s="6" t="str">
        <f t="shared" ca="1" si="582"/>
        <v>20267</v>
      </c>
      <c r="S2083" s="6">
        <f t="shared" ca="1" si="583"/>
        <v>2026</v>
      </c>
      <c r="T2083" s="6">
        <f t="shared" ca="1" si="584"/>
        <v>7</v>
      </c>
      <c r="U2083" s="68">
        <f ca="1">IFERROR(__xludf.DUMMYFUNCTION("""COMPUTED_VALUE"""),46205.6458333333)</f>
        <v>46205.645833333299</v>
      </c>
      <c r="V2083" s="6">
        <f ca="1">IFERROR(__xludf.DUMMYFUNCTION("""COMPUTED_VALUE"""),7648.09)</f>
        <v>7648.09</v>
      </c>
      <c r="Z2083" s="6" t="str">
        <f t="shared" ca="1" si="585"/>
        <v>202311</v>
      </c>
      <c r="AA2083" s="6">
        <f t="shared" ca="1" si="586"/>
        <v>2023</v>
      </c>
      <c r="AB2083" s="6">
        <f t="shared" ca="1" si="587"/>
        <v>11</v>
      </c>
      <c r="AC2083" s="68">
        <f ca="1">IFERROR(__xludf.DUMMYFUNCTION("""COMPUTED_VALUE"""),45232.9986111111)</f>
        <v>45232.998611111099</v>
      </c>
      <c r="AD2083" s="6">
        <f ca="1">IFERROR(__xludf.DUMMYFUNCTION("""COMPUTED_VALUE"""),1333.68)</f>
        <v>1333.68</v>
      </c>
      <c r="AH2083" s="6" t="str">
        <f t="shared" ca="1" si="588"/>
        <v>20239</v>
      </c>
      <c r="AI2083" s="6">
        <f t="shared" ca="1" si="589"/>
        <v>2023</v>
      </c>
      <c r="AJ2083" s="6">
        <f t="shared" ca="1" si="590"/>
        <v>9</v>
      </c>
      <c r="AK2083" s="68">
        <f ca="1">IFERROR(__xludf.DUMMYFUNCTION("""COMPUTED_VALUE"""),45176.9986111111)</f>
        <v>45176.998611111099</v>
      </c>
      <c r="AL2083" s="6">
        <f ca="1">IFERROR(__xludf.DUMMYFUNCTION("""COMPUTED_VALUE"""),26259.23)</f>
        <v>26259.23</v>
      </c>
      <c r="AP2083" s="6" t="str">
        <f t="shared" ca="1" si="591"/>
        <v>20264</v>
      </c>
      <c r="AQ2083" s="6">
        <f t="shared" ca="1" si="592"/>
        <v>2026</v>
      </c>
      <c r="AR2083" s="6">
        <f t="shared" ca="1" si="593"/>
        <v>4</v>
      </c>
      <c r="AS2083" s="68">
        <f ca="1">IFERROR(__xludf.DUMMYFUNCTION("""COMPUTED_VALUE"""),46134.9986111111)</f>
        <v>46134.998611111099</v>
      </c>
      <c r="AT2083" s="6">
        <f ca="1">IFERROR(__xludf.DUMMYFUNCTION("""COMPUTED_VALUE"""),4753)</f>
        <v>4753</v>
      </c>
    </row>
    <row r="2084" spans="2:46" x14ac:dyDescent="0.35">
      <c r="B2084" s="6" t="str">
        <f t="shared" ca="1" si="576"/>
        <v>20264</v>
      </c>
      <c r="C2084" s="6">
        <f t="shared" ca="1" si="577"/>
        <v>2026</v>
      </c>
      <c r="D2084" s="6">
        <f t="shared" ca="1" si="578"/>
        <v>4</v>
      </c>
      <c r="E2084" s="68">
        <f ca="1">IFERROR(__xludf.DUMMYFUNCTION("""COMPUTED_VALUE"""),46128.6666666666)</f>
        <v>46128.666666666599</v>
      </c>
      <c r="F2084" s="6">
        <f ca="1">IFERROR(__xludf.DUMMYFUNCTION("""COMPUTED_VALUE"""),7041.28)</f>
        <v>7041.28</v>
      </c>
      <c r="J2084" s="6" t="str">
        <f t="shared" ca="1" si="579"/>
        <v>20264</v>
      </c>
      <c r="K2084" s="6">
        <f t="shared" ca="1" si="580"/>
        <v>2026</v>
      </c>
      <c r="L2084" s="6">
        <f t="shared" ca="1" si="581"/>
        <v>4</v>
      </c>
      <c r="M2084" s="68">
        <f ca="1">IFERROR(__xludf.DUMMYFUNCTION("""COMPUTED_VALUE"""),46122.6666666666)</f>
        <v>46122.666666666599</v>
      </c>
      <c r="N2084" s="6">
        <f ca="1">IFERROR(__xludf.DUMMYFUNCTION("""COMPUTED_VALUE"""),22902.89)</f>
        <v>22902.89</v>
      </c>
      <c r="R2084" s="6" t="str">
        <f t="shared" ca="1" si="582"/>
        <v>20267</v>
      </c>
      <c r="S2084" s="6">
        <f t="shared" ca="1" si="583"/>
        <v>2026</v>
      </c>
      <c r="T2084" s="6">
        <f t="shared" ca="1" si="584"/>
        <v>7</v>
      </c>
      <c r="U2084" s="68">
        <f ca="1">IFERROR(__xludf.DUMMYFUNCTION("""COMPUTED_VALUE"""),46206.6458333333)</f>
        <v>46206.645833333299</v>
      </c>
      <c r="V2084" s="6">
        <f ca="1">IFERROR(__xludf.DUMMYFUNCTION("""COMPUTED_VALUE"""),8088.34)</f>
        <v>8088.34</v>
      </c>
      <c r="Z2084" s="6" t="str">
        <f t="shared" ca="1" si="585"/>
        <v>202311</v>
      </c>
      <c r="AA2084" s="6">
        <f t="shared" ca="1" si="586"/>
        <v>2023</v>
      </c>
      <c r="AB2084" s="6">
        <f t="shared" ca="1" si="587"/>
        <v>11</v>
      </c>
      <c r="AC2084" s="68">
        <f ca="1">IFERROR(__xludf.DUMMYFUNCTION("""COMPUTED_VALUE"""),45233.9986111111)</f>
        <v>45233.998611111099</v>
      </c>
      <c r="AD2084" s="6">
        <f ca="1">IFERROR(__xludf.DUMMYFUNCTION("""COMPUTED_VALUE"""),1307.84)</f>
        <v>1307.8399999999999</v>
      </c>
      <c r="AH2084" s="6" t="str">
        <f t="shared" ca="1" si="588"/>
        <v>20239</v>
      </c>
      <c r="AI2084" s="6">
        <f t="shared" ca="1" si="589"/>
        <v>2023</v>
      </c>
      <c r="AJ2084" s="6">
        <f t="shared" ca="1" si="590"/>
        <v>9</v>
      </c>
      <c r="AK2084" s="68">
        <f ca="1">IFERROR(__xludf.DUMMYFUNCTION("""COMPUTED_VALUE"""),45177.9986111111)</f>
        <v>45177.998611111099</v>
      </c>
      <c r="AL2084" s="6">
        <f ca="1">IFERROR(__xludf.DUMMYFUNCTION("""COMPUTED_VALUE"""),25909.41)</f>
        <v>25909.41</v>
      </c>
      <c r="AP2084" s="6" t="str">
        <f t="shared" ca="1" si="591"/>
        <v>20264</v>
      </c>
      <c r="AQ2084" s="6">
        <f t="shared" ca="1" si="592"/>
        <v>2026</v>
      </c>
      <c r="AR2084" s="6">
        <f t="shared" ca="1" si="593"/>
        <v>4</v>
      </c>
      <c r="AS2084" s="68">
        <f ca="1">IFERROR(__xludf.DUMMYFUNCTION("""COMPUTED_VALUE"""),46135.9986111111)</f>
        <v>46135.998611111099</v>
      </c>
      <c r="AT2084" s="6">
        <f ca="1">IFERROR(__xludf.DUMMYFUNCTION("""COMPUTED_VALUE"""),4724)</f>
        <v>4724</v>
      </c>
    </row>
    <row r="2085" spans="2:46" x14ac:dyDescent="0.35">
      <c r="B2085" s="6" t="str">
        <f t="shared" ca="1" si="576"/>
        <v>20264</v>
      </c>
      <c r="C2085" s="6">
        <f t="shared" ca="1" si="577"/>
        <v>2026</v>
      </c>
      <c r="D2085" s="6">
        <f t="shared" ca="1" si="578"/>
        <v>4</v>
      </c>
      <c r="E2085" s="68">
        <f ca="1">IFERROR(__xludf.DUMMYFUNCTION("""COMPUTED_VALUE"""),46129.6666666666)</f>
        <v>46129.666666666599</v>
      </c>
      <c r="F2085" s="6">
        <f ca="1">IFERROR(__xludf.DUMMYFUNCTION("""COMPUTED_VALUE"""),7126.06)</f>
        <v>7126.06</v>
      </c>
      <c r="J2085" s="6" t="str">
        <f t="shared" ca="1" si="579"/>
        <v>20264</v>
      </c>
      <c r="K2085" s="6">
        <f t="shared" ca="1" si="580"/>
        <v>2026</v>
      </c>
      <c r="L2085" s="6">
        <f t="shared" ca="1" si="581"/>
        <v>4</v>
      </c>
      <c r="M2085" s="68">
        <f ca="1">IFERROR(__xludf.DUMMYFUNCTION("""COMPUTED_VALUE"""),46125.6666666666)</f>
        <v>46125.666666666599</v>
      </c>
      <c r="N2085" s="6">
        <f ca="1">IFERROR(__xludf.DUMMYFUNCTION("""COMPUTED_VALUE"""),23183.74)</f>
        <v>23183.74</v>
      </c>
      <c r="R2085" s="6" t="str">
        <f t="shared" ca="1" si="582"/>
        <v>20267</v>
      </c>
      <c r="S2085" s="6">
        <f t="shared" ca="1" si="583"/>
        <v>2026</v>
      </c>
      <c r="T2085" s="6">
        <f t="shared" ca="1" si="584"/>
        <v>7</v>
      </c>
      <c r="U2085" s="68">
        <f ca="1">IFERROR(__xludf.DUMMYFUNCTION("""COMPUTED_VALUE"""),46209.6458333333)</f>
        <v>46209.645833333299</v>
      </c>
      <c r="V2085" s="6">
        <f ca="1">IFERROR(__xludf.DUMMYFUNCTION("""COMPUTED_VALUE"""),8051.33)</f>
        <v>8051.33</v>
      </c>
      <c r="Z2085" s="6" t="str">
        <f t="shared" ca="1" si="585"/>
        <v>202311</v>
      </c>
      <c r="AA2085" s="6">
        <f t="shared" ca="1" si="586"/>
        <v>2023</v>
      </c>
      <c r="AB2085" s="6">
        <f t="shared" ca="1" si="587"/>
        <v>11</v>
      </c>
      <c r="AC2085" s="68">
        <f ca="1">IFERROR(__xludf.DUMMYFUNCTION("""COMPUTED_VALUE"""),45234.9986111111)</f>
        <v>45234.998611111099</v>
      </c>
      <c r="AD2085" s="6">
        <f ca="1">IFERROR(__xludf.DUMMYFUNCTION("""COMPUTED_VALUE"""),1307.84)</f>
        <v>1307.8399999999999</v>
      </c>
      <c r="AH2085" s="6" t="str">
        <f t="shared" ca="1" si="588"/>
        <v>20239</v>
      </c>
      <c r="AI2085" s="6">
        <f t="shared" ca="1" si="589"/>
        <v>2023</v>
      </c>
      <c r="AJ2085" s="6">
        <f t="shared" ca="1" si="590"/>
        <v>9</v>
      </c>
      <c r="AK2085" s="68">
        <f ca="1">IFERROR(__xludf.DUMMYFUNCTION("""COMPUTED_VALUE"""),45178.9986111111)</f>
        <v>45178.998611111099</v>
      </c>
      <c r="AL2085" s="6">
        <f ca="1">IFERROR(__xludf.DUMMYFUNCTION("""COMPUTED_VALUE"""),25905.51)</f>
        <v>25905.51</v>
      </c>
      <c r="AP2085" s="6" t="str">
        <f t="shared" ca="1" si="591"/>
        <v>20264</v>
      </c>
      <c r="AQ2085" s="6">
        <f t="shared" ca="1" si="592"/>
        <v>2026</v>
      </c>
      <c r="AR2085" s="6">
        <f t="shared" ca="1" si="593"/>
        <v>4</v>
      </c>
      <c r="AS2085" s="68">
        <f ca="1">IFERROR(__xludf.DUMMYFUNCTION("""COMPUTED_VALUE"""),46136.9986111111)</f>
        <v>46136.998611111099</v>
      </c>
      <c r="AT2085" s="6">
        <f ca="1">IFERROR(__xludf.DUMMYFUNCTION("""COMPUTED_VALUE"""),4740.9)</f>
        <v>4740.8999999999996</v>
      </c>
    </row>
    <row r="2086" spans="2:46" x14ac:dyDescent="0.35">
      <c r="B2086" s="6" t="str">
        <f t="shared" ca="1" si="576"/>
        <v>20264</v>
      </c>
      <c r="C2086" s="6">
        <f t="shared" ca="1" si="577"/>
        <v>2026</v>
      </c>
      <c r="D2086" s="6">
        <f t="shared" ca="1" si="578"/>
        <v>4</v>
      </c>
      <c r="E2086" s="68">
        <f ca="1">IFERROR(__xludf.DUMMYFUNCTION("""COMPUTED_VALUE"""),46132.6666666666)</f>
        <v>46132.666666666599</v>
      </c>
      <c r="F2086" s="6">
        <f ca="1">IFERROR(__xludf.DUMMYFUNCTION("""COMPUTED_VALUE"""),7109.14)</f>
        <v>7109.14</v>
      </c>
      <c r="J2086" s="6" t="str">
        <f t="shared" ca="1" si="579"/>
        <v>20264</v>
      </c>
      <c r="K2086" s="6">
        <f t="shared" ca="1" si="580"/>
        <v>2026</v>
      </c>
      <c r="L2086" s="6">
        <f t="shared" ca="1" si="581"/>
        <v>4</v>
      </c>
      <c r="M2086" s="68">
        <f ca="1">IFERROR(__xludf.DUMMYFUNCTION("""COMPUTED_VALUE"""),46126.6666666666)</f>
        <v>46126.666666666599</v>
      </c>
      <c r="N2086" s="6">
        <f ca="1">IFERROR(__xludf.DUMMYFUNCTION("""COMPUTED_VALUE"""),23639.08)</f>
        <v>23639.08</v>
      </c>
      <c r="R2086" s="6" t="str">
        <f t="shared" ca="1" si="582"/>
        <v>20267</v>
      </c>
      <c r="S2086" s="6">
        <f t="shared" ca="1" si="583"/>
        <v>2026</v>
      </c>
      <c r="T2086" s="6">
        <f t="shared" ca="1" si="584"/>
        <v>7</v>
      </c>
      <c r="U2086" s="68">
        <f ca="1">IFERROR(__xludf.DUMMYFUNCTION("""COMPUTED_VALUE"""),46210.6458333333)</f>
        <v>46210.645833333299</v>
      </c>
      <c r="V2086" s="6">
        <f ca="1">IFERROR(__xludf.DUMMYFUNCTION("""COMPUTED_VALUE"""),7656.31)</f>
        <v>7656.31</v>
      </c>
      <c r="Z2086" s="6" t="str">
        <f t="shared" ca="1" si="585"/>
        <v>202311</v>
      </c>
      <c r="AA2086" s="6">
        <f t="shared" ca="1" si="586"/>
        <v>2023</v>
      </c>
      <c r="AB2086" s="6">
        <f t="shared" ca="1" si="587"/>
        <v>11</v>
      </c>
      <c r="AC2086" s="68">
        <f ca="1">IFERROR(__xludf.DUMMYFUNCTION("""COMPUTED_VALUE"""),45235.9986111111)</f>
        <v>45235.998611111099</v>
      </c>
      <c r="AD2086" s="6">
        <f ca="1">IFERROR(__xludf.DUMMYFUNCTION("""COMPUTED_VALUE"""),1307.84)</f>
        <v>1307.8399999999999</v>
      </c>
      <c r="AH2086" s="6" t="str">
        <f t="shared" ca="1" si="588"/>
        <v>20239</v>
      </c>
      <c r="AI2086" s="6">
        <f t="shared" ca="1" si="589"/>
        <v>2023</v>
      </c>
      <c r="AJ2086" s="6">
        <f t="shared" ca="1" si="590"/>
        <v>9</v>
      </c>
      <c r="AK2086" s="68">
        <f ca="1">IFERROR(__xludf.DUMMYFUNCTION("""COMPUTED_VALUE"""),45179.9986111111)</f>
        <v>45179.998611111099</v>
      </c>
      <c r="AL2086" s="6">
        <f ca="1">IFERROR(__xludf.DUMMYFUNCTION("""COMPUTED_VALUE"""),25838.32)</f>
        <v>25838.32</v>
      </c>
      <c r="AP2086" s="6" t="str">
        <f t="shared" ca="1" si="591"/>
        <v>20264</v>
      </c>
      <c r="AQ2086" s="6">
        <f t="shared" ca="1" si="592"/>
        <v>2026</v>
      </c>
      <c r="AR2086" s="6">
        <f t="shared" ca="1" si="593"/>
        <v>4</v>
      </c>
      <c r="AS2086" s="68">
        <f ca="1">IFERROR(__xludf.DUMMYFUNCTION("""COMPUTED_VALUE"""),46139.9986111111)</f>
        <v>46139.998611111099</v>
      </c>
      <c r="AT2086" s="6">
        <f ca="1">IFERROR(__xludf.DUMMYFUNCTION("""COMPUTED_VALUE"""),4693.7)</f>
        <v>4693.7</v>
      </c>
    </row>
    <row r="2087" spans="2:46" x14ac:dyDescent="0.35">
      <c r="B2087" s="6" t="str">
        <f t="shared" ca="1" si="576"/>
        <v>20264</v>
      </c>
      <c r="C2087" s="6">
        <f t="shared" ca="1" si="577"/>
        <v>2026</v>
      </c>
      <c r="D2087" s="6">
        <f t="shared" ca="1" si="578"/>
        <v>4</v>
      </c>
      <c r="E2087" s="68">
        <f ca="1">IFERROR(__xludf.DUMMYFUNCTION("""COMPUTED_VALUE"""),46133.6666666666)</f>
        <v>46133.666666666599</v>
      </c>
      <c r="F2087" s="6">
        <f ca="1">IFERROR(__xludf.DUMMYFUNCTION("""COMPUTED_VALUE"""),7064.01)</f>
        <v>7064.01</v>
      </c>
      <c r="J2087" s="6" t="str">
        <f t="shared" ca="1" si="579"/>
        <v>20264</v>
      </c>
      <c r="K2087" s="6">
        <f t="shared" ca="1" si="580"/>
        <v>2026</v>
      </c>
      <c r="L2087" s="6">
        <f t="shared" ca="1" si="581"/>
        <v>4</v>
      </c>
      <c r="M2087" s="68">
        <f ca="1">IFERROR(__xludf.DUMMYFUNCTION("""COMPUTED_VALUE"""),46127.6666666666)</f>
        <v>46127.666666666599</v>
      </c>
      <c r="N2087" s="6">
        <f ca="1">IFERROR(__xludf.DUMMYFUNCTION("""COMPUTED_VALUE"""),24016.02)</f>
        <v>24016.02</v>
      </c>
      <c r="R2087" s="6" t="str">
        <f t="shared" ca="1" si="582"/>
        <v>20267</v>
      </c>
      <c r="S2087" s="6">
        <f t="shared" ca="1" si="583"/>
        <v>2026</v>
      </c>
      <c r="T2087" s="6">
        <f t="shared" ca="1" si="584"/>
        <v>7</v>
      </c>
      <c r="U2087" s="68">
        <f ca="1">IFERROR(__xludf.DUMMYFUNCTION("""COMPUTED_VALUE"""),46211.6458333333)</f>
        <v>46211.645833333299</v>
      </c>
      <c r="V2087" s="6">
        <f ca="1">IFERROR(__xludf.DUMMYFUNCTION("""COMPUTED_VALUE"""),7246.79)</f>
        <v>7246.79</v>
      </c>
      <c r="Z2087" s="6" t="str">
        <f t="shared" ca="1" si="585"/>
        <v>202311</v>
      </c>
      <c r="AA2087" s="6">
        <f t="shared" ca="1" si="586"/>
        <v>2023</v>
      </c>
      <c r="AB2087" s="6">
        <f t="shared" ca="1" si="587"/>
        <v>11</v>
      </c>
      <c r="AC2087" s="68">
        <f ca="1">IFERROR(__xludf.DUMMYFUNCTION("""COMPUTED_VALUE"""),45236.9986111111)</f>
        <v>45236.998611111099</v>
      </c>
      <c r="AD2087" s="6">
        <f ca="1">IFERROR(__xludf.DUMMYFUNCTION("""COMPUTED_VALUE"""),1297.11)</f>
        <v>1297.1099999999999</v>
      </c>
      <c r="AH2087" s="6" t="str">
        <f t="shared" ca="1" si="588"/>
        <v>20239</v>
      </c>
      <c r="AI2087" s="6">
        <f t="shared" ca="1" si="589"/>
        <v>2023</v>
      </c>
      <c r="AJ2087" s="6">
        <f t="shared" ca="1" si="590"/>
        <v>9</v>
      </c>
      <c r="AK2087" s="68">
        <f ca="1">IFERROR(__xludf.DUMMYFUNCTION("""COMPUTED_VALUE"""),45180.9986111111)</f>
        <v>45180.998611111099</v>
      </c>
      <c r="AL2087" s="6">
        <f ca="1">IFERROR(__xludf.DUMMYFUNCTION("""COMPUTED_VALUE"""),25163.71)</f>
        <v>25163.71</v>
      </c>
      <c r="AP2087" s="6" t="str">
        <f t="shared" ca="1" si="591"/>
        <v>20264</v>
      </c>
      <c r="AQ2087" s="6">
        <f t="shared" ca="1" si="592"/>
        <v>2026</v>
      </c>
      <c r="AR2087" s="6">
        <f t="shared" ca="1" si="593"/>
        <v>4</v>
      </c>
      <c r="AS2087" s="68">
        <f ca="1">IFERROR(__xludf.DUMMYFUNCTION("""COMPUTED_VALUE"""),46140.9986111111)</f>
        <v>46140.998611111099</v>
      </c>
      <c r="AT2087" s="6">
        <f ca="1">IFERROR(__xludf.DUMMYFUNCTION("""COMPUTED_VALUE"""),4608.4)</f>
        <v>4608.3999999999996</v>
      </c>
    </row>
    <row r="2088" spans="2:46" x14ac:dyDescent="0.35">
      <c r="B2088" s="6" t="str">
        <f t="shared" ca="1" si="576"/>
        <v>20264</v>
      </c>
      <c r="C2088" s="6">
        <f t="shared" ca="1" si="577"/>
        <v>2026</v>
      </c>
      <c r="D2088" s="6">
        <f t="shared" ca="1" si="578"/>
        <v>4</v>
      </c>
      <c r="E2088" s="68">
        <f ca="1">IFERROR(__xludf.DUMMYFUNCTION("""COMPUTED_VALUE"""),46134.6666666666)</f>
        <v>46134.666666666599</v>
      </c>
      <c r="F2088" s="6">
        <f ca="1">IFERROR(__xludf.DUMMYFUNCTION("""COMPUTED_VALUE"""),7137.9)</f>
        <v>7137.9</v>
      </c>
      <c r="J2088" s="6" t="str">
        <f t="shared" ca="1" si="579"/>
        <v>20264</v>
      </c>
      <c r="K2088" s="6">
        <f t="shared" ca="1" si="580"/>
        <v>2026</v>
      </c>
      <c r="L2088" s="6">
        <f t="shared" ca="1" si="581"/>
        <v>4</v>
      </c>
      <c r="M2088" s="68">
        <f ca="1">IFERROR(__xludf.DUMMYFUNCTION("""COMPUTED_VALUE"""),46128.6666666666)</f>
        <v>46128.666666666599</v>
      </c>
      <c r="N2088" s="6">
        <f ca="1">IFERROR(__xludf.DUMMYFUNCTION("""COMPUTED_VALUE"""),24102.7)</f>
        <v>24102.7</v>
      </c>
      <c r="R2088" s="6" t="str">
        <f t="shared" ca="1" si="582"/>
        <v>20267</v>
      </c>
      <c r="S2088" s="6">
        <f t="shared" ca="1" si="583"/>
        <v>2026</v>
      </c>
      <c r="T2088" s="6">
        <f t="shared" ca="1" si="584"/>
        <v>7</v>
      </c>
      <c r="U2088" s="68">
        <f ca="1">IFERROR(__xludf.DUMMYFUNCTION("""COMPUTED_VALUE"""),46212.6458333333)</f>
        <v>46212.645833333299</v>
      </c>
      <c r="V2088" s="6">
        <f ca="1">IFERROR(__xludf.DUMMYFUNCTION("""COMPUTED_VALUE"""),7291.91)</f>
        <v>7291.91</v>
      </c>
      <c r="Z2088" s="6" t="str">
        <f t="shared" ca="1" si="585"/>
        <v>202311</v>
      </c>
      <c r="AA2088" s="6">
        <f t="shared" ca="1" si="586"/>
        <v>2023</v>
      </c>
      <c r="AB2088" s="6">
        <f t="shared" ca="1" si="587"/>
        <v>11</v>
      </c>
      <c r="AC2088" s="68">
        <f ca="1">IFERROR(__xludf.DUMMYFUNCTION("""COMPUTED_VALUE"""),45237.9986111111)</f>
        <v>45237.998611111099</v>
      </c>
      <c r="AD2088" s="6">
        <f ca="1">IFERROR(__xludf.DUMMYFUNCTION("""COMPUTED_VALUE"""),1304.55)</f>
        <v>1304.55</v>
      </c>
      <c r="AH2088" s="6" t="str">
        <f t="shared" ca="1" si="588"/>
        <v>20239</v>
      </c>
      <c r="AI2088" s="6">
        <f t="shared" ca="1" si="589"/>
        <v>2023</v>
      </c>
      <c r="AJ2088" s="6">
        <f t="shared" ca="1" si="590"/>
        <v>9</v>
      </c>
      <c r="AK2088" s="68">
        <f ca="1">IFERROR(__xludf.DUMMYFUNCTION("""COMPUTED_VALUE"""),45181.9986111111)</f>
        <v>45181.998611111099</v>
      </c>
      <c r="AL2088" s="6">
        <f ca="1">IFERROR(__xludf.DUMMYFUNCTION("""COMPUTED_VALUE"""),25843.55)</f>
        <v>25843.55</v>
      </c>
      <c r="AP2088" s="6" t="str">
        <f t="shared" ca="1" si="591"/>
        <v>20264</v>
      </c>
      <c r="AQ2088" s="6">
        <f t="shared" ca="1" si="592"/>
        <v>2026</v>
      </c>
      <c r="AR2088" s="6">
        <f t="shared" ca="1" si="593"/>
        <v>4</v>
      </c>
      <c r="AS2088" s="68">
        <f ca="1">IFERROR(__xludf.DUMMYFUNCTION("""COMPUTED_VALUE"""),46141.9986111111)</f>
        <v>46141.998611111099</v>
      </c>
      <c r="AT2088" s="6">
        <f ca="1">IFERROR(__xludf.DUMMYFUNCTION("""COMPUTED_VALUE"""),4561.5)</f>
        <v>4561.5</v>
      </c>
    </row>
    <row r="2089" spans="2:46" x14ac:dyDescent="0.35">
      <c r="B2089" s="6" t="str">
        <f t="shared" ca="1" si="576"/>
        <v>20264</v>
      </c>
      <c r="C2089" s="6">
        <f t="shared" ca="1" si="577"/>
        <v>2026</v>
      </c>
      <c r="D2089" s="6">
        <f t="shared" ca="1" si="578"/>
        <v>4</v>
      </c>
      <c r="E2089" s="68">
        <f ca="1">IFERROR(__xludf.DUMMYFUNCTION("""COMPUTED_VALUE"""),46135.6666666666)</f>
        <v>46135.666666666599</v>
      </c>
      <c r="F2089" s="6">
        <f ca="1">IFERROR(__xludf.DUMMYFUNCTION("""COMPUTED_VALUE"""),7108.4)</f>
        <v>7108.4</v>
      </c>
      <c r="J2089" s="6" t="str">
        <f t="shared" ca="1" si="579"/>
        <v>20264</v>
      </c>
      <c r="K2089" s="6">
        <f t="shared" ca="1" si="580"/>
        <v>2026</v>
      </c>
      <c r="L2089" s="6">
        <f t="shared" ca="1" si="581"/>
        <v>4</v>
      </c>
      <c r="M2089" s="68">
        <f ca="1">IFERROR(__xludf.DUMMYFUNCTION("""COMPUTED_VALUE"""),46129.6666666666)</f>
        <v>46129.666666666599</v>
      </c>
      <c r="N2089" s="6">
        <f ca="1">IFERROR(__xludf.DUMMYFUNCTION("""COMPUTED_VALUE"""),24468.48)</f>
        <v>24468.48</v>
      </c>
      <c r="R2089" s="6" t="str">
        <f t="shared" ca="1" si="582"/>
        <v>20267</v>
      </c>
      <c r="S2089" s="6">
        <f t="shared" ca="1" si="583"/>
        <v>2026</v>
      </c>
      <c r="T2089" s="6">
        <f t="shared" ca="1" si="584"/>
        <v>7</v>
      </c>
      <c r="U2089" s="68">
        <f ca="1">IFERROR(__xludf.DUMMYFUNCTION("""COMPUTED_VALUE"""),46213.6458333333)</f>
        <v>46213.645833333299</v>
      </c>
      <c r="V2089" s="6">
        <f ca="1">IFERROR(__xludf.DUMMYFUNCTION("""COMPUTED_VALUE"""),7475.94)</f>
        <v>7475.94</v>
      </c>
      <c r="Z2089" s="6" t="str">
        <f t="shared" ca="1" si="585"/>
        <v>202311</v>
      </c>
      <c r="AA2089" s="6">
        <f t="shared" ca="1" si="586"/>
        <v>2023</v>
      </c>
      <c r="AB2089" s="6">
        <f t="shared" ca="1" si="587"/>
        <v>11</v>
      </c>
      <c r="AC2089" s="68">
        <f ca="1">IFERROR(__xludf.DUMMYFUNCTION("""COMPUTED_VALUE"""),45238.9986111111)</f>
        <v>45238.998611111099</v>
      </c>
      <c r="AD2089" s="6">
        <f ca="1">IFERROR(__xludf.DUMMYFUNCTION("""COMPUTED_VALUE"""),1308.12)</f>
        <v>1308.1199999999999</v>
      </c>
      <c r="AH2089" s="6" t="str">
        <f t="shared" ca="1" si="588"/>
        <v>20239</v>
      </c>
      <c r="AI2089" s="6">
        <f t="shared" ca="1" si="589"/>
        <v>2023</v>
      </c>
      <c r="AJ2089" s="6">
        <f t="shared" ca="1" si="590"/>
        <v>9</v>
      </c>
      <c r="AK2089" s="68">
        <f ca="1">IFERROR(__xludf.DUMMYFUNCTION("""COMPUTED_VALUE"""),45182.9986111111)</f>
        <v>45182.998611111099</v>
      </c>
      <c r="AL2089" s="6">
        <f ca="1">IFERROR(__xludf.DUMMYFUNCTION("""COMPUTED_VALUE"""),26227.52)</f>
        <v>26227.52</v>
      </c>
      <c r="AP2089" s="6" t="str">
        <f t="shared" ca="1" si="591"/>
        <v>20264</v>
      </c>
      <c r="AQ2089" s="6">
        <f t="shared" ca="1" si="592"/>
        <v>2026</v>
      </c>
      <c r="AR2089" s="6">
        <f t="shared" ca="1" si="593"/>
        <v>4</v>
      </c>
      <c r="AS2089" s="68">
        <f ca="1">IFERROR(__xludf.DUMMYFUNCTION("""COMPUTED_VALUE"""),46142.9986111111)</f>
        <v>46142.998611111099</v>
      </c>
      <c r="AT2089" s="6">
        <f ca="1">IFERROR(__xludf.DUMMYFUNCTION("""COMPUTED_VALUE"""),4629.6)</f>
        <v>4629.6000000000004</v>
      </c>
    </row>
    <row r="2090" spans="2:46" x14ac:dyDescent="0.35">
      <c r="B2090" s="6" t="str">
        <f t="shared" ca="1" si="576"/>
        <v>20264</v>
      </c>
      <c r="C2090" s="6">
        <f t="shared" ca="1" si="577"/>
        <v>2026</v>
      </c>
      <c r="D2090" s="6">
        <f t="shared" ca="1" si="578"/>
        <v>4</v>
      </c>
      <c r="E2090" s="68">
        <f ca="1">IFERROR(__xludf.DUMMYFUNCTION("""COMPUTED_VALUE"""),46136.6666666666)</f>
        <v>46136.666666666599</v>
      </c>
      <c r="F2090" s="6">
        <f ca="1">IFERROR(__xludf.DUMMYFUNCTION("""COMPUTED_VALUE"""),7165.08)</f>
        <v>7165.08</v>
      </c>
      <c r="J2090" s="6" t="str">
        <f t="shared" ca="1" si="579"/>
        <v>20264</v>
      </c>
      <c r="K2090" s="6">
        <f t="shared" ca="1" si="580"/>
        <v>2026</v>
      </c>
      <c r="L2090" s="6">
        <f t="shared" ca="1" si="581"/>
        <v>4</v>
      </c>
      <c r="M2090" s="68">
        <f ca="1">IFERROR(__xludf.DUMMYFUNCTION("""COMPUTED_VALUE"""),46132.6666666666)</f>
        <v>46132.666666666599</v>
      </c>
      <c r="N2090" s="6">
        <f ca="1">IFERROR(__xludf.DUMMYFUNCTION("""COMPUTED_VALUE"""),24404.39)</f>
        <v>24404.39</v>
      </c>
      <c r="R2090" s="6" t="str">
        <f t="shared" ca="1" si="582"/>
        <v>20267</v>
      </c>
      <c r="S2090" s="6">
        <f t="shared" ca="1" si="583"/>
        <v>2026</v>
      </c>
      <c r="T2090" s="6">
        <f t="shared" ca="1" si="584"/>
        <v>7</v>
      </c>
      <c r="U2090" s="68">
        <f ca="1">IFERROR(__xludf.DUMMYFUNCTION("""COMPUTED_VALUE"""),46216.6458333333)</f>
        <v>46216.645833333299</v>
      </c>
      <c r="V2090" s="6">
        <f ca="1">IFERROR(__xludf.DUMMYFUNCTION("""COMPUTED_VALUE"""),6806.93)</f>
        <v>6806.93</v>
      </c>
      <c r="Z2090" s="6" t="str">
        <f t="shared" ca="1" si="585"/>
        <v>202311</v>
      </c>
      <c r="AA2090" s="6">
        <f t="shared" ca="1" si="586"/>
        <v>2023</v>
      </c>
      <c r="AB2090" s="6">
        <f t="shared" ca="1" si="587"/>
        <v>11</v>
      </c>
      <c r="AC2090" s="68">
        <f ca="1">IFERROR(__xludf.DUMMYFUNCTION("""COMPUTED_VALUE"""),45239.9986111111)</f>
        <v>45239.998611111099</v>
      </c>
      <c r="AD2090" s="6">
        <f ca="1">IFERROR(__xludf.DUMMYFUNCTION("""COMPUTED_VALUE"""),1315.2)</f>
        <v>1315.2</v>
      </c>
      <c r="AH2090" s="6" t="str">
        <f t="shared" ca="1" si="588"/>
        <v>20239</v>
      </c>
      <c r="AI2090" s="6">
        <f t="shared" ca="1" si="589"/>
        <v>2023</v>
      </c>
      <c r="AJ2090" s="6">
        <f t="shared" ca="1" si="590"/>
        <v>9</v>
      </c>
      <c r="AK2090" s="68">
        <f ca="1">IFERROR(__xludf.DUMMYFUNCTION("""COMPUTED_VALUE"""),45183.9986111111)</f>
        <v>45183.998611111099</v>
      </c>
      <c r="AL2090" s="6">
        <f ca="1">IFERROR(__xludf.DUMMYFUNCTION("""COMPUTED_VALUE"""),26534.06)</f>
        <v>26534.06</v>
      </c>
      <c r="AP2090" s="6" t="str">
        <f t="shared" ca="1" si="591"/>
        <v>20265</v>
      </c>
      <c r="AQ2090" s="6">
        <f t="shared" ca="1" si="592"/>
        <v>2026</v>
      </c>
      <c r="AR2090" s="6">
        <f t="shared" ca="1" si="593"/>
        <v>5</v>
      </c>
      <c r="AS2090" s="68">
        <f ca="1">IFERROR(__xludf.DUMMYFUNCTION("""COMPUTED_VALUE"""),46143.9986111111)</f>
        <v>46143.998611111099</v>
      </c>
      <c r="AT2090" s="6">
        <f ca="1">IFERROR(__xludf.DUMMYFUNCTION("""COMPUTED_VALUE"""),4644.5)</f>
        <v>4644.5</v>
      </c>
    </row>
    <row r="2091" spans="2:46" x14ac:dyDescent="0.35">
      <c r="B2091" s="6" t="str">
        <f t="shared" ca="1" si="576"/>
        <v>20264</v>
      </c>
      <c r="C2091" s="6">
        <f t="shared" ca="1" si="577"/>
        <v>2026</v>
      </c>
      <c r="D2091" s="6">
        <f t="shared" ca="1" si="578"/>
        <v>4</v>
      </c>
      <c r="E2091" s="68">
        <f ca="1">IFERROR(__xludf.DUMMYFUNCTION("""COMPUTED_VALUE"""),46139.6666666666)</f>
        <v>46139.666666666599</v>
      </c>
      <c r="F2091" s="6">
        <f ca="1">IFERROR(__xludf.DUMMYFUNCTION("""COMPUTED_VALUE"""),7173.91)</f>
        <v>7173.91</v>
      </c>
      <c r="J2091" s="6" t="str">
        <f t="shared" ca="1" si="579"/>
        <v>20264</v>
      </c>
      <c r="K2091" s="6">
        <f t="shared" ca="1" si="580"/>
        <v>2026</v>
      </c>
      <c r="L2091" s="6">
        <f t="shared" ca="1" si="581"/>
        <v>4</v>
      </c>
      <c r="M2091" s="68">
        <f ca="1">IFERROR(__xludf.DUMMYFUNCTION("""COMPUTED_VALUE"""),46133.6666666666)</f>
        <v>46133.666666666599</v>
      </c>
      <c r="N2091" s="6">
        <f ca="1">IFERROR(__xludf.DUMMYFUNCTION("""COMPUTED_VALUE"""),24259.96)</f>
        <v>24259.96</v>
      </c>
      <c r="R2091" s="6" t="str">
        <f t="shared" ca="1" si="582"/>
        <v>20267</v>
      </c>
      <c r="S2091" s="6">
        <f t="shared" ca="1" si="583"/>
        <v>2026</v>
      </c>
      <c r="T2091" s="6">
        <f t="shared" ca="1" si="584"/>
        <v>7</v>
      </c>
      <c r="U2091" s="68">
        <f ca="1">IFERROR(__xludf.DUMMYFUNCTION("""COMPUTED_VALUE"""),46217.6458333333)</f>
        <v>46217.645833333299</v>
      </c>
      <c r="V2091" s="6">
        <f ca="1">IFERROR(__xludf.DUMMYFUNCTION("""COMPUTED_VALUE"""),6856.83)</f>
        <v>6856.83</v>
      </c>
      <c r="Z2091" s="6" t="str">
        <f t="shared" ca="1" si="585"/>
        <v>202311</v>
      </c>
      <c r="AA2091" s="6">
        <f t="shared" ca="1" si="586"/>
        <v>2023</v>
      </c>
      <c r="AB2091" s="6">
        <f t="shared" ca="1" si="587"/>
        <v>11</v>
      </c>
      <c r="AC2091" s="68">
        <f ca="1">IFERROR(__xludf.DUMMYFUNCTION("""COMPUTED_VALUE"""),45240.9986111111)</f>
        <v>45240.998611111099</v>
      </c>
      <c r="AD2091" s="6">
        <f ca="1">IFERROR(__xludf.DUMMYFUNCTION("""COMPUTED_VALUE"""),1319.62)</f>
        <v>1319.62</v>
      </c>
      <c r="AH2091" s="6" t="str">
        <f t="shared" ca="1" si="588"/>
        <v>20239</v>
      </c>
      <c r="AI2091" s="6">
        <f t="shared" ca="1" si="589"/>
        <v>2023</v>
      </c>
      <c r="AJ2091" s="6">
        <f t="shared" ca="1" si="590"/>
        <v>9</v>
      </c>
      <c r="AK2091" s="68">
        <f ca="1">IFERROR(__xludf.DUMMYFUNCTION("""COMPUTED_VALUE"""),45184.9986111111)</f>
        <v>45184.998611111099</v>
      </c>
      <c r="AL2091" s="6">
        <f ca="1">IFERROR(__xludf.DUMMYFUNCTION("""COMPUTED_VALUE"""),26607.32)</f>
        <v>26607.32</v>
      </c>
      <c r="AP2091" s="6" t="str">
        <f t="shared" ca="1" si="591"/>
        <v>20265</v>
      </c>
      <c r="AQ2091" s="6">
        <f t="shared" ca="1" si="592"/>
        <v>2026</v>
      </c>
      <c r="AR2091" s="6">
        <f t="shared" ca="1" si="593"/>
        <v>5</v>
      </c>
      <c r="AS2091" s="68">
        <f ca="1">IFERROR(__xludf.DUMMYFUNCTION("""COMPUTED_VALUE"""),46146.9986111111)</f>
        <v>46146.998611111099</v>
      </c>
      <c r="AT2091" s="6">
        <f ca="1">IFERROR(__xludf.DUMMYFUNCTION("""COMPUTED_VALUE"""),4533.3)</f>
        <v>4533.3</v>
      </c>
    </row>
    <row r="2092" spans="2:46" x14ac:dyDescent="0.35">
      <c r="B2092" s="6" t="str">
        <f t="shared" ca="1" si="576"/>
        <v>20264</v>
      </c>
      <c r="C2092" s="6">
        <f t="shared" ca="1" si="577"/>
        <v>2026</v>
      </c>
      <c r="D2092" s="6">
        <f t="shared" ca="1" si="578"/>
        <v>4</v>
      </c>
      <c r="E2092" s="68">
        <f ca="1">IFERROR(__xludf.DUMMYFUNCTION("""COMPUTED_VALUE"""),46140.6666666666)</f>
        <v>46140.666666666599</v>
      </c>
      <c r="F2092" s="6">
        <f ca="1">IFERROR(__xludf.DUMMYFUNCTION("""COMPUTED_VALUE"""),7138.8)</f>
        <v>7138.8</v>
      </c>
      <c r="J2092" s="6" t="str">
        <f t="shared" ca="1" si="579"/>
        <v>20264</v>
      </c>
      <c r="K2092" s="6">
        <f t="shared" ca="1" si="580"/>
        <v>2026</v>
      </c>
      <c r="L2092" s="6">
        <f t="shared" ca="1" si="581"/>
        <v>4</v>
      </c>
      <c r="M2092" s="68">
        <f ca="1">IFERROR(__xludf.DUMMYFUNCTION("""COMPUTED_VALUE"""),46134.6666666666)</f>
        <v>46134.666666666599</v>
      </c>
      <c r="N2092" s="6">
        <f ca="1">IFERROR(__xludf.DUMMYFUNCTION("""COMPUTED_VALUE"""),24657.57)</f>
        <v>24657.57</v>
      </c>
      <c r="R2092" s="6" t="str">
        <f t="shared" ca="1" si="582"/>
        <v>20267</v>
      </c>
      <c r="S2092" s="6">
        <f t="shared" ca="1" si="583"/>
        <v>2026</v>
      </c>
      <c r="T2092" s="6">
        <f t="shared" ca="1" si="584"/>
        <v>7</v>
      </c>
      <c r="U2092" s="68">
        <f ca="1">IFERROR(__xludf.DUMMYFUNCTION("""COMPUTED_VALUE"""),46218.6458333333)</f>
        <v>46218.645833333299</v>
      </c>
      <c r="V2092" s="6">
        <f ca="1">IFERROR(__xludf.DUMMYFUNCTION("""COMPUTED_VALUE"""),7284.41)</f>
        <v>7284.41</v>
      </c>
      <c r="Z2092" s="6" t="str">
        <f t="shared" ca="1" si="585"/>
        <v>202311</v>
      </c>
      <c r="AA2092" s="6">
        <f t="shared" ca="1" si="586"/>
        <v>2023</v>
      </c>
      <c r="AB2092" s="6">
        <f t="shared" ca="1" si="587"/>
        <v>11</v>
      </c>
      <c r="AC2092" s="68">
        <f ca="1">IFERROR(__xludf.DUMMYFUNCTION("""COMPUTED_VALUE"""),45241.9986111111)</f>
        <v>45241.998611111099</v>
      </c>
      <c r="AD2092" s="6">
        <f ca="1">IFERROR(__xludf.DUMMYFUNCTION("""COMPUTED_VALUE"""),1319.62)</f>
        <v>1319.62</v>
      </c>
      <c r="AH2092" s="6" t="str">
        <f t="shared" ca="1" si="588"/>
        <v>20239</v>
      </c>
      <c r="AI2092" s="6">
        <f t="shared" ca="1" si="589"/>
        <v>2023</v>
      </c>
      <c r="AJ2092" s="6">
        <f t="shared" ca="1" si="590"/>
        <v>9</v>
      </c>
      <c r="AK2092" s="68">
        <f ca="1">IFERROR(__xludf.DUMMYFUNCTION("""COMPUTED_VALUE"""),45185.9986111111)</f>
        <v>45185.998611111099</v>
      </c>
      <c r="AL2092" s="6">
        <f ca="1">IFERROR(__xludf.DUMMYFUNCTION("""COMPUTED_VALUE"""),26569.63)</f>
        <v>26569.63</v>
      </c>
      <c r="AP2092" s="6" t="str">
        <f t="shared" ca="1" si="591"/>
        <v>20265</v>
      </c>
      <c r="AQ2092" s="6">
        <f t="shared" ca="1" si="592"/>
        <v>2026</v>
      </c>
      <c r="AR2092" s="6">
        <f t="shared" ca="1" si="593"/>
        <v>5</v>
      </c>
      <c r="AS2092" s="68">
        <f ca="1">IFERROR(__xludf.DUMMYFUNCTION("""COMPUTED_VALUE"""),46147.9986111111)</f>
        <v>46147.998611111099</v>
      </c>
      <c r="AT2092" s="6">
        <f ca="1">IFERROR(__xludf.DUMMYFUNCTION("""COMPUTED_VALUE"""),4568.5)</f>
        <v>4568.5</v>
      </c>
    </row>
    <row r="2093" spans="2:46" x14ac:dyDescent="0.35">
      <c r="B2093" s="6" t="str">
        <f t="shared" ca="1" si="576"/>
        <v>20264</v>
      </c>
      <c r="C2093" s="6">
        <f t="shared" ca="1" si="577"/>
        <v>2026</v>
      </c>
      <c r="D2093" s="6">
        <f t="shared" ca="1" si="578"/>
        <v>4</v>
      </c>
      <c r="E2093" s="68">
        <f ca="1">IFERROR(__xludf.DUMMYFUNCTION("""COMPUTED_VALUE"""),46141.6666666666)</f>
        <v>46141.666666666599</v>
      </c>
      <c r="F2093" s="6">
        <f ca="1">IFERROR(__xludf.DUMMYFUNCTION("""COMPUTED_VALUE"""),7135.95)</f>
        <v>7135.95</v>
      </c>
      <c r="J2093" s="6" t="str">
        <f t="shared" ca="1" si="579"/>
        <v>20264</v>
      </c>
      <c r="K2093" s="6">
        <f t="shared" ca="1" si="580"/>
        <v>2026</v>
      </c>
      <c r="L2093" s="6">
        <f t="shared" ca="1" si="581"/>
        <v>4</v>
      </c>
      <c r="M2093" s="68">
        <f ca="1">IFERROR(__xludf.DUMMYFUNCTION("""COMPUTED_VALUE"""),46135.6666666666)</f>
        <v>46135.666666666599</v>
      </c>
      <c r="N2093" s="6">
        <f ca="1">IFERROR(__xludf.DUMMYFUNCTION("""COMPUTED_VALUE"""),24438.5)</f>
        <v>24438.5</v>
      </c>
      <c r="R2093" s="6" t="str">
        <f t="shared" ca="1" si="582"/>
        <v>20267</v>
      </c>
      <c r="S2093" s="6">
        <f t="shared" ca="1" si="583"/>
        <v>2026</v>
      </c>
      <c r="T2093" s="6">
        <f t="shared" ca="1" si="584"/>
        <v>7</v>
      </c>
      <c r="U2093" s="68">
        <f ca="1">IFERROR(__xludf.DUMMYFUNCTION("""COMPUTED_VALUE"""),46219.6458333333)</f>
        <v>46219.645833333299</v>
      </c>
      <c r="V2093" s="6">
        <f ca="1">IFERROR(__xludf.DUMMYFUNCTION("""COMPUTED_VALUE"""),6820.6)</f>
        <v>6820.6</v>
      </c>
      <c r="Z2093" s="6" t="str">
        <f t="shared" ca="1" si="585"/>
        <v>202311</v>
      </c>
      <c r="AA2093" s="6">
        <f t="shared" ca="1" si="586"/>
        <v>2023</v>
      </c>
      <c r="AB2093" s="6">
        <f t="shared" ca="1" si="587"/>
        <v>11</v>
      </c>
      <c r="AC2093" s="68">
        <f ca="1">IFERROR(__xludf.DUMMYFUNCTION("""COMPUTED_VALUE"""),45242.9986111111)</f>
        <v>45242.998611111099</v>
      </c>
      <c r="AD2093" s="6">
        <f ca="1">IFERROR(__xludf.DUMMYFUNCTION("""COMPUTED_VALUE"""),1319.62)</f>
        <v>1319.62</v>
      </c>
      <c r="AH2093" s="6" t="str">
        <f t="shared" ca="1" si="588"/>
        <v>20239</v>
      </c>
      <c r="AI2093" s="6">
        <f t="shared" ca="1" si="589"/>
        <v>2023</v>
      </c>
      <c r="AJ2093" s="6">
        <f t="shared" ca="1" si="590"/>
        <v>9</v>
      </c>
      <c r="AK2093" s="68">
        <f ca="1">IFERROR(__xludf.DUMMYFUNCTION("""COMPUTED_VALUE"""),45186.9986111111)</f>
        <v>45186.998611111099</v>
      </c>
      <c r="AL2093" s="6">
        <f ca="1">IFERROR(__xludf.DUMMYFUNCTION("""COMPUTED_VALUE"""),26530.24)</f>
        <v>26530.240000000002</v>
      </c>
      <c r="AP2093" s="6" t="str">
        <f t="shared" ca="1" si="591"/>
        <v>20265</v>
      </c>
      <c r="AQ2093" s="6">
        <f t="shared" ca="1" si="592"/>
        <v>2026</v>
      </c>
      <c r="AR2093" s="6">
        <f t="shared" ca="1" si="593"/>
        <v>5</v>
      </c>
      <c r="AS2093" s="68">
        <f ca="1">IFERROR(__xludf.DUMMYFUNCTION("""COMPUTED_VALUE"""),46148.9986111111)</f>
        <v>46148.998611111099</v>
      </c>
      <c r="AT2093" s="6">
        <f ca="1">IFERROR(__xludf.DUMMYFUNCTION("""COMPUTED_VALUE"""),4694.3)</f>
        <v>4694.3</v>
      </c>
    </row>
    <row r="2094" spans="2:46" x14ac:dyDescent="0.35">
      <c r="B2094" s="6" t="str">
        <f t="shared" ca="1" si="576"/>
        <v>20264</v>
      </c>
      <c r="C2094" s="6">
        <f t="shared" ca="1" si="577"/>
        <v>2026</v>
      </c>
      <c r="D2094" s="6">
        <f t="shared" ca="1" si="578"/>
        <v>4</v>
      </c>
      <c r="E2094" s="68">
        <f ca="1">IFERROR(__xludf.DUMMYFUNCTION("""COMPUTED_VALUE"""),46142.6666666666)</f>
        <v>46142.666666666599</v>
      </c>
      <c r="F2094" s="6">
        <f ca="1">IFERROR(__xludf.DUMMYFUNCTION("""COMPUTED_VALUE"""),7209.01)</f>
        <v>7209.01</v>
      </c>
      <c r="J2094" s="6" t="str">
        <f t="shared" ca="1" si="579"/>
        <v>20264</v>
      </c>
      <c r="K2094" s="6">
        <f t="shared" ca="1" si="580"/>
        <v>2026</v>
      </c>
      <c r="L2094" s="6">
        <f t="shared" ca="1" si="581"/>
        <v>4</v>
      </c>
      <c r="M2094" s="68">
        <f ca="1">IFERROR(__xludf.DUMMYFUNCTION("""COMPUTED_VALUE"""),46136.6666666666)</f>
        <v>46136.666666666599</v>
      </c>
      <c r="N2094" s="6">
        <f ca="1">IFERROR(__xludf.DUMMYFUNCTION("""COMPUTED_VALUE"""),24836.6)</f>
        <v>24836.6</v>
      </c>
      <c r="R2094" s="6" t="str">
        <f t="shared" si="582"/>
        <v>19001</v>
      </c>
      <c r="S2094" s="6">
        <f t="shared" si="583"/>
        <v>1900</v>
      </c>
      <c r="T2094" s="6">
        <f t="shared" si="584"/>
        <v>1</v>
      </c>
      <c r="Z2094" s="6" t="str">
        <f t="shared" ca="1" si="585"/>
        <v>202311</v>
      </c>
      <c r="AA2094" s="6">
        <f t="shared" ca="1" si="586"/>
        <v>2023</v>
      </c>
      <c r="AB2094" s="6">
        <f t="shared" ca="1" si="587"/>
        <v>11</v>
      </c>
      <c r="AC2094" s="68">
        <f ca="1">IFERROR(__xludf.DUMMYFUNCTION("""COMPUTED_VALUE"""),45243.9986111111)</f>
        <v>45243.998611111099</v>
      </c>
      <c r="AD2094" s="6">
        <f ca="1">IFERROR(__xludf.DUMMYFUNCTION("""COMPUTED_VALUE"""),1319.07)</f>
        <v>1319.07</v>
      </c>
      <c r="AH2094" s="6" t="str">
        <f t="shared" ca="1" si="588"/>
        <v>20239</v>
      </c>
      <c r="AI2094" s="6">
        <f t="shared" ca="1" si="589"/>
        <v>2023</v>
      </c>
      <c r="AJ2094" s="6">
        <f t="shared" ca="1" si="590"/>
        <v>9</v>
      </c>
      <c r="AK2094" s="68">
        <f ca="1">IFERROR(__xludf.DUMMYFUNCTION("""COMPUTED_VALUE"""),45187.9986111111)</f>
        <v>45187.998611111099</v>
      </c>
      <c r="AL2094" s="6">
        <f ca="1">IFERROR(__xludf.DUMMYFUNCTION("""COMPUTED_VALUE"""),26764.2)</f>
        <v>26764.2</v>
      </c>
      <c r="AP2094" s="6" t="str">
        <f t="shared" ca="1" si="591"/>
        <v>20265</v>
      </c>
      <c r="AQ2094" s="6">
        <f t="shared" ca="1" si="592"/>
        <v>2026</v>
      </c>
      <c r="AR2094" s="6">
        <f t="shared" ca="1" si="593"/>
        <v>5</v>
      </c>
      <c r="AS2094" s="68">
        <f ca="1">IFERROR(__xludf.DUMMYFUNCTION("""COMPUTED_VALUE"""),46149.9986111111)</f>
        <v>46149.998611111099</v>
      </c>
      <c r="AT2094" s="6">
        <f ca="1">IFERROR(__xludf.DUMMYFUNCTION("""COMPUTED_VALUE"""),4710.9)</f>
        <v>4710.8999999999996</v>
      </c>
    </row>
    <row r="2095" spans="2:46" x14ac:dyDescent="0.35">
      <c r="B2095" s="6" t="str">
        <f t="shared" ca="1" si="576"/>
        <v>20265</v>
      </c>
      <c r="C2095" s="6">
        <f t="shared" ca="1" si="577"/>
        <v>2026</v>
      </c>
      <c r="D2095" s="6">
        <f t="shared" ca="1" si="578"/>
        <v>5</v>
      </c>
      <c r="E2095" s="68">
        <f ca="1">IFERROR(__xludf.DUMMYFUNCTION("""COMPUTED_VALUE"""),46143.6666666666)</f>
        <v>46143.666666666599</v>
      </c>
      <c r="F2095" s="6">
        <f ca="1">IFERROR(__xludf.DUMMYFUNCTION("""COMPUTED_VALUE"""),7230.12)</f>
        <v>7230.12</v>
      </c>
      <c r="J2095" s="6" t="str">
        <f t="shared" ca="1" si="579"/>
        <v>20264</v>
      </c>
      <c r="K2095" s="6">
        <f t="shared" ca="1" si="580"/>
        <v>2026</v>
      </c>
      <c r="L2095" s="6">
        <f t="shared" ca="1" si="581"/>
        <v>4</v>
      </c>
      <c r="M2095" s="68">
        <f ca="1">IFERROR(__xludf.DUMMYFUNCTION("""COMPUTED_VALUE"""),46139.6666666666)</f>
        <v>46139.666666666599</v>
      </c>
      <c r="N2095" s="6">
        <f ca="1">IFERROR(__xludf.DUMMYFUNCTION("""COMPUTED_VALUE"""),24887.1)</f>
        <v>24887.1</v>
      </c>
      <c r="R2095" s="6" t="str">
        <f t="shared" si="582"/>
        <v>19001</v>
      </c>
      <c r="S2095" s="6">
        <f t="shared" si="583"/>
        <v>1900</v>
      </c>
      <c r="T2095" s="6">
        <f t="shared" si="584"/>
        <v>1</v>
      </c>
      <c r="Z2095" s="6" t="str">
        <f t="shared" ca="1" si="585"/>
        <v>202311</v>
      </c>
      <c r="AA2095" s="6">
        <f t="shared" ca="1" si="586"/>
        <v>2023</v>
      </c>
      <c r="AB2095" s="6">
        <f t="shared" ca="1" si="587"/>
        <v>11</v>
      </c>
      <c r="AC2095" s="68">
        <f ca="1">IFERROR(__xludf.DUMMYFUNCTION("""COMPUTED_VALUE"""),45244.9986111111)</f>
        <v>45244.998611111099</v>
      </c>
      <c r="AD2095" s="6">
        <f ca="1">IFERROR(__xludf.DUMMYFUNCTION("""COMPUTED_VALUE"""),1304.24)</f>
        <v>1304.24</v>
      </c>
      <c r="AH2095" s="6" t="str">
        <f t="shared" ca="1" si="588"/>
        <v>20239</v>
      </c>
      <c r="AI2095" s="6">
        <f t="shared" ca="1" si="589"/>
        <v>2023</v>
      </c>
      <c r="AJ2095" s="6">
        <f t="shared" ca="1" si="590"/>
        <v>9</v>
      </c>
      <c r="AK2095" s="68">
        <f ca="1">IFERROR(__xludf.DUMMYFUNCTION("""COMPUTED_VALUE"""),45188.9986111111)</f>
        <v>45188.998611111099</v>
      </c>
      <c r="AL2095" s="6">
        <f ca="1">IFERROR(__xludf.DUMMYFUNCTION("""COMPUTED_VALUE"""),27217.88)</f>
        <v>27217.88</v>
      </c>
      <c r="AP2095" s="6" t="str">
        <f t="shared" ca="1" si="591"/>
        <v>20265</v>
      </c>
      <c r="AQ2095" s="6">
        <f t="shared" ca="1" si="592"/>
        <v>2026</v>
      </c>
      <c r="AR2095" s="6">
        <f t="shared" ca="1" si="593"/>
        <v>5</v>
      </c>
      <c r="AS2095" s="68">
        <f ca="1">IFERROR(__xludf.DUMMYFUNCTION("""COMPUTED_VALUE"""),46150.9986111111)</f>
        <v>46150.998611111099</v>
      </c>
      <c r="AT2095" s="6">
        <f ca="1">IFERROR(__xludf.DUMMYFUNCTION("""COMPUTED_VALUE"""),4730.7)</f>
        <v>4730.7</v>
      </c>
    </row>
    <row r="2096" spans="2:46" x14ac:dyDescent="0.35">
      <c r="B2096" s="6" t="str">
        <f t="shared" ca="1" si="576"/>
        <v>20265</v>
      </c>
      <c r="C2096" s="6">
        <f t="shared" ca="1" si="577"/>
        <v>2026</v>
      </c>
      <c r="D2096" s="6">
        <f t="shared" ca="1" si="578"/>
        <v>5</v>
      </c>
      <c r="E2096" s="68">
        <f ca="1">IFERROR(__xludf.DUMMYFUNCTION("""COMPUTED_VALUE"""),46146.6666666666)</f>
        <v>46146.666666666599</v>
      </c>
      <c r="F2096" s="6">
        <f ca="1">IFERROR(__xludf.DUMMYFUNCTION("""COMPUTED_VALUE"""),7200.75)</f>
        <v>7200.75</v>
      </c>
      <c r="J2096" s="6" t="str">
        <f t="shared" ca="1" si="579"/>
        <v>20264</v>
      </c>
      <c r="K2096" s="6">
        <f t="shared" ca="1" si="580"/>
        <v>2026</v>
      </c>
      <c r="L2096" s="6">
        <f t="shared" ca="1" si="581"/>
        <v>4</v>
      </c>
      <c r="M2096" s="68">
        <f ca="1">IFERROR(__xludf.DUMMYFUNCTION("""COMPUTED_VALUE"""),46140.6666666666)</f>
        <v>46140.666666666599</v>
      </c>
      <c r="N2096" s="6">
        <f ca="1">IFERROR(__xludf.DUMMYFUNCTION("""COMPUTED_VALUE"""),24663.8)</f>
        <v>24663.8</v>
      </c>
      <c r="R2096" s="6" t="str">
        <f t="shared" si="582"/>
        <v>19001</v>
      </c>
      <c r="S2096" s="6">
        <f t="shared" si="583"/>
        <v>1900</v>
      </c>
      <c r="T2096" s="6">
        <f t="shared" si="584"/>
        <v>1</v>
      </c>
      <c r="Z2096" s="6" t="str">
        <f t="shared" ca="1" si="585"/>
        <v>202311</v>
      </c>
      <c r="AA2096" s="6">
        <f t="shared" ca="1" si="586"/>
        <v>2023</v>
      </c>
      <c r="AB2096" s="6">
        <f t="shared" ca="1" si="587"/>
        <v>11</v>
      </c>
      <c r="AC2096" s="68">
        <f ca="1">IFERROR(__xludf.DUMMYFUNCTION("""COMPUTED_VALUE"""),45245.9986111111)</f>
        <v>45245.998611111099</v>
      </c>
      <c r="AD2096" s="6">
        <f ca="1">IFERROR(__xludf.DUMMYFUNCTION("""COMPUTED_VALUE"""),1301.86)</f>
        <v>1301.8599999999999</v>
      </c>
      <c r="AH2096" s="6" t="str">
        <f t="shared" ca="1" si="588"/>
        <v>20239</v>
      </c>
      <c r="AI2096" s="6">
        <f t="shared" ca="1" si="589"/>
        <v>2023</v>
      </c>
      <c r="AJ2096" s="6">
        <f t="shared" ca="1" si="590"/>
        <v>9</v>
      </c>
      <c r="AK2096" s="68">
        <f ca="1">IFERROR(__xludf.DUMMYFUNCTION("""COMPUTED_VALUE"""),45189.9986111111)</f>
        <v>45189.998611111099</v>
      </c>
      <c r="AL2096" s="6">
        <f ca="1">IFERROR(__xludf.DUMMYFUNCTION("""COMPUTED_VALUE"""),27127.37)</f>
        <v>27127.37</v>
      </c>
      <c r="AP2096" s="6" t="str">
        <f t="shared" ca="1" si="591"/>
        <v>20265</v>
      </c>
      <c r="AQ2096" s="6">
        <f t="shared" ca="1" si="592"/>
        <v>2026</v>
      </c>
      <c r="AR2096" s="6">
        <f t="shared" ca="1" si="593"/>
        <v>5</v>
      </c>
      <c r="AS2096" s="68">
        <f ca="1">IFERROR(__xludf.DUMMYFUNCTION("""COMPUTED_VALUE"""),46153.9986111111)</f>
        <v>46153.998611111099</v>
      </c>
      <c r="AT2096" s="6">
        <f ca="1">IFERROR(__xludf.DUMMYFUNCTION("""COMPUTED_VALUE"""),4728.7)</f>
        <v>4728.7</v>
      </c>
    </row>
    <row r="2097" spans="2:46" x14ac:dyDescent="0.35">
      <c r="B2097" s="6" t="str">
        <f t="shared" ca="1" si="576"/>
        <v>20265</v>
      </c>
      <c r="C2097" s="6">
        <f t="shared" ca="1" si="577"/>
        <v>2026</v>
      </c>
      <c r="D2097" s="6">
        <f t="shared" ca="1" si="578"/>
        <v>5</v>
      </c>
      <c r="E2097" s="68">
        <f ca="1">IFERROR(__xludf.DUMMYFUNCTION("""COMPUTED_VALUE"""),46147.6666666666)</f>
        <v>46147.666666666599</v>
      </c>
      <c r="F2097" s="6">
        <f ca="1">IFERROR(__xludf.DUMMYFUNCTION("""COMPUTED_VALUE"""),7259.22)</f>
        <v>7259.22</v>
      </c>
      <c r="J2097" s="6" t="str">
        <f t="shared" ca="1" si="579"/>
        <v>20264</v>
      </c>
      <c r="K2097" s="6">
        <f t="shared" ca="1" si="580"/>
        <v>2026</v>
      </c>
      <c r="L2097" s="6">
        <f t="shared" ca="1" si="581"/>
        <v>4</v>
      </c>
      <c r="M2097" s="68">
        <f ca="1">IFERROR(__xludf.DUMMYFUNCTION("""COMPUTED_VALUE"""),46141.6666666666)</f>
        <v>46141.666666666599</v>
      </c>
      <c r="N2097" s="6">
        <f ca="1">IFERROR(__xludf.DUMMYFUNCTION("""COMPUTED_VALUE"""),24673.24)</f>
        <v>24673.24</v>
      </c>
      <c r="R2097" s="6" t="str">
        <f t="shared" si="582"/>
        <v>19001</v>
      </c>
      <c r="S2097" s="6">
        <f t="shared" si="583"/>
        <v>1900</v>
      </c>
      <c r="T2097" s="6">
        <f t="shared" si="584"/>
        <v>1</v>
      </c>
      <c r="Z2097" s="6" t="str">
        <f t="shared" ca="1" si="585"/>
        <v>202311</v>
      </c>
      <c r="AA2097" s="6">
        <f t="shared" ca="1" si="586"/>
        <v>2023</v>
      </c>
      <c r="AB2097" s="6">
        <f t="shared" ca="1" si="587"/>
        <v>11</v>
      </c>
      <c r="AC2097" s="68">
        <f ca="1">IFERROR(__xludf.DUMMYFUNCTION("""COMPUTED_VALUE"""),45246.9986111111)</f>
        <v>45246.998611111099</v>
      </c>
      <c r="AD2097" s="6">
        <f ca="1">IFERROR(__xludf.DUMMYFUNCTION("""COMPUTED_VALUE"""),1292.45)</f>
        <v>1292.45</v>
      </c>
      <c r="AH2097" s="6" t="str">
        <f t="shared" ca="1" si="588"/>
        <v>20239</v>
      </c>
      <c r="AI2097" s="6">
        <f t="shared" ca="1" si="589"/>
        <v>2023</v>
      </c>
      <c r="AJ2097" s="6">
        <f t="shared" ca="1" si="590"/>
        <v>9</v>
      </c>
      <c r="AK2097" s="68">
        <f ca="1">IFERROR(__xludf.DUMMYFUNCTION("""COMPUTED_VALUE"""),45190.9986111111)</f>
        <v>45190.998611111099</v>
      </c>
      <c r="AL2097" s="6">
        <f ca="1">IFERROR(__xludf.DUMMYFUNCTION("""COMPUTED_VALUE"""),26567.97)</f>
        <v>26567.97</v>
      </c>
      <c r="AP2097" s="6" t="str">
        <f t="shared" ca="1" si="591"/>
        <v>20265</v>
      </c>
      <c r="AQ2097" s="6">
        <f t="shared" ca="1" si="592"/>
        <v>2026</v>
      </c>
      <c r="AR2097" s="6">
        <f t="shared" ca="1" si="593"/>
        <v>5</v>
      </c>
      <c r="AS2097" s="68">
        <f ca="1">IFERROR(__xludf.DUMMYFUNCTION("""COMPUTED_VALUE"""),46154.9986111111)</f>
        <v>46154.998611111099</v>
      </c>
      <c r="AT2097" s="6">
        <f ca="1">IFERROR(__xludf.DUMMYFUNCTION("""COMPUTED_VALUE"""),4686.7)</f>
        <v>4686.7</v>
      </c>
    </row>
    <row r="2098" spans="2:46" x14ac:dyDescent="0.35">
      <c r="B2098" s="6" t="str">
        <f t="shared" ca="1" si="576"/>
        <v>20265</v>
      </c>
      <c r="C2098" s="6">
        <f t="shared" ca="1" si="577"/>
        <v>2026</v>
      </c>
      <c r="D2098" s="6">
        <f t="shared" ca="1" si="578"/>
        <v>5</v>
      </c>
      <c r="E2098" s="68">
        <f ca="1">IFERROR(__xludf.DUMMYFUNCTION("""COMPUTED_VALUE"""),46148.6666666666)</f>
        <v>46148.666666666599</v>
      </c>
      <c r="F2098" s="6">
        <f ca="1">IFERROR(__xludf.DUMMYFUNCTION("""COMPUTED_VALUE"""),7365.12)</f>
        <v>7365.12</v>
      </c>
      <c r="J2098" s="6" t="str">
        <f t="shared" ca="1" si="579"/>
        <v>20264</v>
      </c>
      <c r="K2098" s="6">
        <f t="shared" ca="1" si="580"/>
        <v>2026</v>
      </c>
      <c r="L2098" s="6">
        <f t="shared" ca="1" si="581"/>
        <v>4</v>
      </c>
      <c r="M2098" s="68">
        <f ca="1">IFERROR(__xludf.DUMMYFUNCTION("""COMPUTED_VALUE"""),46142.6666666666)</f>
        <v>46142.666666666599</v>
      </c>
      <c r="N2098" s="6">
        <f ca="1">IFERROR(__xludf.DUMMYFUNCTION("""COMPUTED_VALUE"""),24892.31)</f>
        <v>24892.31</v>
      </c>
      <c r="R2098" s="6" t="str">
        <f t="shared" si="582"/>
        <v>19001</v>
      </c>
      <c r="S2098" s="6">
        <f t="shared" si="583"/>
        <v>1900</v>
      </c>
      <c r="T2098" s="6">
        <f t="shared" si="584"/>
        <v>1</v>
      </c>
      <c r="Z2098" s="6" t="str">
        <f t="shared" ca="1" si="585"/>
        <v>202311</v>
      </c>
      <c r="AA2098" s="6">
        <f t="shared" ca="1" si="586"/>
        <v>2023</v>
      </c>
      <c r="AB2098" s="6">
        <f t="shared" ca="1" si="587"/>
        <v>11</v>
      </c>
      <c r="AC2098" s="68">
        <f ca="1">IFERROR(__xludf.DUMMYFUNCTION("""COMPUTED_VALUE"""),45247.9986111111)</f>
        <v>45247.998611111099</v>
      </c>
      <c r="AD2098" s="6">
        <f ca="1">IFERROR(__xludf.DUMMYFUNCTION("""COMPUTED_VALUE"""),1294.5)</f>
        <v>1294.5</v>
      </c>
      <c r="AH2098" s="6" t="str">
        <f t="shared" ca="1" si="588"/>
        <v>20239</v>
      </c>
      <c r="AI2098" s="6">
        <f t="shared" ca="1" si="589"/>
        <v>2023</v>
      </c>
      <c r="AJ2098" s="6">
        <f t="shared" ca="1" si="590"/>
        <v>9</v>
      </c>
      <c r="AK2098" s="68">
        <f ca="1">IFERROR(__xludf.DUMMYFUNCTION("""COMPUTED_VALUE"""),45191.9986111111)</f>
        <v>45191.998611111099</v>
      </c>
      <c r="AL2098" s="6">
        <f ca="1">IFERROR(__xludf.DUMMYFUNCTION("""COMPUTED_VALUE"""),26588.76)</f>
        <v>26588.76</v>
      </c>
      <c r="AP2098" s="6" t="str">
        <f t="shared" ca="1" si="591"/>
        <v>20265</v>
      </c>
      <c r="AQ2098" s="6">
        <f t="shared" ca="1" si="592"/>
        <v>2026</v>
      </c>
      <c r="AR2098" s="6">
        <f t="shared" ca="1" si="593"/>
        <v>5</v>
      </c>
      <c r="AS2098" s="68">
        <f ca="1">IFERROR(__xludf.DUMMYFUNCTION("""COMPUTED_VALUE"""),46155.9986111111)</f>
        <v>46155.998611111099</v>
      </c>
      <c r="AT2098" s="6">
        <f ca="1">IFERROR(__xludf.DUMMYFUNCTION("""COMPUTED_VALUE"""),4706.7)</f>
        <v>4706.7</v>
      </c>
    </row>
    <row r="2099" spans="2:46" x14ac:dyDescent="0.35">
      <c r="B2099" s="6" t="str">
        <f t="shared" ca="1" si="576"/>
        <v>20265</v>
      </c>
      <c r="C2099" s="6">
        <f t="shared" ca="1" si="577"/>
        <v>2026</v>
      </c>
      <c r="D2099" s="6">
        <f t="shared" ca="1" si="578"/>
        <v>5</v>
      </c>
      <c r="E2099" s="68">
        <f ca="1">IFERROR(__xludf.DUMMYFUNCTION("""COMPUTED_VALUE"""),46149.6666666666)</f>
        <v>46149.666666666599</v>
      </c>
      <c r="F2099" s="6">
        <f ca="1">IFERROR(__xludf.DUMMYFUNCTION("""COMPUTED_VALUE"""),7337.11)</f>
        <v>7337.11</v>
      </c>
      <c r="J2099" s="6" t="str">
        <f t="shared" ca="1" si="579"/>
        <v>20265</v>
      </c>
      <c r="K2099" s="6">
        <f t="shared" ca="1" si="580"/>
        <v>2026</v>
      </c>
      <c r="L2099" s="6">
        <f t="shared" ca="1" si="581"/>
        <v>5</v>
      </c>
      <c r="M2099" s="68">
        <f ca="1">IFERROR(__xludf.DUMMYFUNCTION("""COMPUTED_VALUE"""),46143.6666666666)</f>
        <v>46143.666666666599</v>
      </c>
      <c r="N2099" s="6">
        <f ca="1">IFERROR(__xludf.DUMMYFUNCTION("""COMPUTED_VALUE"""),25114.44)</f>
        <v>25114.44</v>
      </c>
      <c r="R2099" s="6" t="str">
        <f t="shared" si="582"/>
        <v>19001</v>
      </c>
      <c r="S2099" s="6">
        <f t="shared" si="583"/>
        <v>1900</v>
      </c>
      <c r="T2099" s="6">
        <f t="shared" si="584"/>
        <v>1</v>
      </c>
      <c r="Z2099" s="6" t="str">
        <f t="shared" ca="1" si="585"/>
        <v>202311</v>
      </c>
      <c r="AA2099" s="6">
        <f t="shared" ca="1" si="586"/>
        <v>2023</v>
      </c>
      <c r="AB2099" s="6">
        <f t="shared" ca="1" si="587"/>
        <v>11</v>
      </c>
      <c r="AC2099" s="68">
        <f ca="1">IFERROR(__xludf.DUMMYFUNCTION("""COMPUTED_VALUE"""),45248.9986111111)</f>
        <v>45248.998611111099</v>
      </c>
      <c r="AD2099" s="6">
        <f ca="1">IFERROR(__xludf.DUMMYFUNCTION("""COMPUTED_VALUE"""),1294.5)</f>
        <v>1294.5</v>
      </c>
      <c r="AH2099" s="6" t="str">
        <f t="shared" ca="1" si="588"/>
        <v>20239</v>
      </c>
      <c r="AI2099" s="6">
        <f t="shared" ca="1" si="589"/>
        <v>2023</v>
      </c>
      <c r="AJ2099" s="6">
        <f t="shared" ca="1" si="590"/>
        <v>9</v>
      </c>
      <c r="AK2099" s="68">
        <f ca="1">IFERROR(__xludf.DUMMYFUNCTION("""COMPUTED_VALUE"""),45192.9986111111)</f>
        <v>45192.998611111099</v>
      </c>
      <c r="AL2099" s="6">
        <f ca="1">IFERROR(__xludf.DUMMYFUNCTION("""COMPUTED_VALUE"""),26591.66)</f>
        <v>26591.66</v>
      </c>
      <c r="AP2099" s="6" t="str">
        <f t="shared" ca="1" si="591"/>
        <v>20265</v>
      </c>
      <c r="AQ2099" s="6">
        <f t="shared" ca="1" si="592"/>
        <v>2026</v>
      </c>
      <c r="AR2099" s="6">
        <f t="shared" ca="1" si="593"/>
        <v>5</v>
      </c>
      <c r="AS2099" s="68">
        <f ca="1">IFERROR(__xludf.DUMMYFUNCTION("""COMPUTED_VALUE"""),46156.9986111111)</f>
        <v>46156.998611111099</v>
      </c>
      <c r="AT2099" s="6">
        <f ca="1">IFERROR(__xludf.DUMMYFUNCTION("""COMPUTED_VALUE"""),4685.3)</f>
        <v>4685.3</v>
      </c>
    </row>
    <row r="2100" spans="2:46" x14ac:dyDescent="0.35">
      <c r="B2100" s="6" t="str">
        <f t="shared" ca="1" si="576"/>
        <v>20265</v>
      </c>
      <c r="C2100" s="6">
        <f t="shared" ca="1" si="577"/>
        <v>2026</v>
      </c>
      <c r="D2100" s="6">
        <f t="shared" ca="1" si="578"/>
        <v>5</v>
      </c>
      <c r="E2100" s="68">
        <f ca="1">IFERROR(__xludf.DUMMYFUNCTION("""COMPUTED_VALUE"""),46150.6666666666)</f>
        <v>46150.666666666599</v>
      </c>
      <c r="F2100" s="6">
        <f ca="1">IFERROR(__xludf.DUMMYFUNCTION("""COMPUTED_VALUE"""),7398.93)</f>
        <v>7398.93</v>
      </c>
      <c r="J2100" s="6" t="str">
        <f t="shared" ca="1" si="579"/>
        <v>20265</v>
      </c>
      <c r="K2100" s="6">
        <f t="shared" ca="1" si="580"/>
        <v>2026</v>
      </c>
      <c r="L2100" s="6">
        <f t="shared" ca="1" si="581"/>
        <v>5</v>
      </c>
      <c r="M2100" s="68">
        <f ca="1">IFERROR(__xludf.DUMMYFUNCTION("""COMPUTED_VALUE"""),46146.6666666666)</f>
        <v>46146.666666666599</v>
      </c>
      <c r="N2100" s="6">
        <f ca="1">IFERROR(__xludf.DUMMYFUNCTION("""COMPUTED_VALUE"""),25067.8)</f>
        <v>25067.8</v>
      </c>
      <c r="R2100" s="6" t="str">
        <f t="shared" si="582"/>
        <v>19001</v>
      </c>
      <c r="S2100" s="6">
        <f t="shared" si="583"/>
        <v>1900</v>
      </c>
      <c r="T2100" s="6">
        <f t="shared" si="584"/>
        <v>1</v>
      </c>
      <c r="Z2100" s="6" t="str">
        <f t="shared" ca="1" si="585"/>
        <v>202311</v>
      </c>
      <c r="AA2100" s="6">
        <f t="shared" ca="1" si="586"/>
        <v>2023</v>
      </c>
      <c r="AB2100" s="6">
        <f t="shared" ca="1" si="587"/>
        <v>11</v>
      </c>
      <c r="AC2100" s="68">
        <f ca="1">IFERROR(__xludf.DUMMYFUNCTION("""COMPUTED_VALUE"""),45249.9986111111)</f>
        <v>45249.998611111099</v>
      </c>
      <c r="AD2100" s="6">
        <f ca="1">IFERROR(__xludf.DUMMYFUNCTION("""COMPUTED_VALUE"""),1294.5)</f>
        <v>1294.5</v>
      </c>
      <c r="AH2100" s="6" t="str">
        <f t="shared" ca="1" si="588"/>
        <v>20239</v>
      </c>
      <c r="AI2100" s="6">
        <f t="shared" ca="1" si="589"/>
        <v>2023</v>
      </c>
      <c r="AJ2100" s="6">
        <f t="shared" ca="1" si="590"/>
        <v>9</v>
      </c>
      <c r="AK2100" s="68">
        <f ca="1">IFERROR(__xludf.DUMMYFUNCTION("""COMPUTED_VALUE"""),45193.9986111111)</f>
        <v>45193.998611111099</v>
      </c>
      <c r="AL2100" s="6">
        <f ca="1">IFERROR(__xludf.DUMMYFUNCTION("""COMPUTED_VALUE"""),26263.58)</f>
        <v>26263.58</v>
      </c>
      <c r="AP2100" s="6" t="str">
        <f t="shared" ca="1" si="591"/>
        <v>20265</v>
      </c>
      <c r="AQ2100" s="6">
        <f t="shared" ca="1" si="592"/>
        <v>2026</v>
      </c>
      <c r="AR2100" s="6">
        <f t="shared" ca="1" si="593"/>
        <v>5</v>
      </c>
      <c r="AS2100" s="68">
        <f ca="1">IFERROR(__xludf.DUMMYFUNCTION("""COMPUTED_VALUE"""),46157.9986111111)</f>
        <v>46157.998611111099</v>
      </c>
      <c r="AT2100" s="6">
        <f ca="1">IFERROR(__xludf.DUMMYFUNCTION("""COMPUTED_VALUE"""),4561.9)</f>
        <v>4561.8999999999996</v>
      </c>
    </row>
    <row r="2101" spans="2:46" x14ac:dyDescent="0.35">
      <c r="B2101" s="6" t="str">
        <f t="shared" ca="1" si="576"/>
        <v>20265</v>
      </c>
      <c r="C2101" s="6">
        <f t="shared" ca="1" si="577"/>
        <v>2026</v>
      </c>
      <c r="D2101" s="6">
        <f t="shared" ca="1" si="578"/>
        <v>5</v>
      </c>
      <c r="E2101" s="68">
        <f ca="1">IFERROR(__xludf.DUMMYFUNCTION("""COMPUTED_VALUE"""),46153.6666666666)</f>
        <v>46153.666666666599</v>
      </c>
      <c r="F2101" s="6">
        <f ca="1">IFERROR(__xludf.DUMMYFUNCTION("""COMPUTED_VALUE"""),7412.84)</f>
        <v>7412.84</v>
      </c>
      <c r="J2101" s="6" t="str">
        <f t="shared" ca="1" si="579"/>
        <v>20265</v>
      </c>
      <c r="K2101" s="6">
        <f t="shared" ca="1" si="580"/>
        <v>2026</v>
      </c>
      <c r="L2101" s="6">
        <f t="shared" ca="1" si="581"/>
        <v>5</v>
      </c>
      <c r="M2101" s="68">
        <f ca="1">IFERROR(__xludf.DUMMYFUNCTION("""COMPUTED_VALUE"""),46147.6666666666)</f>
        <v>46147.666666666599</v>
      </c>
      <c r="N2101" s="6">
        <f ca="1">IFERROR(__xludf.DUMMYFUNCTION("""COMPUTED_VALUE"""),25326.13)</f>
        <v>25326.13</v>
      </c>
      <c r="R2101" s="6" t="str">
        <f t="shared" si="582"/>
        <v>19001</v>
      </c>
      <c r="S2101" s="6">
        <f t="shared" si="583"/>
        <v>1900</v>
      </c>
      <c r="T2101" s="6">
        <f t="shared" si="584"/>
        <v>1</v>
      </c>
      <c r="Z2101" s="6" t="str">
        <f t="shared" ca="1" si="585"/>
        <v>202311</v>
      </c>
      <c r="AA2101" s="6">
        <f t="shared" ca="1" si="586"/>
        <v>2023</v>
      </c>
      <c r="AB2101" s="6">
        <f t="shared" ca="1" si="587"/>
        <v>11</v>
      </c>
      <c r="AC2101" s="68">
        <f ca="1">IFERROR(__xludf.DUMMYFUNCTION("""COMPUTED_VALUE"""),45250.9986111111)</f>
        <v>45250.998611111099</v>
      </c>
      <c r="AD2101" s="6">
        <f ca="1">IFERROR(__xludf.DUMMYFUNCTION("""COMPUTED_VALUE"""),1288.15)</f>
        <v>1288.1500000000001</v>
      </c>
      <c r="AH2101" s="6" t="str">
        <f t="shared" ca="1" si="588"/>
        <v>20239</v>
      </c>
      <c r="AI2101" s="6">
        <f t="shared" ca="1" si="589"/>
        <v>2023</v>
      </c>
      <c r="AJ2101" s="6">
        <f t="shared" ca="1" si="590"/>
        <v>9</v>
      </c>
      <c r="AK2101" s="68">
        <f ca="1">IFERROR(__xludf.DUMMYFUNCTION("""COMPUTED_VALUE"""),45194.9986111111)</f>
        <v>45194.998611111099</v>
      </c>
      <c r="AL2101" s="6">
        <f ca="1">IFERROR(__xludf.DUMMYFUNCTION("""COMPUTED_VALUE"""),26296.83)</f>
        <v>26296.83</v>
      </c>
      <c r="AP2101" s="6" t="str">
        <f t="shared" ca="1" si="591"/>
        <v>20265</v>
      </c>
      <c r="AQ2101" s="6">
        <f t="shared" ca="1" si="592"/>
        <v>2026</v>
      </c>
      <c r="AR2101" s="6">
        <f t="shared" ca="1" si="593"/>
        <v>5</v>
      </c>
      <c r="AS2101" s="68">
        <f ca="1">IFERROR(__xludf.DUMMYFUNCTION("""COMPUTED_VALUE"""),46160.9986111111)</f>
        <v>46160.998611111099</v>
      </c>
      <c r="AT2101" s="6">
        <f ca="1">IFERROR(__xludf.DUMMYFUNCTION("""COMPUTED_VALUE"""),4558)</f>
        <v>4558</v>
      </c>
    </row>
    <row r="2102" spans="2:46" x14ac:dyDescent="0.35">
      <c r="B2102" s="6" t="str">
        <f t="shared" ca="1" si="576"/>
        <v>20265</v>
      </c>
      <c r="C2102" s="6">
        <f t="shared" ca="1" si="577"/>
        <v>2026</v>
      </c>
      <c r="D2102" s="6">
        <f t="shared" ca="1" si="578"/>
        <v>5</v>
      </c>
      <c r="E2102" s="68">
        <f ca="1">IFERROR(__xludf.DUMMYFUNCTION("""COMPUTED_VALUE"""),46154.6666666666)</f>
        <v>46154.666666666599</v>
      </c>
      <c r="F2102" s="6">
        <f ca="1">IFERROR(__xludf.DUMMYFUNCTION("""COMPUTED_VALUE"""),7400.96)</f>
        <v>7400.96</v>
      </c>
      <c r="J2102" s="6" t="str">
        <f t="shared" ca="1" si="579"/>
        <v>20265</v>
      </c>
      <c r="K2102" s="6">
        <f t="shared" ca="1" si="580"/>
        <v>2026</v>
      </c>
      <c r="L2102" s="6">
        <f t="shared" ca="1" si="581"/>
        <v>5</v>
      </c>
      <c r="M2102" s="68">
        <f ca="1">IFERROR(__xludf.DUMMYFUNCTION("""COMPUTED_VALUE"""),46148.6666666666)</f>
        <v>46148.666666666599</v>
      </c>
      <c r="N2102" s="6">
        <f ca="1">IFERROR(__xludf.DUMMYFUNCTION("""COMPUTED_VALUE"""),25838.94)</f>
        <v>25838.94</v>
      </c>
      <c r="R2102" s="6" t="str">
        <f t="shared" si="582"/>
        <v>19001</v>
      </c>
      <c r="S2102" s="6">
        <f t="shared" si="583"/>
        <v>1900</v>
      </c>
      <c r="T2102" s="6">
        <f t="shared" si="584"/>
        <v>1</v>
      </c>
      <c r="Z2102" s="6" t="str">
        <f t="shared" ca="1" si="585"/>
        <v>202311</v>
      </c>
      <c r="AA2102" s="6">
        <f t="shared" ca="1" si="586"/>
        <v>2023</v>
      </c>
      <c r="AB2102" s="6">
        <f t="shared" ca="1" si="587"/>
        <v>11</v>
      </c>
      <c r="AC2102" s="68">
        <f ca="1">IFERROR(__xludf.DUMMYFUNCTION("""COMPUTED_VALUE"""),45251.9986111111)</f>
        <v>45251.998611111099</v>
      </c>
      <c r="AD2102" s="6">
        <f ca="1">IFERROR(__xludf.DUMMYFUNCTION("""COMPUTED_VALUE"""),1295.19)</f>
        <v>1295.19</v>
      </c>
      <c r="AH2102" s="6" t="str">
        <f t="shared" ca="1" si="588"/>
        <v>20239</v>
      </c>
      <c r="AI2102" s="6">
        <f t="shared" ca="1" si="589"/>
        <v>2023</v>
      </c>
      <c r="AJ2102" s="6">
        <f t="shared" ca="1" si="590"/>
        <v>9</v>
      </c>
      <c r="AK2102" s="68">
        <f ca="1">IFERROR(__xludf.DUMMYFUNCTION("""COMPUTED_VALUE"""),45195.9986111111)</f>
        <v>45195.998611111099</v>
      </c>
      <c r="AL2102" s="6">
        <f ca="1">IFERROR(__xludf.DUMMYFUNCTION("""COMPUTED_VALUE"""),26211.61)</f>
        <v>26211.61</v>
      </c>
      <c r="AP2102" s="6" t="str">
        <f t="shared" ca="1" si="591"/>
        <v>20265</v>
      </c>
      <c r="AQ2102" s="6">
        <f t="shared" ca="1" si="592"/>
        <v>2026</v>
      </c>
      <c r="AR2102" s="6">
        <f t="shared" ca="1" si="593"/>
        <v>5</v>
      </c>
      <c r="AS2102" s="68">
        <f ca="1">IFERROR(__xludf.DUMMYFUNCTION("""COMPUTED_VALUE"""),46161.9986111111)</f>
        <v>46161.998611111099</v>
      </c>
      <c r="AT2102" s="6">
        <f ca="1">IFERROR(__xludf.DUMMYFUNCTION("""COMPUTED_VALUE"""),4511.2)</f>
        <v>4511.2</v>
      </c>
    </row>
    <row r="2103" spans="2:46" x14ac:dyDescent="0.35">
      <c r="B2103" s="6" t="str">
        <f t="shared" ca="1" si="576"/>
        <v>20265</v>
      </c>
      <c r="C2103" s="6">
        <f t="shared" ca="1" si="577"/>
        <v>2026</v>
      </c>
      <c r="D2103" s="6">
        <f t="shared" ca="1" si="578"/>
        <v>5</v>
      </c>
      <c r="E2103" s="68">
        <f ca="1">IFERROR(__xludf.DUMMYFUNCTION("""COMPUTED_VALUE"""),46155.6666666666)</f>
        <v>46155.666666666599</v>
      </c>
      <c r="F2103" s="6">
        <f ca="1">IFERROR(__xludf.DUMMYFUNCTION("""COMPUTED_VALUE"""),7444.25)</f>
        <v>7444.25</v>
      </c>
      <c r="J2103" s="6" t="str">
        <f t="shared" ca="1" si="579"/>
        <v>20265</v>
      </c>
      <c r="K2103" s="6">
        <f t="shared" ca="1" si="580"/>
        <v>2026</v>
      </c>
      <c r="L2103" s="6">
        <f t="shared" ca="1" si="581"/>
        <v>5</v>
      </c>
      <c r="M2103" s="68">
        <f ca="1">IFERROR(__xludf.DUMMYFUNCTION("""COMPUTED_VALUE"""),46149.6666666666)</f>
        <v>46149.666666666599</v>
      </c>
      <c r="N2103" s="6">
        <f ca="1">IFERROR(__xludf.DUMMYFUNCTION("""COMPUTED_VALUE"""),25806.2)</f>
        <v>25806.2</v>
      </c>
      <c r="R2103" s="6" t="str">
        <f t="shared" si="582"/>
        <v>19001</v>
      </c>
      <c r="S2103" s="6">
        <f t="shared" si="583"/>
        <v>1900</v>
      </c>
      <c r="T2103" s="6">
        <f t="shared" si="584"/>
        <v>1</v>
      </c>
      <c r="Z2103" s="6" t="str">
        <f t="shared" ca="1" si="585"/>
        <v>202311</v>
      </c>
      <c r="AA2103" s="6">
        <f t="shared" ca="1" si="586"/>
        <v>2023</v>
      </c>
      <c r="AB2103" s="6">
        <f t="shared" ca="1" si="587"/>
        <v>11</v>
      </c>
      <c r="AC2103" s="68">
        <f ca="1">IFERROR(__xludf.DUMMYFUNCTION("""COMPUTED_VALUE"""),45252.9986111111)</f>
        <v>45252.998611111099</v>
      </c>
      <c r="AD2103" s="6">
        <f ca="1">IFERROR(__xludf.DUMMYFUNCTION("""COMPUTED_VALUE"""),1298.79)</f>
        <v>1298.79</v>
      </c>
      <c r="AH2103" s="6" t="str">
        <f t="shared" ca="1" si="588"/>
        <v>20239</v>
      </c>
      <c r="AI2103" s="6">
        <f t="shared" ca="1" si="589"/>
        <v>2023</v>
      </c>
      <c r="AJ2103" s="6">
        <f t="shared" ca="1" si="590"/>
        <v>9</v>
      </c>
      <c r="AK2103" s="68">
        <f ca="1">IFERROR(__xludf.DUMMYFUNCTION("""COMPUTED_VALUE"""),45196.9986111111)</f>
        <v>45196.998611111099</v>
      </c>
      <c r="AL2103" s="6">
        <f ca="1">IFERROR(__xludf.DUMMYFUNCTION("""COMPUTED_VALUE"""),26359.27)</f>
        <v>26359.27</v>
      </c>
      <c r="AP2103" s="6" t="str">
        <f t="shared" ca="1" si="591"/>
        <v>20265</v>
      </c>
      <c r="AQ2103" s="6">
        <f t="shared" ca="1" si="592"/>
        <v>2026</v>
      </c>
      <c r="AR2103" s="6">
        <f t="shared" ca="1" si="593"/>
        <v>5</v>
      </c>
      <c r="AS2103" s="68">
        <f ca="1">IFERROR(__xludf.DUMMYFUNCTION("""COMPUTED_VALUE"""),46162.9986111111)</f>
        <v>46162.998611111099</v>
      </c>
      <c r="AT2103" s="6">
        <f ca="1">IFERROR(__xludf.DUMMYFUNCTION("""COMPUTED_VALUE"""),4535.3)</f>
        <v>4535.3</v>
      </c>
    </row>
    <row r="2104" spans="2:46" x14ac:dyDescent="0.35">
      <c r="B2104" s="6" t="str">
        <f t="shared" ca="1" si="576"/>
        <v>20265</v>
      </c>
      <c r="C2104" s="6">
        <f t="shared" ca="1" si="577"/>
        <v>2026</v>
      </c>
      <c r="D2104" s="6">
        <f t="shared" ca="1" si="578"/>
        <v>5</v>
      </c>
      <c r="E2104" s="68">
        <f ca="1">IFERROR(__xludf.DUMMYFUNCTION("""COMPUTED_VALUE"""),46156.6666666666)</f>
        <v>46156.666666666599</v>
      </c>
      <c r="F2104" s="6">
        <f ca="1">IFERROR(__xludf.DUMMYFUNCTION("""COMPUTED_VALUE"""),7501.24)</f>
        <v>7501.24</v>
      </c>
      <c r="J2104" s="6" t="str">
        <f t="shared" ca="1" si="579"/>
        <v>20265</v>
      </c>
      <c r="K2104" s="6">
        <f t="shared" ca="1" si="580"/>
        <v>2026</v>
      </c>
      <c r="L2104" s="6">
        <f t="shared" ca="1" si="581"/>
        <v>5</v>
      </c>
      <c r="M2104" s="68">
        <f ca="1">IFERROR(__xludf.DUMMYFUNCTION("""COMPUTED_VALUE"""),46150.6666666666)</f>
        <v>46150.666666666599</v>
      </c>
      <c r="N2104" s="6">
        <f ca="1">IFERROR(__xludf.DUMMYFUNCTION("""COMPUTED_VALUE"""),26247.08)</f>
        <v>26247.08</v>
      </c>
      <c r="R2104" s="6" t="str">
        <f t="shared" si="582"/>
        <v>19001</v>
      </c>
      <c r="S2104" s="6">
        <f t="shared" si="583"/>
        <v>1900</v>
      </c>
      <c r="T2104" s="6">
        <f t="shared" si="584"/>
        <v>1</v>
      </c>
      <c r="Z2104" s="6" t="str">
        <f t="shared" ca="1" si="585"/>
        <v>202311</v>
      </c>
      <c r="AA2104" s="6">
        <f t="shared" ca="1" si="586"/>
        <v>2023</v>
      </c>
      <c r="AB2104" s="6">
        <f t="shared" ca="1" si="587"/>
        <v>11</v>
      </c>
      <c r="AC2104" s="68">
        <f ca="1">IFERROR(__xludf.DUMMYFUNCTION("""COMPUTED_VALUE"""),45253.9986111111)</f>
        <v>45253.998611111099</v>
      </c>
      <c r="AD2104" s="6">
        <f ca="1">IFERROR(__xludf.DUMMYFUNCTION("""COMPUTED_VALUE"""),1300.18)</f>
        <v>1300.18</v>
      </c>
      <c r="AH2104" s="6" t="str">
        <f t="shared" ca="1" si="588"/>
        <v>20239</v>
      </c>
      <c r="AI2104" s="6">
        <f t="shared" ca="1" si="589"/>
        <v>2023</v>
      </c>
      <c r="AJ2104" s="6">
        <f t="shared" ca="1" si="590"/>
        <v>9</v>
      </c>
      <c r="AK2104" s="68">
        <f ca="1">IFERROR(__xludf.DUMMYFUNCTION("""COMPUTED_VALUE"""),45197.9986111111)</f>
        <v>45197.998611111099</v>
      </c>
      <c r="AL2104" s="6">
        <f ca="1">IFERROR(__xludf.DUMMYFUNCTION("""COMPUTED_VALUE"""),27026.88)</f>
        <v>27026.880000000001</v>
      </c>
      <c r="AP2104" s="6" t="str">
        <f t="shared" ca="1" si="591"/>
        <v>20265</v>
      </c>
      <c r="AQ2104" s="6">
        <f t="shared" ca="1" si="592"/>
        <v>2026</v>
      </c>
      <c r="AR2104" s="6">
        <f t="shared" ca="1" si="593"/>
        <v>5</v>
      </c>
      <c r="AS2104" s="68">
        <f ca="1">IFERROR(__xludf.DUMMYFUNCTION("""COMPUTED_VALUE"""),46163.9986111111)</f>
        <v>46163.998611111099</v>
      </c>
      <c r="AT2104" s="6">
        <f ca="1">IFERROR(__xludf.DUMMYFUNCTION("""COMPUTED_VALUE"""),4542.5)</f>
        <v>4542.5</v>
      </c>
    </row>
    <row r="2105" spans="2:46" x14ac:dyDescent="0.35">
      <c r="B2105" s="6" t="str">
        <f t="shared" ca="1" si="576"/>
        <v>20265</v>
      </c>
      <c r="C2105" s="6">
        <f t="shared" ca="1" si="577"/>
        <v>2026</v>
      </c>
      <c r="D2105" s="6">
        <f t="shared" ca="1" si="578"/>
        <v>5</v>
      </c>
      <c r="E2105" s="68">
        <f ca="1">IFERROR(__xludf.DUMMYFUNCTION("""COMPUTED_VALUE"""),46157.6666666666)</f>
        <v>46157.666666666599</v>
      </c>
      <c r="F2105" s="6">
        <f ca="1">IFERROR(__xludf.DUMMYFUNCTION("""COMPUTED_VALUE"""),7408.5)</f>
        <v>7408.5</v>
      </c>
      <c r="J2105" s="6" t="str">
        <f t="shared" ca="1" si="579"/>
        <v>20265</v>
      </c>
      <c r="K2105" s="6">
        <f t="shared" ca="1" si="580"/>
        <v>2026</v>
      </c>
      <c r="L2105" s="6">
        <f t="shared" ca="1" si="581"/>
        <v>5</v>
      </c>
      <c r="M2105" s="68">
        <f ca="1">IFERROR(__xludf.DUMMYFUNCTION("""COMPUTED_VALUE"""),46153.6666666666)</f>
        <v>46153.666666666599</v>
      </c>
      <c r="N2105" s="6">
        <f ca="1">IFERROR(__xludf.DUMMYFUNCTION("""COMPUTED_VALUE"""),26274.13)</f>
        <v>26274.13</v>
      </c>
      <c r="R2105" s="6" t="str">
        <f t="shared" si="582"/>
        <v>19001</v>
      </c>
      <c r="S2105" s="6">
        <f t="shared" si="583"/>
        <v>1900</v>
      </c>
      <c r="T2105" s="6">
        <f t="shared" si="584"/>
        <v>1</v>
      </c>
      <c r="Z2105" s="6" t="str">
        <f t="shared" ca="1" si="585"/>
        <v>202311</v>
      </c>
      <c r="AA2105" s="6">
        <f t="shared" ca="1" si="586"/>
        <v>2023</v>
      </c>
      <c r="AB2105" s="6">
        <f t="shared" ca="1" si="587"/>
        <v>11</v>
      </c>
      <c r="AC2105" s="68">
        <f ca="1">IFERROR(__xludf.DUMMYFUNCTION("""COMPUTED_VALUE"""),45254.9986111111)</f>
        <v>45254.998611111099</v>
      </c>
      <c r="AD2105" s="6">
        <f ca="1">IFERROR(__xludf.DUMMYFUNCTION("""COMPUTED_VALUE"""),1289.79)</f>
        <v>1289.79</v>
      </c>
      <c r="AH2105" s="6" t="str">
        <f t="shared" ca="1" si="588"/>
        <v>20239</v>
      </c>
      <c r="AI2105" s="6">
        <f t="shared" ca="1" si="589"/>
        <v>2023</v>
      </c>
      <c r="AJ2105" s="6">
        <f t="shared" ca="1" si="590"/>
        <v>9</v>
      </c>
      <c r="AK2105" s="68">
        <f ca="1">IFERROR(__xludf.DUMMYFUNCTION("""COMPUTED_VALUE"""),45198.9986111111)</f>
        <v>45198.998611111099</v>
      </c>
      <c r="AL2105" s="6">
        <f ca="1">IFERROR(__xludf.DUMMYFUNCTION("""COMPUTED_VALUE"""),26912.09)</f>
        <v>26912.09</v>
      </c>
      <c r="AP2105" s="6" t="str">
        <f t="shared" ca="1" si="591"/>
        <v>20265</v>
      </c>
      <c r="AQ2105" s="6">
        <f t="shared" ca="1" si="592"/>
        <v>2026</v>
      </c>
      <c r="AR2105" s="6">
        <f t="shared" ca="1" si="593"/>
        <v>5</v>
      </c>
      <c r="AS2105" s="68">
        <f ca="1">IFERROR(__xludf.DUMMYFUNCTION("""COMPUTED_VALUE"""),46164.9986111111)</f>
        <v>46164.998611111099</v>
      </c>
      <c r="AT2105" s="6">
        <f ca="1">IFERROR(__xludf.DUMMYFUNCTION("""COMPUTED_VALUE"""),4556.4)</f>
        <v>4556.3999999999996</v>
      </c>
    </row>
    <row r="2106" spans="2:46" x14ac:dyDescent="0.35">
      <c r="B2106" s="6" t="str">
        <f t="shared" ca="1" si="576"/>
        <v>20265</v>
      </c>
      <c r="C2106" s="6">
        <f t="shared" ca="1" si="577"/>
        <v>2026</v>
      </c>
      <c r="D2106" s="6">
        <f t="shared" ca="1" si="578"/>
        <v>5</v>
      </c>
      <c r="E2106" s="68">
        <f ca="1">IFERROR(__xludf.DUMMYFUNCTION("""COMPUTED_VALUE"""),46160.6666666666)</f>
        <v>46160.666666666599</v>
      </c>
      <c r="F2106" s="6">
        <f ca="1">IFERROR(__xludf.DUMMYFUNCTION("""COMPUTED_VALUE"""),7403.05)</f>
        <v>7403.05</v>
      </c>
      <c r="J2106" s="6" t="str">
        <f t="shared" ca="1" si="579"/>
        <v>20265</v>
      </c>
      <c r="K2106" s="6">
        <f t="shared" ca="1" si="580"/>
        <v>2026</v>
      </c>
      <c r="L2106" s="6">
        <f t="shared" ca="1" si="581"/>
        <v>5</v>
      </c>
      <c r="M2106" s="68">
        <f ca="1">IFERROR(__xludf.DUMMYFUNCTION("""COMPUTED_VALUE"""),46154.6666666666)</f>
        <v>46154.666666666599</v>
      </c>
      <c r="N2106" s="6">
        <f ca="1">IFERROR(__xludf.DUMMYFUNCTION("""COMPUTED_VALUE"""),26088.2)</f>
        <v>26088.2</v>
      </c>
      <c r="R2106" s="6" t="str">
        <f t="shared" si="582"/>
        <v>19001</v>
      </c>
      <c r="S2106" s="6">
        <f t="shared" si="583"/>
        <v>1900</v>
      </c>
      <c r="T2106" s="6">
        <f t="shared" si="584"/>
        <v>1</v>
      </c>
      <c r="Z2106" s="6" t="str">
        <f t="shared" ca="1" si="585"/>
        <v>202311</v>
      </c>
      <c r="AA2106" s="6">
        <f t="shared" ca="1" si="586"/>
        <v>2023</v>
      </c>
      <c r="AB2106" s="6">
        <f t="shared" ca="1" si="587"/>
        <v>11</v>
      </c>
      <c r="AC2106" s="68">
        <f ca="1">IFERROR(__xludf.DUMMYFUNCTION("""COMPUTED_VALUE"""),45255.9986111111)</f>
        <v>45255.998611111099</v>
      </c>
      <c r="AD2106" s="6">
        <f ca="1">IFERROR(__xludf.DUMMYFUNCTION("""COMPUTED_VALUE"""),1289.79)</f>
        <v>1289.79</v>
      </c>
      <c r="AH2106" s="6" t="str">
        <f t="shared" ca="1" si="588"/>
        <v>20239</v>
      </c>
      <c r="AI2106" s="6">
        <f t="shared" ca="1" si="589"/>
        <v>2023</v>
      </c>
      <c r="AJ2106" s="6">
        <f t="shared" ca="1" si="590"/>
        <v>9</v>
      </c>
      <c r="AK2106" s="68">
        <f ca="1">IFERROR(__xludf.DUMMYFUNCTION("""COMPUTED_VALUE"""),45199.9986111111)</f>
        <v>45199.998611111099</v>
      </c>
      <c r="AL2106" s="6">
        <f ca="1">IFERROR(__xludf.DUMMYFUNCTION("""COMPUTED_VALUE"""),26968.96)</f>
        <v>26968.959999999999</v>
      </c>
      <c r="AP2106" s="6" t="str">
        <f t="shared" ca="1" si="591"/>
        <v>20265</v>
      </c>
      <c r="AQ2106" s="6">
        <f t="shared" ca="1" si="592"/>
        <v>2026</v>
      </c>
      <c r="AR2106" s="6">
        <f t="shared" ca="1" si="593"/>
        <v>5</v>
      </c>
      <c r="AS2106" s="68">
        <f ca="1">IFERROR(__xludf.DUMMYFUNCTION("""COMPUTED_VALUE"""),46168.9986111111)</f>
        <v>46168.998611111099</v>
      </c>
      <c r="AT2106" s="6">
        <f ca="1">IFERROR(__xludf.DUMMYFUNCTION("""COMPUTED_VALUE"""),4535)</f>
        <v>4535</v>
      </c>
    </row>
    <row r="2107" spans="2:46" x14ac:dyDescent="0.35">
      <c r="B2107" s="6" t="str">
        <f t="shared" ca="1" si="576"/>
        <v>20265</v>
      </c>
      <c r="C2107" s="6">
        <f t="shared" ca="1" si="577"/>
        <v>2026</v>
      </c>
      <c r="D2107" s="6">
        <f t="shared" ca="1" si="578"/>
        <v>5</v>
      </c>
      <c r="E2107" s="68">
        <f ca="1">IFERROR(__xludf.DUMMYFUNCTION("""COMPUTED_VALUE"""),46161.6666666666)</f>
        <v>46161.666666666599</v>
      </c>
      <c r="F2107" s="6">
        <f ca="1">IFERROR(__xludf.DUMMYFUNCTION("""COMPUTED_VALUE"""),7353.61)</f>
        <v>7353.61</v>
      </c>
      <c r="J2107" s="6" t="str">
        <f t="shared" ca="1" si="579"/>
        <v>20265</v>
      </c>
      <c r="K2107" s="6">
        <f t="shared" ca="1" si="580"/>
        <v>2026</v>
      </c>
      <c r="L2107" s="6">
        <f t="shared" ca="1" si="581"/>
        <v>5</v>
      </c>
      <c r="M2107" s="68">
        <f ca="1">IFERROR(__xludf.DUMMYFUNCTION("""COMPUTED_VALUE"""),46155.6666666666)</f>
        <v>46155.666666666599</v>
      </c>
      <c r="N2107" s="6">
        <f ca="1">IFERROR(__xludf.DUMMYFUNCTION("""COMPUTED_VALUE"""),26402.34)</f>
        <v>26402.34</v>
      </c>
      <c r="R2107" s="6" t="str">
        <f t="shared" si="582"/>
        <v>19001</v>
      </c>
      <c r="S2107" s="6">
        <f t="shared" si="583"/>
        <v>1900</v>
      </c>
      <c r="T2107" s="6">
        <f t="shared" si="584"/>
        <v>1</v>
      </c>
      <c r="Z2107" s="6" t="str">
        <f t="shared" ca="1" si="585"/>
        <v>202311</v>
      </c>
      <c r="AA2107" s="6">
        <f t="shared" ca="1" si="586"/>
        <v>2023</v>
      </c>
      <c r="AB2107" s="6">
        <f t="shared" ca="1" si="587"/>
        <v>11</v>
      </c>
      <c r="AC2107" s="68">
        <f ca="1">IFERROR(__xludf.DUMMYFUNCTION("""COMPUTED_VALUE"""),45256.9986111111)</f>
        <v>45256.998611111099</v>
      </c>
      <c r="AD2107" s="6">
        <f ca="1">IFERROR(__xludf.DUMMYFUNCTION("""COMPUTED_VALUE"""),1289.79)</f>
        <v>1289.79</v>
      </c>
      <c r="AH2107" s="6" t="str">
        <f t="shared" ca="1" si="588"/>
        <v>202310</v>
      </c>
      <c r="AI2107" s="6">
        <f t="shared" ca="1" si="589"/>
        <v>2023</v>
      </c>
      <c r="AJ2107" s="6">
        <f t="shared" ca="1" si="590"/>
        <v>10</v>
      </c>
      <c r="AK2107" s="68">
        <f ca="1">IFERROR(__xludf.DUMMYFUNCTION("""COMPUTED_VALUE"""),45200.9986111111)</f>
        <v>45200.998611111099</v>
      </c>
      <c r="AL2107" s="6">
        <f ca="1">IFERROR(__xludf.DUMMYFUNCTION("""COMPUTED_VALUE"""),27974.3)</f>
        <v>27974.3</v>
      </c>
      <c r="AP2107" s="6" t="str">
        <f t="shared" ca="1" si="591"/>
        <v>20265</v>
      </c>
      <c r="AQ2107" s="6">
        <f t="shared" ca="1" si="592"/>
        <v>2026</v>
      </c>
      <c r="AR2107" s="6">
        <f t="shared" ca="1" si="593"/>
        <v>5</v>
      </c>
      <c r="AS2107" s="68">
        <f ca="1">IFERROR(__xludf.DUMMYFUNCTION("""COMPUTED_VALUE"""),46169.9986111111)</f>
        <v>46169.998611111099</v>
      </c>
      <c r="AT2107" s="6">
        <f ca="1">IFERROR(__xludf.DUMMYFUNCTION("""COMPUTED_VALUE"""),4481.5)</f>
        <v>4481.5</v>
      </c>
    </row>
    <row r="2108" spans="2:46" x14ac:dyDescent="0.35">
      <c r="B2108" s="6" t="str">
        <f t="shared" ca="1" si="576"/>
        <v>20265</v>
      </c>
      <c r="C2108" s="6">
        <f t="shared" ca="1" si="577"/>
        <v>2026</v>
      </c>
      <c r="D2108" s="6">
        <f t="shared" ca="1" si="578"/>
        <v>5</v>
      </c>
      <c r="E2108" s="68">
        <f ca="1">IFERROR(__xludf.DUMMYFUNCTION("""COMPUTED_VALUE"""),46162.6666666666)</f>
        <v>46162.666666666599</v>
      </c>
      <c r="F2108" s="6">
        <f ca="1">IFERROR(__xludf.DUMMYFUNCTION("""COMPUTED_VALUE"""),7432.97)</f>
        <v>7432.97</v>
      </c>
      <c r="J2108" s="6" t="str">
        <f t="shared" ca="1" si="579"/>
        <v>20265</v>
      </c>
      <c r="K2108" s="6">
        <f t="shared" ca="1" si="580"/>
        <v>2026</v>
      </c>
      <c r="L2108" s="6">
        <f t="shared" ca="1" si="581"/>
        <v>5</v>
      </c>
      <c r="M2108" s="68">
        <f ca="1">IFERROR(__xludf.DUMMYFUNCTION("""COMPUTED_VALUE"""),46156.6666666666)</f>
        <v>46156.666666666599</v>
      </c>
      <c r="N2108" s="6">
        <f ca="1">IFERROR(__xludf.DUMMYFUNCTION("""COMPUTED_VALUE"""),26635.22)</f>
        <v>26635.22</v>
      </c>
      <c r="R2108" s="6" t="str">
        <f t="shared" si="582"/>
        <v>19001</v>
      </c>
      <c r="S2108" s="6">
        <f t="shared" si="583"/>
        <v>1900</v>
      </c>
      <c r="T2108" s="6">
        <f t="shared" si="584"/>
        <v>1</v>
      </c>
      <c r="Z2108" s="6" t="str">
        <f t="shared" ca="1" si="585"/>
        <v>202311</v>
      </c>
      <c r="AA2108" s="6">
        <f t="shared" ca="1" si="586"/>
        <v>2023</v>
      </c>
      <c r="AB2108" s="6">
        <f t="shared" ca="1" si="587"/>
        <v>11</v>
      </c>
      <c r="AC2108" s="68">
        <f ca="1">IFERROR(__xludf.DUMMYFUNCTION("""COMPUTED_VALUE"""),45257.9986111111)</f>
        <v>45257.998611111099</v>
      </c>
      <c r="AD2108" s="6">
        <f ca="1">IFERROR(__xludf.DUMMYFUNCTION("""COMPUTED_VALUE"""),1302.53)</f>
        <v>1302.53</v>
      </c>
      <c r="AH2108" s="6" t="str">
        <f t="shared" ca="1" si="588"/>
        <v>202310</v>
      </c>
      <c r="AI2108" s="6">
        <f t="shared" ca="1" si="589"/>
        <v>2023</v>
      </c>
      <c r="AJ2108" s="6">
        <f t="shared" ca="1" si="590"/>
        <v>10</v>
      </c>
      <c r="AK2108" s="68">
        <f ca="1">IFERROR(__xludf.DUMMYFUNCTION("""COMPUTED_VALUE"""),45201.9986111111)</f>
        <v>45201.998611111099</v>
      </c>
      <c r="AL2108" s="6">
        <f ca="1">IFERROR(__xludf.DUMMYFUNCTION("""COMPUTED_VALUE"""),27505.1)</f>
        <v>27505.1</v>
      </c>
      <c r="AP2108" s="6" t="str">
        <f t="shared" ca="1" si="591"/>
        <v>20265</v>
      </c>
      <c r="AQ2108" s="6">
        <f t="shared" ca="1" si="592"/>
        <v>2026</v>
      </c>
      <c r="AR2108" s="6">
        <f t="shared" ca="1" si="593"/>
        <v>5</v>
      </c>
      <c r="AS2108" s="68">
        <f ca="1">IFERROR(__xludf.DUMMYFUNCTION("""COMPUTED_VALUE"""),46170.9986111111)</f>
        <v>46170.998611111099</v>
      </c>
      <c r="AT2108" s="6">
        <f ca="1">IFERROR(__xludf.DUMMYFUNCTION("""COMPUTED_VALUE"""),4532.4)</f>
        <v>4532.3999999999996</v>
      </c>
    </row>
    <row r="2109" spans="2:46" x14ac:dyDescent="0.35">
      <c r="B2109" s="6" t="str">
        <f t="shared" ca="1" si="576"/>
        <v>20265</v>
      </c>
      <c r="C2109" s="6">
        <f t="shared" ca="1" si="577"/>
        <v>2026</v>
      </c>
      <c r="D2109" s="6">
        <f t="shared" ca="1" si="578"/>
        <v>5</v>
      </c>
      <c r="E2109" s="68">
        <f ca="1">IFERROR(__xludf.DUMMYFUNCTION("""COMPUTED_VALUE"""),46163.6666666666)</f>
        <v>46163.666666666599</v>
      </c>
      <c r="F2109" s="6">
        <f ca="1">IFERROR(__xludf.DUMMYFUNCTION("""COMPUTED_VALUE"""),7445.72)</f>
        <v>7445.72</v>
      </c>
      <c r="J2109" s="6" t="str">
        <f t="shared" ca="1" si="579"/>
        <v>20265</v>
      </c>
      <c r="K2109" s="6">
        <f t="shared" ca="1" si="580"/>
        <v>2026</v>
      </c>
      <c r="L2109" s="6">
        <f t="shared" ca="1" si="581"/>
        <v>5</v>
      </c>
      <c r="M2109" s="68">
        <f ca="1">IFERROR(__xludf.DUMMYFUNCTION("""COMPUTED_VALUE"""),46157.6666666666)</f>
        <v>46157.666666666599</v>
      </c>
      <c r="N2109" s="6">
        <f ca="1">IFERROR(__xludf.DUMMYFUNCTION("""COMPUTED_VALUE"""),26225.15)</f>
        <v>26225.15</v>
      </c>
      <c r="R2109" s="6" t="str">
        <f t="shared" si="582"/>
        <v>19001</v>
      </c>
      <c r="S2109" s="6">
        <f t="shared" si="583"/>
        <v>1900</v>
      </c>
      <c r="T2109" s="6">
        <f t="shared" si="584"/>
        <v>1</v>
      </c>
      <c r="Z2109" s="6" t="str">
        <f t="shared" ca="1" si="585"/>
        <v>202311</v>
      </c>
      <c r="AA2109" s="6">
        <f t="shared" ca="1" si="586"/>
        <v>2023</v>
      </c>
      <c r="AB2109" s="6">
        <f t="shared" ca="1" si="587"/>
        <v>11</v>
      </c>
      <c r="AC2109" s="68">
        <f ca="1">IFERROR(__xludf.DUMMYFUNCTION("""COMPUTED_VALUE"""),45258.9986111111)</f>
        <v>45258.998611111099</v>
      </c>
      <c r="AD2109" s="6">
        <f ca="1">IFERROR(__xludf.DUMMYFUNCTION("""COMPUTED_VALUE"""),1287.53)</f>
        <v>1287.53</v>
      </c>
      <c r="AH2109" s="6" t="str">
        <f t="shared" ca="1" si="588"/>
        <v>202310</v>
      </c>
      <c r="AI2109" s="6">
        <f t="shared" ca="1" si="589"/>
        <v>2023</v>
      </c>
      <c r="AJ2109" s="6">
        <f t="shared" ca="1" si="590"/>
        <v>10</v>
      </c>
      <c r="AK2109" s="68">
        <f ca="1">IFERROR(__xludf.DUMMYFUNCTION("""COMPUTED_VALUE"""),45202.9986111111)</f>
        <v>45202.998611111099</v>
      </c>
      <c r="AL2109" s="6">
        <f ca="1">IFERROR(__xludf.DUMMYFUNCTION("""COMPUTED_VALUE"""),27426.54)</f>
        <v>27426.54</v>
      </c>
      <c r="AP2109" s="6" t="str">
        <f t="shared" ca="1" si="591"/>
        <v>20265</v>
      </c>
      <c r="AQ2109" s="6">
        <f t="shared" ca="1" si="592"/>
        <v>2026</v>
      </c>
      <c r="AR2109" s="6">
        <f t="shared" ca="1" si="593"/>
        <v>5</v>
      </c>
      <c r="AS2109" s="68">
        <f ca="1">IFERROR(__xludf.DUMMYFUNCTION("""COMPUTED_VALUE"""),46171.9986111111)</f>
        <v>46171.998611111099</v>
      </c>
      <c r="AT2109" s="6">
        <f ca="1">IFERROR(__xludf.DUMMYFUNCTION("""COMPUTED_VALUE"""),4593)</f>
        <v>4593</v>
      </c>
    </row>
    <row r="2110" spans="2:46" x14ac:dyDescent="0.35">
      <c r="B2110" s="6" t="str">
        <f t="shared" ca="1" si="576"/>
        <v>20265</v>
      </c>
      <c r="C2110" s="6">
        <f t="shared" ca="1" si="577"/>
        <v>2026</v>
      </c>
      <c r="D2110" s="6">
        <f t="shared" ca="1" si="578"/>
        <v>5</v>
      </c>
      <c r="E2110" s="68">
        <f ca="1">IFERROR(__xludf.DUMMYFUNCTION("""COMPUTED_VALUE"""),46164.6666666666)</f>
        <v>46164.666666666599</v>
      </c>
      <c r="F2110" s="6">
        <f ca="1">IFERROR(__xludf.DUMMYFUNCTION("""COMPUTED_VALUE"""),7473.47)</f>
        <v>7473.47</v>
      </c>
      <c r="J2110" s="6" t="str">
        <f t="shared" ca="1" si="579"/>
        <v>20265</v>
      </c>
      <c r="K2110" s="6">
        <f t="shared" ca="1" si="580"/>
        <v>2026</v>
      </c>
      <c r="L2110" s="6">
        <f t="shared" ca="1" si="581"/>
        <v>5</v>
      </c>
      <c r="M2110" s="68">
        <f ca="1">IFERROR(__xludf.DUMMYFUNCTION("""COMPUTED_VALUE"""),46160.6666666666)</f>
        <v>46160.666666666599</v>
      </c>
      <c r="N2110" s="6">
        <f ca="1">IFERROR(__xludf.DUMMYFUNCTION("""COMPUTED_VALUE"""),26090.73)</f>
        <v>26090.73</v>
      </c>
      <c r="R2110" s="6" t="str">
        <f t="shared" si="582"/>
        <v>19001</v>
      </c>
      <c r="S2110" s="6">
        <f t="shared" si="583"/>
        <v>1900</v>
      </c>
      <c r="T2110" s="6">
        <f t="shared" si="584"/>
        <v>1</v>
      </c>
      <c r="Z2110" s="6" t="str">
        <f t="shared" ca="1" si="585"/>
        <v>202311</v>
      </c>
      <c r="AA2110" s="6">
        <f t="shared" ca="1" si="586"/>
        <v>2023</v>
      </c>
      <c r="AB2110" s="6">
        <f t="shared" ca="1" si="587"/>
        <v>11</v>
      </c>
      <c r="AC2110" s="68">
        <f ca="1">IFERROR(__xludf.DUMMYFUNCTION("""COMPUTED_VALUE"""),45259.9986111111)</f>
        <v>45259.998611111099</v>
      </c>
      <c r="AD2110" s="6">
        <f ca="1">IFERROR(__xludf.DUMMYFUNCTION("""COMPUTED_VALUE"""),1288.36)</f>
        <v>1288.3599999999999</v>
      </c>
      <c r="AH2110" s="6" t="str">
        <f t="shared" ca="1" si="588"/>
        <v>202310</v>
      </c>
      <c r="AI2110" s="6">
        <f t="shared" ca="1" si="589"/>
        <v>2023</v>
      </c>
      <c r="AJ2110" s="6">
        <f t="shared" ca="1" si="590"/>
        <v>10</v>
      </c>
      <c r="AK2110" s="68">
        <f ca="1">IFERROR(__xludf.DUMMYFUNCTION("""COMPUTED_VALUE"""),45203.9986111111)</f>
        <v>45203.998611111099</v>
      </c>
      <c r="AL2110" s="6">
        <f ca="1">IFERROR(__xludf.DUMMYFUNCTION("""COMPUTED_VALUE"""),27794.62)</f>
        <v>27794.62</v>
      </c>
      <c r="AP2110" s="6" t="str">
        <f t="shared" ca="1" si="591"/>
        <v>20266</v>
      </c>
      <c r="AQ2110" s="6">
        <f t="shared" ca="1" si="592"/>
        <v>2026</v>
      </c>
      <c r="AR2110" s="6">
        <f t="shared" ca="1" si="593"/>
        <v>6</v>
      </c>
      <c r="AS2110" s="68">
        <f ca="1">IFERROR(__xludf.DUMMYFUNCTION("""COMPUTED_VALUE"""),46174.9986111111)</f>
        <v>46174.998611111099</v>
      </c>
      <c r="AT2110" s="6">
        <f ca="1">IFERROR(__xludf.DUMMYFUNCTION("""COMPUTED_VALUE"""),4506.3)</f>
        <v>4506.3</v>
      </c>
    </row>
    <row r="2111" spans="2:46" x14ac:dyDescent="0.35">
      <c r="B2111" s="6" t="str">
        <f t="shared" ca="1" si="576"/>
        <v>20265</v>
      </c>
      <c r="C2111" s="6">
        <f t="shared" ca="1" si="577"/>
        <v>2026</v>
      </c>
      <c r="D2111" s="6">
        <f t="shared" ca="1" si="578"/>
        <v>5</v>
      </c>
      <c r="E2111" s="68">
        <f ca="1">IFERROR(__xludf.DUMMYFUNCTION("""COMPUTED_VALUE"""),46168.6666666666)</f>
        <v>46168.666666666599</v>
      </c>
      <c r="F2111" s="6">
        <f ca="1">IFERROR(__xludf.DUMMYFUNCTION("""COMPUTED_VALUE"""),7519.12)</f>
        <v>7519.12</v>
      </c>
      <c r="J2111" s="6" t="str">
        <f t="shared" ca="1" si="579"/>
        <v>20265</v>
      </c>
      <c r="K2111" s="6">
        <f t="shared" ca="1" si="580"/>
        <v>2026</v>
      </c>
      <c r="L2111" s="6">
        <f t="shared" ca="1" si="581"/>
        <v>5</v>
      </c>
      <c r="M2111" s="68">
        <f ca="1">IFERROR(__xludf.DUMMYFUNCTION("""COMPUTED_VALUE"""),46161.6666666666)</f>
        <v>46161.666666666599</v>
      </c>
      <c r="N2111" s="6">
        <f ca="1">IFERROR(__xludf.DUMMYFUNCTION("""COMPUTED_VALUE"""),25870.71)</f>
        <v>25870.71</v>
      </c>
      <c r="R2111" s="6" t="str">
        <f t="shared" si="582"/>
        <v>19001</v>
      </c>
      <c r="S2111" s="6">
        <f t="shared" si="583"/>
        <v>1900</v>
      </c>
      <c r="T2111" s="6">
        <f t="shared" si="584"/>
        <v>1</v>
      </c>
      <c r="Z2111" s="6" t="str">
        <f t="shared" ca="1" si="585"/>
        <v>202311</v>
      </c>
      <c r="AA2111" s="6">
        <f t="shared" ca="1" si="586"/>
        <v>2023</v>
      </c>
      <c r="AB2111" s="6">
        <f t="shared" ca="1" si="587"/>
        <v>11</v>
      </c>
      <c r="AC2111" s="68">
        <f ca="1">IFERROR(__xludf.DUMMYFUNCTION("""COMPUTED_VALUE"""),45260.9986111111)</f>
        <v>45260.998611111099</v>
      </c>
      <c r="AD2111" s="6">
        <f ca="1">IFERROR(__xludf.DUMMYFUNCTION("""COMPUTED_VALUE"""),1296.66)</f>
        <v>1296.6600000000001</v>
      </c>
      <c r="AH2111" s="6" t="str">
        <f t="shared" ca="1" si="588"/>
        <v>202310</v>
      </c>
      <c r="AI2111" s="6">
        <f t="shared" ca="1" si="589"/>
        <v>2023</v>
      </c>
      <c r="AJ2111" s="6">
        <f t="shared" ca="1" si="590"/>
        <v>10</v>
      </c>
      <c r="AK2111" s="68">
        <f ca="1">IFERROR(__xludf.DUMMYFUNCTION("""COMPUTED_VALUE"""),45204.9986111111)</f>
        <v>45204.998611111099</v>
      </c>
      <c r="AL2111" s="6">
        <f ca="1">IFERROR(__xludf.DUMMYFUNCTION("""COMPUTED_VALUE"""),27413.3)</f>
        <v>27413.3</v>
      </c>
      <c r="AP2111" s="6" t="str">
        <f t="shared" ca="1" si="591"/>
        <v>20266</v>
      </c>
      <c r="AQ2111" s="6">
        <f t="shared" ca="1" si="592"/>
        <v>2026</v>
      </c>
      <c r="AR2111" s="6">
        <f t="shared" ca="1" si="593"/>
        <v>6</v>
      </c>
      <c r="AS2111" s="68">
        <f ca="1">IFERROR(__xludf.DUMMYFUNCTION("""COMPUTED_VALUE"""),46175.9986111111)</f>
        <v>46175.998611111099</v>
      </c>
      <c r="AT2111" s="6">
        <f ca="1">IFERROR(__xludf.DUMMYFUNCTION("""COMPUTED_VALUE"""),4519.9)</f>
        <v>4519.8999999999996</v>
      </c>
    </row>
    <row r="2112" spans="2:46" x14ac:dyDescent="0.35">
      <c r="B2112" s="6" t="str">
        <f t="shared" ca="1" si="576"/>
        <v>20265</v>
      </c>
      <c r="C2112" s="6">
        <f t="shared" ca="1" si="577"/>
        <v>2026</v>
      </c>
      <c r="D2112" s="6">
        <f t="shared" ca="1" si="578"/>
        <v>5</v>
      </c>
      <c r="E2112" s="68">
        <f ca="1">IFERROR(__xludf.DUMMYFUNCTION("""COMPUTED_VALUE"""),46169.6666666666)</f>
        <v>46169.666666666599</v>
      </c>
      <c r="F2112" s="6">
        <f ca="1">IFERROR(__xludf.DUMMYFUNCTION("""COMPUTED_VALUE"""),7520.36)</f>
        <v>7520.36</v>
      </c>
      <c r="J2112" s="6" t="str">
        <f t="shared" ca="1" si="579"/>
        <v>20265</v>
      </c>
      <c r="K2112" s="6">
        <f t="shared" ca="1" si="580"/>
        <v>2026</v>
      </c>
      <c r="L2112" s="6">
        <f t="shared" ca="1" si="581"/>
        <v>5</v>
      </c>
      <c r="M2112" s="68">
        <f ca="1">IFERROR(__xludf.DUMMYFUNCTION("""COMPUTED_VALUE"""),46162.6666666666)</f>
        <v>46162.666666666599</v>
      </c>
      <c r="N2112" s="6">
        <f ca="1">IFERROR(__xludf.DUMMYFUNCTION("""COMPUTED_VALUE"""),26270.36)</f>
        <v>26270.36</v>
      </c>
      <c r="R2112" s="6" t="str">
        <f t="shared" si="582"/>
        <v>19001</v>
      </c>
      <c r="S2112" s="6">
        <f t="shared" si="583"/>
        <v>1900</v>
      </c>
      <c r="T2112" s="6">
        <f t="shared" si="584"/>
        <v>1</v>
      </c>
      <c r="Z2112" s="6" t="str">
        <f t="shared" ca="1" si="585"/>
        <v>202312</v>
      </c>
      <c r="AA2112" s="6">
        <f t="shared" ca="1" si="586"/>
        <v>2023</v>
      </c>
      <c r="AB2112" s="6">
        <f t="shared" ca="1" si="587"/>
        <v>12</v>
      </c>
      <c r="AC2112" s="68">
        <f ca="1">IFERROR(__xludf.DUMMYFUNCTION("""COMPUTED_VALUE"""),45261.9986111111)</f>
        <v>45261.998611111099</v>
      </c>
      <c r="AD2112" s="6">
        <f ca="1">IFERROR(__xludf.DUMMYFUNCTION("""COMPUTED_VALUE"""),1293.99)</f>
        <v>1293.99</v>
      </c>
      <c r="AH2112" s="6" t="str">
        <f t="shared" ca="1" si="588"/>
        <v>202310</v>
      </c>
      <c r="AI2112" s="6">
        <f t="shared" ca="1" si="589"/>
        <v>2023</v>
      </c>
      <c r="AJ2112" s="6">
        <f t="shared" ca="1" si="590"/>
        <v>10</v>
      </c>
      <c r="AK2112" s="68">
        <f ca="1">IFERROR(__xludf.DUMMYFUNCTION("""COMPUTED_VALUE"""),45205.9986111111)</f>
        <v>45205.998611111099</v>
      </c>
      <c r="AL2112" s="6">
        <f ca="1">IFERROR(__xludf.DUMMYFUNCTION("""COMPUTED_VALUE"""),27946.92)</f>
        <v>27946.92</v>
      </c>
      <c r="AP2112" s="6" t="str">
        <f t="shared" ca="1" si="591"/>
        <v>20266</v>
      </c>
      <c r="AQ2112" s="6">
        <f t="shared" ca="1" si="592"/>
        <v>2026</v>
      </c>
      <c r="AR2112" s="6">
        <f t="shared" ca="1" si="593"/>
        <v>6</v>
      </c>
      <c r="AS2112" s="68">
        <f ca="1">IFERROR(__xludf.DUMMYFUNCTION("""COMPUTED_VALUE"""),46176.9986111111)</f>
        <v>46176.998611111099</v>
      </c>
      <c r="AT2112" s="6">
        <f ca="1">IFERROR(__xludf.DUMMYFUNCTION("""COMPUTED_VALUE"""),4466.9)</f>
        <v>4466.8999999999996</v>
      </c>
    </row>
    <row r="2113" spans="2:46" x14ac:dyDescent="0.35">
      <c r="B2113" s="6" t="str">
        <f t="shared" ca="1" si="576"/>
        <v>20265</v>
      </c>
      <c r="C2113" s="6">
        <f t="shared" ca="1" si="577"/>
        <v>2026</v>
      </c>
      <c r="D2113" s="6">
        <f t="shared" ca="1" si="578"/>
        <v>5</v>
      </c>
      <c r="E2113" s="68">
        <f ca="1">IFERROR(__xludf.DUMMYFUNCTION("""COMPUTED_VALUE"""),46170.6666666666)</f>
        <v>46170.666666666599</v>
      </c>
      <c r="F2113" s="6">
        <f ca="1">IFERROR(__xludf.DUMMYFUNCTION("""COMPUTED_VALUE"""),7563.63)</f>
        <v>7563.63</v>
      </c>
      <c r="J2113" s="6" t="str">
        <f t="shared" ca="1" si="579"/>
        <v>20265</v>
      </c>
      <c r="K2113" s="6">
        <f t="shared" ca="1" si="580"/>
        <v>2026</v>
      </c>
      <c r="L2113" s="6">
        <f t="shared" ca="1" si="581"/>
        <v>5</v>
      </c>
      <c r="M2113" s="68">
        <f ca="1">IFERROR(__xludf.DUMMYFUNCTION("""COMPUTED_VALUE"""),46163.6666666666)</f>
        <v>46163.666666666599</v>
      </c>
      <c r="N2113" s="6">
        <f ca="1">IFERROR(__xludf.DUMMYFUNCTION("""COMPUTED_VALUE"""),26293.1)</f>
        <v>26293.1</v>
      </c>
      <c r="R2113" s="6" t="str">
        <f t="shared" si="582"/>
        <v>19001</v>
      </c>
      <c r="S2113" s="6">
        <f t="shared" si="583"/>
        <v>1900</v>
      </c>
      <c r="T2113" s="6">
        <f t="shared" si="584"/>
        <v>1</v>
      </c>
      <c r="Z2113" s="6" t="str">
        <f t="shared" ca="1" si="585"/>
        <v>202312</v>
      </c>
      <c r="AA2113" s="6">
        <f t="shared" ca="1" si="586"/>
        <v>2023</v>
      </c>
      <c r="AB2113" s="6">
        <f t="shared" ca="1" si="587"/>
        <v>12</v>
      </c>
      <c r="AC2113" s="68">
        <f ca="1">IFERROR(__xludf.DUMMYFUNCTION("""COMPUTED_VALUE"""),45262.9986111111)</f>
        <v>45262.998611111099</v>
      </c>
      <c r="AD2113" s="6">
        <f ca="1">IFERROR(__xludf.DUMMYFUNCTION("""COMPUTED_VALUE"""),1299.19)</f>
        <v>1299.19</v>
      </c>
      <c r="AH2113" s="6" t="str">
        <f t="shared" ca="1" si="588"/>
        <v>202310</v>
      </c>
      <c r="AI2113" s="6">
        <f t="shared" ca="1" si="589"/>
        <v>2023</v>
      </c>
      <c r="AJ2113" s="6">
        <f t="shared" ca="1" si="590"/>
        <v>10</v>
      </c>
      <c r="AK2113" s="68">
        <f ca="1">IFERROR(__xludf.DUMMYFUNCTION("""COMPUTED_VALUE"""),45206.9986111111)</f>
        <v>45206.998611111099</v>
      </c>
      <c r="AL2113" s="6">
        <f ca="1">IFERROR(__xludf.DUMMYFUNCTION("""COMPUTED_VALUE"""),27973.48)</f>
        <v>27973.48</v>
      </c>
      <c r="AP2113" s="6" t="str">
        <f t="shared" ca="1" si="591"/>
        <v>20266</v>
      </c>
      <c r="AQ2113" s="6">
        <f t="shared" ca="1" si="592"/>
        <v>2026</v>
      </c>
      <c r="AR2113" s="6">
        <f t="shared" ca="1" si="593"/>
        <v>6</v>
      </c>
      <c r="AS2113" s="68">
        <f ca="1">IFERROR(__xludf.DUMMYFUNCTION("""COMPUTED_VALUE"""),46177.9986111111)</f>
        <v>46177.998611111099</v>
      </c>
      <c r="AT2113" s="6">
        <f ca="1">IFERROR(__xludf.DUMMYFUNCTION("""COMPUTED_VALUE"""),4505)</f>
        <v>4505</v>
      </c>
    </row>
    <row r="2114" spans="2:46" x14ac:dyDescent="0.35">
      <c r="B2114" s="6" t="str">
        <f t="shared" ca="1" si="576"/>
        <v>20265</v>
      </c>
      <c r="C2114" s="6">
        <f t="shared" ca="1" si="577"/>
        <v>2026</v>
      </c>
      <c r="D2114" s="6">
        <f t="shared" ca="1" si="578"/>
        <v>5</v>
      </c>
      <c r="E2114" s="68">
        <f ca="1">IFERROR(__xludf.DUMMYFUNCTION("""COMPUTED_VALUE"""),46171.6666666666)</f>
        <v>46171.666666666599</v>
      </c>
      <c r="F2114" s="6">
        <f ca="1">IFERROR(__xludf.DUMMYFUNCTION("""COMPUTED_VALUE"""),7580.06)</f>
        <v>7580.06</v>
      </c>
      <c r="J2114" s="6" t="str">
        <f t="shared" ca="1" si="579"/>
        <v>20265</v>
      </c>
      <c r="K2114" s="6">
        <f t="shared" ca="1" si="580"/>
        <v>2026</v>
      </c>
      <c r="L2114" s="6">
        <f t="shared" ca="1" si="581"/>
        <v>5</v>
      </c>
      <c r="M2114" s="68">
        <f ca="1">IFERROR(__xludf.DUMMYFUNCTION("""COMPUTED_VALUE"""),46164.6666666666)</f>
        <v>46164.666666666599</v>
      </c>
      <c r="N2114" s="6">
        <f ca="1">IFERROR(__xludf.DUMMYFUNCTION("""COMPUTED_VALUE"""),26343.97)</f>
        <v>26343.97</v>
      </c>
      <c r="R2114" s="6" t="str">
        <f t="shared" si="582"/>
        <v>19001</v>
      </c>
      <c r="S2114" s="6">
        <f t="shared" si="583"/>
        <v>1900</v>
      </c>
      <c r="T2114" s="6">
        <f t="shared" si="584"/>
        <v>1</v>
      </c>
      <c r="Z2114" s="6" t="str">
        <f t="shared" ca="1" si="585"/>
        <v>202312</v>
      </c>
      <c r="AA2114" s="6">
        <f t="shared" ca="1" si="586"/>
        <v>2023</v>
      </c>
      <c r="AB2114" s="6">
        <f t="shared" ca="1" si="587"/>
        <v>12</v>
      </c>
      <c r="AC2114" s="68">
        <f ca="1">IFERROR(__xludf.DUMMYFUNCTION("""COMPUTED_VALUE"""),45264.9986111111)</f>
        <v>45264.998611111099</v>
      </c>
      <c r="AD2114" s="6">
        <f ca="1">IFERROR(__xludf.DUMMYFUNCTION("""COMPUTED_VALUE"""),1307.8)</f>
        <v>1307.8</v>
      </c>
      <c r="AH2114" s="6" t="str">
        <f t="shared" ca="1" si="588"/>
        <v>202310</v>
      </c>
      <c r="AI2114" s="6">
        <f t="shared" ca="1" si="589"/>
        <v>2023</v>
      </c>
      <c r="AJ2114" s="6">
        <f t="shared" ca="1" si="590"/>
        <v>10</v>
      </c>
      <c r="AK2114" s="68">
        <f ca="1">IFERROR(__xludf.DUMMYFUNCTION("""COMPUTED_VALUE"""),45207.9986111111)</f>
        <v>45207.998611111099</v>
      </c>
      <c r="AL2114" s="6">
        <f ca="1">IFERROR(__xludf.DUMMYFUNCTION("""COMPUTED_VALUE"""),27932.73)</f>
        <v>27932.73</v>
      </c>
      <c r="AP2114" s="6" t="str">
        <f t="shared" ca="1" si="591"/>
        <v>20266</v>
      </c>
      <c r="AQ2114" s="6">
        <f t="shared" ca="1" si="592"/>
        <v>2026</v>
      </c>
      <c r="AR2114" s="6">
        <f t="shared" ca="1" si="593"/>
        <v>6</v>
      </c>
      <c r="AS2114" s="68">
        <f ca="1">IFERROR(__xludf.DUMMYFUNCTION("""COMPUTED_VALUE"""),46178.9986111111)</f>
        <v>46178.998611111099</v>
      </c>
      <c r="AT2114" s="6">
        <f ca="1">IFERROR(__xludf.DUMMYFUNCTION("""COMPUTED_VALUE"""),4365.3)</f>
        <v>4365.3</v>
      </c>
    </row>
    <row r="2115" spans="2:46" x14ac:dyDescent="0.35">
      <c r="B2115" s="6" t="str">
        <f t="shared" ca="1" si="576"/>
        <v>20266</v>
      </c>
      <c r="C2115" s="6">
        <f t="shared" ca="1" si="577"/>
        <v>2026</v>
      </c>
      <c r="D2115" s="6">
        <f t="shared" ca="1" si="578"/>
        <v>6</v>
      </c>
      <c r="E2115" s="68">
        <f ca="1">IFERROR(__xludf.DUMMYFUNCTION("""COMPUTED_VALUE"""),46174.6666666666)</f>
        <v>46174.666666666599</v>
      </c>
      <c r="F2115" s="6">
        <f ca="1">IFERROR(__xludf.DUMMYFUNCTION("""COMPUTED_VALUE"""),7599.96)</f>
        <v>7599.96</v>
      </c>
      <c r="J2115" s="6" t="str">
        <f t="shared" ca="1" si="579"/>
        <v>20265</v>
      </c>
      <c r="K2115" s="6">
        <f t="shared" ca="1" si="580"/>
        <v>2026</v>
      </c>
      <c r="L2115" s="6">
        <f t="shared" ca="1" si="581"/>
        <v>5</v>
      </c>
      <c r="M2115" s="68">
        <f ca="1">IFERROR(__xludf.DUMMYFUNCTION("""COMPUTED_VALUE"""),46168.6666666666)</f>
        <v>46168.666666666599</v>
      </c>
      <c r="N2115" s="6">
        <f ca="1">IFERROR(__xludf.DUMMYFUNCTION("""COMPUTED_VALUE"""),26656.18)</f>
        <v>26656.18</v>
      </c>
      <c r="R2115" s="6" t="str">
        <f t="shared" si="582"/>
        <v>19001</v>
      </c>
      <c r="S2115" s="6">
        <f t="shared" si="583"/>
        <v>1900</v>
      </c>
      <c r="T2115" s="6">
        <f t="shared" si="584"/>
        <v>1</v>
      </c>
      <c r="Z2115" s="6" t="str">
        <f t="shared" ca="1" si="585"/>
        <v>202312</v>
      </c>
      <c r="AA2115" s="6">
        <f t="shared" ca="1" si="586"/>
        <v>2023</v>
      </c>
      <c r="AB2115" s="6">
        <f t="shared" ca="1" si="587"/>
        <v>12</v>
      </c>
      <c r="AC2115" s="68">
        <f ca="1">IFERROR(__xludf.DUMMYFUNCTION("""COMPUTED_VALUE"""),45265.9986111111)</f>
        <v>45265.998611111099</v>
      </c>
      <c r="AD2115" s="6">
        <f ca="1">IFERROR(__xludf.DUMMYFUNCTION("""COMPUTED_VALUE"""),1313.37)</f>
        <v>1313.37</v>
      </c>
      <c r="AH2115" s="6" t="str">
        <f t="shared" ca="1" si="588"/>
        <v>202310</v>
      </c>
      <c r="AI2115" s="6">
        <f t="shared" ca="1" si="589"/>
        <v>2023</v>
      </c>
      <c r="AJ2115" s="6">
        <f t="shared" ca="1" si="590"/>
        <v>10</v>
      </c>
      <c r="AK2115" s="68">
        <f ca="1">IFERROR(__xludf.DUMMYFUNCTION("""COMPUTED_VALUE"""),45208.9986111111)</f>
        <v>45208.998611111099</v>
      </c>
      <c r="AL2115" s="6">
        <f ca="1">IFERROR(__xludf.DUMMYFUNCTION("""COMPUTED_VALUE"""),27590.5)</f>
        <v>27590.5</v>
      </c>
      <c r="AP2115" s="6" t="str">
        <f t="shared" ca="1" si="591"/>
        <v>20266</v>
      </c>
      <c r="AQ2115" s="6">
        <f t="shared" ca="1" si="592"/>
        <v>2026</v>
      </c>
      <c r="AR2115" s="6">
        <f t="shared" ca="1" si="593"/>
        <v>6</v>
      </c>
      <c r="AS2115" s="68">
        <f ca="1">IFERROR(__xludf.DUMMYFUNCTION("""COMPUTED_VALUE"""),46181.9986111111)</f>
        <v>46181.998611111099</v>
      </c>
      <c r="AT2115" s="6">
        <f ca="1">IFERROR(__xludf.DUMMYFUNCTION("""COMPUTED_VALUE"""),4363.4)</f>
        <v>4363.3999999999996</v>
      </c>
    </row>
    <row r="2116" spans="2:46" x14ac:dyDescent="0.35">
      <c r="B2116" s="6" t="str">
        <f t="shared" ca="1" si="576"/>
        <v>20266</v>
      </c>
      <c r="C2116" s="6">
        <f t="shared" ca="1" si="577"/>
        <v>2026</v>
      </c>
      <c r="D2116" s="6">
        <f t="shared" ca="1" si="578"/>
        <v>6</v>
      </c>
      <c r="E2116" s="68">
        <f ca="1">IFERROR(__xludf.DUMMYFUNCTION("""COMPUTED_VALUE"""),46175.6666666666)</f>
        <v>46175.666666666599</v>
      </c>
      <c r="F2116" s="6">
        <f ca="1">IFERROR(__xludf.DUMMYFUNCTION("""COMPUTED_VALUE"""),7609.78)</f>
        <v>7609.78</v>
      </c>
      <c r="J2116" s="6" t="str">
        <f t="shared" ca="1" si="579"/>
        <v>20265</v>
      </c>
      <c r="K2116" s="6">
        <f t="shared" ca="1" si="580"/>
        <v>2026</v>
      </c>
      <c r="L2116" s="6">
        <f t="shared" ca="1" si="581"/>
        <v>5</v>
      </c>
      <c r="M2116" s="68">
        <f ca="1">IFERROR(__xludf.DUMMYFUNCTION("""COMPUTED_VALUE"""),46169.6666666666)</f>
        <v>46169.666666666599</v>
      </c>
      <c r="N2116" s="6">
        <f ca="1">IFERROR(__xludf.DUMMYFUNCTION("""COMPUTED_VALUE"""),26674.74)</f>
        <v>26674.74</v>
      </c>
      <c r="R2116" s="6" t="str">
        <f t="shared" si="582"/>
        <v>19001</v>
      </c>
      <c r="S2116" s="6">
        <f t="shared" si="583"/>
        <v>1900</v>
      </c>
      <c r="T2116" s="6">
        <f t="shared" si="584"/>
        <v>1</v>
      </c>
      <c r="Z2116" s="6" t="str">
        <f t="shared" ca="1" si="585"/>
        <v>202312</v>
      </c>
      <c r="AA2116" s="6">
        <f t="shared" ca="1" si="586"/>
        <v>2023</v>
      </c>
      <c r="AB2116" s="6">
        <f t="shared" ca="1" si="587"/>
        <v>12</v>
      </c>
      <c r="AC2116" s="68">
        <f ca="1">IFERROR(__xludf.DUMMYFUNCTION("""COMPUTED_VALUE"""),45266.9986111111)</f>
        <v>45266.998611111099</v>
      </c>
      <c r="AD2116" s="6">
        <f ca="1">IFERROR(__xludf.DUMMYFUNCTION("""COMPUTED_VALUE"""),1313.72)</f>
        <v>1313.72</v>
      </c>
      <c r="AH2116" s="6" t="str">
        <f t="shared" ca="1" si="588"/>
        <v>202310</v>
      </c>
      <c r="AI2116" s="6">
        <f t="shared" ca="1" si="589"/>
        <v>2023</v>
      </c>
      <c r="AJ2116" s="6">
        <f t="shared" ca="1" si="590"/>
        <v>10</v>
      </c>
      <c r="AK2116" s="68">
        <f ca="1">IFERROR(__xludf.DUMMYFUNCTION("""COMPUTED_VALUE"""),45209.9986111111)</f>
        <v>45209.998611111099</v>
      </c>
      <c r="AL2116" s="6">
        <f ca="1">IFERROR(__xludf.DUMMYFUNCTION("""COMPUTED_VALUE"""),27395.59)</f>
        <v>27395.59</v>
      </c>
      <c r="AP2116" s="6" t="str">
        <f t="shared" ca="1" si="591"/>
        <v>20266</v>
      </c>
      <c r="AQ2116" s="6">
        <f t="shared" ca="1" si="592"/>
        <v>2026</v>
      </c>
      <c r="AR2116" s="6">
        <f t="shared" ca="1" si="593"/>
        <v>6</v>
      </c>
      <c r="AS2116" s="68">
        <f ca="1">IFERROR(__xludf.DUMMYFUNCTION("""COMPUTED_VALUE"""),46182.9986111111)</f>
        <v>46182.998611111099</v>
      </c>
      <c r="AT2116" s="6">
        <f ca="1">IFERROR(__xludf.DUMMYFUNCTION("""COMPUTED_VALUE"""),4286.4)</f>
        <v>4286.3999999999996</v>
      </c>
    </row>
    <row r="2117" spans="2:46" x14ac:dyDescent="0.35">
      <c r="B2117" s="6" t="str">
        <f t="shared" ca="1" si="576"/>
        <v>20266</v>
      </c>
      <c r="C2117" s="6">
        <f t="shared" ca="1" si="577"/>
        <v>2026</v>
      </c>
      <c r="D2117" s="6">
        <f t="shared" ca="1" si="578"/>
        <v>6</v>
      </c>
      <c r="E2117" s="68">
        <f ca="1">IFERROR(__xludf.DUMMYFUNCTION("""COMPUTED_VALUE"""),46176.6666666666)</f>
        <v>46176.666666666599</v>
      </c>
      <c r="F2117" s="6">
        <f ca="1">IFERROR(__xludf.DUMMYFUNCTION("""COMPUTED_VALUE"""),7553.68)</f>
        <v>7553.68</v>
      </c>
      <c r="J2117" s="6" t="str">
        <f t="shared" ca="1" si="579"/>
        <v>20265</v>
      </c>
      <c r="K2117" s="6">
        <f t="shared" ca="1" si="580"/>
        <v>2026</v>
      </c>
      <c r="L2117" s="6">
        <f t="shared" ca="1" si="581"/>
        <v>5</v>
      </c>
      <c r="M2117" s="68">
        <f ca="1">IFERROR(__xludf.DUMMYFUNCTION("""COMPUTED_VALUE"""),46170.6666666666)</f>
        <v>46170.666666666599</v>
      </c>
      <c r="N2117" s="6">
        <f ca="1">IFERROR(__xludf.DUMMYFUNCTION("""COMPUTED_VALUE"""),26917.47)</f>
        <v>26917.47</v>
      </c>
      <c r="R2117" s="6" t="str">
        <f t="shared" si="582"/>
        <v>19001</v>
      </c>
      <c r="S2117" s="6">
        <f t="shared" si="583"/>
        <v>1900</v>
      </c>
      <c r="T2117" s="6">
        <f t="shared" si="584"/>
        <v>1</v>
      </c>
      <c r="Z2117" s="6" t="str">
        <f t="shared" ca="1" si="585"/>
        <v>202312</v>
      </c>
      <c r="AA2117" s="6">
        <f t="shared" ca="1" si="586"/>
        <v>2023</v>
      </c>
      <c r="AB2117" s="6">
        <f t="shared" ca="1" si="587"/>
        <v>12</v>
      </c>
      <c r="AC2117" s="68">
        <f ca="1">IFERROR(__xludf.DUMMYFUNCTION("""COMPUTED_VALUE"""),45267.9986111111)</f>
        <v>45267.998611111099</v>
      </c>
      <c r="AD2117" s="6">
        <f ca="1">IFERROR(__xludf.DUMMYFUNCTION("""COMPUTED_VALUE"""),1312.76)</f>
        <v>1312.76</v>
      </c>
      <c r="AH2117" s="6" t="str">
        <f t="shared" ca="1" si="588"/>
        <v>202310</v>
      </c>
      <c r="AI2117" s="6">
        <f t="shared" ca="1" si="589"/>
        <v>2023</v>
      </c>
      <c r="AJ2117" s="6">
        <f t="shared" ca="1" si="590"/>
        <v>10</v>
      </c>
      <c r="AK2117" s="68">
        <f ca="1">IFERROR(__xludf.DUMMYFUNCTION("""COMPUTED_VALUE"""),45210.9986111111)</f>
        <v>45210.998611111099</v>
      </c>
      <c r="AL2117" s="6">
        <f ca="1">IFERROR(__xludf.DUMMYFUNCTION("""COMPUTED_VALUE"""),26871.54)</f>
        <v>26871.54</v>
      </c>
      <c r="AP2117" s="6" t="str">
        <f t="shared" ca="1" si="591"/>
        <v>20266</v>
      </c>
      <c r="AQ2117" s="6">
        <f t="shared" ca="1" si="592"/>
        <v>2026</v>
      </c>
      <c r="AR2117" s="6">
        <f t="shared" ca="1" si="593"/>
        <v>6</v>
      </c>
      <c r="AS2117" s="68">
        <f ca="1">IFERROR(__xludf.DUMMYFUNCTION("""COMPUTED_VALUE"""),46183.9986111111)</f>
        <v>46183.998611111099</v>
      </c>
      <c r="AT2117" s="6">
        <f ca="1">IFERROR(__xludf.DUMMYFUNCTION("""COMPUTED_VALUE"""),4133.3)</f>
        <v>4133.3</v>
      </c>
    </row>
    <row r="2118" spans="2:46" x14ac:dyDescent="0.35">
      <c r="B2118" s="6" t="str">
        <f t="shared" ca="1" si="576"/>
        <v>20266</v>
      </c>
      <c r="C2118" s="6">
        <f t="shared" ca="1" si="577"/>
        <v>2026</v>
      </c>
      <c r="D2118" s="6">
        <f t="shared" ca="1" si="578"/>
        <v>6</v>
      </c>
      <c r="E2118" s="68">
        <f ca="1">IFERROR(__xludf.DUMMYFUNCTION("""COMPUTED_VALUE"""),46177.6666666666)</f>
        <v>46177.666666666599</v>
      </c>
      <c r="F2118" s="6">
        <f ca="1">IFERROR(__xludf.DUMMYFUNCTION("""COMPUTED_VALUE"""),7584.31)</f>
        <v>7584.31</v>
      </c>
      <c r="J2118" s="6" t="str">
        <f t="shared" ca="1" si="579"/>
        <v>20265</v>
      </c>
      <c r="K2118" s="6">
        <f t="shared" ca="1" si="580"/>
        <v>2026</v>
      </c>
      <c r="L2118" s="6">
        <f t="shared" ca="1" si="581"/>
        <v>5</v>
      </c>
      <c r="M2118" s="68">
        <f ca="1">IFERROR(__xludf.DUMMYFUNCTION("""COMPUTED_VALUE"""),46171.6666666666)</f>
        <v>46171.666666666599</v>
      </c>
      <c r="N2118" s="6">
        <f ca="1">IFERROR(__xludf.DUMMYFUNCTION("""COMPUTED_VALUE"""),26972.62)</f>
        <v>26972.62</v>
      </c>
      <c r="R2118" s="6" t="str">
        <f t="shared" si="582"/>
        <v>19001</v>
      </c>
      <c r="S2118" s="6">
        <f t="shared" si="583"/>
        <v>1900</v>
      </c>
      <c r="T2118" s="6">
        <f t="shared" si="584"/>
        <v>1</v>
      </c>
      <c r="Z2118" s="6" t="str">
        <f t="shared" ca="1" si="585"/>
        <v>202312</v>
      </c>
      <c r="AA2118" s="6">
        <f t="shared" ca="1" si="586"/>
        <v>2023</v>
      </c>
      <c r="AB2118" s="6">
        <f t="shared" ca="1" si="587"/>
        <v>12</v>
      </c>
      <c r="AC2118" s="68">
        <f ca="1">IFERROR(__xludf.DUMMYFUNCTION("""COMPUTED_VALUE"""),45268.9986111111)</f>
        <v>45268.998611111099</v>
      </c>
      <c r="AD2118" s="6">
        <f ca="1">IFERROR(__xludf.DUMMYFUNCTION("""COMPUTED_VALUE"""),1316.51)</f>
        <v>1316.51</v>
      </c>
      <c r="AH2118" s="6" t="str">
        <f t="shared" ca="1" si="588"/>
        <v>202310</v>
      </c>
      <c r="AI2118" s="6">
        <f t="shared" ca="1" si="589"/>
        <v>2023</v>
      </c>
      <c r="AJ2118" s="6">
        <f t="shared" ca="1" si="590"/>
        <v>10</v>
      </c>
      <c r="AK2118" s="68">
        <f ca="1">IFERROR(__xludf.DUMMYFUNCTION("""COMPUTED_VALUE"""),45211.9986111111)</f>
        <v>45211.998611111099</v>
      </c>
      <c r="AL2118" s="6">
        <f ca="1">IFERROR(__xludf.DUMMYFUNCTION("""COMPUTED_VALUE"""),26755.97)</f>
        <v>26755.97</v>
      </c>
      <c r="AP2118" s="6" t="str">
        <f t="shared" ca="1" si="591"/>
        <v>20266</v>
      </c>
      <c r="AQ2118" s="6">
        <f t="shared" ca="1" si="592"/>
        <v>2026</v>
      </c>
      <c r="AR2118" s="6">
        <f t="shared" ca="1" si="593"/>
        <v>6</v>
      </c>
      <c r="AS2118" s="68">
        <f ca="1">IFERROR(__xludf.DUMMYFUNCTION("""COMPUTED_VALUE"""),46184.9986111111)</f>
        <v>46184.998611111099</v>
      </c>
      <c r="AT2118" s="6">
        <f ca="1">IFERROR(__xludf.DUMMYFUNCTION("""COMPUTED_VALUE"""),4114)</f>
        <v>4114</v>
      </c>
    </row>
    <row r="2119" spans="2:46" x14ac:dyDescent="0.35">
      <c r="B2119" s="6" t="str">
        <f t="shared" ref="B2119:B2182" ca="1" si="594">C2119&amp;D2119</f>
        <v>20266</v>
      </c>
      <c r="C2119" s="6">
        <f t="shared" ref="C2119:C2182" ca="1" si="595">YEAR(E2119)</f>
        <v>2026</v>
      </c>
      <c r="D2119" s="6">
        <f t="shared" ref="D2119:D2182" ca="1" si="596">MONTH(E2119)</f>
        <v>6</v>
      </c>
      <c r="E2119" s="68">
        <f ca="1">IFERROR(__xludf.DUMMYFUNCTION("""COMPUTED_VALUE"""),46178.6666666666)</f>
        <v>46178.666666666599</v>
      </c>
      <c r="F2119" s="6">
        <f ca="1">IFERROR(__xludf.DUMMYFUNCTION("""COMPUTED_VALUE"""),7383.74)</f>
        <v>7383.74</v>
      </c>
      <c r="J2119" s="6" t="str">
        <f t="shared" ref="J2119:J2182" ca="1" si="597">K2119&amp;L2119</f>
        <v>20266</v>
      </c>
      <c r="K2119" s="6">
        <f t="shared" ref="K2119:K2182" ca="1" si="598">YEAR(M2119)</f>
        <v>2026</v>
      </c>
      <c r="L2119" s="6">
        <f t="shared" ref="L2119:L2182" ca="1" si="599">MONTH(M2119)</f>
        <v>6</v>
      </c>
      <c r="M2119" s="68">
        <f ca="1">IFERROR(__xludf.DUMMYFUNCTION("""COMPUTED_VALUE"""),46174.6666666666)</f>
        <v>46174.666666666599</v>
      </c>
      <c r="N2119" s="6">
        <f ca="1">IFERROR(__xludf.DUMMYFUNCTION("""COMPUTED_VALUE"""),27086.81)</f>
        <v>27086.81</v>
      </c>
      <c r="R2119" s="6" t="str">
        <f t="shared" ref="R2119:R2182" si="600">S2119&amp;T2119</f>
        <v>19001</v>
      </c>
      <c r="S2119" s="6">
        <f t="shared" ref="S2119:S2182" si="601">YEAR(U2119)</f>
        <v>1900</v>
      </c>
      <c r="T2119" s="6">
        <f t="shared" ref="T2119:T2182" si="602">MONTH(U2119)</f>
        <v>1</v>
      </c>
      <c r="Z2119" s="6" t="str">
        <f t="shared" ref="Z2119:Z2182" ca="1" si="603">AA2119&amp;AB2119</f>
        <v>202312</v>
      </c>
      <c r="AA2119" s="6">
        <f t="shared" ref="AA2119:AA2182" ca="1" si="604">YEAR(AC2119)</f>
        <v>2023</v>
      </c>
      <c r="AB2119" s="6">
        <f t="shared" ref="AB2119:AB2182" ca="1" si="605">MONTH(AC2119)</f>
        <v>12</v>
      </c>
      <c r="AC2119" s="68">
        <f ca="1">IFERROR(__xludf.DUMMYFUNCTION("""COMPUTED_VALUE"""),45269.9986111111)</f>
        <v>45269.998611111099</v>
      </c>
      <c r="AD2119" s="6">
        <f ca="1">IFERROR(__xludf.DUMMYFUNCTION("""COMPUTED_VALUE"""),1316.51)</f>
        <v>1316.51</v>
      </c>
      <c r="AH2119" s="6" t="str">
        <f t="shared" ref="AH2119:AH2182" ca="1" si="606">AI2119&amp;AJ2119</f>
        <v>202310</v>
      </c>
      <c r="AI2119" s="6">
        <f t="shared" ref="AI2119:AI2182" ca="1" si="607">YEAR(AK2119)</f>
        <v>2023</v>
      </c>
      <c r="AJ2119" s="6">
        <f t="shared" ref="AJ2119:AJ2182" ca="1" si="608">MONTH(AK2119)</f>
        <v>10</v>
      </c>
      <c r="AK2119" s="68">
        <f ca="1">IFERROR(__xludf.DUMMYFUNCTION("""COMPUTED_VALUE"""),45212.9986111111)</f>
        <v>45212.998611111099</v>
      </c>
      <c r="AL2119" s="6">
        <f ca="1">IFERROR(__xludf.DUMMYFUNCTION("""COMPUTED_VALUE"""),26865.08)</f>
        <v>26865.08</v>
      </c>
      <c r="AP2119" s="6" t="str">
        <f t="shared" ref="AP2119:AP2182" ca="1" si="609">AQ2119&amp;AR2119</f>
        <v>20266</v>
      </c>
      <c r="AQ2119" s="6">
        <f t="shared" ref="AQ2119:AQ2182" ca="1" si="610">YEAR(AS2119)</f>
        <v>2026</v>
      </c>
      <c r="AR2119" s="6">
        <f t="shared" ref="AR2119:AR2182" ca="1" si="611">MONTH(AS2119)</f>
        <v>6</v>
      </c>
      <c r="AS2119" s="68">
        <f ca="1">IFERROR(__xludf.DUMMYFUNCTION("""COMPUTED_VALUE"""),46185.9986111111)</f>
        <v>46185.998611111099</v>
      </c>
      <c r="AT2119" s="6">
        <f ca="1">IFERROR(__xludf.DUMMYFUNCTION("""COMPUTED_VALUE"""),4238.8)</f>
        <v>4238.8</v>
      </c>
    </row>
    <row r="2120" spans="2:46" x14ac:dyDescent="0.35">
      <c r="B2120" s="6" t="str">
        <f t="shared" ca="1" si="594"/>
        <v>20266</v>
      </c>
      <c r="C2120" s="6">
        <f t="shared" ca="1" si="595"/>
        <v>2026</v>
      </c>
      <c r="D2120" s="6">
        <f t="shared" ca="1" si="596"/>
        <v>6</v>
      </c>
      <c r="E2120" s="68">
        <f ca="1">IFERROR(__xludf.DUMMYFUNCTION("""COMPUTED_VALUE"""),46181.6666666666)</f>
        <v>46181.666666666599</v>
      </c>
      <c r="F2120" s="6">
        <f ca="1">IFERROR(__xludf.DUMMYFUNCTION("""COMPUTED_VALUE"""),7405.73)</f>
        <v>7405.73</v>
      </c>
      <c r="J2120" s="6" t="str">
        <f t="shared" ca="1" si="597"/>
        <v>20266</v>
      </c>
      <c r="K2120" s="6">
        <f t="shared" ca="1" si="598"/>
        <v>2026</v>
      </c>
      <c r="L2120" s="6">
        <f t="shared" ca="1" si="599"/>
        <v>6</v>
      </c>
      <c r="M2120" s="68">
        <f ca="1">IFERROR(__xludf.DUMMYFUNCTION("""COMPUTED_VALUE"""),46175.6666666666)</f>
        <v>46175.666666666599</v>
      </c>
      <c r="N2120" s="6">
        <f ca="1">IFERROR(__xludf.DUMMYFUNCTION("""COMPUTED_VALUE"""),27093.9)</f>
        <v>27093.9</v>
      </c>
      <c r="R2120" s="6" t="str">
        <f t="shared" si="600"/>
        <v>19001</v>
      </c>
      <c r="S2120" s="6">
        <f t="shared" si="601"/>
        <v>1900</v>
      </c>
      <c r="T2120" s="6">
        <f t="shared" si="602"/>
        <v>1</v>
      </c>
      <c r="Z2120" s="6" t="str">
        <f t="shared" ca="1" si="603"/>
        <v>202312</v>
      </c>
      <c r="AA2120" s="6">
        <f t="shared" ca="1" si="604"/>
        <v>2023</v>
      </c>
      <c r="AB2120" s="6">
        <f t="shared" ca="1" si="605"/>
        <v>12</v>
      </c>
      <c r="AC2120" s="68">
        <f ca="1">IFERROR(__xludf.DUMMYFUNCTION("""COMPUTED_VALUE"""),45270.9986111111)</f>
        <v>45270.998611111099</v>
      </c>
      <c r="AD2120" s="6">
        <f ca="1">IFERROR(__xludf.DUMMYFUNCTION("""COMPUTED_VALUE"""),1316.51)</f>
        <v>1316.51</v>
      </c>
      <c r="AH2120" s="6" t="str">
        <f t="shared" ca="1" si="606"/>
        <v>202310</v>
      </c>
      <c r="AI2120" s="6">
        <f t="shared" ca="1" si="607"/>
        <v>2023</v>
      </c>
      <c r="AJ2120" s="6">
        <f t="shared" ca="1" si="608"/>
        <v>10</v>
      </c>
      <c r="AK2120" s="68">
        <f ca="1">IFERROR(__xludf.DUMMYFUNCTION("""COMPUTED_VALUE"""),45213.9986111111)</f>
        <v>45213.998611111099</v>
      </c>
      <c r="AL2120" s="6">
        <f ca="1">IFERROR(__xludf.DUMMYFUNCTION("""COMPUTED_VALUE"""),26855.49)</f>
        <v>26855.49</v>
      </c>
      <c r="AP2120" s="6" t="str">
        <f t="shared" ca="1" si="609"/>
        <v>20266</v>
      </c>
      <c r="AQ2120" s="6">
        <f t="shared" ca="1" si="610"/>
        <v>2026</v>
      </c>
      <c r="AR2120" s="6">
        <f t="shared" ca="1" si="611"/>
        <v>6</v>
      </c>
      <c r="AS2120" s="68">
        <f ca="1">IFERROR(__xludf.DUMMYFUNCTION("""COMPUTED_VALUE"""),46188.9986111111)</f>
        <v>46188.998611111099</v>
      </c>
      <c r="AT2120" s="6">
        <f ca="1">IFERROR(__xludf.DUMMYFUNCTION("""COMPUTED_VALUE"""),4351.6)</f>
        <v>4351.6000000000004</v>
      </c>
    </row>
    <row r="2121" spans="2:46" x14ac:dyDescent="0.35">
      <c r="B2121" s="6" t="str">
        <f t="shared" ca="1" si="594"/>
        <v>20266</v>
      </c>
      <c r="C2121" s="6">
        <f t="shared" ca="1" si="595"/>
        <v>2026</v>
      </c>
      <c r="D2121" s="6">
        <f t="shared" ca="1" si="596"/>
        <v>6</v>
      </c>
      <c r="E2121" s="68">
        <f ca="1">IFERROR(__xludf.DUMMYFUNCTION("""COMPUTED_VALUE"""),46182.6666666666)</f>
        <v>46182.666666666599</v>
      </c>
      <c r="F2121" s="6">
        <f ca="1">IFERROR(__xludf.DUMMYFUNCTION("""COMPUTED_VALUE"""),7386.65)</f>
        <v>7386.65</v>
      </c>
      <c r="J2121" s="6" t="str">
        <f t="shared" ca="1" si="597"/>
        <v>20266</v>
      </c>
      <c r="K2121" s="6">
        <f t="shared" ca="1" si="598"/>
        <v>2026</v>
      </c>
      <c r="L2121" s="6">
        <f t="shared" ca="1" si="599"/>
        <v>6</v>
      </c>
      <c r="M2121" s="68">
        <f ca="1">IFERROR(__xludf.DUMMYFUNCTION("""COMPUTED_VALUE"""),46176.6666666666)</f>
        <v>46176.666666666599</v>
      </c>
      <c r="N2121" s="6">
        <f ca="1">IFERROR(__xludf.DUMMYFUNCTION("""COMPUTED_VALUE"""),26853.98)</f>
        <v>26853.98</v>
      </c>
      <c r="R2121" s="6" t="str">
        <f t="shared" si="600"/>
        <v>19001</v>
      </c>
      <c r="S2121" s="6">
        <f t="shared" si="601"/>
        <v>1900</v>
      </c>
      <c r="T2121" s="6">
        <f t="shared" si="602"/>
        <v>1</v>
      </c>
      <c r="Z2121" s="6" t="str">
        <f t="shared" ca="1" si="603"/>
        <v>202312</v>
      </c>
      <c r="AA2121" s="6">
        <f t="shared" ca="1" si="604"/>
        <v>2023</v>
      </c>
      <c r="AB2121" s="6">
        <f t="shared" ca="1" si="605"/>
        <v>12</v>
      </c>
      <c r="AC2121" s="68">
        <f ca="1">IFERROR(__xludf.DUMMYFUNCTION("""COMPUTED_VALUE"""),45271.9986111111)</f>
        <v>45271.998611111099</v>
      </c>
      <c r="AD2121" s="6">
        <f ca="1">IFERROR(__xludf.DUMMYFUNCTION("""COMPUTED_VALUE"""),1313.62)</f>
        <v>1313.62</v>
      </c>
      <c r="AH2121" s="6" t="str">
        <f t="shared" ca="1" si="606"/>
        <v>202310</v>
      </c>
      <c r="AI2121" s="6">
        <f t="shared" ca="1" si="607"/>
        <v>2023</v>
      </c>
      <c r="AJ2121" s="6">
        <f t="shared" ca="1" si="608"/>
        <v>10</v>
      </c>
      <c r="AK2121" s="68">
        <f ca="1">IFERROR(__xludf.DUMMYFUNCTION("""COMPUTED_VALUE"""),45214.9986111111)</f>
        <v>45214.998611111099</v>
      </c>
      <c r="AL2121" s="6">
        <f ca="1">IFERROR(__xludf.DUMMYFUNCTION("""COMPUTED_VALUE"""),27174.18)</f>
        <v>27174.18</v>
      </c>
      <c r="AP2121" s="6" t="str">
        <f t="shared" ca="1" si="609"/>
        <v>20266</v>
      </c>
      <c r="AQ2121" s="6">
        <f t="shared" ca="1" si="610"/>
        <v>2026</v>
      </c>
      <c r="AR2121" s="6">
        <f t="shared" ca="1" si="611"/>
        <v>6</v>
      </c>
      <c r="AS2121" s="68">
        <f ca="1">IFERROR(__xludf.DUMMYFUNCTION("""COMPUTED_VALUE"""),46189.9986111111)</f>
        <v>46189.998611111099</v>
      </c>
      <c r="AT2121" s="6">
        <f ca="1">IFERROR(__xludf.DUMMYFUNCTION("""COMPUTED_VALUE"""),4354.4)</f>
        <v>4354.3999999999996</v>
      </c>
    </row>
    <row r="2122" spans="2:46" x14ac:dyDescent="0.35">
      <c r="B2122" s="6" t="str">
        <f t="shared" ca="1" si="594"/>
        <v>20266</v>
      </c>
      <c r="C2122" s="6">
        <f t="shared" ca="1" si="595"/>
        <v>2026</v>
      </c>
      <c r="D2122" s="6">
        <f t="shared" ca="1" si="596"/>
        <v>6</v>
      </c>
      <c r="E2122" s="68">
        <f ca="1">IFERROR(__xludf.DUMMYFUNCTION("""COMPUTED_VALUE"""),46183.6666666666)</f>
        <v>46183.666666666599</v>
      </c>
      <c r="F2122" s="6">
        <f ca="1">IFERROR(__xludf.DUMMYFUNCTION("""COMPUTED_VALUE"""),7266.99)</f>
        <v>7266.99</v>
      </c>
      <c r="J2122" s="6" t="str">
        <f t="shared" ca="1" si="597"/>
        <v>20266</v>
      </c>
      <c r="K2122" s="6">
        <f t="shared" ca="1" si="598"/>
        <v>2026</v>
      </c>
      <c r="L2122" s="6">
        <f t="shared" ca="1" si="599"/>
        <v>6</v>
      </c>
      <c r="M2122" s="68">
        <f ca="1">IFERROR(__xludf.DUMMYFUNCTION("""COMPUTED_VALUE"""),46177.6666666666)</f>
        <v>46177.666666666599</v>
      </c>
      <c r="N2122" s="6">
        <f ca="1">IFERROR(__xludf.DUMMYFUNCTION("""COMPUTED_VALUE"""),26830.96)</f>
        <v>26830.959999999999</v>
      </c>
      <c r="R2122" s="6" t="str">
        <f t="shared" si="600"/>
        <v>19001</v>
      </c>
      <c r="S2122" s="6">
        <f t="shared" si="601"/>
        <v>1900</v>
      </c>
      <c r="T2122" s="6">
        <f t="shared" si="602"/>
        <v>1</v>
      </c>
      <c r="Z2122" s="6" t="str">
        <f t="shared" ca="1" si="603"/>
        <v>202312</v>
      </c>
      <c r="AA2122" s="6">
        <f t="shared" ca="1" si="604"/>
        <v>2023</v>
      </c>
      <c r="AB2122" s="6">
        <f t="shared" ca="1" si="605"/>
        <v>12</v>
      </c>
      <c r="AC2122" s="68">
        <f ca="1">IFERROR(__xludf.DUMMYFUNCTION("""COMPUTED_VALUE"""),45272.9986111111)</f>
        <v>45272.998611111099</v>
      </c>
      <c r="AD2122" s="6">
        <f ca="1">IFERROR(__xludf.DUMMYFUNCTION("""COMPUTED_VALUE"""),1310.14)</f>
        <v>1310.1400000000001</v>
      </c>
      <c r="AH2122" s="6" t="str">
        <f t="shared" ca="1" si="606"/>
        <v>202310</v>
      </c>
      <c r="AI2122" s="6">
        <f t="shared" ca="1" si="607"/>
        <v>2023</v>
      </c>
      <c r="AJ2122" s="6">
        <f t="shared" ca="1" si="608"/>
        <v>10</v>
      </c>
      <c r="AK2122" s="68">
        <f ca="1">IFERROR(__xludf.DUMMYFUNCTION("""COMPUTED_VALUE"""),45215.9986111111)</f>
        <v>45215.998611111099</v>
      </c>
      <c r="AL2122" s="6">
        <f ca="1">IFERROR(__xludf.DUMMYFUNCTION("""COMPUTED_VALUE"""),28515.97)</f>
        <v>28515.97</v>
      </c>
      <c r="AP2122" s="6" t="str">
        <f t="shared" ca="1" si="609"/>
        <v>20266</v>
      </c>
      <c r="AQ2122" s="6">
        <f t="shared" ca="1" si="610"/>
        <v>2026</v>
      </c>
      <c r="AR2122" s="6">
        <f t="shared" ca="1" si="611"/>
        <v>6</v>
      </c>
      <c r="AS2122" s="68">
        <f ca="1">IFERROR(__xludf.DUMMYFUNCTION("""COMPUTED_VALUE"""),46190.9986111111)</f>
        <v>46190.998611111099</v>
      </c>
      <c r="AT2122" s="6">
        <f ca="1">IFERROR(__xludf.DUMMYFUNCTION("""COMPUTED_VALUE"""),4381.4)</f>
        <v>4381.3999999999996</v>
      </c>
    </row>
    <row r="2123" spans="2:46" x14ac:dyDescent="0.35">
      <c r="B2123" s="6" t="str">
        <f t="shared" ca="1" si="594"/>
        <v>20266</v>
      </c>
      <c r="C2123" s="6">
        <f t="shared" ca="1" si="595"/>
        <v>2026</v>
      </c>
      <c r="D2123" s="6">
        <f t="shared" ca="1" si="596"/>
        <v>6</v>
      </c>
      <c r="E2123" s="68">
        <f ca="1">IFERROR(__xludf.DUMMYFUNCTION("""COMPUTED_VALUE"""),46184.6666666666)</f>
        <v>46184.666666666599</v>
      </c>
      <c r="F2123" s="6">
        <f ca="1">IFERROR(__xludf.DUMMYFUNCTION("""COMPUTED_VALUE"""),7394.3)</f>
        <v>7394.3</v>
      </c>
      <c r="J2123" s="6" t="str">
        <f t="shared" ca="1" si="597"/>
        <v>20266</v>
      </c>
      <c r="K2123" s="6">
        <f t="shared" ca="1" si="598"/>
        <v>2026</v>
      </c>
      <c r="L2123" s="6">
        <f t="shared" ca="1" si="599"/>
        <v>6</v>
      </c>
      <c r="M2123" s="68">
        <f ca="1">IFERROR(__xludf.DUMMYFUNCTION("""COMPUTED_VALUE"""),46178.6666666666)</f>
        <v>46178.666666666599</v>
      </c>
      <c r="N2123" s="6">
        <f ca="1">IFERROR(__xludf.DUMMYFUNCTION("""COMPUTED_VALUE"""),25709.43)</f>
        <v>25709.43</v>
      </c>
      <c r="R2123" s="6" t="str">
        <f t="shared" si="600"/>
        <v>19001</v>
      </c>
      <c r="S2123" s="6">
        <f t="shared" si="601"/>
        <v>1900</v>
      </c>
      <c r="T2123" s="6">
        <f t="shared" si="602"/>
        <v>1</v>
      </c>
      <c r="Z2123" s="6" t="str">
        <f t="shared" ca="1" si="603"/>
        <v>202312</v>
      </c>
      <c r="AA2123" s="6">
        <f t="shared" ca="1" si="604"/>
        <v>2023</v>
      </c>
      <c r="AB2123" s="6">
        <f t="shared" ca="1" si="605"/>
        <v>12</v>
      </c>
      <c r="AC2123" s="68">
        <f ca="1">IFERROR(__xludf.DUMMYFUNCTION("""COMPUTED_VALUE"""),45273.9986111111)</f>
        <v>45273.998611111099</v>
      </c>
      <c r="AD2123" s="6">
        <f ca="1">IFERROR(__xludf.DUMMYFUNCTION("""COMPUTED_VALUE"""),1292.01)</f>
        <v>1292.01</v>
      </c>
      <c r="AH2123" s="6" t="str">
        <f t="shared" ca="1" si="606"/>
        <v>202310</v>
      </c>
      <c r="AI2123" s="6">
        <f t="shared" ca="1" si="607"/>
        <v>2023</v>
      </c>
      <c r="AJ2123" s="6">
        <f t="shared" ca="1" si="608"/>
        <v>10</v>
      </c>
      <c r="AK2123" s="68">
        <f ca="1">IFERROR(__xludf.DUMMYFUNCTION("""COMPUTED_VALUE"""),45216.9986111111)</f>
        <v>45216.998611111099</v>
      </c>
      <c r="AL2123" s="6">
        <f ca="1">IFERROR(__xludf.DUMMYFUNCTION("""COMPUTED_VALUE"""),28407.2)</f>
        <v>28407.200000000001</v>
      </c>
      <c r="AP2123" s="6" t="str">
        <f t="shared" ca="1" si="609"/>
        <v>20266</v>
      </c>
      <c r="AQ2123" s="6">
        <f t="shared" ca="1" si="610"/>
        <v>2026</v>
      </c>
      <c r="AR2123" s="6">
        <f t="shared" ca="1" si="611"/>
        <v>6</v>
      </c>
      <c r="AS2123" s="68">
        <f ca="1">IFERROR(__xludf.DUMMYFUNCTION("""COMPUTED_VALUE"""),46191.9986111111)</f>
        <v>46191.998611111099</v>
      </c>
      <c r="AT2123" s="6">
        <f ca="1">IFERROR(__xludf.DUMMYFUNCTION("""COMPUTED_VALUE"""),4245.9)</f>
        <v>4245.8999999999996</v>
      </c>
    </row>
    <row r="2124" spans="2:46" x14ac:dyDescent="0.35">
      <c r="B2124" s="6" t="str">
        <f t="shared" ca="1" si="594"/>
        <v>20266</v>
      </c>
      <c r="C2124" s="6">
        <f t="shared" ca="1" si="595"/>
        <v>2026</v>
      </c>
      <c r="D2124" s="6">
        <f t="shared" ca="1" si="596"/>
        <v>6</v>
      </c>
      <c r="E2124" s="68">
        <f ca="1">IFERROR(__xludf.DUMMYFUNCTION("""COMPUTED_VALUE"""),46185.6666666666)</f>
        <v>46185.666666666599</v>
      </c>
      <c r="F2124" s="6">
        <f ca="1">IFERROR(__xludf.DUMMYFUNCTION("""COMPUTED_VALUE"""),7431.46)</f>
        <v>7431.46</v>
      </c>
      <c r="J2124" s="6" t="str">
        <f t="shared" ca="1" si="597"/>
        <v>20266</v>
      </c>
      <c r="K2124" s="6">
        <f t="shared" ca="1" si="598"/>
        <v>2026</v>
      </c>
      <c r="L2124" s="6">
        <f t="shared" ca="1" si="599"/>
        <v>6</v>
      </c>
      <c r="M2124" s="68">
        <f ca="1">IFERROR(__xludf.DUMMYFUNCTION("""COMPUTED_VALUE"""),46181.6666666666)</f>
        <v>46181.666666666599</v>
      </c>
      <c r="N2124" s="6">
        <f ca="1">IFERROR(__xludf.DUMMYFUNCTION("""COMPUTED_VALUE"""),25929.66)</f>
        <v>25929.66</v>
      </c>
      <c r="R2124" s="6" t="str">
        <f t="shared" si="600"/>
        <v>19001</v>
      </c>
      <c r="S2124" s="6">
        <f t="shared" si="601"/>
        <v>1900</v>
      </c>
      <c r="T2124" s="6">
        <f t="shared" si="602"/>
        <v>1</v>
      </c>
      <c r="Z2124" s="6" t="str">
        <f t="shared" ca="1" si="603"/>
        <v>202312</v>
      </c>
      <c r="AA2124" s="6">
        <f t="shared" ca="1" si="604"/>
        <v>2023</v>
      </c>
      <c r="AB2124" s="6">
        <f t="shared" ca="1" si="605"/>
        <v>12</v>
      </c>
      <c r="AC2124" s="68">
        <f ca="1">IFERROR(__xludf.DUMMYFUNCTION("""COMPUTED_VALUE"""),45274.9986111111)</f>
        <v>45274.998611111099</v>
      </c>
      <c r="AD2124" s="6">
        <f ca="1">IFERROR(__xludf.DUMMYFUNCTION("""COMPUTED_VALUE"""),1291.92)</f>
        <v>1291.92</v>
      </c>
      <c r="AH2124" s="6" t="str">
        <f t="shared" ca="1" si="606"/>
        <v>202310</v>
      </c>
      <c r="AI2124" s="6">
        <f t="shared" ca="1" si="607"/>
        <v>2023</v>
      </c>
      <c r="AJ2124" s="6">
        <f t="shared" ca="1" si="608"/>
        <v>10</v>
      </c>
      <c r="AK2124" s="68">
        <f ca="1">IFERROR(__xludf.DUMMYFUNCTION("""COMPUTED_VALUE"""),45217.9986111111)</f>
        <v>45217.998611111099</v>
      </c>
      <c r="AL2124" s="6">
        <f ca="1">IFERROR(__xludf.DUMMYFUNCTION("""COMPUTED_VALUE"""),28326.92)</f>
        <v>28326.92</v>
      </c>
      <c r="AP2124" s="6" t="str">
        <f t="shared" ca="1" si="609"/>
        <v>20266</v>
      </c>
      <c r="AQ2124" s="6">
        <f t="shared" ca="1" si="610"/>
        <v>2026</v>
      </c>
      <c r="AR2124" s="6">
        <f t="shared" ca="1" si="611"/>
        <v>6</v>
      </c>
      <c r="AS2124" s="68">
        <f ca="1">IFERROR(__xludf.DUMMYFUNCTION("""COMPUTED_VALUE"""),46195.9986111111)</f>
        <v>46195.998611111099</v>
      </c>
      <c r="AT2124" s="6">
        <f ca="1">IFERROR(__xludf.DUMMYFUNCTION("""COMPUTED_VALUE"""),4202.7)</f>
        <v>4202.7</v>
      </c>
    </row>
    <row r="2125" spans="2:46" x14ac:dyDescent="0.35">
      <c r="B2125" s="6" t="str">
        <f t="shared" ca="1" si="594"/>
        <v>20266</v>
      </c>
      <c r="C2125" s="6">
        <f t="shared" ca="1" si="595"/>
        <v>2026</v>
      </c>
      <c r="D2125" s="6">
        <f t="shared" ca="1" si="596"/>
        <v>6</v>
      </c>
      <c r="E2125" s="68">
        <f ca="1">IFERROR(__xludf.DUMMYFUNCTION("""COMPUTED_VALUE"""),46188.6666666666)</f>
        <v>46188.666666666599</v>
      </c>
      <c r="F2125" s="6">
        <f ca="1">IFERROR(__xludf.DUMMYFUNCTION("""COMPUTED_VALUE"""),7554.29)</f>
        <v>7554.29</v>
      </c>
      <c r="J2125" s="6" t="str">
        <f t="shared" ca="1" si="597"/>
        <v>20266</v>
      </c>
      <c r="K2125" s="6">
        <f t="shared" ca="1" si="598"/>
        <v>2026</v>
      </c>
      <c r="L2125" s="6">
        <f t="shared" ca="1" si="599"/>
        <v>6</v>
      </c>
      <c r="M2125" s="68">
        <f ca="1">IFERROR(__xludf.DUMMYFUNCTION("""COMPUTED_VALUE"""),46182.6666666666)</f>
        <v>46182.666666666599</v>
      </c>
      <c r="N2125" s="6">
        <f ca="1">IFERROR(__xludf.DUMMYFUNCTION("""COMPUTED_VALUE"""),25678.82)</f>
        <v>25678.82</v>
      </c>
      <c r="R2125" s="6" t="str">
        <f t="shared" si="600"/>
        <v>19001</v>
      </c>
      <c r="S2125" s="6">
        <f t="shared" si="601"/>
        <v>1900</v>
      </c>
      <c r="T2125" s="6">
        <f t="shared" si="602"/>
        <v>1</v>
      </c>
      <c r="Z2125" s="6" t="str">
        <f t="shared" ca="1" si="603"/>
        <v>202312</v>
      </c>
      <c r="AA2125" s="6">
        <f t="shared" ca="1" si="604"/>
        <v>2023</v>
      </c>
      <c r="AB2125" s="6">
        <f t="shared" ca="1" si="605"/>
        <v>12</v>
      </c>
      <c r="AC2125" s="68">
        <f ca="1">IFERROR(__xludf.DUMMYFUNCTION("""COMPUTED_VALUE"""),45275.9986111111)</f>
        <v>45275.998611111099</v>
      </c>
      <c r="AD2125" s="6">
        <f ca="1">IFERROR(__xludf.DUMMYFUNCTION("""COMPUTED_VALUE"""),1276.47)</f>
        <v>1276.47</v>
      </c>
      <c r="AH2125" s="6" t="str">
        <f t="shared" ca="1" si="606"/>
        <v>202310</v>
      </c>
      <c r="AI2125" s="6">
        <f t="shared" ca="1" si="607"/>
        <v>2023</v>
      </c>
      <c r="AJ2125" s="6">
        <f t="shared" ca="1" si="608"/>
        <v>10</v>
      </c>
      <c r="AK2125" s="68">
        <f ca="1">IFERROR(__xludf.DUMMYFUNCTION("""COMPUTED_VALUE"""),45218.9986111111)</f>
        <v>45218.998611111099</v>
      </c>
      <c r="AL2125" s="6">
        <f ca="1">IFERROR(__xludf.DUMMYFUNCTION("""COMPUTED_VALUE"""),28729.38)</f>
        <v>28729.38</v>
      </c>
      <c r="AP2125" s="6" t="str">
        <f t="shared" ca="1" si="609"/>
        <v>20266</v>
      </c>
      <c r="AQ2125" s="6">
        <f t="shared" ca="1" si="610"/>
        <v>2026</v>
      </c>
      <c r="AR2125" s="6">
        <f t="shared" ca="1" si="611"/>
        <v>6</v>
      </c>
      <c r="AS2125" s="68">
        <f ca="1">IFERROR(__xludf.DUMMYFUNCTION("""COMPUTED_VALUE"""),46196.9986111111)</f>
        <v>46196.998611111099</v>
      </c>
      <c r="AT2125" s="6">
        <f ca="1">IFERROR(__xludf.DUMMYFUNCTION("""COMPUTED_VALUE"""),4149.4)</f>
        <v>4149.3999999999996</v>
      </c>
    </row>
    <row r="2126" spans="2:46" x14ac:dyDescent="0.35">
      <c r="B2126" s="6" t="str">
        <f t="shared" ca="1" si="594"/>
        <v>20266</v>
      </c>
      <c r="C2126" s="6">
        <f t="shared" ca="1" si="595"/>
        <v>2026</v>
      </c>
      <c r="D2126" s="6">
        <f t="shared" ca="1" si="596"/>
        <v>6</v>
      </c>
      <c r="E2126" s="68">
        <f ca="1">IFERROR(__xludf.DUMMYFUNCTION("""COMPUTED_VALUE"""),46189.6666666666)</f>
        <v>46189.666666666599</v>
      </c>
      <c r="F2126" s="6">
        <f ca="1">IFERROR(__xludf.DUMMYFUNCTION("""COMPUTED_VALUE"""),7511.35)</f>
        <v>7511.35</v>
      </c>
      <c r="J2126" s="6" t="str">
        <f t="shared" ca="1" si="597"/>
        <v>20266</v>
      </c>
      <c r="K2126" s="6">
        <f t="shared" ca="1" si="598"/>
        <v>2026</v>
      </c>
      <c r="L2126" s="6">
        <f t="shared" ca="1" si="599"/>
        <v>6</v>
      </c>
      <c r="M2126" s="68">
        <f ca="1">IFERROR(__xludf.DUMMYFUNCTION("""COMPUTED_VALUE"""),46183.6666666666)</f>
        <v>46183.666666666599</v>
      </c>
      <c r="N2126" s="6">
        <f ca="1">IFERROR(__xludf.DUMMYFUNCTION("""COMPUTED_VALUE"""),25169.5)</f>
        <v>25169.5</v>
      </c>
      <c r="R2126" s="6" t="str">
        <f t="shared" si="600"/>
        <v>19001</v>
      </c>
      <c r="S2126" s="6">
        <f t="shared" si="601"/>
        <v>1900</v>
      </c>
      <c r="T2126" s="6">
        <f t="shared" si="602"/>
        <v>1</v>
      </c>
      <c r="Z2126" s="6" t="str">
        <f t="shared" ca="1" si="603"/>
        <v>202312</v>
      </c>
      <c r="AA2126" s="6">
        <f t="shared" ca="1" si="604"/>
        <v>2023</v>
      </c>
      <c r="AB2126" s="6">
        <f t="shared" ca="1" si="605"/>
        <v>12</v>
      </c>
      <c r="AC2126" s="68">
        <f ca="1">IFERROR(__xludf.DUMMYFUNCTION("""COMPUTED_VALUE"""),45276.9986111111)</f>
        <v>45276.998611111099</v>
      </c>
      <c r="AD2126" s="6">
        <f ca="1">IFERROR(__xludf.DUMMYFUNCTION("""COMPUTED_VALUE"""),1276.47)</f>
        <v>1276.47</v>
      </c>
      <c r="AH2126" s="6" t="str">
        <f t="shared" ca="1" si="606"/>
        <v>202310</v>
      </c>
      <c r="AI2126" s="6">
        <f t="shared" ca="1" si="607"/>
        <v>2023</v>
      </c>
      <c r="AJ2126" s="6">
        <f t="shared" ca="1" si="608"/>
        <v>10</v>
      </c>
      <c r="AK2126" s="68">
        <f ca="1">IFERROR(__xludf.DUMMYFUNCTION("""COMPUTED_VALUE"""),45219.9986111111)</f>
        <v>45219.998611111099</v>
      </c>
      <c r="AL2126" s="6">
        <f ca="1">IFERROR(__xludf.DUMMYFUNCTION("""COMPUTED_VALUE"""),29681.35)</f>
        <v>29681.35</v>
      </c>
      <c r="AP2126" s="6" t="str">
        <f t="shared" ca="1" si="609"/>
        <v>20266</v>
      </c>
      <c r="AQ2126" s="6">
        <f t="shared" ca="1" si="610"/>
        <v>2026</v>
      </c>
      <c r="AR2126" s="6">
        <f t="shared" ca="1" si="611"/>
        <v>6</v>
      </c>
      <c r="AS2126" s="68">
        <f ca="1">IFERROR(__xludf.DUMMYFUNCTION("""COMPUTED_VALUE"""),46197.9986111111)</f>
        <v>46197.998611111099</v>
      </c>
      <c r="AT2126" s="6">
        <f ca="1">IFERROR(__xludf.DUMMYFUNCTION("""COMPUTED_VALUE"""),4008.8)</f>
        <v>4008.8</v>
      </c>
    </row>
    <row r="2127" spans="2:46" x14ac:dyDescent="0.35">
      <c r="B2127" s="6" t="str">
        <f t="shared" ca="1" si="594"/>
        <v>20266</v>
      </c>
      <c r="C2127" s="6">
        <f t="shared" ca="1" si="595"/>
        <v>2026</v>
      </c>
      <c r="D2127" s="6">
        <f t="shared" ca="1" si="596"/>
        <v>6</v>
      </c>
      <c r="E2127" s="68">
        <f ca="1">IFERROR(__xludf.DUMMYFUNCTION("""COMPUTED_VALUE"""),46190.6666666666)</f>
        <v>46190.666666666599</v>
      </c>
      <c r="F2127" s="6">
        <f ca="1">IFERROR(__xludf.DUMMYFUNCTION("""COMPUTED_VALUE"""),7420.1)</f>
        <v>7420.1</v>
      </c>
      <c r="J2127" s="6" t="str">
        <f t="shared" ca="1" si="597"/>
        <v>20266</v>
      </c>
      <c r="K2127" s="6">
        <f t="shared" ca="1" si="598"/>
        <v>2026</v>
      </c>
      <c r="L2127" s="6">
        <f t="shared" ca="1" si="599"/>
        <v>6</v>
      </c>
      <c r="M2127" s="68">
        <f ca="1">IFERROR(__xludf.DUMMYFUNCTION("""COMPUTED_VALUE"""),46184.6666666666)</f>
        <v>46184.666666666599</v>
      </c>
      <c r="N2127" s="6">
        <f ca="1">IFERROR(__xludf.DUMMYFUNCTION("""COMPUTED_VALUE"""),25809.66)</f>
        <v>25809.66</v>
      </c>
      <c r="R2127" s="6" t="str">
        <f t="shared" si="600"/>
        <v>19001</v>
      </c>
      <c r="S2127" s="6">
        <f t="shared" si="601"/>
        <v>1900</v>
      </c>
      <c r="T2127" s="6">
        <f t="shared" si="602"/>
        <v>1</v>
      </c>
      <c r="Z2127" s="6" t="str">
        <f t="shared" ca="1" si="603"/>
        <v>202312</v>
      </c>
      <c r="AA2127" s="6">
        <f t="shared" ca="1" si="604"/>
        <v>2023</v>
      </c>
      <c r="AB2127" s="6">
        <f t="shared" ca="1" si="605"/>
        <v>12</v>
      </c>
      <c r="AC2127" s="68">
        <f ca="1">IFERROR(__xludf.DUMMYFUNCTION("""COMPUTED_VALUE"""),45278.9986111111)</f>
        <v>45278.998611111099</v>
      </c>
      <c r="AD2127" s="6">
        <f ca="1">IFERROR(__xludf.DUMMYFUNCTION("""COMPUTED_VALUE"""),1302.93)</f>
        <v>1302.93</v>
      </c>
      <c r="AH2127" s="6" t="str">
        <f t="shared" ca="1" si="606"/>
        <v>202310</v>
      </c>
      <c r="AI2127" s="6">
        <f t="shared" ca="1" si="607"/>
        <v>2023</v>
      </c>
      <c r="AJ2127" s="6">
        <f t="shared" ca="1" si="608"/>
        <v>10</v>
      </c>
      <c r="AK2127" s="68">
        <f ca="1">IFERROR(__xludf.DUMMYFUNCTION("""COMPUTED_VALUE"""),45220.9986111111)</f>
        <v>45220.998611111099</v>
      </c>
      <c r="AL2127" s="6">
        <f ca="1">IFERROR(__xludf.DUMMYFUNCTION("""COMPUTED_VALUE"""),29922.28)</f>
        <v>29922.28</v>
      </c>
      <c r="AP2127" s="6" t="str">
        <f t="shared" ca="1" si="609"/>
        <v>20266</v>
      </c>
      <c r="AQ2127" s="6">
        <f t="shared" ca="1" si="610"/>
        <v>2026</v>
      </c>
      <c r="AR2127" s="6">
        <f t="shared" ca="1" si="611"/>
        <v>6</v>
      </c>
      <c r="AS2127" s="68">
        <f ca="1">IFERROR(__xludf.DUMMYFUNCTION("""COMPUTED_VALUE"""),46198.9986111111)</f>
        <v>46198.998611111099</v>
      </c>
      <c r="AT2127" s="6">
        <f ca="1">IFERROR(__xludf.DUMMYFUNCTION("""COMPUTED_VALUE"""),4047.6)</f>
        <v>4047.6</v>
      </c>
    </row>
    <row r="2128" spans="2:46" x14ac:dyDescent="0.35">
      <c r="B2128" s="6" t="str">
        <f t="shared" ca="1" si="594"/>
        <v>20266</v>
      </c>
      <c r="C2128" s="6">
        <f t="shared" ca="1" si="595"/>
        <v>2026</v>
      </c>
      <c r="D2128" s="6">
        <f t="shared" ca="1" si="596"/>
        <v>6</v>
      </c>
      <c r="E2128" s="68">
        <f ca="1">IFERROR(__xludf.DUMMYFUNCTION("""COMPUTED_VALUE"""),46191.6666666666)</f>
        <v>46191.666666666599</v>
      </c>
      <c r="F2128" s="6">
        <f ca="1">IFERROR(__xludf.DUMMYFUNCTION("""COMPUTED_VALUE"""),7500.58)</f>
        <v>7500.58</v>
      </c>
      <c r="J2128" s="6" t="str">
        <f t="shared" ca="1" si="597"/>
        <v>20266</v>
      </c>
      <c r="K2128" s="6">
        <f t="shared" ca="1" si="598"/>
        <v>2026</v>
      </c>
      <c r="L2128" s="6">
        <f t="shared" ca="1" si="599"/>
        <v>6</v>
      </c>
      <c r="M2128" s="68">
        <f ca="1">IFERROR(__xludf.DUMMYFUNCTION("""COMPUTED_VALUE"""),46185.6666666666)</f>
        <v>46185.666666666599</v>
      </c>
      <c r="N2128" s="6">
        <f ca="1">IFERROR(__xludf.DUMMYFUNCTION("""COMPUTED_VALUE"""),25888.84)</f>
        <v>25888.84</v>
      </c>
      <c r="R2128" s="6" t="str">
        <f t="shared" si="600"/>
        <v>19001</v>
      </c>
      <c r="S2128" s="6">
        <f t="shared" si="601"/>
        <v>1900</v>
      </c>
      <c r="T2128" s="6">
        <f t="shared" si="602"/>
        <v>1</v>
      </c>
      <c r="Z2128" s="6" t="str">
        <f t="shared" ca="1" si="603"/>
        <v>202312</v>
      </c>
      <c r="AA2128" s="6">
        <f t="shared" ca="1" si="604"/>
        <v>2023</v>
      </c>
      <c r="AB2128" s="6">
        <f t="shared" ca="1" si="605"/>
        <v>12</v>
      </c>
      <c r="AC2128" s="68">
        <f ca="1">IFERROR(__xludf.DUMMYFUNCTION("""COMPUTED_VALUE"""),45279.9986111111)</f>
        <v>45279.998611111099</v>
      </c>
      <c r="AD2128" s="6">
        <f ca="1">IFERROR(__xludf.DUMMYFUNCTION("""COMPUTED_VALUE"""),1297.76)</f>
        <v>1297.76</v>
      </c>
      <c r="AH2128" s="6" t="str">
        <f t="shared" ca="1" si="606"/>
        <v>202310</v>
      </c>
      <c r="AI2128" s="6">
        <f t="shared" ca="1" si="607"/>
        <v>2023</v>
      </c>
      <c r="AJ2128" s="6">
        <f t="shared" ca="1" si="608"/>
        <v>10</v>
      </c>
      <c r="AK2128" s="68">
        <f ca="1">IFERROR(__xludf.DUMMYFUNCTION("""COMPUTED_VALUE"""),45221.9986111111)</f>
        <v>45221.998611111099</v>
      </c>
      <c r="AL2128" s="6">
        <f ca="1">IFERROR(__xludf.DUMMYFUNCTION("""COMPUTED_VALUE"""),29997.57)</f>
        <v>29997.57</v>
      </c>
      <c r="AP2128" s="6" t="str">
        <f t="shared" ca="1" si="609"/>
        <v>20266</v>
      </c>
      <c r="AQ2128" s="6">
        <f t="shared" ca="1" si="610"/>
        <v>2026</v>
      </c>
      <c r="AR2128" s="6">
        <f t="shared" ca="1" si="611"/>
        <v>6</v>
      </c>
      <c r="AS2128" s="68">
        <f ca="1">IFERROR(__xludf.DUMMYFUNCTION("""COMPUTED_VALUE"""),46199.9986111111)</f>
        <v>46199.998611111099</v>
      </c>
      <c r="AT2128" s="6">
        <f ca="1">IFERROR(__xludf.DUMMYFUNCTION("""COMPUTED_VALUE"""),4096.3)</f>
        <v>4096.3</v>
      </c>
    </row>
    <row r="2129" spans="2:46" x14ac:dyDescent="0.35">
      <c r="B2129" s="6" t="str">
        <f t="shared" ca="1" si="594"/>
        <v>20266</v>
      </c>
      <c r="C2129" s="6">
        <f t="shared" ca="1" si="595"/>
        <v>2026</v>
      </c>
      <c r="D2129" s="6">
        <f t="shared" ca="1" si="596"/>
        <v>6</v>
      </c>
      <c r="E2129" s="68">
        <f ca="1">IFERROR(__xludf.DUMMYFUNCTION("""COMPUTED_VALUE"""),46195.6666666666)</f>
        <v>46195.666666666599</v>
      </c>
      <c r="F2129" s="6">
        <f ca="1">IFERROR(__xludf.DUMMYFUNCTION("""COMPUTED_VALUE"""),7472.79)</f>
        <v>7472.79</v>
      </c>
      <c r="J2129" s="6" t="str">
        <f t="shared" ca="1" si="597"/>
        <v>20266</v>
      </c>
      <c r="K2129" s="6">
        <f t="shared" ca="1" si="598"/>
        <v>2026</v>
      </c>
      <c r="L2129" s="6">
        <f t="shared" ca="1" si="599"/>
        <v>6</v>
      </c>
      <c r="M2129" s="68">
        <f ca="1">IFERROR(__xludf.DUMMYFUNCTION("""COMPUTED_VALUE"""),46188.6666666666)</f>
        <v>46188.666666666599</v>
      </c>
      <c r="N2129" s="6">
        <f ca="1">IFERROR(__xludf.DUMMYFUNCTION("""COMPUTED_VALUE"""),26683.94)</f>
        <v>26683.94</v>
      </c>
      <c r="R2129" s="6" t="str">
        <f t="shared" si="600"/>
        <v>19001</v>
      </c>
      <c r="S2129" s="6">
        <f t="shared" si="601"/>
        <v>1900</v>
      </c>
      <c r="T2129" s="6">
        <f t="shared" si="602"/>
        <v>1</v>
      </c>
      <c r="Z2129" s="6" t="str">
        <f t="shared" ca="1" si="603"/>
        <v>202312</v>
      </c>
      <c r="AA2129" s="6">
        <f t="shared" ca="1" si="604"/>
        <v>2023</v>
      </c>
      <c r="AB2129" s="6">
        <f t="shared" ca="1" si="605"/>
        <v>12</v>
      </c>
      <c r="AC2129" s="68">
        <f ca="1">IFERROR(__xludf.DUMMYFUNCTION("""COMPUTED_VALUE"""),45280.9986111111)</f>
        <v>45280.998611111099</v>
      </c>
      <c r="AD2129" s="6">
        <f ca="1">IFERROR(__xludf.DUMMYFUNCTION("""COMPUTED_VALUE"""),1296.98)</f>
        <v>1296.98</v>
      </c>
      <c r="AH2129" s="6" t="str">
        <f t="shared" ca="1" si="606"/>
        <v>202310</v>
      </c>
      <c r="AI2129" s="6">
        <f t="shared" ca="1" si="607"/>
        <v>2023</v>
      </c>
      <c r="AJ2129" s="6">
        <f t="shared" ca="1" si="608"/>
        <v>10</v>
      </c>
      <c r="AK2129" s="68">
        <f ca="1">IFERROR(__xludf.DUMMYFUNCTION("""COMPUTED_VALUE"""),45222.9986111111)</f>
        <v>45222.998611111099</v>
      </c>
      <c r="AL2129" s="6">
        <f ca="1">IFERROR(__xludf.DUMMYFUNCTION("""COMPUTED_VALUE"""),33069.62)</f>
        <v>33069.620000000003</v>
      </c>
      <c r="AP2129" s="6" t="str">
        <f t="shared" ca="1" si="609"/>
        <v>20266</v>
      </c>
      <c r="AQ2129" s="6">
        <f t="shared" ca="1" si="610"/>
        <v>2026</v>
      </c>
      <c r="AR2129" s="6">
        <f t="shared" ca="1" si="611"/>
        <v>6</v>
      </c>
      <c r="AS2129" s="68">
        <f ca="1">IFERROR(__xludf.DUMMYFUNCTION("""COMPUTED_VALUE"""),46202.9986111111)</f>
        <v>46202.998611111099</v>
      </c>
      <c r="AT2129" s="6">
        <f ca="1">IFERROR(__xludf.DUMMYFUNCTION("""COMPUTED_VALUE"""),4038.9)</f>
        <v>4038.9</v>
      </c>
    </row>
    <row r="2130" spans="2:46" x14ac:dyDescent="0.35">
      <c r="B2130" s="6" t="str">
        <f t="shared" ca="1" si="594"/>
        <v>20266</v>
      </c>
      <c r="C2130" s="6">
        <f t="shared" ca="1" si="595"/>
        <v>2026</v>
      </c>
      <c r="D2130" s="6">
        <f t="shared" ca="1" si="596"/>
        <v>6</v>
      </c>
      <c r="E2130" s="68">
        <f ca="1">IFERROR(__xludf.DUMMYFUNCTION("""COMPUTED_VALUE"""),46196.6666666666)</f>
        <v>46196.666666666599</v>
      </c>
      <c r="F2130" s="6">
        <f ca="1">IFERROR(__xludf.DUMMYFUNCTION("""COMPUTED_VALUE"""),7365.46)</f>
        <v>7365.46</v>
      </c>
      <c r="J2130" s="6" t="str">
        <f t="shared" ca="1" si="597"/>
        <v>20266</v>
      </c>
      <c r="K2130" s="6">
        <f t="shared" ca="1" si="598"/>
        <v>2026</v>
      </c>
      <c r="L2130" s="6">
        <f t="shared" ca="1" si="599"/>
        <v>6</v>
      </c>
      <c r="M2130" s="68">
        <f ca="1">IFERROR(__xludf.DUMMYFUNCTION("""COMPUTED_VALUE"""),46189.6666666666)</f>
        <v>46189.666666666599</v>
      </c>
      <c r="N2130" s="6">
        <f ca="1">IFERROR(__xludf.DUMMYFUNCTION("""COMPUTED_VALUE"""),26376.34)</f>
        <v>26376.34</v>
      </c>
      <c r="R2130" s="6" t="str">
        <f t="shared" si="600"/>
        <v>19001</v>
      </c>
      <c r="S2130" s="6">
        <f t="shared" si="601"/>
        <v>1900</v>
      </c>
      <c r="T2130" s="6">
        <f t="shared" si="602"/>
        <v>1</v>
      </c>
      <c r="Z2130" s="6" t="str">
        <f t="shared" ca="1" si="603"/>
        <v>202312</v>
      </c>
      <c r="AA2130" s="6">
        <f t="shared" ca="1" si="604"/>
        <v>2023</v>
      </c>
      <c r="AB2130" s="6">
        <f t="shared" ca="1" si="605"/>
        <v>12</v>
      </c>
      <c r="AC2130" s="68">
        <f ca="1">IFERROR(__xludf.DUMMYFUNCTION("""COMPUTED_VALUE"""),45281.9986111111)</f>
        <v>45281.998611111099</v>
      </c>
      <c r="AD2130" s="6">
        <f ca="1">IFERROR(__xludf.DUMMYFUNCTION("""COMPUTED_VALUE"""),1291.71)</f>
        <v>1291.71</v>
      </c>
      <c r="AH2130" s="6" t="str">
        <f t="shared" ca="1" si="606"/>
        <v>202310</v>
      </c>
      <c r="AI2130" s="6">
        <f t="shared" ca="1" si="607"/>
        <v>2023</v>
      </c>
      <c r="AJ2130" s="6">
        <f t="shared" ca="1" si="608"/>
        <v>10</v>
      </c>
      <c r="AK2130" s="68">
        <f ca="1">IFERROR(__xludf.DUMMYFUNCTION("""COMPUTED_VALUE"""),45223.9986111111)</f>
        <v>45223.998611111099</v>
      </c>
      <c r="AL2130" s="6">
        <f ca="1">IFERROR(__xludf.DUMMYFUNCTION("""COMPUTED_VALUE"""),33919.16)</f>
        <v>33919.160000000003</v>
      </c>
      <c r="AP2130" s="6" t="str">
        <f t="shared" ca="1" si="609"/>
        <v>20266</v>
      </c>
      <c r="AQ2130" s="6">
        <f t="shared" ca="1" si="610"/>
        <v>2026</v>
      </c>
      <c r="AR2130" s="6">
        <f t="shared" ca="1" si="611"/>
        <v>6</v>
      </c>
      <c r="AS2130" s="68">
        <f ca="1">IFERROR(__xludf.DUMMYFUNCTION("""COMPUTED_VALUE"""),46203.9986111111)</f>
        <v>46203.998611111099</v>
      </c>
      <c r="AT2130" s="6">
        <f ca="1">IFERROR(__xludf.DUMMYFUNCTION("""COMPUTED_VALUE"""),4038.5)</f>
        <v>4038.5</v>
      </c>
    </row>
    <row r="2131" spans="2:46" x14ac:dyDescent="0.35">
      <c r="B2131" s="6" t="str">
        <f t="shared" ca="1" si="594"/>
        <v>20266</v>
      </c>
      <c r="C2131" s="6">
        <f t="shared" ca="1" si="595"/>
        <v>2026</v>
      </c>
      <c r="D2131" s="6">
        <f t="shared" ca="1" si="596"/>
        <v>6</v>
      </c>
      <c r="E2131" s="68">
        <f ca="1">IFERROR(__xludf.DUMMYFUNCTION("""COMPUTED_VALUE"""),46197.6666666666)</f>
        <v>46197.666666666599</v>
      </c>
      <c r="F2131" s="6">
        <f ca="1">IFERROR(__xludf.DUMMYFUNCTION("""COMPUTED_VALUE"""),7358.22)</f>
        <v>7358.22</v>
      </c>
      <c r="J2131" s="6" t="str">
        <f t="shared" ca="1" si="597"/>
        <v>20266</v>
      </c>
      <c r="K2131" s="6">
        <f t="shared" ca="1" si="598"/>
        <v>2026</v>
      </c>
      <c r="L2131" s="6">
        <f t="shared" ca="1" si="599"/>
        <v>6</v>
      </c>
      <c r="M2131" s="68">
        <f ca="1">IFERROR(__xludf.DUMMYFUNCTION("""COMPUTED_VALUE"""),46190.6666666666)</f>
        <v>46190.666666666599</v>
      </c>
      <c r="N2131" s="6">
        <f ca="1">IFERROR(__xludf.DUMMYFUNCTION("""COMPUTED_VALUE"""),26021.66)</f>
        <v>26021.66</v>
      </c>
      <c r="R2131" s="6" t="str">
        <f t="shared" si="600"/>
        <v>19001</v>
      </c>
      <c r="S2131" s="6">
        <f t="shared" si="601"/>
        <v>1900</v>
      </c>
      <c r="T2131" s="6">
        <f t="shared" si="602"/>
        <v>1</v>
      </c>
      <c r="Z2131" s="6" t="str">
        <f t="shared" ca="1" si="603"/>
        <v>202312</v>
      </c>
      <c r="AA2131" s="6">
        <f t="shared" ca="1" si="604"/>
        <v>2023</v>
      </c>
      <c r="AB2131" s="6">
        <f t="shared" ca="1" si="605"/>
        <v>12</v>
      </c>
      <c r="AC2131" s="68">
        <f ca="1">IFERROR(__xludf.DUMMYFUNCTION("""COMPUTED_VALUE"""),45282.9986111111)</f>
        <v>45282.998611111099</v>
      </c>
      <c r="AD2131" s="6">
        <f ca="1">IFERROR(__xludf.DUMMYFUNCTION("""COMPUTED_VALUE"""),1297.69)</f>
        <v>1297.69</v>
      </c>
      <c r="AH2131" s="6" t="str">
        <f t="shared" ca="1" si="606"/>
        <v>202310</v>
      </c>
      <c r="AI2131" s="6">
        <f t="shared" ca="1" si="607"/>
        <v>2023</v>
      </c>
      <c r="AJ2131" s="6">
        <f t="shared" ca="1" si="608"/>
        <v>10</v>
      </c>
      <c r="AK2131" s="68">
        <f ca="1">IFERROR(__xludf.DUMMYFUNCTION("""COMPUTED_VALUE"""),45224.9986111111)</f>
        <v>45224.998611111099</v>
      </c>
      <c r="AL2131" s="6">
        <f ca="1">IFERROR(__xludf.DUMMYFUNCTION("""COMPUTED_VALUE"""),34500.52)</f>
        <v>34500.519999999997</v>
      </c>
      <c r="AP2131" s="6" t="str">
        <f t="shared" ca="1" si="609"/>
        <v>20267</v>
      </c>
      <c r="AQ2131" s="6">
        <f t="shared" ca="1" si="610"/>
        <v>2026</v>
      </c>
      <c r="AR2131" s="6">
        <f t="shared" ca="1" si="611"/>
        <v>7</v>
      </c>
      <c r="AS2131" s="68">
        <f ca="1">IFERROR(__xludf.DUMMYFUNCTION("""COMPUTED_VALUE"""),46204.9986111111)</f>
        <v>46204.998611111099</v>
      </c>
      <c r="AT2131" s="6">
        <f ca="1">IFERROR(__xludf.DUMMYFUNCTION("""COMPUTED_VALUE"""),4082.4)</f>
        <v>4082.4</v>
      </c>
    </row>
    <row r="2132" spans="2:46" x14ac:dyDescent="0.35">
      <c r="B2132" s="6" t="str">
        <f t="shared" ca="1" si="594"/>
        <v>20266</v>
      </c>
      <c r="C2132" s="6">
        <f t="shared" ca="1" si="595"/>
        <v>2026</v>
      </c>
      <c r="D2132" s="6">
        <f t="shared" ca="1" si="596"/>
        <v>6</v>
      </c>
      <c r="E2132" s="68">
        <f ca="1">IFERROR(__xludf.DUMMYFUNCTION("""COMPUTED_VALUE"""),46198.6666666666)</f>
        <v>46198.666666666599</v>
      </c>
      <c r="F2132" s="6">
        <f ca="1">IFERROR(__xludf.DUMMYFUNCTION("""COMPUTED_VALUE"""),7357.49)</f>
        <v>7357.49</v>
      </c>
      <c r="J2132" s="6" t="str">
        <f t="shared" ca="1" si="597"/>
        <v>20266</v>
      </c>
      <c r="K2132" s="6">
        <f t="shared" ca="1" si="598"/>
        <v>2026</v>
      </c>
      <c r="L2132" s="6">
        <f t="shared" ca="1" si="599"/>
        <v>6</v>
      </c>
      <c r="M2132" s="68">
        <f ca="1">IFERROR(__xludf.DUMMYFUNCTION("""COMPUTED_VALUE"""),46191.6666666666)</f>
        <v>46191.666666666599</v>
      </c>
      <c r="N2132" s="6">
        <f ca="1">IFERROR(__xludf.DUMMYFUNCTION("""COMPUTED_VALUE"""),26517.93)</f>
        <v>26517.93</v>
      </c>
      <c r="R2132" s="6" t="str">
        <f t="shared" si="600"/>
        <v>19001</v>
      </c>
      <c r="S2132" s="6">
        <f t="shared" si="601"/>
        <v>1900</v>
      </c>
      <c r="T2132" s="6">
        <f t="shared" si="602"/>
        <v>1</v>
      </c>
      <c r="Z2132" s="6" t="str">
        <f t="shared" ca="1" si="603"/>
        <v>202312</v>
      </c>
      <c r="AA2132" s="6">
        <f t="shared" ca="1" si="604"/>
        <v>2023</v>
      </c>
      <c r="AB2132" s="6">
        <f t="shared" ca="1" si="605"/>
        <v>12</v>
      </c>
      <c r="AC2132" s="68">
        <f ca="1">IFERROR(__xludf.DUMMYFUNCTION("""COMPUTED_VALUE"""),45283.9986111111)</f>
        <v>45283.998611111099</v>
      </c>
      <c r="AD2132" s="6">
        <f ca="1">IFERROR(__xludf.DUMMYFUNCTION("""COMPUTED_VALUE"""),1297.03)</f>
        <v>1297.03</v>
      </c>
      <c r="AH2132" s="6" t="str">
        <f t="shared" ca="1" si="606"/>
        <v>202310</v>
      </c>
      <c r="AI2132" s="6">
        <f t="shared" ca="1" si="607"/>
        <v>2023</v>
      </c>
      <c r="AJ2132" s="6">
        <f t="shared" ca="1" si="608"/>
        <v>10</v>
      </c>
      <c r="AK2132" s="68">
        <f ca="1">IFERROR(__xludf.DUMMYFUNCTION("""COMPUTED_VALUE"""),45225.9986111111)</f>
        <v>45225.998611111099</v>
      </c>
      <c r="AL2132" s="6">
        <f ca="1">IFERROR(__xludf.DUMMYFUNCTION("""COMPUTED_VALUE"""),34155.89)</f>
        <v>34155.89</v>
      </c>
      <c r="AP2132" s="6" t="str">
        <f t="shared" ca="1" si="609"/>
        <v>20267</v>
      </c>
      <c r="AQ2132" s="6">
        <f t="shared" ca="1" si="610"/>
        <v>2026</v>
      </c>
      <c r="AR2132" s="6">
        <f t="shared" ca="1" si="611"/>
        <v>7</v>
      </c>
      <c r="AS2132" s="68">
        <f ca="1">IFERROR(__xludf.DUMMYFUNCTION("""COMPUTED_VALUE"""),46205.9986111111)</f>
        <v>46205.998611111099</v>
      </c>
      <c r="AT2132" s="6">
        <f ca="1">IFERROR(__xludf.DUMMYFUNCTION("""COMPUTED_VALUE"""),4125.7)</f>
        <v>4125.7</v>
      </c>
    </row>
    <row r="2133" spans="2:46" x14ac:dyDescent="0.35">
      <c r="B2133" s="6" t="str">
        <f t="shared" ca="1" si="594"/>
        <v>20266</v>
      </c>
      <c r="C2133" s="6">
        <f t="shared" ca="1" si="595"/>
        <v>2026</v>
      </c>
      <c r="D2133" s="6">
        <f t="shared" ca="1" si="596"/>
        <v>6</v>
      </c>
      <c r="E2133" s="68">
        <f ca="1">IFERROR(__xludf.DUMMYFUNCTION("""COMPUTED_VALUE"""),46199.6666666666)</f>
        <v>46199.666666666599</v>
      </c>
      <c r="F2133" s="6">
        <f ca="1">IFERROR(__xludf.DUMMYFUNCTION("""COMPUTED_VALUE"""),7354.02)</f>
        <v>7354.02</v>
      </c>
      <c r="J2133" s="6" t="str">
        <f t="shared" ca="1" si="597"/>
        <v>20266</v>
      </c>
      <c r="K2133" s="6">
        <f t="shared" ca="1" si="598"/>
        <v>2026</v>
      </c>
      <c r="L2133" s="6">
        <f t="shared" ca="1" si="599"/>
        <v>6</v>
      </c>
      <c r="M2133" s="68">
        <f ca="1">IFERROR(__xludf.DUMMYFUNCTION("""COMPUTED_VALUE"""),46195.6666666666)</f>
        <v>46195.666666666599</v>
      </c>
      <c r="N2133" s="6">
        <f ca="1">IFERROR(__xludf.DUMMYFUNCTION("""COMPUTED_VALUE"""),26166.6)</f>
        <v>26166.6</v>
      </c>
      <c r="R2133" s="6" t="str">
        <f t="shared" si="600"/>
        <v>19001</v>
      </c>
      <c r="S2133" s="6">
        <f t="shared" si="601"/>
        <v>1900</v>
      </c>
      <c r="T2133" s="6">
        <f t="shared" si="602"/>
        <v>1</v>
      </c>
      <c r="Z2133" s="6" t="str">
        <f t="shared" ca="1" si="603"/>
        <v>202312</v>
      </c>
      <c r="AA2133" s="6">
        <f t="shared" ca="1" si="604"/>
        <v>2023</v>
      </c>
      <c r="AB2133" s="6">
        <f t="shared" ca="1" si="605"/>
        <v>12</v>
      </c>
      <c r="AC2133" s="68">
        <f ca="1">IFERROR(__xludf.DUMMYFUNCTION("""COMPUTED_VALUE"""),45284.9986111111)</f>
        <v>45284.998611111099</v>
      </c>
      <c r="AD2133" s="6">
        <f ca="1">IFERROR(__xludf.DUMMYFUNCTION("""COMPUTED_VALUE"""),1297.36)</f>
        <v>1297.3599999999999</v>
      </c>
      <c r="AH2133" s="6" t="str">
        <f t="shared" ca="1" si="606"/>
        <v>202310</v>
      </c>
      <c r="AI2133" s="6">
        <f t="shared" ca="1" si="607"/>
        <v>2023</v>
      </c>
      <c r="AJ2133" s="6">
        <f t="shared" ca="1" si="608"/>
        <v>10</v>
      </c>
      <c r="AK2133" s="68">
        <f ca="1">IFERROR(__xludf.DUMMYFUNCTION("""COMPUTED_VALUE"""),45226.9986111111)</f>
        <v>45226.998611111099</v>
      </c>
      <c r="AL2133" s="6">
        <f ca="1">IFERROR(__xludf.DUMMYFUNCTION("""COMPUTED_VALUE"""),33906.76)</f>
        <v>33906.76</v>
      </c>
      <c r="AP2133" s="6" t="str">
        <f t="shared" ca="1" si="609"/>
        <v>20267</v>
      </c>
      <c r="AQ2133" s="6">
        <f t="shared" ca="1" si="610"/>
        <v>2026</v>
      </c>
      <c r="AR2133" s="6">
        <f t="shared" ca="1" si="611"/>
        <v>7</v>
      </c>
      <c r="AS2133" s="68">
        <f ca="1">IFERROR(__xludf.DUMMYFUNCTION("""COMPUTED_VALUE"""),46209.9986111111)</f>
        <v>46209.998611111099</v>
      </c>
      <c r="AT2133" s="6">
        <f ca="1">IFERROR(__xludf.DUMMYFUNCTION("""COMPUTED_VALUE"""),4167.5)</f>
        <v>4167.5</v>
      </c>
    </row>
    <row r="2134" spans="2:46" x14ac:dyDescent="0.35">
      <c r="B2134" s="6" t="str">
        <f t="shared" ca="1" si="594"/>
        <v>20266</v>
      </c>
      <c r="C2134" s="6">
        <f t="shared" ca="1" si="595"/>
        <v>2026</v>
      </c>
      <c r="D2134" s="6">
        <f t="shared" ca="1" si="596"/>
        <v>6</v>
      </c>
      <c r="E2134" s="68">
        <f ca="1">IFERROR(__xludf.DUMMYFUNCTION("""COMPUTED_VALUE"""),46202.6666666666)</f>
        <v>46202.666666666599</v>
      </c>
      <c r="F2134" s="6">
        <f ca="1">IFERROR(__xludf.DUMMYFUNCTION("""COMPUTED_VALUE"""),7440.43)</f>
        <v>7440.43</v>
      </c>
      <c r="J2134" s="6" t="str">
        <f t="shared" ca="1" si="597"/>
        <v>20266</v>
      </c>
      <c r="K2134" s="6">
        <f t="shared" ca="1" si="598"/>
        <v>2026</v>
      </c>
      <c r="L2134" s="6">
        <f t="shared" ca="1" si="599"/>
        <v>6</v>
      </c>
      <c r="M2134" s="68">
        <f ca="1">IFERROR(__xludf.DUMMYFUNCTION("""COMPUTED_VALUE"""),46196.6666666666)</f>
        <v>46196.666666666599</v>
      </c>
      <c r="N2134" s="6">
        <f ca="1">IFERROR(__xludf.DUMMYFUNCTION("""COMPUTED_VALUE"""),25587.04)</f>
        <v>25587.040000000001</v>
      </c>
      <c r="R2134" s="6" t="str">
        <f t="shared" si="600"/>
        <v>19001</v>
      </c>
      <c r="S2134" s="6">
        <f t="shared" si="601"/>
        <v>1900</v>
      </c>
      <c r="T2134" s="6">
        <f t="shared" si="602"/>
        <v>1</v>
      </c>
      <c r="Z2134" s="6" t="str">
        <f t="shared" ca="1" si="603"/>
        <v>202312</v>
      </c>
      <c r="AA2134" s="6">
        <f t="shared" ca="1" si="604"/>
        <v>2023</v>
      </c>
      <c r="AB2134" s="6">
        <f t="shared" ca="1" si="605"/>
        <v>12</v>
      </c>
      <c r="AC2134" s="68">
        <f ca="1">IFERROR(__xludf.DUMMYFUNCTION("""COMPUTED_VALUE"""),45285.9986111111)</f>
        <v>45285.998611111099</v>
      </c>
      <c r="AD2134" s="6">
        <f ca="1">IFERROR(__xludf.DUMMYFUNCTION("""COMPUTED_VALUE"""),1294.58)</f>
        <v>1294.58</v>
      </c>
      <c r="AH2134" s="6" t="str">
        <f t="shared" ca="1" si="606"/>
        <v>202310</v>
      </c>
      <c r="AI2134" s="6">
        <f t="shared" ca="1" si="607"/>
        <v>2023</v>
      </c>
      <c r="AJ2134" s="6">
        <f t="shared" ca="1" si="608"/>
        <v>10</v>
      </c>
      <c r="AK2134" s="68">
        <f ca="1">IFERROR(__xludf.DUMMYFUNCTION("""COMPUTED_VALUE"""),45227.9986111111)</f>
        <v>45227.998611111099</v>
      </c>
      <c r="AL2134" s="6">
        <f ca="1">IFERROR(__xludf.DUMMYFUNCTION("""COMPUTED_VALUE"""),34095.03)</f>
        <v>34095.03</v>
      </c>
      <c r="AP2134" s="6" t="str">
        <f t="shared" ca="1" si="609"/>
        <v>20267</v>
      </c>
      <c r="AQ2134" s="6">
        <f t="shared" ca="1" si="610"/>
        <v>2026</v>
      </c>
      <c r="AR2134" s="6">
        <f t="shared" ca="1" si="611"/>
        <v>7</v>
      </c>
      <c r="AS2134" s="68">
        <f ca="1">IFERROR(__xludf.DUMMYFUNCTION("""COMPUTED_VALUE"""),46210.9986111111)</f>
        <v>46210.998611111099</v>
      </c>
      <c r="AT2134" s="6">
        <f ca="1">IFERROR(__xludf.DUMMYFUNCTION("""COMPUTED_VALUE"""),4157.4)</f>
        <v>4157.3999999999996</v>
      </c>
    </row>
    <row r="2135" spans="2:46" x14ac:dyDescent="0.35">
      <c r="B2135" s="6" t="str">
        <f t="shared" ca="1" si="594"/>
        <v>20266</v>
      </c>
      <c r="C2135" s="6">
        <f t="shared" ca="1" si="595"/>
        <v>2026</v>
      </c>
      <c r="D2135" s="6">
        <f t="shared" ca="1" si="596"/>
        <v>6</v>
      </c>
      <c r="E2135" s="68">
        <f ca="1">IFERROR(__xludf.DUMMYFUNCTION("""COMPUTED_VALUE"""),46203.6666666666)</f>
        <v>46203.666666666599</v>
      </c>
      <c r="F2135" s="6">
        <f ca="1">IFERROR(__xludf.DUMMYFUNCTION("""COMPUTED_VALUE"""),7499.36)</f>
        <v>7499.36</v>
      </c>
      <c r="J2135" s="6" t="str">
        <f t="shared" ca="1" si="597"/>
        <v>20266</v>
      </c>
      <c r="K2135" s="6">
        <f t="shared" ca="1" si="598"/>
        <v>2026</v>
      </c>
      <c r="L2135" s="6">
        <f t="shared" ca="1" si="599"/>
        <v>6</v>
      </c>
      <c r="M2135" s="68">
        <f ca="1">IFERROR(__xludf.DUMMYFUNCTION("""COMPUTED_VALUE"""),46197.6666666666)</f>
        <v>46197.666666666599</v>
      </c>
      <c r="N2135" s="6">
        <f ca="1">IFERROR(__xludf.DUMMYFUNCTION("""COMPUTED_VALUE"""),25476.64)</f>
        <v>25476.639999999999</v>
      </c>
      <c r="R2135" s="6" t="str">
        <f t="shared" si="600"/>
        <v>19001</v>
      </c>
      <c r="S2135" s="6">
        <f t="shared" si="601"/>
        <v>1900</v>
      </c>
      <c r="T2135" s="6">
        <f t="shared" si="602"/>
        <v>1</v>
      </c>
      <c r="Z2135" s="6" t="str">
        <f t="shared" ca="1" si="603"/>
        <v>202312</v>
      </c>
      <c r="AA2135" s="6">
        <f t="shared" ca="1" si="604"/>
        <v>2023</v>
      </c>
      <c r="AB2135" s="6">
        <f t="shared" ca="1" si="605"/>
        <v>12</v>
      </c>
      <c r="AC2135" s="68">
        <f ca="1">IFERROR(__xludf.DUMMYFUNCTION("""COMPUTED_VALUE"""),45286.9986111111)</f>
        <v>45286.998611111099</v>
      </c>
      <c r="AD2135" s="6">
        <f ca="1">IFERROR(__xludf.DUMMYFUNCTION("""COMPUTED_VALUE"""),1293.92)</f>
        <v>1293.92</v>
      </c>
      <c r="AH2135" s="6" t="str">
        <f t="shared" ca="1" si="606"/>
        <v>202310</v>
      </c>
      <c r="AI2135" s="6">
        <f t="shared" ca="1" si="607"/>
        <v>2023</v>
      </c>
      <c r="AJ2135" s="6">
        <f t="shared" ca="1" si="608"/>
        <v>10</v>
      </c>
      <c r="AK2135" s="68">
        <f ca="1">IFERROR(__xludf.DUMMYFUNCTION("""COMPUTED_VALUE"""),45228.9986111111)</f>
        <v>45228.998611111099</v>
      </c>
      <c r="AL2135" s="6">
        <f ca="1">IFERROR(__xludf.DUMMYFUNCTION("""COMPUTED_VALUE"""),34537.25)</f>
        <v>34537.25</v>
      </c>
      <c r="AP2135" s="6" t="str">
        <f t="shared" ca="1" si="609"/>
        <v>20267</v>
      </c>
      <c r="AQ2135" s="6">
        <f t="shared" ca="1" si="610"/>
        <v>2026</v>
      </c>
      <c r="AR2135" s="6">
        <f t="shared" ca="1" si="611"/>
        <v>7</v>
      </c>
      <c r="AS2135" s="68">
        <f ca="1">IFERROR(__xludf.DUMMYFUNCTION("""COMPUTED_VALUE"""),46211.9986111111)</f>
        <v>46211.998611111099</v>
      </c>
      <c r="AT2135" s="6">
        <f ca="1">IFERROR(__xludf.DUMMYFUNCTION("""COMPUTED_VALUE"""),4082.4)</f>
        <v>4082.4</v>
      </c>
    </row>
    <row r="2136" spans="2:46" x14ac:dyDescent="0.35">
      <c r="B2136" s="6" t="str">
        <f t="shared" ca="1" si="594"/>
        <v>20267</v>
      </c>
      <c r="C2136" s="6">
        <f t="shared" ca="1" si="595"/>
        <v>2026</v>
      </c>
      <c r="D2136" s="6">
        <f t="shared" ca="1" si="596"/>
        <v>7</v>
      </c>
      <c r="E2136" s="68">
        <f ca="1">IFERROR(__xludf.DUMMYFUNCTION("""COMPUTED_VALUE"""),46204.6666666666)</f>
        <v>46204.666666666599</v>
      </c>
      <c r="F2136" s="6">
        <f ca="1">IFERROR(__xludf.DUMMYFUNCTION("""COMPUTED_VALUE"""),7483.23)</f>
        <v>7483.23</v>
      </c>
      <c r="J2136" s="6" t="str">
        <f t="shared" ca="1" si="597"/>
        <v>20266</v>
      </c>
      <c r="K2136" s="6">
        <f t="shared" ca="1" si="598"/>
        <v>2026</v>
      </c>
      <c r="L2136" s="6">
        <f t="shared" ca="1" si="599"/>
        <v>6</v>
      </c>
      <c r="M2136" s="68">
        <f ca="1">IFERROR(__xludf.DUMMYFUNCTION("""COMPUTED_VALUE"""),46198.6666666666)</f>
        <v>46198.666666666599</v>
      </c>
      <c r="N2136" s="6">
        <f ca="1">IFERROR(__xludf.DUMMYFUNCTION("""COMPUTED_VALUE"""),25358.6)</f>
        <v>25358.6</v>
      </c>
      <c r="R2136" s="6" t="str">
        <f t="shared" si="600"/>
        <v>19001</v>
      </c>
      <c r="S2136" s="6">
        <f t="shared" si="601"/>
        <v>1900</v>
      </c>
      <c r="T2136" s="6">
        <f t="shared" si="602"/>
        <v>1</v>
      </c>
      <c r="Z2136" s="6" t="str">
        <f t="shared" ca="1" si="603"/>
        <v>202312</v>
      </c>
      <c r="AA2136" s="6">
        <f t="shared" ca="1" si="604"/>
        <v>2023</v>
      </c>
      <c r="AB2136" s="6">
        <f t="shared" ca="1" si="605"/>
        <v>12</v>
      </c>
      <c r="AC2136" s="68">
        <f ca="1">IFERROR(__xludf.DUMMYFUNCTION("""COMPUTED_VALUE"""),45287.9986111111)</f>
        <v>45287.998611111099</v>
      </c>
      <c r="AD2136" s="6">
        <f ca="1">IFERROR(__xludf.DUMMYFUNCTION("""COMPUTED_VALUE"""),1294.76)</f>
        <v>1294.76</v>
      </c>
      <c r="AH2136" s="6" t="str">
        <f t="shared" ca="1" si="606"/>
        <v>202310</v>
      </c>
      <c r="AI2136" s="6">
        <f t="shared" ca="1" si="607"/>
        <v>2023</v>
      </c>
      <c r="AJ2136" s="6">
        <f t="shared" ca="1" si="608"/>
        <v>10</v>
      </c>
      <c r="AK2136" s="68">
        <f ca="1">IFERROR(__xludf.DUMMYFUNCTION("""COMPUTED_VALUE"""),45229.9986111111)</f>
        <v>45229.998611111099</v>
      </c>
      <c r="AL2136" s="6">
        <f ca="1">IFERROR(__xludf.DUMMYFUNCTION("""COMPUTED_VALUE"""),34494.36)</f>
        <v>34494.36</v>
      </c>
      <c r="AP2136" s="6" t="str">
        <f t="shared" ca="1" si="609"/>
        <v>20267</v>
      </c>
      <c r="AQ2136" s="6">
        <f t="shared" ca="1" si="610"/>
        <v>2026</v>
      </c>
      <c r="AR2136" s="6">
        <f t="shared" ca="1" si="611"/>
        <v>7</v>
      </c>
      <c r="AS2136" s="68">
        <f ca="1">IFERROR(__xludf.DUMMYFUNCTION("""COMPUTED_VALUE"""),46212.9986111111)</f>
        <v>46212.998611111099</v>
      </c>
      <c r="AT2136" s="6">
        <f ca="1">IFERROR(__xludf.DUMMYFUNCTION("""COMPUTED_VALUE"""),4140.8)</f>
        <v>4140.8</v>
      </c>
    </row>
    <row r="2137" spans="2:46" x14ac:dyDescent="0.35">
      <c r="B2137" s="6" t="str">
        <f t="shared" ca="1" si="594"/>
        <v>20267</v>
      </c>
      <c r="C2137" s="6">
        <f t="shared" ca="1" si="595"/>
        <v>2026</v>
      </c>
      <c r="D2137" s="6">
        <f t="shared" ca="1" si="596"/>
        <v>7</v>
      </c>
      <c r="E2137" s="68">
        <f ca="1">IFERROR(__xludf.DUMMYFUNCTION("""COMPUTED_VALUE"""),46205.6666666666)</f>
        <v>46205.666666666599</v>
      </c>
      <c r="F2137" s="6">
        <f ca="1">IFERROR(__xludf.DUMMYFUNCTION("""COMPUTED_VALUE"""),7483.24)</f>
        <v>7483.24</v>
      </c>
      <c r="J2137" s="6" t="str">
        <f t="shared" ca="1" si="597"/>
        <v>20266</v>
      </c>
      <c r="K2137" s="6">
        <f t="shared" ca="1" si="598"/>
        <v>2026</v>
      </c>
      <c r="L2137" s="6">
        <f t="shared" ca="1" si="599"/>
        <v>6</v>
      </c>
      <c r="M2137" s="68">
        <f ca="1">IFERROR(__xludf.DUMMYFUNCTION("""COMPUTED_VALUE"""),46199.6666666666)</f>
        <v>46199.666666666599</v>
      </c>
      <c r="N2137" s="6">
        <f ca="1">IFERROR(__xludf.DUMMYFUNCTION("""COMPUTED_VALUE"""),25297.62)</f>
        <v>25297.62</v>
      </c>
      <c r="R2137" s="6" t="str">
        <f t="shared" si="600"/>
        <v>19001</v>
      </c>
      <c r="S2137" s="6">
        <f t="shared" si="601"/>
        <v>1900</v>
      </c>
      <c r="T2137" s="6">
        <f t="shared" si="602"/>
        <v>1</v>
      </c>
      <c r="Z2137" s="6" t="str">
        <f t="shared" ca="1" si="603"/>
        <v>202312</v>
      </c>
      <c r="AA2137" s="6">
        <f t="shared" ca="1" si="604"/>
        <v>2023</v>
      </c>
      <c r="AB2137" s="6">
        <f t="shared" ca="1" si="605"/>
        <v>12</v>
      </c>
      <c r="AC2137" s="68">
        <f ca="1">IFERROR(__xludf.DUMMYFUNCTION("""COMPUTED_VALUE"""),45288.9986111111)</f>
        <v>45288.998611111099</v>
      </c>
      <c r="AD2137" s="6">
        <f ca="1">IFERROR(__xludf.DUMMYFUNCTION("""COMPUTED_VALUE"""),1277.84)</f>
        <v>1277.8399999999999</v>
      </c>
      <c r="AH2137" s="6" t="str">
        <f t="shared" ca="1" si="606"/>
        <v>202310</v>
      </c>
      <c r="AI2137" s="6">
        <f t="shared" ca="1" si="607"/>
        <v>2023</v>
      </c>
      <c r="AJ2137" s="6">
        <f t="shared" ca="1" si="608"/>
        <v>10</v>
      </c>
      <c r="AK2137" s="68">
        <f ca="1">IFERROR(__xludf.DUMMYFUNCTION("""COMPUTED_VALUE"""),45230.9986111111)</f>
        <v>45230.998611111099</v>
      </c>
      <c r="AL2137" s="6">
        <f ca="1">IFERROR(__xludf.DUMMYFUNCTION("""COMPUTED_VALUE"""),34661.5)</f>
        <v>34661.5</v>
      </c>
      <c r="AP2137" s="6" t="str">
        <f t="shared" ca="1" si="609"/>
        <v>20267</v>
      </c>
      <c r="AQ2137" s="6">
        <f t="shared" ca="1" si="610"/>
        <v>2026</v>
      </c>
      <c r="AR2137" s="6">
        <f t="shared" ca="1" si="611"/>
        <v>7</v>
      </c>
      <c r="AS2137" s="68">
        <f ca="1">IFERROR(__xludf.DUMMYFUNCTION("""COMPUTED_VALUE"""),46213.9986111111)</f>
        <v>46213.998611111099</v>
      </c>
      <c r="AT2137" s="6">
        <f ca="1">IFERROR(__xludf.DUMMYFUNCTION("""COMPUTED_VALUE"""),4113.7)</f>
        <v>4113.7</v>
      </c>
    </row>
    <row r="2138" spans="2:46" x14ac:dyDescent="0.35">
      <c r="B2138" s="6" t="str">
        <f t="shared" ca="1" si="594"/>
        <v>20267</v>
      </c>
      <c r="C2138" s="6">
        <f t="shared" ca="1" si="595"/>
        <v>2026</v>
      </c>
      <c r="D2138" s="6">
        <f t="shared" ca="1" si="596"/>
        <v>7</v>
      </c>
      <c r="E2138" s="68">
        <f ca="1">IFERROR(__xludf.DUMMYFUNCTION("""COMPUTED_VALUE"""),46209.6666666666)</f>
        <v>46209.666666666599</v>
      </c>
      <c r="F2138" s="6">
        <f ca="1">IFERROR(__xludf.DUMMYFUNCTION("""COMPUTED_VALUE"""),7537.43)</f>
        <v>7537.43</v>
      </c>
      <c r="J2138" s="6" t="str">
        <f t="shared" ca="1" si="597"/>
        <v>20266</v>
      </c>
      <c r="K2138" s="6">
        <f t="shared" ca="1" si="598"/>
        <v>2026</v>
      </c>
      <c r="L2138" s="6">
        <f t="shared" ca="1" si="599"/>
        <v>6</v>
      </c>
      <c r="M2138" s="68">
        <f ca="1">IFERROR(__xludf.DUMMYFUNCTION("""COMPUTED_VALUE"""),46202.6666666666)</f>
        <v>46202.666666666599</v>
      </c>
      <c r="N2138" s="6">
        <f ca="1">IFERROR(__xludf.DUMMYFUNCTION("""COMPUTED_VALUE"""),25820.14)</f>
        <v>25820.14</v>
      </c>
      <c r="R2138" s="6" t="str">
        <f t="shared" si="600"/>
        <v>19001</v>
      </c>
      <c r="S2138" s="6">
        <f t="shared" si="601"/>
        <v>1900</v>
      </c>
      <c r="T2138" s="6">
        <f t="shared" si="602"/>
        <v>1</v>
      </c>
      <c r="Z2138" s="6" t="str">
        <f t="shared" ca="1" si="603"/>
        <v>202312</v>
      </c>
      <c r="AA2138" s="6">
        <f t="shared" ca="1" si="604"/>
        <v>2023</v>
      </c>
      <c r="AB2138" s="6">
        <f t="shared" ca="1" si="605"/>
        <v>12</v>
      </c>
      <c r="AC2138" s="68">
        <f ca="1">IFERROR(__xludf.DUMMYFUNCTION("""COMPUTED_VALUE"""),45289.9986111111)</f>
        <v>45289.998611111099</v>
      </c>
      <c r="AD2138" s="6">
        <f ca="1">IFERROR(__xludf.DUMMYFUNCTION("""COMPUTED_VALUE"""),1293.53)</f>
        <v>1293.53</v>
      </c>
      <c r="AH2138" s="6" t="str">
        <f t="shared" ca="1" si="606"/>
        <v>202311</v>
      </c>
      <c r="AI2138" s="6">
        <f t="shared" ca="1" si="607"/>
        <v>2023</v>
      </c>
      <c r="AJ2138" s="6">
        <f t="shared" ca="1" si="608"/>
        <v>11</v>
      </c>
      <c r="AK2138" s="68">
        <f ca="1">IFERROR(__xludf.DUMMYFUNCTION("""COMPUTED_VALUE"""),45231.9986111111)</f>
        <v>45231.998611111099</v>
      </c>
      <c r="AL2138" s="6">
        <f ca="1">IFERROR(__xludf.DUMMYFUNCTION("""COMPUTED_VALUE"""),35436)</f>
        <v>35436</v>
      </c>
      <c r="AP2138" s="6" t="str">
        <f t="shared" ca="1" si="609"/>
        <v>20267</v>
      </c>
      <c r="AQ2138" s="6">
        <f t="shared" ca="1" si="610"/>
        <v>2026</v>
      </c>
      <c r="AR2138" s="6">
        <f t="shared" ca="1" si="611"/>
        <v>7</v>
      </c>
      <c r="AS2138" s="68">
        <f ca="1">IFERROR(__xludf.DUMMYFUNCTION("""COMPUTED_VALUE"""),46216.9986111111)</f>
        <v>46216.998611111099</v>
      </c>
      <c r="AT2138" s="6">
        <f ca="1">IFERROR(__xludf.DUMMYFUNCTION("""COMPUTED_VALUE"""),4005.7)</f>
        <v>4005.7</v>
      </c>
    </row>
    <row r="2139" spans="2:46" x14ac:dyDescent="0.35">
      <c r="B2139" s="6" t="str">
        <f t="shared" ca="1" si="594"/>
        <v>20267</v>
      </c>
      <c r="C2139" s="6">
        <f t="shared" ca="1" si="595"/>
        <v>2026</v>
      </c>
      <c r="D2139" s="6">
        <f t="shared" ca="1" si="596"/>
        <v>7</v>
      </c>
      <c r="E2139" s="68">
        <f ca="1">IFERROR(__xludf.DUMMYFUNCTION("""COMPUTED_VALUE"""),46210.6666666666)</f>
        <v>46210.666666666599</v>
      </c>
      <c r="F2139" s="6">
        <f ca="1">IFERROR(__xludf.DUMMYFUNCTION("""COMPUTED_VALUE"""),7503.85)</f>
        <v>7503.85</v>
      </c>
      <c r="J2139" s="6" t="str">
        <f t="shared" ca="1" si="597"/>
        <v>20266</v>
      </c>
      <c r="K2139" s="6">
        <f t="shared" ca="1" si="598"/>
        <v>2026</v>
      </c>
      <c r="L2139" s="6">
        <f t="shared" ca="1" si="599"/>
        <v>6</v>
      </c>
      <c r="M2139" s="68">
        <f ca="1">IFERROR(__xludf.DUMMYFUNCTION("""COMPUTED_VALUE"""),46203.6666666666)</f>
        <v>46203.666666666599</v>
      </c>
      <c r="N2139" s="6">
        <f ca="1">IFERROR(__xludf.DUMMYFUNCTION("""COMPUTED_VALUE"""),26213.72)</f>
        <v>26213.72</v>
      </c>
      <c r="R2139" s="6" t="str">
        <f t="shared" si="600"/>
        <v>19001</v>
      </c>
      <c r="S2139" s="6">
        <f t="shared" si="601"/>
        <v>1900</v>
      </c>
      <c r="T2139" s="6">
        <f t="shared" si="602"/>
        <v>1</v>
      </c>
      <c r="Z2139" s="6" t="str">
        <f t="shared" ca="1" si="603"/>
        <v>202312</v>
      </c>
      <c r="AA2139" s="6">
        <f t="shared" ca="1" si="604"/>
        <v>2023</v>
      </c>
      <c r="AB2139" s="6">
        <f t="shared" ca="1" si="605"/>
        <v>12</v>
      </c>
      <c r="AC2139" s="68">
        <f ca="1">IFERROR(__xludf.DUMMYFUNCTION("""COMPUTED_VALUE"""),45290.9986111111)</f>
        <v>45290.998611111099</v>
      </c>
      <c r="AD2139" s="6">
        <f ca="1">IFERROR(__xludf.DUMMYFUNCTION("""COMPUTED_VALUE"""),1293.53)</f>
        <v>1293.53</v>
      </c>
      <c r="AH2139" s="6" t="str">
        <f t="shared" ca="1" si="606"/>
        <v>202311</v>
      </c>
      <c r="AI2139" s="6">
        <f t="shared" ca="1" si="607"/>
        <v>2023</v>
      </c>
      <c r="AJ2139" s="6">
        <f t="shared" ca="1" si="608"/>
        <v>11</v>
      </c>
      <c r="AK2139" s="68">
        <f ca="1">IFERROR(__xludf.DUMMYFUNCTION("""COMPUTED_VALUE"""),45232.9986111111)</f>
        <v>45232.998611111099</v>
      </c>
      <c r="AL2139" s="6">
        <f ca="1">IFERROR(__xludf.DUMMYFUNCTION("""COMPUTED_VALUE"""),34945.19)</f>
        <v>34945.19</v>
      </c>
      <c r="AP2139" s="6" t="str">
        <f t="shared" ca="1" si="609"/>
        <v>20267</v>
      </c>
      <c r="AQ2139" s="6">
        <f t="shared" ca="1" si="610"/>
        <v>2026</v>
      </c>
      <c r="AR2139" s="6">
        <f t="shared" ca="1" si="611"/>
        <v>7</v>
      </c>
      <c r="AS2139" s="68">
        <f ca="1">IFERROR(__xludf.DUMMYFUNCTION("""COMPUTED_VALUE"""),46217.9986111111)</f>
        <v>46217.998611111099</v>
      </c>
      <c r="AT2139" s="6">
        <f ca="1">IFERROR(__xludf.DUMMYFUNCTION("""COMPUTED_VALUE"""),4069.7)</f>
        <v>4069.7</v>
      </c>
    </row>
    <row r="2140" spans="2:46" x14ac:dyDescent="0.35">
      <c r="B2140" s="6" t="str">
        <f t="shared" ca="1" si="594"/>
        <v>20267</v>
      </c>
      <c r="C2140" s="6">
        <f t="shared" ca="1" si="595"/>
        <v>2026</v>
      </c>
      <c r="D2140" s="6">
        <f t="shared" ca="1" si="596"/>
        <v>7</v>
      </c>
      <c r="E2140" s="68">
        <f ca="1">IFERROR(__xludf.DUMMYFUNCTION("""COMPUTED_VALUE"""),46211.6666666666)</f>
        <v>46211.666666666599</v>
      </c>
      <c r="F2140" s="6">
        <f ca="1">IFERROR(__xludf.DUMMYFUNCTION("""COMPUTED_VALUE"""),7482.71)</f>
        <v>7482.71</v>
      </c>
      <c r="J2140" s="6" t="str">
        <f t="shared" ca="1" si="597"/>
        <v>20267</v>
      </c>
      <c r="K2140" s="6">
        <f t="shared" ca="1" si="598"/>
        <v>2026</v>
      </c>
      <c r="L2140" s="6">
        <f t="shared" ca="1" si="599"/>
        <v>7</v>
      </c>
      <c r="M2140" s="68">
        <f ca="1">IFERROR(__xludf.DUMMYFUNCTION("""COMPUTED_VALUE"""),46204.6666666666)</f>
        <v>46204.666666666599</v>
      </c>
      <c r="N2140" s="6">
        <f ca="1">IFERROR(__xludf.DUMMYFUNCTION("""COMPUTED_VALUE"""),26040.03)</f>
        <v>26040.03</v>
      </c>
      <c r="R2140" s="6" t="str">
        <f t="shared" si="600"/>
        <v>19001</v>
      </c>
      <c r="S2140" s="6">
        <f t="shared" si="601"/>
        <v>1900</v>
      </c>
      <c r="T2140" s="6">
        <f t="shared" si="602"/>
        <v>1</v>
      </c>
      <c r="Z2140" s="6" t="str">
        <f t="shared" ca="1" si="603"/>
        <v>202312</v>
      </c>
      <c r="AA2140" s="6">
        <f t="shared" ca="1" si="604"/>
        <v>2023</v>
      </c>
      <c r="AB2140" s="6">
        <f t="shared" ca="1" si="605"/>
        <v>12</v>
      </c>
      <c r="AC2140" s="68">
        <f ca="1">IFERROR(__xludf.DUMMYFUNCTION("""COMPUTED_VALUE"""),45291.9986111111)</f>
        <v>45291.998611111099</v>
      </c>
      <c r="AD2140" s="6">
        <f ca="1">IFERROR(__xludf.DUMMYFUNCTION("""COMPUTED_VALUE"""),1293.53)</f>
        <v>1293.53</v>
      </c>
      <c r="AH2140" s="6" t="str">
        <f t="shared" ca="1" si="606"/>
        <v>202311</v>
      </c>
      <c r="AI2140" s="6">
        <f t="shared" ca="1" si="607"/>
        <v>2023</v>
      </c>
      <c r="AJ2140" s="6">
        <f t="shared" ca="1" si="608"/>
        <v>11</v>
      </c>
      <c r="AK2140" s="68">
        <f ca="1">IFERROR(__xludf.DUMMYFUNCTION("""COMPUTED_VALUE"""),45233.9986111111)</f>
        <v>45233.998611111099</v>
      </c>
      <c r="AL2140" s="6">
        <f ca="1">IFERROR(__xludf.DUMMYFUNCTION("""COMPUTED_VALUE"""),34741.35)</f>
        <v>34741.35</v>
      </c>
      <c r="AP2140" s="6" t="str">
        <f t="shared" ca="1" si="609"/>
        <v>20267</v>
      </c>
      <c r="AQ2140" s="6">
        <f t="shared" ca="1" si="610"/>
        <v>2026</v>
      </c>
      <c r="AR2140" s="6">
        <f t="shared" ca="1" si="611"/>
        <v>7</v>
      </c>
      <c r="AS2140" s="68">
        <f ca="1">IFERROR(__xludf.DUMMYFUNCTION("""COMPUTED_VALUE"""),46218.9986111111)</f>
        <v>46218.998611111099</v>
      </c>
      <c r="AT2140" s="6">
        <f ca="1">IFERROR(__xludf.DUMMYFUNCTION("""COMPUTED_VALUE"""),4051.8)</f>
        <v>4051.8</v>
      </c>
    </row>
    <row r="2141" spans="2:46" x14ac:dyDescent="0.35">
      <c r="B2141" s="6" t="str">
        <f t="shared" ca="1" si="594"/>
        <v>20267</v>
      </c>
      <c r="C2141" s="6">
        <f t="shared" ca="1" si="595"/>
        <v>2026</v>
      </c>
      <c r="D2141" s="6">
        <f t="shared" ca="1" si="596"/>
        <v>7</v>
      </c>
      <c r="E2141" s="68">
        <f ca="1">IFERROR(__xludf.DUMMYFUNCTION("""COMPUTED_VALUE"""),46212.6666666666)</f>
        <v>46212.666666666599</v>
      </c>
      <c r="F2141" s="6">
        <f ca="1">IFERROR(__xludf.DUMMYFUNCTION("""COMPUTED_VALUE"""),7543.64)</f>
        <v>7543.64</v>
      </c>
      <c r="J2141" s="6" t="str">
        <f t="shared" ca="1" si="597"/>
        <v>20267</v>
      </c>
      <c r="K2141" s="6">
        <f t="shared" ca="1" si="598"/>
        <v>2026</v>
      </c>
      <c r="L2141" s="6">
        <f t="shared" ca="1" si="599"/>
        <v>7</v>
      </c>
      <c r="M2141" s="68">
        <f ca="1">IFERROR(__xludf.DUMMYFUNCTION("""COMPUTED_VALUE"""),46205.6666666666)</f>
        <v>46205.666666666599</v>
      </c>
      <c r="N2141" s="6">
        <f ca="1">IFERROR(__xludf.DUMMYFUNCTION("""COMPUTED_VALUE"""),25832.67)</f>
        <v>25832.67</v>
      </c>
      <c r="R2141" s="6" t="str">
        <f t="shared" si="600"/>
        <v>19001</v>
      </c>
      <c r="S2141" s="6">
        <f t="shared" si="601"/>
        <v>1900</v>
      </c>
      <c r="T2141" s="6">
        <f t="shared" si="602"/>
        <v>1</v>
      </c>
      <c r="Z2141" s="6" t="str">
        <f t="shared" ca="1" si="603"/>
        <v>20241</v>
      </c>
      <c r="AA2141" s="6">
        <f t="shared" ca="1" si="604"/>
        <v>2024</v>
      </c>
      <c r="AB2141" s="6">
        <f t="shared" ca="1" si="605"/>
        <v>1</v>
      </c>
      <c r="AC2141" s="68">
        <f ca="1">IFERROR(__xludf.DUMMYFUNCTION("""COMPUTED_VALUE"""),45292.9986111111)</f>
        <v>45292.998611111099</v>
      </c>
      <c r="AD2141" s="6">
        <f ca="1">IFERROR(__xludf.DUMMYFUNCTION("""COMPUTED_VALUE"""),1293.54)</f>
        <v>1293.54</v>
      </c>
      <c r="AH2141" s="6" t="str">
        <f t="shared" ca="1" si="606"/>
        <v>202311</v>
      </c>
      <c r="AI2141" s="6">
        <f t="shared" ca="1" si="607"/>
        <v>2023</v>
      </c>
      <c r="AJ2141" s="6">
        <f t="shared" ca="1" si="608"/>
        <v>11</v>
      </c>
      <c r="AK2141" s="68">
        <f ca="1">IFERROR(__xludf.DUMMYFUNCTION("""COMPUTED_VALUE"""),45234.9986111111)</f>
        <v>45234.998611111099</v>
      </c>
      <c r="AL2141" s="6">
        <f ca="1">IFERROR(__xludf.DUMMYFUNCTION("""COMPUTED_VALUE"""),35103.04)</f>
        <v>35103.040000000001</v>
      </c>
      <c r="AP2141" s="6" t="str">
        <f t="shared" ca="1" si="609"/>
        <v>20267</v>
      </c>
      <c r="AQ2141" s="6">
        <f t="shared" ca="1" si="610"/>
        <v>2026</v>
      </c>
      <c r="AR2141" s="6">
        <f t="shared" ca="1" si="611"/>
        <v>7</v>
      </c>
      <c r="AS2141" s="68">
        <f ca="1">IFERROR(__xludf.DUMMYFUNCTION("""COMPUTED_VALUE"""),46219.9986111111)</f>
        <v>46219.998611111099</v>
      </c>
      <c r="AT2141" s="6">
        <f ca="1">IFERROR(__xludf.DUMMYFUNCTION("""COMPUTED_VALUE"""),3992.1)</f>
        <v>3992.1</v>
      </c>
    </row>
    <row r="2142" spans="2:46" x14ac:dyDescent="0.35">
      <c r="B2142" s="6" t="str">
        <f t="shared" ca="1" si="594"/>
        <v>20267</v>
      </c>
      <c r="C2142" s="6">
        <f t="shared" ca="1" si="595"/>
        <v>2026</v>
      </c>
      <c r="D2142" s="6">
        <f t="shared" ca="1" si="596"/>
        <v>7</v>
      </c>
      <c r="E2142" s="68">
        <f ca="1">IFERROR(__xludf.DUMMYFUNCTION("""COMPUTED_VALUE"""),46213.6666666666)</f>
        <v>46213.666666666599</v>
      </c>
      <c r="F2142" s="6">
        <f ca="1">IFERROR(__xludf.DUMMYFUNCTION("""COMPUTED_VALUE"""),7575.39)</f>
        <v>7575.39</v>
      </c>
      <c r="J2142" s="6" t="str">
        <f t="shared" ca="1" si="597"/>
        <v>20267</v>
      </c>
      <c r="K2142" s="6">
        <f t="shared" ca="1" si="598"/>
        <v>2026</v>
      </c>
      <c r="L2142" s="6">
        <f t="shared" ca="1" si="599"/>
        <v>7</v>
      </c>
      <c r="M2142" s="68">
        <f ca="1">IFERROR(__xludf.DUMMYFUNCTION("""COMPUTED_VALUE"""),46209.6666666666)</f>
        <v>46209.666666666599</v>
      </c>
      <c r="N2142" s="6">
        <f ca="1">IFERROR(__xludf.DUMMYFUNCTION("""COMPUTED_VALUE"""),26121.16)</f>
        <v>26121.16</v>
      </c>
      <c r="R2142" s="6" t="str">
        <f t="shared" si="600"/>
        <v>19001</v>
      </c>
      <c r="S2142" s="6">
        <f t="shared" si="601"/>
        <v>1900</v>
      </c>
      <c r="T2142" s="6">
        <f t="shared" si="602"/>
        <v>1</v>
      </c>
      <c r="Z2142" s="6" t="str">
        <f t="shared" ca="1" si="603"/>
        <v>20241</v>
      </c>
      <c r="AA2142" s="6">
        <f t="shared" ca="1" si="604"/>
        <v>2024</v>
      </c>
      <c r="AB2142" s="6">
        <f t="shared" ca="1" si="605"/>
        <v>1</v>
      </c>
      <c r="AC2142" s="68">
        <f ca="1">IFERROR(__xludf.DUMMYFUNCTION("""COMPUTED_VALUE"""),45293.9986111111)</f>
        <v>45293.998611111099</v>
      </c>
      <c r="AD2142" s="6">
        <f ca="1">IFERROR(__xludf.DUMMYFUNCTION("""COMPUTED_VALUE"""),1307.62)</f>
        <v>1307.6199999999999</v>
      </c>
      <c r="AH2142" s="6" t="str">
        <f t="shared" ca="1" si="606"/>
        <v>202311</v>
      </c>
      <c r="AI2142" s="6">
        <f t="shared" ca="1" si="607"/>
        <v>2023</v>
      </c>
      <c r="AJ2142" s="6">
        <f t="shared" ca="1" si="608"/>
        <v>11</v>
      </c>
      <c r="AK2142" s="68">
        <f ca="1">IFERROR(__xludf.DUMMYFUNCTION("""COMPUTED_VALUE"""),45235.9986111111)</f>
        <v>45235.998611111099</v>
      </c>
      <c r="AL2142" s="6">
        <f ca="1">IFERROR(__xludf.DUMMYFUNCTION("""COMPUTED_VALUE"""),35052.37)</f>
        <v>35052.370000000003</v>
      </c>
      <c r="AP2142" s="6" t="str">
        <f t="shared" ca="1" si="609"/>
        <v>20267</v>
      </c>
      <c r="AQ2142" s="6">
        <f t="shared" ca="1" si="610"/>
        <v>2026</v>
      </c>
      <c r="AR2142" s="6">
        <f t="shared" ca="1" si="611"/>
        <v>7</v>
      </c>
      <c r="AS2142" s="68">
        <f ca="1">IFERROR(__xludf.DUMMYFUNCTION("""COMPUTED_VALUE"""),46220.9986111111)</f>
        <v>46220.998611111099</v>
      </c>
      <c r="AT2142" s="6">
        <f ca="1">IFERROR(__xludf.DUMMYFUNCTION("""COMPUTED_VALUE"""),4018.8)</f>
        <v>4018.8</v>
      </c>
    </row>
    <row r="2143" spans="2:46" x14ac:dyDescent="0.35">
      <c r="B2143" s="6" t="str">
        <f t="shared" ca="1" si="594"/>
        <v>20267</v>
      </c>
      <c r="C2143" s="6">
        <f t="shared" ca="1" si="595"/>
        <v>2026</v>
      </c>
      <c r="D2143" s="6">
        <f t="shared" ca="1" si="596"/>
        <v>7</v>
      </c>
      <c r="E2143" s="68">
        <f ca="1">IFERROR(__xludf.DUMMYFUNCTION("""COMPUTED_VALUE"""),46216.6666666666)</f>
        <v>46216.666666666599</v>
      </c>
      <c r="F2143" s="6">
        <f ca="1">IFERROR(__xludf.DUMMYFUNCTION("""COMPUTED_VALUE"""),7515.34)</f>
        <v>7515.34</v>
      </c>
      <c r="J2143" s="6" t="str">
        <f t="shared" ca="1" si="597"/>
        <v>20267</v>
      </c>
      <c r="K2143" s="6">
        <f t="shared" ca="1" si="598"/>
        <v>2026</v>
      </c>
      <c r="L2143" s="6">
        <f t="shared" ca="1" si="599"/>
        <v>7</v>
      </c>
      <c r="M2143" s="68">
        <f ca="1">IFERROR(__xludf.DUMMYFUNCTION("""COMPUTED_VALUE"""),46210.6666666666)</f>
        <v>46210.666666666599</v>
      </c>
      <c r="N2143" s="6">
        <f ca="1">IFERROR(__xludf.DUMMYFUNCTION("""COMPUTED_VALUE"""),25818.69)</f>
        <v>25818.69</v>
      </c>
      <c r="R2143" s="6" t="str">
        <f t="shared" si="600"/>
        <v>19001</v>
      </c>
      <c r="S2143" s="6">
        <f t="shared" si="601"/>
        <v>1900</v>
      </c>
      <c r="T2143" s="6">
        <f t="shared" si="602"/>
        <v>1</v>
      </c>
      <c r="Z2143" s="6" t="str">
        <f t="shared" ca="1" si="603"/>
        <v>20241</v>
      </c>
      <c r="AA2143" s="6">
        <f t="shared" ca="1" si="604"/>
        <v>2024</v>
      </c>
      <c r="AB2143" s="6">
        <f t="shared" ca="1" si="605"/>
        <v>1</v>
      </c>
      <c r="AC2143" s="68">
        <f ca="1">IFERROR(__xludf.DUMMYFUNCTION("""COMPUTED_VALUE"""),45294.9986111111)</f>
        <v>45294.998611111099</v>
      </c>
      <c r="AD2143" s="6">
        <f ca="1">IFERROR(__xludf.DUMMYFUNCTION("""COMPUTED_VALUE"""),1309.53)</f>
        <v>1309.53</v>
      </c>
      <c r="AH2143" s="6" t="str">
        <f t="shared" ca="1" si="606"/>
        <v>202311</v>
      </c>
      <c r="AI2143" s="6">
        <f t="shared" ca="1" si="607"/>
        <v>2023</v>
      </c>
      <c r="AJ2143" s="6">
        <f t="shared" ca="1" si="608"/>
        <v>11</v>
      </c>
      <c r="AK2143" s="68">
        <f ca="1">IFERROR(__xludf.DUMMYFUNCTION("""COMPUTED_VALUE"""),45236.9986111111)</f>
        <v>45236.998611111099</v>
      </c>
      <c r="AL2143" s="6">
        <f ca="1">IFERROR(__xludf.DUMMYFUNCTION("""COMPUTED_VALUE"""),35055.07)</f>
        <v>35055.07</v>
      </c>
      <c r="AP2143" s="6" t="str">
        <f t="shared" si="609"/>
        <v>19001</v>
      </c>
      <c r="AQ2143" s="6">
        <f t="shared" si="610"/>
        <v>1900</v>
      </c>
      <c r="AR2143" s="6">
        <f t="shared" si="611"/>
        <v>1</v>
      </c>
    </row>
    <row r="2144" spans="2:46" x14ac:dyDescent="0.35">
      <c r="B2144" s="6" t="str">
        <f t="shared" ca="1" si="594"/>
        <v>20267</v>
      </c>
      <c r="C2144" s="6">
        <f t="shared" ca="1" si="595"/>
        <v>2026</v>
      </c>
      <c r="D2144" s="6">
        <f t="shared" ca="1" si="596"/>
        <v>7</v>
      </c>
      <c r="E2144" s="68">
        <f ca="1">IFERROR(__xludf.DUMMYFUNCTION("""COMPUTED_VALUE"""),46217.6666666666)</f>
        <v>46217.666666666599</v>
      </c>
      <c r="F2144" s="6">
        <f ca="1">IFERROR(__xludf.DUMMYFUNCTION("""COMPUTED_VALUE"""),7543.59)</f>
        <v>7543.59</v>
      </c>
      <c r="J2144" s="6" t="str">
        <f t="shared" ca="1" si="597"/>
        <v>20267</v>
      </c>
      <c r="K2144" s="6">
        <f t="shared" ca="1" si="598"/>
        <v>2026</v>
      </c>
      <c r="L2144" s="6">
        <f t="shared" ca="1" si="599"/>
        <v>7</v>
      </c>
      <c r="M2144" s="68">
        <f ca="1">IFERROR(__xludf.DUMMYFUNCTION("""COMPUTED_VALUE"""),46211.6666666666)</f>
        <v>46211.666666666599</v>
      </c>
      <c r="N2144" s="6">
        <f ca="1">IFERROR(__xludf.DUMMYFUNCTION("""COMPUTED_VALUE"""),25870.65)</f>
        <v>25870.65</v>
      </c>
      <c r="R2144" s="6" t="str">
        <f t="shared" si="600"/>
        <v>19001</v>
      </c>
      <c r="S2144" s="6">
        <f t="shared" si="601"/>
        <v>1900</v>
      </c>
      <c r="T2144" s="6">
        <f t="shared" si="602"/>
        <v>1</v>
      </c>
      <c r="Z2144" s="6" t="str">
        <f t="shared" ca="1" si="603"/>
        <v>20241</v>
      </c>
      <c r="AA2144" s="6">
        <f t="shared" ca="1" si="604"/>
        <v>2024</v>
      </c>
      <c r="AB2144" s="6">
        <f t="shared" ca="1" si="605"/>
        <v>1</v>
      </c>
      <c r="AC2144" s="68">
        <f ca="1">IFERROR(__xludf.DUMMYFUNCTION("""COMPUTED_VALUE"""),45295.9986111111)</f>
        <v>45295.998611111099</v>
      </c>
      <c r="AD2144" s="6">
        <f ca="1">IFERROR(__xludf.DUMMYFUNCTION("""COMPUTED_VALUE"""),1311.25)</f>
        <v>1311.25</v>
      </c>
      <c r="AH2144" s="6" t="str">
        <f t="shared" ca="1" si="606"/>
        <v>202311</v>
      </c>
      <c r="AI2144" s="6">
        <f t="shared" ca="1" si="607"/>
        <v>2023</v>
      </c>
      <c r="AJ2144" s="6">
        <f t="shared" ca="1" si="608"/>
        <v>11</v>
      </c>
      <c r="AK2144" s="68">
        <f ca="1">IFERROR(__xludf.DUMMYFUNCTION("""COMPUTED_VALUE"""),45237.9986111111)</f>
        <v>45237.998611111099</v>
      </c>
      <c r="AL2144" s="6">
        <f ca="1">IFERROR(__xludf.DUMMYFUNCTION("""COMPUTED_VALUE"""),35430.56)</f>
        <v>35430.559999999998</v>
      </c>
      <c r="AP2144" s="6" t="str">
        <f t="shared" si="609"/>
        <v>19001</v>
      </c>
      <c r="AQ2144" s="6">
        <f t="shared" si="610"/>
        <v>1900</v>
      </c>
      <c r="AR2144" s="6">
        <f t="shared" si="611"/>
        <v>1</v>
      </c>
    </row>
    <row r="2145" spans="2:44" x14ac:dyDescent="0.35">
      <c r="B2145" s="6" t="str">
        <f t="shared" ca="1" si="594"/>
        <v>20267</v>
      </c>
      <c r="C2145" s="6">
        <f t="shared" ca="1" si="595"/>
        <v>2026</v>
      </c>
      <c r="D2145" s="6">
        <f t="shared" ca="1" si="596"/>
        <v>7</v>
      </c>
      <c r="E2145" s="68">
        <f ca="1">IFERROR(__xludf.DUMMYFUNCTION("""COMPUTED_VALUE"""),46218.6666666666)</f>
        <v>46218.666666666599</v>
      </c>
      <c r="F2145" s="6">
        <f ca="1">IFERROR(__xludf.DUMMYFUNCTION("""COMPUTED_VALUE"""),7572.4)</f>
        <v>7572.4</v>
      </c>
      <c r="J2145" s="6" t="str">
        <f t="shared" ca="1" si="597"/>
        <v>20267</v>
      </c>
      <c r="K2145" s="6">
        <f t="shared" ca="1" si="598"/>
        <v>2026</v>
      </c>
      <c r="L2145" s="6">
        <f t="shared" ca="1" si="599"/>
        <v>7</v>
      </c>
      <c r="M2145" s="68">
        <f ca="1">IFERROR(__xludf.DUMMYFUNCTION("""COMPUTED_VALUE"""),46212.6666666666)</f>
        <v>46212.666666666599</v>
      </c>
      <c r="N2145" s="6">
        <f ca="1">IFERROR(__xludf.DUMMYFUNCTION("""COMPUTED_VALUE"""),26206.89)</f>
        <v>26206.89</v>
      </c>
      <c r="R2145" s="6" t="str">
        <f t="shared" si="600"/>
        <v>19001</v>
      </c>
      <c r="S2145" s="6">
        <f t="shared" si="601"/>
        <v>1900</v>
      </c>
      <c r="T2145" s="6">
        <f t="shared" si="602"/>
        <v>1</v>
      </c>
      <c r="Z2145" s="6" t="str">
        <f t="shared" ca="1" si="603"/>
        <v>20241</v>
      </c>
      <c r="AA2145" s="6">
        <f t="shared" ca="1" si="604"/>
        <v>2024</v>
      </c>
      <c r="AB2145" s="6">
        <f t="shared" ca="1" si="605"/>
        <v>1</v>
      </c>
      <c r="AC2145" s="68">
        <f ca="1">IFERROR(__xludf.DUMMYFUNCTION("""COMPUTED_VALUE"""),45296.9986111111)</f>
        <v>45296.998611111099</v>
      </c>
      <c r="AD2145" s="6">
        <f ca="1">IFERROR(__xludf.DUMMYFUNCTION("""COMPUTED_VALUE"""),1313.13)</f>
        <v>1313.13</v>
      </c>
      <c r="AH2145" s="6" t="str">
        <f t="shared" ca="1" si="606"/>
        <v>202311</v>
      </c>
      <c r="AI2145" s="6">
        <f t="shared" ca="1" si="607"/>
        <v>2023</v>
      </c>
      <c r="AJ2145" s="6">
        <f t="shared" ca="1" si="608"/>
        <v>11</v>
      </c>
      <c r="AK2145" s="68">
        <f ca="1">IFERROR(__xludf.DUMMYFUNCTION("""COMPUTED_VALUE"""),45238.9986111111)</f>
        <v>45238.998611111099</v>
      </c>
      <c r="AL2145" s="6">
        <f ca="1">IFERROR(__xludf.DUMMYFUNCTION("""COMPUTED_VALUE"""),35639.24)</f>
        <v>35639.24</v>
      </c>
      <c r="AP2145" s="6" t="str">
        <f t="shared" si="609"/>
        <v>19001</v>
      </c>
      <c r="AQ2145" s="6">
        <f t="shared" si="610"/>
        <v>1900</v>
      </c>
      <c r="AR2145" s="6">
        <f t="shared" si="611"/>
        <v>1</v>
      </c>
    </row>
    <row r="2146" spans="2:44" x14ac:dyDescent="0.35">
      <c r="B2146" s="6" t="str">
        <f t="shared" ca="1" si="594"/>
        <v>20267</v>
      </c>
      <c r="C2146" s="6">
        <f t="shared" ca="1" si="595"/>
        <v>2026</v>
      </c>
      <c r="D2146" s="6">
        <f t="shared" ca="1" si="596"/>
        <v>7</v>
      </c>
      <c r="E2146" s="68">
        <f ca="1">IFERROR(__xludf.DUMMYFUNCTION("""COMPUTED_VALUE"""),46219.6666666666)</f>
        <v>46219.666666666599</v>
      </c>
      <c r="F2146" s="6">
        <f ca="1">IFERROR(__xludf.DUMMYFUNCTION("""COMPUTED_VALUE"""),7533.77)</f>
        <v>7533.77</v>
      </c>
      <c r="J2146" s="6" t="str">
        <f t="shared" ca="1" si="597"/>
        <v>20267</v>
      </c>
      <c r="K2146" s="6">
        <f t="shared" ca="1" si="598"/>
        <v>2026</v>
      </c>
      <c r="L2146" s="6">
        <f t="shared" ca="1" si="599"/>
        <v>7</v>
      </c>
      <c r="M2146" s="68">
        <f ca="1">IFERROR(__xludf.DUMMYFUNCTION("""COMPUTED_VALUE"""),46213.6666666666)</f>
        <v>46213.666666666599</v>
      </c>
      <c r="N2146" s="6">
        <f ca="1">IFERROR(__xludf.DUMMYFUNCTION("""COMPUTED_VALUE"""),26281.61)</f>
        <v>26281.61</v>
      </c>
      <c r="R2146" s="6" t="str">
        <f t="shared" si="600"/>
        <v>19001</v>
      </c>
      <c r="S2146" s="6">
        <f t="shared" si="601"/>
        <v>1900</v>
      </c>
      <c r="T2146" s="6">
        <f t="shared" si="602"/>
        <v>1</v>
      </c>
      <c r="Z2146" s="6" t="str">
        <f t="shared" ca="1" si="603"/>
        <v>20241</v>
      </c>
      <c r="AA2146" s="6">
        <f t="shared" ca="1" si="604"/>
        <v>2024</v>
      </c>
      <c r="AB2146" s="6">
        <f t="shared" ca="1" si="605"/>
        <v>1</v>
      </c>
      <c r="AC2146" s="68">
        <f ca="1">IFERROR(__xludf.DUMMYFUNCTION("""COMPUTED_VALUE"""),45297.9986111111)</f>
        <v>45297.998611111099</v>
      </c>
      <c r="AD2146" s="6">
        <f ca="1">IFERROR(__xludf.DUMMYFUNCTION("""COMPUTED_VALUE"""),1313.13)</f>
        <v>1313.13</v>
      </c>
      <c r="AH2146" s="6" t="str">
        <f t="shared" ca="1" si="606"/>
        <v>202311</v>
      </c>
      <c r="AI2146" s="6">
        <f t="shared" ca="1" si="607"/>
        <v>2023</v>
      </c>
      <c r="AJ2146" s="6">
        <f t="shared" ca="1" si="608"/>
        <v>11</v>
      </c>
      <c r="AK2146" s="68">
        <f ca="1">IFERROR(__xludf.DUMMYFUNCTION("""COMPUTED_VALUE"""),45239.9986111111)</f>
        <v>45239.998611111099</v>
      </c>
      <c r="AL2146" s="6">
        <f ca="1">IFERROR(__xludf.DUMMYFUNCTION("""COMPUTED_VALUE"""),36701.68)</f>
        <v>36701.68</v>
      </c>
      <c r="AP2146" s="6" t="str">
        <f t="shared" si="609"/>
        <v>19001</v>
      </c>
      <c r="AQ2146" s="6">
        <f t="shared" si="610"/>
        <v>1900</v>
      </c>
      <c r="AR2146" s="6">
        <f t="shared" si="611"/>
        <v>1</v>
      </c>
    </row>
    <row r="2147" spans="2:44" x14ac:dyDescent="0.35">
      <c r="B2147" s="6" t="str">
        <f t="shared" ca="1" si="594"/>
        <v>20267</v>
      </c>
      <c r="C2147" s="6">
        <f t="shared" ca="1" si="595"/>
        <v>2026</v>
      </c>
      <c r="D2147" s="6">
        <f t="shared" ca="1" si="596"/>
        <v>7</v>
      </c>
      <c r="E2147" s="68">
        <f ca="1">IFERROR(__xludf.DUMMYFUNCTION("""COMPUTED_VALUE"""),46220.6666666666)</f>
        <v>46220.666666666599</v>
      </c>
      <c r="F2147" s="6">
        <f ca="1">IFERROR(__xludf.DUMMYFUNCTION("""COMPUTED_VALUE"""),7457.69)</f>
        <v>7457.69</v>
      </c>
      <c r="J2147" s="6" t="str">
        <f t="shared" ca="1" si="597"/>
        <v>20267</v>
      </c>
      <c r="K2147" s="6">
        <f t="shared" ca="1" si="598"/>
        <v>2026</v>
      </c>
      <c r="L2147" s="6">
        <f t="shared" ca="1" si="599"/>
        <v>7</v>
      </c>
      <c r="M2147" s="68">
        <f ca="1">IFERROR(__xludf.DUMMYFUNCTION("""COMPUTED_VALUE"""),46216.6666666666)</f>
        <v>46216.666666666599</v>
      </c>
      <c r="N2147" s="6">
        <f ca="1">IFERROR(__xludf.DUMMYFUNCTION("""COMPUTED_VALUE"""),25873.18)</f>
        <v>25873.18</v>
      </c>
      <c r="R2147" s="6" t="str">
        <f t="shared" si="600"/>
        <v>19001</v>
      </c>
      <c r="S2147" s="6">
        <f t="shared" si="601"/>
        <v>1900</v>
      </c>
      <c r="T2147" s="6">
        <f t="shared" si="602"/>
        <v>1</v>
      </c>
      <c r="Z2147" s="6" t="str">
        <f t="shared" ca="1" si="603"/>
        <v>20241</v>
      </c>
      <c r="AA2147" s="6">
        <f t="shared" ca="1" si="604"/>
        <v>2024</v>
      </c>
      <c r="AB2147" s="6">
        <f t="shared" ca="1" si="605"/>
        <v>1</v>
      </c>
      <c r="AC2147" s="68">
        <f ca="1">IFERROR(__xludf.DUMMYFUNCTION("""COMPUTED_VALUE"""),45298.9986111111)</f>
        <v>45298.998611111099</v>
      </c>
      <c r="AD2147" s="6">
        <f ca="1">IFERROR(__xludf.DUMMYFUNCTION("""COMPUTED_VALUE"""),1313.13)</f>
        <v>1313.13</v>
      </c>
      <c r="AH2147" s="6" t="str">
        <f t="shared" ca="1" si="606"/>
        <v>202311</v>
      </c>
      <c r="AI2147" s="6">
        <f t="shared" ca="1" si="607"/>
        <v>2023</v>
      </c>
      <c r="AJ2147" s="6">
        <f t="shared" ca="1" si="608"/>
        <v>11</v>
      </c>
      <c r="AK2147" s="68">
        <f ca="1">IFERROR(__xludf.DUMMYFUNCTION("""COMPUTED_VALUE"""),45240.9986111111)</f>
        <v>45240.998611111099</v>
      </c>
      <c r="AL2147" s="6">
        <f ca="1">IFERROR(__xludf.DUMMYFUNCTION("""COMPUTED_VALUE"""),37328.04)</f>
        <v>37328.04</v>
      </c>
      <c r="AP2147" s="6" t="str">
        <f t="shared" si="609"/>
        <v>19001</v>
      </c>
      <c r="AQ2147" s="6">
        <f t="shared" si="610"/>
        <v>1900</v>
      </c>
      <c r="AR2147" s="6">
        <f t="shared" si="611"/>
        <v>1</v>
      </c>
    </row>
    <row r="2148" spans="2:44" x14ac:dyDescent="0.35">
      <c r="B2148" s="6" t="str">
        <f t="shared" si="594"/>
        <v>19001</v>
      </c>
      <c r="C2148" s="6">
        <f t="shared" si="595"/>
        <v>1900</v>
      </c>
      <c r="D2148" s="6">
        <f t="shared" si="596"/>
        <v>1</v>
      </c>
      <c r="J2148" s="6" t="str">
        <f t="shared" ca="1" si="597"/>
        <v>20267</v>
      </c>
      <c r="K2148" s="6">
        <f t="shared" ca="1" si="598"/>
        <v>2026</v>
      </c>
      <c r="L2148" s="6">
        <f t="shared" ca="1" si="599"/>
        <v>7</v>
      </c>
      <c r="M2148" s="68">
        <f ca="1">IFERROR(__xludf.DUMMYFUNCTION("""COMPUTED_VALUE"""),46217.6666666666)</f>
        <v>46217.666666666599</v>
      </c>
      <c r="N2148" s="6">
        <f ca="1">IFERROR(__xludf.DUMMYFUNCTION("""COMPUTED_VALUE"""),26107.01)</f>
        <v>26107.01</v>
      </c>
      <c r="R2148" s="6" t="str">
        <f t="shared" si="600"/>
        <v>19001</v>
      </c>
      <c r="S2148" s="6">
        <f t="shared" si="601"/>
        <v>1900</v>
      </c>
      <c r="T2148" s="6">
        <f t="shared" si="602"/>
        <v>1</v>
      </c>
      <c r="Z2148" s="6" t="str">
        <f t="shared" ca="1" si="603"/>
        <v>20241</v>
      </c>
      <c r="AA2148" s="6">
        <f t="shared" ca="1" si="604"/>
        <v>2024</v>
      </c>
      <c r="AB2148" s="6">
        <f t="shared" ca="1" si="605"/>
        <v>1</v>
      </c>
      <c r="AC2148" s="68">
        <f ca="1">IFERROR(__xludf.DUMMYFUNCTION("""COMPUTED_VALUE"""),45299.9986111111)</f>
        <v>45299.998611111099</v>
      </c>
      <c r="AD2148" s="6">
        <f ca="1">IFERROR(__xludf.DUMMYFUNCTION("""COMPUTED_VALUE"""),1311.8)</f>
        <v>1311.8</v>
      </c>
      <c r="AH2148" s="6" t="str">
        <f t="shared" ca="1" si="606"/>
        <v>202311</v>
      </c>
      <c r="AI2148" s="6">
        <f t="shared" ca="1" si="607"/>
        <v>2023</v>
      </c>
      <c r="AJ2148" s="6">
        <f t="shared" ca="1" si="608"/>
        <v>11</v>
      </c>
      <c r="AK2148" s="68">
        <f ca="1">IFERROR(__xludf.DUMMYFUNCTION("""COMPUTED_VALUE"""),45241.9986111111)</f>
        <v>45241.998611111099</v>
      </c>
      <c r="AL2148" s="6">
        <f ca="1">IFERROR(__xludf.DUMMYFUNCTION("""COMPUTED_VALUE"""),37149.43)</f>
        <v>37149.43</v>
      </c>
      <c r="AP2148" s="6" t="str">
        <f t="shared" si="609"/>
        <v>19001</v>
      </c>
      <c r="AQ2148" s="6">
        <f t="shared" si="610"/>
        <v>1900</v>
      </c>
      <c r="AR2148" s="6">
        <f t="shared" si="611"/>
        <v>1</v>
      </c>
    </row>
    <row r="2149" spans="2:44" x14ac:dyDescent="0.35">
      <c r="B2149" s="6" t="str">
        <f t="shared" si="594"/>
        <v>19001</v>
      </c>
      <c r="C2149" s="6">
        <f t="shared" si="595"/>
        <v>1900</v>
      </c>
      <c r="D2149" s="6">
        <f t="shared" si="596"/>
        <v>1</v>
      </c>
      <c r="J2149" s="6" t="str">
        <f t="shared" ca="1" si="597"/>
        <v>20267</v>
      </c>
      <c r="K2149" s="6">
        <f t="shared" ca="1" si="598"/>
        <v>2026</v>
      </c>
      <c r="L2149" s="6">
        <f t="shared" ca="1" si="599"/>
        <v>7</v>
      </c>
      <c r="M2149" s="68">
        <f ca="1">IFERROR(__xludf.DUMMYFUNCTION("""COMPUTED_VALUE"""),46218.6666666666)</f>
        <v>46218.666666666599</v>
      </c>
      <c r="N2149" s="6">
        <f ca="1">IFERROR(__xludf.DUMMYFUNCTION("""COMPUTED_VALUE"""),26269.23)</f>
        <v>26269.23</v>
      </c>
      <c r="R2149" s="6" t="str">
        <f t="shared" si="600"/>
        <v>19001</v>
      </c>
      <c r="S2149" s="6">
        <f t="shared" si="601"/>
        <v>1900</v>
      </c>
      <c r="T2149" s="6">
        <f t="shared" si="602"/>
        <v>1</v>
      </c>
      <c r="Z2149" s="6" t="str">
        <f t="shared" ca="1" si="603"/>
        <v>20241</v>
      </c>
      <c r="AA2149" s="6">
        <f t="shared" ca="1" si="604"/>
        <v>2024</v>
      </c>
      <c r="AB2149" s="6">
        <f t="shared" ca="1" si="605"/>
        <v>1</v>
      </c>
      <c r="AC2149" s="68">
        <f ca="1">IFERROR(__xludf.DUMMYFUNCTION("""COMPUTED_VALUE"""),45300.9986111111)</f>
        <v>45300.998611111099</v>
      </c>
      <c r="AD2149" s="6">
        <f ca="1">IFERROR(__xludf.DUMMYFUNCTION("""COMPUTED_VALUE"""),1319.79)</f>
        <v>1319.79</v>
      </c>
      <c r="AH2149" s="6" t="str">
        <f t="shared" ca="1" si="606"/>
        <v>202311</v>
      </c>
      <c r="AI2149" s="6">
        <f t="shared" ca="1" si="607"/>
        <v>2023</v>
      </c>
      <c r="AJ2149" s="6">
        <f t="shared" ca="1" si="608"/>
        <v>11</v>
      </c>
      <c r="AK2149" s="68">
        <f ca="1">IFERROR(__xludf.DUMMYFUNCTION("""COMPUTED_VALUE"""),45242.9986111111)</f>
        <v>45242.998611111099</v>
      </c>
      <c r="AL2149" s="6">
        <f ca="1">IFERROR(__xludf.DUMMYFUNCTION("""COMPUTED_VALUE"""),37084.73)</f>
        <v>37084.730000000003</v>
      </c>
      <c r="AP2149" s="6" t="str">
        <f t="shared" si="609"/>
        <v>19001</v>
      </c>
      <c r="AQ2149" s="6">
        <f t="shared" si="610"/>
        <v>1900</v>
      </c>
      <c r="AR2149" s="6">
        <f t="shared" si="611"/>
        <v>1</v>
      </c>
    </row>
    <row r="2150" spans="2:44" x14ac:dyDescent="0.35">
      <c r="B2150" s="6" t="str">
        <f t="shared" si="594"/>
        <v>19001</v>
      </c>
      <c r="C2150" s="6">
        <f t="shared" si="595"/>
        <v>1900</v>
      </c>
      <c r="D2150" s="6">
        <f t="shared" si="596"/>
        <v>1</v>
      </c>
      <c r="J2150" s="6" t="str">
        <f t="shared" ca="1" si="597"/>
        <v>20267</v>
      </c>
      <c r="K2150" s="6">
        <f t="shared" ca="1" si="598"/>
        <v>2026</v>
      </c>
      <c r="L2150" s="6">
        <f t="shared" ca="1" si="599"/>
        <v>7</v>
      </c>
      <c r="M2150" s="68">
        <f ca="1">IFERROR(__xludf.DUMMYFUNCTION("""COMPUTED_VALUE"""),46219.6666666666)</f>
        <v>46219.666666666599</v>
      </c>
      <c r="N2150" s="6">
        <f ca="1">IFERROR(__xludf.DUMMYFUNCTION("""COMPUTED_VALUE"""),25881.95)</f>
        <v>25881.95</v>
      </c>
      <c r="R2150" s="6" t="str">
        <f t="shared" si="600"/>
        <v>19001</v>
      </c>
      <c r="S2150" s="6">
        <f t="shared" si="601"/>
        <v>1900</v>
      </c>
      <c r="T2150" s="6">
        <f t="shared" si="602"/>
        <v>1</v>
      </c>
      <c r="Z2150" s="6" t="str">
        <f t="shared" ca="1" si="603"/>
        <v>20241</v>
      </c>
      <c r="AA2150" s="6">
        <f t="shared" ca="1" si="604"/>
        <v>2024</v>
      </c>
      <c r="AB2150" s="6">
        <f t="shared" ca="1" si="605"/>
        <v>1</v>
      </c>
      <c r="AC2150" s="68">
        <f ca="1">IFERROR(__xludf.DUMMYFUNCTION("""COMPUTED_VALUE"""),45301.9986111111)</f>
        <v>45301.998611111099</v>
      </c>
      <c r="AD2150" s="6">
        <f ca="1">IFERROR(__xludf.DUMMYFUNCTION("""COMPUTED_VALUE"""),1317.5)</f>
        <v>1317.5</v>
      </c>
      <c r="AH2150" s="6" t="str">
        <f t="shared" ca="1" si="606"/>
        <v>202311</v>
      </c>
      <c r="AI2150" s="6">
        <f t="shared" ca="1" si="607"/>
        <v>2023</v>
      </c>
      <c r="AJ2150" s="6">
        <f t="shared" ca="1" si="608"/>
        <v>11</v>
      </c>
      <c r="AK2150" s="68">
        <f ca="1">IFERROR(__xludf.DUMMYFUNCTION("""COMPUTED_VALUE"""),45243.9986111111)</f>
        <v>45243.998611111099</v>
      </c>
      <c r="AL2150" s="6">
        <f ca="1">IFERROR(__xludf.DUMMYFUNCTION("""COMPUTED_VALUE"""),36484.45)</f>
        <v>36484.449999999997</v>
      </c>
      <c r="AP2150" s="6" t="str">
        <f t="shared" si="609"/>
        <v>19001</v>
      </c>
      <c r="AQ2150" s="6">
        <f t="shared" si="610"/>
        <v>1900</v>
      </c>
      <c r="AR2150" s="6">
        <f t="shared" si="611"/>
        <v>1</v>
      </c>
    </row>
    <row r="2151" spans="2:44" x14ac:dyDescent="0.35">
      <c r="B2151" s="6" t="str">
        <f t="shared" si="594"/>
        <v>19001</v>
      </c>
      <c r="C2151" s="6">
        <f t="shared" si="595"/>
        <v>1900</v>
      </c>
      <c r="D2151" s="6">
        <f t="shared" si="596"/>
        <v>1</v>
      </c>
      <c r="J2151" s="6" t="str">
        <f t="shared" ca="1" si="597"/>
        <v>20267</v>
      </c>
      <c r="K2151" s="6">
        <f t="shared" ca="1" si="598"/>
        <v>2026</v>
      </c>
      <c r="L2151" s="6">
        <f t="shared" ca="1" si="599"/>
        <v>7</v>
      </c>
      <c r="M2151" s="68">
        <f ca="1">IFERROR(__xludf.DUMMYFUNCTION("""COMPUTED_VALUE"""),46220.6666666666)</f>
        <v>46220.666666666599</v>
      </c>
      <c r="N2151" s="6">
        <f ca="1">IFERROR(__xludf.DUMMYFUNCTION("""COMPUTED_VALUE"""),25520.24)</f>
        <v>25520.240000000002</v>
      </c>
      <c r="R2151" s="6" t="str">
        <f t="shared" si="600"/>
        <v>19001</v>
      </c>
      <c r="S2151" s="6">
        <f t="shared" si="601"/>
        <v>1900</v>
      </c>
      <c r="T2151" s="6">
        <f t="shared" si="602"/>
        <v>1</v>
      </c>
      <c r="Z2151" s="6" t="str">
        <f t="shared" ca="1" si="603"/>
        <v>20241</v>
      </c>
      <c r="AA2151" s="6">
        <f t="shared" ca="1" si="604"/>
        <v>2024</v>
      </c>
      <c r="AB2151" s="6">
        <f t="shared" ca="1" si="605"/>
        <v>1</v>
      </c>
      <c r="AC2151" s="68">
        <f ca="1">IFERROR(__xludf.DUMMYFUNCTION("""COMPUTED_VALUE"""),45302.9986111111)</f>
        <v>45302.998611111099</v>
      </c>
      <c r="AD2151" s="6">
        <f ca="1">IFERROR(__xludf.DUMMYFUNCTION("""COMPUTED_VALUE"""),1311.99)</f>
        <v>1311.99</v>
      </c>
      <c r="AH2151" s="6" t="str">
        <f t="shared" ca="1" si="606"/>
        <v>202311</v>
      </c>
      <c r="AI2151" s="6">
        <f t="shared" ca="1" si="607"/>
        <v>2023</v>
      </c>
      <c r="AJ2151" s="6">
        <f t="shared" ca="1" si="608"/>
        <v>11</v>
      </c>
      <c r="AK2151" s="68">
        <f ca="1">IFERROR(__xludf.DUMMYFUNCTION("""COMPUTED_VALUE"""),45244.9986111111)</f>
        <v>45244.998611111099</v>
      </c>
      <c r="AL2151" s="6">
        <f ca="1">IFERROR(__xludf.DUMMYFUNCTION("""COMPUTED_VALUE"""),35556.38)</f>
        <v>35556.379999999997</v>
      </c>
      <c r="AP2151" s="6" t="str">
        <f t="shared" si="609"/>
        <v>19001</v>
      </c>
      <c r="AQ2151" s="6">
        <f t="shared" si="610"/>
        <v>1900</v>
      </c>
      <c r="AR2151" s="6">
        <f t="shared" si="611"/>
        <v>1</v>
      </c>
    </row>
    <row r="2152" spans="2:44" x14ac:dyDescent="0.35">
      <c r="B2152" s="6" t="str">
        <f t="shared" si="594"/>
        <v>19001</v>
      </c>
      <c r="C2152" s="6">
        <f t="shared" si="595"/>
        <v>1900</v>
      </c>
      <c r="D2152" s="6">
        <f t="shared" si="596"/>
        <v>1</v>
      </c>
      <c r="J2152" s="6" t="str">
        <f t="shared" si="597"/>
        <v>19001</v>
      </c>
      <c r="K2152" s="6">
        <f t="shared" si="598"/>
        <v>1900</v>
      </c>
      <c r="L2152" s="6">
        <f t="shared" si="599"/>
        <v>1</v>
      </c>
      <c r="R2152" s="6" t="str">
        <f t="shared" si="600"/>
        <v>19001</v>
      </c>
      <c r="S2152" s="6">
        <f t="shared" si="601"/>
        <v>1900</v>
      </c>
      <c r="T2152" s="6">
        <f t="shared" si="602"/>
        <v>1</v>
      </c>
      <c r="Z2152" s="6" t="str">
        <f t="shared" ca="1" si="603"/>
        <v>20241</v>
      </c>
      <c r="AA2152" s="6">
        <f t="shared" ca="1" si="604"/>
        <v>2024</v>
      </c>
      <c r="AB2152" s="6">
        <f t="shared" ca="1" si="605"/>
        <v>1</v>
      </c>
      <c r="AC2152" s="68">
        <f ca="1">IFERROR(__xludf.DUMMYFUNCTION("""COMPUTED_VALUE"""),45303.9986111111)</f>
        <v>45303.998611111099</v>
      </c>
      <c r="AD2152" s="6">
        <f ca="1">IFERROR(__xludf.DUMMYFUNCTION("""COMPUTED_VALUE"""),1312.85)</f>
        <v>1312.85</v>
      </c>
      <c r="AH2152" s="6" t="str">
        <f t="shared" ca="1" si="606"/>
        <v>202311</v>
      </c>
      <c r="AI2152" s="6">
        <f t="shared" ca="1" si="607"/>
        <v>2023</v>
      </c>
      <c r="AJ2152" s="6">
        <f t="shared" ca="1" si="608"/>
        <v>11</v>
      </c>
      <c r="AK2152" s="68">
        <f ca="1">IFERROR(__xludf.DUMMYFUNCTION("""COMPUTED_VALUE"""),45245.9986111111)</f>
        <v>45245.998611111099</v>
      </c>
      <c r="AL2152" s="6">
        <f ca="1">IFERROR(__xludf.DUMMYFUNCTION("""COMPUTED_VALUE"""),37884.48)</f>
        <v>37884.480000000003</v>
      </c>
      <c r="AP2152" s="6" t="str">
        <f t="shared" si="609"/>
        <v>19001</v>
      </c>
      <c r="AQ2152" s="6">
        <f t="shared" si="610"/>
        <v>1900</v>
      </c>
      <c r="AR2152" s="6">
        <f t="shared" si="611"/>
        <v>1</v>
      </c>
    </row>
    <row r="2153" spans="2:44" x14ac:dyDescent="0.35">
      <c r="B2153" s="6" t="str">
        <f t="shared" si="594"/>
        <v>19001</v>
      </c>
      <c r="C2153" s="6">
        <f t="shared" si="595"/>
        <v>1900</v>
      </c>
      <c r="D2153" s="6">
        <f t="shared" si="596"/>
        <v>1</v>
      </c>
      <c r="J2153" s="6" t="str">
        <f t="shared" si="597"/>
        <v>19001</v>
      </c>
      <c r="K2153" s="6">
        <f t="shared" si="598"/>
        <v>1900</v>
      </c>
      <c r="L2153" s="6">
        <f t="shared" si="599"/>
        <v>1</v>
      </c>
      <c r="R2153" s="6" t="str">
        <f t="shared" si="600"/>
        <v>19001</v>
      </c>
      <c r="S2153" s="6">
        <f t="shared" si="601"/>
        <v>1900</v>
      </c>
      <c r="T2153" s="6">
        <f t="shared" si="602"/>
        <v>1</v>
      </c>
      <c r="Z2153" s="6" t="str">
        <f t="shared" ca="1" si="603"/>
        <v>20241</v>
      </c>
      <c r="AA2153" s="6">
        <f t="shared" ca="1" si="604"/>
        <v>2024</v>
      </c>
      <c r="AB2153" s="6">
        <f t="shared" ca="1" si="605"/>
        <v>1</v>
      </c>
      <c r="AC2153" s="68">
        <f ca="1">IFERROR(__xludf.DUMMYFUNCTION("""COMPUTED_VALUE"""),45304.9986111111)</f>
        <v>45304.998611111099</v>
      </c>
      <c r="AD2153" s="6">
        <f ca="1">IFERROR(__xludf.DUMMYFUNCTION("""COMPUTED_VALUE"""),1312.85)</f>
        <v>1312.85</v>
      </c>
      <c r="AH2153" s="6" t="str">
        <f t="shared" ca="1" si="606"/>
        <v>202311</v>
      </c>
      <c r="AI2153" s="6">
        <f t="shared" ca="1" si="607"/>
        <v>2023</v>
      </c>
      <c r="AJ2153" s="6">
        <f t="shared" ca="1" si="608"/>
        <v>11</v>
      </c>
      <c r="AK2153" s="68">
        <f ca="1">IFERROR(__xludf.DUMMYFUNCTION("""COMPUTED_VALUE"""),45246.9986111111)</f>
        <v>45246.998611111099</v>
      </c>
      <c r="AL2153" s="6">
        <f ca="1">IFERROR(__xludf.DUMMYFUNCTION("""COMPUTED_VALUE"""),36171.1)</f>
        <v>36171.1</v>
      </c>
      <c r="AP2153" s="6" t="str">
        <f t="shared" si="609"/>
        <v>19001</v>
      </c>
      <c r="AQ2153" s="6">
        <f t="shared" si="610"/>
        <v>1900</v>
      </c>
      <c r="AR2153" s="6">
        <f t="shared" si="611"/>
        <v>1</v>
      </c>
    </row>
    <row r="2154" spans="2:44" x14ac:dyDescent="0.35">
      <c r="B2154" s="6" t="str">
        <f t="shared" si="594"/>
        <v>19001</v>
      </c>
      <c r="C2154" s="6">
        <f t="shared" si="595"/>
        <v>1900</v>
      </c>
      <c r="D2154" s="6">
        <f t="shared" si="596"/>
        <v>1</v>
      </c>
      <c r="J2154" s="6" t="str">
        <f t="shared" si="597"/>
        <v>19001</v>
      </c>
      <c r="K2154" s="6">
        <f t="shared" si="598"/>
        <v>1900</v>
      </c>
      <c r="L2154" s="6">
        <f t="shared" si="599"/>
        <v>1</v>
      </c>
      <c r="R2154" s="6" t="str">
        <f t="shared" si="600"/>
        <v>19001</v>
      </c>
      <c r="S2154" s="6">
        <f t="shared" si="601"/>
        <v>1900</v>
      </c>
      <c r="T2154" s="6">
        <f t="shared" si="602"/>
        <v>1</v>
      </c>
      <c r="Z2154" s="6" t="str">
        <f t="shared" ca="1" si="603"/>
        <v>20241</v>
      </c>
      <c r="AA2154" s="6">
        <f t="shared" ca="1" si="604"/>
        <v>2024</v>
      </c>
      <c r="AB2154" s="6">
        <f t="shared" ca="1" si="605"/>
        <v>1</v>
      </c>
      <c r="AC2154" s="68">
        <f ca="1">IFERROR(__xludf.DUMMYFUNCTION("""COMPUTED_VALUE"""),45305.9986111111)</f>
        <v>45305.998611111099</v>
      </c>
      <c r="AD2154" s="6">
        <f ca="1">IFERROR(__xludf.DUMMYFUNCTION("""COMPUTED_VALUE"""),1312.85)</f>
        <v>1312.85</v>
      </c>
      <c r="AH2154" s="6" t="str">
        <f t="shared" ca="1" si="606"/>
        <v>202311</v>
      </c>
      <c r="AI2154" s="6">
        <f t="shared" ca="1" si="607"/>
        <v>2023</v>
      </c>
      <c r="AJ2154" s="6">
        <f t="shared" ca="1" si="608"/>
        <v>11</v>
      </c>
      <c r="AK2154" s="68">
        <f ca="1">IFERROR(__xludf.DUMMYFUNCTION("""COMPUTED_VALUE"""),45247.9986111111)</f>
        <v>45247.998611111099</v>
      </c>
      <c r="AL2154" s="6">
        <f ca="1">IFERROR(__xludf.DUMMYFUNCTION("""COMPUTED_VALUE"""),36626.71)</f>
        <v>36626.71</v>
      </c>
      <c r="AP2154" s="6" t="str">
        <f t="shared" si="609"/>
        <v>19001</v>
      </c>
      <c r="AQ2154" s="6">
        <f t="shared" si="610"/>
        <v>1900</v>
      </c>
      <c r="AR2154" s="6">
        <f t="shared" si="611"/>
        <v>1</v>
      </c>
    </row>
    <row r="2155" spans="2:44" x14ac:dyDescent="0.35">
      <c r="B2155" s="6" t="str">
        <f t="shared" si="594"/>
        <v>19001</v>
      </c>
      <c r="C2155" s="6">
        <f t="shared" si="595"/>
        <v>1900</v>
      </c>
      <c r="D2155" s="6">
        <f t="shared" si="596"/>
        <v>1</v>
      </c>
      <c r="J2155" s="6" t="str">
        <f t="shared" si="597"/>
        <v>19001</v>
      </c>
      <c r="K2155" s="6">
        <f t="shared" si="598"/>
        <v>1900</v>
      </c>
      <c r="L2155" s="6">
        <f t="shared" si="599"/>
        <v>1</v>
      </c>
      <c r="R2155" s="6" t="str">
        <f t="shared" si="600"/>
        <v>19001</v>
      </c>
      <c r="S2155" s="6">
        <f t="shared" si="601"/>
        <v>1900</v>
      </c>
      <c r="T2155" s="6">
        <f t="shared" si="602"/>
        <v>1</v>
      </c>
      <c r="Z2155" s="6" t="str">
        <f t="shared" ca="1" si="603"/>
        <v>20241</v>
      </c>
      <c r="AA2155" s="6">
        <f t="shared" ca="1" si="604"/>
        <v>2024</v>
      </c>
      <c r="AB2155" s="6">
        <f t="shared" ca="1" si="605"/>
        <v>1</v>
      </c>
      <c r="AC2155" s="68">
        <f ca="1">IFERROR(__xludf.DUMMYFUNCTION("""COMPUTED_VALUE"""),45306.9986111111)</f>
        <v>45306.998611111099</v>
      </c>
      <c r="AD2155" s="6">
        <f ca="1">IFERROR(__xludf.DUMMYFUNCTION("""COMPUTED_VALUE"""),1319.71)</f>
        <v>1319.71</v>
      </c>
      <c r="AH2155" s="6" t="str">
        <f t="shared" ca="1" si="606"/>
        <v>202311</v>
      </c>
      <c r="AI2155" s="6">
        <f t="shared" ca="1" si="607"/>
        <v>2023</v>
      </c>
      <c r="AJ2155" s="6">
        <f t="shared" ca="1" si="608"/>
        <v>11</v>
      </c>
      <c r="AK2155" s="68">
        <f ca="1">IFERROR(__xludf.DUMMYFUNCTION("""COMPUTED_VALUE"""),45248.9986111111)</f>
        <v>45248.998611111099</v>
      </c>
      <c r="AL2155" s="6">
        <f ca="1">IFERROR(__xludf.DUMMYFUNCTION("""COMPUTED_VALUE"""),36587.7)</f>
        <v>36587.699999999997</v>
      </c>
      <c r="AP2155" s="6" t="str">
        <f t="shared" si="609"/>
        <v>19001</v>
      </c>
      <c r="AQ2155" s="6">
        <f t="shared" si="610"/>
        <v>1900</v>
      </c>
      <c r="AR2155" s="6">
        <f t="shared" si="611"/>
        <v>1</v>
      </c>
    </row>
    <row r="2156" spans="2:44" x14ac:dyDescent="0.35">
      <c r="B2156" s="6" t="str">
        <f t="shared" si="594"/>
        <v>19001</v>
      </c>
      <c r="C2156" s="6">
        <f t="shared" si="595"/>
        <v>1900</v>
      </c>
      <c r="D2156" s="6">
        <f t="shared" si="596"/>
        <v>1</v>
      </c>
      <c r="J2156" s="6" t="str">
        <f t="shared" si="597"/>
        <v>19001</v>
      </c>
      <c r="K2156" s="6">
        <f t="shared" si="598"/>
        <v>1900</v>
      </c>
      <c r="L2156" s="6">
        <f t="shared" si="599"/>
        <v>1</v>
      </c>
      <c r="R2156" s="6" t="str">
        <f t="shared" si="600"/>
        <v>19001</v>
      </c>
      <c r="S2156" s="6">
        <f t="shared" si="601"/>
        <v>1900</v>
      </c>
      <c r="T2156" s="6">
        <f t="shared" si="602"/>
        <v>1</v>
      </c>
      <c r="Z2156" s="6" t="str">
        <f t="shared" ca="1" si="603"/>
        <v>20241</v>
      </c>
      <c r="AA2156" s="6">
        <f t="shared" ca="1" si="604"/>
        <v>2024</v>
      </c>
      <c r="AB2156" s="6">
        <f t="shared" ca="1" si="605"/>
        <v>1</v>
      </c>
      <c r="AC2156" s="68">
        <f ca="1">IFERROR(__xludf.DUMMYFUNCTION("""COMPUTED_VALUE"""),45307.9986111111)</f>
        <v>45307.998611111099</v>
      </c>
      <c r="AD2156" s="6">
        <f ca="1">IFERROR(__xludf.DUMMYFUNCTION("""COMPUTED_VALUE"""),1337.79)</f>
        <v>1337.79</v>
      </c>
      <c r="AH2156" s="6" t="str">
        <f t="shared" ca="1" si="606"/>
        <v>202311</v>
      </c>
      <c r="AI2156" s="6">
        <f t="shared" ca="1" si="607"/>
        <v>2023</v>
      </c>
      <c r="AJ2156" s="6">
        <f t="shared" ca="1" si="608"/>
        <v>11</v>
      </c>
      <c r="AK2156" s="68">
        <f ca="1">IFERROR(__xludf.DUMMYFUNCTION("""COMPUTED_VALUE"""),45249.9986111111)</f>
        <v>45249.998611111099</v>
      </c>
      <c r="AL2156" s="6">
        <f ca="1">IFERROR(__xludf.DUMMYFUNCTION("""COMPUTED_VALUE"""),37399.95)</f>
        <v>37399.949999999997</v>
      </c>
      <c r="AP2156" s="6" t="str">
        <f t="shared" si="609"/>
        <v>19001</v>
      </c>
      <c r="AQ2156" s="6">
        <f t="shared" si="610"/>
        <v>1900</v>
      </c>
      <c r="AR2156" s="6">
        <f t="shared" si="611"/>
        <v>1</v>
      </c>
    </row>
    <row r="2157" spans="2:44" x14ac:dyDescent="0.35">
      <c r="B2157" s="6" t="str">
        <f t="shared" si="594"/>
        <v>19001</v>
      </c>
      <c r="C2157" s="6">
        <f t="shared" si="595"/>
        <v>1900</v>
      </c>
      <c r="D2157" s="6">
        <f t="shared" si="596"/>
        <v>1</v>
      </c>
      <c r="J2157" s="6" t="str">
        <f t="shared" si="597"/>
        <v>19001</v>
      </c>
      <c r="K2157" s="6">
        <f t="shared" si="598"/>
        <v>1900</v>
      </c>
      <c r="L2157" s="6">
        <f t="shared" si="599"/>
        <v>1</v>
      </c>
      <c r="R2157" s="6" t="str">
        <f t="shared" si="600"/>
        <v>19001</v>
      </c>
      <c r="S2157" s="6">
        <f t="shared" si="601"/>
        <v>1900</v>
      </c>
      <c r="T2157" s="6">
        <f t="shared" si="602"/>
        <v>1</v>
      </c>
      <c r="Z2157" s="6" t="str">
        <f t="shared" ca="1" si="603"/>
        <v>20241</v>
      </c>
      <c r="AA2157" s="6">
        <f t="shared" ca="1" si="604"/>
        <v>2024</v>
      </c>
      <c r="AB2157" s="6">
        <f t="shared" ca="1" si="605"/>
        <v>1</v>
      </c>
      <c r="AC2157" s="68">
        <f ca="1">IFERROR(__xludf.DUMMYFUNCTION("""COMPUTED_VALUE"""),45308.9986111111)</f>
        <v>45308.998611111099</v>
      </c>
      <c r="AD2157" s="6">
        <f ca="1">IFERROR(__xludf.DUMMYFUNCTION("""COMPUTED_VALUE"""),1344.05)</f>
        <v>1344.05</v>
      </c>
      <c r="AH2157" s="6" t="str">
        <f t="shared" ca="1" si="606"/>
        <v>202311</v>
      </c>
      <c r="AI2157" s="6">
        <f t="shared" ca="1" si="607"/>
        <v>2023</v>
      </c>
      <c r="AJ2157" s="6">
        <f t="shared" ca="1" si="608"/>
        <v>11</v>
      </c>
      <c r="AK2157" s="68">
        <f ca="1">IFERROR(__xludf.DUMMYFUNCTION("""COMPUTED_VALUE"""),45250.9986111111)</f>
        <v>45250.998611111099</v>
      </c>
      <c r="AL2157" s="6">
        <f ca="1">IFERROR(__xludf.DUMMYFUNCTION("""COMPUTED_VALUE"""),37475.5)</f>
        <v>37475.5</v>
      </c>
      <c r="AP2157" s="6" t="str">
        <f t="shared" si="609"/>
        <v>19001</v>
      </c>
      <c r="AQ2157" s="6">
        <f t="shared" si="610"/>
        <v>1900</v>
      </c>
      <c r="AR2157" s="6">
        <f t="shared" si="611"/>
        <v>1</v>
      </c>
    </row>
    <row r="2158" spans="2:44" x14ac:dyDescent="0.35">
      <c r="B2158" s="6" t="str">
        <f t="shared" si="594"/>
        <v>19001</v>
      </c>
      <c r="C2158" s="6">
        <f t="shared" si="595"/>
        <v>1900</v>
      </c>
      <c r="D2158" s="6">
        <f t="shared" si="596"/>
        <v>1</v>
      </c>
      <c r="J2158" s="6" t="str">
        <f t="shared" si="597"/>
        <v>19001</v>
      </c>
      <c r="K2158" s="6">
        <f t="shared" si="598"/>
        <v>1900</v>
      </c>
      <c r="L2158" s="6">
        <f t="shared" si="599"/>
        <v>1</v>
      </c>
      <c r="R2158" s="6" t="str">
        <f t="shared" si="600"/>
        <v>19001</v>
      </c>
      <c r="S2158" s="6">
        <f t="shared" si="601"/>
        <v>1900</v>
      </c>
      <c r="T2158" s="6">
        <f t="shared" si="602"/>
        <v>1</v>
      </c>
      <c r="Z2158" s="6" t="str">
        <f t="shared" ca="1" si="603"/>
        <v>20241</v>
      </c>
      <c r="AA2158" s="6">
        <f t="shared" ca="1" si="604"/>
        <v>2024</v>
      </c>
      <c r="AB2158" s="6">
        <f t="shared" ca="1" si="605"/>
        <v>1</v>
      </c>
      <c r="AC2158" s="68">
        <f ca="1">IFERROR(__xludf.DUMMYFUNCTION("""COMPUTED_VALUE"""),45309.9986111111)</f>
        <v>45309.998611111099</v>
      </c>
      <c r="AD2158" s="6">
        <f ca="1">IFERROR(__xludf.DUMMYFUNCTION("""COMPUTED_VALUE"""),1337.66)</f>
        <v>1337.66</v>
      </c>
      <c r="AH2158" s="6" t="str">
        <f t="shared" ca="1" si="606"/>
        <v>202311</v>
      </c>
      <c r="AI2158" s="6">
        <f t="shared" ca="1" si="607"/>
        <v>2023</v>
      </c>
      <c r="AJ2158" s="6">
        <f t="shared" ca="1" si="608"/>
        <v>11</v>
      </c>
      <c r="AK2158" s="68">
        <f ca="1">IFERROR(__xludf.DUMMYFUNCTION("""COMPUTED_VALUE"""),45251.9986111111)</f>
        <v>45251.998611111099</v>
      </c>
      <c r="AL2158" s="6">
        <f ca="1">IFERROR(__xludf.DUMMYFUNCTION("""COMPUTED_VALUE"""),35790.33)</f>
        <v>35790.33</v>
      </c>
      <c r="AP2158" s="6" t="str">
        <f t="shared" si="609"/>
        <v>19001</v>
      </c>
      <c r="AQ2158" s="6">
        <f t="shared" si="610"/>
        <v>1900</v>
      </c>
      <c r="AR2158" s="6">
        <f t="shared" si="611"/>
        <v>1</v>
      </c>
    </row>
    <row r="2159" spans="2:44" x14ac:dyDescent="0.35">
      <c r="B2159" s="6" t="str">
        <f t="shared" si="594"/>
        <v>19001</v>
      </c>
      <c r="C2159" s="6">
        <f t="shared" si="595"/>
        <v>1900</v>
      </c>
      <c r="D2159" s="6">
        <f t="shared" si="596"/>
        <v>1</v>
      </c>
      <c r="J2159" s="6" t="str">
        <f t="shared" si="597"/>
        <v>19001</v>
      </c>
      <c r="K2159" s="6">
        <f t="shared" si="598"/>
        <v>1900</v>
      </c>
      <c r="L2159" s="6">
        <f t="shared" si="599"/>
        <v>1</v>
      </c>
      <c r="R2159" s="6" t="str">
        <f t="shared" si="600"/>
        <v>19001</v>
      </c>
      <c r="S2159" s="6">
        <f t="shared" si="601"/>
        <v>1900</v>
      </c>
      <c r="T2159" s="6">
        <f t="shared" si="602"/>
        <v>1</v>
      </c>
      <c r="Z2159" s="6" t="str">
        <f t="shared" ca="1" si="603"/>
        <v>20241</v>
      </c>
      <c r="AA2159" s="6">
        <f t="shared" ca="1" si="604"/>
        <v>2024</v>
      </c>
      <c r="AB2159" s="6">
        <f t="shared" ca="1" si="605"/>
        <v>1</v>
      </c>
      <c r="AC2159" s="68">
        <f ca="1">IFERROR(__xludf.DUMMYFUNCTION("""COMPUTED_VALUE"""),45310.9986111111)</f>
        <v>45310.998611111099</v>
      </c>
      <c r="AD2159" s="6">
        <f ca="1">IFERROR(__xludf.DUMMYFUNCTION("""COMPUTED_VALUE"""),1333.21)</f>
        <v>1333.21</v>
      </c>
      <c r="AH2159" s="6" t="str">
        <f t="shared" ca="1" si="606"/>
        <v>202311</v>
      </c>
      <c r="AI2159" s="6">
        <f t="shared" ca="1" si="607"/>
        <v>2023</v>
      </c>
      <c r="AJ2159" s="6">
        <f t="shared" ca="1" si="608"/>
        <v>11</v>
      </c>
      <c r="AK2159" s="68">
        <f ca="1">IFERROR(__xludf.DUMMYFUNCTION("""COMPUTED_VALUE"""),45252.9986111111)</f>
        <v>45252.998611111099</v>
      </c>
      <c r="AL2159" s="6">
        <f ca="1">IFERROR(__xludf.DUMMYFUNCTION("""COMPUTED_VALUE"""),37422.05)</f>
        <v>37422.050000000003</v>
      </c>
      <c r="AP2159" s="6" t="str">
        <f t="shared" si="609"/>
        <v>19001</v>
      </c>
      <c r="AQ2159" s="6">
        <f t="shared" si="610"/>
        <v>1900</v>
      </c>
      <c r="AR2159" s="6">
        <f t="shared" si="611"/>
        <v>1</v>
      </c>
    </row>
    <row r="2160" spans="2:44" x14ac:dyDescent="0.35">
      <c r="B2160" s="6" t="str">
        <f t="shared" si="594"/>
        <v>19001</v>
      </c>
      <c r="C2160" s="6">
        <f t="shared" si="595"/>
        <v>1900</v>
      </c>
      <c r="D2160" s="6">
        <f t="shared" si="596"/>
        <v>1</v>
      </c>
      <c r="J2160" s="6" t="str">
        <f t="shared" si="597"/>
        <v>19001</v>
      </c>
      <c r="K2160" s="6">
        <f t="shared" si="598"/>
        <v>1900</v>
      </c>
      <c r="L2160" s="6">
        <f t="shared" si="599"/>
        <v>1</v>
      </c>
      <c r="R2160" s="6" t="str">
        <f t="shared" si="600"/>
        <v>19001</v>
      </c>
      <c r="S2160" s="6">
        <f t="shared" si="601"/>
        <v>1900</v>
      </c>
      <c r="T2160" s="6">
        <f t="shared" si="602"/>
        <v>1</v>
      </c>
      <c r="Z2160" s="6" t="str">
        <f t="shared" ca="1" si="603"/>
        <v>20241</v>
      </c>
      <c r="AA2160" s="6">
        <f t="shared" ca="1" si="604"/>
        <v>2024</v>
      </c>
      <c r="AB2160" s="6">
        <f t="shared" ca="1" si="605"/>
        <v>1</v>
      </c>
      <c r="AC2160" s="68">
        <f ca="1">IFERROR(__xludf.DUMMYFUNCTION("""COMPUTED_VALUE"""),45311.9986111111)</f>
        <v>45311.998611111099</v>
      </c>
      <c r="AD2160" s="6">
        <f ca="1">IFERROR(__xludf.DUMMYFUNCTION("""COMPUTED_VALUE"""),1333.21)</f>
        <v>1333.21</v>
      </c>
      <c r="AH2160" s="6" t="str">
        <f t="shared" ca="1" si="606"/>
        <v>202311</v>
      </c>
      <c r="AI2160" s="6">
        <f t="shared" ca="1" si="607"/>
        <v>2023</v>
      </c>
      <c r="AJ2160" s="6">
        <f t="shared" ca="1" si="608"/>
        <v>11</v>
      </c>
      <c r="AK2160" s="68">
        <f ca="1">IFERROR(__xludf.DUMMYFUNCTION("""COMPUTED_VALUE"""),45253.9986111111)</f>
        <v>45253.998611111099</v>
      </c>
      <c r="AL2160" s="6">
        <f ca="1">IFERROR(__xludf.DUMMYFUNCTION("""COMPUTED_VALUE"""),37304.17)</f>
        <v>37304.17</v>
      </c>
      <c r="AP2160" s="6" t="str">
        <f t="shared" si="609"/>
        <v>19001</v>
      </c>
      <c r="AQ2160" s="6">
        <f t="shared" si="610"/>
        <v>1900</v>
      </c>
      <c r="AR2160" s="6">
        <f t="shared" si="611"/>
        <v>1</v>
      </c>
    </row>
    <row r="2161" spans="2:44" x14ac:dyDescent="0.35">
      <c r="B2161" s="6" t="str">
        <f t="shared" si="594"/>
        <v>19001</v>
      </c>
      <c r="C2161" s="6">
        <f t="shared" si="595"/>
        <v>1900</v>
      </c>
      <c r="D2161" s="6">
        <f t="shared" si="596"/>
        <v>1</v>
      </c>
      <c r="J2161" s="6" t="str">
        <f t="shared" si="597"/>
        <v>19001</v>
      </c>
      <c r="K2161" s="6">
        <f t="shared" si="598"/>
        <v>1900</v>
      </c>
      <c r="L2161" s="6">
        <f t="shared" si="599"/>
        <v>1</v>
      </c>
      <c r="R2161" s="6" t="str">
        <f t="shared" si="600"/>
        <v>19001</v>
      </c>
      <c r="S2161" s="6">
        <f t="shared" si="601"/>
        <v>1900</v>
      </c>
      <c r="T2161" s="6">
        <f t="shared" si="602"/>
        <v>1</v>
      </c>
      <c r="Z2161" s="6" t="str">
        <f t="shared" ca="1" si="603"/>
        <v>20241</v>
      </c>
      <c r="AA2161" s="6">
        <f t="shared" ca="1" si="604"/>
        <v>2024</v>
      </c>
      <c r="AB2161" s="6">
        <f t="shared" ca="1" si="605"/>
        <v>1</v>
      </c>
      <c r="AC2161" s="68">
        <f ca="1">IFERROR(__xludf.DUMMYFUNCTION("""COMPUTED_VALUE"""),45312.9986111111)</f>
        <v>45312.998611111099</v>
      </c>
      <c r="AD2161" s="6">
        <f ca="1">IFERROR(__xludf.DUMMYFUNCTION("""COMPUTED_VALUE"""),1333.21)</f>
        <v>1333.21</v>
      </c>
      <c r="AH2161" s="6" t="str">
        <f t="shared" ca="1" si="606"/>
        <v>202311</v>
      </c>
      <c r="AI2161" s="6">
        <f t="shared" ca="1" si="607"/>
        <v>2023</v>
      </c>
      <c r="AJ2161" s="6">
        <f t="shared" ca="1" si="608"/>
        <v>11</v>
      </c>
      <c r="AK2161" s="68">
        <f ca="1">IFERROR(__xludf.DUMMYFUNCTION("""COMPUTED_VALUE"""),45254.9986111111)</f>
        <v>45254.998611111099</v>
      </c>
      <c r="AL2161" s="6">
        <f ca="1">IFERROR(__xludf.DUMMYFUNCTION("""COMPUTED_VALUE"""),37736.24)</f>
        <v>37736.239999999998</v>
      </c>
      <c r="AP2161" s="6" t="str">
        <f t="shared" si="609"/>
        <v>19001</v>
      </c>
      <c r="AQ2161" s="6">
        <f t="shared" si="610"/>
        <v>1900</v>
      </c>
      <c r="AR2161" s="6">
        <f t="shared" si="611"/>
        <v>1</v>
      </c>
    </row>
    <row r="2162" spans="2:44" x14ac:dyDescent="0.35">
      <c r="B2162" s="6" t="str">
        <f t="shared" si="594"/>
        <v>19001</v>
      </c>
      <c r="C2162" s="6">
        <f t="shared" si="595"/>
        <v>1900</v>
      </c>
      <c r="D2162" s="6">
        <f t="shared" si="596"/>
        <v>1</v>
      </c>
      <c r="J2162" s="6" t="str">
        <f t="shared" si="597"/>
        <v>19001</v>
      </c>
      <c r="K2162" s="6">
        <f t="shared" si="598"/>
        <v>1900</v>
      </c>
      <c r="L2162" s="6">
        <f t="shared" si="599"/>
        <v>1</v>
      </c>
      <c r="R2162" s="6" t="str">
        <f t="shared" si="600"/>
        <v>19001</v>
      </c>
      <c r="S2162" s="6">
        <f t="shared" si="601"/>
        <v>1900</v>
      </c>
      <c r="T2162" s="6">
        <f t="shared" si="602"/>
        <v>1</v>
      </c>
      <c r="Z2162" s="6" t="str">
        <f t="shared" ca="1" si="603"/>
        <v>20241</v>
      </c>
      <c r="AA2162" s="6">
        <f t="shared" ca="1" si="604"/>
        <v>2024</v>
      </c>
      <c r="AB2162" s="6">
        <f t="shared" ca="1" si="605"/>
        <v>1</v>
      </c>
      <c r="AC2162" s="68">
        <f ca="1">IFERROR(__xludf.DUMMYFUNCTION("""COMPUTED_VALUE"""),45313.9986111111)</f>
        <v>45313.998611111099</v>
      </c>
      <c r="AD2162" s="6">
        <f ca="1">IFERROR(__xludf.DUMMYFUNCTION("""COMPUTED_VALUE"""),1338.74)</f>
        <v>1338.74</v>
      </c>
      <c r="AH2162" s="6" t="str">
        <f t="shared" ca="1" si="606"/>
        <v>202311</v>
      </c>
      <c r="AI2162" s="6">
        <f t="shared" ca="1" si="607"/>
        <v>2023</v>
      </c>
      <c r="AJ2162" s="6">
        <f t="shared" ca="1" si="608"/>
        <v>11</v>
      </c>
      <c r="AK2162" s="68">
        <f ca="1">IFERROR(__xludf.DUMMYFUNCTION("""COMPUTED_VALUE"""),45255.9986111111)</f>
        <v>45255.998611111099</v>
      </c>
      <c r="AL2162" s="6">
        <f ca="1">IFERROR(__xludf.DUMMYFUNCTION("""COMPUTED_VALUE"""),37807.9)</f>
        <v>37807.9</v>
      </c>
      <c r="AP2162" s="6" t="str">
        <f t="shared" si="609"/>
        <v>19001</v>
      </c>
      <c r="AQ2162" s="6">
        <f t="shared" si="610"/>
        <v>1900</v>
      </c>
      <c r="AR2162" s="6">
        <f t="shared" si="611"/>
        <v>1</v>
      </c>
    </row>
    <row r="2163" spans="2:44" x14ac:dyDescent="0.35">
      <c r="B2163" s="6" t="str">
        <f t="shared" si="594"/>
        <v>19001</v>
      </c>
      <c r="C2163" s="6">
        <f t="shared" si="595"/>
        <v>1900</v>
      </c>
      <c r="D2163" s="6">
        <f t="shared" si="596"/>
        <v>1</v>
      </c>
      <c r="J2163" s="6" t="str">
        <f t="shared" si="597"/>
        <v>19001</v>
      </c>
      <c r="K2163" s="6">
        <f t="shared" si="598"/>
        <v>1900</v>
      </c>
      <c r="L2163" s="6">
        <f t="shared" si="599"/>
        <v>1</v>
      </c>
      <c r="R2163" s="6" t="str">
        <f t="shared" si="600"/>
        <v>19001</v>
      </c>
      <c r="S2163" s="6">
        <f t="shared" si="601"/>
        <v>1900</v>
      </c>
      <c r="T2163" s="6">
        <f t="shared" si="602"/>
        <v>1</v>
      </c>
      <c r="Z2163" s="6" t="str">
        <f t="shared" ca="1" si="603"/>
        <v>20241</v>
      </c>
      <c r="AA2163" s="6">
        <f t="shared" ca="1" si="604"/>
        <v>2024</v>
      </c>
      <c r="AB2163" s="6">
        <f t="shared" ca="1" si="605"/>
        <v>1</v>
      </c>
      <c r="AC2163" s="68">
        <f ca="1">IFERROR(__xludf.DUMMYFUNCTION("""COMPUTED_VALUE"""),45314.9986111111)</f>
        <v>45314.998611111099</v>
      </c>
      <c r="AD2163" s="6">
        <f ca="1">IFERROR(__xludf.DUMMYFUNCTION("""COMPUTED_VALUE"""),1336.78)</f>
        <v>1336.78</v>
      </c>
      <c r="AH2163" s="6" t="str">
        <f t="shared" ca="1" si="606"/>
        <v>202311</v>
      </c>
      <c r="AI2163" s="6">
        <f t="shared" ca="1" si="607"/>
        <v>2023</v>
      </c>
      <c r="AJ2163" s="6">
        <f t="shared" ca="1" si="608"/>
        <v>11</v>
      </c>
      <c r="AK2163" s="68">
        <f ca="1">IFERROR(__xludf.DUMMYFUNCTION("""COMPUTED_VALUE"""),45256.9986111111)</f>
        <v>45256.998611111099</v>
      </c>
      <c r="AL2163" s="6">
        <f ca="1">IFERROR(__xludf.DUMMYFUNCTION("""COMPUTED_VALUE"""),37462.87)</f>
        <v>37462.870000000003</v>
      </c>
      <c r="AP2163" s="6" t="str">
        <f t="shared" si="609"/>
        <v>19001</v>
      </c>
      <c r="AQ2163" s="6">
        <f t="shared" si="610"/>
        <v>1900</v>
      </c>
      <c r="AR2163" s="6">
        <f t="shared" si="611"/>
        <v>1</v>
      </c>
    </row>
    <row r="2164" spans="2:44" x14ac:dyDescent="0.35">
      <c r="B2164" s="6" t="str">
        <f t="shared" si="594"/>
        <v>19001</v>
      </c>
      <c r="C2164" s="6">
        <f t="shared" si="595"/>
        <v>1900</v>
      </c>
      <c r="D2164" s="6">
        <f t="shared" si="596"/>
        <v>1</v>
      </c>
      <c r="J2164" s="6" t="str">
        <f t="shared" si="597"/>
        <v>19001</v>
      </c>
      <c r="K2164" s="6">
        <f t="shared" si="598"/>
        <v>1900</v>
      </c>
      <c r="L2164" s="6">
        <f t="shared" si="599"/>
        <v>1</v>
      </c>
      <c r="R2164" s="6" t="str">
        <f t="shared" si="600"/>
        <v>19001</v>
      </c>
      <c r="S2164" s="6">
        <f t="shared" si="601"/>
        <v>1900</v>
      </c>
      <c r="T2164" s="6">
        <f t="shared" si="602"/>
        <v>1</v>
      </c>
      <c r="Z2164" s="6" t="str">
        <f t="shared" ca="1" si="603"/>
        <v>20241</v>
      </c>
      <c r="AA2164" s="6">
        <f t="shared" ca="1" si="604"/>
        <v>2024</v>
      </c>
      <c r="AB2164" s="6">
        <f t="shared" ca="1" si="605"/>
        <v>1</v>
      </c>
      <c r="AC2164" s="68">
        <f ca="1">IFERROR(__xludf.DUMMYFUNCTION("""COMPUTED_VALUE"""),45315.9986111111)</f>
        <v>45315.998611111099</v>
      </c>
      <c r="AD2164" s="6">
        <f ca="1">IFERROR(__xludf.DUMMYFUNCTION("""COMPUTED_VALUE"""),1329.89)</f>
        <v>1329.89</v>
      </c>
      <c r="AH2164" s="6" t="str">
        <f t="shared" ca="1" si="606"/>
        <v>202311</v>
      </c>
      <c r="AI2164" s="6">
        <f t="shared" ca="1" si="607"/>
        <v>2023</v>
      </c>
      <c r="AJ2164" s="6">
        <f t="shared" ca="1" si="608"/>
        <v>11</v>
      </c>
      <c r="AK2164" s="68">
        <f ca="1">IFERROR(__xludf.DUMMYFUNCTION("""COMPUTED_VALUE"""),45257.9986111111)</f>
        <v>45257.998611111099</v>
      </c>
      <c r="AL2164" s="6">
        <f ca="1">IFERROR(__xludf.DUMMYFUNCTION("""COMPUTED_VALUE"""),37247.49)</f>
        <v>37247.49</v>
      </c>
      <c r="AP2164" s="6" t="str">
        <f t="shared" si="609"/>
        <v>19001</v>
      </c>
      <c r="AQ2164" s="6">
        <f t="shared" si="610"/>
        <v>1900</v>
      </c>
      <c r="AR2164" s="6">
        <f t="shared" si="611"/>
        <v>1</v>
      </c>
    </row>
    <row r="2165" spans="2:44" x14ac:dyDescent="0.35">
      <c r="B2165" s="6" t="str">
        <f t="shared" si="594"/>
        <v>19001</v>
      </c>
      <c r="C2165" s="6">
        <f t="shared" si="595"/>
        <v>1900</v>
      </c>
      <c r="D2165" s="6">
        <f t="shared" si="596"/>
        <v>1</v>
      </c>
      <c r="J2165" s="6" t="str">
        <f t="shared" si="597"/>
        <v>19001</v>
      </c>
      <c r="K2165" s="6">
        <f t="shared" si="598"/>
        <v>1900</v>
      </c>
      <c r="L2165" s="6">
        <f t="shared" si="599"/>
        <v>1</v>
      </c>
      <c r="R2165" s="6" t="str">
        <f t="shared" si="600"/>
        <v>19001</v>
      </c>
      <c r="S2165" s="6">
        <f t="shared" si="601"/>
        <v>1900</v>
      </c>
      <c r="T2165" s="6">
        <f t="shared" si="602"/>
        <v>1</v>
      </c>
      <c r="Z2165" s="6" t="str">
        <f t="shared" ca="1" si="603"/>
        <v>20241</v>
      </c>
      <c r="AA2165" s="6">
        <f t="shared" ca="1" si="604"/>
        <v>2024</v>
      </c>
      <c r="AB2165" s="6">
        <f t="shared" ca="1" si="605"/>
        <v>1</v>
      </c>
      <c r="AC2165" s="68">
        <f ca="1">IFERROR(__xludf.DUMMYFUNCTION("""COMPUTED_VALUE"""),45316.9986111111)</f>
        <v>45316.998611111099</v>
      </c>
      <c r="AD2165" s="6">
        <f ca="1">IFERROR(__xludf.DUMMYFUNCTION("""COMPUTED_VALUE"""),1336.03)</f>
        <v>1336.03</v>
      </c>
      <c r="AH2165" s="6" t="str">
        <f t="shared" ca="1" si="606"/>
        <v>202311</v>
      </c>
      <c r="AI2165" s="6">
        <f t="shared" ca="1" si="607"/>
        <v>2023</v>
      </c>
      <c r="AJ2165" s="6">
        <f t="shared" ca="1" si="608"/>
        <v>11</v>
      </c>
      <c r="AK2165" s="68">
        <f ca="1">IFERROR(__xludf.DUMMYFUNCTION("""COMPUTED_VALUE"""),45258.9986111111)</f>
        <v>45258.998611111099</v>
      </c>
      <c r="AL2165" s="6">
        <f ca="1">IFERROR(__xludf.DUMMYFUNCTION("""COMPUTED_VALUE"""),37832.33)</f>
        <v>37832.33</v>
      </c>
      <c r="AP2165" s="6" t="str">
        <f t="shared" si="609"/>
        <v>19001</v>
      </c>
      <c r="AQ2165" s="6">
        <f t="shared" si="610"/>
        <v>1900</v>
      </c>
      <c r="AR2165" s="6">
        <f t="shared" si="611"/>
        <v>1</v>
      </c>
    </row>
    <row r="2166" spans="2:44" x14ac:dyDescent="0.35">
      <c r="B2166" s="6" t="str">
        <f t="shared" si="594"/>
        <v>19001</v>
      </c>
      <c r="C2166" s="6">
        <f t="shared" si="595"/>
        <v>1900</v>
      </c>
      <c r="D2166" s="6">
        <f t="shared" si="596"/>
        <v>1</v>
      </c>
      <c r="J2166" s="6" t="str">
        <f t="shared" si="597"/>
        <v>19001</v>
      </c>
      <c r="K2166" s="6">
        <f t="shared" si="598"/>
        <v>1900</v>
      </c>
      <c r="L2166" s="6">
        <f t="shared" si="599"/>
        <v>1</v>
      </c>
      <c r="R2166" s="6" t="str">
        <f t="shared" si="600"/>
        <v>19001</v>
      </c>
      <c r="S2166" s="6">
        <f t="shared" si="601"/>
        <v>1900</v>
      </c>
      <c r="T2166" s="6">
        <f t="shared" si="602"/>
        <v>1</v>
      </c>
      <c r="Z2166" s="6" t="str">
        <f t="shared" ca="1" si="603"/>
        <v>20241</v>
      </c>
      <c r="AA2166" s="6">
        <f t="shared" ca="1" si="604"/>
        <v>2024</v>
      </c>
      <c r="AB2166" s="6">
        <f t="shared" ca="1" si="605"/>
        <v>1</v>
      </c>
      <c r="AC2166" s="68">
        <f ca="1">IFERROR(__xludf.DUMMYFUNCTION("""COMPUTED_VALUE"""),45317.9986111111)</f>
        <v>45317.998611111099</v>
      </c>
      <c r="AD2166" s="6">
        <f ca="1">IFERROR(__xludf.DUMMYFUNCTION("""COMPUTED_VALUE"""),1336.76)</f>
        <v>1336.76</v>
      </c>
      <c r="AH2166" s="6" t="str">
        <f t="shared" ca="1" si="606"/>
        <v>202311</v>
      </c>
      <c r="AI2166" s="6">
        <f t="shared" ca="1" si="607"/>
        <v>2023</v>
      </c>
      <c r="AJ2166" s="6">
        <f t="shared" ca="1" si="608"/>
        <v>11</v>
      </c>
      <c r="AK2166" s="68">
        <f ca="1">IFERROR(__xludf.DUMMYFUNCTION("""COMPUTED_VALUE"""),45259.9986111111)</f>
        <v>45259.998611111099</v>
      </c>
      <c r="AL2166" s="6">
        <f ca="1">IFERROR(__xludf.DUMMYFUNCTION("""COMPUTED_VALUE"""),37861.98)</f>
        <v>37861.980000000003</v>
      </c>
      <c r="AP2166" s="6" t="str">
        <f t="shared" si="609"/>
        <v>19001</v>
      </c>
      <c r="AQ2166" s="6">
        <f t="shared" si="610"/>
        <v>1900</v>
      </c>
      <c r="AR2166" s="6">
        <f t="shared" si="611"/>
        <v>1</v>
      </c>
    </row>
    <row r="2167" spans="2:44" x14ac:dyDescent="0.35">
      <c r="B2167" s="6" t="str">
        <f t="shared" si="594"/>
        <v>19001</v>
      </c>
      <c r="C2167" s="6">
        <f t="shared" si="595"/>
        <v>1900</v>
      </c>
      <c r="D2167" s="6">
        <f t="shared" si="596"/>
        <v>1</v>
      </c>
      <c r="J2167" s="6" t="str">
        <f t="shared" si="597"/>
        <v>19001</v>
      </c>
      <c r="K2167" s="6">
        <f t="shared" si="598"/>
        <v>1900</v>
      </c>
      <c r="L2167" s="6">
        <f t="shared" si="599"/>
        <v>1</v>
      </c>
      <c r="R2167" s="6" t="str">
        <f t="shared" si="600"/>
        <v>19001</v>
      </c>
      <c r="S2167" s="6">
        <f t="shared" si="601"/>
        <v>1900</v>
      </c>
      <c r="T2167" s="6">
        <f t="shared" si="602"/>
        <v>1</v>
      </c>
      <c r="Z2167" s="6" t="str">
        <f t="shared" ca="1" si="603"/>
        <v>20241</v>
      </c>
      <c r="AA2167" s="6">
        <f t="shared" ca="1" si="604"/>
        <v>2024</v>
      </c>
      <c r="AB2167" s="6">
        <f t="shared" ca="1" si="605"/>
        <v>1</v>
      </c>
      <c r="AC2167" s="68">
        <f ca="1">IFERROR(__xludf.DUMMYFUNCTION("""COMPUTED_VALUE"""),45318.9986111111)</f>
        <v>45318.998611111099</v>
      </c>
      <c r="AD2167" s="6">
        <f ca="1">IFERROR(__xludf.DUMMYFUNCTION("""COMPUTED_VALUE"""),1336.76)</f>
        <v>1336.76</v>
      </c>
      <c r="AH2167" s="6" t="str">
        <f t="shared" ca="1" si="606"/>
        <v>202311</v>
      </c>
      <c r="AI2167" s="6">
        <f t="shared" ca="1" si="607"/>
        <v>2023</v>
      </c>
      <c r="AJ2167" s="6">
        <f t="shared" ca="1" si="608"/>
        <v>11</v>
      </c>
      <c r="AK2167" s="68">
        <f ca="1">IFERROR(__xludf.DUMMYFUNCTION("""COMPUTED_VALUE"""),45260.9986111111)</f>
        <v>45260.998611111099</v>
      </c>
      <c r="AL2167" s="6">
        <f ca="1">IFERROR(__xludf.DUMMYFUNCTION("""COMPUTED_VALUE"""),37723.79)</f>
        <v>37723.79</v>
      </c>
      <c r="AP2167" s="6" t="str">
        <f t="shared" si="609"/>
        <v>19001</v>
      </c>
      <c r="AQ2167" s="6">
        <f t="shared" si="610"/>
        <v>1900</v>
      </c>
      <c r="AR2167" s="6">
        <f t="shared" si="611"/>
        <v>1</v>
      </c>
    </row>
    <row r="2168" spans="2:44" x14ac:dyDescent="0.35">
      <c r="B2168" s="6" t="str">
        <f t="shared" si="594"/>
        <v>19001</v>
      </c>
      <c r="C2168" s="6">
        <f t="shared" si="595"/>
        <v>1900</v>
      </c>
      <c r="D2168" s="6">
        <f t="shared" si="596"/>
        <v>1</v>
      </c>
      <c r="J2168" s="6" t="str">
        <f t="shared" si="597"/>
        <v>19001</v>
      </c>
      <c r="K2168" s="6">
        <f t="shared" si="598"/>
        <v>1900</v>
      </c>
      <c r="L2168" s="6">
        <f t="shared" si="599"/>
        <v>1</v>
      </c>
      <c r="R2168" s="6" t="str">
        <f t="shared" si="600"/>
        <v>19001</v>
      </c>
      <c r="S2168" s="6">
        <f t="shared" si="601"/>
        <v>1900</v>
      </c>
      <c r="T2168" s="6">
        <f t="shared" si="602"/>
        <v>1</v>
      </c>
      <c r="Z2168" s="6" t="str">
        <f t="shared" ca="1" si="603"/>
        <v>20241</v>
      </c>
      <c r="AA2168" s="6">
        <f t="shared" ca="1" si="604"/>
        <v>2024</v>
      </c>
      <c r="AB2168" s="6">
        <f t="shared" ca="1" si="605"/>
        <v>1</v>
      </c>
      <c r="AC2168" s="68">
        <f ca="1">IFERROR(__xludf.DUMMYFUNCTION("""COMPUTED_VALUE"""),45319.9986111111)</f>
        <v>45319.998611111099</v>
      </c>
      <c r="AD2168" s="6">
        <f ca="1">IFERROR(__xludf.DUMMYFUNCTION("""COMPUTED_VALUE"""),1336.76)</f>
        <v>1336.76</v>
      </c>
      <c r="AH2168" s="6" t="str">
        <f t="shared" ca="1" si="606"/>
        <v>202312</v>
      </c>
      <c r="AI2168" s="6">
        <f t="shared" ca="1" si="607"/>
        <v>2023</v>
      </c>
      <c r="AJ2168" s="6">
        <f t="shared" ca="1" si="608"/>
        <v>12</v>
      </c>
      <c r="AK2168" s="68">
        <f ca="1">IFERROR(__xludf.DUMMYFUNCTION("""COMPUTED_VALUE"""),45261.9986111111)</f>
        <v>45261.998611111099</v>
      </c>
      <c r="AL2168" s="6">
        <f ca="1">IFERROR(__xludf.DUMMYFUNCTION("""COMPUTED_VALUE"""),38704.05)</f>
        <v>38704.050000000003</v>
      </c>
      <c r="AP2168" s="6" t="str">
        <f t="shared" si="609"/>
        <v>19001</v>
      </c>
      <c r="AQ2168" s="6">
        <f t="shared" si="610"/>
        <v>1900</v>
      </c>
      <c r="AR2168" s="6">
        <f t="shared" si="611"/>
        <v>1</v>
      </c>
    </row>
    <row r="2169" spans="2:44" x14ac:dyDescent="0.35">
      <c r="B2169" s="6" t="str">
        <f t="shared" si="594"/>
        <v>19001</v>
      </c>
      <c r="C2169" s="6">
        <f t="shared" si="595"/>
        <v>1900</v>
      </c>
      <c r="D2169" s="6">
        <f t="shared" si="596"/>
        <v>1</v>
      </c>
      <c r="J2169" s="6" t="str">
        <f t="shared" si="597"/>
        <v>19001</v>
      </c>
      <c r="K2169" s="6">
        <f t="shared" si="598"/>
        <v>1900</v>
      </c>
      <c r="L2169" s="6">
        <f t="shared" si="599"/>
        <v>1</v>
      </c>
      <c r="R2169" s="6" t="str">
        <f t="shared" si="600"/>
        <v>19001</v>
      </c>
      <c r="S2169" s="6">
        <f t="shared" si="601"/>
        <v>1900</v>
      </c>
      <c r="T2169" s="6">
        <f t="shared" si="602"/>
        <v>1</v>
      </c>
      <c r="Z2169" s="6" t="str">
        <f t="shared" ca="1" si="603"/>
        <v>20241</v>
      </c>
      <c r="AA2169" s="6">
        <f t="shared" ca="1" si="604"/>
        <v>2024</v>
      </c>
      <c r="AB2169" s="6">
        <f t="shared" ca="1" si="605"/>
        <v>1</v>
      </c>
      <c r="AC2169" s="68">
        <f ca="1">IFERROR(__xludf.DUMMYFUNCTION("""COMPUTED_VALUE"""),45320.9986111111)</f>
        <v>45320.998611111099</v>
      </c>
      <c r="AD2169" s="6">
        <f ca="1">IFERROR(__xludf.DUMMYFUNCTION("""COMPUTED_VALUE"""),1333.21)</f>
        <v>1333.21</v>
      </c>
      <c r="AH2169" s="6" t="str">
        <f t="shared" ca="1" si="606"/>
        <v>202312</v>
      </c>
      <c r="AI2169" s="6">
        <f t="shared" ca="1" si="607"/>
        <v>2023</v>
      </c>
      <c r="AJ2169" s="6">
        <f t="shared" ca="1" si="608"/>
        <v>12</v>
      </c>
      <c r="AK2169" s="68">
        <f ca="1">IFERROR(__xludf.DUMMYFUNCTION("""COMPUTED_VALUE"""),45262.9986111111)</f>
        <v>45262.998611111099</v>
      </c>
      <c r="AL2169" s="6">
        <f ca="1">IFERROR(__xludf.DUMMYFUNCTION("""COMPUTED_VALUE"""),39463.38)</f>
        <v>39463.379999999997</v>
      </c>
      <c r="AP2169" s="6" t="str">
        <f t="shared" si="609"/>
        <v>19001</v>
      </c>
      <c r="AQ2169" s="6">
        <f t="shared" si="610"/>
        <v>1900</v>
      </c>
      <c r="AR2169" s="6">
        <f t="shared" si="611"/>
        <v>1</v>
      </c>
    </row>
    <row r="2170" spans="2:44" x14ac:dyDescent="0.35">
      <c r="B2170" s="6" t="str">
        <f t="shared" si="594"/>
        <v>19001</v>
      </c>
      <c r="C2170" s="6">
        <f t="shared" si="595"/>
        <v>1900</v>
      </c>
      <c r="D2170" s="6">
        <f t="shared" si="596"/>
        <v>1</v>
      </c>
      <c r="J2170" s="6" t="str">
        <f t="shared" si="597"/>
        <v>19001</v>
      </c>
      <c r="K2170" s="6">
        <f t="shared" si="598"/>
        <v>1900</v>
      </c>
      <c r="L2170" s="6">
        <f t="shared" si="599"/>
        <v>1</v>
      </c>
      <c r="R2170" s="6" t="str">
        <f t="shared" si="600"/>
        <v>19001</v>
      </c>
      <c r="S2170" s="6">
        <f t="shared" si="601"/>
        <v>1900</v>
      </c>
      <c r="T2170" s="6">
        <f t="shared" si="602"/>
        <v>1</v>
      </c>
      <c r="Z2170" s="6" t="str">
        <f t="shared" ca="1" si="603"/>
        <v>20241</v>
      </c>
      <c r="AA2170" s="6">
        <f t="shared" ca="1" si="604"/>
        <v>2024</v>
      </c>
      <c r="AB2170" s="6">
        <f t="shared" ca="1" si="605"/>
        <v>1</v>
      </c>
      <c r="AC2170" s="68">
        <f ca="1">IFERROR(__xludf.DUMMYFUNCTION("""COMPUTED_VALUE"""),45321.9986111111)</f>
        <v>45321.998611111099</v>
      </c>
      <c r="AD2170" s="6">
        <f ca="1">IFERROR(__xludf.DUMMYFUNCTION("""COMPUTED_VALUE"""),1326.62)</f>
        <v>1326.62</v>
      </c>
      <c r="AH2170" s="6" t="str">
        <f t="shared" ca="1" si="606"/>
        <v>202312</v>
      </c>
      <c r="AI2170" s="6">
        <f t="shared" ca="1" si="607"/>
        <v>2023</v>
      </c>
      <c r="AJ2170" s="6">
        <f t="shared" ca="1" si="608"/>
        <v>12</v>
      </c>
      <c r="AK2170" s="68">
        <f ca="1">IFERROR(__xludf.DUMMYFUNCTION("""COMPUTED_VALUE"""),45263.9986111111)</f>
        <v>45263.998611111099</v>
      </c>
      <c r="AL2170" s="6">
        <f ca="1">IFERROR(__xludf.DUMMYFUNCTION("""COMPUTED_VALUE"""),39976.71)</f>
        <v>39976.71</v>
      </c>
      <c r="AP2170" s="6" t="str">
        <f t="shared" si="609"/>
        <v>19001</v>
      </c>
      <c r="AQ2170" s="6">
        <f t="shared" si="610"/>
        <v>1900</v>
      </c>
      <c r="AR2170" s="6">
        <f t="shared" si="611"/>
        <v>1</v>
      </c>
    </row>
    <row r="2171" spans="2:44" x14ac:dyDescent="0.35">
      <c r="B2171" s="6" t="str">
        <f t="shared" si="594"/>
        <v>19001</v>
      </c>
      <c r="C2171" s="6">
        <f t="shared" si="595"/>
        <v>1900</v>
      </c>
      <c r="D2171" s="6">
        <f t="shared" si="596"/>
        <v>1</v>
      </c>
      <c r="J2171" s="6" t="str">
        <f t="shared" si="597"/>
        <v>19001</v>
      </c>
      <c r="K2171" s="6">
        <f t="shared" si="598"/>
        <v>1900</v>
      </c>
      <c r="L2171" s="6">
        <f t="shared" si="599"/>
        <v>1</v>
      </c>
      <c r="R2171" s="6" t="str">
        <f t="shared" si="600"/>
        <v>19001</v>
      </c>
      <c r="S2171" s="6">
        <f t="shared" si="601"/>
        <v>1900</v>
      </c>
      <c r="T2171" s="6">
        <f t="shared" si="602"/>
        <v>1</v>
      </c>
      <c r="Z2171" s="6" t="str">
        <f t="shared" ca="1" si="603"/>
        <v>20241</v>
      </c>
      <c r="AA2171" s="6">
        <f t="shared" ca="1" si="604"/>
        <v>2024</v>
      </c>
      <c r="AB2171" s="6">
        <f t="shared" ca="1" si="605"/>
        <v>1</v>
      </c>
      <c r="AC2171" s="68">
        <f ca="1">IFERROR(__xludf.DUMMYFUNCTION("""COMPUTED_VALUE"""),45322.9986111111)</f>
        <v>45322.998611111099</v>
      </c>
      <c r="AD2171" s="6">
        <f ca="1">IFERROR(__xludf.DUMMYFUNCTION("""COMPUTED_VALUE"""),1333.91)</f>
        <v>1333.91</v>
      </c>
      <c r="AH2171" s="6" t="str">
        <f t="shared" ca="1" si="606"/>
        <v>202312</v>
      </c>
      <c r="AI2171" s="6">
        <f t="shared" ca="1" si="607"/>
        <v>2023</v>
      </c>
      <c r="AJ2171" s="6">
        <f t="shared" ca="1" si="608"/>
        <v>12</v>
      </c>
      <c r="AK2171" s="68">
        <f ca="1">IFERROR(__xludf.DUMMYFUNCTION("""COMPUTED_VALUE"""),45264.9986111111)</f>
        <v>45264.998611111099</v>
      </c>
      <c r="AL2171" s="6">
        <f ca="1">IFERROR(__xludf.DUMMYFUNCTION("""COMPUTED_VALUE"""),41982.22)</f>
        <v>41982.22</v>
      </c>
      <c r="AP2171" s="6" t="str">
        <f t="shared" si="609"/>
        <v>19001</v>
      </c>
      <c r="AQ2171" s="6">
        <f t="shared" si="610"/>
        <v>1900</v>
      </c>
      <c r="AR2171" s="6">
        <f t="shared" si="611"/>
        <v>1</v>
      </c>
    </row>
    <row r="2172" spans="2:44" x14ac:dyDescent="0.35">
      <c r="B2172" s="6" t="str">
        <f t="shared" si="594"/>
        <v>19001</v>
      </c>
      <c r="C2172" s="6">
        <f t="shared" si="595"/>
        <v>1900</v>
      </c>
      <c r="D2172" s="6">
        <f t="shared" si="596"/>
        <v>1</v>
      </c>
      <c r="J2172" s="6" t="str">
        <f t="shared" si="597"/>
        <v>19001</v>
      </c>
      <c r="K2172" s="6">
        <f t="shared" si="598"/>
        <v>1900</v>
      </c>
      <c r="L2172" s="6">
        <f t="shared" si="599"/>
        <v>1</v>
      </c>
      <c r="R2172" s="6" t="str">
        <f t="shared" si="600"/>
        <v>19001</v>
      </c>
      <c r="S2172" s="6">
        <f t="shared" si="601"/>
        <v>1900</v>
      </c>
      <c r="T2172" s="6">
        <f t="shared" si="602"/>
        <v>1</v>
      </c>
      <c r="Z2172" s="6" t="str">
        <f t="shared" ca="1" si="603"/>
        <v>20242</v>
      </c>
      <c r="AA2172" s="6">
        <f t="shared" ca="1" si="604"/>
        <v>2024</v>
      </c>
      <c r="AB2172" s="6">
        <f t="shared" ca="1" si="605"/>
        <v>2</v>
      </c>
      <c r="AC2172" s="68">
        <f ca="1">IFERROR(__xludf.DUMMYFUNCTION("""COMPUTED_VALUE"""),45323.9986111111)</f>
        <v>45323.998611111099</v>
      </c>
      <c r="AD2172" s="6">
        <f ca="1">IFERROR(__xludf.DUMMYFUNCTION("""COMPUTED_VALUE"""),1328.95)</f>
        <v>1328.95</v>
      </c>
      <c r="AH2172" s="6" t="str">
        <f t="shared" ca="1" si="606"/>
        <v>202312</v>
      </c>
      <c r="AI2172" s="6">
        <f t="shared" ca="1" si="607"/>
        <v>2023</v>
      </c>
      <c r="AJ2172" s="6">
        <f t="shared" ca="1" si="608"/>
        <v>12</v>
      </c>
      <c r="AK2172" s="68">
        <f ca="1">IFERROR(__xludf.DUMMYFUNCTION("""COMPUTED_VALUE"""),45265.9986111111)</f>
        <v>45265.998611111099</v>
      </c>
      <c r="AL2172" s="6">
        <f ca="1">IFERROR(__xludf.DUMMYFUNCTION("""COMPUTED_VALUE"""),44082.62)</f>
        <v>44082.62</v>
      </c>
      <c r="AP2172" s="6" t="str">
        <f t="shared" si="609"/>
        <v>19001</v>
      </c>
      <c r="AQ2172" s="6">
        <f t="shared" si="610"/>
        <v>1900</v>
      </c>
      <c r="AR2172" s="6">
        <f t="shared" si="611"/>
        <v>1</v>
      </c>
    </row>
    <row r="2173" spans="2:44" x14ac:dyDescent="0.35">
      <c r="B2173" s="6" t="str">
        <f t="shared" si="594"/>
        <v>19001</v>
      </c>
      <c r="C2173" s="6">
        <f t="shared" si="595"/>
        <v>1900</v>
      </c>
      <c r="D2173" s="6">
        <f t="shared" si="596"/>
        <v>1</v>
      </c>
      <c r="J2173" s="6" t="str">
        <f t="shared" si="597"/>
        <v>19001</v>
      </c>
      <c r="K2173" s="6">
        <f t="shared" si="598"/>
        <v>1900</v>
      </c>
      <c r="L2173" s="6">
        <f t="shared" si="599"/>
        <v>1</v>
      </c>
      <c r="R2173" s="6" t="str">
        <f t="shared" si="600"/>
        <v>19001</v>
      </c>
      <c r="S2173" s="6">
        <f t="shared" si="601"/>
        <v>1900</v>
      </c>
      <c r="T2173" s="6">
        <f t="shared" si="602"/>
        <v>1</v>
      </c>
      <c r="Z2173" s="6" t="str">
        <f t="shared" ca="1" si="603"/>
        <v>20242</v>
      </c>
      <c r="AA2173" s="6">
        <f t="shared" ca="1" si="604"/>
        <v>2024</v>
      </c>
      <c r="AB2173" s="6">
        <f t="shared" ca="1" si="605"/>
        <v>2</v>
      </c>
      <c r="AC2173" s="68">
        <f ca="1">IFERROR(__xludf.DUMMYFUNCTION("""COMPUTED_VALUE"""),45324.9986111111)</f>
        <v>45324.998611111099</v>
      </c>
      <c r="AD2173" s="6">
        <f ca="1">IFERROR(__xludf.DUMMYFUNCTION("""COMPUTED_VALUE"""),1337.73)</f>
        <v>1337.73</v>
      </c>
      <c r="AH2173" s="6" t="str">
        <f t="shared" ca="1" si="606"/>
        <v>202312</v>
      </c>
      <c r="AI2173" s="6">
        <f t="shared" ca="1" si="607"/>
        <v>2023</v>
      </c>
      <c r="AJ2173" s="6">
        <f t="shared" ca="1" si="608"/>
        <v>12</v>
      </c>
      <c r="AK2173" s="68">
        <f ca="1">IFERROR(__xludf.DUMMYFUNCTION("""COMPUTED_VALUE"""),45266.9986111111)</f>
        <v>45266.998611111099</v>
      </c>
      <c r="AL2173" s="6">
        <f ca="1">IFERROR(__xludf.DUMMYFUNCTION("""COMPUTED_VALUE"""),43774.54)</f>
        <v>43774.54</v>
      </c>
      <c r="AP2173" s="6" t="str">
        <f t="shared" si="609"/>
        <v>19001</v>
      </c>
      <c r="AQ2173" s="6">
        <f t="shared" si="610"/>
        <v>1900</v>
      </c>
      <c r="AR2173" s="6">
        <f t="shared" si="611"/>
        <v>1</v>
      </c>
    </row>
    <row r="2174" spans="2:44" x14ac:dyDescent="0.35">
      <c r="B2174" s="6" t="str">
        <f t="shared" si="594"/>
        <v>19001</v>
      </c>
      <c r="C2174" s="6">
        <f t="shared" si="595"/>
        <v>1900</v>
      </c>
      <c r="D2174" s="6">
        <f t="shared" si="596"/>
        <v>1</v>
      </c>
      <c r="J2174" s="6" t="str">
        <f t="shared" si="597"/>
        <v>19001</v>
      </c>
      <c r="K2174" s="6">
        <f t="shared" si="598"/>
        <v>1900</v>
      </c>
      <c r="L2174" s="6">
        <f t="shared" si="599"/>
        <v>1</v>
      </c>
      <c r="R2174" s="6" t="str">
        <f t="shared" si="600"/>
        <v>19001</v>
      </c>
      <c r="S2174" s="6">
        <f t="shared" si="601"/>
        <v>1900</v>
      </c>
      <c r="T2174" s="6">
        <f t="shared" si="602"/>
        <v>1</v>
      </c>
      <c r="Z2174" s="6" t="str">
        <f t="shared" ca="1" si="603"/>
        <v>20242</v>
      </c>
      <c r="AA2174" s="6">
        <f t="shared" ca="1" si="604"/>
        <v>2024</v>
      </c>
      <c r="AB2174" s="6">
        <f t="shared" ca="1" si="605"/>
        <v>2</v>
      </c>
      <c r="AC2174" s="68">
        <f ca="1">IFERROR(__xludf.DUMMYFUNCTION("""COMPUTED_VALUE"""),45325.9986111111)</f>
        <v>45325.998611111099</v>
      </c>
      <c r="AD2174" s="6">
        <f ca="1">IFERROR(__xludf.DUMMYFUNCTION("""COMPUTED_VALUE"""),1337.73)</f>
        <v>1337.73</v>
      </c>
      <c r="AH2174" s="6" t="str">
        <f t="shared" ca="1" si="606"/>
        <v>202312</v>
      </c>
      <c r="AI2174" s="6">
        <f t="shared" ca="1" si="607"/>
        <v>2023</v>
      </c>
      <c r="AJ2174" s="6">
        <f t="shared" ca="1" si="608"/>
        <v>12</v>
      </c>
      <c r="AK2174" s="68">
        <f ca="1">IFERROR(__xludf.DUMMYFUNCTION("""COMPUTED_VALUE"""),45267.9986111111)</f>
        <v>45267.998611111099</v>
      </c>
      <c r="AL2174" s="6">
        <f ca="1">IFERROR(__xludf.DUMMYFUNCTION("""COMPUTED_VALUE"""),43296.1)</f>
        <v>43296.1</v>
      </c>
      <c r="AP2174" s="6" t="str">
        <f t="shared" si="609"/>
        <v>19001</v>
      </c>
      <c r="AQ2174" s="6">
        <f t="shared" si="610"/>
        <v>1900</v>
      </c>
      <c r="AR2174" s="6">
        <f t="shared" si="611"/>
        <v>1</v>
      </c>
    </row>
    <row r="2175" spans="2:44" x14ac:dyDescent="0.35">
      <c r="B2175" s="6" t="str">
        <f t="shared" si="594"/>
        <v>19001</v>
      </c>
      <c r="C2175" s="6">
        <f t="shared" si="595"/>
        <v>1900</v>
      </c>
      <c r="D2175" s="6">
        <f t="shared" si="596"/>
        <v>1</v>
      </c>
      <c r="J2175" s="6" t="str">
        <f t="shared" si="597"/>
        <v>19001</v>
      </c>
      <c r="K2175" s="6">
        <f t="shared" si="598"/>
        <v>1900</v>
      </c>
      <c r="L2175" s="6">
        <f t="shared" si="599"/>
        <v>1</v>
      </c>
      <c r="R2175" s="6" t="str">
        <f t="shared" si="600"/>
        <v>19001</v>
      </c>
      <c r="S2175" s="6">
        <f t="shared" si="601"/>
        <v>1900</v>
      </c>
      <c r="T2175" s="6">
        <f t="shared" si="602"/>
        <v>1</v>
      </c>
      <c r="Z2175" s="6" t="str">
        <f t="shared" ca="1" si="603"/>
        <v>20242</v>
      </c>
      <c r="AA2175" s="6">
        <f t="shared" ca="1" si="604"/>
        <v>2024</v>
      </c>
      <c r="AB2175" s="6">
        <f t="shared" ca="1" si="605"/>
        <v>2</v>
      </c>
      <c r="AC2175" s="68">
        <f ca="1">IFERROR(__xludf.DUMMYFUNCTION("""COMPUTED_VALUE"""),45326.9986111111)</f>
        <v>45326.998611111099</v>
      </c>
      <c r="AD2175" s="6">
        <f ca="1">IFERROR(__xludf.DUMMYFUNCTION("""COMPUTED_VALUE"""),1337.73)</f>
        <v>1337.73</v>
      </c>
      <c r="AH2175" s="6" t="str">
        <f t="shared" ca="1" si="606"/>
        <v>202312</v>
      </c>
      <c r="AI2175" s="6">
        <f t="shared" ca="1" si="607"/>
        <v>2023</v>
      </c>
      <c r="AJ2175" s="6">
        <f t="shared" ca="1" si="608"/>
        <v>12</v>
      </c>
      <c r="AK2175" s="68">
        <f ca="1">IFERROR(__xludf.DUMMYFUNCTION("""COMPUTED_VALUE"""),45268.9986111111)</f>
        <v>45268.998611111099</v>
      </c>
      <c r="AL2175" s="6">
        <f ca="1">IFERROR(__xludf.DUMMYFUNCTION("""COMPUTED_VALUE"""),44193.9)</f>
        <v>44193.9</v>
      </c>
      <c r="AP2175" s="6" t="str">
        <f t="shared" si="609"/>
        <v>19001</v>
      </c>
      <c r="AQ2175" s="6">
        <f t="shared" si="610"/>
        <v>1900</v>
      </c>
      <c r="AR2175" s="6">
        <f t="shared" si="611"/>
        <v>1</v>
      </c>
    </row>
    <row r="2176" spans="2:44" x14ac:dyDescent="0.35">
      <c r="B2176" s="6" t="str">
        <f t="shared" si="594"/>
        <v>19001</v>
      </c>
      <c r="C2176" s="6">
        <f t="shared" si="595"/>
        <v>1900</v>
      </c>
      <c r="D2176" s="6">
        <f t="shared" si="596"/>
        <v>1</v>
      </c>
      <c r="J2176" s="6" t="str">
        <f t="shared" si="597"/>
        <v>19001</v>
      </c>
      <c r="K2176" s="6">
        <f t="shared" si="598"/>
        <v>1900</v>
      </c>
      <c r="L2176" s="6">
        <f t="shared" si="599"/>
        <v>1</v>
      </c>
      <c r="R2176" s="6" t="str">
        <f t="shared" si="600"/>
        <v>19001</v>
      </c>
      <c r="S2176" s="6">
        <f t="shared" si="601"/>
        <v>1900</v>
      </c>
      <c r="T2176" s="6">
        <f t="shared" si="602"/>
        <v>1</v>
      </c>
      <c r="Z2176" s="6" t="str">
        <f t="shared" ca="1" si="603"/>
        <v>20242</v>
      </c>
      <c r="AA2176" s="6">
        <f t="shared" ca="1" si="604"/>
        <v>2024</v>
      </c>
      <c r="AB2176" s="6">
        <f t="shared" ca="1" si="605"/>
        <v>2</v>
      </c>
      <c r="AC2176" s="68">
        <f ca="1">IFERROR(__xludf.DUMMYFUNCTION("""COMPUTED_VALUE"""),45327.9986111111)</f>
        <v>45327.998611111099</v>
      </c>
      <c r="AD2176" s="6">
        <f ca="1">IFERROR(__xludf.DUMMYFUNCTION("""COMPUTED_VALUE"""),1333.39)</f>
        <v>1333.39</v>
      </c>
      <c r="AH2176" s="6" t="str">
        <f t="shared" ca="1" si="606"/>
        <v>202312</v>
      </c>
      <c r="AI2176" s="6">
        <f t="shared" ca="1" si="607"/>
        <v>2023</v>
      </c>
      <c r="AJ2176" s="6">
        <f t="shared" ca="1" si="608"/>
        <v>12</v>
      </c>
      <c r="AK2176" s="68">
        <f ca="1">IFERROR(__xludf.DUMMYFUNCTION("""COMPUTED_VALUE"""),45269.9986111111)</f>
        <v>45269.998611111099</v>
      </c>
      <c r="AL2176" s="6">
        <f ca="1">IFERROR(__xludf.DUMMYFUNCTION("""COMPUTED_VALUE"""),43736.8)</f>
        <v>43736.800000000003</v>
      </c>
      <c r="AP2176" s="6" t="str">
        <f t="shared" si="609"/>
        <v>19001</v>
      </c>
      <c r="AQ2176" s="6">
        <f t="shared" si="610"/>
        <v>1900</v>
      </c>
      <c r="AR2176" s="6">
        <f t="shared" si="611"/>
        <v>1</v>
      </c>
    </row>
    <row r="2177" spans="2:44" x14ac:dyDescent="0.35">
      <c r="B2177" s="6" t="str">
        <f t="shared" si="594"/>
        <v>19001</v>
      </c>
      <c r="C2177" s="6">
        <f t="shared" si="595"/>
        <v>1900</v>
      </c>
      <c r="D2177" s="6">
        <f t="shared" si="596"/>
        <v>1</v>
      </c>
      <c r="J2177" s="6" t="str">
        <f t="shared" si="597"/>
        <v>19001</v>
      </c>
      <c r="K2177" s="6">
        <f t="shared" si="598"/>
        <v>1900</v>
      </c>
      <c r="L2177" s="6">
        <f t="shared" si="599"/>
        <v>1</v>
      </c>
      <c r="R2177" s="6" t="str">
        <f t="shared" si="600"/>
        <v>19001</v>
      </c>
      <c r="S2177" s="6">
        <f t="shared" si="601"/>
        <v>1900</v>
      </c>
      <c r="T2177" s="6">
        <f t="shared" si="602"/>
        <v>1</v>
      </c>
      <c r="Z2177" s="6" t="str">
        <f t="shared" ca="1" si="603"/>
        <v>20242</v>
      </c>
      <c r="AA2177" s="6">
        <f t="shared" ca="1" si="604"/>
        <v>2024</v>
      </c>
      <c r="AB2177" s="6">
        <f t="shared" ca="1" si="605"/>
        <v>2</v>
      </c>
      <c r="AC2177" s="68">
        <f ca="1">IFERROR(__xludf.DUMMYFUNCTION("""COMPUTED_VALUE"""),45328.9986111111)</f>
        <v>45328.998611111099</v>
      </c>
      <c r="AD2177" s="6">
        <f ca="1">IFERROR(__xludf.DUMMYFUNCTION("""COMPUTED_VALUE"""),1326.79)</f>
        <v>1326.79</v>
      </c>
      <c r="AH2177" s="6" t="str">
        <f t="shared" ca="1" si="606"/>
        <v>202312</v>
      </c>
      <c r="AI2177" s="6">
        <f t="shared" ca="1" si="607"/>
        <v>2023</v>
      </c>
      <c r="AJ2177" s="6">
        <f t="shared" ca="1" si="608"/>
        <v>12</v>
      </c>
      <c r="AK2177" s="68">
        <f ca="1">IFERROR(__xludf.DUMMYFUNCTION("""COMPUTED_VALUE"""),45270.9986111111)</f>
        <v>45270.998611111099</v>
      </c>
      <c r="AL2177" s="6">
        <f ca="1">IFERROR(__xludf.DUMMYFUNCTION("""COMPUTED_VALUE"""),43790.26)</f>
        <v>43790.26</v>
      </c>
      <c r="AP2177" s="6" t="str">
        <f t="shared" si="609"/>
        <v>19001</v>
      </c>
      <c r="AQ2177" s="6">
        <f t="shared" si="610"/>
        <v>1900</v>
      </c>
      <c r="AR2177" s="6">
        <f t="shared" si="611"/>
        <v>1</v>
      </c>
    </row>
    <row r="2178" spans="2:44" x14ac:dyDescent="0.35">
      <c r="B2178" s="6" t="str">
        <f t="shared" si="594"/>
        <v>19001</v>
      </c>
      <c r="C2178" s="6">
        <f t="shared" si="595"/>
        <v>1900</v>
      </c>
      <c r="D2178" s="6">
        <f t="shared" si="596"/>
        <v>1</v>
      </c>
      <c r="J2178" s="6" t="str">
        <f t="shared" si="597"/>
        <v>19001</v>
      </c>
      <c r="K2178" s="6">
        <f t="shared" si="598"/>
        <v>1900</v>
      </c>
      <c r="L2178" s="6">
        <f t="shared" si="599"/>
        <v>1</v>
      </c>
      <c r="R2178" s="6" t="str">
        <f t="shared" si="600"/>
        <v>19001</v>
      </c>
      <c r="S2178" s="6">
        <f t="shared" si="601"/>
        <v>1900</v>
      </c>
      <c r="T2178" s="6">
        <f t="shared" si="602"/>
        <v>1</v>
      </c>
      <c r="Z2178" s="6" t="str">
        <f t="shared" ca="1" si="603"/>
        <v>20242</v>
      </c>
      <c r="AA2178" s="6">
        <f t="shared" ca="1" si="604"/>
        <v>2024</v>
      </c>
      <c r="AB2178" s="6">
        <f t="shared" ca="1" si="605"/>
        <v>2</v>
      </c>
      <c r="AC2178" s="68">
        <f ca="1">IFERROR(__xludf.DUMMYFUNCTION("""COMPUTED_VALUE"""),45329.9986111111)</f>
        <v>45329.998611111099</v>
      </c>
      <c r="AD2178" s="6">
        <f ca="1">IFERROR(__xludf.DUMMYFUNCTION("""COMPUTED_VALUE"""),1327.62)</f>
        <v>1327.62</v>
      </c>
      <c r="AH2178" s="6" t="str">
        <f t="shared" ca="1" si="606"/>
        <v>202312</v>
      </c>
      <c r="AI2178" s="6">
        <f t="shared" ca="1" si="607"/>
        <v>2023</v>
      </c>
      <c r="AJ2178" s="6">
        <f t="shared" ca="1" si="608"/>
        <v>12</v>
      </c>
      <c r="AK2178" s="68">
        <f ca="1">IFERROR(__xludf.DUMMYFUNCTION("""COMPUTED_VALUE"""),45271.9986111111)</f>
        <v>45271.998611111099</v>
      </c>
      <c r="AL2178" s="6">
        <f ca="1">IFERROR(__xludf.DUMMYFUNCTION("""COMPUTED_VALUE"""),41237.43)</f>
        <v>41237.43</v>
      </c>
      <c r="AP2178" s="6" t="str">
        <f t="shared" si="609"/>
        <v>19001</v>
      </c>
      <c r="AQ2178" s="6">
        <f t="shared" si="610"/>
        <v>1900</v>
      </c>
      <c r="AR2178" s="6">
        <f t="shared" si="611"/>
        <v>1</v>
      </c>
    </row>
    <row r="2179" spans="2:44" x14ac:dyDescent="0.35">
      <c r="B2179" s="6" t="str">
        <f t="shared" si="594"/>
        <v>19001</v>
      </c>
      <c r="C2179" s="6">
        <f t="shared" si="595"/>
        <v>1900</v>
      </c>
      <c r="D2179" s="6">
        <f t="shared" si="596"/>
        <v>1</v>
      </c>
      <c r="J2179" s="6" t="str">
        <f t="shared" si="597"/>
        <v>19001</v>
      </c>
      <c r="K2179" s="6">
        <f t="shared" si="598"/>
        <v>1900</v>
      </c>
      <c r="L2179" s="6">
        <f t="shared" si="599"/>
        <v>1</v>
      </c>
      <c r="R2179" s="6" t="str">
        <f t="shared" si="600"/>
        <v>19001</v>
      </c>
      <c r="S2179" s="6">
        <f t="shared" si="601"/>
        <v>1900</v>
      </c>
      <c r="T2179" s="6">
        <f t="shared" si="602"/>
        <v>1</v>
      </c>
      <c r="Z2179" s="6" t="str">
        <f t="shared" ca="1" si="603"/>
        <v>20242</v>
      </c>
      <c r="AA2179" s="6">
        <f t="shared" ca="1" si="604"/>
        <v>2024</v>
      </c>
      <c r="AB2179" s="6">
        <f t="shared" ca="1" si="605"/>
        <v>2</v>
      </c>
      <c r="AC2179" s="68">
        <f ca="1">IFERROR(__xludf.DUMMYFUNCTION("""COMPUTED_VALUE"""),45330.9986111111)</f>
        <v>45330.998611111099</v>
      </c>
      <c r="AD2179" s="6">
        <f ca="1">IFERROR(__xludf.DUMMYFUNCTION("""COMPUTED_VALUE"""),1331.47)</f>
        <v>1331.47</v>
      </c>
      <c r="AH2179" s="6" t="str">
        <f t="shared" ca="1" si="606"/>
        <v>202312</v>
      </c>
      <c r="AI2179" s="6">
        <f t="shared" ca="1" si="607"/>
        <v>2023</v>
      </c>
      <c r="AJ2179" s="6">
        <f t="shared" ca="1" si="608"/>
        <v>12</v>
      </c>
      <c r="AK2179" s="68">
        <f ca="1">IFERROR(__xludf.DUMMYFUNCTION("""COMPUTED_VALUE"""),45272.9986111111)</f>
        <v>45272.998611111099</v>
      </c>
      <c r="AL2179" s="6">
        <f ca="1">IFERROR(__xludf.DUMMYFUNCTION("""COMPUTED_VALUE"""),41473.28)</f>
        <v>41473.279999999999</v>
      </c>
      <c r="AP2179" s="6" t="str">
        <f t="shared" si="609"/>
        <v>19001</v>
      </c>
      <c r="AQ2179" s="6">
        <f t="shared" si="610"/>
        <v>1900</v>
      </c>
      <c r="AR2179" s="6">
        <f t="shared" si="611"/>
        <v>1</v>
      </c>
    </row>
    <row r="2180" spans="2:44" x14ac:dyDescent="0.35">
      <c r="B2180" s="6" t="str">
        <f t="shared" si="594"/>
        <v>19001</v>
      </c>
      <c r="C2180" s="6">
        <f t="shared" si="595"/>
        <v>1900</v>
      </c>
      <c r="D2180" s="6">
        <f t="shared" si="596"/>
        <v>1</v>
      </c>
      <c r="J2180" s="6" t="str">
        <f t="shared" si="597"/>
        <v>19001</v>
      </c>
      <c r="K2180" s="6">
        <f t="shared" si="598"/>
        <v>1900</v>
      </c>
      <c r="L2180" s="6">
        <f t="shared" si="599"/>
        <v>1</v>
      </c>
      <c r="R2180" s="6" t="str">
        <f t="shared" si="600"/>
        <v>19001</v>
      </c>
      <c r="S2180" s="6">
        <f t="shared" si="601"/>
        <v>1900</v>
      </c>
      <c r="T2180" s="6">
        <f t="shared" si="602"/>
        <v>1</v>
      </c>
      <c r="Z2180" s="6" t="str">
        <f t="shared" ca="1" si="603"/>
        <v>20242</v>
      </c>
      <c r="AA2180" s="6">
        <f t="shared" ca="1" si="604"/>
        <v>2024</v>
      </c>
      <c r="AB2180" s="6">
        <f t="shared" ca="1" si="605"/>
        <v>2</v>
      </c>
      <c r="AC2180" s="68">
        <f ca="1">IFERROR(__xludf.DUMMYFUNCTION("""COMPUTED_VALUE"""),45331.9986111111)</f>
        <v>45331.998611111099</v>
      </c>
      <c r="AD2180" s="6">
        <f ca="1">IFERROR(__xludf.DUMMYFUNCTION("""COMPUTED_VALUE"""),1330.06)</f>
        <v>1330.06</v>
      </c>
      <c r="AH2180" s="6" t="str">
        <f t="shared" ca="1" si="606"/>
        <v>202312</v>
      </c>
      <c r="AI2180" s="6">
        <f t="shared" ca="1" si="607"/>
        <v>2023</v>
      </c>
      <c r="AJ2180" s="6">
        <f t="shared" ca="1" si="608"/>
        <v>12</v>
      </c>
      <c r="AK2180" s="68">
        <f ca="1">IFERROR(__xludf.DUMMYFUNCTION("""COMPUTED_VALUE"""),45273.9986111111)</f>
        <v>45273.998611111099</v>
      </c>
      <c r="AL2180" s="6">
        <f ca="1">IFERROR(__xludf.DUMMYFUNCTION("""COMPUTED_VALUE"""),42890.93)</f>
        <v>42890.93</v>
      </c>
      <c r="AP2180" s="6" t="str">
        <f t="shared" si="609"/>
        <v>19001</v>
      </c>
      <c r="AQ2180" s="6">
        <f t="shared" si="610"/>
        <v>1900</v>
      </c>
      <c r="AR2180" s="6">
        <f t="shared" si="611"/>
        <v>1</v>
      </c>
    </row>
    <row r="2181" spans="2:44" x14ac:dyDescent="0.35">
      <c r="B2181" s="6" t="str">
        <f t="shared" si="594"/>
        <v>19001</v>
      </c>
      <c r="C2181" s="6">
        <f t="shared" si="595"/>
        <v>1900</v>
      </c>
      <c r="D2181" s="6">
        <f t="shared" si="596"/>
        <v>1</v>
      </c>
      <c r="J2181" s="6" t="str">
        <f t="shared" si="597"/>
        <v>19001</v>
      </c>
      <c r="K2181" s="6">
        <f t="shared" si="598"/>
        <v>1900</v>
      </c>
      <c r="L2181" s="6">
        <f t="shared" si="599"/>
        <v>1</v>
      </c>
      <c r="R2181" s="6" t="str">
        <f t="shared" si="600"/>
        <v>19001</v>
      </c>
      <c r="S2181" s="6">
        <f t="shared" si="601"/>
        <v>1900</v>
      </c>
      <c r="T2181" s="6">
        <f t="shared" si="602"/>
        <v>1</v>
      </c>
      <c r="Z2181" s="6" t="str">
        <f t="shared" ca="1" si="603"/>
        <v>20242</v>
      </c>
      <c r="AA2181" s="6">
        <f t="shared" ca="1" si="604"/>
        <v>2024</v>
      </c>
      <c r="AB2181" s="6">
        <f t="shared" ca="1" si="605"/>
        <v>2</v>
      </c>
      <c r="AC2181" s="68">
        <f ca="1">IFERROR(__xludf.DUMMYFUNCTION("""COMPUTED_VALUE"""),45332.9986111111)</f>
        <v>45332.998611111099</v>
      </c>
      <c r="AD2181" s="6">
        <f ca="1">IFERROR(__xludf.DUMMYFUNCTION("""COMPUTED_VALUE"""),1330.06)</f>
        <v>1330.06</v>
      </c>
      <c r="AH2181" s="6" t="str">
        <f t="shared" ca="1" si="606"/>
        <v>202312</v>
      </c>
      <c r="AI2181" s="6">
        <f t="shared" ca="1" si="607"/>
        <v>2023</v>
      </c>
      <c r="AJ2181" s="6">
        <f t="shared" ca="1" si="608"/>
        <v>12</v>
      </c>
      <c r="AK2181" s="68">
        <f ca="1">IFERROR(__xludf.DUMMYFUNCTION("""COMPUTED_VALUE"""),45274.9986111111)</f>
        <v>45274.998611111099</v>
      </c>
      <c r="AL2181" s="6">
        <f ca="1">IFERROR(__xludf.DUMMYFUNCTION("""COMPUTED_VALUE"""),43029.62)</f>
        <v>43029.62</v>
      </c>
      <c r="AP2181" s="6" t="str">
        <f t="shared" si="609"/>
        <v>19001</v>
      </c>
      <c r="AQ2181" s="6">
        <f t="shared" si="610"/>
        <v>1900</v>
      </c>
      <c r="AR2181" s="6">
        <f t="shared" si="611"/>
        <v>1</v>
      </c>
    </row>
    <row r="2182" spans="2:44" x14ac:dyDescent="0.35">
      <c r="B2182" s="6" t="str">
        <f t="shared" si="594"/>
        <v>19001</v>
      </c>
      <c r="C2182" s="6">
        <f t="shared" si="595"/>
        <v>1900</v>
      </c>
      <c r="D2182" s="6">
        <f t="shared" si="596"/>
        <v>1</v>
      </c>
      <c r="J2182" s="6" t="str">
        <f t="shared" si="597"/>
        <v>19001</v>
      </c>
      <c r="K2182" s="6">
        <f t="shared" si="598"/>
        <v>1900</v>
      </c>
      <c r="L2182" s="6">
        <f t="shared" si="599"/>
        <v>1</v>
      </c>
      <c r="R2182" s="6" t="str">
        <f t="shared" si="600"/>
        <v>19001</v>
      </c>
      <c r="S2182" s="6">
        <f t="shared" si="601"/>
        <v>1900</v>
      </c>
      <c r="T2182" s="6">
        <f t="shared" si="602"/>
        <v>1</v>
      </c>
      <c r="Z2182" s="6" t="str">
        <f t="shared" ca="1" si="603"/>
        <v>20242</v>
      </c>
      <c r="AA2182" s="6">
        <f t="shared" ca="1" si="604"/>
        <v>2024</v>
      </c>
      <c r="AB2182" s="6">
        <f t="shared" ca="1" si="605"/>
        <v>2</v>
      </c>
      <c r="AC2182" s="68">
        <f ca="1">IFERROR(__xludf.DUMMYFUNCTION("""COMPUTED_VALUE"""),45333.9986111111)</f>
        <v>45333.998611111099</v>
      </c>
      <c r="AD2182" s="6">
        <f ca="1">IFERROR(__xludf.DUMMYFUNCTION("""COMPUTED_VALUE"""),1330.06)</f>
        <v>1330.06</v>
      </c>
      <c r="AH2182" s="6" t="str">
        <f t="shared" ca="1" si="606"/>
        <v>202312</v>
      </c>
      <c r="AI2182" s="6">
        <f t="shared" ca="1" si="607"/>
        <v>2023</v>
      </c>
      <c r="AJ2182" s="6">
        <f t="shared" ca="1" si="608"/>
        <v>12</v>
      </c>
      <c r="AK2182" s="68">
        <f ca="1">IFERROR(__xludf.DUMMYFUNCTION("""COMPUTED_VALUE"""),45275.9986111111)</f>
        <v>45275.998611111099</v>
      </c>
      <c r="AL2182" s="6">
        <f ca="1">IFERROR(__xludf.DUMMYFUNCTION("""COMPUTED_VALUE"""),41945.55)</f>
        <v>41945.55</v>
      </c>
      <c r="AP2182" s="6" t="str">
        <f t="shared" si="609"/>
        <v>19001</v>
      </c>
      <c r="AQ2182" s="6">
        <f t="shared" si="610"/>
        <v>1900</v>
      </c>
      <c r="AR2182" s="6">
        <f t="shared" si="611"/>
        <v>1</v>
      </c>
    </row>
    <row r="2183" spans="2:44" x14ac:dyDescent="0.35">
      <c r="B2183" s="6" t="str">
        <f t="shared" ref="B2183:B2246" si="612">C2183&amp;D2183</f>
        <v>19001</v>
      </c>
      <c r="C2183" s="6">
        <f t="shared" ref="C2183:C2246" si="613">YEAR(E2183)</f>
        <v>1900</v>
      </c>
      <c r="D2183" s="6">
        <f t="shared" ref="D2183:D2246" si="614">MONTH(E2183)</f>
        <v>1</v>
      </c>
      <c r="J2183" s="6" t="str">
        <f t="shared" ref="J2183:J2246" si="615">K2183&amp;L2183</f>
        <v>19001</v>
      </c>
      <c r="K2183" s="6">
        <f t="shared" ref="K2183:K2246" si="616">YEAR(M2183)</f>
        <v>1900</v>
      </c>
      <c r="L2183" s="6">
        <f t="shared" ref="L2183:L2246" si="617">MONTH(M2183)</f>
        <v>1</v>
      </c>
      <c r="R2183" s="6" t="str">
        <f t="shared" ref="R2183:R2246" si="618">S2183&amp;T2183</f>
        <v>19001</v>
      </c>
      <c r="S2183" s="6">
        <f t="shared" ref="S2183:S2246" si="619">YEAR(U2183)</f>
        <v>1900</v>
      </c>
      <c r="T2183" s="6">
        <f t="shared" ref="T2183:T2246" si="620">MONTH(U2183)</f>
        <v>1</v>
      </c>
      <c r="Z2183" s="6" t="str">
        <f t="shared" ref="Z2183:Z2246" ca="1" si="621">AA2183&amp;AB2183</f>
        <v>20242</v>
      </c>
      <c r="AA2183" s="6">
        <f t="shared" ref="AA2183:AA2246" ca="1" si="622">YEAR(AC2183)</f>
        <v>2024</v>
      </c>
      <c r="AB2183" s="6">
        <f t="shared" ref="AB2183:AB2246" ca="1" si="623">MONTH(AC2183)</f>
        <v>2</v>
      </c>
      <c r="AC2183" s="68">
        <f ca="1">IFERROR(__xludf.DUMMYFUNCTION("""COMPUTED_VALUE"""),45334.9986111111)</f>
        <v>45334.998611111099</v>
      </c>
      <c r="AD2183" s="6">
        <f ca="1">IFERROR(__xludf.DUMMYFUNCTION("""COMPUTED_VALUE"""),1328.5)</f>
        <v>1328.5</v>
      </c>
      <c r="AH2183" s="6" t="str">
        <f t="shared" ref="AH2183:AH2246" ca="1" si="624">AI2183&amp;AJ2183</f>
        <v>202312</v>
      </c>
      <c r="AI2183" s="6">
        <f t="shared" ref="AI2183:AI2246" ca="1" si="625">YEAR(AK2183)</f>
        <v>2023</v>
      </c>
      <c r="AJ2183" s="6">
        <f t="shared" ref="AJ2183:AJ2246" ca="1" si="626">MONTH(AK2183)</f>
        <v>12</v>
      </c>
      <c r="AK2183" s="68">
        <f ca="1">IFERROR(__xludf.DUMMYFUNCTION("""COMPUTED_VALUE"""),45276.9986111111)</f>
        <v>45276.998611111099</v>
      </c>
      <c r="AL2183" s="6">
        <f ca="1">IFERROR(__xludf.DUMMYFUNCTION("""COMPUTED_VALUE"""),42262.62)</f>
        <v>42262.62</v>
      </c>
      <c r="AP2183" s="6" t="str">
        <f t="shared" ref="AP2183:AP2246" si="627">AQ2183&amp;AR2183</f>
        <v>19001</v>
      </c>
      <c r="AQ2183" s="6">
        <f t="shared" ref="AQ2183:AQ2246" si="628">YEAR(AS2183)</f>
        <v>1900</v>
      </c>
      <c r="AR2183" s="6">
        <f t="shared" ref="AR2183:AR2246" si="629">MONTH(AS2183)</f>
        <v>1</v>
      </c>
    </row>
    <row r="2184" spans="2:44" x14ac:dyDescent="0.35">
      <c r="B2184" s="6" t="str">
        <f t="shared" si="612"/>
        <v>19001</v>
      </c>
      <c r="C2184" s="6">
        <f t="shared" si="613"/>
        <v>1900</v>
      </c>
      <c r="D2184" s="6">
        <f t="shared" si="614"/>
        <v>1</v>
      </c>
      <c r="J2184" s="6" t="str">
        <f t="shared" si="615"/>
        <v>19001</v>
      </c>
      <c r="K2184" s="6">
        <f t="shared" si="616"/>
        <v>1900</v>
      </c>
      <c r="L2184" s="6">
        <f t="shared" si="617"/>
        <v>1</v>
      </c>
      <c r="R2184" s="6" t="str">
        <f t="shared" si="618"/>
        <v>19001</v>
      </c>
      <c r="S2184" s="6">
        <f t="shared" si="619"/>
        <v>1900</v>
      </c>
      <c r="T2184" s="6">
        <f t="shared" si="620"/>
        <v>1</v>
      </c>
      <c r="Z2184" s="6" t="str">
        <f t="shared" ca="1" si="621"/>
        <v>20242</v>
      </c>
      <c r="AA2184" s="6">
        <f t="shared" ca="1" si="622"/>
        <v>2024</v>
      </c>
      <c r="AB2184" s="6">
        <f t="shared" ca="1" si="623"/>
        <v>2</v>
      </c>
      <c r="AC2184" s="68">
        <f ca="1">IFERROR(__xludf.DUMMYFUNCTION("""COMPUTED_VALUE"""),45335.9986111111)</f>
        <v>45335.998611111099</v>
      </c>
      <c r="AD2184" s="6">
        <f ca="1">IFERROR(__xludf.DUMMYFUNCTION("""COMPUTED_VALUE"""),1340.79)</f>
        <v>1340.79</v>
      </c>
      <c r="AH2184" s="6" t="str">
        <f t="shared" ca="1" si="624"/>
        <v>202312</v>
      </c>
      <c r="AI2184" s="6">
        <f t="shared" ca="1" si="625"/>
        <v>2023</v>
      </c>
      <c r="AJ2184" s="6">
        <f t="shared" ca="1" si="626"/>
        <v>12</v>
      </c>
      <c r="AK2184" s="68">
        <f ca="1">IFERROR(__xludf.DUMMYFUNCTION("""COMPUTED_VALUE"""),45277.9986111111)</f>
        <v>45277.998611111099</v>
      </c>
      <c r="AL2184" s="6">
        <f ca="1">IFERROR(__xludf.DUMMYFUNCTION("""COMPUTED_VALUE"""),41360.83)</f>
        <v>41360.83</v>
      </c>
      <c r="AP2184" s="6" t="str">
        <f t="shared" si="627"/>
        <v>19001</v>
      </c>
      <c r="AQ2184" s="6">
        <f t="shared" si="628"/>
        <v>1900</v>
      </c>
      <c r="AR2184" s="6">
        <f t="shared" si="629"/>
        <v>1</v>
      </c>
    </row>
    <row r="2185" spans="2:44" x14ac:dyDescent="0.35">
      <c r="B2185" s="6" t="str">
        <f t="shared" si="612"/>
        <v>19001</v>
      </c>
      <c r="C2185" s="6">
        <f t="shared" si="613"/>
        <v>1900</v>
      </c>
      <c r="D2185" s="6">
        <f t="shared" si="614"/>
        <v>1</v>
      </c>
      <c r="J2185" s="6" t="str">
        <f t="shared" si="615"/>
        <v>19001</v>
      </c>
      <c r="K2185" s="6">
        <f t="shared" si="616"/>
        <v>1900</v>
      </c>
      <c r="L2185" s="6">
        <f t="shared" si="617"/>
        <v>1</v>
      </c>
      <c r="R2185" s="6" t="str">
        <f t="shared" si="618"/>
        <v>19001</v>
      </c>
      <c r="S2185" s="6">
        <f t="shared" si="619"/>
        <v>1900</v>
      </c>
      <c r="T2185" s="6">
        <f t="shared" si="620"/>
        <v>1</v>
      </c>
      <c r="Z2185" s="6" t="str">
        <f t="shared" ca="1" si="621"/>
        <v>20242</v>
      </c>
      <c r="AA2185" s="6">
        <f t="shared" ca="1" si="622"/>
        <v>2024</v>
      </c>
      <c r="AB2185" s="6">
        <f t="shared" ca="1" si="623"/>
        <v>2</v>
      </c>
      <c r="AC2185" s="68">
        <f ca="1">IFERROR(__xludf.DUMMYFUNCTION("""COMPUTED_VALUE"""),45336.9986111111)</f>
        <v>45336.998611111099</v>
      </c>
      <c r="AD2185" s="6">
        <f ca="1">IFERROR(__xludf.DUMMYFUNCTION("""COMPUTED_VALUE"""),1326)</f>
        <v>1326</v>
      </c>
      <c r="AH2185" s="6" t="str">
        <f t="shared" ca="1" si="624"/>
        <v>202312</v>
      </c>
      <c r="AI2185" s="6">
        <f t="shared" ca="1" si="625"/>
        <v>2023</v>
      </c>
      <c r="AJ2185" s="6">
        <f t="shared" ca="1" si="626"/>
        <v>12</v>
      </c>
      <c r="AK2185" s="68">
        <f ca="1">IFERROR(__xludf.DUMMYFUNCTION("""COMPUTED_VALUE"""),45278.9986111111)</f>
        <v>45278.998611111099</v>
      </c>
      <c r="AL2185" s="6">
        <f ca="1">IFERROR(__xludf.DUMMYFUNCTION("""COMPUTED_VALUE"""),42651.91)</f>
        <v>42651.91</v>
      </c>
      <c r="AP2185" s="6" t="str">
        <f t="shared" si="627"/>
        <v>19001</v>
      </c>
      <c r="AQ2185" s="6">
        <f t="shared" si="628"/>
        <v>1900</v>
      </c>
      <c r="AR2185" s="6">
        <f t="shared" si="629"/>
        <v>1</v>
      </c>
    </row>
    <row r="2186" spans="2:44" x14ac:dyDescent="0.35">
      <c r="B2186" s="6" t="str">
        <f t="shared" si="612"/>
        <v>19001</v>
      </c>
      <c r="C2186" s="6">
        <f t="shared" si="613"/>
        <v>1900</v>
      </c>
      <c r="D2186" s="6">
        <f t="shared" si="614"/>
        <v>1</v>
      </c>
      <c r="J2186" s="6" t="str">
        <f t="shared" si="615"/>
        <v>19001</v>
      </c>
      <c r="K2186" s="6">
        <f t="shared" si="616"/>
        <v>1900</v>
      </c>
      <c r="L2186" s="6">
        <f t="shared" si="617"/>
        <v>1</v>
      </c>
      <c r="R2186" s="6" t="str">
        <f t="shared" si="618"/>
        <v>19001</v>
      </c>
      <c r="S2186" s="6">
        <f t="shared" si="619"/>
        <v>1900</v>
      </c>
      <c r="T2186" s="6">
        <f t="shared" si="620"/>
        <v>1</v>
      </c>
      <c r="Z2186" s="6" t="str">
        <f t="shared" ca="1" si="621"/>
        <v>20242</v>
      </c>
      <c r="AA2186" s="6">
        <f t="shared" ca="1" si="622"/>
        <v>2024</v>
      </c>
      <c r="AB2186" s="6">
        <f t="shared" ca="1" si="623"/>
        <v>2</v>
      </c>
      <c r="AC2186" s="68">
        <f ca="1">IFERROR(__xludf.DUMMYFUNCTION("""COMPUTED_VALUE"""),45337.9986111111)</f>
        <v>45337.998611111099</v>
      </c>
      <c r="AD2186" s="6">
        <f ca="1">IFERROR(__xludf.DUMMYFUNCTION("""COMPUTED_VALUE"""),1327.66)</f>
        <v>1327.66</v>
      </c>
      <c r="AH2186" s="6" t="str">
        <f t="shared" ca="1" si="624"/>
        <v>202312</v>
      </c>
      <c r="AI2186" s="6">
        <f t="shared" ca="1" si="625"/>
        <v>2023</v>
      </c>
      <c r="AJ2186" s="6">
        <f t="shared" ca="1" si="626"/>
        <v>12</v>
      </c>
      <c r="AK2186" s="68">
        <f ca="1">IFERROR(__xludf.DUMMYFUNCTION("""COMPUTED_VALUE"""),45279.9986111111)</f>
        <v>45279.998611111099</v>
      </c>
      <c r="AL2186" s="6">
        <f ca="1">IFERROR(__xludf.DUMMYFUNCTION("""COMPUTED_VALUE"""),42271.05)</f>
        <v>42271.05</v>
      </c>
      <c r="AP2186" s="6" t="str">
        <f t="shared" si="627"/>
        <v>19001</v>
      </c>
      <c r="AQ2186" s="6">
        <f t="shared" si="628"/>
        <v>1900</v>
      </c>
      <c r="AR2186" s="6">
        <f t="shared" si="629"/>
        <v>1</v>
      </c>
    </row>
    <row r="2187" spans="2:44" x14ac:dyDescent="0.35">
      <c r="B2187" s="6" t="str">
        <f t="shared" si="612"/>
        <v>19001</v>
      </c>
      <c r="C2187" s="6">
        <f t="shared" si="613"/>
        <v>1900</v>
      </c>
      <c r="D2187" s="6">
        <f t="shared" si="614"/>
        <v>1</v>
      </c>
      <c r="J2187" s="6" t="str">
        <f t="shared" si="615"/>
        <v>19001</v>
      </c>
      <c r="K2187" s="6">
        <f t="shared" si="616"/>
        <v>1900</v>
      </c>
      <c r="L2187" s="6">
        <f t="shared" si="617"/>
        <v>1</v>
      </c>
      <c r="R2187" s="6" t="str">
        <f t="shared" si="618"/>
        <v>19001</v>
      </c>
      <c r="S2187" s="6">
        <f t="shared" si="619"/>
        <v>1900</v>
      </c>
      <c r="T2187" s="6">
        <f t="shared" si="620"/>
        <v>1</v>
      </c>
      <c r="Z2187" s="6" t="str">
        <f t="shared" ca="1" si="621"/>
        <v>20242</v>
      </c>
      <c r="AA2187" s="6">
        <f t="shared" ca="1" si="622"/>
        <v>2024</v>
      </c>
      <c r="AB2187" s="6">
        <f t="shared" ca="1" si="623"/>
        <v>2</v>
      </c>
      <c r="AC2187" s="68">
        <f ca="1">IFERROR(__xludf.DUMMYFUNCTION("""COMPUTED_VALUE"""),45338.9986111111)</f>
        <v>45338.998611111099</v>
      </c>
      <c r="AD2187" s="6">
        <f ca="1">IFERROR(__xludf.DUMMYFUNCTION("""COMPUTED_VALUE"""),1331.58)</f>
        <v>1331.58</v>
      </c>
      <c r="AH2187" s="6" t="str">
        <f t="shared" ca="1" si="624"/>
        <v>202312</v>
      </c>
      <c r="AI2187" s="6">
        <f t="shared" ca="1" si="625"/>
        <v>2023</v>
      </c>
      <c r="AJ2187" s="6">
        <f t="shared" ca="1" si="626"/>
        <v>12</v>
      </c>
      <c r="AK2187" s="68">
        <f ca="1">IFERROR(__xludf.DUMMYFUNCTION("""COMPUTED_VALUE"""),45280.9986111111)</f>
        <v>45280.998611111099</v>
      </c>
      <c r="AL2187" s="6">
        <f ca="1">IFERROR(__xludf.DUMMYFUNCTION("""COMPUTED_VALUE"""),43661.13)</f>
        <v>43661.13</v>
      </c>
      <c r="AP2187" s="6" t="str">
        <f t="shared" si="627"/>
        <v>19001</v>
      </c>
      <c r="AQ2187" s="6">
        <f t="shared" si="628"/>
        <v>1900</v>
      </c>
      <c r="AR2187" s="6">
        <f t="shared" si="629"/>
        <v>1</v>
      </c>
    </row>
    <row r="2188" spans="2:44" x14ac:dyDescent="0.35">
      <c r="B2188" s="6" t="str">
        <f t="shared" si="612"/>
        <v>19001</v>
      </c>
      <c r="C2188" s="6">
        <f t="shared" si="613"/>
        <v>1900</v>
      </c>
      <c r="D2188" s="6">
        <f t="shared" si="614"/>
        <v>1</v>
      </c>
      <c r="J2188" s="6" t="str">
        <f t="shared" si="615"/>
        <v>19001</v>
      </c>
      <c r="K2188" s="6">
        <f t="shared" si="616"/>
        <v>1900</v>
      </c>
      <c r="L2188" s="6">
        <f t="shared" si="617"/>
        <v>1</v>
      </c>
      <c r="R2188" s="6" t="str">
        <f t="shared" si="618"/>
        <v>19001</v>
      </c>
      <c r="S2188" s="6">
        <f t="shared" si="619"/>
        <v>1900</v>
      </c>
      <c r="T2188" s="6">
        <f t="shared" si="620"/>
        <v>1</v>
      </c>
      <c r="Z2188" s="6" t="str">
        <f t="shared" ca="1" si="621"/>
        <v>20242</v>
      </c>
      <c r="AA2188" s="6">
        <f t="shared" ca="1" si="622"/>
        <v>2024</v>
      </c>
      <c r="AB2188" s="6">
        <f t="shared" ca="1" si="623"/>
        <v>2</v>
      </c>
      <c r="AC2188" s="68">
        <f ca="1">IFERROR(__xludf.DUMMYFUNCTION("""COMPUTED_VALUE"""),45339.9986111111)</f>
        <v>45339.998611111099</v>
      </c>
      <c r="AD2188" s="6">
        <f ca="1">IFERROR(__xludf.DUMMYFUNCTION("""COMPUTED_VALUE"""),1331.58)</f>
        <v>1331.58</v>
      </c>
      <c r="AH2188" s="6" t="str">
        <f t="shared" ca="1" si="624"/>
        <v>202312</v>
      </c>
      <c r="AI2188" s="6">
        <f t="shared" ca="1" si="625"/>
        <v>2023</v>
      </c>
      <c r="AJ2188" s="6">
        <f t="shared" ca="1" si="626"/>
        <v>12</v>
      </c>
      <c r="AK2188" s="68">
        <f ca="1">IFERROR(__xludf.DUMMYFUNCTION("""COMPUTED_VALUE"""),45281.9986111111)</f>
        <v>45281.998611111099</v>
      </c>
      <c r="AL2188" s="6">
        <f ca="1">IFERROR(__xludf.DUMMYFUNCTION("""COMPUTED_VALUE"""),43879.57)</f>
        <v>43879.57</v>
      </c>
      <c r="AP2188" s="6" t="str">
        <f t="shared" si="627"/>
        <v>19001</v>
      </c>
      <c r="AQ2188" s="6">
        <f t="shared" si="628"/>
        <v>1900</v>
      </c>
      <c r="AR2188" s="6">
        <f t="shared" si="629"/>
        <v>1</v>
      </c>
    </row>
    <row r="2189" spans="2:44" x14ac:dyDescent="0.35">
      <c r="B2189" s="6" t="str">
        <f t="shared" si="612"/>
        <v>19001</v>
      </c>
      <c r="C2189" s="6">
        <f t="shared" si="613"/>
        <v>1900</v>
      </c>
      <c r="D2189" s="6">
        <f t="shared" si="614"/>
        <v>1</v>
      </c>
      <c r="J2189" s="6" t="str">
        <f t="shared" si="615"/>
        <v>19001</v>
      </c>
      <c r="K2189" s="6">
        <f t="shared" si="616"/>
        <v>1900</v>
      </c>
      <c r="L2189" s="6">
        <f t="shared" si="617"/>
        <v>1</v>
      </c>
      <c r="R2189" s="6" t="str">
        <f t="shared" si="618"/>
        <v>19001</v>
      </c>
      <c r="S2189" s="6">
        <f t="shared" si="619"/>
        <v>1900</v>
      </c>
      <c r="T2189" s="6">
        <f t="shared" si="620"/>
        <v>1</v>
      </c>
      <c r="Z2189" s="6" t="str">
        <f t="shared" ca="1" si="621"/>
        <v>20242</v>
      </c>
      <c r="AA2189" s="6">
        <f t="shared" ca="1" si="622"/>
        <v>2024</v>
      </c>
      <c r="AB2189" s="6">
        <f t="shared" ca="1" si="623"/>
        <v>2</v>
      </c>
      <c r="AC2189" s="68">
        <f ca="1">IFERROR(__xludf.DUMMYFUNCTION("""COMPUTED_VALUE"""),45340.9986111111)</f>
        <v>45340.998611111099</v>
      </c>
      <c r="AD2189" s="6">
        <f ca="1">IFERROR(__xludf.DUMMYFUNCTION("""COMPUTED_VALUE"""),1331.58)</f>
        <v>1331.58</v>
      </c>
      <c r="AH2189" s="6" t="str">
        <f t="shared" ca="1" si="624"/>
        <v>202312</v>
      </c>
      <c r="AI2189" s="6">
        <f t="shared" ca="1" si="625"/>
        <v>2023</v>
      </c>
      <c r="AJ2189" s="6">
        <f t="shared" ca="1" si="626"/>
        <v>12</v>
      </c>
      <c r="AK2189" s="68">
        <f ca="1">IFERROR(__xludf.DUMMYFUNCTION("""COMPUTED_VALUE"""),45282.9986111111)</f>
        <v>45282.998611111099</v>
      </c>
      <c r="AL2189" s="6">
        <f ca="1">IFERROR(__xludf.DUMMYFUNCTION("""COMPUTED_VALUE"""),44016.18)</f>
        <v>44016.18</v>
      </c>
      <c r="AP2189" s="6" t="str">
        <f t="shared" si="627"/>
        <v>19001</v>
      </c>
      <c r="AQ2189" s="6">
        <f t="shared" si="628"/>
        <v>1900</v>
      </c>
      <c r="AR2189" s="6">
        <f t="shared" si="629"/>
        <v>1</v>
      </c>
    </row>
    <row r="2190" spans="2:44" x14ac:dyDescent="0.35">
      <c r="B2190" s="6" t="str">
        <f t="shared" si="612"/>
        <v>19001</v>
      </c>
      <c r="C2190" s="6">
        <f t="shared" si="613"/>
        <v>1900</v>
      </c>
      <c r="D2190" s="6">
        <f t="shared" si="614"/>
        <v>1</v>
      </c>
      <c r="J2190" s="6" t="str">
        <f t="shared" si="615"/>
        <v>19001</v>
      </c>
      <c r="K2190" s="6">
        <f t="shared" si="616"/>
        <v>1900</v>
      </c>
      <c r="L2190" s="6">
        <f t="shared" si="617"/>
        <v>1</v>
      </c>
      <c r="R2190" s="6" t="str">
        <f t="shared" si="618"/>
        <v>19001</v>
      </c>
      <c r="S2190" s="6">
        <f t="shared" si="619"/>
        <v>1900</v>
      </c>
      <c r="T2190" s="6">
        <f t="shared" si="620"/>
        <v>1</v>
      </c>
      <c r="Z2190" s="6" t="str">
        <f t="shared" ca="1" si="621"/>
        <v>20242</v>
      </c>
      <c r="AA2190" s="6">
        <f t="shared" ca="1" si="622"/>
        <v>2024</v>
      </c>
      <c r="AB2190" s="6">
        <f t="shared" ca="1" si="623"/>
        <v>2</v>
      </c>
      <c r="AC2190" s="68">
        <f ca="1">IFERROR(__xludf.DUMMYFUNCTION("""COMPUTED_VALUE"""),45341.9986111111)</f>
        <v>45341.998611111099</v>
      </c>
      <c r="AD2190" s="6">
        <f ca="1">IFERROR(__xludf.DUMMYFUNCTION("""COMPUTED_VALUE"""),1333.34)</f>
        <v>1333.34</v>
      </c>
      <c r="AH2190" s="6" t="str">
        <f t="shared" ca="1" si="624"/>
        <v>202312</v>
      </c>
      <c r="AI2190" s="6">
        <f t="shared" ca="1" si="625"/>
        <v>2023</v>
      </c>
      <c r="AJ2190" s="6">
        <f t="shared" ca="1" si="626"/>
        <v>12</v>
      </c>
      <c r="AK2190" s="68">
        <f ca="1">IFERROR(__xludf.DUMMYFUNCTION("""COMPUTED_VALUE"""),45283.9986111111)</f>
        <v>45283.998611111099</v>
      </c>
      <c r="AL2190" s="6">
        <f ca="1">IFERROR(__xludf.DUMMYFUNCTION("""COMPUTED_VALUE"""),43768.45)</f>
        <v>43768.45</v>
      </c>
      <c r="AP2190" s="6" t="str">
        <f t="shared" si="627"/>
        <v>19001</v>
      </c>
      <c r="AQ2190" s="6">
        <f t="shared" si="628"/>
        <v>1900</v>
      </c>
      <c r="AR2190" s="6">
        <f t="shared" si="629"/>
        <v>1</v>
      </c>
    </row>
    <row r="2191" spans="2:44" x14ac:dyDescent="0.35">
      <c r="B2191" s="6" t="str">
        <f t="shared" si="612"/>
        <v>19001</v>
      </c>
      <c r="C2191" s="6">
        <f t="shared" si="613"/>
        <v>1900</v>
      </c>
      <c r="D2191" s="6">
        <f t="shared" si="614"/>
        <v>1</v>
      </c>
      <c r="J2191" s="6" t="str">
        <f t="shared" si="615"/>
        <v>19001</v>
      </c>
      <c r="K2191" s="6">
        <f t="shared" si="616"/>
        <v>1900</v>
      </c>
      <c r="L2191" s="6">
        <f t="shared" si="617"/>
        <v>1</v>
      </c>
      <c r="R2191" s="6" t="str">
        <f t="shared" si="618"/>
        <v>19001</v>
      </c>
      <c r="S2191" s="6">
        <f t="shared" si="619"/>
        <v>1900</v>
      </c>
      <c r="T2191" s="6">
        <f t="shared" si="620"/>
        <v>1</v>
      </c>
      <c r="Z2191" s="6" t="str">
        <f t="shared" ca="1" si="621"/>
        <v>20242</v>
      </c>
      <c r="AA2191" s="6">
        <f t="shared" ca="1" si="622"/>
        <v>2024</v>
      </c>
      <c r="AB2191" s="6">
        <f t="shared" ca="1" si="623"/>
        <v>2</v>
      </c>
      <c r="AC2191" s="68">
        <f ca="1">IFERROR(__xludf.DUMMYFUNCTION("""COMPUTED_VALUE"""),45342.9986111111)</f>
        <v>45342.998611111099</v>
      </c>
      <c r="AD2191" s="6">
        <f ca="1">IFERROR(__xludf.DUMMYFUNCTION("""COMPUTED_VALUE"""),1333.75)</f>
        <v>1333.75</v>
      </c>
      <c r="AH2191" s="6" t="str">
        <f t="shared" ca="1" si="624"/>
        <v>202312</v>
      </c>
      <c r="AI2191" s="6">
        <f t="shared" ca="1" si="625"/>
        <v>2023</v>
      </c>
      <c r="AJ2191" s="6">
        <f t="shared" ca="1" si="626"/>
        <v>12</v>
      </c>
      <c r="AK2191" s="68">
        <f ca="1">IFERROR(__xludf.DUMMYFUNCTION("""COMPUTED_VALUE"""),45284.9986111111)</f>
        <v>45284.998611111099</v>
      </c>
      <c r="AL2191" s="6">
        <f ca="1">IFERROR(__xludf.DUMMYFUNCTION("""COMPUTED_VALUE"""),43042.68)</f>
        <v>43042.68</v>
      </c>
      <c r="AP2191" s="6" t="str">
        <f t="shared" si="627"/>
        <v>19001</v>
      </c>
      <c r="AQ2191" s="6">
        <f t="shared" si="628"/>
        <v>1900</v>
      </c>
      <c r="AR2191" s="6">
        <f t="shared" si="629"/>
        <v>1</v>
      </c>
    </row>
    <row r="2192" spans="2:44" x14ac:dyDescent="0.35">
      <c r="B2192" s="6" t="str">
        <f t="shared" si="612"/>
        <v>19001</v>
      </c>
      <c r="C2192" s="6">
        <f t="shared" si="613"/>
        <v>1900</v>
      </c>
      <c r="D2192" s="6">
        <f t="shared" si="614"/>
        <v>1</v>
      </c>
      <c r="J2192" s="6" t="str">
        <f t="shared" si="615"/>
        <v>19001</v>
      </c>
      <c r="K2192" s="6">
        <f t="shared" si="616"/>
        <v>1900</v>
      </c>
      <c r="L2192" s="6">
        <f t="shared" si="617"/>
        <v>1</v>
      </c>
      <c r="R2192" s="6" t="str">
        <f t="shared" si="618"/>
        <v>19001</v>
      </c>
      <c r="S2192" s="6">
        <f t="shared" si="619"/>
        <v>1900</v>
      </c>
      <c r="T2192" s="6">
        <f t="shared" si="620"/>
        <v>1</v>
      </c>
      <c r="Z2192" s="6" t="str">
        <f t="shared" ca="1" si="621"/>
        <v>20242</v>
      </c>
      <c r="AA2192" s="6">
        <f t="shared" ca="1" si="622"/>
        <v>2024</v>
      </c>
      <c r="AB2192" s="6">
        <f t="shared" ca="1" si="623"/>
        <v>2</v>
      </c>
      <c r="AC2192" s="68">
        <f ca="1">IFERROR(__xludf.DUMMYFUNCTION("""COMPUTED_VALUE"""),45343.9986111111)</f>
        <v>45343.998611111099</v>
      </c>
      <c r="AD2192" s="6">
        <f ca="1">IFERROR(__xludf.DUMMYFUNCTION("""COMPUTED_VALUE"""),1332.87)</f>
        <v>1332.87</v>
      </c>
      <c r="AH2192" s="6" t="str">
        <f t="shared" ca="1" si="624"/>
        <v>202312</v>
      </c>
      <c r="AI2192" s="6">
        <f t="shared" ca="1" si="625"/>
        <v>2023</v>
      </c>
      <c r="AJ2192" s="6">
        <f t="shared" ca="1" si="626"/>
        <v>12</v>
      </c>
      <c r="AK2192" s="68">
        <f ca="1">IFERROR(__xludf.DUMMYFUNCTION("""COMPUTED_VALUE"""),45285.9986111111)</f>
        <v>45285.998611111099</v>
      </c>
      <c r="AL2192" s="6">
        <f ca="1">IFERROR(__xludf.DUMMYFUNCTION("""COMPUTED_VALUE"""),43608)</f>
        <v>43608</v>
      </c>
      <c r="AP2192" s="6" t="str">
        <f t="shared" si="627"/>
        <v>19001</v>
      </c>
      <c r="AQ2192" s="6">
        <f t="shared" si="628"/>
        <v>1900</v>
      </c>
      <c r="AR2192" s="6">
        <f t="shared" si="629"/>
        <v>1</v>
      </c>
    </row>
    <row r="2193" spans="2:44" x14ac:dyDescent="0.35">
      <c r="B2193" s="6" t="str">
        <f t="shared" si="612"/>
        <v>19001</v>
      </c>
      <c r="C2193" s="6">
        <f t="shared" si="613"/>
        <v>1900</v>
      </c>
      <c r="D2193" s="6">
        <f t="shared" si="614"/>
        <v>1</v>
      </c>
      <c r="J2193" s="6" t="str">
        <f t="shared" si="615"/>
        <v>19001</v>
      </c>
      <c r="K2193" s="6">
        <f t="shared" si="616"/>
        <v>1900</v>
      </c>
      <c r="L2193" s="6">
        <f t="shared" si="617"/>
        <v>1</v>
      </c>
      <c r="R2193" s="6" t="str">
        <f t="shared" si="618"/>
        <v>19001</v>
      </c>
      <c r="S2193" s="6">
        <f t="shared" si="619"/>
        <v>1900</v>
      </c>
      <c r="T2193" s="6">
        <f t="shared" si="620"/>
        <v>1</v>
      </c>
      <c r="Z2193" s="6" t="str">
        <f t="shared" ca="1" si="621"/>
        <v>20242</v>
      </c>
      <c r="AA2193" s="6">
        <f t="shared" ca="1" si="622"/>
        <v>2024</v>
      </c>
      <c r="AB2193" s="6">
        <f t="shared" ca="1" si="623"/>
        <v>2</v>
      </c>
      <c r="AC2193" s="68">
        <f ca="1">IFERROR(__xludf.DUMMYFUNCTION("""COMPUTED_VALUE"""),45344.9986111111)</f>
        <v>45344.998611111099</v>
      </c>
      <c r="AD2193" s="6">
        <f ca="1">IFERROR(__xludf.DUMMYFUNCTION("""COMPUTED_VALUE"""),1327.17)</f>
        <v>1327.17</v>
      </c>
      <c r="AH2193" s="6" t="str">
        <f t="shared" ca="1" si="624"/>
        <v>202312</v>
      </c>
      <c r="AI2193" s="6">
        <f t="shared" ca="1" si="625"/>
        <v>2023</v>
      </c>
      <c r="AJ2193" s="6">
        <f t="shared" ca="1" si="626"/>
        <v>12</v>
      </c>
      <c r="AK2193" s="68">
        <f ca="1">IFERROR(__xludf.DUMMYFUNCTION("""COMPUTED_VALUE"""),45286.9986111111)</f>
        <v>45286.998611111099</v>
      </c>
      <c r="AL2193" s="6">
        <f ca="1">IFERROR(__xludf.DUMMYFUNCTION("""COMPUTED_VALUE"""),42524.73)</f>
        <v>42524.73</v>
      </c>
      <c r="AP2193" s="6" t="str">
        <f t="shared" si="627"/>
        <v>19001</v>
      </c>
      <c r="AQ2193" s="6">
        <f t="shared" si="628"/>
        <v>1900</v>
      </c>
      <c r="AR2193" s="6">
        <f t="shared" si="629"/>
        <v>1</v>
      </c>
    </row>
    <row r="2194" spans="2:44" x14ac:dyDescent="0.35">
      <c r="B2194" s="6" t="str">
        <f t="shared" si="612"/>
        <v>19001</v>
      </c>
      <c r="C2194" s="6">
        <f t="shared" si="613"/>
        <v>1900</v>
      </c>
      <c r="D2194" s="6">
        <f t="shared" si="614"/>
        <v>1</v>
      </c>
      <c r="J2194" s="6" t="str">
        <f t="shared" si="615"/>
        <v>19001</v>
      </c>
      <c r="K2194" s="6">
        <f t="shared" si="616"/>
        <v>1900</v>
      </c>
      <c r="L2194" s="6">
        <f t="shared" si="617"/>
        <v>1</v>
      </c>
      <c r="R2194" s="6" t="str">
        <f t="shared" si="618"/>
        <v>19001</v>
      </c>
      <c r="S2194" s="6">
        <f t="shared" si="619"/>
        <v>1900</v>
      </c>
      <c r="T2194" s="6">
        <f t="shared" si="620"/>
        <v>1</v>
      </c>
      <c r="Z2194" s="6" t="str">
        <f t="shared" ca="1" si="621"/>
        <v>20242</v>
      </c>
      <c r="AA2194" s="6">
        <f t="shared" ca="1" si="622"/>
        <v>2024</v>
      </c>
      <c r="AB2194" s="6">
        <f t="shared" ca="1" si="623"/>
        <v>2</v>
      </c>
      <c r="AC2194" s="68">
        <f ca="1">IFERROR(__xludf.DUMMYFUNCTION("""COMPUTED_VALUE"""),45345.9986111111)</f>
        <v>45345.998611111099</v>
      </c>
      <c r="AD2194" s="6">
        <f ca="1">IFERROR(__xludf.DUMMYFUNCTION("""COMPUTED_VALUE"""),1330)</f>
        <v>1330</v>
      </c>
      <c r="AH2194" s="6" t="str">
        <f t="shared" ca="1" si="624"/>
        <v>202312</v>
      </c>
      <c r="AI2194" s="6">
        <f t="shared" ca="1" si="625"/>
        <v>2023</v>
      </c>
      <c r="AJ2194" s="6">
        <f t="shared" ca="1" si="626"/>
        <v>12</v>
      </c>
      <c r="AK2194" s="68">
        <f ca="1">IFERROR(__xludf.DUMMYFUNCTION("""COMPUTED_VALUE"""),45287.9986111111)</f>
        <v>45287.998611111099</v>
      </c>
      <c r="AL2194" s="6">
        <f ca="1">IFERROR(__xludf.DUMMYFUNCTION("""COMPUTED_VALUE"""),43469.43)</f>
        <v>43469.43</v>
      </c>
      <c r="AP2194" s="6" t="str">
        <f t="shared" si="627"/>
        <v>19001</v>
      </c>
      <c r="AQ2194" s="6">
        <f t="shared" si="628"/>
        <v>1900</v>
      </c>
      <c r="AR2194" s="6">
        <f t="shared" si="629"/>
        <v>1</v>
      </c>
    </row>
    <row r="2195" spans="2:44" x14ac:dyDescent="0.35">
      <c r="B2195" s="6" t="str">
        <f t="shared" si="612"/>
        <v>19001</v>
      </c>
      <c r="C2195" s="6">
        <f t="shared" si="613"/>
        <v>1900</v>
      </c>
      <c r="D2195" s="6">
        <f t="shared" si="614"/>
        <v>1</v>
      </c>
      <c r="J2195" s="6" t="str">
        <f t="shared" si="615"/>
        <v>19001</v>
      </c>
      <c r="K2195" s="6">
        <f t="shared" si="616"/>
        <v>1900</v>
      </c>
      <c r="L2195" s="6">
        <f t="shared" si="617"/>
        <v>1</v>
      </c>
      <c r="R2195" s="6" t="str">
        <f t="shared" si="618"/>
        <v>19001</v>
      </c>
      <c r="S2195" s="6">
        <f t="shared" si="619"/>
        <v>1900</v>
      </c>
      <c r="T2195" s="6">
        <f t="shared" si="620"/>
        <v>1</v>
      </c>
      <c r="Z2195" s="6" t="str">
        <f t="shared" ca="1" si="621"/>
        <v>20242</v>
      </c>
      <c r="AA2195" s="6">
        <f t="shared" ca="1" si="622"/>
        <v>2024</v>
      </c>
      <c r="AB2195" s="6">
        <f t="shared" ca="1" si="623"/>
        <v>2</v>
      </c>
      <c r="AC2195" s="68">
        <f ca="1">IFERROR(__xludf.DUMMYFUNCTION("""COMPUTED_VALUE"""),45346.9986111111)</f>
        <v>45346.998611111099</v>
      </c>
      <c r="AD2195" s="6">
        <f ca="1">IFERROR(__xludf.DUMMYFUNCTION("""COMPUTED_VALUE"""),1330)</f>
        <v>1330</v>
      </c>
      <c r="AH2195" s="6" t="str">
        <f t="shared" ca="1" si="624"/>
        <v>202312</v>
      </c>
      <c r="AI2195" s="6">
        <f t="shared" ca="1" si="625"/>
        <v>2023</v>
      </c>
      <c r="AJ2195" s="6">
        <f t="shared" ca="1" si="626"/>
        <v>12</v>
      </c>
      <c r="AK2195" s="68">
        <f ca="1">IFERROR(__xludf.DUMMYFUNCTION("""COMPUTED_VALUE"""),45288.9986111111)</f>
        <v>45288.998611111099</v>
      </c>
      <c r="AL2195" s="6">
        <f ca="1">IFERROR(__xludf.DUMMYFUNCTION("""COMPUTED_VALUE"""),42596.08)</f>
        <v>42596.08</v>
      </c>
      <c r="AP2195" s="6" t="str">
        <f t="shared" si="627"/>
        <v>19001</v>
      </c>
      <c r="AQ2195" s="6">
        <f t="shared" si="628"/>
        <v>1900</v>
      </c>
      <c r="AR2195" s="6">
        <f t="shared" si="629"/>
        <v>1</v>
      </c>
    </row>
    <row r="2196" spans="2:44" x14ac:dyDescent="0.35">
      <c r="B2196" s="6" t="str">
        <f t="shared" si="612"/>
        <v>19001</v>
      </c>
      <c r="C2196" s="6">
        <f t="shared" si="613"/>
        <v>1900</v>
      </c>
      <c r="D2196" s="6">
        <f t="shared" si="614"/>
        <v>1</v>
      </c>
      <c r="J2196" s="6" t="str">
        <f t="shared" si="615"/>
        <v>19001</v>
      </c>
      <c r="K2196" s="6">
        <f t="shared" si="616"/>
        <v>1900</v>
      </c>
      <c r="L2196" s="6">
        <f t="shared" si="617"/>
        <v>1</v>
      </c>
      <c r="R2196" s="6" t="str">
        <f t="shared" si="618"/>
        <v>19001</v>
      </c>
      <c r="S2196" s="6">
        <f t="shared" si="619"/>
        <v>1900</v>
      </c>
      <c r="T2196" s="6">
        <f t="shared" si="620"/>
        <v>1</v>
      </c>
      <c r="Z2196" s="6" t="str">
        <f t="shared" ca="1" si="621"/>
        <v>20242</v>
      </c>
      <c r="AA2196" s="6">
        <f t="shared" ca="1" si="622"/>
        <v>2024</v>
      </c>
      <c r="AB2196" s="6">
        <f t="shared" ca="1" si="623"/>
        <v>2</v>
      </c>
      <c r="AC2196" s="68">
        <f ca="1">IFERROR(__xludf.DUMMYFUNCTION("""COMPUTED_VALUE"""),45347.9986111111)</f>
        <v>45347.998611111099</v>
      </c>
      <c r="AD2196" s="6">
        <f ca="1">IFERROR(__xludf.DUMMYFUNCTION("""COMPUTED_VALUE"""),1330)</f>
        <v>1330</v>
      </c>
      <c r="AH2196" s="6" t="str">
        <f t="shared" ca="1" si="624"/>
        <v>202312</v>
      </c>
      <c r="AI2196" s="6">
        <f t="shared" ca="1" si="625"/>
        <v>2023</v>
      </c>
      <c r="AJ2196" s="6">
        <f t="shared" ca="1" si="626"/>
        <v>12</v>
      </c>
      <c r="AK2196" s="68">
        <f ca="1">IFERROR(__xludf.DUMMYFUNCTION("""COMPUTED_VALUE"""),45289.9986111111)</f>
        <v>45289.998611111099</v>
      </c>
      <c r="AL2196" s="6">
        <f ca="1">IFERROR(__xludf.DUMMYFUNCTION("""COMPUTED_VALUE"""),42088.24)</f>
        <v>42088.24</v>
      </c>
      <c r="AP2196" s="6" t="str">
        <f t="shared" si="627"/>
        <v>19001</v>
      </c>
      <c r="AQ2196" s="6">
        <f t="shared" si="628"/>
        <v>1900</v>
      </c>
      <c r="AR2196" s="6">
        <f t="shared" si="629"/>
        <v>1</v>
      </c>
    </row>
    <row r="2197" spans="2:44" x14ac:dyDescent="0.35">
      <c r="B2197" s="6" t="str">
        <f t="shared" si="612"/>
        <v>19001</v>
      </c>
      <c r="C2197" s="6">
        <f t="shared" si="613"/>
        <v>1900</v>
      </c>
      <c r="D2197" s="6">
        <f t="shared" si="614"/>
        <v>1</v>
      </c>
      <c r="J2197" s="6" t="str">
        <f t="shared" si="615"/>
        <v>19001</v>
      </c>
      <c r="K2197" s="6">
        <f t="shared" si="616"/>
        <v>1900</v>
      </c>
      <c r="L2197" s="6">
        <f t="shared" si="617"/>
        <v>1</v>
      </c>
      <c r="R2197" s="6" t="str">
        <f t="shared" si="618"/>
        <v>19001</v>
      </c>
      <c r="S2197" s="6">
        <f t="shared" si="619"/>
        <v>1900</v>
      </c>
      <c r="T2197" s="6">
        <f t="shared" si="620"/>
        <v>1</v>
      </c>
      <c r="Z2197" s="6" t="str">
        <f t="shared" ca="1" si="621"/>
        <v>20242</v>
      </c>
      <c r="AA2197" s="6">
        <f t="shared" ca="1" si="622"/>
        <v>2024</v>
      </c>
      <c r="AB2197" s="6">
        <f t="shared" ca="1" si="623"/>
        <v>2</v>
      </c>
      <c r="AC2197" s="68">
        <f ca="1">IFERROR(__xludf.DUMMYFUNCTION("""COMPUTED_VALUE"""),45348.9986111111)</f>
        <v>45348.998611111099</v>
      </c>
      <c r="AD2197" s="6">
        <f ca="1">IFERROR(__xludf.DUMMYFUNCTION("""COMPUTED_VALUE"""),1331.72)</f>
        <v>1331.72</v>
      </c>
      <c r="AH2197" s="6" t="str">
        <f t="shared" ca="1" si="624"/>
        <v>202312</v>
      </c>
      <c r="AI2197" s="6">
        <f t="shared" ca="1" si="625"/>
        <v>2023</v>
      </c>
      <c r="AJ2197" s="6">
        <f t="shared" ca="1" si="626"/>
        <v>12</v>
      </c>
      <c r="AK2197" s="68">
        <f ca="1">IFERROR(__xludf.DUMMYFUNCTION("""COMPUTED_VALUE"""),45290.9986111111)</f>
        <v>45290.998611111099</v>
      </c>
      <c r="AL2197" s="6">
        <f ca="1">IFERROR(__xludf.DUMMYFUNCTION("""COMPUTED_VALUE"""),42141.19)</f>
        <v>42141.19</v>
      </c>
      <c r="AP2197" s="6" t="str">
        <f t="shared" si="627"/>
        <v>19001</v>
      </c>
      <c r="AQ2197" s="6">
        <f t="shared" si="628"/>
        <v>1900</v>
      </c>
      <c r="AR2197" s="6">
        <f t="shared" si="629"/>
        <v>1</v>
      </c>
    </row>
    <row r="2198" spans="2:44" x14ac:dyDescent="0.35">
      <c r="B2198" s="6" t="str">
        <f t="shared" si="612"/>
        <v>19001</v>
      </c>
      <c r="C2198" s="6">
        <f t="shared" si="613"/>
        <v>1900</v>
      </c>
      <c r="D2198" s="6">
        <f t="shared" si="614"/>
        <v>1</v>
      </c>
      <c r="J2198" s="6" t="str">
        <f t="shared" si="615"/>
        <v>19001</v>
      </c>
      <c r="K2198" s="6">
        <f t="shared" si="616"/>
        <v>1900</v>
      </c>
      <c r="L2198" s="6">
        <f t="shared" si="617"/>
        <v>1</v>
      </c>
      <c r="R2198" s="6" t="str">
        <f t="shared" si="618"/>
        <v>19001</v>
      </c>
      <c r="S2198" s="6">
        <f t="shared" si="619"/>
        <v>1900</v>
      </c>
      <c r="T2198" s="6">
        <f t="shared" si="620"/>
        <v>1</v>
      </c>
      <c r="Z2198" s="6" t="str">
        <f t="shared" ca="1" si="621"/>
        <v>20242</v>
      </c>
      <c r="AA2198" s="6">
        <f t="shared" ca="1" si="622"/>
        <v>2024</v>
      </c>
      <c r="AB2198" s="6">
        <f t="shared" ca="1" si="623"/>
        <v>2</v>
      </c>
      <c r="AC2198" s="68">
        <f ca="1">IFERROR(__xludf.DUMMYFUNCTION("""COMPUTED_VALUE"""),45349.9986111111)</f>
        <v>45349.998611111099</v>
      </c>
      <c r="AD2198" s="6">
        <f ca="1">IFERROR(__xludf.DUMMYFUNCTION("""COMPUTED_VALUE"""),1331.79)</f>
        <v>1331.79</v>
      </c>
      <c r="AH2198" s="6" t="str">
        <f t="shared" ca="1" si="624"/>
        <v>202312</v>
      </c>
      <c r="AI2198" s="6">
        <f t="shared" ca="1" si="625"/>
        <v>2023</v>
      </c>
      <c r="AJ2198" s="6">
        <f t="shared" ca="1" si="626"/>
        <v>12</v>
      </c>
      <c r="AK2198" s="68">
        <f ca="1">IFERROR(__xludf.DUMMYFUNCTION("""COMPUTED_VALUE"""),45291.9986111111)</f>
        <v>45291.998611111099</v>
      </c>
      <c r="AL2198" s="6">
        <f ca="1">IFERROR(__xludf.DUMMYFUNCTION("""COMPUTED_VALUE"""),42291.37)</f>
        <v>42291.37</v>
      </c>
      <c r="AP2198" s="6" t="str">
        <f t="shared" si="627"/>
        <v>19001</v>
      </c>
      <c r="AQ2198" s="6">
        <f t="shared" si="628"/>
        <v>1900</v>
      </c>
      <c r="AR2198" s="6">
        <f t="shared" si="629"/>
        <v>1</v>
      </c>
    </row>
    <row r="2199" spans="2:44" x14ac:dyDescent="0.35">
      <c r="B2199" s="6" t="str">
        <f t="shared" si="612"/>
        <v>19001</v>
      </c>
      <c r="C2199" s="6">
        <f t="shared" si="613"/>
        <v>1900</v>
      </c>
      <c r="D2199" s="6">
        <f t="shared" si="614"/>
        <v>1</v>
      </c>
      <c r="J2199" s="6" t="str">
        <f t="shared" si="615"/>
        <v>19001</v>
      </c>
      <c r="K2199" s="6">
        <f t="shared" si="616"/>
        <v>1900</v>
      </c>
      <c r="L2199" s="6">
        <f t="shared" si="617"/>
        <v>1</v>
      </c>
      <c r="R2199" s="6" t="str">
        <f t="shared" si="618"/>
        <v>19001</v>
      </c>
      <c r="S2199" s="6">
        <f t="shared" si="619"/>
        <v>1900</v>
      </c>
      <c r="T2199" s="6">
        <f t="shared" si="620"/>
        <v>1</v>
      </c>
      <c r="Z2199" s="6" t="str">
        <f t="shared" ca="1" si="621"/>
        <v>20242</v>
      </c>
      <c r="AA2199" s="6">
        <f t="shared" ca="1" si="622"/>
        <v>2024</v>
      </c>
      <c r="AB2199" s="6">
        <f t="shared" ca="1" si="623"/>
        <v>2</v>
      </c>
      <c r="AC2199" s="68">
        <f ca="1">IFERROR(__xludf.DUMMYFUNCTION("""COMPUTED_VALUE"""),45350.9986111111)</f>
        <v>45350.998611111099</v>
      </c>
      <c r="AD2199" s="6">
        <f ca="1">IFERROR(__xludf.DUMMYFUNCTION("""COMPUTED_VALUE"""),1333.38)</f>
        <v>1333.38</v>
      </c>
      <c r="AH2199" s="6" t="str">
        <f t="shared" ca="1" si="624"/>
        <v>20241</v>
      </c>
      <c r="AI2199" s="6">
        <f t="shared" ca="1" si="625"/>
        <v>2024</v>
      </c>
      <c r="AJ2199" s="6">
        <f t="shared" ca="1" si="626"/>
        <v>1</v>
      </c>
      <c r="AK2199" s="68">
        <f ca="1">IFERROR(__xludf.DUMMYFUNCTION("""COMPUTED_VALUE"""),45292.9986111111)</f>
        <v>45292.998611111099</v>
      </c>
      <c r="AL2199" s="6">
        <f ca="1">IFERROR(__xludf.DUMMYFUNCTION("""COMPUTED_VALUE"""),44204.37)</f>
        <v>44204.37</v>
      </c>
      <c r="AP2199" s="6" t="str">
        <f t="shared" si="627"/>
        <v>19001</v>
      </c>
      <c r="AQ2199" s="6">
        <f t="shared" si="628"/>
        <v>1900</v>
      </c>
      <c r="AR2199" s="6">
        <f t="shared" si="629"/>
        <v>1</v>
      </c>
    </row>
    <row r="2200" spans="2:44" x14ac:dyDescent="0.35">
      <c r="B2200" s="6" t="str">
        <f t="shared" si="612"/>
        <v>19001</v>
      </c>
      <c r="C2200" s="6">
        <f t="shared" si="613"/>
        <v>1900</v>
      </c>
      <c r="D2200" s="6">
        <f t="shared" si="614"/>
        <v>1</v>
      </c>
      <c r="J2200" s="6" t="str">
        <f t="shared" si="615"/>
        <v>19001</v>
      </c>
      <c r="K2200" s="6">
        <f t="shared" si="616"/>
        <v>1900</v>
      </c>
      <c r="L2200" s="6">
        <f t="shared" si="617"/>
        <v>1</v>
      </c>
      <c r="R2200" s="6" t="str">
        <f t="shared" si="618"/>
        <v>19001</v>
      </c>
      <c r="S2200" s="6">
        <f t="shared" si="619"/>
        <v>1900</v>
      </c>
      <c r="T2200" s="6">
        <f t="shared" si="620"/>
        <v>1</v>
      </c>
      <c r="Z2200" s="6" t="str">
        <f t="shared" ca="1" si="621"/>
        <v>20242</v>
      </c>
      <c r="AA2200" s="6">
        <f t="shared" ca="1" si="622"/>
        <v>2024</v>
      </c>
      <c r="AB2200" s="6">
        <f t="shared" ca="1" si="623"/>
        <v>2</v>
      </c>
      <c r="AC2200" s="68">
        <f ca="1">IFERROR(__xludf.DUMMYFUNCTION("""COMPUTED_VALUE"""),45351.9986111111)</f>
        <v>45351.998611111099</v>
      </c>
      <c r="AD2200" s="6">
        <f ca="1">IFERROR(__xludf.DUMMYFUNCTION("""COMPUTED_VALUE"""),1335.2)</f>
        <v>1335.2</v>
      </c>
      <c r="AH2200" s="6" t="str">
        <f t="shared" ca="1" si="624"/>
        <v>20241</v>
      </c>
      <c r="AI2200" s="6">
        <f t="shared" ca="1" si="625"/>
        <v>2024</v>
      </c>
      <c r="AJ2200" s="6">
        <f t="shared" ca="1" si="626"/>
        <v>1</v>
      </c>
      <c r="AK2200" s="68">
        <f ca="1">IFERROR(__xludf.DUMMYFUNCTION("""COMPUTED_VALUE"""),45293.9986111111)</f>
        <v>45293.998611111099</v>
      </c>
      <c r="AL2200" s="6">
        <f ca="1">IFERROR(__xludf.DUMMYFUNCTION("""COMPUTED_VALUE"""),44971.76)</f>
        <v>44971.76</v>
      </c>
      <c r="AP2200" s="6" t="str">
        <f t="shared" si="627"/>
        <v>19001</v>
      </c>
      <c r="AQ2200" s="6">
        <f t="shared" si="628"/>
        <v>1900</v>
      </c>
      <c r="AR2200" s="6">
        <f t="shared" si="629"/>
        <v>1</v>
      </c>
    </row>
    <row r="2201" spans="2:44" x14ac:dyDescent="0.35">
      <c r="B2201" s="6" t="str">
        <f t="shared" si="612"/>
        <v>19001</v>
      </c>
      <c r="C2201" s="6">
        <f t="shared" si="613"/>
        <v>1900</v>
      </c>
      <c r="D2201" s="6">
        <f t="shared" si="614"/>
        <v>1</v>
      </c>
      <c r="J2201" s="6" t="str">
        <f t="shared" si="615"/>
        <v>19001</v>
      </c>
      <c r="K2201" s="6">
        <f t="shared" si="616"/>
        <v>1900</v>
      </c>
      <c r="L2201" s="6">
        <f t="shared" si="617"/>
        <v>1</v>
      </c>
      <c r="R2201" s="6" t="str">
        <f t="shared" si="618"/>
        <v>19001</v>
      </c>
      <c r="S2201" s="6">
        <f t="shared" si="619"/>
        <v>1900</v>
      </c>
      <c r="T2201" s="6">
        <f t="shared" si="620"/>
        <v>1</v>
      </c>
      <c r="Z2201" s="6" t="str">
        <f t="shared" ca="1" si="621"/>
        <v>20243</v>
      </c>
      <c r="AA2201" s="6">
        <f t="shared" ca="1" si="622"/>
        <v>2024</v>
      </c>
      <c r="AB2201" s="6">
        <f t="shared" ca="1" si="623"/>
        <v>3</v>
      </c>
      <c r="AC2201" s="68">
        <f ca="1">IFERROR(__xludf.DUMMYFUNCTION("""COMPUTED_VALUE"""),45352.9986111111)</f>
        <v>45352.998611111099</v>
      </c>
      <c r="AD2201" s="6">
        <f ca="1">IFERROR(__xludf.DUMMYFUNCTION("""COMPUTED_VALUE"""),1330.9)</f>
        <v>1330.9</v>
      </c>
      <c r="AH2201" s="6" t="str">
        <f t="shared" ca="1" si="624"/>
        <v>20241</v>
      </c>
      <c r="AI2201" s="6">
        <f t="shared" ca="1" si="625"/>
        <v>2024</v>
      </c>
      <c r="AJ2201" s="6">
        <f t="shared" ca="1" si="626"/>
        <v>1</v>
      </c>
      <c r="AK2201" s="68">
        <f ca="1">IFERROR(__xludf.DUMMYFUNCTION("""COMPUTED_VALUE"""),45294.9986111111)</f>
        <v>45294.998611111099</v>
      </c>
      <c r="AL2201" s="6">
        <f ca="1">IFERROR(__xludf.DUMMYFUNCTION("""COMPUTED_VALUE"""),42864.52)</f>
        <v>42864.52</v>
      </c>
      <c r="AP2201" s="6" t="str">
        <f t="shared" si="627"/>
        <v>19001</v>
      </c>
      <c r="AQ2201" s="6">
        <f t="shared" si="628"/>
        <v>1900</v>
      </c>
      <c r="AR2201" s="6">
        <f t="shared" si="629"/>
        <v>1</v>
      </c>
    </row>
    <row r="2202" spans="2:44" x14ac:dyDescent="0.35">
      <c r="B2202" s="6" t="str">
        <f t="shared" si="612"/>
        <v>19001</v>
      </c>
      <c r="C2202" s="6">
        <f t="shared" si="613"/>
        <v>1900</v>
      </c>
      <c r="D2202" s="6">
        <f t="shared" si="614"/>
        <v>1</v>
      </c>
      <c r="J2202" s="6" t="str">
        <f t="shared" si="615"/>
        <v>19001</v>
      </c>
      <c r="K2202" s="6">
        <f t="shared" si="616"/>
        <v>1900</v>
      </c>
      <c r="L2202" s="6">
        <f t="shared" si="617"/>
        <v>1</v>
      </c>
      <c r="R2202" s="6" t="str">
        <f t="shared" si="618"/>
        <v>19001</v>
      </c>
      <c r="S2202" s="6">
        <f t="shared" si="619"/>
        <v>1900</v>
      </c>
      <c r="T2202" s="6">
        <f t="shared" si="620"/>
        <v>1</v>
      </c>
      <c r="Z2202" s="6" t="str">
        <f t="shared" ca="1" si="621"/>
        <v>20243</v>
      </c>
      <c r="AA2202" s="6">
        <f t="shared" ca="1" si="622"/>
        <v>2024</v>
      </c>
      <c r="AB2202" s="6">
        <f t="shared" ca="1" si="623"/>
        <v>3</v>
      </c>
      <c r="AC2202" s="68">
        <f ca="1">IFERROR(__xludf.DUMMYFUNCTION("""COMPUTED_VALUE"""),45353.9986111111)</f>
        <v>45353.998611111099</v>
      </c>
      <c r="AD2202" s="6">
        <f ca="1">IFERROR(__xludf.DUMMYFUNCTION("""COMPUTED_VALUE"""),1330.9)</f>
        <v>1330.9</v>
      </c>
      <c r="AH2202" s="6" t="str">
        <f t="shared" ca="1" si="624"/>
        <v>20241</v>
      </c>
      <c r="AI2202" s="6">
        <f t="shared" ca="1" si="625"/>
        <v>2024</v>
      </c>
      <c r="AJ2202" s="6">
        <f t="shared" ca="1" si="626"/>
        <v>1</v>
      </c>
      <c r="AK2202" s="68">
        <f ca="1">IFERROR(__xludf.DUMMYFUNCTION("""COMPUTED_VALUE"""),45295.9986111111)</f>
        <v>45295.998611111099</v>
      </c>
      <c r="AL2202" s="6">
        <f ca="1">IFERROR(__xludf.DUMMYFUNCTION("""COMPUTED_VALUE"""),44202.17)</f>
        <v>44202.17</v>
      </c>
      <c r="AP2202" s="6" t="str">
        <f t="shared" si="627"/>
        <v>19001</v>
      </c>
      <c r="AQ2202" s="6">
        <f t="shared" si="628"/>
        <v>1900</v>
      </c>
      <c r="AR2202" s="6">
        <f t="shared" si="629"/>
        <v>1</v>
      </c>
    </row>
    <row r="2203" spans="2:44" x14ac:dyDescent="0.35">
      <c r="B2203" s="6" t="str">
        <f t="shared" si="612"/>
        <v>19001</v>
      </c>
      <c r="C2203" s="6">
        <f t="shared" si="613"/>
        <v>1900</v>
      </c>
      <c r="D2203" s="6">
        <f t="shared" si="614"/>
        <v>1</v>
      </c>
      <c r="J2203" s="6" t="str">
        <f t="shared" si="615"/>
        <v>19001</v>
      </c>
      <c r="K2203" s="6">
        <f t="shared" si="616"/>
        <v>1900</v>
      </c>
      <c r="L2203" s="6">
        <f t="shared" si="617"/>
        <v>1</v>
      </c>
      <c r="R2203" s="6" t="str">
        <f t="shared" si="618"/>
        <v>19001</v>
      </c>
      <c r="S2203" s="6">
        <f t="shared" si="619"/>
        <v>1900</v>
      </c>
      <c r="T2203" s="6">
        <f t="shared" si="620"/>
        <v>1</v>
      </c>
      <c r="Z2203" s="6" t="str">
        <f t="shared" ca="1" si="621"/>
        <v>20243</v>
      </c>
      <c r="AA2203" s="6">
        <f t="shared" ca="1" si="622"/>
        <v>2024</v>
      </c>
      <c r="AB2203" s="6">
        <f t="shared" ca="1" si="623"/>
        <v>3</v>
      </c>
      <c r="AC2203" s="68">
        <f ca="1">IFERROR(__xludf.DUMMYFUNCTION("""COMPUTED_VALUE"""),45354.9986111111)</f>
        <v>45354.998611111099</v>
      </c>
      <c r="AD2203" s="6">
        <f ca="1">IFERROR(__xludf.DUMMYFUNCTION("""COMPUTED_VALUE"""),1330.9)</f>
        <v>1330.9</v>
      </c>
      <c r="AH2203" s="6" t="str">
        <f t="shared" ca="1" si="624"/>
        <v>20241</v>
      </c>
      <c r="AI2203" s="6">
        <f t="shared" ca="1" si="625"/>
        <v>2024</v>
      </c>
      <c r="AJ2203" s="6">
        <f t="shared" ca="1" si="626"/>
        <v>1</v>
      </c>
      <c r="AK2203" s="68">
        <f ca="1">IFERROR(__xludf.DUMMYFUNCTION("""COMPUTED_VALUE"""),45296.9986111111)</f>
        <v>45296.998611111099</v>
      </c>
      <c r="AL2203" s="6">
        <f ca="1">IFERROR(__xludf.DUMMYFUNCTION("""COMPUTED_VALUE"""),44185.63)</f>
        <v>44185.63</v>
      </c>
      <c r="AP2203" s="6" t="str">
        <f t="shared" si="627"/>
        <v>19001</v>
      </c>
      <c r="AQ2203" s="6">
        <f t="shared" si="628"/>
        <v>1900</v>
      </c>
      <c r="AR2203" s="6">
        <f t="shared" si="629"/>
        <v>1</v>
      </c>
    </row>
    <row r="2204" spans="2:44" x14ac:dyDescent="0.35">
      <c r="B2204" s="6" t="str">
        <f t="shared" si="612"/>
        <v>19001</v>
      </c>
      <c r="C2204" s="6">
        <f t="shared" si="613"/>
        <v>1900</v>
      </c>
      <c r="D2204" s="6">
        <f t="shared" si="614"/>
        <v>1</v>
      </c>
      <c r="J2204" s="6" t="str">
        <f t="shared" si="615"/>
        <v>19001</v>
      </c>
      <c r="K2204" s="6">
        <f t="shared" si="616"/>
        <v>1900</v>
      </c>
      <c r="L2204" s="6">
        <f t="shared" si="617"/>
        <v>1</v>
      </c>
      <c r="R2204" s="6" t="str">
        <f t="shared" si="618"/>
        <v>19001</v>
      </c>
      <c r="S2204" s="6">
        <f t="shared" si="619"/>
        <v>1900</v>
      </c>
      <c r="T2204" s="6">
        <f t="shared" si="620"/>
        <v>1</v>
      </c>
      <c r="Z2204" s="6" t="str">
        <f t="shared" ca="1" si="621"/>
        <v>20243</v>
      </c>
      <c r="AA2204" s="6">
        <f t="shared" ca="1" si="622"/>
        <v>2024</v>
      </c>
      <c r="AB2204" s="6">
        <f t="shared" ca="1" si="623"/>
        <v>3</v>
      </c>
      <c r="AC2204" s="68">
        <f ca="1">IFERROR(__xludf.DUMMYFUNCTION("""COMPUTED_VALUE"""),45355.9986111111)</f>
        <v>45355.998611111099</v>
      </c>
      <c r="AD2204" s="6">
        <f ca="1">IFERROR(__xludf.DUMMYFUNCTION("""COMPUTED_VALUE"""),1328.94)</f>
        <v>1328.94</v>
      </c>
      <c r="AH2204" s="6" t="str">
        <f t="shared" ca="1" si="624"/>
        <v>20241</v>
      </c>
      <c r="AI2204" s="6">
        <f t="shared" ca="1" si="625"/>
        <v>2024</v>
      </c>
      <c r="AJ2204" s="6">
        <f t="shared" ca="1" si="626"/>
        <v>1</v>
      </c>
      <c r="AK2204" s="68">
        <f ca="1">IFERROR(__xludf.DUMMYFUNCTION("""COMPUTED_VALUE"""),45297.9986111111)</f>
        <v>45297.998611111099</v>
      </c>
      <c r="AL2204" s="6">
        <f ca="1">IFERROR(__xludf.DUMMYFUNCTION("""COMPUTED_VALUE"""),44003.69)</f>
        <v>44003.69</v>
      </c>
      <c r="AP2204" s="6" t="str">
        <f t="shared" si="627"/>
        <v>19001</v>
      </c>
      <c r="AQ2204" s="6">
        <f t="shared" si="628"/>
        <v>1900</v>
      </c>
      <c r="AR2204" s="6">
        <f t="shared" si="629"/>
        <v>1</v>
      </c>
    </row>
    <row r="2205" spans="2:44" x14ac:dyDescent="0.35">
      <c r="B2205" s="6" t="str">
        <f t="shared" si="612"/>
        <v>19001</v>
      </c>
      <c r="C2205" s="6">
        <f t="shared" si="613"/>
        <v>1900</v>
      </c>
      <c r="D2205" s="6">
        <f t="shared" si="614"/>
        <v>1</v>
      </c>
      <c r="J2205" s="6" t="str">
        <f t="shared" si="615"/>
        <v>19001</v>
      </c>
      <c r="K2205" s="6">
        <f t="shared" si="616"/>
        <v>1900</v>
      </c>
      <c r="L2205" s="6">
        <f t="shared" si="617"/>
        <v>1</v>
      </c>
      <c r="R2205" s="6" t="str">
        <f t="shared" si="618"/>
        <v>19001</v>
      </c>
      <c r="S2205" s="6">
        <f t="shared" si="619"/>
        <v>1900</v>
      </c>
      <c r="T2205" s="6">
        <f t="shared" si="620"/>
        <v>1</v>
      </c>
      <c r="Z2205" s="6" t="str">
        <f t="shared" ca="1" si="621"/>
        <v>20243</v>
      </c>
      <c r="AA2205" s="6">
        <f t="shared" ca="1" si="622"/>
        <v>2024</v>
      </c>
      <c r="AB2205" s="6">
        <f t="shared" ca="1" si="623"/>
        <v>3</v>
      </c>
      <c r="AC2205" s="68">
        <f ca="1">IFERROR(__xludf.DUMMYFUNCTION("""COMPUTED_VALUE"""),45356.9986111111)</f>
        <v>45356.998611111099</v>
      </c>
      <c r="AD2205" s="6">
        <f ca="1">IFERROR(__xludf.DUMMYFUNCTION("""COMPUTED_VALUE"""),1333.43)</f>
        <v>1333.43</v>
      </c>
      <c r="AH2205" s="6" t="str">
        <f t="shared" ca="1" si="624"/>
        <v>20241</v>
      </c>
      <c r="AI2205" s="6">
        <f t="shared" ca="1" si="625"/>
        <v>2024</v>
      </c>
      <c r="AJ2205" s="6">
        <f t="shared" ca="1" si="626"/>
        <v>1</v>
      </c>
      <c r="AK2205" s="68">
        <f ca="1">IFERROR(__xludf.DUMMYFUNCTION("""COMPUTED_VALUE"""),45298.9986111111)</f>
        <v>45298.998611111099</v>
      </c>
      <c r="AL2205" s="6">
        <f ca="1">IFERROR(__xludf.DUMMYFUNCTION("""COMPUTED_VALUE"""),43940.36)</f>
        <v>43940.36</v>
      </c>
      <c r="AP2205" s="6" t="str">
        <f t="shared" si="627"/>
        <v>19001</v>
      </c>
      <c r="AQ2205" s="6">
        <f t="shared" si="628"/>
        <v>1900</v>
      </c>
      <c r="AR2205" s="6">
        <f t="shared" si="629"/>
        <v>1</v>
      </c>
    </row>
    <row r="2206" spans="2:44" x14ac:dyDescent="0.35">
      <c r="B2206" s="6" t="str">
        <f t="shared" si="612"/>
        <v>19001</v>
      </c>
      <c r="C2206" s="6">
        <f t="shared" si="613"/>
        <v>1900</v>
      </c>
      <c r="D2206" s="6">
        <f t="shared" si="614"/>
        <v>1</v>
      </c>
      <c r="J2206" s="6" t="str">
        <f t="shared" si="615"/>
        <v>19001</v>
      </c>
      <c r="K2206" s="6">
        <f t="shared" si="616"/>
        <v>1900</v>
      </c>
      <c r="L2206" s="6">
        <f t="shared" si="617"/>
        <v>1</v>
      </c>
      <c r="R2206" s="6" t="str">
        <f t="shared" si="618"/>
        <v>19001</v>
      </c>
      <c r="S2206" s="6">
        <f t="shared" si="619"/>
        <v>1900</v>
      </c>
      <c r="T2206" s="6">
        <f t="shared" si="620"/>
        <v>1</v>
      </c>
      <c r="Z2206" s="6" t="str">
        <f t="shared" ca="1" si="621"/>
        <v>20243</v>
      </c>
      <c r="AA2206" s="6">
        <f t="shared" ca="1" si="622"/>
        <v>2024</v>
      </c>
      <c r="AB2206" s="6">
        <f t="shared" ca="1" si="623"/>
        <v>3</v>
      </c>
      <c r="AC2206" s="68">
        <f ca="1">IFERROR(__xludf.DUMMYFUNCTION("""COMPUTED_VALUE"""),45357.9986111111)</f>
        <v>45357.998611111099</v>
      </c>
      <c r="AD2206" s="6">
        <f ca="1">IFERROR(__xludf.DUMMYFUNCTION("""COMPUTED_VALUE"""),1327.09)</f>
        <v>1327.09</v>
      </c>
      <c r="AH2206" s="6" t="str">
        <f t="shared" ca="1" si="624"/>
        <v>20241</v>
      </c>
      <c r="AI2206" s="6">
        <f t="shared" ca="1" si="625"/>
        <v>2024</v>
      </c>
      <c r="AJ2206" s="6">
        <f t="shared" ca="1" si="626"/>
        <v>1</v>
      </c>
      <c r="AK2206" s="68">
        <f ca="1">IFERROR(__xludf.DUMMYFUNCTION("""COMPUTED_VALUE"""),45299.9986111111)</f>
        <v>45299.998611111099</v>
      </c>
      <c r="AL2206" s="6">
        <f ca="1">IFERROR(__xludf.DUMMYFUNCTION("""COMPUTED_VALUE"""),46986.92)</f>
        <v>46986.92</v>
      </c>
      <c r="AP2206" s="6" t="str">
        <f t="shared" si="627"/>
        <v>19001</v>
      </c>
      <c r="AQ2206" s="6">
        <f t="shared" si="628"/>
        <v>1900</v>
      </c>
      <c r="AR2206" s="6">
        <f t="shared" si="629"/>
        <v>1</v>
      </c>
    </row>
    <row r="2207" spans="2:44" x14ac:dyDescent="0.35">
      <c r="B2207" s="6" t="str">
        <f t="shared" si="612"/>
        <v>19001</v>
      </c>
      <c r="C2207" s="6">
        <f t="shared" si="613"/>
        <v>1900</v>
      </c>
      <c r="D2207" s="6">
        <f t="shared" si="614"/>
        <v>1</v>
      </c>
      <c r="J2207" s="6" t="str">
        <f t="shared" si="615"/>
        <v>19001</v>
      </c>
      <c r="K2207" s="6">
        <f t="shared" si="616"/>
        <v>1900</v>
      </c>
      <c r="L2207" s="6">
        <f t="shared" si="617"/>
        <v>1</v>
      </c>
      <c r="R2207" s="6" t="str">
        <f t="shared" si="618"/>
        <v>19001</v>
      </c>
      <c r="S2207" s="6">
        <f t="shared" si="619"/>
        <v>1900</v>
      </c>
      <c r="T2207" s="6">
        <f t="shared" si="620"/>
        <v>1</v>
      </c>
      <c r="Z2207" s="6" t="str">
        <f t="shared" ca="1" si="621"/>
        <v>20243</v>
      </c>
      <c r="AA2207" s="6">
        <f t="shared" ca="1" si="622"/>
        <v>2024</v>
      </c>
      <c r="AB2207" s="6">
        <f t="shared" ca="1" si="623"/>
        <v>3</v>
      </c>
      <c r="AC2207" s="68">
        <f ca="1">IFERROR(__xludf.DUMMYFUNCTION("""COMPUTED_VALUE"""),45358.9986111111)</f>
        <v>45358.998611111099</v>
      </c>
      <c r="AD2207" s="6">
        <f ca="1">IFERROR(__xludf.DUMMYFUNCTION("""COMPUTED_VALUE"""),1321.18)</f>
        <v>1321.18</v>
      </c>
      <c r="AH2207" s="6" t="str">
        <f t="shared" ca="1" si="624"/>
        <v>20241</v>
      </c>
      <c r="AI2207" s="6">
        <f t="shared" ca="1" si="625"/>
        <v>2024</v>
      </c>
      <c r="AJ2207" s="6">
        <f t="shared" ca="1" si="626"/>
        <v>1</v>
      </c>
      <c r="AK2207" s="68">
        <f ca="1">IFERROR(__xludf.DUMMYFUNCTION("""COMPUTED_VALUE"""),45300.9986111111)</f>
        <v>45300.998611111099</v>
      </c>
      <c r="AL2207" s="6">
        <f ca="1">IFERROR(__xludf.DUMMYFUNCTION("""COMPUTED_VALUE"""),46129.09)</f>
        <v>46129.09</v>
      </c>
      <c r="AP2207" s="6" t="str">
        <f t="shared" si="627"/>
        <v>19001</v>
      </c>
      <c r="AQ2207" s="6">
        <f t="shared" si="628"/>
        <v>1900</v>
      </c>
      <c r="AR2207" s="6">
        <f t="shared" si="629"/>
        <v>1</v>
      </c>
    </row>
    <row r="2208" spans="2:44" x14ac:dyDescent="0.35">
      <c r="B2208" s="6" t="str">
        <f t="shared" si="612"/>
        <v>19001</v>
      </c>
      <c r="C2208" s="6">
        <f t="shared" si="613"/>
        <v>1900</v>
      </c>
      <c r="D2208" s="6">
        <f t="shared" si="614"/>
        <v>1</v>
      </c>
      <c r="J2208" s="6" t="str">
        <f t="shared" si="615"/>
        <v>19001</v>
      </c>
      <c r="K2208" s="6">
        <f t="shared" si="616"/>
        <v>1900</v>
      </c>
      <c r="L2208" s="6">
        <f t="shared" si="617"/>
        <v>1</v>
      </c>
      <c r="R2208" s="6" t="str">
        <f t="shared" si="618"/>
        <v>19001</v>
      </c>
      <c r="S2208" s="6">
        <f t="shared" si="619"/>
        <v>1900</v>
      </c>
      <c r="T2208" s="6">
        <f t="shared" si="620"/>
        <v>1</v>
      </c>
      <c r="Z2208" s="6" t="str">
        <f t="shared" ca="1" si="621"/>
        <v>20243</v>
      </c>
      <c r="AA2208" s="6">
        <f t="shared" ca="1" si="622"/>
        <v>2024</v>
      </c>
      <c r="AB2208" s="6">
        <f t="shared" ca="1" si="623"/>
        <v>3</v>
      </c>
      <c r="AC2208" s="68">
        <f ca="1">IFERROR(__xludf.DUMMYFUNCTION("""COMPUTED_VALUE"""),45359.9986111111)</f>
        <v>45359.998611111099</v>
      </c>
      <c r="AD2208" s="6">
        <f ca="1">IFERROR(__xludf.DUMMYFUNCTION("""COMPUTED_VALUE"""),1315.98)</f>
        <v>1315.98</v>
      </c>
      <c r="AH2208" s="6" t="str">
        <f t="shared" ca="1" si="624"/>
        <v>20241</v>
      </c>
      <c r="AI2208" s="6">
        <f t="shared" ca="1" si="625"/>
        <v>2024</v>
      </c>
      <c r="AJ2208" s="6">
        <f t="shared" ca="1" si="626"/>
        <v>1</v>
      </c>
      <c r="AK2208" s="68">
        <f ca="1">IFERROR(__xludf.DUMMYFUNCTION("""COMPUTED_VALUE"""),45301.9986111111)</f>
        <v>45301.998611111099</v>
      </c>
      <c r="AL2208" s="6">
        <f ca="1">IFERROR(__xludf.DUMMYFUNCTION("""COMPUTED_VALUE"""),46662.4)</f>
        <v>46662.400000000001</v>
      </c>
      <c r="AP2208" s="6" t="str">
        <f t="shared" si="627"/>
        <v>19001</v>
      </c>
      <c r="AQ2208" s="6">
        <f t="shared" si="628"/>
        <v>1900</v>
      </c>
      <c r="AR2208" s="6">
        <f t="shared" si="629"/>
        <v>1</v>
      </c>
    </row>
    <row r="2209" spans="2:44" x14ac:dyDescent="0.35">
      <c r="B2209" s="6" t="str">
        <f t="shared" si="612"/>
        <v>19001</v>
      </c>
      <c r="C2209" s="6">
        <f t="shared" si="613"/>
        <v>1900</v>
      </c>
      <c r="D2209" s="6">
        <f t="shared" si="614"/>
        <v>1</v>
      </c>
      <c r="J2209" s="6" t="str">
        <f t="shared" si="615"/>
        <v>19001</v>
      </c>
      <c r="K2209" s="6">
        <f t="shared" si="616"/>
        <v>1900</v>
      </c>
      <c r="L2209" s="6">
        <f t="shared" si="617"/>
        <v>1</v>
      </c>
      <c r="R2209" s="6" t="str">
        <f t="shared" si="618"/>
        <v>19001</v>
      </c>
      <c r="S2209" s="6">
        <f t="shared" si="619"/>
        <v>1900</v>
      </c>
      <c r="T2209" s="6">
        <f t="shared" si="620"/>
        <v>1</v>
      </c>
      <c r="Z2209" s="6" t="str">
        <f t="shared" ca="1" si="621"/>
        <v>20243</v>
      </c>
      <c r="AA2209" s="6">
        <f t="shared" ca="1" si="622"/>
        <v>2024</v>
      </c>
      <c r="AB2209" s="6">
        <f t="shared" ca="1" si="623"/>
        <v>3</v>
      </c>
      <c r="AC2209" s="68">
        <f ca="1">IFERROR(__xludf.DUMMYFUNCTION("""COMPUTED_VALUE"""),45360.9986111111)</f>
        <v>45360.998611111099</v>
      </c>
      <c r="AD2209" s="6">
        <f ca="1">IFERROR(__xludf.DUMMYFUNCTION("""COMPUTED_VALUE"""),1315.98)</f>
        <v>1315.98</v>
      </c>
      <c r="AH2209" s="6" t="str">
        <f t="shared" ca="1" si="624"/>
        <v>20241</v>
      </c>
      <c r="AI2209" s="6">
        <f t="shared" ca="1" si="625"/>
        <v>2024</v>
      </c>
      <c r="AJ2209" s="6">
        <f t="shared" ca="1" si="626"/>
        <v>1</v>
      </c>
      <c r="AK2209" s="68">
        <f ca="1">IFERROR(__xludf.DUMMYFUNCTION("""COMPUTED_VALUE"""),45302.9986111111)</f>
        <v>45302.998611111099</v>
      </c>
      <c r="AL2209" s="6">
        <f ca="1">IFERROR(__xludf.DUMMYFUNCTION("""COMPUTED_VALUE"""),46348.52)</f>
        <v>46348.52</v>
      </c>
      <c r="AP2209" s="6" t="str">
        <f t="shared" si="627"/>
        <v>19001</v>
      </c>
      <c r="AQ2209" s="6">
        <f t="shared" si="628"/>
        <v>1900</v>
      </c>
      <c r="AR2209" s="6">
        <f t="shared" si="629"/>
        <v>1</v>
      </c>
    </row>
    <row r="2210" spans="2:44" x14ac:dyDescent="0.35">
      <c r="B2210" s="6" t="str">
        <f t="shared" si="612"/>
        <v>19001</v>
      </c>
      <c r="C2210" s="6">
        <f t="shared" si="613"/>
        <v>1900</v>
      </c>
      <c r="D2210" s="6">
        <f t="shared" si="614"/>
        <v>1</v>
      </c>
      <c r="J2210" s="6" t="str">
        <f t="shared" si="615"/>
        <v>19001</v>
      </c>
      <c r="K2210" s="6">
        <f t="shared" si="616"/>
        <v>1900</v>
      </c>
      <c r="L2210" s="6">
        <f t="shared" si="617"/>
        <v>1</v>
      </c>
      <c r="R2210" s="6" t="str">
        <f t="shared" si="618"/>
        <v>19001</v>
      </c>
      <c r="S2210" s="6">
        <f t="shared" si="619"/>
        <v>1900</v>
      </c>
      <c r="T2210" s="6">
        <f t="shared" si="620"/>
        <v>1</v>
      </c>
      <c r="Z2210" s="6" t="str">
        <f t="shared" ca="1" si="621"/>
        <v>20243</v>
      </c>
      <c r="AA2210" s="6">
        <f t="shared" ca="1" si="622"/>
        <v>2024</v>
      </c>
      <c r="AB2210" s="6">
        <f t="shared" ca="1" si="623"/>
        <v>3</v>
      </c>
      <c r="AC2210" s="68">
        <f ca="1">IFERROR(__xludf.DUMMYFUNCTION("""COMPUTED_VALUE"""),45361.9986111111)</f>
        <v>45361.998611111099</v>
      </c>
      <c r="AD2210" s="6">
        <f ca="1">IFERROR(__xludf.DUMMYFUNCTION("""COMPUTED_VALUE"""),1315.98)</f>
        <v>1315.98</v>
      </c>
      <c r="AH2210" s="6" t="str">
        <f t="shared" ca="1" si="624"/>
        <v>20241</v>
      </c>
      <c r="AI2210" s="6">
        <f t="shared" ca="1" si="625"/>
        <v>2024</v>
      </c>
      <c r="AJ2210" s="6">
        <f t="shared" ca="1" si="626"/>
        <v>1</v>
      </c>
      <c r="AK2210" s="68">
        <f ca="1">IFERROR(__xludf.DUMMYFUNCTION("""COMPUTED_VALUE"""),45303.9986111111)</f>
        <v>45303.998611111099</v>
      </c>
      <c r="AL2210" s="6">
        <f ca="1">IFERROR(__xludf.DUMMYFUNCTION("""COMPUTED_VALUE"""),42802.15)</f>
        <v>42802.15</v>
      </c>
      <c r="AP2210" s="6" t="str">
        <f t="shared" si="627"/>
        <v>19001</v>
      </c>
      <c r="AQ2210" s="6">
        <f t="shared" si="628"/>
        <v>1900</v>
      </c>
      <c r="AR2210" s="6">
        <f t="shared" si="629"/>
        <v>1</v>
      </c>
    </row>
    <row r="2211" spans="2:44" x14ac:dyDescent="0.35">
      <c r="B2211" s="6" t="str">
        <f t="shared" si="612"/>
        <v>19001</v>
      </c>
      <c r="C2211" s="6">
        <f t="shared" si="613"/>
        <v>1900</v>
      </c>
      <c r="D2211" s="6">
        <f t="shared" si="614"/>
        <v>1</v>
      </c>
      <c r="J2211" s="6" t="str">
        <f t="shared" si="615"/>
        <v>19001</v>
      </c>
      <c r="K2211" s="6">
        <f t="shared" si="616"/>
        <v>1900</v>
      </c>
      <c r="L2211" s="6">
        <f t="shared" si="617"/>
        <v>1</v>
      </c>
      <c r="R2211" s="6" t="str">
        <f t="shared" si="618"/>
        <v>19001</v>
      </c>
      <c r="S2211" s="6">
        <f t="shared" si="619"/>
        <v>1900</v>
      </c>
      <c r="T2211" s="6">
        <f t="shared" si="620"/>
        <v>1</v>
      </c>
      <c r="Z2211" s="6" t="str">
        <f t="shared" ca="1" si="621"/>
        <v>20243</v>
      </c>
      <c r="AA2211" s="6">
        <f t="shared" ca="1" si="622"/>
        <v>2024</v>
      </c>
      <c r="AB2211" s="6">
        <f t="shared" ca="1" si="623"/>
        <v>3</v>
      </c>
      <c r="AC2211" s="68">
        <f ca="1">IFERROR(__xludf.DUMMYFUNCTION("""COMPUTED_VALUE"""),45362.9986111111)</f>
        <v>45362.998611111099</v>
      </c>
      <c r="AD2211" s="6">
        <f ca="1">IFERROR(__xludf.DUMMYFUNCTION("""COMPUTED_VALUE"""),1310.54)</f>
        <v>1310.54</v>
      </c>
      <c r="AH2211" s="6" t="str">
        <f t="shared" ca="1" si="624"/>
        <v>20241</v>
      </c>
      <c r="AI2211" s="6">
        <f t="shared" ca="1" si="625"/>
        <v>2024</v>
      </c>
      <c r="AJ2211" s="6">
        <f t="shared" ca="1" si="626"/>
        <v>1</v>
      </c>
      <c r="AK2211" s="68">
        <f ca="1">IFERROR(__xludf.DUMMYFUNCTION("""COMPUTED_VALUE"""),45304.9986111111)</f>
        <v>45304.998611111099</v>
      </c>
      <c r="AL2211" s="6">
        <f ca="1">IFERROR(__xludf.DUMMYFUNCTION("""COMPUTED_VALUE"""),42848.36)</f>
        <v>42848.36</v>
      </c>
      <c r="AP2211" s="6" t="str">
        <f t="shared" si="627"/>
        <v>19001</v>
      </c>
      <c r="AQ2211" s="6">
        <f t="shared" si="628"/>
        <v>1900</v>
      </c>
      <c r="AR2211" s="6">
        <f t="shared" si="629"/>
        <v>1</v>
      </c>
    </row>
    <row r="2212" spans="2:44" x14ac:dyDescent="0.35">
      <c r="B2212" s="6" t="str">
        <f t="shared" si="612"/>
        <v>19001</v>
      </c>
      <c r="C2212" s="6">
        <f t="shared" si="613"/>
        <v>1900</v>
      </c>
      <c r="D2212" s="6">
        <f t="shared" si="614"/>
        <v>1</v>
      </c>
      <c r="J2212" s="6" t="str">
        <f t="shared" si="615"/>
        <v>19001</v>
      </c>
      <c r="K2212" s="6">
        <f t="shared" si="616"/>
        <v>1900</v>
      </c>
      <c r="L2212" s="6">
        <f t="shared" si="617"/>
        <v>1</v>
      </c>
      <c r="R2212" s="6" t="str">
        <f t="shared" si="618"/>
        <v>19001</v>
      </c>
      <c r="S2212" s="6">
        <f t="shared" si="619"/>
        <v>1900</v>
      </c>
      <c r="T2212" s="6">
        <f t="shared" si="620"/>
        <v>1</v>
      </c>
      <c r="Z2212" s="6" t="str">
        <f t="shared" ca="1" si="621"/>
        <v>20243</v>
      </c>
      <c r="AA2212" s="6">
        <f t="shared" ca="1" si="622"/>
        <v>2024</v>
      </c>
      <c r="AB2212" s="6">
        <f t="shared" ca="1" si="623"/>
        <v>3</v>
      </c>
      <c r="AC2212" s="68">
        <f ca="1">IFERROR(__xludf.DUMMYFUNCTION("""COMPUTED_VALUE"""),45363.9986111111)</f>
        <v>45363.998611111099</v>
      </c>
      <c r="AD2212" s="6">
        <f ca="1">IFERROR(__xludf.DUMMYFUNCTION("""COMPUTED_VALUE"""),1311.15)</f>
        <v>1311.15</v>
      </c>
      <c r="AH2212" s="6" t="str">
        <f t="shared" ca="1" si="624"/>
        <v>20241</v>
      </c>
      <c r="AI2212" s="6">
        <f t="shared" ca="1" si="625"/>
        <v>2024</v>
      </c>
      <c r="AJ2212" s="6">
        <f t="shared" ca="1" si="626"/>
        <v>1</v>
      </c>
      <c r="AK2212" s="68">
        <f ca="1">IFERROR(__xludf.DUMMYFUNCTION("""COMPUTED_VALUE"""),45305.9986111111)</f>
        <v>45305.998611111099</v>
      </c>
      <c r="AL2212" s="6">
        <f ca="1">IFERROR(__xludf.DUMMYFUNCTION("""COMPUTED_VALUE"""),41920.39)</f>
        <v>41920.39</v>
      </c>
      <c r="AP2212" s="6" t="str">
        <f t="shared" si="627"/>
        <v>19001</v>
      </c>
      <c r="AQ2212" s="6">
        <f t="shared" si="628"/>
        <v>1900</v>
      </c>
      <c r="AR2212" s="6">
        <f t="shared" si="629"/>
        <v>1</v>
      </c>
    </row>
    <row r="2213" spans="2:44" x14ac:dyDescent="0.35">
      <c r="B2213" s="6" t="str">
        <f t="shared" si="612"/>
        <v>19001</v>
      </c>
      <c r="C2213" s="6">
        <f t="shared" si="613"/>
        <v>1900</v>
      </c>
      <c r="D2213" s="6">
        <f t="shared" si="614"/>
        <v>1</v>
      </c>
      <c r="J2213" s="6" t="str">
        <f t="shared" si="615"/>
        <v>19001</v>
      </c>
      <c r="K2213" s="6">
        <f t="shared" si="616"/>
        <v>1900</v>
      </c>
      <c r="L2213" s="6">
        <f t="shared" si="617"/>
        <v>1</v>
      </c>
      <c r="R2213" s="6" t="str">
        <f t="shared" si="618"/>
        <v>19001</v>
      </c>
      <c r="S2213" s="6">
        <f t="shared" si="619"/>
        <v>1900</v>
      </c>
      <c r="T2213" s="6">
        <f t="shared" si="620"/>
        <v>1</v>
      </c>
      <c r="Z2213" s="6" t="str">
        <f t="shared" ca="1" si="621"/>
        <v>20243</v>
      </c>
      <c r="AA2213" s="6">
        <f t="shared" ca="1" si="622"/>
        <v>2024</v>
      </c>
      <c r="AB2213" s="6">
        <f t="shared" ca="1" si="623"/>
        <v>3</v>
      </c>
      <c r="AC2213" s="68">
        <f ca="1">IFERROR(__xludf.DUMMYFUNCTION("""COMPUTED_VALUE"""),45364.9986111111)</f>
        <v>45364.998611111099</v>
      </c>
      <c r="AD2213" s="6">
        <f ca="1">IFERROR(__xludf.DUMMYFUNCTION("""COMPUTED_VALUE"""),1313.65)</f>
        <v>1313.65</v>
      </c>
      <c r="AH2213" s="6" t="str">
        <f t="shared" ca="1" si="624"/>
        <v>20241</v>
      </c>
      <c r="AI2213" s="6">
        <f t="shared" ca="1" si="625"/>
        <v>2024</v>
      </c>
      <c r="AJ2213" s="6">
        <f t="shared" ca="1" si="626"/>
        <v>1</v>
      </c>
      <c r="AK2213" s="68">
        <f ca="1">IFERROR(__xludf.DUMMYFUNCTION("""COMPUTED_VALUE"""),45306.9986111111)</f>
        <v>45306.998611111099</v>
      </c>
      <c r="AL2213" s="6">
        <f ca="1">IFERROR(__xludf.DUMMYFUNCTION("""COMPUTED_VALUE"""),42507.4)</f>
        <v>42507.4</v>
      </c>
      <c r="AP2213" s="6" t="str">
        <f t="shared" si="627"/>
        <v>19001</v>
      </c>
      <c r="AQ2213" s="6">
        <f t="shared" si="628"/>
        <v>1900</v>
      </c>
      <c r="AR2213" s="6">
        <f t="shared" si="629"/>
        <v>1</v>
      </c>
    </row>
    <row r="2214" spans="2:44" x14ac:dyDescent="0.35">
      <c r="B2214" s="6" t="str">
        <f t="shared" si="612"/>
        <v>19001</v>
      </c>
      <c r="C2214" s="6">
        <f t="shared" si="613"/>
        <v>1900</v>
      </c>
      <c r="D2214" s="6">
        <f t="shared" si="614"/>
        <v>1</v>
      </c>
      <c r="J2214" s="6" t="str">
        <f t="shared" si="615"/>
        <v>19001</v>
      </c>
      <c r="K2214" s="6">
        <f t="shared" si="616"/>
        <v>1900</v>
      </c>
      <c r="L2214" s="6">
        <f t="shared" si="617"/>
        <v>1</v>
      </c>
      <c r="R2214" s="6" t="str">
        <f t="shared" si="618"/>
        <v>19001</v>
      </c>
      <c r="S2214" s="6">
        <f t="shared" si="619"/>
        <v>1900</v>
      </c>
      <c r="T2214" s="6">
        <f t="shared" si="620"/>
        <v>1</v>
      </c>
      <c r="Z2214" s="6" t="str">
        <f t="shared" ca="1" si="621"/>
        <v>20243</v>
      </c>
      <c r="AA2214" s="6">
        <f t="shared" ca="1" si="622"/>
        <v>2024</v>
      </c>
      <c r="AB2214" s="6">
        <f t="shared" ca="1" si="623"/>
        <v>3</v>
      </c>
      <c r="AC2214" s="68">
        <f ca="1">IFERROR(__xludf.DUMMYFUNCTION("""COMPUTED_VALUE"""),45365.9986111111)</f>
        <v>45365.998611111099</v>
      </c>
      <c r="AD2214" s="6">
        <f ca="1">IFERROR(__xludf.DUMMYFUNCTION("""COMPUTED_VALUE"""),1321.92)</f>
        <v>1321.92</v>
      </c>
      <c r="AH2214" s="6" t="str">
        <f t="shared" ca="1" si="624"/>
        <v>20241</v>
      </c>
      <c r="AI2214" s="6">
        <f t="shared" ca="1" si="625"/>
        <v>2024</v>
      </c>
      <c r="AJ2214" s="6">
        <f t="shared" ca="1" si="626"/>
        <v>1</v>
      </c>
      <c r="AK2214" s="68">
        <f ca="1">IFERROR(__xludf.DUMMYFUNCTION("""COMPUTED_VALUE"""),45307.9986111111)</f>
        <v>45307.998611111099</v>
      </c>
      <c r="AL2214" s="6">
        <f ca="1">IFERROR(__xludf.DUMMYFUNCTION("""COMPUTED_VALUE"""),43151.11)</f>
        <v>43151.11</v>
      </c>
      <c r="AP2214" s="6" t="str">
        <f t="shared" si="627"/>
        <v>19001</v>
      </c>
      <c r="AQ2214" s="6">
        <f t="shared" si="628"/>
        <v>1900</v>
      </c>
      <c r="AR2214" s="6">
        <f t="shared" si="629"/>
        <v>1</v>
      </c>
    </row>
    <row r="2215" spans="2:44" x14ac:dyDescent="0.35">
      <c r="B2215" s="6" t="str">
        <f t="shared" si="612"/>
        <v>19001</v>
      </c>
      <c r="C2215" s="6">
        <f t="shared" si="613"/>
        <v>1900</v>
      </c>
      <c r="D2215" s="6">
        <f t="shared" si="614"/>
        <v>1</v>
      </c>
      <c r="J2215" s="6" t="str">
        <f t="shared" si="615"/>
        <v>19001</v>
      </c>
      <c r="K2215" s="6">
        <f t="shared" si="616"/>
        <v>1900</v>
      </c>
      <c r="L2215" s="6">
        <f t="shared" si="617"/>
        <v>1</v>
      </c>
      <c r="R2215" s="6" t="str">
        <f t="shared" si="618"/>
        <v>19001</v>
      </c>
      <c r="S2215" s="6">
        <f t="shared" si="619"/>
        <v>1900</v>
      </c>
      <c r="T2215" s="6">
        <f t="shared" si="620"/>
        <v>1</v>
      </c>
      <c r="Z2215" s="6" t="str">
        <f t="shared" ca="1" si="621"/>
        <v>20243</v>
      </c>
      <c r="AA2215" s="6">
        <f t="shared" ca="1" si="622"/>
        <v>2024</v>
      </c>
      <c r="AB2215" s="6">
        <f t="shared" ca="1" si="623"/>
        <v>3</v>
      </c>
      <c r="AC2215" s="68">
        <f ca="1">IFERROR(__xludf.DUMMYFUNCTION("""COMPUTED_VALUE"""),45366.9986111111)</f>
        <v>45366.998611111099</v>
      </c>
      <c r="AD2215" s="6">
        <f ca="1">IFERROR(__xludf.DUMMYFUNCTION("""COMPUTED_VALUE"""),1329.34)</f>
        <v>1329.34</v>
      </c>
      <c r="AH2215" s="6" t="str">
        <f t="shared" ca="1" si="624"/>
        <v>20241</v>
      </c>
      <c r="AI2215" s="6">
        <f t="shared" ca="1" si="625"/>
        <v>2024</v>
      </c>
      <c r="AJ2215" s="6">
        <f t="shared" ca="1" si="626"/>
        <v>1</v>
      </c>
      <c r="AK2215" s="68">
        <f ca="1">IFERROR(__xludf.DUMMYFUNCTION("""COMPUTED_VALUE"""),45308.9986111111)</f>
        <v>45308.998611111099</v>
      </c>
      <c r="AL2215" s="6">
        <f ca="1">IFERROR(__xludf.DUMMYFUNCTION("""COMPUTED_VALUE"""),42698.78)</f>
        <v>42698.78</v>
      </c>
      <c r="AP2215" s="6" t="str">
        <f t="shared" si="627"/>
        <v>19001</v>
      </c>
      <c r="AQ2215" s="6">
        <f t="shared" si="628"/>
        <v>1900</v>
      </c>
      <c r="AR2215" s="6">
        <f t="shared" si="629"/>
        <v>1</v>
      </c>
    </row>
    <row r="2216" spans="2:44" x14ac:dyDescent="0.35">
      <c r="B2216" s="6" t="str">
        <f t="shared" si="612"/>
        <v>19001</v>
      </c>
      <c r="C2216" s="6">
        <f t="shared" si="613"/>
        <v>1900</v>
      </c>
      <c r="D2216" s="6">
        <f t="shared" si="614"/>
        <v>1</v>
      </c>
      <c r="J2216" s="6" t="str">
        <f t="shared" si="615"/>
        <v>19001</v>
      </c>
      <c r="K2216" s="6">
        <f t="shared" si="616"/>
        <v>1900</v>
      </c>
      <c r="L2216" s="6">
        <f t="shared" si="617"/>
        <v>1</v>
      </c>
      <c r="R2216" s="6" t="str">
        <f t="shared" si="618"/>
        <v>19001</v>
      </c>
      <c r="S2216" s="6">
        <f t="shared" si="619"/>
        <v>1900</v>
      </c>
      <c r="T2216" s="6">
        <f t="shared" si="620"/>
        <v>1</v>
      </c>
      <c r="Z2216" s="6" t="str">
        <f t="shared" ca="1" si="621"/>
        <v>20243</v>
      </c>
      <c r="AA2216" s="6">
        <f t="shared" ca="1" si="622"/>
        <v>2024</v>
      </c>
      <c r="AB2216" s="6">
        <f t="shared" ca="1" si="623"/>
        <v>3</v>
      </c>
      <c r="AC2216" s="68">
        <f ca="1">IFERROR(__xludf.DUMMYFUNCTION("""COMPUTED_VALUE"""),45367.9986111111)</f>
        <v>45367.998611111099</v>
      </c>
      <c r="AD2216" s="6">
        <f ca="1">IFERROR(__xludf.DUMMYFUNCTION("""COMPUTED_VALUE"""),1329.34)</f>
        <v>1329.34</v>
      </c>
      <c r="AH2216" s="6" t="str">
        <f t="shared" ca="1" si="624"/>
        <v>20241</v>
      </c>
      <c r="AI2216" s="6">
        <f t="shared" ca="1" si="625"/>
        <v>2024</v>
      </c>
      <c r="AJ2216" s="6">
        <f t="shared" ca="1" si="626"/>
        <v>1</v>
      </c>
      <c r="AK2216" s="68">
        <f ca="1">IFERROR(__xludf.DUMMYFUNCTION("""COMPUTED_VALUE"""),45309.9986111111)</f>
        <v>45309.998611111099</v>
      </c>
      <c r="AL2216" s="6">
        <f ca="1">IFERROR(__xludf.DUMMYFUNCTION("""COMPUTED_VALUE"""),41211.56)</f>
        <v>41211.56</v>
      </c>
      <c r="AP2216" s="6" t="str">
        <f t="shared" si="627"/>
        <v>19001</v>
      </c>
      <c r="AQ2216" s="6">
        <f t="shared" si="628"/>
        <v>1900</v>
      </c>
      <c r="AR2216" s="6">
        <f t="shared" si="629"/>
        <v>1</v>
      </c>
    </row>
    <row r="2217" spans="2:44" x14ac:dyDescent="0.35">
      <c r="B2217" s="6" t="str">
        <f t="shared" si="612"/>
        <v>19001</v>
      </c>
      <c r="C2217" s="6">
        <f t="shared" si="613"/>
        <v>1900</v>
      </c>
      <c r="D2217" s="6">
        <f t="shared" si="614"/>
        <v>1</v>
      </c>
      <c r="J2217" s="6" t="str">
        <f t="shared" si="615"/>
        <v>19001</v>
      </c>
      <c r="K2217" s="6">
        <f t="shared" si="616"/>
        <v>1900</v>
      </c>
      <c r="L2217" s="6">
        <f t="shared" si="617"/>
        <v>1</v>
      </c>
      <c r="R2217" s="6" t="str">
        <f t="shared" si="618"/>
        <v>19001</v>
      </c>
      <c r="S2217" s="6">
        <f t="shared" si="619"/>
        <v>1900</v>
      </c>
      <c r="T2217" s="6">
        <f t="shared" si="620"/>
        <v>1</v>
      </c>
      <c r="Z2217" s="6" t="str">
        <f t="shared" ca="1" si="621"/>
        <v>20243</v>
      </c>
      <c r="AA2217" s="6">
        <f t="shared" ca="1" si="622"/>
        <v>2024</v>
      </c>
      <c r="AB2217" s="6">
        <f t="shared" ca="1" si="623"/>
        <v>3</v>
      </c>
      <c r="AC2217" s="68">
        <f ca="1">IFERROR(__xludf.DUMMYFUNCTION("""COMPUTED_VALUE"""),45368.9986111111)</f>
        <v>45368.998611111099</v>
      </c>
      <c r="AD2217" s="6">
        <f ca="1">IFERROR(__xludf.DUMMYFUNCTION("""COMPUTED_VALUE"""),1329.34)</f>
        <v>1329.34</v>
      </c>
      <c r="AH2217" s="6" t="str">
        <f t="shared" ca="1" si="624"/>
        <v>20241</v>
      </c>
      <c r="AI2217" s="6">
        <f t="shared" ca="1" si="625"/>
        <v>2024</v>
      </c>
      <c r="AJ2217" s="6">
        <f t="shared" ca="1" si="626"/>
        <v>1</v>
      </c>
      <c r="AK2217" s="68">
        <f ca="1">IFERROR(__xludf.DUMMYFUNCTION("""COMPUTED_VALUE"""),45310.9986111111)</f>
        <v>45310.998611111099</v>
      </c>
      <c r="AL2217" s="6">
        <f ca="1">IFERROR(__xludf.DUMMYFUNCTION("""COMPUTED_VALUE"""),41615.26)</f>
        <v>41615.26</v>
      </c>
      <c r="AP2217" s="6" t="str">
        <f t="shared" si="627"/>
        <v>19001</v>
      </c>
      <c r="AQ2217" s="6">
        <f t="shared" si="628"/>
        <v>1900</v>
      </c>
      <c r="AR2217" s="6">
        <f t="shared" si="629"/>
        <v>1</v>
      </c>
    </row>
    <row r="2218" spans="2:44" x14ac:dyDescent="0.35">
      <c r="B2218" s="6" t="str">
        <f t="shared" si="612"/>
        <v>19001</v>
      </c>
      <c r="C2218" s="6">
        <f t="shared" si="613"/>
        <v>1900</v>
      </c>
      <c r="D2218" s="6">
        <f t="shared" si="614"/>
        <v>1</v>
      </c>
      <c r="J2218" s="6" t="str">
        <f t="shared" si="615"/>
        <v>19001</v>
      </c>
      <c r="K2218" s="6">
        <f t="shared" si="616"/>
        <v>1900</v>
      </c>
      <c r="L2218" s="6">
        <f t="shared" si="617"/>
        <v>1</v>
      </c>
      <c r="R2218" s="6" t="str">
        <f t="shared" si="618"/>
        <v>19001</v>
      </c>
      <c r="S2218" s="6">
        <f t="shared" si="619"/>
        <v>1900</v>
      </c>
      <c r="T2218" s="6">
        <f t="shared" si="620"/>
        <v>1</v>
      </c>
      <c r="Z2218" s="6" t="str">
        <f t="shared" ca="1" si="621"/>
        <v>20243</v>
      </c>
      <c r="AA2218" s="6">
        <f t="shared" ca="1" si="622"/>
        <v>2024</v>
      </c>
      <c r="AB2218" s="6">
        <f t="shared" ca="1" si="623"/>
        <v>3</v>
      </c>
      <c r="AC2218" s="68">
        <f ca="1">IFERROR(__xludf.DUMMYFUNCTION("""COMPUTED_VALUE"""),45369.9986111111)</f>
        <v>45369.998611111099</v>
      </c>
      <c r="AD2218" s="6">
        <f ca="1">IFERROR(__xludf.DUMMYFUNCTION("""COMPUTED_VALUE"""),1336.09)</f>
        <v>1336.09</v>
      </c>
      <c r="AH2218" s="6" t="str">
        <f t="shared" ca="1" si="624"/>
        <v>20241</v>
      </c>
      <c r="AI2218" s="6">
        <f t="shared" ca="1" si="625"/>
        <v>2024</v>
      </c>
      <c r="AJ2218" s="6">
        <f t="shared" ca="1" si="626"/>
        <v>1</v>
      </c>
      <c r="AK2218" s="68">
        <f ca="1">IFERROR(__xludf.DUMMYFUNCTION("""COMPUTED_VALUE"""),45311.9986111111)</f>
        <v>45311.998611111099</v>
      </c>
      <c r="AL2218" s="6">
        <f ca="1">IFERROR(__xludf.DUMMYFUNCTION("""COMPUTED_VALUE"""),41705.26)</f>
        <v>41705.26</v>
      </c>
      <c r="AP2218" s="6" t="str">
        <f t="shared" si="627"/>
        <v>19001</v>
      </c>
      <c r="AQ2218" s="6">
        <f t="shared" si="628"/>
        <v>1900</v>
      </c>
      <c r="AR2218" s="6">
        <f t="shared" si="629"/>
        <v>1</v>
      </c>
    </row>
    <row r="2219" spans="2:44" x14ac:dyDescent="0.35">
      <c r="B2219" s="6" t="str">
        <f t="shared" si="612"/>
        <v>19001</v>
      </c>
      <c r="C2219" s="6">
        <f t="shared" si="613"/>
        <v>1900</v>
      </c>
      <c r="D2219" s="6">
        <f t="shared" si="614"/>
        <v>1</v>
      </c>
      <c r="J2219" s="6" t="str">
        <f t="shared" si="615"/>
        <v>19001</v>
      </c>
      <c r="K2219" s="6">
        <f t="shared" si="616"/>
        <v>1900</v>
      </c>
      <c r="L2219" s="6">
        <f t="shared" si="617"/>
        <v>1</v>
      </c>
      <c r="R2219" s="6" t="str">
        <f t="shared" si="618"/>
        <v>19001</v>
      </c>
      <c r="S2219" s="6">
        <f t="shared" si="619"/>
        <v>1900</v>
      </c>
      <c r="T2219" s="6">
        <f t="shared" si="620"/>
        <v>1</v>
      </c>
      <c r="Z2219" s="6" t="str">
        <f t="shared" ca="1" si="621"/>
        <v>20243</v>
      </c>
      <c r="AA2219" s="6">
        <f t="shared" ca="1" si="622"/>
        <v>2024</v>
      </c>
      <c r="AB2219" s="6">
        <f t="shared" ca="1" si="623"/>
        <v>3</v>
      </c>
      <c r="AC2219" s="68">
        <f ca="1">IFERROR(__xludf.DUMMYFUNCTION("""COMPUTED_VALUE"""),45370.9986111111)</f>
        <v>45370.998611111099</v>
      </c>
      <c r="AD2219" s="6">
        <f ca="1">IFERROR(__xludf.DUMMYFUNCTION("""COMPUTED_VALUE"""),1337.02)</f>
        <v>1337.02</v>
      </c>
      <c r="AH2219" s="6" t="str">
        <f t="shared" ca="1" si="624"/>
        <v>20241</v>
      </c>
      <c r="AI2219" s="6">
        <f t="shared" ca="1" si="625"/>
        <v>2024</v>
      </c>
      <c r="AJ2219" s="6">
        <f t="shared" ca="1" si="626"/>
        <v>1</v>
      </c>
      <c r="AK2219" s="68">
        <f ca="1">IFERROR(__xludf.DUMMYFUNCTION("""COMPUTED_VALUE"""),45312.9986111111)</f>
        <v>45312.998611111099</v>
      </c>
      <c r="AL2219" s="6">
        <f ca="1">IFERROR(__xludf.DUMMYFUNCTION("""COMPUTED_VALUE"""),41572.17)</f>
        <v>41572.17</v>
      </c>
      <c r="AP2219" s="6" t="str">
        <f t="shared" si="627"/>
        <v>19001</v>
      </c>
      <c r="AQ2219" s="6">
        <f t="shared" si="628"/>
        <v>1900</v>
      </c>
      <c r="AR2219" s="6">
        <f t="shared" si="629"/>
        <v>1</v>
      </c>
    </row>
    <row r="2220" spans="2:44" x14ac:dyDescent="0.35">
      <c r="B2220" s="6" t="str">
        <f t="shared" si="612"/>
        <v>19001</v>
      </c>
      <c r="C2220" s="6">
        <f t="shared" si="613"/>
        <v>1900</v>
      </c>
      <c r="D2220" s="6">
        <f t="shared" si="614"/>
        <v>1</v>
      </c>
      <c r="J2220" s="6" t="str">
        <f t="shared" si="615"/>
        <v>19001</v>
      </c>
      <c r="K2220" s="6">
        <f t="shared" si="616"/>
        <v>1900</v>
      </c>
      <c r="L2220" s="6">
        <f t="shared" si="617"/>
        <v>1</v>
      </c>
      <c r="R2220" s="6" t="str">
        <f t="shared" si="618"/>
        <v>19001</v>
      </c>
      <c r="S2220" s="6">
        <f t="shared" si="619"/>
        <v>1900</v>
      </c>
      <c r="T2220" s="6">
        <f t="shared" si="620"/>
        <v>1</v>
      </c>
      <c r="Z2220" s="6" t="str">
        <f t="shared" ca="1" si="621"/>
        <v>20243</v>
      </c>
      <c r="AA2220" s="6">
        <f t="shared" ca="1" si="622"/>
        <v>2024</v>
      </c>
      <c r="AB2220" s="6">
        <f t="shared" ca="1" si="623"/>
        <v>3</v>
      </c>
      <c r="AC2220" s="68">
        <f ca="1">IFERROR(__xludf.DUMMYFUNCTION("""COMPUTED_VALUE"""),45371.9986111111)</f>
        <v>45371.998611111099</v>
      </c>
      <c r="AD2220" s="6">
        <f ca="1">IFERROR(__xludf.DUMMYFUNCTION("""COMPUTED_VALUE"""),1330.11)</f>
        <v>1330.11</v>
      </c>
      <c r="AH2220" s="6" t="str">
        <f t="shared" ca="1" si="624"/>
        <v>20241</v>
      </c>
      <c r="AI2220" s="6">
        <f t="shared" ca="1" si="625"/>
        <v>2024</v>
      </c>
      <c r="AJ2220" s="6">
        <f t="shared" ca="1" si="626"/>
        <v>1</v>
      </c>
      <c r="AK2220" s="68">
        <f ca="1">IFERROR(__xludf.DUMMYFUNCTION("""COMPUTED_VALUE"""),45313.9986111111)</f>
        <v>45313.998611111099</v>
      </c>
      <c r="AL2220" s="6">
        <f ca="1">IFERROR(__xludf.DUMMYFUNCTION("""COMPUTED_VALUE"""),39606.84)</f>
        <v>39606.839999999997</v>
      </c>
      <c r="AP2220" s="6" t="str">
        <f t="shared" si="627"/>
        <v>19001</v>
      </c>
      <c r="AQ2220" s="6">
        <f t="shared" si="628"/>
        <v>1900</v>
      </c>
      <c r="AR2220" s="6">
        <f t="shared" si="629"/>
        <v>1</v>
      </c>
    </row>
    <row r="2221" spans="2:44" x14ac:dyDescent="0.35">
      <c r="B2221" s="6" t="str">
        <f t="shared" si="612"/>
        <v>19001</v>
      </c>
      <c r="C2221" s="6">
        <f t="shared" si="613"/>
        <v>1900</v>
      </c>
      <c r="D2221" s="6">
        <f t="shared" si="614"/>
        <v>1</v>
      </c>
      <c r="J2221" s="6" t="str">
        <f t="shared" si="615"/>
        <v>19001</v>
      </c>
      <c r="K2221" s="6">
        <f t="shared" si="616"/>
        <v>1900</v>
      </c>
      <c r="L2221" s="6">
        <f t="shared" si="617"/>
        <v>1</v>
      </c>
      <c r="R2221" s="6" t="str">
        <f t="shared" si="618"/>
        <v>19001</v>
      </c>
      <c r="S2221" s="6">
        <f t="shared" si="619"/>
        <v>1900</v>
      </c>
      <c r="T2221" s="6">
        <f t="shared" si="620"/>
        <v>1</v>
      </c>
      <c r="Z2221" s="6" t="str">
        <f t="shared" ca="1" si="621"/>
        <v>20243</v>
      </c>
      <c r="AA2221" s="6">
        <f t="shared" ca="1" si="622"/>
        <v>2024</v>
      </c>
      <c r="AB2221" s="6">
        <f t="shared" ca="1" si="623"/>
        <v>3</v>
      </c>
      <c r="AC2221" s="68">
        <f ca="1">IFERROR(__xludf.DUMMYFUNCTION("""COMPUTED_VALUE"""),45372.9986111111)</f>
        <v>45372.998611111099</v>
      </c>
      <c r="AD2221" s="6">
        <f ca="1">IFERROR(__xludf.DUMMYFUNCTION("""COMPUTED_VALUE"""),1334.68)</f>
        <v>1334.68</v>
      </c>
      <c r="AH2221" s="6" t="str">
        <f t="shared" ca="1" si="624"/>
        <v>20241</v>
      </c>
      <c r="AI2221" s="6">
        <f t="shared" ca="1" si="625"/>
        <v>2024</v>
      </c>
      <c r="AJ2221" s="6">
        <f t="shared" ca="1" si="626"/>
        <v>1</v>
      </c>
      <c r="AK2221" s="68">
        <f ca="1">IFERROR(__xludf.DUMMYFUNCTION("""COMPUTED_VALUE"""),45314.9986111111)</f>
        <v>45314.998611111099</v>
      </c>
      <c r="AL2221" s="6">
        <f ca="1">IFERROR(__xludf.DUMMYFUNCTION("""COMPUTED_VALUE"""),39702.88)</f>
        <v>39702.879999999997</v>
      </c>
      <c r="AP2221" s="6" t="str">
        <f t="shared" si="627"/>
        <v>19001</v>
      </c>
      <c r="AQ2221" s="6">
        <f t="shared" si="628"/>
        <v>1900</v>
      </c>
      <c r="AR2221" s="6">
        <f t="shared" si="629"/>
        <v>1</v>
      </c>
    </row>
    <row r="2222" spans="2:44" x14ac:dyDescent="0.35">
      <c r="B2222" s="6" t="str">
        <f t="shared" si="612"/>
        <v>19001</v>
      </c>
      <c r="C2222" s="6">
        <f t="shared" si="613"/>
        <v>1900</v>
      </c>
      <c r="D2222" s="6">
        <f t="shared" si="614"/>
        <v>1</v>
      </c>
      <c r="J2222" s="6" t="str">
        <f t="shared" si="615"/>
        <v>19001</v>
      </c>
      <c r="K2222" s="6">
        <f t="shared" si="616"/>
        <v>1900</v>
      </c>
      <c r="L2222" s="6">
        <f t="shared" si="617"/>
        <v>1</v>
      </c>
      <c r="R2222" s="6" t="str">
        <f t="shared" si="618"/>
        <v>19001</v>
      </c>
      <c r="S2222" s="6">
        <f t="shared" si="619"/>
        <v>1900</v>
      </c>
      <c r="T2222" s="6">
        <f t="shared" si="620"/>
        <v>1</v>
      </c>
      <c r="Z2222" s="6" t="str">
        <f t="shared" ca="1" si="621"/>
        <v>20243</v>
      </c>
      <c r="AA2222" s="6">
        <f t="shared" ca="1" si="622"/>
        <v>2024</v>
      </c>
      <c r="AB2222" s="6">
        <f t="shared" ca="1" si="623"/>
        <v>3</v>
      </c>
      <c r="AC2222" s="68">
        <f ca="1">IFERROR(__xludf.DUMMYFUNCTION("""COMPUTED_VALUE"""),45373.9986111111)</f>
        <v>45373.998611111099</v>
      </c>
      <c r="AD2222" s="6">
        <f ca="1">IFERROR(__xludf.DUMMYFUNCTION("""COMPUTED_VALUE"""),1343.6)</f>
        <v>1343.6</v>
      </c>
      <c r="AH2222" s="6" t="str">
        <f t="shared" ca="1" si="624"/>
        <v>20241</v>
      </c>
      <c r="AI2222" s="6">
        <f t="shared" ca="1" si="625"/>
        <v>2024</v>
      </c>
      <c r="AJ2222" s="6">
        <f t="shared" ca="1" si="626"/>
        <v>1</v>
      </c>
      <c r="AK2222" s="68">
        <f ca="1">IFERROR(__xludf.DUMMYFUNCTION("""COMPUTED_VALUE"""),45315.9986111111)</f>
        <v>45315.998611111099</v>
      </c>
      <c r="AL2222" s="6">
        <f ca="1">IFERROR(__xludf.DUMMYFUNCTION("""COMPUTED_VALUE"""),40011.7)</f>
        <v>40011.699999999997</v>
      </c>
      <c r="AP2222" s="6" t="str">
        <f t="shared" si="627"/>
        <v>19001</v>
      </c>
      <c r="AQ2222" s="6">
        <f t="shared" si="628"/>
        <v>1900</v>
      </c>
      <c r="AR2222" s="6">
        <f t="shared" si="629"/>
        <v>1</v>
      </c>
    </row>
    <row r="2223" spans="2:44" x14ac:dyDescent="0.35">
      <c r="B2223" s="6" t="str">
        <f t="shared" si="612"/>
        <v>19001</v>
      </c>
      <c r="C2223" s="6">
        <f t="shared" si="613"/>
        <v>1900</v>
      </c>
      <c r="D2223" s="6">
        <f t="shared" si="614"/>
        <v>1</v>
      </c>
      <c r="J2223" s="6" t="str">
        <f t="shared" si="615"/>
        <v>19001</v>
      </c>
      <c r="K2223" s="6">
        <f t="shared" si="616"/>
        <v>1900</v>
      </c>
      <c r="L2223" s="6">
        <f t="shared" si="617"/>
        <v>1</v>
      </c>
      <c r="R2223" s="6" t="str">
        <f t="shared" si="618"/>
        <v>19001</v>
      </c>
      <c r="S2223" s="6">
        <f t="shared" si="619"/>
        <v>1900</v>
      </c>
      <c r="T2223" s="6">
        <f t="shared" si="620"/>
        <v>1</v>
      </c>
      <c r="Z2223" s="6" t="str">
        <f t="shared" ca="1" si="621"/>
        <v>20243</v>
      </c>
      <c r="AA2223" s="6">
        <f t="shared" ca="1" si="622"/>
        <v>2024</v>
      </c>
      <c r="AB2223" s="6">
        <f t="shared" ca="1" si="623"/>
        <v>3</v>
      </c>
      <c r="AC2223" s="68">
        <f ca="1">IFERROR(__xludf.DUMMYFUNCTION("""COMPUTED_VALUE"""),45374.9986111111)</f>
        <v>45374.998611111099</v>
      </c>
      <c r="AD2223" s="6">
        <f ca="1">IFERROR(__xludf.DUMMYFUNCTION("""COMPUTED_VALUE"""),1343.6)</f>
        <v>1343.6</v>
      </c>
      <c r="AH2223" s="6" t="str">
        <f t="shared" ca="1" si="624"/>
        <v>20241</v>
      </c>
      <c r="AI2223" s="6">
        <f t="shared" ca="1" si="625"/>
        <v>2024</v>
      </c>
      <c r="AJ2223" s="6">
        <f t="shared" ca="1" si="626"/>
        <v>1</v>
      </c>
      <c r="AK2223" s="68">
        <f ca="1">IFERROR(__xludf.DUMMYFUNCTION("""COMPUTED_VALUE"""),45316.9986111111)</f>
        <v>45316.998611111099</v>
      </c>
      <c r="AL2223" s="6">
        <f ca="1">IFERROR(__xludf.DUMMYFUNCTION("""COMPUTED_VALUE"""),39900.16)</f>
        <v>39900.160000000003</v>
      </c>
      <c r="AP2223" s="6" t="str">
        <f t="shared" si="627"/>
        <v>19001</v>
      </c>
      <c r="AQ2223" s="6">
        <f t="shared" si="628"/>
        <v>1900</v>
      </c>
      <c r="AR2223" s="6">
        <f t="shared" si="629"/>
        <v>1</v>
      </c>
    </row>
    <row r="2224" spans="2:44" x14ac:dyDescent="0.35">
      <c r="B2224" s="6" t="str">
        <f t="shared" si="612"/>
        <v>19001</v>
      </c>
      <c r="C2224" s="6">
        <f t="shared" si="613"/>
        <v>1900</v>
      </c>
      <c r="D2224" s="6">
        <f t="shared" si="614"/>
        <v>1</v>
      </c>
      <c r="J2224" s="6" t="str">
        <f t="shared" si="615"/>
        <v>19001</v>
      </c>
      <c r="K2224" s="6">
        <f t="shared" si="616"/>
        <v>1900</v>
      </c>
      <c r="L2224" s="6">
        <f t="shared" si="617"/>
        <v>1</v>
      </c>
      <c r="R2224" s="6" t="str">
        <f t="shared" si="618"/>
        <v>19001</v>
      </c>
      <c r="S2224" s="6">
        <f t="shared" si="619"/>
        <v>1900</v>
      </c>
      <c r="T2224" s="6">
        <f t="shared" si="620"/>
        <v>1</v>
      </c>
      <c r="Z2224" s="6" t="str">
        <f t="shared" ca="1" si="621"/>
        <v>20243</v>
      </c>
      <c r="AA2224" s="6">
        <f t="shared" ca="1" si="622"/>
        <v>2024</v>
      </c>
      <c r="AB2224" s="6">
        <f t="shared" ca="1" si="623"/>
        <v>3</v>
      </c>
      <c r="AC2224" s="68">
        <f ca="1">IFERROR(__xludf.DUMMYFUNCTION("""COMPUTED_VALUE"""),45375.9986111111)</f>
        <v>45375.998611111099</v>
      </c>
      <c r="AD2224" s="6">
        <f ca="1">IFERROR(__xludf.DUMMYFUNCTION("""COMPUTED_VALUE"""),1343.6)</f>
        <v>1343.6</v>
      </c>
      <c r="AH2224" s="6" t="str">
        <f t="shared" ca="1" si="624"/>
        <v>20241</v>
      </c>
      <c r="AI2224" s="6">
        <f t="shared" ca="1" si="625"/>
        <v>2024</v>
      </c>
      <c r="AJ2224" s="6">
        <f t="shared" ca="1" si="626"/>
        <v>1</v>
      </c>
      <c r="AK2224" s="68">
        <f ca="1">IFERROR(__xludf.DUMMYFUNCTION("""COMPUTED_VALUE"""),45317.9986111111)</f>
        <v>45317.998611111099</v>
      </c>
      <c r="AL2224" s="6">
        <f ca="1">IFERROR(__xludf.DUMMYFUNCTION("""COMPUTED_VALUE"""),41880.45)</f>
        <v>41880.449999999997</v>
      </c>
      <c r="AP2224" s="6" t="str">
        <f t="shared" si="627"/>
        <v>19001</v>
      </c>
      <c r="AQ2224" s="6">
        <f t="shared" si="628"/>
        <v>1900</v>
      </c>
      <c r="AR2224" s="6">
        <f t="shared" si="629"/>
        <v>1</v>
      </c>
    </row>
    <row r="2225" spans="2:44" x14ac:dyDescent="0.35">
      <c r="B2225" s="6" t="str">
        <f t="shared" si="612"/>
        <v>19001</v>
      </c>
      <c r="C2225" s="6">
        <f t="shared" si="613"/>
        <v>1900</v>
      </c>
      <c r="D2225" s="6">
        <f t="shared" si="614"/>
        <v>1</v>
      </c>
      <c r="J2225" s="6" t="str">
        <f t="shared" si="615"/>
        <v>19001</v>
      </c>
      <c r="K2225" s="6">
        <f t="shared" si="616"/>
        <v>1900</v>
      </c>
      <c r="L2225" s="6">
        <f t="shared" si="617"/>
        <v>1</v>
      </c>
      <c r="R2225" s="6" t="str">
        <f t="shared" si="618"/>
        <v>19001</v>
      </c>
      <c r="S2225" s="6">
        <f t="shared" si="619"/>
        <v>1900</v>
      </c>
      <c r="T2225" s="6">
        <f t="shared" si="620"/>
        <v>1</v>
      </c>
      <c r="Z2225" s="6" t="str">
        <f t="shared" ca="1" si="621"/>
        <v>20243</v>
      </c>
      <c r="AA2225" s="6">
        <f t="shared" ca="1" si="622"/>
        <v>2024</v>
      </c>
      <c r="AB2225" s="6">
        <f t="shared" ca="1" si="623"/>
        <v>3</v>
      </c>
      <c r="AC2225" s="68">
        <f ca="1">IFERROR(__xludf.DUMMYFUNCTION("""COMPUTED_VALUE"""),45376.9986111111)</f>
        <v>45376.998611111099</v>
      </c>
      <c r="AD2225" s="6">
        <f ca="1">IFERROR(__xludf.DUMMYFUNCTION("""COMPUTED_VALUE"""),1339.13)</f>
        <v>1339.13</v>
      </c>
      <c r="AH2225" s="6" t="str">
        <f t="shared" ca="1" si="624"/>
        <v>20241</v>
      </c>
      <c r="AI2225" s="6">
        <f t="shared" ca="1" si="625"/>
        <v>2024</v>
      </c>
      <c r="AJ2225" s="6">
        <f t="shared" ca="1" si="626"/>
        <v>1</v>
      </c>
      <c r="AK2225" s="68">
        <f ca="1">IFERROR(__xludf.DUMMYFUNCTION("""COMPUTED_VALUE"""),45318.9986111111)</f>
        <v>45318.998611111099</v>
      </c>
      <c r="AL2225" s="6">
        <f ca="1">IFERROR(__xludf.DUMMYFUNCTION("""COMPUTED_VALUE"""),42124.03)</f>
        <v>42124.03</v>
      </c>
      <c r="AP2225" s="6" t="str">
        <f t="shared" si="627"/>
        <v>19001</v>
      </c>
      <c r="AQ2225" s="6">
        <f t="shared" si="628"/>
        <v>1900</v>
      </c>
      <c r="AR2225" s="6">
        <f t="shared" si="629"/>
        <v>1</v>
      </c>
    </row>
    <row r="2226" spans="2:44" x14ac:dyDescent="0.35">
      <c r="B2226" s="6" t="str">
        <f t="shared" si="612"/>
        <v>19001</v>
      </c>
      <c r="C2226" s="6">
        <f t="shared" si="613"/>
        <v>1900</v>
      </c>
      <c r="D2226" s="6">
        <f t="shared" si="614"/>
        <v>1</v>
      </c>
      <c r="J2226" s="6" t="str">
        <f t="shared" si="615"/>
        <v>19001</v>
      </c>
      <c r="K2226" s="6">
        <f t="shared" si="616"/>
        <v>1900</v>
      </c>
      <c r="L2226" s="6">
        <f t="shared" si="617"/>
        <v>1</v>
      </c>
      <c r="R2226" s="6" t="str">
        <f t="shared" si="618"/>
        <v>19001</v>
      </c>
      <c r="S2226" s="6">
        <f t="shared" si="619"/>
        <v>1900</v>
      </c>
      <c r="T2226" s="6">
        <f t="shared" si="620"/>
        <v>1</v>
      </c>
      <c r="Z2226" s="6" t="str">
        <f t="shared" ca="1" si="621"/>
        <v>20243</v>
      </c>
      <c r="AA2226" s="6">
        <f t="shared" ca="1" si="622"/>
        <v>2024</v>
      </c>
      <c r="AB2226" s="6">
        <f t="shared" ca="1" si="623"/>
        <v>3</v>
      </c>
      <c r="AC2226" s="68">
        <f ca="1">IFERROR(__xludf.DUMMYFUNCTION("""COMPUTED_VALUE"""),45377.9986111111)</f>
        <v>45377.998611111099</v>
      </c>
      <c r="AD2226" s="6">
        <f ca="1">IFERROR(__xludf.DUMMYFUNCTION("""COMPUTED_VALUE"""),1343.06)</f>
        <v>1343.06</v>
      </c>
      <c r="AH2226" s="6" t="str">
        <f t="shared" ca="1" si="624"/>
        <v>20241</v>
      </c>
      <c r="AI2226" s="6">
        <f t="shared" ca="1" si="625"/>
        <v>2024</v>
      </c>
      <c r="AJ2226" s="6">
        <f t="shared" ca="1" si="626"/>
        <v>1</v>
      </c>
      <c r="AK2226" s="68">
        <f ca="1">IFERROR(__xludf.DUMMYFUNCTION("""COMPUTED_VALUE"""),45319.9986111111)</f>
        <v>45319.998611111099</v>
      </c>
      <c r="AL2226" s="6">
        <f ca="1">IFERROR(__xludf.DUMMYFUNCTION("""COMPUTED_VALUE"""),42032.22)</f>
        <v>42032.22</v>
      </c>
      <c r="AP2226" s="6" t="str">
        <f t="shared" si="627"/>
        <v>19001</v>
      </c>
      <c r="AQ2226" s="6">
        <f t="shared" si="628"/>
        <v>1900</v>
      </c>
      <c r="AR2226" s="6">
        <f t="shared" si="629"/>
        <v>1</v>
      </c>
    </row>
    <row r="2227" spans="2:44" x14ac:dyDescent="0.35">
      <c r="B2227" s="6" t="str">
        <f t="shared" si="612"/>
        <v>19001</v>
      </c>
      <c r="C2227" s="6">
        <f t="shared" si="613"/>
        <v>1900</v>
      </c>
      <c r="D2227" s="6">
        <f t="shared" si="614"/>
        <v>1</v>
      </c>
      <c r="J2227" s="6" t="str">
        <f t="shared" si="615"/>
        <v>19001</v>
      </c>
      <c r="K2227" s="6">
        <f t="shared" si="616"/>
        <v>1900</v>
      </c>
      <c r="L2227" s="6">
        <f t="shared" si="617"/>
        <v>1</v>
      </c>
      <c r="R2227" s="6" t="str">
        <f t="shared" si="618"/>
        <v>19001</v>
      </c>
      <c r="S2227" s="6">
        <f t="shared" si="619"/>
        <v>1900</v>
      </c>
      <c r="T2227" s="6">
        <f t="shared" si="620"/>
        <v>1</v>
      </c>
      <c r="Z2227" s="6" t="str">
        <f t="shared" ca="1" si="621"/>
        <v>20243</v>
      </c>
      <c r="AA2227" s="6">
        <f t="shared" ca="1" si="622"/>
        <v>2024</v>
      </c>
      <c r="AB2227" s="6">
        <f t="shared" ca="1" si="623"/>
        <v>3</v>
      </c>
      <c r="AC2227" s="68">
        <f ca="1">IFERROR(__xludf.DUMMYFUNCTION("""COMPUTED_VALUE"""),45378.9986111111)</f>
        <v>45378.998611111099</v>
      </c>
      <c r="AD2227" s="6">
        <f ca="1">IFERROR(__xludf.DUMMYFUNCTION("""COMPUTED_VALUE"""),1349.8)</f>
        <v>1349.8</v>
      </c>
      <c r="AH2227" s="6" t="str">
        <f t="shared" ca="1" si="624"/>
        <v>20241</v>
      </c>
      <c r="AI2227" s="6">
        <f t="shared" ca="1" si="625"/>
        <v>2024</v>
      </c>
      <c r="AJ2227" s="6">
        <f t="shared" ca="1" si="626"/>
        <v>1</v>
      </c>
      <c r="AK2227" s="68">
        <f ca="1">IFERROR(__xludf.DUMMYFUNCTION("""COMPUTED_VALUE"""),45320.9986111111)</f>
        <v>45320.998611111099</v>
      </c>
      <c r="AL2227" s="6">
        <f ca="1">IFERROR(__xludf.DUMMYFUNCTION("""COMPUTED_VALUE"""),43276.2)</f>
        <v>43276.2</v>
      </c>
      <c r="AP2227" s="6" t="str">
        <f t="shared" si="627"/>
        <v>19001</v>
      </c>
      <c r="AQ2227" s="6">
        <f t="shared" si="628"/>
        <v>1900</v>
      </c>
      <c r="AR2227" s="6">
        <f t="shared" si="629"/>
        <v>1</v>
      </c>
    </row>
    <row r="2228" spans="2:44" x14ac:dyDescent="0.35">
      <c r="B2228" s="6" t="str">
        <f t="shared" si="612"/>
        <v>19001</v>
      </c>
      <c r="C2228" s="6">
        <f t="shared" si="613"/>
        <v>1900</v>
      </c>
      <c r="D2228" s="6">
        <f t="shared" si="614"/>
        <v>1</v>
      </c>
      <c r="J2228" s="6" t="str">
        <f t="shared" si="615"/>
        <v>19001</v>
      </c>
      <c r="K2228" s="6">
        <f t="shared" si="616"/>
        <v>1900</v>
      </c>
      <c r="L2228" s="6">
        <f t="shared" si="617"/>
        <v>1</v>
      </c>
      <c r="R2228" s="6" t="str">
        <f t="shared" si="618"/>
        <v>19001</v>
      </c>
      <c r="S2228" s="6">
        <f t="shared" si="619"/>
        <v>1900</v>
      </c>
      <c r="T2228" s="6">
        <f t="shared" si="620"/>
        <v>1</v>
      </c>
      <c r="Z2228" s="6" t="str">
        <f t="shared" ca="1" si="621"/>
        <v>20243</v>
      </c>
      <c r="AA2228" s="6">
        <f t="shared" ca="1" si="622"/>
        <v>2024</v>
      </c>
      <c r="AB2228" s="6">
        <f t="shared" ca="1" si="623"/>
        <v>3</v>
      </c>
      <c r="AC2228" s="68">
        <f ca="1">IFERROR(__xludf.DUMMYFUNCTION("""COMPUTED_VALUE"""),45379.9986111111)</f>
        <v>45379.998611111099</v>
      </c>
      <c r="AD2228" s="6">
        <f ca="1">IFERROR(__xludf.DUMMYFUNCTION("""COMPUTED_VALUE"""),1349.8)</f>
        <v>1349.8</v>
      </c>
      <c r="AH2228" s="6" t="str">
        <f t="shared" ca="1" si="624"/>
        <v>20241</v>
      </c>
      <c r="AI2228" s="6">
        <f t="shared" ca="1" si="625"/>
        <v>2024</v>
      </c>
      <c r="AJ2228" s="6">
        <f t="shared" ca="1" si="626"/>
        <v>1</v>
      </c>
      <c r="AK2228" s="68">
        <f ca="1">IFERROR(__xludf.DUMMYFUNCTION("""COMPUTED_VALUE"""),45321.9986111111)</f>
        <v>45321.998611111099</v>
      </c>
      <c r="AL2228" s="6">
        <f ca="1">IFERROR(__xludf.DUMMYFUNCTION("""COMPUTED_VALUE"""),43074.88)</f>
        <v>43074.879999999997</v>
      </c>
      <c r="AP2228" s="6" t="str">
        <f t="shared" si="627"/>
        <v>19001</v>
      </c>
      <c r="AQ2228" s="6">
        <f t="shared" si="628"/>
        <v>1900</v>
      </c>
      <c r="AR2228" s="6">
        <f t="shared" si="629"/>
        <v>1</v>
      </c>
    </row>
    <row r="2229" spans="2:44" x14ac:dyDescent="0.35">
      <c r="B2229" s="6" t="str">
        <f t="shared" si="612"/>
        <v>19001</v>
      </c>
      <c r="C2229" s="6">
        <f t="shared" si="613"/>
        <v>1900</v>
      </c>
      <c r="D2229" s="6">
        <f t="shared" si="614"/>
        <v>1</v>
      </c>
      <c r="J2229" s="6" t="str">
        <f t="shared" si="615"/>
        <v>19001</v>
      </c>
      <c r="K2229" s="6">
        <f t="shared" si="616"/>
        <v>1900</v>
      </c>
      <c r="L2229" s="6">
        <f t="shared" si="617"/>
        <v>1</v>
      </c>
      <c r="R2229" s="6" t="str">
        <f t="shared" si="618"/>
        <v>19001</v>
      </c>
      <c r="S2229" s="6">
        <f t="shared" si="619"/>
        <v>1900</v>
      </c>
      <c r="T2229" s="6">
        <f t="shared" si="620"/>
        <v>1</v>
      </c>
      <c r="Z2229" s="6" t="str">
        <f t="shared" ca="1" si="621"/>
        <v>20243</v>
      </c>
      <c r="AA2229" s="6">
        <f t="shared" ca="1" si="622"/>
        <v>2024</v>
      </c>
      <c r="AB2229" s="6">
        <f t="shared" ca="1" si="623"/>
        <v>3</v>
      </c>
      <c r="AC2229" s="68">
        <f ca="1">IFERROR(__xludf.DUMMYFUNCTION("""COMPUTED_VALUE"""),45380.9986111111)</f>
        <v>45380.998611111099</v>
      </c>
      <c r="AD2229" s="6">
        <f ca="1">IFERROR(__xludf.DUMMYFUNCTION("""COMPUTED_VALUE"""),1345.29)</f>
        <v>1345.29</v>
      </c>
      <c r="AH2229" s="6" t="str">
        <f t="shared" ca="1" si="624"/>
        <v>20241</v>
      </c>
      <c r="AI2229" s="6">
        <f t="shared" ca="1" si="625"/>
        <v>2024</v>
      </c>
      <c r="AJ2229" s="6">
        <f t="shared" ca="1" si="626"/>
        <v>1</v>
      </c>
      <c r="AK2229" s="68">
        <f ca="1">IFERROR(__xludf.DUMMYFUNCTION("""COMPUTED_VALUE"""),45322.9986111111)</f>
        <v>45322.998611111099</v>
      </c>
      <c r="AL2229" s="6">
        <f ca="1">IFERROR(__xludf.DUMMYFUNCTION("""COMPUTED_VALUE"""),42582.21)</f>
        <v>42582.21</v>
      </c>
      <c r="AP2229" s="6" t="str">
        <f t="shared" si="627"/>
        <v>19001</v>
      </c>
      <c r="AQ2229" s="6">
        <f t="shared" si="628"/>
        <v>1900</v>
      </c>
      <c r="AR2229" s="6">
        <f t="shared" si="629"/>
        <v>1</v>
      </c>
    </row>
    <row r="2230" spans="2:44" x14ac:dyDescent="0.35">
      <c r="B2230" s="6" t="str">
        <f t="shared" si="612"/>
        <v>19001</v>
      </c>
      <c r="C2230" s="6">
        <f t="shared" si="613"/>
        <v>1900</v>
      </c>
      <c r="D2230" s="6">
        <f t="shared" si="614"/>
        <v>1</v>
      </c>
      <c r="J2230" s="6" t="str">
        <f t="shared" si="615"/>
        <v>19001</v>
      </c>
      <c r="K2230" s="6">
        <f t="shared" si="616"/>
        <v>1900</v>
      </c>
      <c r="L2230" s="6">
        <f t="shared" si="617"/>
        <v>1</v>
      </c>
      <c r="R2230" s="6" t="str">
        <f t="shared" si="618"/>
        <v>19001</v>
      </c>
      <c r="S2230" s="6">
        <f t="shared" si="619"/>
        <v>1900</v>
      </c>
      <c r="T2230" s="6">
        <f t="shared" si="620"/>
        <v>1</v>
      </c>
      <c r="Z2230" s="6" t="str">
        <f t="shared" ca="1" si="621"/>
        <v>20243</v>
      </c>
      <c r="AA2230" s="6">
        <f t="shared" ca="1" si="622"/>
        <v>2024</v>
      </c>
      <c r="AB2230" s="6">
        <f t="shared" ca="1" si="623"/>
        <v>3</v>
      </c>
      <c r="AC2230" s="68">
        <f ca="1">IFERROR(__xludf.DUMMYFUNCTION("""COMPUTED_VALUE"""),45381.9986111111)</f>
        <v>45381.998611111099</v>
      </c>
      <c r="AD2230" s="6">
        <f ca="1">IFERROR(__xludf.DUMMYFUNCTION("""COMPUTED_VALUE"""),1345.29)</f>
        <v>1345.29</v>
      </c>
      <c r="AH2230" s="6" t="str">
        <f t="shared" ca="1" si="624"/>
        <v>20242</v>
      </c>
      <c r="AI2230" s="6">
        <f t="shared" ca="1" si="625"/>
        <v>2024</v>
      </c>
      <c r="AJ2230" s="6">
        <f t="shared" ca="1" si="626"/>
        <v>2</v>
      </c>
      <c r="AK2230" s="68">
        <f ca="1">IFERROR(__xludf.DUMMYFUNCTION("""COMPUTED_VALUE"""),45323.9986111111)</f>
        <v>45323.998611111099</v>
      </c>
      <c r="AL2230" s="6">
        <f ca="1">IFERROR(__xludf.DUMMYFUNCTION("""COMPUTED_VALUE"""),43052.94)</f>
        <v>43052.94</v>
      </c>
      <c r="AP2230" s="6" t="str">
        <f t="shared" si="627"/>
        <v>19001</v>
      </c>
      <c r="AQ2230" s="6">
        <f t="shared" si="628"/>
        <v>1900</v>
      </c>
      <c r="AR2230" s="6">
        <f t="shared" si="629"/>
        <v>1</v>
      </c>
    </row>
    <row r="2231" spans="2:44" x14ac:dyDescent="0.35">
      <c r="B2231" s="6" t="str">
        <f t="shared" si="612"/>
        <v>19001</v>
      </c>
      <c r="C2231" s="6">
        <f t="shared" si="613"/>
        <v>1900</v>
      </c>
      <c r="D2231" s="6">
        <f t="shared" si="614"/>
        <v>1</v>
      </c>
      <c r="J2231" s="6" t="str">
        <f t="shared" si="615"/>
        <v>19001</v>
      </c>
      <c r="K2231" s="6">
        <f t="shared" si="616"/>
        <v>1900</v>
      </c>
      <c r="L2231" s="6">
        <f t="shared" si="617"/>
        <v>1</v>
      </c>
      <c r="R2231" s="6" t="str">
        <f t="shared" si="618"/>
        <v>19001</v>
      </c>
      <c r="S2231" s="6">
        <f t="shared" si="619"/>
        <v>1900</v>
      </c>
      <c r="T2231" s="6">
        <f t="shared" si="620"/>
        <v>1</v>
      </c>
      <c r="Z2231" s="6" t="str">
        <f t="shared" ca="1" si="621"/>
        <v>20243</v>
      </c>
      <c r="AA2231" s="6">
        <f t="shared" ca="1" si="622"/>
        <v>2024</v>
      </c>
      <c r="AB2231" s="6">
        <f t="shared" ca="1" si="623"/>
        <v>3</v>
      </c>
      <c r="AC2231" s="68">
        <f ca="1">IFERROR(__xludf.DUMMYFUNCTION("""COMPUTED_VALUE"""),45382.9986111111)</f>
        <v>45382.998611111099</v>
      </c>
      <c r="AD2231" s="6">
        <f ca="1">IFERROR(__xludf.DUMMYFUNCTION("""COMPUTED_VALUE"""),1345.31)</f>
        <v>1345.31</v>
      </c>
      <c r="AH2231" s="6" t="str">
        <f t="shared" ca="1" si="624"/>
        <v>20242</v>
      </c>
      <c r="AI2231" s="6">
        <f t="shared" ca="1" si="625"/>
        <v>2024</v>
      </c>
      <c r="AJ2231" s="6">
        <f t="shared" ca="1" si="626"/>
        <v>2</v>
      </c>
      <c r="AK2231" s="68">
        <f ca="1">IFERROR(__xludf.DUMMYFUNCTION("""COMPUTED_VALUE"""),45324.9986111111)</f>
        <v>45324.998611111099</v>
      </c>
      <c r="AL2231" s="6">
        <f ca="1">IFERROR(__xludf.DUMMYFUNCTION("""COMPUTED_VALUE"""),43181.34)</f>
        <v>43181.34</v>
      </c>
      <c r="AP2231" s="6" t="str">
        <f t="shared" si="627"/>
        <v>19001</v>
      </c>
      <c r="AQ2231" s="6">
        <f t="shared" si="628"/>
        <v>1900</v>
      </c>
      <c r="AR2231" s="6">
        <f t="shared" si="629"/>
        <v>1</v>
      </c>
    </row>
    <row r="2232" spans="2:44" x14ac:dyDescent="0.35">
      <c r="B2232" s="6" t="str">
        <f t="shared" si="612"/>
        <v>19001</v>
      </c>
      <c r="C2232" s="6">
        <f t="shared" si="613"/>
        <v>1900</v>
      </c>
      <c r="D2232" s="6">
        <f t="shared" si="614"/>
        <v>1</v>
      </c>
      <c r="J2232" s="6" t="str">
        <f t="shared" si="615"/>
        <v>19001</v>
      </c>
      <c r="K2232" s="6">
        <f t="shared" si="616"/>
        <v>1900</v>
      </c>
      <c r="L2232" s="6">
        <f t="shared" si="617"/>
        <v>1</v>
      </c>
      <c r="R2232" s="6" t="str">
        <f t="shared" si="618"/>
        <v>19001</v>
      </c>
      <c r="S2232" s="6">
        <f t="shared" si="619"/>
        <v>1900</v>
      </c>
      <c r="T2232" s="6">
        <f t="shared" si="620"/>
        <v>1</v>
      </c>
      <c r="Z2232" s="6" t="str">
        <f t="shared" ca="1" si="621"/>
        <v>20244</v>
      </c>
      <c r="AA2232" s="6">
        <f t="shared" ca="1" si="622"/>
        <v>2024</v>
      </c>
      <c r="AB2232" s="6">
        <f t="shared" ca="1" si="623"/>
        <v>4</v>
      </c>
      <c r="AC2232" s="68">
        <f ca="1">IFERROR(__xludf.DUMMYFUNCTION("""COMPUTED_VALUE"""),45383.9986111111)</f>
        <v>45383.998611111099</v>
      </c>
      <c r="AD2232" s="6">
        <f ca="1">IFERROR(__xludf.DUMMYFUNCTION("""COMPUTED_VALUE"""),1355.53)</f>
        <v>1355.53</v>
      </c>
      <c r="AH2232" s="6" t="str">
        <f t="shared" ca="1" si="624"/>
        <v>20242</v>
      </c>
      <c r="AI2232" s="6">
        <f t="shared" ca="1" si="625"/>
        <v>2024</v>
      </c>
      <c r="AJ2232" s="6">
        <f t="shared" ca="1" si="626"/>
        <v>2</v>
      </c>
      <c r="AK2232" s="68">
        <f ca="1">IFERROR(__xludf.DUMMYFUNCTION("""COMPUTED_VALUE"""),45325.9986111111)</f>
        <v>45325.998611111099</v>
      </c>
      <c r="AL2232" s="6">
        <f ca="1">IFERROR(__xludf.DUMMYFUNCTION("""COMPUTED_VALUE"""),43004.49)</f>
        <v>43004.49</v>
      </c>
      <c r="AP2232" s="6" t="str">
        <f t="shared" si="627"/>
        <v>19001</v>
      </c>
      <c r="AQ2232" s="6">
        <f t="shared" si="628"/>
        <v>1900</v>
      </c>
      <c r="AR2232" s="6">
        <f t="shared" si="629"/>
        <v>1</v>
      </c>
    </row>
    <row r="2233" spans="2:44" x14ac:dyDescent="0.35">
      <c r="B2233" s="6" t="str">
        <f t="shared" si="612"/>
        <v>19001</v>
      </c>
      <c r="C2233" s="6">
        <f t="shared" si="613"/>
        <v>1900</v>
      </c>
      <c r="D2233" s="6">
        <f t="shared" si="614"/>
        <v>1</v>
      </c>
      <c r="J2233" s="6" t="str">
        <f t="shared" si="615"/>
        <v>19001</v>
      </c>
      <c r="K2233" s="6">
        <f t="shared" si="616"/>
        <v>1900</v>
      </c>
      <c r="L2233" s="6">
        <f t="shared" si="617"/>
        <v>1</v>
      </c>
      <c r="R2233" s="6" t="str">
        <f t="shared" si="618"/>
        <v>19001</v>
      </c>
      <c r="S2233" s="6">
        <f t="shared" si="619"/>
        <v>1900</v>
      </c>
      <c r="T2233" s="6">
        <f t="shared" si="620"/>
        <v>1</v>
      </c>
      <c r="Z2233" s="6" t="str">
        <f t="shared" ca="1" si="621"/>
        <v>20244</v>
      </c>
      <c r="AA2233" s="6">
        <f t="shared" ca="1" si="622"/>
        <v>2024</v>
      </c>
      <c r="AB2233" s="6">
        <f t="shared" ca="1" si="623"/>
        <v>4</v>
      </c>
      <c r="AC2233" s="68">
        <f ca="1">IFERROR(__xludf.DUMMYFUNCTION("""COMPUTED_VALUE"""),45384.9986111111)</f>
        <v>45384.998611111099</v>
      </c>
      <c r="AD2233" s="6">
        <f ca="1">IFERROR(__xludf.DUMMYFUNCTION("""COMPUTED_VALUE"""),1350.73)</f>
        <v>1350.73</v>
      </c>
      <c r="AH2233" s="6" t="str">
        <f t="shared" ca="1" si="624"/>
        <v>20242</v>
      </c>
      <c r="AI2233" s="6">
        <f t="shared" ca="1" si="625"/>
        <v>2024</v>
      </c>
      <c r="AJ2233" s="6">
        <f t="shared" ca="1" si="626"/>
        <v>2</v>
      </c>
      <c r="AK2233" s="68">
        <f ca="1">IFERROR(__xludf.DUMMYFUNCTION("""COMPUTED_VALUE"""),45326.9986111111)</f>
        <v>45326.998611111099</v>
      </c>
      <c r="AL2233" s="6">
        <f ca="1">IFERROR(__xludf.DUMMYFUNCTION("""COMPUTED_VALUE"""),42565.23)</f>
        <v>42565.23</v>
      </c>
      <c r="AP2233" s="6" t="str">
        <f t="shared" si="627"/>
        <v>19001</v>
      </c>
      <c r="AQ2233" s="6">
        <f t="shared" si="628"/>
        <v>1900</v>
      </c>
      <c r="AR2233" s="6">
        <f t="shared" si="629"/>
        <v>1</v>
      </c>
    </row>
    <row r="2234" spans="2:44" x14ac:dyDescent="0.35">
      <c r="B2234" s="6" t="str">
        <f t="shared" si="612"/>
        <v>19001</v>
      </c>
      <c r="C2234" s="6">
        <f t="shared" si="613"/>
        <v>1900</v>
      </c>
      <c r="D2234" s="6">
        <f t="shared" si="614"/>
        <v>1</v>
      </c>
      <c r="J2234" s="6" t="str">
        <f t="shared" si="615"/>
        <v>19001</v>
      </c>
      <c r="K2234" s="6">
        <f t="shared" si="616"/>
        <v>1900</v>
      </c>
      <c r="L2234" s="6">
        <f t="shared" si="617"/>
        <v>1</v>
      </c>
      <c r="R2234" s="6" t="str">
        <f t="shared" si="618"/>
        <v>19001</v>
      </c>
      <c r="S2234" s="6">
        <f t="shared" si="619"/>
        <v>1900</v>
      </c>
      <c r="T2234" s="6">
        <f t="shared" si="620"/>
        <v>1</v>
      </c>
      <c r="Z2234" s="6" t="str">
        <f t="shared" ca="1" si="621"/>
        <v>20244</v>
      </c>
      <c r="AA2234" s="6">
        <f t="shared" ca="1" si="622"/>
        <v>2024</v>
      </c>
      <c r="AB2234" s="6">
        <f t="shared" ca="1" si="623"/>
        <v>4</v>
      </c>
      <c r="AC2234" s="68">
        <f ca="1">IFERROR(__xludf.DUMMYFUNCTION("""COMPUTED_VALUE"""),45385.9986111111)</f>
        <v>45385.998611111099</v>
      </c>
      <c r="AD2234" s="6">
        <f ca="1">IFERROR(__xludf.DUMMYFUNCTION("""COMPUTED_VALUE"""),1344.84)</f>
        <v>1344.84</v>
      </c>
      <c r="AH2234" s="6" t="str">
        <f t="shared" ca="1" si="624"/>
        <v>20242</v>
      </c>
      <c r="AI2234" s="6">
        <f t="shared" ca="1" si="625"/>
        <v>2024</v>
      </c>
      <c r="AJ2234" s="6">
        <f t="shared" ca="1" si="626"/>
        <v>2</v>
      </c>
      <c r="AK2234" s="68">
        <f ca="1">IFERROR(__xludf.DUMMYFUNCTION("""COMPUTED_VALUE"""),45327.9986111111)</f>
        <v>45327.998611111099</v>
      </c>
      <c r="AL2234" s="6">
        <f ca="1">IFERROR(__xludf.DUMMYFUNCTION("""COMPUTED_VALUE"""),42665.05)</f>
        <v>42665.05</v>
      </c>
      <c r="AP2234" s="6" t="str">
        <f t="shared" si="627"/>
        <v>19001</v>
      </c>
      <c r="AQ2234" s="6">
        <f t="shared" si="628"/>
        <v>1900</v>
      </c>
      <c r="AR2234" s="6">
        <f t="shared" si="629"/>
        <v>1</v>
      </c>
    </row>
    <row r="2235" spans="2:44" x14ac:dyDescent="0.35">
      <c r="B2235" s="6" t="str">
        <f t="shared" si="612"/>
        <v>19001</v>
      </c>
      <c r="C2235" s="6">
        <f t="shared" si="613"/>
        <v>1900</v>
      </c>
      <c r="D2235" s="6">
        <f t="shared" si="614"/>
        <v>1</v>
      </c>
      <c r="J2235" s="6" t="str">
        <f t="shared" si="615"/>
        <v>19001</v>
      </c>
      <c r="K2235" s="6">
        <f t="shared" si="616"/>
        <v>1900</v>
      </c>
      <c r="L2235" s="6">
        <f t="shared" si="617"/>
        <v>1</v>
      </c>
      <c r="R2235" s="6" t="str">
        <f t="shared" si="618"/>
        <v>19001</v>
      </c>
      <c r="S2235" s="6">
        <f t="shared" si="619"/>
        <v>1900</v>
      </c>
      <c r="T2235" s="6">
        <f t="shared" si="620"/>
        <v>1</v>
      </c>
      <c r="Z2235" s="6" t="str">
        <f t="shared" ca="1" si="621"/>
        <v>20244</v>
      </c>
      <c r="AA2235" s="6">
        <f t="shared" ca="1" si="622"/>
        <v>2024</v>
      </c>
      <c r="AB2235" s="6">
        <f t="shared" ca="1" si="623"/>
        <v>4</v>
      </c>
      <c r="AC2235" s="68">
        <f ca="1">IFERROR(__xludf.DUMMYFUNCTION("""COMPUTED_VALUE"""),45386.9986111111)</f>
        <v>45386.998611111099</v>
      </c>
      <c r="AD2235" s="6">
        <f ca="1">IFERROR(__xludf.DUMMYFUNCTION("""COMPUTED_VALUE"""),1351.36)</f>
        <v>1351.36</v>
      </c>
      <c r="AH2235" s="6" t="str">
        <f t="shared" ca="1" si="624"/>
        <v>20242</v>
      </c>
      <c r="AI2235" s="6">
        <f t="shared" ca="1" si="625"/>
        <v>2024</v>
      </c>
      <c r="AJ2235" s="6">
        <f t="shared" ca="1" si="626"/>
        <v>2</v>
      </c>
      <c r="AK2235" s="68">
        <f ca="1">IFERROR(__xludf.DUMMYFUNCTION("""COMPUTED_VALUE"""),45328.9986111111)</f>
        <v>45328.998611111099</v>
      </c>
      <c r="AL2235" s="6">
        <f ca="1">IFERROR(__xludf.DUMMYFUNCTION("""COMPUTED_VALUE"""),43084.9)</f>
        <v>43084.9</v>
      </c>
      <c r="AP2235" s="6" t="str">
        <f t="shared" si="627"/>
        <v>19001</v>
      </c>
      <c r="AQ2235" s="6">
        <f t="shared" si="628"/>
        <v>1900</v>
      </c>
      <c r="AR2235" s="6">
        <f t="shared" si="629"/>
        <v>1</v>
      </c>
    </row>
    <row r="2236" spans="2:44" x14ac:dyDescent="0.35">
      <c r="B2236" s="6" t="str">
        <f t="shared" si="612"/>
        <v>19001</v>
      </c>
      <c r="C2236" s="6">
        <f t="shared" si="613"/>
        <v>1900</v>
      </c>
      <c r="D2236" s="6">
        <f t="shared" si="614"/>
        <v>1</v>
      </c>
      <c r="J2236" s="6" t="str">
        <f t="shared" si="615"/>
        <v>19001</v>
      </c>
      <c r="K2236" s="6">
        <f t="shared" si="616"/>
        <v>1900</v>
      </c>
      <c r="L2236" s="6">
        <f t="shared" si="617"/>
        <v>1</v>
      </c>
      <c r="R2236" s="6" t="str">
        <f t="shared" si="618"/>
        <v>19001</v>
      </c>
      <c r="S2236" s="6">
        <f t="shared" si="619"/>
        <v>1900</v>
      </c>
      <c r="T2236" s="6">
        <f t="shared" si="620"/>
        <v>1</v>
      </c>
      <c r="Z2236" s="6" t="str">
        <f t="shared" ca="1" si="621"/>
        <v>20244</v>
      </c>
      <c r="AA2236" s="6">
        <f t="shared" ca="1" si="622"/>
        <v>2024</v>
      </c>
      <c r="AB2236" s="6">
        <f t="shared" ca="1" si="623"/>
        <v>4</v>
      </c>
      <c r="AC2236" s="68">
        <f ca="1">IFERROR(__xludf.DUMMYFUNCTION("""COMPUTED_VALUE"""),45387.9986111111)</f>
        <v>45387.998611111099</v>
      </c>
      <c r="AD2236" s="6">
        <f ca="1">IFERROR(__xludf.DUMMYFUNCTION("""COMPUTED_VALUE"""),1350.75)</f>
        <v>1350.75</v>
      </c>
      <c r="AH2236" s="6" t="str">
        <f t="shared" ca="1" si="624"/>
        <v>20242</v>
      </c>
      <c r="AI2236" s="6">
        <f t="shared" ca="1" si="625"/>
        <v>2024</v>
      </c>
      <c r="AJ2236" s="6">
        <f t="shared" ca="1" si="626"/>
        <v>2</v>
      </c>
      <c r="AK2236" s="68">
        <f ca="1">IFERROR(__xludf.DUMMYFUNCTION("""COMPUTED_VALUE"""),45329.9986111111)</f>
        <v>45329.998611111099</v>
      </c>
      <c r="AL2236" s="6">
        <f ca="1">IFERROR(__xludf.DUMMYFUNCTION("""COMPUTED_VALUE"""),44285.67)</f>
        <v>44285.67</v>
      </c>
      <c r="AP2236" s="6" t="str">
        <f t="shared" si="627"/>
        <v>19001</v>
      </c>
      <c r="AQ2236" s="6">
        <f t="shared" si="628"/>
        <v>1900</v>
      </c>
      <c r="AR2236" s="6">
        <f t="shared" si="629"/>
        <v>1</v>
      </c>
    </row>
    <row r="2237" spans="2:44" x14ac:dyDescent="0.35">
      <c r="B2237" s="6" t="str">
        <f t="shared" si="612"/>
        <v>19001</v>
      </c>
      <c r="C2237" s="6">
        <f t="shared" si="613"/>
        <v>1900</v>
      </c>
      <c r="D2237" s="6">
        <f t="shared" si="614"/>
        <v>1</v>
      </c>
      <c r="J2237" s="6" t="str">
        <f t="shared" si="615"/>
        <v>19001</v>
      </c>
      <c r="K2237" s="6">
        <f t="shared" si="616"/>
        <v>1900</v>
      </c>
      <c r="L2237" s="6">
        <f t="shared" si="617"/>
        <v>1</v>
      </c>
      <c r="R2237" s="6" t="str">
        <f t="shared" si="618"/>
        <v>19001</v>
      </c>
      <c r="S2237" s="6">
        <f t="shared" si="619"/>
        <v>1900</v>
      </c>
      <c r="T2237" s="6">
        <f t="shared" si="620"/>
        <v>1</v>
      </c>
      <c r="Z2237" s="6" t="str">
        <f t="shared" ca="1" si="621"/>
        <v>20244</v>
      </c>
      <c r="AA2237" s="6">
        <f t="shared" ca="1" si="622"/>
        <v>2024</v>
      </c>
      <c r="AB2237" s="6">
        <f t="shared" ca="1" si="623"/>
        <v>4</v>
      </c>
      <c r="AC2237" s="68">
        <f ca="1">IFERROR(__xludf.DUMMYFUNCTION("""COMPUTED_VALUE"""),45388.9986111111)</f>
        <v>45388.998611111099</v>
      </c>
      <c r="AD2237" s="6">
        <f ca="1">IFERROR(__xludf.DUMMYFUNCTION("""COMPUTED_VALUE"""),1350.75)</f>
        <v>1350.75</v>
      </c>
      <c r="AH2237" s="6" t="str">
        <f t="shared" ca="1" si="624"/>
        <v>20242</v>
      </c>
      <c r="AI2237" s="6">
        <f t="shared" ca="1" si="625"/>
        <v>2024</v>
      </c>
      <c r="AJ2237" s="6">
        <f t="shared" ca="1" si="626"/>
        <v>2</v>
      </c>
      <c r="AK2237" s="68">
        <f ca="1">IFERROR(__xludf.DUMMYFUNCTION("""COMPUTED_VALUE"""),45330.9986111111)</f>
        <v>45330.998611111099</v>
      </c>
      <c r="AL2237" s="6">
        <f ca="1">IFERROR(__xludf.DUMMYFUNCTION("""COMPUTED_VALUE"""),45323.12)</f>
        <v>45323.12</v>
      </c>
      <c r="AP2237" s="6" t="str">
        <f t="shared" si="627"/>
        <v>19001</v>
      </c>
      <c r="AQ2237" s="6">
        <f t="shared" si="628"/>
        <v>1900</v>
      </c>
      <c r="AR2237" s="6">
        <f t="shared" si="629"/>
        <v>1</v>
      </c>
    </row>
    <row r="2238" spans="2:44" x14ac:dyDescent="0.35">
      <c r="B2238" s="6" t="str">
        <f t="shared" si="612"/>
        <v>19001</v>
      </c>
      <c r="C2238" s="6">
        <f t="shared" si="613"/>
        <v>1900</v>
      </c>
      <c r="D2238" s="6">
        <f t="shared" si="614"/>
        <v>1</v>
      </c>
      <c r="J2238" s="6" t="str">
        <f t="shared" si="615"/>
        <v>19001</v>
      </c>
      <c r="K2238" s="6">
        <f t="shared" si="616"/>
        <v>1900</v>
      </c>
      <c r="L2238" s="6">
        <f t="shared" si="617"/>
        <v>1</v>
      </c>
      <c r="R2238" s="6" t="str">
        <f t="shared" si="618"/>
        <v>19001</v>
      </c>
      <c r="S2238" s="6">
        <f t="shared" si="619"/>
        <v>1900</v>
      </c>
      <c r="T2238" s="6">
        <f t="shared" si="620"/>
        <v>1</v>
      </c>
      <c r="Z2238" s="6" t="str">
        <f t="shared" ca="1" si="621"/>
        <v>20244</v>
      </c>
      <c r="AA2238" s="6">
        <f t="shared" ca="1" si="622"/>
        <v>2024</v>
      </c>
      <c r="AB2238" s="6">
        <f t="shared" ca="1" si="623"/>
        <v>4</v>
      </c>
      <c r="AC2238" s="68">
        <f ca="1">IFERROR(__xludf.DUMMYFUNCTION("""COMPUTED_VALUE"""),45389.9986111111)</f>
        <v>45389.998611111099</v>
      </c>
      <c r="AD2238" s="6">
        <f ca="1">IFERROR(__xludf.DUMMYFUNCTION("""COMPUTED_VALUE"""),1350.27)</f>
        <v>1350.27</v>
      </c>
      <c r="AH2238" s="6" t="str">
        <f t="shared" ca="1" si="624"/>
        <v>20242</v>
      </c>
      <c r="AI2238" s="6">
        <f t="shared" ca="1" si="625"/>
        <v>2024</v>
      </c>
      <c r="AJ2238" s="6">
        <f t="shared" ca="1" si="626"/>
        <v>2</v>
      </c>
      <c r="AK2238" s="68">
        <f ca="1">IFERROR(__xludf.DUMMYFUNCTION("""COMPUTED_VALUE"""),45331.9986111111)</f>
        <v>45331.998611111099</v>
      </c>
      <c r="AL2238" s="6">
        <f ca="1">IFERROR(__xludf.DUMMYFUNCTION("""COMPUTED_VALUE"""),47282.84)</f>
        <v>47282.84</v>
      </c>
      <c r="AP2238" s="6" t="str">
        <f t="shared" si="627"/>
        <v>19001</v>
      </c>
      <c r="AQ2238" s="6">
        <f t="shared" si="628"/>
        <v>1900</v>
      </c>
      <c r="AR2238" s="6">
        <f t="shared" si="629"/>
        <v>1</v>
      </c>
    </row>
    <row r="2239" spans="2:44" x14ac:dyDescent="0.35">
      <c r="B2239" s="6" t="str">
        <f t="shared" si="612"/>
        <v>19001</v>
      </c>
      <c r="C2239" s="6">
        <f t="shared" si="613"/>
        <v>1900</v>
      </c>
      <c r="D2239" s="6">
        <f t="shared" si="614"/>
        <v>1</v>
      </c>
      <c r="J2239" s="6" t="str">
        <f t="shared" si="615"/>
        <v>19001</v>
      </c>
      <c r="K2239" s="6">
        <f t="shared" si="616"/>
        <v>1900</v>
      </c>
      <c r="L2239" s="6">
        <f t="shared" si="617"/>
        <v>1</v>
      </c>
      <c r="R2239" s="6" t="str">
        <f t="shared" si="618"/>
        <v>19001</v>
      </c>
      <c r="S2239" s="6">
        <f t="shared" si="619"/>
        <v>1900</v>
      </c>
      <c r="T2239" s="6">
        <f t="shared" si="620"/>
        <v>1</v>
      </c>
      <c r="Z2239" s="6" t="str">
        <f t="shared" ca="1" si="621"/>
        <v>20244</v>
      </c>
      <c r="AA2239" s="6">
        <f t="shared" ca="1" si="622"/>
        <v>2024</v>
      </c>
      <c r="AB2239" s="6">
        <f t="shared" ca="1" si="623"/>
        <v>4</v>
      </c>
      <c r="AC2239" s="68">
        <f ca="1">IFERROR(__xludf.DUMMYFUNCTION("""COMPUTED_VALUE"""),45390.9986111111)</f>
        <v>45390.998611111099</v>
      </c>
      <c r="AD2239" s="6">
        <f ca="1">IFERROR(__xludf.DUMMYFUNCTION("""COMPUTED_VALUE"""),1354.22)</f>
        <v>1354.22</v>
      </c>
      <c r="AH2239" s="6" t="str">
        <f t="shared" ca="1" si="624"/>
        <v>20242</v>
      </c>
      <c r="AI2239" s="6">
        <f t="shared" ca="1" si="625"/>
        <v>2024</v>
      </c>
      <c r="AJ2239" s="6">
        <f t="shared" ca="1" si="626"/>
        <v>2</v>
      </c>
      <c r="AK2239" s="68">
        <f ca="1">IFERROR(__xludf.DUMMYFUNCTION("""COMPUTED_VALUE"""),45332.9986111111)</f>
        <v>45332.998611111099</v>
      </c>
      <c r="AL2239" s="6">
        <f ca="1">IFERROR(__xludf.DUMMYFUNCTION("""COMPUTED_VALUE"""),47746.95)</f>
        <v>47746.95</v>
      </c>
      <c r="AP2239" s="6" t="str">
        <f t="shared" si="627"/>
        <v>19001</v>
      </c>
      <c r="AQ2239" s="6">
        <f t="shared" si="628"/>
        <v>1900</v>
      </c>
      <c r="AR2239" s="6">
        <f t="shared" si="629"/>
        <v>1</v>
      </c>
    </row>
    <row r="2240" spans="2:44" x14ac:dyDescent="0.35">
      <c r="B2240" s="6" t="str">
        <f t="shared" si="612"/>
        <v>19001</v>
      </c>
      <c r="C2240" s="6">
        <f t="shared" si="613"/>
        <v>1900</v>
      </c>
      <c r="D2240" s="6">
        <f t="shared" si="614"/>
        <v>1</v>
      </c>
      <c r="J2240" s="6" t="str">
        <f t="shared" si="615"/>
        <v>19001</v>
      </c>
      <c r="K2240" s="6">
        <f t="shared" si="616"/>
        <v>1900</v>
      </c>
      <c r="L2240" s="6">
        <f t="shared" si="617"/>
        <v>1</v>
      </c>
      <c r="R2240" s="6" t="str">
        <f t="shared" si="618"/>
        <v>19001</v>
      </c>
      <c r="S2240" s="6">
        <f t="shared" si="619"/>
        <v>1900</v>
      </c>
      <c r="T2240" s="6">
        <f t="shared" si="620"/>
        <v>1</v>
      </c>
      <c r="Z2240" s="6" t="str">
        <f t="shared" ca="1" si="621"/>
        <v>20244</v>
      </c>
      <c r="AA2240" s="6">
        <f t="shared" ca="1" si="622"/>
        <v>2024</v>
      </c>
      <c r="AB2240" s="6">
        <f t="shared" ca="1" si="623"/>
        <v>4</v>
      </c>
      <c r="AC2240" s="68">
        <f ca="1">IFERROR(__xludf.DUMMYFUNCTION("""COMPUTED_VALUE"""),45391.9986111111)</f>
        <v>45391.998611111099</v>
      </c>
      <c r="AD2240" s="6">
        <f ca="1">IFERROR(__xludf.DUMMYFUNCTION("""COMPUTED_VALUE"""),1348.54)</f>
        <v>1348.54</v>
      </c>
      <c r="AH2240" s="6" t="str">
        <f t="shared" ca="1" si="624"/>
        <v>20242</v>
      </c>
      <c r="AI2240" s="6">
        <f t="shared" ca="1" si="625"/>
        <v>2024</v>
      </c>
      <c r="AJ2240" s="6">
        <f t="shared" ca="1" si="626"/>
        <v>2</v>
      </c>
      <c r="AK2240" s="68">
        <f ca="1">IFERROR(__xludf.DUMMYFUNCTION("""COMPUTED_VALUE"""),45333.9986111111)</f>
        <v>45333.998611111099</v>
      </c>
      <c r="AL2240" s="6">
        <f ca="1">IFERROR(__xludf.DUMMYFUNCTION("""COMPUTED_VALUE"""),48281.19)</f>
        <v>48281.19</v>
      </c>
      <c r="AP2240" s="6" t="str">
        <f t="shared" si="627"/>
        <v>19001</v>
      </c>
      <c r="AQ2240" s="6">
        <f t="shared" si="628"/>
        <v>1900</v>
      </c>
      <c r="AR2240" s="6">
        <f t="shared" si="629"/>
        <v>1</v>
      </c>
    </row>
    <row r="2241" spans="2:44" x14ac:dyDescent="0.35">
      <c r="B2241" s="6" t="str">
        <f t="shared" si="612"/>
        <v>19001</v>
      </c>
      <c r="C2241" s="6">
        <f t="shared" si="613"/>
        <v>1900</v>
      </c>
      <c r="D2241" s="6">
        <f t="shared" si="614"/>
        <v>1</v>
      </c>
      <c r="J2241" s="6" t="str">
        <f t="shared" si="615"/>
        <v>19001</v>
      </c>
      <c r="K2241" s="6">
        <f t="shared" si="616"/>
        <v>1900</v>
      </c>
      <c r="L2241" s="6">
        <f t="shared" si="617"/>
        <v>1</v>
      </c>
      <c r="R2241" s="6" t="str">
        <f t="shared" si="618"/>
        <v>19001</v>
      </c>
      <c r="S2241" s="6">
        <f t="shared" si="619"/>
        <v>1900</v>
      </c>
      <c r="T2241" s="6">
        <f t="shared" si="620"/>
        <v>1</v>
      </c>
      <c r="Z2241" s="6" t="str">
        <f t="shared" ca="1" si="621"/>
        <v>20244</v>
      </c>
      <c r="AA2241" s="6">
        <f t="shared" ca="1" si="622"/>
        <v>2024</v>
      </c>
      <c r="AB2241" s="6">
        <f t="shared" ca="1" si="623"/>
        <v>4</v>
      </c>
      <c r="AC2241" s="68">
        <f ca="1">IFERROR(__xludf.DUMMYFUNCTION("""COMPUTED_VALUE"""),45392.9986111111)</f>
        <v>45392.998611111099</v>
      </c>
      <c r="AD2241" s="6">
        <f ca="1">IFERROR(__xludf.DUMMYFUNCTION("""COMPUTED_VALUE"""),1363.76)</f>
        <v>1363.76</v>
      </c>
      <c r="AH2241" s="6" t="str">
        <f t="shared" ca="1" si="624"/>
        <v>20242</v>
      </c>
      <c r="AI2241" s="6">
        <f t="shared" ca="1" si="625"/>
        <v>2024</v>
      </c>
      <c r="AJ2241" s="6">
        <f t="shared" ca="1" si="626"/>
        <v>2</v>
      </c>
      <c r="AK2241" s="68">
        <f ca="1">IFERROR(__xludf.DUMMYFUNCTION("""COMPUTED_VALUE"""),45334.9986111111)</f>
        <v>45334.998611111099</v>
      </c>
      <c r="AL2241" s="6">
        <f ca="1">IFERROR(__xludf.DUMMYFUNCTION("""COMPUTED_VALUE"""),49999.68)</f>
        <v>49999.68</v>
      </c>
      <c r="AP2241" s="6" t="str">
        <f t="shared" si="627"/>
        <v>19001</v>
      </c>
      <c r="AQ2241" s="6">
        <f t="shared" si="628"/>
        <v>1900</v>
      </c>
      <c r="AR2241" s="6">
        <f t="shared" si="629"/>
        <v>1</v>
      </c>
    </row>
    <row r="2242" spans="2:44" x14ac:dyDescent="0.35">
      <c r="B2242" s="6" t="str">
        <f t="shared" si="612"/>
        <v>19001</v>
      </c>
      <c r="C2242" s="6">
        <f t="shared" si="613"/>
        <v>1900</v>
      </c>
      <c r="D2242" s="6">
        <f t="shared" si="614"/>
        <v>1</v>
      </c>
      <c r="J2242" s="6" t="str">
        <f t="shared" si="615"/>
        <v>19001</v>
      </c>
      <c r="K2242" s="6">
        <f t="shared" si="616"/>
        <v>1900</v>
      </c>
      <c r="L2242" s="6">
        <f t="shared" si="617"/>
        <v>1</v>
      </c>
      <c r="R2242" s="6" t="str">
        <f t="shared" si="618"/>
        <v>19001</v>
      </c>
      <c r="S2242" s="6">
        <f t="shared" si="619"/>
        <v>1900</v>
      </c>
      <c r="T2242" s="6">
        <f t="shared" si="620"/>
        <v>1</v>
      </c>
      <c r="Z2242" s="6" t="str">
        <f t="shared" ca="1" si="621"/>
        <v>20244</v>
      </c>
      <c r="AA2242" s="6">
        <f t="shared" ca="1" si="622"/>
        <v>2024</v>
      </c>
      <c r="AB2242" s="6">
        <f t="shared" ca="1" si="623"/>
        <v>4</v>
      </c>
      <c r="AC2242" s="68">
        <f ca="1">IFERROR(__xludf.DUMMYFUNCTION("""COMPUTED_VALUE"""),45393.9986111111)</f>
        <v>45393.998611111099</v>
      </c>
      <c r="AD2242" s="6">
        <f ca="1">IFERROR(__xludf.DUMMYFUNCTION("""COMPUTED_VALUE"""),1367.84)</f>
        <v>1367.84</v>
      </c>
      <c r="AH2242" s="6" t="str">
        <f t="shared" ca="1" si="624"/>
        <v>20242</v>
      </c>
      <c r="AI2242" s="6">
        <f t="shared" ca="1" si="625"/>
        <v>2024</v>
      </c>
      <c r="AJ2242" s="6">
        <f t="shared" ca="1" si="626"/>
        <v>2</v>
      </c>
      <c r="AK2242" s="68">
        <f ca="1">IFERROR(__xludf.DUMMYFUNCTION("""COMPUTED_VALUE"""),45335.9986111111)</f>
        <v>45335.998611111099</v>
      </c>
      <c r="AL2242" s="6">
        <f ca="1">IFERROR(__xludf.DUMMYFUNCTION("""COMPUTED_VALUE"""),49727.57)</f>
        <v>49727.57</v>
      </c>
      <c r="AP2242" s="6" t="str">
        <f t="shared" si="627"/>
        <v>19001</v>
      </c>
      <c r="AQ2242" s="6">
        <f t="shared" si="628"/>
        <v>1900</v>
      </c>
      <c r="AR2242" s="6">
        <f t="shared" si="629"/>
        <v>1</v>
      </c>
    </row>
    <row r="2243" spans="2:44" x14ac:dyDescent="0.35">
      <c r="B2243" s="6" t="str">
        <f t="shared" si="612"/>
        <v>19001</v>
      </c>
      <c r="C2243" s="6">
        <f t="shared" si="613"/>
        <v>1900</v>
      </c>
      <c r="D2243" s="6">
        <f t="shared" si="614"/>
        <v>1</v>
      </c>
      <c r="J2243" s="6" t="str">
        <f t="shared" si="615"/>
        <v>19001</v>
      </c>
      <c r="K2243" s="6">
        <f t="shared" si="616"/>
        <v>1900</v>
      </c>
      <c r="L2243" s="6">
        <f t="shared" si="617"/>
        <v>1</v>
      </c>
      <c r="R2243" s="6" t="str">
        <f t="shared" si="618"/>
        <v>19001</v>
      </c>
      <c r="S2243" s="6">
        <f t="shared" si="619"/>
        <v>1900</v>
      </c>
      <c r="T2243" s="6">
        <f t="shared" si="620"/>
        <v>1</v>
      </c>
      <c r="Z2243" s="6" t="str">
        <f t="shared" ca="1" si="621"/>
        <v>20244</v>
      </c>
      <c r="AA2243" s="6">
        <f t="shared" ca="1" si="622"/>
        <v>2024</v>
      </c>
      <c r="AB2243" s="6">
        <f t="shared" ca="1" si="623"/>
        <v>4</v>
      </c>
      <c r="AC2243" s="68">
        <f ca="1">IFERROR(__xludf.DUMMYFUNCTION("""COMPUTED_VALUE"""),45394.9986111111)</f>
        <v>45394.998611111099</v>
      </c>
      <c r="AD2243" s="6">
        <f ca="1">IFERROR(__xludf.DUMMYFUNCTION("""COMPUTED_VALUE"""),1379.6)</f>
        <v>1379.6</v>
      </c>
      <c r="AH2243" s="6" t="str">
        <f t="shared" ca="1" si="624"/>
        <v>20242</v>
      </c>
      <c r="AI2243" s="6">
        <f t="shared" ca="1" si="625"/>
        <v>2024</v>
      </c>
      <c r="AJ2243" s="6">
        <f t="shared" ca="1" si="626"/>
        <v>2</v>
      </c>
      <c r="AK2243" s="68">
        <f ca="1">IFERROR(__xludf.DUMMYFUNCTION("""COMPUTED_VALUE"""),45336.9986111111)</f>
        <v>45336.998611111099</v>
      </c>
      <c r="AL2243" s="6">
        <f ca="1">IFERROR(__xludf.DUMMYFUNCTION("""COMPUTED_VALUE"""),51837.78)</f>
        <v>51837.78</v>
      </c>
      <c r="AP2243" s="6" t="str">
        <f t="shared" si="627"/>
        <v>19001</v>
      </c>
      <c r="AQ2243" s="6">
        <f t="shared" si="628"/>
        <v>1900</v>
      </c>
      <c r="AR2243" s="6">
        <f t="shared" si="629"/>
        <v>1</v>
      </c>
    </row>
    <row r="2244" spans="2:44" x14ac:dyDescent="0.35">
      <c r="B2244" s="6" t="str">
        <f t="shared" si="612"/>
        <v>19001</v>
      </c>
      <c r="C2244" s="6">
        <f t="shared" si="613"/>
        <v>1900</v>
      </c>
      <c r="D2244" s="6">
        <f t="shared" si="614"/>
        <v>1</v>
      </c>
      <c r="J2244" s="6" t="str">
        <f t="shared" si="615"/>
        <v>19001</v>
      </c>
      <c r="K2244" s="6">
        <f t="shared" si="616"/>
        <v>1900</v>
      </c>
      <c r="L2244" s="6">
        <f t="shared" si="617"/>
        <v>1</v>
      </c>
      <c r="R2244" s="6" t="str">
        <f t="shared" si="618"/>
        <v>19001</v>
      </c>
      <c r="S2244" s="6">
        <f t="shared" si="619"/>
        <v>1900</v>
      </c>
      <c r="T2244" s="6">
        <f t="shared" si="620"/>
        <v>1</v>
      </c>
      <c r="Z2244" s="6" t="str">
        <f t="shared" ca="1" si="621"/>
        <v>20244</v>
      </c>
      <c r="AA2244" s="6">
        <f t="shared" ca="1" si="622"/>
        <v>2024</v>
      </c>
      <c r="AB2244" s="6">
        <f t="shared" ca="1" si="623"/>
        <v>4</v>
      </c>
      <c r="AC2244" s="68">
        <f ca="1">IFERROR(__xludf.DUMMYFUNCTION("""COMPUTED_VALUE"""),45395.9986111111)</f>
        <v>45395.998611111099</v>
      </c>
      <c r="AD2244" s="6">
        <f ca="1">IFERROR(__xludf.DUMMYFUNCTION("""COMPUTED_VALUE"""),1379.6)</f>
        <v>1379.6</v>
      </c>
      <c r="AH2244" s="6" t="str">
        <f t="shared" ca="1" si="624"/>
        <v>20242</v>
      </c>
      <c r="AI2244" s="6">
        <f t="shared" ca="1" si="625"/>
        <v>2024</v>
      </c>
      <c r="AJ2244" s="6">
        <f t="shared" ca="1" si="626"/>
        <v>2</v>
      </c>
      <c r="AK2244" s="68">
        <f ca="1">IFERROR(__xludf.DUMMYFUNCTION("""COMPUTED_VALUE"""),45337.9986111111)</f>
        <v>45337.998611111099</v>
      </c>
      <c r="AL2244" s="6">
        <f ca="1">IFERROR(__xludf.DUMMYFUNCTION("""COMPUTED_VALUE"""),51865.25)</f>
        <v>51865.25</v>
      </c>
      <c r="AP2244" s="6" t="str">
        <f t="shared" si="627"/>
        <v>19001</v>
      </c>
      <c r="AQ2244" s="6">
        <f t="shared" si="628"/>
        <v>1900</v>
      </c>
      <c r="AR2244" s="6">
        <f t="shared" si="629"/>
        <v>1</v>
      </c>
    </row>
    <row r="2245" spans="2:44" x14ac:dyDescent="0.35">
      <c r="B2245" s="6" t="str">
        <f t="shared" si="612"/>
        <v>19001</v>
      </c>
      <c r="C2245" s="6">
        <f t="shared" si="613"/>
        <v>1900</v>
      </c>
      <c r="D2245" s="6">
        <f t="shared" si="614"/>
        <v>1</v>
      </c>
      <c r="J2245" s="6" t="str">
        <f t="shared" si="615"/>
        <v>19001</v>
      </c>
      <c r="K2245" s="6">
        <f t="shared" si="616"/>
        <v>1900</v>
      </c>
      <c r="L2245" s="6">
        <f t="shared" si="617"/>
        <v>1</v>
      </c>
      <c r="R2245" s="6" t="str">
        <f t="shared" si="618"/>
        <v>19001</v>
      </c>
      <c r="S2245" s="6">
        <f t="shared" si="619"/>
        <v>1900</v>
      </c>
      <c r="T2245" s="6">
        <f t="shared" si="620"/>
        <v>1</v>
      </c>
      <c r="Z2245" s="6" t="str">
        <f t="shared" ca="1" si="621"/>
        <v>20244</v>
      </c>
      <c r="AA2245" s="6">
        <f t="shared" ca="1" si="622"/>
        <v>2024</v>
      </c>
      <c r="AB2245" s="6">
        <f t="shared" ca="1" si="623"/>
        <v>4</v>
      </c>
      <c r="AC2245" s="68">
        <f ca="1">IFERROR(__xludf.DUMMYFUNCTION("""COMPUTED_VALUE"""),45396.9986111111)</f>
        <v>45396.998611111099</v>
      </c>
      <c r="AD2245" s="6">
        <f ca="1">IFERROR(__xludf.DUMMYFUNCTION("""COMPUTED_VALUE"""),1379.61)</f>
        <v>1379.61</v>
      </c>
      <c r="AH2245" s="6" t="str">
        <f t="shared" ca="1" si="624"/>
        <v>20242</v>
      </c>
      <c r="AI2245" s="6">
        <f t="shared" ca="1" si="625"/>
        <v>2024</v>
      </c>
      <c r="AJ2245" s="6">
        <f t="shared" ca="1" si="626"/>
        <v>2</v>
      </c>
      <c r="AK2245" s="68">
        <f ca="1">IFERROR(__xludf.DUMMYFUNCTION("""COMPUTED_VALUE"""),45338.9986111111)</f>
        <v>45338.998611111099</v>
      </c>
      <c r="AL2245" s="6">
        <f ca="1">IFERROR(__xludf.DUMMYFUNCTION("""COMPUTED_VALUE"""),52191.27)</f>
        <v>52191.27</v>
      </c>
      <c r="AP2245" s="6" t="str">
        <f t="shared" si="627"/>
        <v>19001</v>
      </c>
      <c r="AQ2245" s="6">
        <f t="shared" si="628"/>
        <v>1900</v>
      </c>
      <c r="AR2245" s="6">
        <f t="shared" si="629"/>
        <v>1</v>
      </c>
    </row>
    <row r="2246" spans="2:44" x14ac:dyDescent="0.35">
      <c r="B2246" s="6" t="str">
        <f t="shared" si="612"/>
        <v>19001</v>
      </c>
      <c r="C2246" s="6">
        <f t="shared" si="613"/>
        <v>1900</v>
      </c>
      <c r="D2246" s="6">
        <f t="shared" si="614"/>
        <v>1</v>
      </c>
      <c r="J2246" s="6" t="str">
        <f t="shared" si="615"/>
        <v>19001</v>
      </c>
      <c r="K2246" s="6">
        <f t="shared" si="616"/>
        <v>1900</v>
      </c>
      <c r="L2246" s="6">
        <f t="shared" si="617"/>
        <v>1</v>
      </c>
      <c r="R2246" s="6" t="str">
        <f t="shared" si="618"/>
        <v>19001</v>
      </c>
      <c r="S2246" s="6">
        <f t="shared" si="619"/>
        <v>1900</v>
      </c>
      <c r="T2246" s="6">
        <f t="shared" si="620"/>
        <v>1</v>
      </c>
      <c r="Z2246" s="6" t="str">
        <f t="shared" ca="1" si="621"/>
        <v>20244</v>
      </c>
      <c r="AA2246" s="6">
        <f t="shared" ca="1" si="622"/>
        <v>2024</v>
      </c>
      <c r="AB2246" s="6">
        <f t="shared" ca="1" si="623"/>
        <v>4</v>
      </c>
      <c r="AC2246" s="68">
        <f ca="1">IFERROR(__xludf.DUMMYFUNCTION("""COMPUTED_VALUE"""),45397.9986111111)</f>
        <v>45397.998611111099</v>
      </c>
      <c r="AD2246" s="6">
        <f ca="1">IFERROR(__xludf.DUMMYFUNCTION("""COMPUTED_VALUE"""),1387.67)</f>
        <v>1387.67</v>
      </c>
      <c r="AH2246" s="6" t="str">
        <f t="shared" ca="1" si="624"/>
        <v>20242</v>
      </c>
      <c r="AI2246" s="6">
        <f t="shared" ca="1" si="625"/>
        <v>2024</v>
      </c>
      <c r="AJ2246" s="6">
        <f t="shared" ca="1" si="626"/>
        <v>2</v>
      </c>
      <c r="AK2246" s="68">
        <f ca="1">IFERROR(__xludf.DUMMYFUNCTION("""COMPUTED_VALUE"""),45339.9986111111)</f>
        <v>45339.998611111099</v>
      </c>
      <c r="AL2246" s="6">
        <f ca="1">IFERROR(__xludf.DUMMYFUNCTION("""COMPUTED_VALUE"""),51685.54)</f>
        <v>51685.54</v>
      </c>
      <c r="AP2246" s="6" t="str">
        <f t="shared" si="627"/>
        <v>19001</v>
      </c>
      <c r="AQ2246" s="6">
        <f t="shared" si="628"/>
        <v>1900</v>
      </c>
      <c r="AR2246" s="6">
        <f t="shared" si="629"/>
        <v>1</v>
      </c>
    </row>
    <row r="2247" spans="2:44" x14ac:dyDescent="0.35">
      <c r="B2247" s="6" t="str">
        <f t="shared" ref="B2247:B2310" si="630">C2247&amp;D2247</f>
        <v>19001</v>
      </c>
      <c r="C2247" s="6">
        <f t="shared" ref="C2247:C2310" si="631">YEAR(E2247)</f>
        <v>1900</v>
      </c>
      <c r="D2247" s="6">
        <f t="shared" ref="D2247:D2310" si="632">MONTH(E2247)</f>
        <v>1</v>
      </c>
      <c r="J2247" s="6" t="str">
        <f t="shared" ref="J2247:J2310" si="633">K2247&amp;L2247</f>
        <v>19001</v>
      </c>
      <c r="K2247" s="6">
        <f t="shared" ref="K2247:K2310" si="634">YEAR(M2247)</f>
        <v>1900</v>
      </c>
      <c r="L2247" s="6">
        <f t="shared" ref="L2247:L2310" si="635">MONTH(M2247)</f>
        <v>1</v>
      </c>
      <c r="R2247" s="6" t="str">
        <f t="shared" ref="R2247:R2310" si="636">S2247&amp;T2247</f>
        <v>19001</v>
      </c>
      <c r="S2247" s="6">
        <f t="shared" ref="S2247:S2310" si="637">YEAR(U2247)</f>
        <v>1900</v>
      </c>
      <c r="T2247" s="6">
        <f t="shared" ref="T2247:T2310" si="638">MONTH(U2247)</f>
        <v>1</v>
      </c>
      <c r="Z2247" s="6" t="str">
        <f t="shared" ref="Z2247:Z2310" ca="1" si="639">AA2247&amp;AB2247</f>
        <v>20244</v>
      </c>
      <c r="AA2247" s="6">
        <f t="shared" ref="AA2247:AA2310" ca="1" si="640">YEAR(AC2247)</f>
        <v>2024</v>
      </c>
      <c r="AB2247" s="6">
        <f t="shared" ref="AB2247:AB2310" ca="1" si="641">MONTH(AC2247)</f>
        <v>4</v>
      </c>
      <c r="AC2247" s="68">
        <f ca="1">IFERROR(__xludf.DUMMYFUNCTION("""COMPUTED_VALUE"""),45398.9986111111)</f>
        <v>45398.998611111099</v>
      </c>
      <c r="AD2247" s="6">
        <f ca="1">IFERROR(__xludf.DUMMYFUNCTION("""COMPUTED_VALUE"""),1387.34)</f>
        <v>1387.34</v>
      </c>
      <c r="AH2247" s="6" t="str">
        <f t="shared" ref="AH2247:AH2310" ca="1" si="642">AI2247&amp;AJ2247</f>
        <v>20242</v>
      </c>
      <c r="AI2247" s="6">
        <f t="shared" ref="AI2247:AI2310" ca="1" si="643">YEAR(AK2247)</f>
        <v>2024</v>
      </c>
      <c r="AJ2247" s="6">
        <f t="shared" ref="AJ2247:AJ2310" ca="1" si="644">MONTH(AK2247)</f>
        <v>2</v>
      </c>
      <c r="AK2247" s="68">
        <f ca="1">IFERROR(__xludf.DUMMYFUNCTION("""COMPUTED_VALUE"""),45340.9986111111)</f>
        <v>45340.998611111099</v>
      </c>
      <c r="AL2247" s="6">
        <f ca="1">IFERROR(__xludf.DUMMYFUNCTION("""COMPUTED_VALUE"""),52120.28)</f>
        <v>52120.28</v>
      </c>
      <c r="AP2247" s="6" t="str">
        <f t="shared" ref="AP2247:AP2310" si="645">AQ2247&amp;AR2247</f>
        <v>19001</v>
      </c>
      <c r="AQ2247" s="6">
        <f t="shared" ref="AQ2247:AQ2310" si="646">YEAR(AS2247)</f>
        <v>1900</v>
      </c>
      <c r="AR2247" s="6">
        <f t="shared" ref="AR2247:AR2310" si="647">MONTH(AS2247)</f>
        <v>1</v>
      </c>
    </row>
    <row r="2248" spans="2:44" x14ac:dyDescent="0.35">
      <c r="B2248" s="6" t="str">
        <f t="shared" si="630"/>
        <v>19001</v>
      </c>
      <c r="C2248" s="6">
        <f t="shared" si="631"/>
        <v>1900</v>
      </c>
      <c r="D2248" s="6">
        <f t="shared" si="632"/>
        <v>1</v>
      </c>
      <c r="J2248" s="6" t="str">
        <f t="shared" si="633"/>
        <v>19001</v>
      </c>
      <c r="K2248" s="6">
        <f t="shared" si="634"/>
        <v>1900</v>
      </c>
      <c r="L2248" s="6">
        <f t="shared" si="635"/>
        <v>1</v>
      </c>
      <c r="R2248" s="6" t="str">
        <f t="shared" si="636"/>
        <v>19001</v>
      </c>
      <c r="S2248" s="6">
        <f t="shared" si="637"/>
        <v>1900</v>
      </c>
      <c r="T2248" s="6">
        <f t="shared" si="638"/>
        <v>1</v>
      </c>
      <c r="Z2248" s="6" t="str">
        <f t="shared" ca="1" si="639"/>
        <v>20244</v>
      </c>
      <c r="AA2248" s="6">
        <f t="shared" ca="1" si="640"/>
        <v>2024</v>
      </c>
      <c r="AB2248" s="6">
        <f t="shared" ca="1" si="641"/>
        <v>4</v>
      </c>
      <c r="AC2248" s="68">
        <f ca="1">IFERROR(__xludf.DUMMYFUNCTION("""COMPUTED_VALUE"""),45399.9986111111)</f>
        <v>45399.998611111099</v>
      </c>
      <c r="AD2248" s="6">
        <f ca="1">IFERROR(__xludf.DUMMYFUNCTION("""COMPUTED_VALUE"""),1379.54)</f>
        <v>1379.54</v>
      </c>
      <c r="AH2248" s="6" t="str">
        <f t="shared" ca="1" si="642"/>
        <v>20242</v>
      </c>
      <c r="AI2248" s="6">
        <f t="shared" ca="1" si="643"/>
        <v>2024</v>
      </c>
      <c r="AJ2248" s="6">
        <f t="shared" ca="1" si="644"/>
        <v>2</v>
      </c>
      <c r="AK2248" s="68">
        <f ca="1">IFERROR(__xludf.DUMMYFUNCTION("""COMPUTED_VALUE"""),45341.9986111111)</f>
        <v>45341.998611111099</v>
      </c>
      <c r="AL2248" s="6">
        <f ca="1">IFERROR(__xludf.DUMMYFUNCTION("""COMPUTED_VALUE"""),51769.91)</f>
        <v>51769.91</v>
      </c>
      <c r="AP2248" s="6" t="str">
        <f t="shared" si="645"/>
        <v>19001</v>
      </c>
      <c r="AQ2248" s="6">
        <f t="shared" si="646"/>
        <v>1900</v>
      </c>
      <c r="AR2248" s="6">
        <f t="shared" si="647"/>
        <v>1</v>
      </c>
    </row>
    <row r="2249" spans="2:44" x14ac:dyDescent="0.35">
      <c r="B2249" s="6" t="str">
        <f t="shared" si="630"/>
        <v>19001</v>
      </c>
      <c r="C2249" s="6">
        <f t="shared" si="631"/>
        <v>1900</v>
      </c>
      <c r="D2249" s="6">
        <f t="shared" si="632"/>
        <v>1</v>
      </c>
      <c r="J2249" s="6" t="str">
        <f t="shared" si="633"/>
        <v>19001</v>
      </c>
      <c r="K2249" s="6">
        <f t="shared" si="634"/>
        <v>1900</v>
      </c>
      <c r="L2249" s="6">
        <f t="shared" si="635"/>
        <v>1</v>
      </c>
      <c r="R2249" s="6" t="str">
        <f t="shared" si="636"/>
        <v>19001</v>
      </c>
      <c r="S2249" s="6">
        <f t="shared" si="637"/>
        <v>1900</v>
      </c>
      <c r="T2249" s="6">
        <f t="shared" si="638"/>
        <v>1</v>
      </c>
      <c r="Z2249" s="6" t="str">
        <f t="shared" ca="1" si="639"/>
        <v>20244</v>
      </c>
      <c r="AA2249" s="6">
        <f t="shared" ca="1" si="640"/>
        <v>2024</v>
      </c>
      <c r="AB2249" s="6">
        <f t="shared" ca="1" si="641"/>
        <v>4</v>
      </c>
      <c r="AC2249" s="68">
        <f ca="1">IFERROR(__xludf.DUMMYFUNCTION("""COMPUTED_VALUE"""),45400.9986111111)</f>
        <v>45400.998611111099</v>
      </c>
      <c r="AD2249" s="6">
        <f ca="1">IFERROR(__xludf.DUMMYFUNCTION("""COMPUTED_VALUE"""),1379.4)</f>
        <v>1379.4</v>
      </c>
      <c r="AH2249" s="6" t="str">
        <f t="shared" ca="1" si="642"/>
        <v>20242</v>
      </c>
      <c r="AI2249" s="6">
        <f t="shared" ca="1" si="643"/>
        <v>2024</v>
      </c>
      <c r="AJ2249" s="6">
        <f t="shared" ca="1" si="644"/>
        <v>2</v>
      </c>
      <c r="AK2249" s="68">
        <f ca="1">IFERROR(__xludf.DUMMYFUNCTION("""COMPUTED_VALUE"""),45342.9986111111)</f>
        <v>45342.998611111099</v>
      </c>
      <c r="AL2249" s="6">
        <f ca="1">IFERROR(__xludf.DUMMYFUNCTION("""COMPUTED_VALUE"""),52287.03)</f>
        <v>52287.03</v>
      </c>
      <c r="AP2249" s="6" t="str">
        <f t="shared" si="645"/>
        <v>19001</v>
      </c>
      <c r="AQ2249" s="6">
        <f t="shared" si="646"/>
        <v>1900</v>
      </c>
      <c r="AR2249" s="6">
        <f t="shared" si="647"/>
        <v>1</v>
      </c>
    </row>
    <row r="2250" spans="2:44" x14ac:dyDescent="0.35">
      <c r="B2250" s="6" t="str">
        <f t="shared" si="630"/>
        <v>19001</v>
      </c>
      <c r="C2250" s="6">
        <f t="shared" si="631"/>
        <v>1900</v>
      </c>
      <c r="D2250" s="6">
        <f t="shared" si="632"/>
        <v>1</v>
      </c>
      <c r="J2250" s="6" t="str">
        <f t="shared" si="633"/>
        <v>19001</v>
      </c>
      <c r="K2250" s="6">
        <f t="shared" si="634"/>
        <v>1900</v>
      </c>
      <c r="L2250" s="6">
        <f t="shared" si="635"/>
        <v>1</v>
      </c>
      <c r="R2250" s="6" t="str">
        <f t="shared" si="636"/>
        <v>19001</v>
      </c>
      <c r="S2250" s="6">
        <f t="shared" si="637"/>
        <v>1900</v>
      </c>
      <c r="T2250" s="6">
        <f t="shared" si="638"/>
        <v>1</v>
      </c>
      <c r="Z2250" s="6" t="str">
        <f t="shared" ca="1" si="639"/>
        <v>20244</v>
      </c>
      <c r="AA2250" s="6">
        <f t="shared" ca="1" si="640"/>
        <v>2024</v>
      </c>
      <c r="AB2250" s="6">
        <f t="shared" ca="1" si="641"/>
        <v>4</v>
      </c>
      <c r="AC2250" s="68">
        <f ca="1">IFERROR(__xludf.DUMMYFUNCTION("""COMPUTED_VALUE"""),45401.9986111111)</f>
        <v>45401.998611111099</v>
      </c>
      <c r="AD2250" s="6">
        <f ca="1">IFERROR(__xludf.DUMMYFUNCTION("""COMPUTED_VALUE"""),1373.58)</f>
        <v>1373.58</v>
      </c>
      <c r="AH2250" s="6" t="str">
        <f t="shared" ca="1" si="642"/>
        <v>20242</v>
      </c>
      <c r="AI2250" s="6">
        <f t="shared" ca="1" si="643"/>
        <v>2024</v>
      </c>
      <c r="AJ2250" s="6">
        <f t="shared" ca="1" si="644"/>
        <v>2</v>
      </c>
      <c r="AK2250" s="68">
        <f ca="1">IFERROR(__xludf.DUMMYFUNCTION("""COMPUTED_VALUE"""),45343.9986111111)</f>
        <v>45343.998611111099</v>
      </c>
      <c r="AL2250" s="6">
        <f ca="1">IFERROR(__xludf.DUMMYFUNCTION("""COMPUTED_VALUE"""),51756.38)</f>
        <v>51756.38</v>
      </c>
      <c r="AP2250" s="6" t="str">
        <f t="shared" si="645"/>
        <v>19001</v>
      </c>
      <c r="AQ2250" s="6">
        <f t="shared" si="646"/>
        <v>1900</v>
      </c>
      <c r="AR2250" s="6">
        <f t="shared" si="647"/>
        <v>1</v>
      </c>
    </row>
    <row r="2251" spans="2:44" x14ac:dyDescent="0.35">
      <c r="B2251" s="6" t="str">
        <f t="shared" si="630"/>
        <v>19001</v>
      </c>
      <c r="C2251" s="6">
        <f t="shared" si="631"/>
        <v>1900</v>
      </c>
      <c r="D2251" s="6">
        <f t="shared" si="632"/>
        <v>1</v>
      </c>
      <c r="J2251" s="6" t="str">
        <f t="shared" si="633"/>
        <v>19001</v>
      </c>
      <c r="K2251" s="6">
        <f t="shared" si="634"/>
        <v>1900</v>
      </c>
      <c r="L2251" s="6">
        <f t="shared" si="635"/>
        <v>1</v>
      </c>
      <c r="R2251" s="6" t="str">
        <f t="shared" si="636"/>
        <v>19001</v>
      </c>
      <c r="S2251" s="6">
        <f t="shared" si="637"/>
        <v>1900</v>
      </c>
      <c r="T2251" s="6">
        <f t="shared" si="638"/>
        <v>1</v>
      </c>
      <c r="Z2251" s="6" t="str">
        <f t="shared" ca="1" si="639"/>
        <v>20244</v>
      </c>
      <c r="AA2251" s="6">
        <f t="shared" ca="1" si="640"/>
        <v>2024</v>
      </c>
      <c r="AB2251" s="6">
        <f t="shared" ca="1" si="641"/>
        <v>4</v>
      </c>
      <c r="AC2251" s="68">
        <f ca="1">IFERROR(__xludf.DUMMYFUNCTION("""COMPUTED_VALUE"""),45402.9986111111)</f>
        <v>45402.998611111099</v>
      </c>
      <c r="AD2251" s="6">
        <f ca="1">IFERROR(__xludf.DUMMYFUNCTION("""COMPUTED_VALUE"""),1373.58)</f>
        <v>1373.58</v>
      </c>
      <c r="AH2251" s="6" t="str">
        <f t="shared" ca="1" si="642"/>
        <v>20242</v>
      </c>
      <c r="AI2251" s="6">
        <f t="shared" ca="1" si="643"/>
        <v>2024</v>
      </c>
      <c r="AJ2251" s="6">
        <f t="shared" ca="1" si="644"/>
        <v>2</v>
      </c>
      <c r="AK2251" s="68">
        <f ca="1">IFERROR(__xludf.DUMMYFUNCTION("""COMPUTED_VALUE"""),45344.9986111111)</f>
        <v>45344.998611111099</v>
      </c>
      <c r="AL2251" s="6">
        <f ca="1">IFERROR(__xludf.DUMMYFUNCTION("""COMPUTED_VALUE"""),51312.23)</f>
        <v>51312.23</v>
      </c>
      <c r="AP2251" s="6" t="str">
        <f t="shared" si="645"/>
        <v>19001</v>
      </c>
      <c r="AQ2251" s="6">
        <f t="shared" si="646"/>
        <v>1900</v>
      </c>
      <c r="AR2251" s="6">
        <f t="shared" si="647"/>
        <v>1</v>
      </c>
    </row>
    <row r="2252" spans="2:44" x14ac:dyDescent="0.35">
      <c r="B2252" s="6" t="str">
        <f t="shared" si="630"/>
        <v>19001</v>
      </c>
      <c r="C2252" s="6">
        <f t="shared" si="631"/>
        <v>1900</v>
      </c>
      <c r="D2252" s="6">
        <f t="shared" si="632"/>
        <v>1</v>
      </c>
      <c r="J2252" s="6" t="str">
        <f t="shared" si="633"/>
        <v>19001</v>
      </c>
      <c r="K2252" s="6">
        <f t="shared" si="634"/>
        <v>1900</v>
      </c>
      <c r="L2252" s="6">
        <f t="shared" si="635"/>
        <v>1</v>
      </c>
      <c r="R2252" s="6" t="str">
        <f t="shared" si="636"/>
        <v>19001</v>
      </c>
      <c r="S2252" s="6">
        <f t="shared" si="637"/>
        <v>1900</v>
      </c>
      <c r="T2252" s="6">
        <f t="shared" si="638"/>
        <v>1</v>
      </c>
      <c r="Z2252" s="6" t="str">
        <f t="shared" ca="1" si="639"/>
        <v>20244</v>
      </c>
      <c r="AA2252" s="6">
        <f t="shared" ca="1" si="640"/>
        <v>2024</v>
      </c>
      <c r="AB2252" s="6">
        <f t="shared" ca="1" si="641"/>
        <v>4</v>
      </c>
      <c r="AC2252" s="68">
        <f ca="1">IFERROR(__xludf.DUMMYFUNCTION("""COMPUTED_VALUE"""),45403.9986111111)</f>
        <v>45403.998611111099</v>
      </c>
      <c r="AD2252" s="6">
        <f ca="1">IFERROR(__xludf.DUMMYFUNCTION("""COMPUTED_VALUE"""),1373.93)</f>
        <v>1373.93</v>
      </c>
      <c r="AH2252" s="6" t="str">
        <f t="shared" ca="1" si="642"/>
        <v>20242</v>
      </c>
      <c r="AI2252" s="6">
        <f t="shared" ca="1" si="643"/>
        <v>2024</v>
      </c>
      <c r="AJ2252" s="6">
        <f t="shared" ca="1" si="644"/>
        <v>2</v>
      </c>
      <c r="AK2252" s="68">
        <f ca="1">IFERROR(__xludf.DUMMYFUNCTION("""COMPUTED_VALUE"""),45345.9986111111)</f>
        <v>45345.998611111099</v>
      </c>
      <c r="AL2252" s="6">
        <f ca="1">IFERROR(__xludf.DUMMYFUNCTION("""COMPUTED_VALUE"""),50745.88)</f>
        <v>50745.88</v>
      </c>
      <c r="AP2252" s="6" t="str">
        <f t="shared" si="645"/>
        <v>19001</v>
      </c>
      <c r="AQ2252" s="6">
        <f t="shared" si="646"/>
        <v>1900</v>
      </c>
      <c r="AR2252" s="6">
        <f t="shared" si="647"/>
        <v>1</v>
      </c>
    </row>
    <row r="2253" spans="2:44" x14ac:dyDescent="0.35">
      <c r="B2253" s="6" t="str">
        <f t="shared" si="630"/>
        <v>19001</v>
      </c>
      <c r="C2253" s="6">
        <f t="shared" si="631"/>
        <v>1900</v>
      </c>
      <c r="D2253" s="6">
        <f t="shared" si="632"/>
        <v>1</v>
      </c>
      <c r="J2253" s="6" t="str">
        <f t="shared" si="633"/>
        <v>19001</v>
      </c>
      <c r="K2253" s="6">
        <f t="shared" si="634"/>
        <v>1900</v>
      </c>
      <c r="L2253" s="6">
        <f t="shared" si="635"/>
        <v>1</v>
      </c>
      <c r="R2253" s="6" t="str">
        <f t="shared" si="636"/>
        <v>19001</v>
      </c>
      <c r="S2253" s="6">
        <f t="shared" si="637"/>
        <v>1900</v>
      </c>
      <c r="T2253" s="6">
        <f t="shared" si="638"/>
        <v>1</v>
      </c>
      <c r="Z2253" s="6" t="str">
        <f t="shared" ca="1" si="639"/>
        <v>20244</v>
      </c>
      <c r="AA2253" s="6">
        <f t="shared" ca="1" si="640"/>
        <v>2024</v>
      </c>
      <c r="AB2253" s="6">
        <f t="shared" ca="1" si="641"/>
        <v>4</v>
      </c>
      <c r="AC2253" s="68">
        <f ca="1">IFERROR(__xludf.DUMMYFUNCTION("""COMPUTED_VALUE"""),45404.9986111111)</f>
        <v>45404.998611111099</v>
      </c>
      <c r="AD2253" s="6">
        <f ca="1">IFERROR(__xludf.DUMMYFUNCTION("""COMPUTED_VALUE"""),1378.84)</f>
        <v>1378.84</v>
      </c>
      <c r="AH2253" s="6" t="str">
        <f t="shared" ca="1" si="642"/>
        <v>20242</v>
      </c>
      <c r="AI2253" s="6">
        <f t="shared" ca="1" si="643"/>
        <v>2024</v>
      </c>
      <c r="AJ2253" s="6">
        <f t="shared" ca="1" si="644"/>
        <v>2</v>
      </c>
      <c r="AK2253" s="68">
        <f ca="1">IFERROR(__xludf.DUMMYFUNCTION("""COMPUTED_VALUE"""),45346.9986111111)</f>
        <v>45346.998611111099</v>
      </c>
      <c r="AL2253" s="6">
        <f ca="1">IFERROR(__xludf.DUMMYFUNCTION("""COMPUTED_VALUE"""),51592.58)</f>
        <v>51592.58</v>
      </c>
      <c r="AP2253" s="6" t="str">
        <f t="shared" si="645"/>
        <v>19001</v>
      </c>
      <c r="AQ2253" s="6">
        <f t="shared" si="646"/>
        <v>1900</v>
      </c>
      <c r="AR2253" s="6">
        <f t="shared" si="647"/>
        <v>1</v>
      </c>
    </row>
    <row r="2254" spans="2:44" x14ac:dyDescent="0.35">
      <c r="B2254" s="6" t="str">
        <f t="shared" si="630"/>
        <v>19001</v>
      </c>
      <c r="C2254" s="6">
        <f t="shared" si="631"/>
        <v>1900</v>
      </c>
      <c r="D2254" s="6">
        <f t="shared" si="632"/>
        <v>1</v>
      </c>
      <c r="J2254" s="6" t="str">
        <f t="shared" si="633"/>
        <v>19001</v>
      </c>
      <c r="K2254" s="6">
        <f t="shared" si="634"/>
        <v>1900</v>
      </c>
      <c r="L2254" s="6">
        <f t="shared" si="635"/>
        <v>1</v>
      </c>
      <c r="R2254" s="6" t="str">
        <f t="shared" si="636"/>
        <v>19001</v>
      </c>
      <c r="S2254" s="6">
        <f t="shared" si="637"/>
        <v>1900</v>
      </c>
      <c r="T2254" s="6">
        <f t="shared" si="638"/>
        <v>1</v>
      </c>
      <c r="Z2254" s="6" t="str">
        <f t="shared" ca="1" si="639"/>
        <v>20244</v>
      </c>
      <c r="AA2254" s="6">
        <f t="shared" ca="1" si="640"/>
        <v>2024</v>
      </c>
      <c r="AB2254" s="6">
        <f t="shared" ca="1" si="641"/>
        <v>4</v>
      </c>
      <c r="AC2254" s="68">
        <f ca="1">IFERROR(__xludf.DUMMYFUNCTION("""COMPUTED_VALUE"""),45405.9986111111)</f>
        <v>45405.998611111099</v>
      </c>
      <c r="AD2254" s="6">
        <f ca="1">IFERROR(__xludf.DUMMYFUNCTION("""COMPUTED_VALUE"""),1370.48)</f>
        <v>1370.48</v>
      </c>
      <c r="AH2254" s="6" t="str">
        <f t="shared" ca="1" si="642"/>
        <v>20242</v>
      </c>
      <c r="AI2254" s="6">
        <f t="shared" ca="1" si="643"/>
        <v>2024</v>
      </c>
      <c r="AJ2254" s="6">
        <f t="shared" ca="1" si="644"/>
        <v>2</v>
      </c>
      <c r="AK2254" s="68">
        <f ca="1">IFERROR(__xludf.DUMMYFUNCTION("""COMPUTED_VALUE"""),45347.9986111111)</f>
        <v>45347.998611111099</v>
      </c>
      <c r="AL2254" s="6">
        <f ca="1">IFERROR(__xludf.DUMMYFUNCTION("""COMPUTED_VALUE"""),51728.53)</f>
        <v>51728.53</v>
      </c>
      <c r="AP2254" s="6" t="str">
        <f t="shared" si="645"/>
        <v>19001</v>
      </c>
      <c r="AQ2254" s="6">
        <f t="shared" si="646"/>
        <v>1900</v>
      </c>
      <c r="AR2254" s="6">
        <f t="shared" si="647"/>
        <v>1</v>
      </c>
    </row>
    <row r="2255" spans="2:44" x14ac:dyDescent="0.35">
      <c r="B2255" s="6" t="str">
        <f t="shared" si="630"/>
        <v>19001</v>
      </c>
      <c r="C2255" s="6">
        <f t="shared" si="631"/>
        <v>1900</v>
      </c>
      <c r="D2255" s="6">
        <f t="shared" si="632"/>
        <v>1</v>
      </c>
      <c r="J2255" s="6" t="str">
        <f t="shared" si="633"/>
        <v>19001</v>
      </c>
      <c r="K2255" s="6">
        <f t="shared" si="634"/>
        <v>1900</v>
      </c>
      <c r="L2255" s="6">
        <f t="shared" si="635"/>
        <v>1</v>
      </c>
      <c r="R2255" s="6" t="str">
        <f t="shared" si="636"/>
        <v>19001</v>
      </c>
      <c r="S2255" s="6">
        <f t="shared" si="637"/>
        <v>1900</v>
      </c>
      <c r="T2255" s="6">
        <f t="shared" si="638"/>
        <v>1</v>
      </c>
      <c r="Z2255" s="6" t="str">
        <f t="shared" ca="1" si="639"/>
        <v>20244</v>
      </c>
      <c r="AA2255" s="6">
        <f t="shared" ca="1" si="640"/>
        <v>2024</v>
      </c>
      <c r="AB2255" s="6">
        <f t="shared" ca="1" si="641"/>
        <v>4</v>
      </c>
      <c r="AC2255" s="68">
        <f ca="1">IFERROR(__xludf.DUMMYFUNCTION("""COMPUTED_VALUE"""),45406.9986111111)</f>
        <v>45406.998611111099</v>
      </c>
      <c r="AD2255" s="6">
        <f ca="1">IFERROR(__xludf.DUMMYFUNCTION("""COMPUTED_VALUE"""),1376.97)</f>
        <v>1376.97</v>
      </c>
      <c r="AH2255" s="6" t="str">
        <f t="shared" ca="1" si="642"/>
        <v>20242</v>
      </c>
      <c r="AI2255" s="6">
        <f t="shared" ca="1" si="643"/>
        <v>2024</v>
      </c>
      <c r="AJ2255" s="6">
        <f t="shared" ca="1" si="644"/>
        <v>2</v>
      </c>
      <c r="AK2255" s="68">
        <f ca="1">IFERROR(__xludf.DUMMYFUNCTION("""COMPUTED_VALUE"""),45348.9986111111)</f>
        <v>45348.998611111099</v>
      </c>
      <c r="AL2255" s="6">
        <f ca="1">IFERROR(__xludf.DUMMYFUNCTION("""COMPUTED_VALUE"""),54501.24)</f>
        <v>54501.24</v>
      </c>
      <c r="AP2255" s="6" t="str">
        <f t="shared" si="645"/>
        <v>19001</v>
      </c>
      <c r="AQ2255" s="6">
        <f t="shared" si="646"/>
        <v>1900</v>
      </c>
      <c r="AR2255" s="6">
        <f t="shared" si="647"/>
        <v>1</v>
      </c>
    </row>
    <row r="2256" spans="2:44" x14ac:dyDescent="0.35">
      <c r="B2256" s="6" t="str">
        <f t="shared" si="630"/>
        <v>19001</v>
      </c>
      <c r="C2256" s="6">
        <f t="shared" si="631"/>
        <v>1900</v>
      </c>
      <c r="D2256" s="6">
        <f t="shared" si="632"/>
        <v>1</v>
      </c>
      <c r="J2256" s="6" t="str">
        <f t="shared" si="633"/>
        <v>19001</v>
      </c>
      <c r="K2256" s="6">
        <f t="shared" si="634"/>
        <v>1900</v>
      </c>
      <c r="L2256" s="6">
        <f t="shared" si="635"/>
        <v>1</v>
      </c>
      <c r="R2256" s="6" t="str">
        <f t="shared" si="636"/>
        <v>19001</v>
      </c>
      <c r="S2256" s="6">
        <f t="shared" si="637"/>
        <v>1900</v>
      </c>
      <c r="T2256" s="6">
        <f t="shared" si="638"/>
        <v>1</v>
      </c>
      <c r="Z2256" s="6" t="str">
        <f t="shared" ca="1" si="639"/>
        <v>20244</v>
      </c>
      <c r="AA2256" s="6">
        <f t="shared" ca="1" si="640"/>
        <v>2024</v>
      </c>
      <c r="AB2256" s="6">
        <f t="shared" ca="1" si="641"/>
        <v>4</v>
      </c>
      <c r="AC2256" s="68">
        <f ca="1">IFERROR(__xludf.DUMMYFUNCTION("""COMPUTED_VALUE"""),45407.9986111111)</f>
        <v>45407.998611111099</v>
      </c>
      <c r="AD2256" s="6">
        <f ca="1">IFERROR(__xludf.DUMMYFUNCTION("""COMPUTED_VALUE"""),1371.7)</f>
        <v>1371.7</v>
      </c>
      <c r="AH2256" s="6" t="str">
        <f t="shared" ca="1" si="642"/>
        <v>20242</v>
      </c>
      <c r="AI2256" s="6">
        <f t="shared" ca="1" si="643"/>
        <v>2024</v>
      </c>
      <c r="AJ2256" s="6">
        <f t="shared" ca="1" si="644"/>
        <v>2</v>
      </c>
      <c r="AK2256" s="68">
        <f ca="1">IFERROR(__xludf.DUMMYFUNCTION("""COMPUTED_VALUE"""),45349.9986111111)</f>
        <v>45349.998611111099</v>
      </c>
      <c r="AL2256" s="6">
        <f ca="1">IFERROR(__xludf.DUMMYFUNCTION("""COMPUTED_VALUE"""),57067.15)</f>
        <v>57067.15</v>
      </c>
      <c r="AP2256" s="6" t="str">
        <f t="shared" si="645"/>
        <v>19001</v>
      </c>
      <c r="AQ2256" s="6">
        <f t="shared" si="646"/>
        <v>1900</v>
      </c>
      <c r="AR2256" s="6">
        <f t="shared" si="647"/>
        <v>1</v>
      </c>
    </row>
    <row r="2257" spans="2:44" x14ac:dyDescent="0.35">
      <c r="B2257" s="6" t="str">
        <f t="shared" si="630"/>
        <v>19001</v>
      </c>
      <c r="C2257" s="6">
        <f t="shared" si="631"/>
        <v>1900</v>
      </c>
      <c r="D2257" s="6">
        <f t="shared" si="632"/>
        <v>1</v>
      </c>
      <c r="J2257" s="6" t="str">
        <f t="shared" si="633"/>
        <v>19001</v>
      </c>
      <c r="K2257" s="6">
        <f t="shared" si="634"/>
        <v>1900</v>
      </c>
      <c r="L2257" s="6">
        <f t="shared" si="635"/>
        <v>1</v>
      </c>
      <c r="R2257" s="6" t="str">
        <f t="shared" si="636"/>
        <v>19001</v>
      </c>
      <c r="S2257" s="6">
        <f t="shared" si="637"/>
        <v>1900</v>
      </c>
      <c r="T2257" s="6">
        <f t="shared" si="638"/>
        <v>1</v>
      </c>
      <c r="Z2257" s="6" t="str">
        <f t="shared" ca="1" si="639"/>
        <v>20244</v>
      </c>
      <c r="AA2257" s="6">
        <f t="shared" ca="1" si="640"/>
        <v>2024</v>
      </c>
      <c r="AB2257" s="6">
        <f t="shared" ca="1" si="641"/>
        <v>4</v>
      </c>
      <c r="AC2257" s="68">
        <f ca="1">IFERROR(__xludf.DUMMYFUNCTION("""COMPUTED_VALUE"""),45408.9986111111)</f>
        <v>45408.998611111099</v>
      </c>
      <c r="AD2257" s="6">
        <f ca="1">IFERROR(__xludf.DUMMYFUNCTION("""COMPUTED_VALUE"""),1376.43)</f>
        <v>1376.43</v>
      </c>
      <c r="AH2257" s="6" t="str">
        <f t="shared" ca="1" si="642"/>
        <v>20242</v>
      </c>
      <c r="AI2257" s="6">
        <f t="shared" ca="1" si="643"/>
        <v>2024</v>
      </c>
      <c r="AJ2257" s="6">
        <f t="shared" ca="1" si="644"/>
        <v>2</v>
      </c>
      <c r="AK2257" s="68">
        <f ca="1">IFERROR(__xludf.DUMMYFUNCTION("""COMPUTED_VALUE"""),45350.9986111111)</f>
        <v>45350.998611111099</v>
      </c>
      <c r="AL2257" s="6">
        <f ca="1">IFERROR(__xludf.DUMMYFUNCTION("""COMPUTED_VALUE"""),62534.39)</f>
        <v>62534.39</v>
      </c>
      <c r="AP2257" s="6" t="str">
        <f t="shared" si="645"/>
        <v>19001</v>
      </c>
      <c r="AQ2257" s="6">
        <f t="shared" si="646"/>
        <v>1900</v>
      </c>
      <c r="AR2257" s="6">
        <f t="shared" si="647"/>
        <v>1</v>
      </c>
    </row>
    <row r="2258" spans="2:44" x14ac:dyDescent="0.35">
      <c r="B2258" s="6" t="str">
        <f t="shared" si="630"/>
        <v>19001</v>
      </c>
      <c r="C2258" s="6">
        <f t="shared" si="631"/>
        <v>1900</v>
      </c>
      <c r="D2258" s="6">
        <f t="shared" si="632"/>
        <v>1</v>
      </c>
      <c r="J2258" s="6" t="str">
        <f t="shared" si="633"/>
        <v>19001</v>
      </c>
      <c r="K2258" s="6">
        <f t="shared" si="634"/>
        <v>1900</v>
      </c>
      <c r="L2258" s="6">
        <f t="shared" si="635"/>
        <v>1</v>
      </c>
      <c r="R2258" s="6" t="str">
        <f t="shared" si="636"/>
        <v>19001</v>
      </c>
      <c r="S2258" s="6">
        <f t="shared" si="637"/>
        <v>1900</v>
      </c>
      <c r="T2258" s="6">
        <f t="shared" si="638"/>
        <v>1</v>
      </c>
      <c r="Z2258" s="6" t="str">
        <f t="shared" ca="1" si="639"/>
        <v>20244</v>
      </c>
      <c r="AA2258" s="6">
        <f t="shared" ca="1" si="640"/>
        <v>2024</v>
      </c>
      <c r="AB2258" s="6">
        <f t="shared" ca="1" si="641"/>
        <v>4</v>
      </c>
      <c r="AC2258" s="68">
        <f ca="1">IFERROR(__xludf.DUMMYFUNCTION("""COMPUTED_VALUE"""),45409.9986111111)</f>
        <v>45409.998611111099</v>
      </c>
      <c r="AD2258" s="6">
        <f ca="1">IFERROR(__xludf.DUMMYFUNCTION("""COMPUTED_VALUE"""),1376.43)</f>
        <v>1376.43</v>
      </c>
      <c r="AH2258" s="6" t="str">
        <f t="shared" ca="1" si="642"/>
        <v>20242</v>
      </c>
      <c r="AI2258" s="6">
        <f t="shared" ca="1" si="643"/>
        <v>2024</v>
      </c>
      <c r="AJ2258" s="6">
        <f t="shared" ca="1" si="644"/>
        <v>2</v>
      </c>
      <c r="AK2258" s="68">
        <f ca="1">IFERROR(__xludf.DUMMYFUNCTION("""COMPUTED_VALUE"""),45351.9986111111)</f>
        <v>45351.998611111099</v>
      </c>
      <c r="AL2258" s="6">
        <f ca="1">IFERROR(__xludf.DUMMYFUNCTION("""COMPUTED_VALUE"""),61253.9)</f>
        <v>61253.9</v>
      </c>
      <c r="AP2258" s="6" t="str">
        <f t="shared" si="645"/>
        <v>19001</v>
      </c>
      <c r="AQ2258" s="6">
        <f t="shared" si="646"/>
        <v>1900</v>
      </c>
      <c r="AR2258" s="6">
        <f t="shared" si="647"/>
        <v>1</v>
      </c>
    </row>
    <row r="2259" spans="2:44" x14ac:dyDescent="0.35">
      <c r="B2259" s="6" t="str">
        <f t="shared" si="630"/>
        <v>19001</v>
      </c>
      <c r="C2259" s="6">
        <f t="shared" si="631"/>
        <v>1900</v>
      </c>
      <c r="D2259" s="6">
        <f t="shared" si="632"/>
        <v>1</v>
      </c>
      <c r="J2259" s="6" t="str">
        <f t="shared" si="633"/>
        <v>19001</v>
      </c>
      <c r="K2259" s="6">
        <f t="shared" si="634"/>
        <v>1900</v>
      </c>
      <c r="L2259" s="6">
        <f t="shared" si="635"/>
        <v>1</v>
      </c>
      <c r="R2259" s="6" t="str">
        <f t="shared" si="636"/>
        <v>19001</v>
      </c>
      <c r="S2259" s="6">
        <f t="shared" si="637"/>
        <v>1900</v>
      </c>
      <c r="T2259" s="6">
        <f t="shared" si="638"/>
        <v>1</v>
      </c>
      <c r="Z2259" s="6" t="str">
        <f t="shared" ca="1" si="639"/>
        <v>20244</v>
      </c>
      <c r="AA2259" s="6">
        <f t="shared" ca="1" si="640"/>
        <v>2024</v>
      </c>
      <c r="AB2259" s="6">
        <f t="shared" ca="1" si="641"/>
        <v>4</v>
      </c>
      <c r="AC2259" s="68">
        <f ca="1">IFERROR(__xludf.DUMMYFUNCTION("""COMPUTED_VALUE"""),45410.9986111111)</f>
        <v>45410.998611111099</v>
      </c>
      <c r="AD2259" s="6">
        <f ca="1">IFERROR(__xludf.DUMMYFUNCTION("""COMPUTED_VALUE"""),1377.09)</f>
        <v>1377.09</v>
      </c>
      <c r="AH2259" s="6" t="str">
        <f t="shared" ca="1" si="642"/>
        <v>20243</v>
      </c>
      <c r="AI2259" s="6">
        <f t="shared" ca="1" si="643"/>
        <v>2024</v>
      </c>
      <c r="AJ2259" s="6">
        <f t="shared" ca="1" si="644"/>
        <v>3</v>
      </c>
      <c r="AK2259" s="68">
        <f ca="1">IFERROR(__xludf.DUMMYFUNCTION("""COMPUTED_VALUE"""),45352.9986111111)</f>
        <v>45352.998611111099</v>
      </c>
      <c r="AL2259" s="6">
        <f ca="1">IFERROR(__xludf.DUMMYFUNCTION("""COMPUTED_VALUE"""),62520.18)</f>
        <v>62520.18</v>
      </c>
      <c r="AP2259" s="6" t="str">
        <f t="shared" si="645"/>
        <v>19001</v>
      </c>
      <c r="AQ2259" s="6">
        <f t="shared" si="646"/>
        <v>1900</v>
      </c>
      <c r="AR2259" s="6">
        <f t="shared" si="647"/>
        <v>1</v>
      </c>
    </row>
    <row r="2260" spans="2:44" x14ac:dyDescent="0.35">
      <c r="B2260" s="6" t="str">
        <f t="shared" si="630"/>
        <v>19001</v>
      </c>
      <c r="C2260" s="6">
        <f t="shared" si="631"/>
        <v>1900</v>
      </c>
      <c r="D2260" s="6">
        <f t="shared" si="632"/>
        <v>1</v>
      </c>
      <c r="J2260" s="6" t="str">
        <f t="shared" si="633"/>
        <v>19001</v>
      </c>
      <c r="K2260" s="6">
        <f t="shared" si="634"/>
        <v>1900</v>
      </c>
      <c r="L2260" s="6">
        <f t="shared" si="635"/>
        <v>1</v>
      </c>
      <c r="R2260" s="6" t="str">
        <f t="shared" si="636"/>
        <v>19001</v>
      </c>
      <c r="S2260" s="6">
        <f t="shared" si="637"/>
        <v>1900</v>
      </c>
      <c r="T2260" s="6">
        <f t="shared" si="638"/>
        <v>1</v>
      </c>
      <c r="Z2260" s="6" t="str">
        <f t="shared" ca="1" si="639"/>
        <v>20244</v>
      </c>
      <c r="AA2260" s="6">
        <f t="shared" ca="1" si="640"/>
        <v>2024</v>
      </c>
      <c r="AB2260" s="6">
        <f t="shared" ca="1" si="641"/>
        <v>4</v>
      </c>
      <c r="AC2260" s="68">
        <f ca="1">IFERROR(__xludf.DUMMYFUNCTION("""COMPUTED_VALUE"""),45411.9986111111)</f>
        <v>45411.998611111099</v>
      </c>
      <c r="AD2260" s="6">
        <f ca="1">IFERROR(__xludf.DUMMYFUNCTION("""COMPUTED_VALUE"""),1374.64)</f>
        <v>1374.64</v>
      </c>
      <c r="AH2260" s="6" t="str">
        <f t="shared" ca="1" si="642"/>
        <v>20243</v>
      </c>
      <c r="AI2260" s="6">
        <f t="shared" ca="1" si="643"/>
        <v>2024</v>
      </c>
      <c r="AJ2260" s="6">
        <f t="shared" ca="1" si="644"/>
        <v>3</v>
      </c>
      <c r="AK2260" s="68">
        <f ca="1">IFERROR(__xludf.DUMMYFUNCTION("""COMPUTED_VALUE"""),45353.9986111111)</f>
        <v>45353.998611111099</v>
      </c>
      <c r="AL2260" s="6">
        <f ca="1">IFERROR(__xludf.DUMMYFUNCTION("""COMPUTED_VALUE"""),61980.11)</f>
        <v>61980.11</v>
      </c>
      <c r="AP2260" s="6" t="str">
        <f t="shared" si="645"/>
        <v>19001</v>
      </c>
      <c r="AQ2260" s="6">
        <f t="shared" si="646"/>
        <v>1900</v>
      </c>
      <c r="AR2260" s="6">
        <f t="shared" si="647"/>
        <v>1</v>
      </c>
    </row>
    <row r="2261" spans="2:44" x14ac:dyDescent="0.35">
      <c r="B2261" s="6" t="str">
        <f t="shared" si="630"/>
        <v>19001</v>
      </c>
      <c r="C2261" s="6">
        <f t="shared" si="631"/>
        <v>1900</v>
      </c>
      <c r="D2261" s="6">
        <f t="shared" si="632"/>
        <v>1</v>
      </c>
      <c r="J2261" s="6" t="str">
        <f t="shared" si="633"/>
        <v>19001</v>
      </c>
      <c r="K2261" s="6">
        <f t="shared" si="634"/>
        <v>1900</v>
      </c>
      <c r="L2261" s="6">
        <f t="shared" si="635"/>
        <v>1</v>
      </c>
      <c r="R2261" s="6" t="str">
        <f t="shared" si="636"/>
        <v>19001</v>
      </c>
      <c r="S2261" s="6">
        <f t="shared" si="637"/>
        <v>1900</v>
      </c>
      <c r="T2261" s="6">
        <f t="shared" si="638"/>
        <v>1</v>
      </c>
      <c r="Z2261" s="6" t="str">
        <f t="shared" ca="1" si="639"/>
        <v>20244</v>
      </c>
      <c r="AA2261" s="6">
        <f t="shared" ca="1" si="640"/>
        <v>2024</v>
      </c>
      <c r="AB2261" s="6">
        <f t="shared" ca="1" si="641"/>
        <v>4</v>
      </c>
      <c r="AC2261" s="68">
        <f ca="1">IFERROR(__xludf.DUMMYFUNCTION("""COMPUTED_VALUE"""),45412.9986111111)</f>
        <v>45412.998611111099</v>
      </c>
      <c r="AD2261" s="6">
        <f ca="1">IFERROR(__xludf.DUMMYFUNCTION("""COMPUTED_VALUE"""),1385.46)</f>
        <v>1385.46</v>
      </c>
      <c r="AH2261" s="6" t="str">
        <f t="shared" ca="1" si="642"/>
        <v>20243</v>
      </c>
      <c r="AI2261" s="6">
        <f t="shared" ca="1" si="643"/>
        <v>2024</v>
      </c>
      <c r="AJ2261" s="6">
        <f t="shared" ca="1" si="644"/>
        <v>3</v>
      </c>
      <c r="AK2261" s="68">
        <f ca="1">IFERROR(__xludf.DUMMYFUNCTION("""COMPUTED_VALUE"""),45354.9986111111)</f>
        <v>45354.998611111099</v>
      </c>
      <c r="AL2261" s="6">
        <f ca="1">IFERROR(__xludf.DUMMYFUNCTION("""COMPUTED_VALUE"""),63043.77)</f>
        <v>63043.77</v>
      </c>
      <c r="AP2261" s="6" t="str">
        <f t="shared" si="645"/>
        <v>19001</v>
      </c>
      <c r="AQ2261" s="6">
        <f t="shared" si="646"/>
        <v>1900</v>
      </c>
      <c r="AR2261" s="6">
        <f t="shared" si="647"/>
        <v>1</v>
      </c>
    </row>
    <row r="2262" spans="2:44" x14ac:dyDescent="0.35">
      <c r="B2262" s="6" t="str">
        <f t="shared" si="630"/>
        <v>19001</v>
      </c>
      <c r="C2262" s="6">
        <f t="shared" si="631"/>
        <v>1900</v>
      </c>
      <c r="D2262" s="6">
        <f t="shared" si="632"/>
        <v>1</v>
      </c>
      <c r="J2262" s="6" t="str">
        <f t="shared" si="633"/>
        <v>19001</v>
      </c>
      <c r="K2262" s="6">
        <f t="shared" si="634"/>
        <v>1900</v>
      </c>
      <c r="L2262" s="6">
        <f t="shared" si="635"/>
        <v>1</v>
      </c>
      <c r="R2262" s="6" t="str">
        <f t="shared" si="636"/>
        <v>19001</v>
      </c>
      <c r="S2262" s="6">
        <f t="shared" si="637"/>
        <v>1900</v>
      </c>
      <c r="T2262" s="6">
        <f t="shared" si="638"/>
        <v>1</v>
      </c>
      <c r="Z2262" s="6" t="str">
        <f t="shared" ca="1" si="639"/>
        <v>20245</v>
      </c>
      <c r="AA2262" s="6">
        <f t="shared" ca="1" si="640"/>
        <v>2024</v>
      </c>
      <c r="AB2262" s="6">
        <f t="shared" ca="1" si="641"/>
        <v>5</v>
      </c>
      <c r="AC2262" s="68">
        <f ca="1">IFERROR(__xludf.DUMMYFUNCTION("""COMPUTED_VALUE"""),45413.9986111111)</f>
        <v>45413.998611111099</v>
      </c>
      <c r="AD2262" s="6">
        <f ca="1">IFERROR(__xludf.DUMMYFUNCTION("""COMPUTED_VALUE"""),1375)</f>
        <v>1375</v>
      </c>
      <c r="AH2262" s="6" t="str">
        <f t="shared" ca="1" si="642"/>
        <v>20243</v>
      </c>
      <c r="AI2262" s="6">
        <f t="shared" ca="1" si="643"/>
        <v>2024</v>
      </c>
      <c r="AJ2262" s="6">
        <f t="shared" ca="1" si="644"/>
        <v>3</v>
      </c>
      <c r="AK2262" s="68">
        <f ca="1">IFERROR(__xludf.DUMMYFUNCTION("""COMPUTED_VALUE"""),45355.9986111111)</f>
        <v>45355.998611111099</v>
      </c>
      <c r="AL2262" s="6">
        <f ca="1">IFERROR(__xludf.DUMMYFUNCTION("""COMPUTED_VALUE"""),68304.96)</f>
        <v>68304.960000000006</v>
      </c>
      <c r="AP2262" s="6" t="str">
        <f t="shared" si="645"/>
        <v>19001</v>
      </c>
      <c r="AQ2262" s="6">
        <f t="shared" si="646"/>
        <v>1900</v>
      </c>
      <c r="AR2262" s="6">
        <f t="shared" si="647"/>
        <v>1</v>
      </c>
    </row>
    <row r="2263" spans="2:44" x14ac:dyDescent="0.35">
      <c r="B2263" s="6" t="str">
        <f t="shared" si="630"/>
        <v>19001</v>
      </c>
      <c r="C2263" s="6">
        <f t="shared" si="631"/>
        <v>1900</v>
      </c>
      <c r="D2263" s="6">
        <f t="shared" si="632"/>
        <v>1</v>
      </c>
      <c r="J2263" s="6" t="str">
        <f t="shared" si="633"/>
        <v>19001</v>
      </c>
      <c r="K2263" s="6">
        <f t="shared" si="634"/>
        <v>1900</v>
      </c>
      <c r="L2263" s="6">
        <f t="shared" si="635"/>
        <v>1</v>
      </c>
      <c r="R2263" s="6" t="str">
        <f t="shared" si="636"/>
        <v>19001</v>
      </c>
      <c r="S2263" s="6">
        <f t="shared" si="637"/>
        <v>1900</v>
      </c>
      <c r="T2263" s="6">
        <f t="shared" si="638"/>
        <v>1</v>
      </c>
      <c r="Z2263" s="6" t="str">
        <f t="shared" ca="1" si="639"/>
        <v>20245</v>
      </c>
      <c r="AA2263" s="6">
        <f t="shared" ca="1" si="640"/>
        <v>2024</v>
      </c>
      <c r="AB2263" s="6">
        <f t="shared" ca="1" si="641"/>
        <v>5</v>
      </c>
      <c r="AC2263" s="68">
        <f ca="1">IFERROR(__xludf.DUMMYFUNCTION("""COMPUTED_VALUE"""),45414.9986111111)</f>
        <v>45414.998611111099</v>
      </c>
      <c r="AD2263" s="6">
        <f ca="1">IFERROR(__xludf.DUMMYFUNCTION("""COMPUTED_VALUE"""),1364.64)</f>
        <v>1364.64</v>
      </c>
      <c r="AH2263" s="6" t="str">
        <f t="shared" ca="1" si="642"/>
        <v>20243</v>
      </c>
      <c r="AI2263" s="6">
        <f t="shared" ca="1" si="643"/>
        <v>2024</v>
      </c>
      <c r="AJ2263" s="6">
        <f t="shared" ca="1" si="644"/>
        <v>3</v>
      </c>
      <c r="AK2263" s="68">
        <f ca="1">IFERROR(__xludf.DUMMYFUNCTION("""COMPUTED_VALUE"""),45356.9986111111)</f>
        <v>45356.998611111099</v>
      </c>
      <c r="AL2263" s="6">
        <f ca="1">IFERROR(__xludf.DUMMYFUNCTION("""COMPUTED_VALUE"""),64041.52)</f>
        <v>64041.52</v>
      </c>
      <c r="AP2263" s="6" t="str">
        <f t="shared" si="645"/>
        <v>19001</v>
      </c>
      <c r="AQ2263" s="6">
        <f t="shared" si="646"/>
        <v>1900</v>
      </c>
      <c r="AR2263" s="6">
        <f t="shared" si="647"/>
        <v>1</v>
      </c>
    </row>
    <row r="2264" spans="2:44" x14ac:dyDescent="0.35">
      <c r="B2264" s="6" t="str">
        <f t="shared" si="630"/>
        <v>19001</v>
      </c>
      <c r="C2264" s="6">
        <f t="shared" si="631"/>
        <v>1900</v>
      </c>
      <c r="D2264" s="6">
        <f t="shared" si="632"/>
        <v>1</v>
      </c>
      <c r="J2264" s="6" t="str">
        <f t="shared" si="633"/>
        <v>19001</v>
      </c>
      <c r="K2264" s="6">
        <f t="shared" si="634"/>
        <v>1900</v>
      </c>
      <c r="L2264" s="6">
        <f t="shared" si="635"/>
        <v>1</v>
      </c>
      <c r="R2264" s="6" t="str">
        <f t="shared" si="636"/>
        <v>19001</v>
      </c>
      <c r="S2264" s="6">
        <f t="shared" si="637"/>
        <v>1900</v>
      </c>
      <c r="T2264" s="6">
        <f t="shared" si="638"/>
        <v>1</v>
      </c>
      <c r="Z2264" s="6" t="str">
        <f t="shared" ca="1" si="639"/>
        <v>20245</v>
      </c>
      <c r="AA2264" s="6">
        <f t="shared" ca="1" si="640"/>
        <v>2024</v>
      </c>
      <c r="AB2264" s="6">
        <f t="shared" ca="1" si="641"/>
        <v>5</v>
      </c>
      <c r="AC2264" s="68">
        <f ca="1">IFERROR(__xludf.DUMMYFUNCTION("""COMPUTED_VALUE"""),45415.9986111111)</f>
        <v>45415.998611111099</v>
      </c>
      <c r="AD2264" s="6">
        <f ca="1">IFERROR(__xludf.DUMMYFUNCTION("""COMPUTED_VALUE"""),1354.43)</f>
        <v>1354.43</v>
      </c>
      <c r="AH2264" s="6" t="str">
        <f t="shared" ca="1" si="642"/>
        <v>20243</v>
      </c>
      <c r="AI2264" s="6">
        <f t="shared" ca="1" si="643"/>
        <v>2024</v>
      </c>
      <c r="AJ2264" s="6">
        <f t="shared" ca="1" si="644"/>
        <v>3</v>
      </c>
      <c r="AK2264" s="68">
        <f ca="1">IFERROR(__xludf.DUMMYFUNCTION("""COMPUTED_VALUE"""),45357.9986111111)</f>
        <v>45357.998611111099</v>
      </c>
      <c r="AL2264" s="6">
        <f ca="1">IFERROR(__xludf.DUMMYFUNCTION("""COMPUTED_VALUE"""),66142.74)</f>
        <v>66142.740000000005</v>
      </c>
      <c r="AP2264" s="6" t="str">
        <f t="shared" si="645"/>
        <v>19001</v>
      </c>
      <c r="AQ2264" s="6">
        <f t="shared" si="646"/>
        <v>1900</v>
      </c>
      <c r="AR2264" s="6">
        <f t="shared" si="647"/>
        <v>1</v>
      </c>
    </row>
    <row r="2265" spans="2:44" x14ac:dyDescent="0.35">
      <c r="B2265" s="6" t="str">
        <f t="shared" si="630"/>
        <v>19001</v>
      </c>
      <c r="C2265" s="6">
        <f t="shared" si="631"/>
        <v>1900</v>
      </c>
      <c r="D2265" s="6">
        <f t="shared" si="632"/>
        <v>1</v>
      </c>
      <c r="J2265" s="6" t="str">
        <f t="shared" si="633"/>
        <v>19001</v>
      </c>
      <c r="K2265" s="6">
        <f t="shared" si="634"/>
        <v>1900</v>
      </c>
      <c r="L2265" s="6">
        <f t="shared" si="635"/>
        <v>1</v>
      </c>
      <c r="R2265" s="6" t="str">
        <f t="shared" si="636"/>
        <v>19001</v>
      </c>
      <c r="S2265" s="6">
        <f t="shared" si="637"/>
        <v>1900</v>
      </c>
      <c r="T2265" s="6">
        <f t="shared" si="638"/>
        <v>1</v>
      </c>
      <c r="Z2265" s="6" t="str">
        <f t="shared" ca="1" si="639"/>
        <v>20245</v>
      </c>
      <c r="AA2265" s="6">
        <f t="shared" ca="1" si="640"/>
        <v>2024</v>
      </c>
      <c r="AB2265" s="6">
        <f t="shared" ca="1" si="641"/>
        <v>5</v>
      </c>
      <c r="AC2265" s="68">
        <f ca="1">IFERROR(__xludf.DUMMYFUNCTION("""COMPUTED_VALUE"""),45416.9986111111)</f>
        <v>45416.998611111099</v>
      </c>
      <c r="AD2265" s="6">
        <f ca="1">IFERROR(__xludf.DUMMYFUNCTION("""COMPUTED_VALUE"""),1354.43)</f>
        <v>1354.43</v>
      </c>
      <c r="AH2265" s="6" t="str">
        <f t="shared" ca="1" si="642"/>
        <v>20243</v>
      </c>
      <c r="AI2265" s="6">
        <f t="shared" ca="1" si="643"/>
        <v>2024</v>
      </c>
      <c r="AJ2265" s="6">
        <f t="shared" ca="1" si="644"/>
        <v>3</v>
      </c>
      <c r="AK2265" s="68">
        <f ca="1">IFERROR(__xludf.DUMMYFUNCTION("""COMPUTED_VALUE"""),45358.9986111111)</f>
        <v>45358.998611111099</v>
      </c>
      <c r="AL2265" s="6">
        <f ca="1">IFERROR(__xludf.DUMMYFUNCTION("""COMPUTED_VALUE"""),66935.05)</f>
        <v>66935.05</v>
      </c>
      <c r="AP2265" s="6" t="str">
        <f t="shared" si="645"/>
        <v>19001</v>
      </c>
      <c r="AQ2265" s="6">
        <f t="shared" si="646"/>
        <v>1900</v>
      </c>
      <c r="AR2265" s="6">
        <f t="shared" si="647"/>
        <v>1</v>
      </c>
    </row>
    <row r="2266" spans="2:44" x14ac:dyDescent="0.35">
      <c r="B2266" s="6" t="str">
        <f t="shared" si="630"/>
        <v>19001</v>
      </c>
      <c r="C2266" s="6">
        <f t="shared" si="631"/>
        <v>1900</v>
      </c>
      <c r="D2266" s="6">
        <f t="shared" si="632"/>
        <v>1</v>
      </c>
      <c r="J2266" s="6" t="str">
        <f t="shared" si="633"/>
        <v>19001</v>
      </c>
      <c r="K2266" s="6">
        <f t="shared" si="634"/>
        <v>1900</v>
      </c>
      <c r="L2266" s="6">
        <f t="shared" si="635"/>
        <v>1</v>
      </c>
      <c r="R2266" s="6" t="str">
        <f t="shared" si="636"/>
        <v>19001</v>
      </c>
      <c r="S2266" s="6">
        <f t="shared" si="637"/>
        <v>1900</v>
      </c>
      <c r="T2266" s="6">
        <f t="shared" si="638"/>
        <v>1</v>
      </c>
      <c r="Z2266" s="6" t="str">
        <f t="shared" ca="1" si="639"/>
        <v>20245</v>
      </c>
      <c r="AA2266" s="6">
        <f t="shared" ca="1" si="640"/>
        <v>2024</v>
      </c>
      <c r="AB2266" s="6">
        <f t="shared" ca="1" si="641"/>
        <v>5</v>
      </c>
      <c r="AC2266" s="68">
        <f ca="1">IFERROR(__xludf.DUMMYFUNCTION("""COMPUTED_VALUE"""),45417.9986111111)</f>
        <v>45417.998611111099</v>
      </c>
      <c r="AD2266" s="6">
        <f ca="1">IFERROR(__xludf.DUMMYFUNCTION("""COMPUTED_VALUE"""),1355.05)</f>
        <v>1355.05</v>
      </c>
      <c r="AH2266" s="6" t="str">
        <f t="shared" ca="1" si="642"/>
        <v>20243</v>
      </c>
      <c r="AI2266" s="6">
        <f t="shared" ca="1" si="643"/>
        <v>2024</v>
      </c>
      <c r="AJ2266" s="6">
        <f t="shared" ca="1" si="644"/>
        <v>3</v>
      </c>
      <c r="AK2266" s="68">
        <f ca="1">IFERROR(__xludf.DUMMYFUNCTION("""COMPUTED_VALUE"""),45359.9986111111)</f>
        <v>45359.998611111099</v>
      </c>
      <c r="AL2266" s="6">
        <f ca="1">IFERROR(__xludf.DUMMYFUNCTION("""COMPUTED_VALUE"""),68330.96)</f>
        <v>68330.960000000006</v>
      </c>
      <c r="AP2266" s="6" t="str">
        <f t="shared" si="645"/>
        <v>19001</v>
      </c>
      <c r="AQ2266" s="6">
        <f t="shared" si="646"/>
        <v>1900</v>
      </c>
      <c r="AR2266" s="6">
        <f t="shared" si="647"/>
        <v>1</v>
      </c>
    </row>
    <row r="2267" spans="2:44" x14ac:dyDescent="0.35">
      <c r="B2267" s="6" t="str">
        <f t="shared" si="630"/>
        <v>19001</v>
      </c>
      <c r="C2267" s="6">
        <f t="shared" si="631"/>
        <v>1900</v>
      </c>
      <c r="D2267" s="6">
        <f t="shared" si="632"/>
        <v>1</v>
      </c>
      <c r="J2267" s="6" t="str">
        <f t="shared" si="633"/>
        <v>19001</v>
      </c>
      <c r="K2267" s="6">
        <f t="shared" si="634"/>
        <v>1900</v>
      </c>
      <c r="L2267" s="6">
        <f t="shared" si="635"/>
        <v>1</v>
      </c>
      <c r="R2267" s="6" t="str">
        <f t="shared" si="636"/>
        <v>19001</v>
      </c>
      <c r="S2267" s="6">
        <f t="shared" si="637"/>
        <v>1900</v>
      </c>
      <c r="T2267" s="6">
        <f t="shared" si="638"/>
        <v>1</v>
      </c>
      <c r="Z2267" s="6" t="str">
        <f t="shared" ca="1" si="639"/>
        <v>20245</v>
      </c>
      <c r="AA2267" s="6">
        <f t="shared" ca="1" si="640"/>
        <v>2024</v>
      </c>
      <c r="AB2267" s="6">
        <f t="shared" ca="1" si="641"/>
        <v>5</v>
      </c>
      <c r="AC2267" s="68">
        <f ca="1">IFERROR(__xludf.DUMMYFUNCTION("""COMPUTED_VALUE"""),45418.9986111111)</f>
        <v>45418.998611111099</v>
      </c>
      <c r="AD2267" s="6">
        <f ca="1">IFERROR(__xludf.DUMMYFUNCTION("""COMPUTED_VALUE"""),1352.17)</f>
        <v>1352.17</v>
      </c>
      <c r="AH2267" s="6" t="str">
        <f t="shared" ca="1" si="642"/>
        <v>20243</v>
      </c>
      <c r="AI2267" s="6">
        <f t="shared" ca="1" si="643"/>
        <v>2024</v>
      </c>
      <c r="AJ2267" s="6">
        <f t="shared" ca="1" si="644"/>
        <v>3</v>
      </c>
      <c r="AK2267" s="68">
        <f ca="1">IFERROR(__xludf.DUMMYFUNCTION("""COMPUTED_VALUE"""),45360.9986111111)</f>
        <v>45360.998611111099</v>
      </c>
      <c r="AL2267" s="6">
        <f ca="1">IFERROR(__xludf.DUMMYFUNCTION("""COMPUTED_VALUE"""),68469.46)</f>
        <v>68469.460000000006</v>
      </c>
      <c r="AP2267" s="6" t="str">
        <f t="shared" si="645"/>
        <v>19001</v>
      </c>
      <c r="AQ2267" s="6">
        <f t="shared" si="646"/>
        <v>1900</v>
      </c>
      <c r="AR2267" s="6">
        <f t="shared" si="647"/>
        <v>1</v>
      </c>
    </row>
    <row r="2268" spans="2:44" x14ac:dyDescent="0.35">
      <c r="B2268" s="6" t="str">
        <f t="shared" si="630"/>
        <v>19001</v>
      </c>
      <c r="C2268" s="6">
        <f t="shared" si="631"/>
        <v>1900</v>
      </c>
      <c r="D2268" s="6">
        <f t="shared" si="632"/>
        <v>1</v>
      </c>
      <c r="J2268" s="6" t="str">
        <f t="shared" si="633"/>
        <v>19001</v>
      </c>
      <c r="K2268" s="6">
        <f t="shared" si="634"/>
        <v>1900</v>
      </c>
      <c r="L2268" s="6">
        <f t="shared" si="635"/>
        <v>1</v>
      </c>
      <c r="R2268" s="6" t="str">
        <f t="shared" si="636"/>
        <v>19001</v>
      </c>
      <c r="S2268" s="6">
        <f t="shared" si="637"/>
        <v>1900</v>
      </c>
      <c r="T2268" s="6">
        <f t="shared" si="638"/>
        <v>1</v>
      </c>
      <c r="Z2268" s="6" t="str">
        <f t="shared" ca="1" si="639"/>
        <v>20245</v>
      </c>
      <c r="AA2268" s="6">
        <f t="shared" ca="1" si="640"/>
        <v>2024</v>
      </c>
      <c r="AB2268" s="6">
        <f t="shared" ca="1" si="641"/>
        <v>5</v>
      </c>
      <c r="AC2268" s="68">
        <f ca="1">IFERROR(__xludf.DUMMYFUNCTION("""COMPUTED_VALUE"""),45419.9986111111)</f>
        <v>45419.998611111099</v>
      </c>
      <c r="AD2268" s="6">
        <f ca="1">IFERROR(__xludf.DUMMYFUNCTION("""COMPUTED_VALUE"""),1357.73)</f>
        <v>1357.73</v>
      </c>
      <c r="AH2268" s="6" t="str">
        <f t="shared" ca="1" si="642"/>
        <v>20243</v>
      </c>
      <c r="AI2268" s="6">
        <f t="shared" ca="1" si="643"/>
        <v>2024</v>
      </c>
      <c r="AJ2268" s="6">
        <f t="shared" ca="1" si="644"/>
        <v>3</v>
      </c>
      <c r="AK2268" s="68">
        <f ca="1">IFERROR(__xludf.DUMMYFUNCTION("""COMPUTED_VALUE"""),45361.9986111111)</f>
        <v>45361.998611111099</v>
      </c>
      <c r="AL2268" s="6">
        <f ca="1">IFERROR(__xludf.DUMMYFUNCTION("""COMPUTED_VALUE"""),69011.28)</f>
        <v>69011.28</v>
      </c>
      <c r="AP2268" s="6" t="str">
        <f t="shared" si="645"/>
        <v>19001</v>
      </c>
      <c r="AQ2268" s="6">
        <f t="shared" si="646"/>
        <v>1900</v>
      </c>
      <c r="AR2268" s="6">
        <f t="shared" si="647"/>
        <v>1</v>
      </c>
    </row>
    <row r="2269" spans="2:44" x14ac:dyDescent="0.35">
      <c r="B2269" s="6" t="str">
        <f t="shared" si="630"/>
        <v>19001</v>
      </c>
      <c r="C2269" s="6">
        <f t="shared" si="631"/>
        <v>1900</v>
      </c>
      <c r="D2269" s="6">
        <f t="shared" si="632"/>
        <v>1</v>
      </c>
      <c r="J2269" s="6" t="str">
        <f t="shared" si="633"/>
        <v>19001</v>
      </c>
      <c r="K2269" s="6">
        <f t="shared" si="634"/>
        <v>1900</v>
      </c>
      <c r="L2269" s="6">
        <f t="shared" si="635"/>
        <v>1</v>
      </c>
      <c r="R2269" s="6" t="str">
        <f t="shared" si="636"/>
        <v>19001</v>
      </c>
      <c r="S2269" s="6">
        <f t="shared" si="637"/>
        <v>1900</v>
      </c>
      <c r="T2269" s="6">
        <f t="shared" si="638"/>
        <v>1</v>
      </c>
      <c r="Z2269" s="6" t="str">
        <f t="shared" ca="1" si="639"/>
        <v>20245</v>
      </c>
      <c r="AA2269" s="6">
        <f t="shared" ca="1" si="640"/>
        <v>2024</v>
      </c>
      <c r="AB2269" s="6">
        <f t="shared" ca="1" si="641"/>
        <v>5</v>
      </c>
      <c r="AC2269" s="68">
        <f ca="1">IFERROR(__xludf.DUMMYFUNCTION("""COMPUTED_VALUE"""),45420.9986111111)</f>
        <v>45420.998611111099</v>
      </c>
      <c r="AD2269" s="6">
        <f ca="1">IFERROR(__xludf.DUMMYFUNCTION("""COMPUTED_VALUE"""),1361.94)</f>
        <v>1361.94</v>
      </c>
      <c r="AH2269" s="6" t="str">
        <f t="shared" ca="1" si="642"/>
        <v>20243</v>
      </c>
      <c r="AI2269" s="6">
        <f t="shared" ca="1" si="643"/>
        <v>2024</v>
      </c>
      <c r="AJ2269" s="6">
        <f t="shared" ca="1" si="644"/>
        <v>3</v>
      </c>
      <c r="AK2269" s="68">
        <f ca="1">IFERROR(__xludf.DUMMYFUNCTION("""COMPUTED_VALUE"""),45362.9986111111)</f>
        <v>45362.998611111099</v>
      </c>
      <c r="AL2269" s="6">
        <f ca="1">IFERROR(__xludf.DUMMYFUNCTION("""COMPUTED_VALUE"""),72133.38)</f>
        <v>72133.38</v>
      </c>
      <c r="AP2269" s="6" t="str">
        <f t="shared" si="645"/>
        <v>19001</v>
      </c>
      <c r="AQ2269" s="6">
        <f t="shared" si="646"/>
        <v>1900</v>
      </c>
      <c r="AR2269" s="6">
        <f t="shared" si="647"/>
        <v>1</v>
      </c>
    </row>
    <row r="2270" spans="2:44" x14ac:dyDescent="0.35">
      <c r="B2270" s="6" t="str">
        <f t="shared" si="630"/>
        <v>19001</v>
      </c>
      <c r="C2270" s="6">
        <f t="shared" si="631"/>
        <v>1900</v>
      </c>
      <c r="D2270" s="6">
        <f t="shared" si="632"/>
        <v>1</v>
      </c>
      <c r="J2270" s="6" t="str">
        <f t="shared" si="633"/>
        <v>19001</v>
      </c>
      <c r="K2270" s="6">
        <f t="shared" si="634"/>
        <v>1900</v>
      </c>
      <c r="L2270" s="6">
        <f t="shared" si="635"/>
        <v>1</v>
      </c>
      <c r="R2270" s="6" t="str">
        <f t="shared" si="636"/>
        <v>19001</v>
      </c>
      <c r="S2270" s="6">
        <f t="shared" si="637"/>
        <v>1900</v>
      </c>
      <c r="T2270" s="6">
        <f t="shared" si="638"/>
        <v>1</v>
      </c>
      <c r="Z2270" s="6" t="str">
        <f t="shared" ca="1" si="639"/>
        <v>20245</v>
      </c>
      <c r="AA2270" s="6">
        <f t="shared" ca="1" si="640"/>
        <v>2024</v>
      </c>
      <c r="AB2270" s="6">
        <f t="shared" ca="1" si="641"/>
        <v>5</v>
      </c>
      <c r="AC2270" s="68">
        <f ca="1">IFERROR(__xludf.DUMMYFUNCTION("""COMPUTED_VALUE"""),45421.9986111111)</f>
        <v>45421.998611111099</v>
      </c>
      <c r="AD2270" s="6">
        <f ca="1">IFERROR(__xludf.DUMMYFUNCTION("""COMPUTED_VALUE"""),1365.4)</f>
        <v>1365.4</v>
      </c>
      <c r="AH2270" s="6" t="str">
        <f t="shared" ca="1" si="642"/>
        <v>20243</v>
      </c>
      <c r="AI2270" s="6">
        <f t="shared" ca="1" si="643"/>
        <v>2024</v>
      </c>
      <c r="AJ2270" s="6">
        <f t="shared" ca="1" si="644"/>
        <v>3</v>
      </c>
      <c r="AK2270" s="68">
        <f ca="1">IFERROR(__xludf.DUMMYFUNCTION("""COMPUTED_VALUE"""),45363.9986111111)</f>
        <v>45363.998611111099</v>
      </c>
      <c r="AL2270" s="6">
        <f ca="1">IFERROR(__xludf.DUMMYFUNCTION("""COMPUTED_VALUE"""),71491.77)</f>
        <v>71491.77</v>
      </c>
      <c r="AP2270" s="6" t="str">
        <f t="shared" si="645"/>
        <v>19001</v>
      </c>
      <c r="AQ2270" s="6">
        <f t="shared" si="646"/>
        <v>1900</v>
      </c>
      <c r="AR2270" s="6">
        <f t="shared" si="647"/>
        <v>1</v>
      </c>
    </row>
    <row r="2271" spans="2:44" x14ac:dyDescent="0.35">
      <c r="B2271" s="6" t="str">
        <f t="shared" si="630"/>
        <v>19001</v>
      </c>
      <c r="C2271" s="6">
        <f t="shared" si="631"/>
        <v>1900</v>
      </c>
      <c r="D2271" s="6">
        <f t="shared" si="632"/>
        <v>1</v>
      </c>
      <c r="J2271" s="6" t="str">
        <f t="shared" si="633"/>
        <v>19001</v>
      </c>
      <c r="K2271" s="6">
        <f t="shared" si="634"/>
        <v>1900</v>
      </c>
      <c r="L2271" s="6">
        <f t="shared" si="635"/>
        <v>1</v>
      </c>
      <c r="R2271" s="6" t="str">
        <f t="shared" si="636"/>
        <v>19001</v>
      </c>
      <c r="S2271" s="6">
        <f t="shared" si="637"/>
        <v>1900</v>
      </c>
      <c r="T2271" s="6">
        <f t="shared" si="638"/>
        <v>1</v>
      </c>
      <c r="Z2271" s="6" t="str">
        <f t="shared" ca="1" si="639"/>
        <v>20245</v>
      </c>
      <c r="AA2271" s="6">
        <f t="shared" ca="1" si="640"/>
        <v>2024</v>
      </c>
      <c r="AB2271" s="6">
        <f t="shared" ca="1" si="641"/>
        <v>5</v>
      </c>
      <c r="AC2271" s="68">
        <f ca="1">IFERROR(__xludf.DUMMYFUNCTION("""COMPUTED_VALUE"""),45422.9986111111)</f>
        <v>45422.998611111099</v>
      </c>
      <c r="AD2271" s="6">
        <f ca="1">IFERROR(__xludf.DUMMYFUNCTION("""COMPUTED_VALUE"""),1370.1)</f>
        <v>1370.1</v>
      </c>
      <c r="AH2271" s="6" t="str">
        <f t="shared" ca="1" si="642"/>
        <v>20243</v>
      </c>
      <c r="AI2271" s="6">
        <f t="shared" ca="1" si="643"/>
        <v>2024</v>
      </c>
      <c r="AJ2271" s="6">
        <f t="shared" ca="1" si="644"/>
        <v>3</v>
      </c>
      <c r="AK2271" s="68">
        <f ca="1">IFERROR(__xludf.DUMMYFUNCTION("""COMPUTED_VALUE"""),45364.9986111111)</f>
        <v>45364.998611111099</v>
      </c>
      <c r="AL2271" s="6">
        <f ca="1">IFERROR(__xludf.DUMMYFUNCTION("""COMPUTED_VALUE"""),73096.85)</f>
        <v>73096.850000000006</v>
      </c>
      <c r="AP2271" s="6" t="str">
        <f t="shared" si="645"/>
        <v>19001</v>
      </c>
      <c r="AQ2271" s="6">
        <f t="shared" si="646"/>
        <v>1900</v>
      </c>
      <c r="AR2271" s="6">
        <f t="shared" si="647"/>
        <v>1</v>
      </c>
    </row>
    <row r="2272" spans="2:44" x14ac:dyDescent="0.35">
      <c r="B2272" s="6" t="str">
        <f t="shared" si="630"/>
        <v>19001</v>
      </c>
      <c r="C2272" s="6">
        <f t="shared" si="631"/>
        <v>1900</v>
      </c>
      <c r="D2272" s="6">
        <f t="shared" si="632"/>
        <v>1</v>
      </c>
      <c r="J2272" s="6" t="str">
        <f t="shared" si="633"/>
        <v>19001</v>
      </c>
      <c r="K2272" s="6">
        <f t="shared" si="634"/>
        <v>1900</v>
      </c>
      <c r="L2272" s="6">
        <f t="shared" si="635"/>
        <v>1</v>
      </c>
      <c r="R2272" s="6" t="str">
        <f t="shared" si="636"/>
        <v>19001</v>
      </c>
      <c r="S2272" s="6">
        <f t="shared" si="637"/>
        <v>1900</v>
      </c>
      <c r="T2272" s="6">
        <f t="shared" si="638"/>
        <v>1</v>
      </c>
      <c r="Z2272" s="6" t="str">
        <f t="shared" ca="1" si="639"/>
        <v>20245</v>
      </c>
      <c r="AA2272" s="6">
        <f t="shared" ca="1" si="640"/>
        <v>2024</v>
      </c>
      <c r="AB2272" s="6">
        <f t="shared" ca="1" si="641"/>
        <v>5</v>
      </c>
      <c r="AC2272" s="68">
        <f ca="1">IFERROR(__xludf.DUMMYFUNCTION("""COMPUTED_VALUE"""),45423.9986111111)</f>
        <v>45423.998611111099</v>
      </c>
      <c r="AD2272" s="6">
        <f ca="1">IFERROR(__xludf.DUMMYFUNCTION("""COMPUTED_VALUE"""),1370.1)</f>
        <v>1370.1</v>
      </c>
      <c r="AH2272" s="6" t="str">
        <f t="shared" ca="1" si="642"/>
        <v>20243</v>
      </c>
      <c r="AI2272" s="6">
        <f t="shared" ca="1" si="643"/>
        <v>2024</v>
      </c>
      <c r="AJ2272" s="6">
        <f t="shared" ca="1" si="644"/>
        <v>3</v>
      </c>
      <c r="AK2272" s="68">
        <f ca="1">IFERROR(__xludf.DUMMYFUNCTION("""COMPUTED_VALUE"""),45365.9986111111)</f>
        <v>45365.998611111099</v>
      </c>
      <c r="AL2272" s="6">
        <f ca="1">IFERROR(__xludf.DUMMYFUNCTION("""COMPUTED_VALUE"""),71394.04)</f>
        <v>71394.039999999994</v>
      </c>
      <c r="AP2272" s="6" t="str">
        <f t="shared" si="645"/>
        <v>19001</v>
      </c>
      <c r="AQ2272" s="6">
        <f t="shared" si="646"/>
        <v>1900</v>
      </c>
      <c r="AR2272" s="6">
        <f t="shared" si="647"/>
        <v>1</v>
      </c>
    </row>
    <row r="2273" spans="2:44" x14ac:dyDescent="0.35">
      <c r="B2273" s="6" t="str">
        <f t="shared" si="630"/>
        <v>19001</v>
      </c>
      <c r="C2273" s="6">
        <f t="shared" si="631"/>
        <v>1900</v>
      </c>
      <c r="D2273" s="6">
        <f t="shared" si="632"/>
        <v>1</v>
      </c>
      <c r="J2273" s="6" t="str">
        <f t="shared" si="633"/>
        <v>19001</v>
      </c>
      <c r="K2273" s="6">
        <f t="shared" si="634"/>
        <v>1900</v>
      </c>
      <c r="L2273" s="6">
        <f t="shared" si="635"/>
        <v>1</v>
      </c>
      <c r="R2273" s="6" t="str">
        <f t="shared" si="636"/>
        <v>19001</v>
      </c>
      <c r="S2273" s="6">
        <f t="shared" si="637"/>
        <v>1900</v>
      </c>
      <c r="T2273" s="6">
        <f t="shared" si="638"/>
        <v>1</v>
      </c>
      <c r="Z2273" s="6" t="str">
        <f t="shared" ca="1" si="639"/>
        <v>20245</v>
      </c>
      <c r="AA2273" s="6">
        <f t="shared" ca="1" si="640"/>
        <v>2024</v>
      </c>
      <c r="AB2273" s="6">
        <f t="shared" ca="1" si="641"/>
        <v>5</v>
      </c>
      <c r="AC2273" s="68">
        <f ca="1">IFERROR(__xludf.DUMMYFUNCTION("""COMPUTED_VALUE"""),45424.9986111111)</f>
        <v>45424.998611111099</v>
      </c>
      <c r="AD2273" s="6">
        <f ca="1">IFERROR(__xludf.DUMMYFUNCTION("""COMPUTED_VALUE"""),1370.11)</f>
        <v>1370.11</v>
      </c>
      <c r="AH2273" s="6" t="str">
        <f t="shared" ca="1" si="642"/>
        <v>20243</v>
      </c>
      <c r="AI2273" s="6">
        <f t="shared" ca="1" si="643"/>
        <v>2024</v>
      </c>
      <c r="AJ2273" s="6">
        <f t="shared" ca="1" si="644"/>
        <v>3</v>
      </c>
      <c r="AK2273" s="68">
        <f ca="1">IFERROR(__xludf.DUMMYFUNCTION("""COMPUTED_VALUE"""),45366.9986111111)</f>
        <v>45366.998611111099</v>
      </c>
      <c r="AL2273" s="6">
        <f ca="1">IFERROR(__xludf.DUMMYFUNCTION("""COMPUTED_VALUE"""),69441.68)</f>
        <v>69441.679999999993</v>
      </c>
      <c r="AP2273" s="6" t="str">
        <f t="shared" si="645"/>
        <v>19001</v>
      </c>
      <c r="AQ2273" s="6">
        <f t="shared" si="646"/>
        <v>1900</v>
      </c>
      <c r="AR2273" s="6">
        <f t="shared" si="647"/>
        <v>1</v>
      </c>
    </row>
    <row r="2274" spans="2:44" x14ac:dyDescent="0.35">
      <c r="B2274" s="6" t="str">
        <f t="shared" si="630"/>
        <v>19001</v>
      </c>
      <c r="C2274" s="6">
        <f t="shared" si="631"/>
        <v>1900</v>
      </c>
      <c r="D2274" s="6">
        <f t="shared" si="632"/>
        <v>1</v>
      </c>
      <c r="J2274" s="6" t="str">
        <f t="shared" si="633"/>
        <v>19001</v>
      </c>
      <c r="K2274" s="6">
        <f t="shared" si="634"/>
        <v>1900</v>
      </c>
      <c r="L2274" s="6">
        <f t="shared" si="635"/>
        <v>1</v>
      </c>
      <c r="R2274" s="6" t="str">
        <f t="shared" si="636"/>
        <v>19001</v>
      </c>
      <c r="S2274" s="6">
        <f t="shared" si="637"/>
        <v>1900</v>
      </c>
      <c r="T2274" s="6">
        <f t="shared" si="638"/>
        <v>1</v>
      </c>
      <c r="Z2274" s="6" t="str">
        <f t="shared" ca="1" si="639"/>
        <v>20245</v>
      </c>
      <c r="AA2274" s="6">
        <f t="shared" ca="1" si="640"/>
        <v>2024</v>
      </c>
      <c r="AB2274" s="6">
        <f t="shared" ca="1" si="641"/>
        <v>5</v>
      </c>
      <c r="AC2274" s="68">
        <f ca="1">IFERROR(__xludf.DUMMYFUNCTION("""COMPUTED_VALUE"""),45425.9986111111)</f>
        <v>45425.998611111099</v>
      </c>
      <c r="AD2274" s="6">
        <f ca="1">IFERROR(__xludf.DUMMYFUNCTION("""COMPUTED_VALUE"""),1363.79)</f>
        <v>1363.79</v>
      </c>
      <c r="AH2274" s="6" t="str">
        <f t="shared" ca="1" si="642"/>
        <v>20243</v>
      </c>
      <c r="AI2274" s="6">
        <f t="shared" ca="1" si="643"/>
        <v>2024</v>
      </c>
      <c r="AJ2274" s="6">
        <f t="shared" ca="1" si="644"/>
        <v>3</v>
      </c>
      <c r="AK2274" s="68">
        <f ca="1">IFERROR(__xludf.DUMMYFUNCTION("""COMPUTED_VALUE"""),45367.9986111111)</f>
        <v>45367.998611111099</v>
      </c>
      <c r="AL2274" s="6">
        <f ca="1">IFERROR(__xludf.DUMMYFUNCTION("""COMPUTED_VALUE"""),65314.75)</f>
        <v>65314.75</v>
      </c>
      <c r="AP2274" s="6" t="str">
        <f t="shared" si="645"/>
        <v>19001</v>
      </c>
      <c r="AQ2274" s="6">
        <f t="shared" si="646"/>
        <v>1900</v>
      </c>
      <c r="AR2274" s="6">
        <f t="shared" si="647"/>
        <v>1</v>
      </c>
    </row>
    <row r="2275" spans="2:44" x14ac:dyDescent="0.35">
      <c r="B2275" s="6" t="str">
        <f t="shared" si="630"/>
        <v>19001</v>
      </c>
      <c r="C2275" s="6">
        <f t="shared" si="631"/>
        <v>1900</v>
      </c>
      <c r="D2275" s="6">
        <f t="shared" si="632"/>
        <v>1</v>
      </c>
      <c r="J2275" s="6" t="str">
        <f t="shared" si="633"/>
        <v>19001</v>
      </c>
      <c r="K2275" s="6">
        <f t="shared" si="634"/>
        <v>1900</v>
      </c>
      <c r="L2275" s="6">
        <f t="shared" si="635"/>
        <v>1</v>
      </c>
      <c r="R2275" s="6" t="str">
        <f t="shared" si="636"/>
        <v>19001</v>
      </c>
      <c r="S2275" s="6">
        <f t="shared" si="637"/>
        <v>1900</v>
      </c>
      <c r="T2275" s="6">
        <f t="shared" si="638"/>
        <v>1</v>
      </c>
      <c r="Z2275" s="6" t="str">
        <f t="shared" ca="1" si="639"/>
        <v>20245</v>
      </c>
      <c r="AA2275" s="6">
        <f t="shared" ca="1" si="640"/>
        <v>2024</v>
      </c>
      <c r="AB2275" s="6">
        <f t="shared" ca="1" si="641"/>
        <v>5</v>
      </c>
      <c r="AC2275" s="68">
        <f ca="1">IFERROR(__xludf.DUMMYFUNCTION("""COMPUTED_VALUE"""),45426.9986111111)</f>
        <v>45426.998611111099</v>
      </c>
      <c r="AD2275" s="6">
        <f ca="1">IFERROR(__xludf.DUMMYFUNCTION("""COMPUTED_VALUE"""),1362.55)</f>
        <v>1362.55</v>
      </c>
      <c r="AH2275" s="6" t="str">
        <f t="shared" ca="1" si="642"/>
        <v>20243</v>
      </c>
      <c r="AI2275" s="6">
        <f t="shared" ca="1" si="643"/>
        <v>2024</v>
      </c>
      <c r="AJ2275" s="6">
        <f t="shared" ca="1" si="644"/>
        <v>3</v>
      </c>
      <c r="AK2275" s="68">
        <f ca="1">IFERROR(__xludf.DUMMYFUNCTION("""COMPUTED_VALUE"""),45368.9986111111)</f>
        <v>45368.998611111099</v>
      </c>
      <c r="AL2275" s="6">
        <f ca="1">IFERROR(__xludf.DUMMYFUNCTION("""COMPUTED_VALUE"""),68476.19)</f>
        <v>68476.19</v>
      </c>
      <c r="AP2275" s="6" t="str">
        <f t="shared" si="645"/>
        <v>19001</v>
      </c>
      <c r="AQ2275" s="6">
        <f t="shared" si="646"/>
        <v>1900</v>
      </c>
      <c r="AR2275" s="6">
        <f t="shared" si="647"/>
        <v>1</v>
      </c>
    </row>
    <row r="2276" spans="2:44" x14ac:dyDescent="0.35">
      <c r="B2276" s="6" t="str">
        <f t="shared" si="630"/>
        <v>19001</v>
      </c>
      <c r="C2276" s="6">
        <f t="shared" si="631"/>
        <v>1900</v>
      </c>
      <c r="D2276" s="6">
        <f t="shared" si="632"/>
        <v>1</v>
      </c>
      <c r="J2276" s="6" t="str">
        <f t="shared" si="633"/>
        <v>19001</v>
      </c>
      <c r="K2276" s="6">
        <f t="shared" si="634"/>
        <v>1900</v>
      </c>
      <c r="L2276" s="6">
        <f t="shared" si="635"/>
        <v>1</v>
      </c>
      <c r="R2276" s="6" t="str">
        <f t="shared" si="636"/>
        <v>19001</v>
      </c>
      <c r="S2276" s="6">
        <f t="shared" si="637"/>
        <v>1900</v>
      </c>
      <c r="T2276" s="6">
        <f t="shared" si="638"/>
        <v>1</v>
      </c>
      <c r="Z2276" s="6" t="str">
        <f t="shared" ca="1" si="639"/>
        <v>20245</v>
      </c>
      <c r="AA2276" s="6">
        <f t="shared" ca="1" si="640"/>
        <v>2024</v>
      </c>
      <c r="AB2276" s="6">
        <f t="shared" ca="1" si="641"/>
        <v>5</v>
      </c>
      <c r="AC2276" s="68">
        <f ca="1">IFERROR(__xludf.DUMMYFUNCTION("""COMPUTED_VALUE"""),45427.9986111111)</f>
        <v>45427.998611111099</v>
      </c>
      <c r="AD2276" s="6">
        <f ca="1">IFERROR(__xludf.DUMMYFUNCTION("""COMPUTED_VALUE"""),1353.6)</f>
        <v>1353.6</v>
      </c>
      <c r="AH2276" s="6" t="str">
        <f t="shared" ca="1" si="642"/>
        <v>20243</v>
      </c>
      <c r="AI2276" s="6">
        <f t="shared" ca="1" si="643"/>
        <v>2024</v>
      </c>
      <c r="AJ2276" s="6">
        <f t="shared" ca="1" si="644"/>
        <v>3</v>
      </c>
      <c r="AK2276" s="68">
        <f ca="1">IFERROR(__xludf.DUMMYFUNCTION("""COMPUTED_VALUE"""),45369.9986111111)</f>
        <v>45369.998611111099</v>
      </c>
      <c r="AL2276" s="6">
        <f ca="1">IFERROR(__xludf.DUMMYFUNCTION("""COMPUTED_VALUE"""),67732.55)</f>
        <v>67732.55</v>
      </c>
      <c r="AP2276" s="6" t="str">
        <f t="shared" si="645"/>
        <v>19001</v>
      </c>
      <c r="AQ2276" s="6">
        <f t="shared" si="646"/>
        <v>1900</v>
      </c>
      <c r="AR2276" s="6">
        <f t="shared" si="647"/>
        <v>1</v>
      </c>
    </row>
    <row r="2277" spans="2:44" x14ac:dyDescent="0.35">
      <c r="B2277" s="6" t="str">
        <f t="shared" si="630"/>
        <v>19001</v>
      </c>
      <c r="C2277" s="6">
        <f t="shared" si="631"/>
        <v>1900</v>
      </c>
      <c r="D2277" s="6">
        <f t="shared" si="632"/>
        <v>1</v>
      </c>
      <c r="J2277" s="6" t="str">
        <f t="shared" si="633"/>
        <v>19001</v>
      </c>
      <c r="K2277" s="6">
        <f t="shared" si="634"/>
        <v>1900</v>
      </c>
      <c r="L2277" s="6">
        <f t="shared" si="635"/>
        <v>1</v>
      </c>
      <c r="R2277" s="6" t="str">
        <f t="shared" si="636"/>
        <v>19001</v>
      </c>
      <c r="S2277" s="6">
        <f t="shared" si="637"/>
        <v>1900</v>
      </c>
      <c r="T2277" s="6">
        <f t="shared" si="638"/>
        <v>1</v>
      </c>
      <c r="Z2277" s="6" t="str">
        <f t="shared" ca="1" si="639"/>
        <v>20245</v>
      </c>
      <c r="AA2277" s="6">
        <f t="shared" ca="1" si="640"/>
        <v>2024</v>
      </c>
      <c r="AB2277" s="6">
        <f t="shared" ca="1" si="641"/>
        <v>5</v>
      </c>
      <c r="AC2277" s="68">
        <f ca="1">IFERROR(__xludf.DUMMYFUNCTION("""COMPUTED_VALUE"""),45428.9986111111)</f>
        <v>45428.998611111099</v>
      </c>
      <c r="AD2277" s="6">
        <f ca="1">IFERROR(__xludf.DUMMYFUNCTION("""COMPUTED_VALUE"""),1346.04)</f>
        <v>1346.04</v>
      </c>
      <c r="AH2277" s="6" t="str">
        <f t="shared" ca="1" si="642"/>
        <v>20243</v>
      </c>
      <c r="AI2277" s="6">
        <f t="shared" ca="1" si="643"/>
        <v>2024</v>
      </c>
      <c r="AJ2277" s="6">
        <f t="shared" ca="1" si="644"/>
        <v>3</v>
      </c>
      <c r="AK2277" s="68">
        <f ca="1">IFERROR(__xludf.DUMMYFUNCTION("""COMPUTED_VALUE"""),45370.9986111111)</f>
        <v>45370.998611111099</v>
      </c>
      <c r="AL2277" s="6">
        <f ca="1">IFERROR(__xludf.DUMMYFUNCTION("""COMPUTED_VALUE"""),61964.65)</f>
        <v>61964.65</v>
      </c>
      <c r="AP2277" s="6" t="str">
        <f t="shared" si="645"/>
        <v>19001</v>
      </c>
      <c r="AQ2277" s="6">
        <f t="shared" si="646"/>
        <v>1900</v>
      </c>
      <c r="AR2277" s="6">
        <f t="shared" si="647"/>
        <v>1</v>
      </c>
    </row>
    <row r="2278" spans="2:44" x14ac:dyDescent="0.35">
      <c r="B2278" s="6" t="str">
        <f t="shared" si="630"/>
        <v>19001</v>
      </c>
      <c r="C2278" s="6">
        <f t="shared" si="631"/>
        <v>1900</v>
      </c>
      <c r="D2278" s="6">
        <f t="shared" si="632"/>
        <v>1</v>
      </c>
      <c r="J2278" s="6" t="str">
        <f t="shared" si="633"/>
        <v>19001</v>
      </c>
      <c r="K2278" s="6">
        <f t="shared" si="634"/>
        <v>1900</v>
      </c>
      <c r="L2278" s="6">
        <f t="shared" si="635"/>
        <v>1</v>
      </c>
      <c r="R2278" s="6" t="str">
        <f t="shared" si="636"/>
        <v>19001</v>
      </c>
      <c r="S2278" s="6">
        <f t="shared" si="637"/>
        <v>1900</v>
      </c>
      <c r="T2278" s="6">
        <f t="shared" si="638"/>
        <v>1</v>
      </c>
      <c r="Z2278" s="6" t="str">
        <f t="shared" ca="1" si="639"/>
        <v>20245</v>
      </c>
      <c r="AA2278" s="6">
        <f t="shared" ca="1" si="640"/>
        <v>2024</v>
      </c>
      <c r="AB2278" s="6">
        <f t="shared" ca="1" si="641"/>
        <v>5</v>
      </c>
      <c r="AC2278" s="68">
        <f ca="1">IFERROR(__xludf.DUMMYFUNCTION("""COMPUTED_VALUE"""),45429.9986111111)</f>
        <v>45429.998611111099</v>
      </c>
      <c r="AD2278" s="6">
        <f ca="1">IFERROR(__xludf.DUMMYFUNCTION("""COMPUTED_VALUE"""),1353.49)</f>
        <v>1353.49</v>
      </c>
      <c r="AH2278" s="6" t="str">
        <f t="shared" ca="1" si="642"/>
        <v>20243</v>
      </c>
      <c r="AI2278" s="6">
        <f t="shared" ca="1" si="643"/>
        <v>2024</v>
      </c>
      <c r="AJ2278" s="6">
        <f t="shared" ca="1" si="644"/>
        <v>3</v>
      </c>
      <c r="AK2278" s="68">
        <f ca="1">IFERROR(__xludf.DUMMYFUNCTION("""COMPUTED_VALUE"""),45371.9986111111)</f>
        <v>45371.998611111099</v>
      </c>
      <c r="AL2278" s="6">
        <f ca="1">IFERROR(__xludf.DUMMYFUNCTION("""COMPUTED_VALUE"""),67900.47)</f>
        <v>67900.47</v>
      </c>
      <c r="AP2278" s="6" t="str">
        <f t="shared" si="645"/>
        <v>19001</v>
      </c>
      <c r="AQ2278" s="6">
        <f t="shared" si="646"/>
        <v>1900</v>
      </c>
      <c r="AR2278" s="6">
        <f t="shared" si="647"/>
        <v>1</v>
      </c>
    </row>
    <row r="2279" spans="2:44" x14ac:dyDescent="0.35">
      <c r="B2279" s="6" t="str">
        <f t="shared" si="630"/>
        <v>19001</v>
      </c>
      <c r="C2279" s="6">
        <f t="shared" si="631"/>
        <v>1900</v>
      </c>
      <c r="D2279" s="6">
        <f t="shared" si="632"/>
        <v>1</v>
      </c>
      <c r="J2279" s="6" t="str">
        <f t="shared" si="633"/>
        <v>19001</v>
      </c>
      <c r="K2279" s="6">
        <f t="shared" si="634"/>
        <v>1900</v>
      </c>
      <c r="L2279" s="6">
        <f t="shared" si="635"/>
        <v>1</v>
      </c>
      <c r="R2279" s="6" t="str">
        <f t="shared" si="636"/>
        <v>19001</v>
      </c>
      <c r="S2279" s="6">
        <f t="shared" si="637"/>
        <v>1900</v>
      </c>
      <c r="T2279" s="6">
        <f t="shared" si="638"/>
        <v>1</v>
      </c>
      <c r="Z2279" s="6" t="str">
        <f t="shared" ca="1" si="639"/>
        <v>20245</v>
      </c>
      <c r="AA2279" s="6">
        <f t="shared" ca="1" si="640"/>
        <v>2024</v>
      </c>
      <c r="AB2279" s="6">
        <f t="shared" ca="1" si="641"/>
        <v>5</v>
      </c>
      <c r="AC2279" s="68">
        <f ca="1">IFERROR(__xludf.DUMMYFUNCTION("""COMPUTED_VALUE"""),45430.9986111111)</f>
        <v>45430.998611111099</v>
      </c>
      <c r="AD2279" s="6">
        <f ca="1">IFERROR(__xludf.DUMMYFUNCTION("""COMPUTED_VALUE"""),1353.49)</f>
        <v>1353.49</v>
      </c>
      <c r="AH2279" s="6" t="str">
        <f t="shared" ca="1" si="642"/>
        <v>20243</v>
      </c>
      <c r="AI2279" s="6">
        <f t="shared" ca="1" si="643"/>
        <v>2024</v>
      </c>
      <c r="AJ2279" s="6">
        <f t="shared" ca="1" si="644"/>
        <v>3</v>
      </c>
      <c r="AK2279" s="68">
        <f ca="1">IFERROR(__xludf.DUMMYFUNCTION("""COMPUTED_VALUE"""),45372.9986111111)</f>
        <v>45372.998611111099</v>
      </c>
      <c r="AL2279" s="6">
        <f ca="1">IFERROR(__xludf.DUMMYFUNCTION("""COMPUTED_VALUE"""),65507.84)</f>
        <v>65507.839999999997</v>
      </c>
      <c r="AP2279" s="6" t="str">
        <f t="shared" si="645"/>
        <v>19001</v>
      </c>
      <c r="AQ2279" s="6">
        <f t="shared" si="646"/>
        <v>1900</v>
      </c>
      <c r="AR2279" s="6">
        <f t="shared" si="647"/>
        <v>1</v>
      </c>
    </row>
    <row r="2280" spans="2:44" x14ac:dyDescent="0.35">
      <c r="B2280" s="6" t="str">
        <f t="shared" si="630"/>
        <v>19001</v>
      </c>
      <c r="C2280" s="6">
        <f t="shared" si="631"/>
        <v>1900</v>
      </c>
      <c r="D2280" s="6">
        <f t="shared" si="632"/>
        <v>1</v>
      </c>
      <c r="J2280" s="6" t="str">
        <f t="shared" si="633"/>
        <v>19001</v>
      </c>
      <c r="K2280" s="6">
        <f t="shared" si="634"/>
        <v>1900</v>
      </c>
      <c r="L2280" s="6">
        <f t="shared" si="635"/>
        <v>1</v>
      </c>
      <c r="R2280" s="6" t="str">
        <f t="shared" si="636"/>
        <v>19001</v>
      </c>
      <c r="S2280" s="6">
        <f t="shared" si="637"/>
        <v>1900</v>
      </c>
      <c r="T2280" s="6">
        <f t="shared" si="638"/>
        <v>1</v>
      </c>
      <c r="Z2280" s="6" t="str">
        <f t="shared" ca="1" si="639"/>
        <v>20245</v>
      </c>
      <c r="AA2280" s="6">
        <f t="shared" ca="1" si="640"/>
        <v>2024</v>
      </c>
      <c r="AB2280" s="6">
        <f t="shared" ca="1" si="641"/>
        <v>5</v>
      </c>
      <c r="AC2280" s="68">
        <f ca="1">IFERROR(__xludf.DUMMYFUNCTION("""COMPUTED_VALUE"""),45431.9986111111)</f>
        <v>45431.998611111099</v>
      </c>
      <c r="AD2280" s="6">
        <f ca="1">IFERROR(__xludf.DUMMYFUNCTION("""COMPUTED_VALUE"""),1353.39)</f>
        <v>1353.39</v>
      </c>
      <c r="AH2280" s="6" t="str">
        <f t="shared" ca="1" si="642"/>
        <v>20243</v>
      </c>
      <c r="AI2280" s="6">
        <f t="shared" ca="1" si="643"/>
        <v>2024</v>
      </c>
      <c r="AJ2280" s="6">
        <f t="shared" ca="1" si="644"/>
        <v>3</v>
      </c>
      <c r="AK2280" s="68">
        <f ca="1">IFERROR(__xludf.DUMMYFUNCTION("""COMPUTED_VALUE"""),45373.9986111111)</f>
        <v>45373.998611111099</v>
      </c>
      <c r="AL2280" s="6">
        <f ca="1">IFERROR(__xludf.DUMMYFUNCTION("""COMPUTED_VALUE"""),63669.71)</f>
        <v>63669.71</v>
      </c>
      <c r="AP2280" s="6" t="str">
        <f t="shared" si="645"/>
        <v>19001</v>
      </c>
      <c r="AQ2280" s="6">
        <f t="shared" si="646"/>
        <v>1900</v>
      </c>
      <c r="AR2280" s="6">
        <f t="shared" si="647"/>
        <v>1</v>
      </c>
    </row>
    <row r="2281" spans="2:44" x14ac:dyDescent="0.35">
      <c r="B2281" s="6" t="str">
        <f t="shared" si="630"/>
        <v>19001</v>
      </c>
      <c r="C2281" s="6">
        <f t="shared" si="631"/>
        <v>1900</v>
      </c>
      <c r="D2281" s="6">
        <f t="shared" si="632"/>
        <v>1</v>
      </c>
      <c r="J2281" s="6" t="str">
        <f t="shared" si="633"/>
        <v>19001</v>
      </c>
      <c r="K2281" s="6">
        <f t="shared" si="634"/>
        <v>1900</v>
      </c>
      <c r="L2281" s="6">
        <f t="shared" si="635"/>
        <v>1</v>
      </c>
      <c r="R2281" s="6" t="str">
        <f t="shared" si="636"/>
        <v>19001</v>
      </c>
      <c r="S2281" s="6">
        <f t="shared" si="637"/>
        <v>1900</v>
      </c>
      <c r="T2281" s="6">
        <f t="shared" si="638"/>
        <v>1</v>
      </c>
      <c r="Z2281" s="6" t="str">
        <f t="shared" ca="1" si="639"/>
        <v>20245</v>
      </c>
      <c r="AA2281" s="6">
        <f t="shared" ca="1" si="640"/>
        <v>2024</v>
      </c>
      <c r="AB2281" s="6">
        <f t="shared" ca="1" si="641"/>
        <v>5</v>
      </c>
      <c r="AC2281" s="68">
        <f ca="1">IFERROR(__xludf.DUMMYFUNCTION("""COMPUTED_VALUE"""),45432.9986111111)</f>
        <v>45432.998611111099</v>
      </c>
      <c r="AD2281" s="6">
        <f ca="1">IFERROR(__xludf.DUMMYFUNCTION("""COMPUTED_VALUE"""),1360.16)</f>
        <v>1360.16</v>
      </c>
      <c r="AH2281" s="6" t="str">
        <f t="shared" ca="1" si="642"/>
        <v>20243</v>
      </c>
      <c r="AI2281" s="6">
        <f t="shared" ca="1" si="643"/>
        <v>2024</v>
      </c>
      <c r="AJ2281" s="6">
        <f t="shared" ca="1" si="644"/>
        <v>3</v>
      </c>
      <c r="AK2281" s="68">
        <f ca="1">IFERROR(__xludf.DUMMYFUNCTION("""COMPUTED_VALUE"""),45374.9986111111)</f>
        <v>45374.998611111099</v>
      </c>
      <c r="AL2281" s="6">
        <f ca="1">IFERROR(__xludf.DUMMYFUNCTION("""COMPUTED_VALUE"""),64052.68)</f>
        <v>64052.68</v>
      </c>
      <c r="AP2281" s="6" t="str">
        <f t="shared" si="645"/>
        <v>19001</v>
      </c>
      <c r="AQ2281" s="6">
        <f t="shared" si="646"/>
        <v>1900</v>
      </c>
      <c r="AR2281" s="6">
        <f t="shared" si="647"/>
        <v>1</v>
      </c>
    </row>
    <row r="2282" spans="2:44" x14ac:dyDescent="0.35">
      <c r="B2282" s="6" t="str">
        <f t="shared" si="630"/>
        <v>19001</v>
      </c>
      <c r="C2282" s="6">
        <f t="shared" si="631"/>
        <v>1900</v>
      </c>
      <c r="D2282" s="6">
        <f t="shared" si="632"/>
        <v>1</v>
      </c>
      <c r="J2282" s="6" t="str">
        <f t="shared" si="633"/>
        <v>19001</v>
      </c>
      <c r="K2282" s="6">
        <f t="shared" si="634"/>
        <v>1900</v>
      </c>
      <c r="L2282" s="6">
        <f t="shared" si="635"/>
        <v>1</v>
      </c>
      <c r="R2282" s="6" t="str">
        <f t="shared" si="636"/>
        <v>19001</v>
      </c>
      <c r="S2282" s="6">
        <f t="shared" si="637"/>
        <v>1900</v>
      </c>
      <c r="T2282" s="6">
        <f t="shared" si="638"/>
        <v>1</v>
      </c>
      <c r="Z2282" s="6" t="str">
        <f t="shared" ca="1" si="639"/>
        <v>20245</v>
      </c>
      <c r="AA2282" s="6">
        <f t="shared" ca="1" si="640"/>
        <v>2024</v>
      </c>
      <c r="AB2282" s="6">
        <f t="shared" ca="1" si="641"/>
        <v>5</v>
      </c>
      <c r="AC2282" s="68">
        <f ca="1">IFERROR(__xludf.DUMMYFUNCTION("""COMPUTED_VALUE"""),45433.9986111111)</f>
        <v>45433.998611111099</v>
      </c>
      <c r="AD2282" s="6">
        <f ca="1">IFERROR(__xludf.DUMMYFUNCTION("""COMPUTED_VALUE"""),1363.42)</f>
        <v>1363.42</v>
      </c>
      <c r="AH2282" s="6" t="str">
        <f t="shared" ca="1" si="642"/>
        <v>20243</v>
      </c>
      <c r="AI2282" s="6">
        <f t="shared" ca="1" si="643"/>
        <v>2024</v>
      </c>
      <c r="AJ2282" s="6">
        <f t="shared" ca="1" si="644"/>
        <v>3</v>
      </c>
      <c r="AK2282" s="68">
        <f ca="1">IFERROR(__xludf.DUMMYFUNCTION("""COMPUTED_VALUE"""),45375.9986111111)</f>
        <v>45375.998611111099</v>
      </c>
      <c r="AL2282" s="6">
        <f ca="1">IFERROR(__xludf.DUMMYFUNCTION("""COMPUTED_VALUE"""),67228.68)</f>
        <v>67228.679999999993</v>
      </c>
      <c r="AP2282" s="6" t="str">
        <f t="shared" si="645"/>
        <v>19001</v>
      </c>
      <c r="AQ2282" s="6">
        <f t="shared" si="646"/>
        <v>1900</v>
      </c>
      <c r="AR2282" s="6">
        <f t="shared" si="647"/>
        <v>1</v>
      </c>
    </row>
    <row r="2283" spans="2:44" x14ac:dyDescent="0.35">
      <c r="B2283" s="6" t="str">
        <f t="shared" si="630"/>
        <v>19001</v>
      </c>
      <c r="C2283" s="6">
        <f t="shared" si="631"/>
        <v>1900</v>
      </c>
      <c r="D2283" s="6">
        <f t="shared" si="632"/>
        <v>1</v>
      </c>
      <c r="J2283" s="6" t="str">
        <f t="shared" si="633"/>
        <v>19001</v>
      </c>
      <c r="K2283" s="6">
        <f t="shared" si="634"/>
        <v>1900</v>
      </c>
      <c r="L2283" s="6">
        <f t="shared" si="635"/>
        <v>1</v>
      </c>
      <c r="R2283" s="6" t="str">
        <f t="shared" si="636"/>
        <v>19001</v>
      </c>
      <c r="S2283" s="6">
        <f t="shared" si="637"/>
        <v>1900</v>
      </c>
      <c r="T2283" s="6">
        <f t="shared" si="638"/>
        <v>1</v>
      </c>
      <c r="Z2283" s="6" t="str">
        <f t="shared" ca="1" si="639"/>
        <v>20245</v>
      </c>
      <c r="AA2283" s="6">
        <f t="shared" ca="1" si="640"/>
        <v>2024</v>
      </c>
      <c r="AB2283" s="6">
        <f t="shared" ca="1" si="641"/>
        <v>5</v>
      </c>
      <c r="AC2283" s="68">
        <f ca="1">IFERROR(__xludf.DUMMYFUNCTION("""COMPUTED_VALUE"""),45434.9986111111)</f>
        <v>45434.998611111099</v>
      </c>
      <c r="AD2283" s="6">
        <f ca="1">IFERROR(__xludf.DUMMYFUNCTION("""COMPUTED_VALUE"""),1365.81)</f>
        <v>1365.81</v>
      </c>
      <c r="AH2283" s="6" t="str">
        <f t="shared" ca="1" si="642"/>
        <v>20243</v>
      </c>
      <c r="AI2283" s="6">
        <f t="shared" ca="1" si="643"/>
        <v>2024</v>
      </c>
      <c r="AJ2283" s="6">
        <f t="shared" ca="1" si="644"/>
        <v>3</v>
      </c>
      <c r="AK2283" s="68">
        <f ca="1">IFERROR(__xludf.DUMMYFUNCTION("""COMPUTED_VALUE"""),45376.9986111111)</f>
        <v>45376.998611111099</v>
      </c>
      <c r="AL2283" s="6">
        <f ca="1">IFERROR(__xludf.DUMMYFUNCTION("""COMPUTED_VALUE"""),69956.47)</f>
        <v>69956.47</v>
      </c>
      <c r="AP2283" s="6" t="str">
        <f t="shared" si="645"/>
        <v>19001</v>
      </c>
      <c r="AQ2283" s="6">
        <f t="shared" si="646"/>
        <v>1900</v>
      </c>
      <c r="AR2283" s="6">
        <f t="shared" si="647"/>
        <v>1</v>
      </c>
    </row>
    <row r="2284" spans="2:44" x14ac:dyDescent="0.35">
      <c r="B2284" s="6" t="str">
        <f t="shared" si="630"/>
        <v>19001</v>
      </c>
      <c r="C2284" s="6">
        <f t="shared" si="631"/>
        <v>1900</v>
      </c>
      <c r="D2284" s="6">
        <f t="shared" si="632"/>
        <v>1</v>
      </c>
      <c r="J2284" s="6" t="str">
        <f t="shared" si="633"/>
        <v>19001</v>
      </c>
      <c r="K2284" s="6">
        <f t="shared" si="634"/>
        <v>1900</v>
      </c>
      <c r="L2284" s="6">
        <f t="shared" si="635"/>
        <v>1</v>
      </c>
      <c r="R2284" s="6" t="str">
        <f t="shared" si="636"/>
        <v>19001</v>
      </c>
      <c r="S2284" s="6">
        <f t="shared" si="637"/>
        <v>1900</v>
      </c>
      <c r="T2284" s="6">
        <f t="shared" si="638"/>
        <v>1</v>
      </c>
      <c r="Z2284" s="6" t="str">
        <f t="shared" ca="1" si="639"/>
        <v>20245</v>
      </c>
      <c r="AA2284" s="6">
        <f t="shared" ca="1" si="640"/>
        <v>2024</v>
      </c>
      <c r="AB2284" s="6">
        <f t="shared" ca="1" si="641"/>
        <v>5</v>
      </c>
      <c r="AC2284" s="68">
        <f ca="1">IFERROR(__xludf.DUMMYFUNCTION("""COMPUTED_VALUE"""),45435.9986111111)</f>
        <v>45435.998611111099</v>
      </c>
      <c r="AD2284" s="6">
        <f ca="1">IFERROR(__xludf.DUMMYFUNCTION("""COMPUTED_VALUE"""),1367.62)</f>
        <v>1367.62</v>
      </c>
      <c r="AH2284" s="6" t="str">
        <f t="shared" ca="1" si="642"/>
        <v>20243</v>
      </c>
      <c r="AI2284" s="6">
        <f t="shared" ca="1" si="643"/>
        <v>2024</v>
      </c>
      <c r="AJ2284" s="6">
        <f t="shared" ca="1" si="644"/>
        <v>3</v>
      </c>
      <c r="AK2284" s="68">
        <f ca="1">IFERROR(__xludf.DUMMYFUNCTION("""COMPUTED_VALUE"""),45377.9986111111)</f>
        <v>45377.998611111099</v>
      </c>
      <c r="AL2284" s="6">
        <f ca="1">IFERROR(__xludf.DUMMYFUNCTION("""COMPUTED_VALUE"""),69976.26)</f>
        <v>69976.259999999995</v>
      </c>
      <c r="AP2284" s="6" t="str">
        <f t="shared" si="645"/>
        <v>19001</v>
      </c>
      <c r="AQ2284" s="6">
        <f t="shared" si="646"/>
        <v>1900</v>
      </c>
      <c r="AR2284" s="6">
        <f t="shared" si="647"/>
        <v>1</v>
      </c>
    </row>
    <row r="2285" spans="2:44" x14ac:dyDescent="0.35">
      <c r="B2285" s="6" t="str">
        <f t="shared" si="630"/>
        <v>19001</v>
      </c>
      <c r="C2285" s="6">
        <f t="shared" si="631"/>
        <v>1900</v>
      </c>
      <c r="D2285" s="6">
        <f t="shared" si="632"/>
        <v>1</v>
      </c>
      <c r="J2285" s="6" t="str">
        <f t="shared" si="633"/>
        <v>19001</v>
      </c>
      <c r="K2285" s="6">
        <f t="shared" si="634"/>
        <v>1900</v>
      </c>
      <c r="L2285" s="6">
        <f t="shared" si="635"/>
        <v>1</v>
      </c>
      <c r="R2285" s="6" t="str">
        <f t="shared" si="636"/>
        <v>19001</v>
      </c>
      <c r="S2285" s="6">
        <f t="shared" si="637"/>
        <v>1900</v>
      </c>
      <c r="T2285" s="6">
        <f t="shared" si="638"/>
        <v>1</v>
      </c>
      <c r="Z2285" s="6" t="str">
        <f t="shared" ca="1" si="639"/>
        <v>20245</v>
      </c>
      <c r="AA2285" s="6">
        <f t="shared" ca="1" si="640"/>
        <v>2024</v>
      </c>
      <c r="AB2285" s="6">
        <f t="shared" ca="1" si="641"/>
        <v>5</v>
      </c>
      <c r="AC2285" s="68">
        <f ca="1">IFERROR(__xludf.DUMMYFUNCTION("""COMPUTED_VALUE"""),45436.9986111111)</f>
        <v>45436.998611111099</v>
      </c>
      <c r="AD2285" s="6">
        <f ca="1">IFERROR(__xludf.DUMMYFUNCTION("""COMPUTED_VALUE"""),1365.7)</f>
        <v>1365.7</v>
      </c>
      <c r="AH2285" s="6" t="str">
        <f t="shared" ca="1" si="642"/>
        <v>20243</v>
      </c>
      <c r="AI2285" s="6">
        <f t="shared" ca="1" si="643"/>
        <v>2024</v>
      </c>
      <c r="AJ2285" s="6">
        <f t="shared" ca="1" si="644"/>
        <v>3</v>
      </c>
      <c r="AK2285" s="68">
        <f ca="1">IFERROR(__xludf.DUMMYFUNCTION("""COMPUTED_VALUE"""),45378.9986111111)</f>
        <v>45378.998611111099</v>
      </c>
      <c r="AL2285" s="6">
        <f ca="1">IFERROR(__xludf.DUMMYFUNCTION("""COMPUTED_VALUE"""),69402.96)</f>
        <v>69402.960000000006</v>
      </c>
      <c r="AP2285" s="6" t="str">
        <f t="shared" si="645"/>
        <v>19001</v>
      </c>
      <c r="AQ2285" s="6">
        <f t="shared" si="646"/>
        <v>1900</v>
      </c>
      <c r="AR2285" s="6">
        <f t="shared" si="647"/>
        <v>1</v>
      </c>
    </row>
    <row r="2286" spans="2:44" x14ac:dyDescent="0.35">
      <c r="B2286" s="6" t="str">
        <f t="shared" si="630"/>
        <v>19001</v>
      </c>
      <c r="C2286" s="6">
        <f t="shared" si="631"/>
        <v>1900</v>
      </c>
      <c r="D2286" s="6">
        <f t="shared" si="632"/>
        <v>1</v>
      </c>
      <c r="J2286" s="6" t="str">
        <f t="shared" si="633"/>
        <v>19001</v>
      </c>
      <c r="K2286" s="6">
        <f t="shared" si="634"/>
        <v>1900</v>
      </c>
      <c r="L2286" s="6">
        <f t="shared" si="635"/>
        <v>1</v>
      </c>
      <c r="R2286" s="6" t="str">
        <f t="shared" si="636"/>
        <v>19001</v>
      </c>
      <c r="S2286" s="6">
        <f t="shared" si="637"/>
        <v>1900</v>
      </c>
      <c r="T2286" s="6">
        <f t="shared" si="638"/>
        <v>1</v>
      </c>
      <c r="Z2286" s="6" t="str">
        <f t="shared" ca="1" si="639"/>
        <v>20245</v>
      </c>
      <c r="AA2286" s="6">
        <f t="shared" ca="1" si="640"/>
        <v>2024</v>
      </c>
      <c r="AB2286" s="6">
        <f t="shared" ca="1" si="641"/>
        <v>5</v>
      </c>
      <c r="AC2286" s="68">
        <f ca="1">IFERROR(__xludf.DUMMYFUNCTION("""COMPUTED_VALUE"""),45437.9986111111)</f>
        <v>45437.998611111099</v>
      </c>
      <c r="AD2286" s="6">
        <f ca="1">IFERROR(__xludf.DUMMYFUNCTION("""COMPUTED_VALUE"""),1365.7)</f>
        <v>1365.7</v>
      </c>
      <c r="AH2286" s="6" t="str">
        <f t="shared" ca="1" si="642"/>
        <v>20243</v>
      </c>
      <c r="AI2286" s="6">
        <f t="shared" ca="1" si="643"/>
        <v>2024</v>
      </c>
      <c r="AJ2286" s="6">
        <f t="shared" ca="1" si="644"/>
        <v>3</v>
      </c>
      <c r="AK2286" s="68">
        <f ca="1">IFERROR(__xludf.DUMMYFUNCTION("""COMPUTED_VALUE"""),45379.9986111111)</f>
        <v>45379.998611111099</v>
      </c>
      <c r="AL2286" s="6">
        <f ca="1">IFERROR(__xludf.DUMMYFUNCTION("""COMPUTED_VALUE"""),70787.45)</f>
        <v>70787.45</v>
      </c>
      <c r="AP2286" s="6" t="str">
        <f t="shared" si="645"/>
        <v>19001</v>
      </c>
      <c r="AQ2286" s="6">
        <f t="shared" si="646"/>
        <v>1900</v>
      </c>
      <c r="AR2286" s="6">
        <f t="shared" si="647"/>
        <v>1</v>
      </c>
    </row>
    <row r="2287" spans="2:44" x14ac:dyDescent="0.35">
      <c r="B2287" s="6" t="str">
        <f t="shared" si="630"/>
        <v>19001</v>
      </c>
      <c r="C2287" s="6">
        <f t="shared" si="631"/>
        <v>1900</v>
      </c>
      <c r="D2287" s="6">
        <f t="shared" si="632"/>
        <v>1</v>
      </c>
      <c r="J2287" s="6" t="str">
        <f t="shared" si="633"/>
        <v>19001</v>
      </c>
      <c r="K2287" s="6">
        <f t="shared" si="634"/>
        <v>1900</v>
      </c>
      <c r="L2287" s="6">
        <f t="shared" si="635"/>
        <v>1</v>
      </c>
      <c r="R2287" s="6" t="str">
        <f t="shared" si="636"/>
        <v>19001</v>
      </c>
      <c r="S2287" s="6">
        <f t="shared" si="637"/>
        <v>1900</v>
      </c>
      <c r="T2287" s="6">
        <f t="shared" si="638"/>
        <v>1</v>
      </c>
      <c r="Z2287" s="6" t="str">
        <f t="shared" ca="1" si="639"/>
        <v>20245</v>
      </c>
      <c r="AA2287" s="6">
        <f t="shared" ca="1" si="640"/>
        <v>2024</v>
      </c>
      <c r="AB2287" s="6">
        <f t="shared" ca="1" si="641"/>
        <v>5</v>
      </c>
      <c r="AC2287" s="68">
        <f ca="1">IFERROR(__xludf.DUMMYFUNCTION("""COMPUTED_VALUE"""),45438.9986111111)</f>
        <v>45438.998611111099</v>
      </c>
      <c r="AD2287" s="6">
        <f ca="1">IFERROR(__xludf.DUMMYFUNCTION("""COMPUTED_VALUE"""),1365.71)</f>
        <v>1365.71</v>
      </c>
      <c r="AH2287" s="6" t="str">
        <f t="shared" ca="1" si="642"/>
        <v>20243</v>
      </c>
      <c r="AI2287" s="6">
        <f t="shared" ca="1" si="643"/>
        <v>2024</v>
      </c>
      <c r="AJ2287" s="6">
        <f t="shared" ca="1" si="644"/>
        <v>3</v>
      </c>
      <c r="AK2287" s="68">
        <f ca="1">IFERROR(__xludf.DUMMYFUNCTION("""COMPUTED_VALUE"""),45380.9986111111)</f>
        <v>45380.998611111099</v>
      </c>
      <c r="AL2287" s="6">
        <f ca="1">IFERROR(__xludf.DUMMYFUNCTION("""COMPUTED_VALUE"""),69917.16)</f>
        <v>69917.16</v>
      </c>
      <c r="AP2287" s="6" t="str">
        <f t="shared" si="645"/>
        <v>19001</v>
      </c>
      <c r="AQ2287" s="6">
        <f t="shared" si="646"/>
        <v>1900</v>
      </c>
      <c r="AR2287" s="6">
        <f t="shared" si="647"/>
        <v>1</v>
      </c>
    </row>
    <row r="2288" spans="2:44" x14ac:dyDescent="0.35">
      <c r="B2288" s="6" t="str">
        <f t="shared" si="630"/>
        <v>19001</v>
      </c>
      <c r="C2288" s="6">
        <f t="shared" si="631"/>
        <v>1900</v>
      </c>
      <c r="D2288" s="6">
        <f t="shared" si="632"/>
        <v>1</v>
      </c>
      <c r="J2288" s="6" t="str">
        <f t="shared" si="633"/>
        <v>19001</v>
      </c>
      <c r="K2288" s="6">
        <f t="shared" si="634"/>
        <v>1900</v>
      </c>
      <c r="L2288" s="6">
        <f t="shared" si="635"/>
        <v>1</v>
      </c>
      <c r="R2288" s="6" t="str">
        <f t="shared" si="636"/>
        <v>19001</v>
      </c>
      <c r="S2288" s="6">
        <f t="shared" si="637"/>
        <v>1900</v>
      </c>
      <c r="T2288" s="6">
        <f t="shared" si="638"/>
        <v>1</v>
      </c>
      <c r="Z2288" s="6" t="str">
        <f t="shared" ca="1" si="639"/>
        <v>20245</v>
      </c>
      <c r="AA2288" s="6">
        <f t="shared" ca="1" si="640"/>
        <v>2024</v>
      </c>
      <c r="AB2288" s="6">
        <f t="shared" ca="1" si="641"/>
        <v>5</v>
      </c>
      <c r="AC2288" s="68">
        <f ca="1">IFERROR(__xludf.DUMMYFUNCTION("""COMPUTED_VALUE"""),45439.9986111111)</f>
        <v>45439.998611111099</v>
      </c>
      <c r="AD2288" s="6">
        <f ca="1">IFERROR(__xludf.DUMMYFUNCTION("""COMPUTED_VALUE"""),1360.93)</f>
        <v>1360.93</v>
      </c>
      <c r="AH2288" s="6" t="str">
        <f t="shared" ca="1" si="642"/>
        <v>20243</v>
      </c>
      <c r="AI2288" s="6">
        <f t="shared" ca="1" si="643"/>
        <v>2024</v>
      </c>
      <c r="AJ2288" s="6">
        <f t="shared" ca="1" si="644"/>
        <v>3</v>
      </c>
      <c r="AK2288" s="68">
        <f ca="1">IFERROR(__xludf.DUMMYFUNCTION("""COMPUTED_VALUE"""),45381.9986111111)</f>
        <v>45381.998611111099</v>
      </c>
      <c r="AL2288" s="6">
        <f ca="1">IFERROR(__xludf.DUMMYFUNCTION("""COMPUTED_VALUE"""),69666.93)</f>
        <v>69666.929999999993</v>
      </c>
      <c r="AP2288" s="6" t="str">
        <f t="shared" si="645"/>
        <v>19001</v>
      </c>
      <c r="AQ2288" s="6">
        <f t="shared" si="646"/>
        <v>1900</v>
      </c>
      <c r="AR2288" s="6">
        <f t="shared" si="647"/>
        <v>1</v>
      </c>
    </row>
    <row r="2289" spans="2:44" x14ac:dyDescent="0.35">
      <c r="B2289" s="6" t="str">
        <f t="shared" si="630"/>
        <v>19001</v>
      </c>
      <c r="C2289" s="6">
        <f t="shared" si="631"/>
        <v>1900</v>
      </c>
      <c r="D2289" s="6">
        <f t="shared" si="632"/>
        <v>1</v>
      </c>
      <c r="J2289" s="6" t="str">
        <f t="shared" si="633"/>
        <v>19001</v>
      </c>
      <c r="K2289" s="6">
        <f t="shared" si="634"/>
        <v>1900</v>
      </c>
      <c r="L2289" s="6">
        <f t="shared" si="635"/>
        <v>1</v>
      </c>
      <c r="R2289" s="6" t="str">
        <f t="shared" si="636"/>
        <v>19001</v>
      </c>
      <c r="S2289" s="6">
        <f t="shared" si="637"/>
        <v>1900</v>
      </c>
      <c r="T2289" s="6">
        <f t="shared" si="638"/>
        <v>1</v>
      </c>
      <c r="Z2289" s="6" t="str">
        <f t="shared" ca="1" si="639"/>
        <v>20245</v>
      </c>
      <c r="AA2289" s="6">
        <f t="shared" ca="1" si="640"/>
        <v>2024</v>
      </c>
      <c r="AB2289" s="6">
        <f t="shared" ca="1" si="641"/>
        <v>5</v>
      </c>
      <c r="AC2289" s="68">
        <f ca="1">IFERROR(__xludf.DUMMYFUNCTION("""COMPUTED_VALUE"""),45440.9986111111)</f>
        <v>45440.998611111099</v>
      </c>
      <c r="AD2289" s="6">
        <f ca="1">IFERROR(__xludf.DUMMYFUNCTION("""COMPUTED_VALUE"""),1362.76)</f>
        <v>1362.76</v>
      </c>
      <c r="AH2289" s="6" t="str">
        <f t="shared" ca="1" si="642"/>
        <v>20243</v>
      </c>
      <c r="AI2289" s="6">
        <f t="shared" ca="1" si="643"/>
        <v>2024</v>
      </c>
      <c r="AJ2289" s="6">
        <f t="shared" ca="1" si="644"/>
        <v>3</v>
      </c>
      <c r="AK2289" s="68">
        <f ca="1">IFERROR(__xludf.DUMMYFUNCTION("""COMPUTED_VALUE"""),45382.9986111111)</f>
        <v>45382.998611111099</v>
      </c>
      <c r="AL2289" s="6">
        <f ca="1">IFERROR(__xludf.DUMMYFUNCTION("""COMPUTED_VALUE"""),71341.71)</f>
        <v>71341.710000000006</v>
      </c>
      <c r="AP2289" s="6" t="str">
        <f t="shared" si="645"/>
        <v>19001</v>
      </c>
      <c r="AQ2289" s="6">
        <f t="shared" si="646"/>
        <v>1900</v>
      </c>
      <c r="AR2289" s="6">
        <f t="shared" si="647"/>
        <v>1</v>
      </c>
    </row>
    <row r="2290" spans="2:44" x14ac:dyDescent="0.35">
      <c r="B2290" s="6" t="str">
        <f t="shared" si="630"/>
        <v>19001</v>
      </c>
      <c r="C2290" s="6">
        <f t="shared" si="631"/>
        <v>1900</v>
      </c>
      <c r="D2290" s="6">
        <f t="shared" si="632"/>
        <v>1</v>
      </c>
      <c r="J2290" s="6" t="str">
        <f t="shared" si="633"/>
        <v>19001</v>
      </c>
      <c r="K2290" s="6">
        <f t="shared" si="634"/>
        <v>1900</v>
      </c>
      <c r="L2290" s="6">
        <f t="shared" si="635"/>
        <v>1</v>
      </c>
      <c r="R2290" s="6" t="str">
        <f t="shared" si="636"/>
        <v>19001</v>
      </c>
      <c r="S2290" s="6">
        <f t="shared" si="637"/>
        <v>1900</v>
      </c>
      <c r="T2290" s="6">
        <f t="shared" si="638"/>
        <v>1</v>
      </c>
      <c r="Z2290" s="6" t="str">
        <f t="shared" ca="1" si="639"/>
        <v>20245</v>
      </c>
      <c r="AA2290" s="6">
        <f t="shared" ca="1" si="640"/>
        <v>2024</v>
      </c>
      <c r="AB2290" s="6">
        <f t="shared" ca="1" si="641"/>
        <v>5</v>
      </c>
      <c r="AC2290" s="68">
        <f ca="1">IFERROR(__xludf.DUMMYFUNCTION("""COMPUTED_VALUE"""),45441.9986111111)</f>
        <v>45441.998611111099</v>
      </c>
      <c r="AD2290" s="6">
        <f ca="1">IFERROR(__xludf.DUMMYFUNCTION("""COMPUTED_VALUE"""),1370.55)</f>
        <v>1370.55</v>
      </c>
      <c r="AH2290" s="6" t="str">
        <f t="shared" ca="1" si="642"/>
        <v>20244</v>
      </c>
      <c r="AI2290" s="6">
        <f t="shared" ca="1" si="643"/>
        <v>2024</v>
      </c>
      <c r="AJ2290" s="6">
        <f t="shared" ca="1" si="644"/>
        <v>4</v>
      </c>
      <c r="AK2290" s="68">
        <f ca="1">IFERROR(__xludf.DUMMYFUNCTION("""COMPUTED_VALUE"""),45383.9986111111)</f>
        <v>45383.998611111099</v>
      </c>
      <c r="AL2290" s="6">
        <f ca="1">IFERROR(__xludf.DUMMYFUNCTION("""COMPUTED_VALUE"""),69693.39)</f>
        <v>69693.39</v>
      </c>
      <c r="AP2290" s="6" t="str">
        <f t="shared" si="645"/>
        <v>19001</v>
      </c>
      <c r="AQ2290" s="6">
        <f t="shared" si="646"/>
        <v>1900</v>
      </c>
      <c r="AR2290" s="6">
        <f t="shared" si="647"/>
        <v>1</v>
      </c>
    </row>
    <row r="2291" spans="2:44" x14ac:dyDescent="0.35">
      <c r="B2291" s="6" t="str">
        <f t="shared" si="630"/>
        <v>19001</v>
      </c>
      <c r="C2291" s="6">
        <f t="shared" si="631"/>
        <v>1900</v>
      </c>
      <c r="D2291" s="6">
        <f t="shared" si="632"/>
        <v>1</v>
      </c>
      <c r="J2291" s="6" t="str">
        <f t="shared" si="633"/>
        <v>19001</v>
      </c>
      <c r="K2291" s="6">
        <f t="shared" si="634"/>
        <v>1900</v>
      </c>
      <c r="L2291" s="6">
        <f t="shared" si="635"/>
        <v>1</v>
      </c>
      <c r="R2291" s="6" t="str">
        <f t="shared" si="636"/>
        <v>19001</v>
      </c>
      <c r="S2291" s="6">
        <f t="shared" si="637"/>
        <v>1900</v>
      </c>
      <c r="T2291" s="6">
        <f t="shared" si="638"/>
        <v>1</v>
      </c>
      <c r="Z2291" s="6" t="str">
        <f t="shared" ca="1" si="639"/>
        <v>20245</v>
      </c>
      <c r="AA2291" s="6">
        <f t="shared" ca="1" si="640"/>
        <v>2024</v>
      </c>
      <c r="AB2291" s="6">
        <f t="shared" ca="1" si="641"/>
        <v>5</v>
      </c>
      <c r="AC2291" s="68">
        <f ca="1">IFERROR(__xludf.DUMMYFUNCTION("""COMPUTED_VALUE"""),45442.9986111111)</f>
        <v>45442.998611111099</v>
      </c>
      <c r="AD2291" s="6">
        <f ca="1">IFERROR(__xludf.DUMMYFUNCTION("""COMPUTED_VALUE"""),1375.62)</f>
        <v>1375.62</v>
      </c>
      <c r="AH2291" s="6" t="str">
        <f t="shared" ca="1" si="642"/>
        <v>20244</v>
      </c>
      <c r="AI2291" s="6">
        <f t="shared" ca="1" si="643"/>
        <v>2024</v>
      </c>
      <c r="AJ2291" s="6">
        <f t="shared" ca="1" si="644"/>
        <v>4</v>
      </c>
      <c r="AK2291" s="68">
        <f ca="1">IFERROR(__xludf.DUMMYFUNCTION("""COMPUTED_VALUE"""),45384.9986111111)</f>
        <v>45384.998611111099</v>
      </c>
      <c r="AL2291" s="6">
        <f ca="1">IFERROR(__xludf.DUMMYFUNCTION("""COMPUTED_VALUE"""),65620.65)</f>
        <v>65620.649999999994</v>
      </c>
      <c r="AP2291" s="6" t="str">
        <f t="shared" si="645"/>
        <v>19001</v>
      </c>
      <c r="AQ2291" s="6">
        <f t="shared" si="646"/>
        <v>1900</v>
      </c>
      <c r="AR2291" s="6">
        <f t="shared" si="647"/>
        <v>1</v>
      </c>
    </row>
    <row r="2292" spans="2:44" x14ac:dyDescent="0.35">
      <c r="B2292" s="6" t="str">
        <f t="shared" si="630"/>
        <v>19001</v>
      </c>
      <c r="C2292" s="6">
        <f t="shared" si="631"/>
        <v>1900</v>
      </c>
      <c r="D2292" s="6">
        <f t="shared" si="632"/>
        <v>1</v>
      </c>
      <c r="J2292" s="6" t="str">
        <f t="shared" si="633"/>
        <v>19001</v>
      </c>
      <c r="K2292" s="6">
        <f t="shared" si="634"/>
        <v>1900</v>
      </c>
      <c r="L2292" s="6">
        <f t="shared" si="635"/>
        <v>1</v>
      </c>
      <c r="R2292" s="6" t="str">
        <f t="shared" si="636"/>
        <v>19001</v>
      </c>
      <c r="S2292" s="6">
        <f t="shared" si="637"/>
        <v>1900</v>
      </c>
      <c r="T2292" s="6">
        <f t="shared" si="638"/>
        <v>1</v>
      </c>
      <c r="Z2292" s="6" t="str">
        <f t="shared" ca="1" si="639"/>
        <v>20245</v>
      </c>
      <c r="AA2292" s="6">
        <f t="shared" ca="1" si="640"/>
        <v>2024</v>
      </c>
      <c r="AB2292" s="6">
        <f t="shared" ca="1" si="641"/>
        <v>5</v>
      </c>
      <c r="AC2292" s="68">
        <f ca="1">IFERROR(__xludf.DUMMYFUNCTION("""COMPUTED_VALUE"""),45443.9986111111)</f>
        <v>45443.998611111099</v>
      </c>
      <c r="AD2292" s="6">
        <f ca="1">IFERROR(__xludf.DUMMYFUNCTION("""COMPUTED_VALUE"""),1382.09)</f>
        <v>1382.09</v>
      </c>
      <c r="AH2292" s="6" t="str">
        <f t="shared" ca="1" si="642"/>
        <v>20244</v>
      </c>
      <c r="AI2292" s="6">
        <f t="shared" ca="1" si="643"/>
        <v>2024</v>
      </c>
      <c r="AJ2292" s="6">
        <f t="shared" ca="1" si="644"/>
        <v>4</v>
      </c>
      <c r="AK2292" s="68">
        <f ca="1">IFERROR(__xludf.DUMMYFUNCTION("""COMPUTED_VALUE"""),45385.9986111111)</f>
        <v>45385.998611111099</v>
      </c>
      <c r="AL2292" s="6">
        <f ca="1">IFERROR(__xludf.DUMMYFUNCTION("""COMPUTED_VALUE"""),66053.35)</f>
        <v>66053.350000000006</v>
      </c>
      <c r="AP2292" s="6" t="str">
        <f t="shared" si="645"/>
        <v>19001</v>
      </c>
      <c r="AQ2292" s="6">
        <f t="shared" si="646"/>
        <v>1900</v>
      </c>
      <c r="AR2292" s="6">
        <f t="shared" si="647"/>
        <v>1</v>
      </c>
    </row>
    <row r="2293" spans="2:44" x14ac:dyDescent="0.35">
      <c r="B2293" s="6" t="str">
        <f t="shared" si="630"/>
        <v>19001</v>
      </c>
      <c r="C2293" s="6">
        <f t="shared" si="631"/>
        <v>1900</v>
      </c>
      <c r="D2293" s="6">
        <f t="shared" si="632"/>
        <v>1</v>
      </c>
      <c r="J2293" s="6" t="str">
        <f t="shared" si="633"/>
        <v>19001</v>
      </c>
      <c r="K2293" s="6">
        <f t="shared" si="634"/>
        <v>1900</v>
      </c>
      <c r="L2293" s="6">
        <f t="shared" si="635"/>
        <v>1</v>
      </c>
      <c r="R2293" s="6" t="str">
        <f t="shared" si="636"/>
        <v>19001</v>
      </c>
      <c r="S2293" s="6">
        <f t="shared" si="637"/>
        <v>1900</v>
      </c>
      <c r="T2293" s="6">
        <f t="shared" si="638"/>
        <v>1</v>
      </c>
      <c r="Z2293" s="6" t="str">
        <f t="shared" ca="1" si="639"/>
        <v>20246</v>
      </c>
      <c r="AA2293" s="6">
        <f t="shared" ca="1" si="640"/>
        <v>2024</v>
      </c>
      <c r="AB2293" s="6">
        <f t="shared" ca="1" si="641"/>
        <v>6</v>
      </c>
      <c r="AC2293" s="68">
        <f ca="1">IFERROR(__xludf.DUMMYFUNCTION("""COMPUTED_VALUE"""),45444.9986111111)</f>
        <v>45444.998611111099</v>
      </c>
      <c r="AD2293" s="6">
        <f ca="1">IFERROR(__xludf.DUMMYFUNCTION("""COMPUTED_VALUE"""),1382.09)</f>
        <v>1382.09</v>
      </c>
      <c r="AH2293" s="6" t="str">
        <f t="shared" ca="1" si="642"/>
        <v>20244</v>
      </c>
      <c r="AI2293" s="6">
        <f t="shared" ca="1" si="643"/>
        <v>2024</v>
      </c>
      <c r="AJ2293" s="6">
        <f t="shared" ca="1" si="644"/>
        <v>4</v>
      </c>
      <c r="AK2293" s="68">
        <f ca="1">IFERROR(__xludf.DUMMYFUNCTION("""COMPUTED_VALUE"""),45386.9986111111)</f>
        <v>45386.998611111099</v>
      </c>
      <c r="AL2293" s="6">
        <f ca="1">IFERROR(__xludf.DUMMYFUNCTION("""COMPUTED_VALUE"""),68517.75)</f>
        <v>68517.75</v>
      </c>
      <c r="AP2293" s="6" t="str">
        <f t="shared" si="645"/>
        <v>19001</v>
      </c>
      <c r="AQ2293" s="6">
        <f t="shared" si="646"/>
        <v>1900</v>
      </c>
      <c r="AR2293" s="6">
        <f t="shared" si="647"/>
        <v>1</v>
      </c>
    </row>
    <row r="2294" spans="2:44" x14ac:dyDescent="0.35">
      <c r="B2294" s="6" t="str">
        <f t="shared" si="630"/>
        <v>19001</v>
      </c>
      <c r="C2294" s="6">
        <f t="shared" si="631"/>
        <v>1900</v>
      </c>
      <c r="D2294" s="6">
        <f t="shared" si="632"/>
        <v>1</v>
      </c>
      <c r="J2294" s="6" t="str">
        <f t="shared" si="633"/>
        <v>19001</v>
      </c>
      <c r="K2294" s="6">
        <f t="shared" si="634"/>
        <v>1900</v>
      </c>
      <c r="L2294" s="6">
        <f t="shared" si="635"/>
        <v>1</v>
      </c>
      <c r="R2294" s="6" t="str">
        <f t="shared" si="636"/>
        <v>19001</v>
      </c>
      <c r="S2294" s="6">
        <f t="shared" si="637"/>
        <v>1900</v>
      </c>
      <c r="T2294" s="6">
        <f t="shared" si="638"/>
        <v>1</v>
      </c>
      <c r="Z2294" s="6" t="str">
        <f t="shared" ca="1" si="639"/>
        <v>20246</v>
      </c>
      <c r="AA2294" s="6">
        <f t="shared" ca="1" si="640"/>
        <v>2024</v>
      </c>
      <c r="AB2294" s="6">
        <f t="shared" ca="1" si="641"/>
        <v>6</v>
      </c>
      <c r="AC2294" s="68">
        <f ca="1">IFERROR(__xludf.DUMMYFUNCTION("""COMPUTED_VALUE"""),45445.9986111111)</f>
        <v>45445.998611111099</v>
      </c>
      <c r="AD2294" s="6">
        <f ca="1">IFERROR(__xludf.DUMMYFUNCTION("""COMPUTED_VALUE"""),1382.1)</f>
        <v>1382.1</v>
      </c>
      <c r="AH2294" s="6" t="str">
        <f t="shared" ca="1" si="642"/>
        <v>20244</v>
      </c>
      <c r="AI2294" s="6">
        <f t="shared" ca="1" si="643"/>
        <v>2024</v>
      </c>
      <c r="AJ2294" s="6">
        <f t="shared" ca="1" si="644"/>
        <v>4</v>
      </c>
      <c r="AK2294" s="68">
        <f ca="1">IFERROR(__xludf.DUMMYFUNCTION("""COMPUTED_VALUE"""),45387.9986111111)</f>
        <v>45387.998611111099</v>
      </c>
      <c r="AL2294" s="6">
        <f ca="1">IFERROR(__xludf.DUMMYFUNCTION("""COMPUTED_VALUE"""),67824.42)</f>
        <v>67824.42</v>
      </c>
      <c r="AP2294" s="6" t="str">
        <f t="shared" si="645"/>
        <v>19001</v>
      </c>
      <c r="AQ2294" s="6">
        <f t="shared" si="646"/>
        <v>1900</v>
      </c>
      <c r="AR2294" s="6">
        <f t="shared" si="647"/>
        <v>1</v>
      </c>
    </row>
    <row r="2295" spans="2:44" x14ac:dyDescent="0.35">
      <c r="B2295" s="6" t="str">
        <f t="shared" si="630"/>
        <v>19001</v>
      </c>
      <c r="C2295" s="6">
        <f t="shared" si="631"/>
        <v>1900</v>
      </c>
      <c r="D2295" s="6">
        <f t="shared" si="632"/>
        <v>1</v>
      </c>
      <c r="J2295" s="6" t="str">
        <f t="shared" si="633"/>
        <v>19001</v>
      </c>
      <c r="K2295" s="6">
        <f t="shared" si="634"/>
        <v>1900</v>
      </c>
      <c r="L2295" s="6">
        <f t="shared" si="635"/>
        <v>1</v>
      </c>
      <c r="R2295" s="6" t="str">
        <f t="shared" si="636"/>
        <v>19001</v>
      </c>
      <c r="S2295" s="6">
        <f t="shared" si="637"/>
        <v>1900</v>
      </c>
      <c r="T2295" s="6">
        <f t="shared" si="638"/>
        <v>1</v>
      </c>
      <c r="Z2295" s="6" t="str">
        <f t="shared" ca="1" si="639"/>
        <v>20246</v>
      </c>
      <c r="AA2295" s="6">
        <f t="shared" ca="1" si="640"/>
        <v>2024</v>
      </c>
      <c r="AB2295" s="6">
        <f t="shared" ca="1" si="641"/>
        <v>6</v>
      </c>
      <c r="AC2295" s="68">
        <f ca="1">IFERROR(__xludf.DUMMYFUNCTION("""COMPUTED_VALUE"""),45446.9986111111)</f>
        <v>45446.998611111099</v>
      </c>
      <c r="AD2295" s="6">
        <f ca="1">IFERROR(__xludf.DUMMYFUNCTION("""COMPUTED_VALUE"""),1370.79)</f>
        <v>1370.79</v>
      </c>
      <c r="AH2295" s="6" t="str">
        <f t="shared" ca="1" si="642"/>
        <v>20244</v>
      </c>
      <c r="AI2295" s="6">
        <f t="shared" ca="1" si="643"/>
        <v>2024</v>
      </c>
      <c r="AJ2295" s="6">
        <f t="shared" ca="1" si="644"/>
        <v>4</v>
      </c>
      <c r="AK2295" s="68">
        <f ca="1">IFERROR(__xludf.DUMMYFUNCTION("""COMPUTED_VALUE"""),45388.9986111111)</f>
        <v>45388.998611111099</v>
      </c>
      <c r="AL2295" s="6">
        <f ca="1">IFERROR(__xludf.DUMMYFUNCTION("""COMPUTED_VALUE"""),68870.32)</f>
        <v>68870.320000000007</v>
      </c>
      <c r="AP2295" s="6" t="str">
        <f t="shared" si="645"/>
        <v>19001</v>
      </c>
      <c r="AQ2295" s="6">
        <f t="shared" si="646"/>
        <v>1900</v>
      </c>
      <c r="AR2295" s="6">
        <f t="shared" si="647"/>
        <v>1</v>
      </c>
    </row>
    <row r="2296" spans="2:44" x14ac:dyDescent="0.35">
      <c r="B2296" s="6" t="str">
        <f t="shared" si="630"/>
        <v>19001</v>
      </c>
      <c r="C2296" s="6">
        <f t="shared" si="631"/>
        <v>1900</v>
      </c>
      <c r="D2296" s="6">
        <f t="shared" si="632"/>
        <v>1</v>
      </c>
      <c r="J2296" s="6" t="str">
        <f t="shared" si="633"/>
        <v>19001</v>
      </c>
      <c r="K2296" s="6">
        <f t="shared" si="634"/>
        <v>1900</v>
      </c>
      <c r="L2296" s="6">
        <f t="shared" si="635"/>
        <v>1</v>
      </c>
      <c r="R2296" s="6" t="str">
        <f t="shared" si="636"/>
        <v>19001</v>
      </c>
      <c r="S2296" s="6">
        <f t="shared" si="637"/>
        <v>1900</v>
      </c>
      <c r="T2296" s="6">
        <f t="shared" si="638"/>
        <v>1</v>
      </c>
      <c r="Z2296" s="6" t="str">
        <f t="shared" ca="1" si="639"/>
        <v>20246</v>
      </c>
      <c r="AA2296" s="6">
        <f t="shared" ca="1" si="640"/>
        <v>2024</v>
      </c>
      <c r="AB2296" s="6">
        <f t="shared" ca="1" si="641"/>
        <v>6</v>
      </c>
      <c r="AC2296" s="68">
        <f ca="1">IFERROR(__xludf.DUMMYFUNCTION("""COMPUTED_VALUE"""),45447.9986111111)</f>
        <v>45447.998611111099</v>
      </c>
      <c r="AD2296" s="6">
        <f ca="1">IFERROR(__xludf.DUMMYFUNCTION("""COMPUTED_VALUE"""),1373.72)</f>
        <v>1373.72</v>
      </c>
      <c r="AH2296" s="6" t="str">
        <f t="shared" ca="1" si="642"/>
        <v>20244</v>
      </c>
      <c r="AI2296" s="6">
        <f t="shared" ca="1" si="643"/>
        <v>2024</v>
      </c>
      <c r="AJ2296" s="6">
        <f t="shared" ca="1" si="644"/>
        <v>4</v>
      </c>
      <c r="AK2296" s="68">
        <f ca="1">IFERROR(__xludf.DUMMYFUNCTION("""COMPUTED_VALUE"""),45389.9986111111)</f>
        <v>45389.998611111099</v>
      </c>
      <c r="AL2296" s="6">
        <f ca="1">IFERROR(__xludf.DUMMYFUNCTION("""COMPUTED_VALUE"""),69412.3)</f>
        <v>69412.3</v>
      </c>
      <c r="AP2296" s="6" t="str">
        <f t="shared" si="645"/>
        <v>19001</v>
      </c>
      <c r="AQ2296" s="6">
        <f t="shared" si="646"/>
        <v>1900</v>
      </c>
      <c r="AR2296" s="6">
        <f t="shared" si="647"/>
        <v>1</v>
      </c>
    </row>
    <row r="2297" spans="2:44" x14ac:dyDescent="0.35">
      <c r="B2297" s="6" t="str">
        <f t="shared" si="630"/>
        <v>19001</v>
      </c>
      <c r="C2297" s="6">
        <f t="shared" si="631"/>
        <v>1900</v>
      </c>
      <c r="D2297" s="6">
        <f t="shared" si="632"/>
        <v>1</v>
      </c>
      <c r="J2297" s="6" t="str">
        <f t="shared" si="633"/>
        <v>19001</v>
      </c>
      <c r="K2297" s="6">
        <f t="shared" si="634"/>
        <v>1900</v>
      </c>
      <c r="L2297" s="6">
        <f t="shared" si="635"/>
        <v>1</v>
      </c>
      <c r="R2297" s="6" t="str">
        <f t="shared" si="636"/>
        <v>19001</v>
      </c>
      <c r="S2297" s="6">
        <f t="shared" si="637"/>
        <v>1900</v>
      </c>
      <c r="T2297" s="6">
        <f t="shared" si="638"/>
        <v>1</v>
      </c>
      <c r="Z2297" s="6" t="str">
        <f t="shared" ca="1" si="639"/>
        <v>20246</v>
      </c>
      <c r="AA2297" s="6">
        <f t="shared" ca="1" si="640"/>
        <v>2024</v>
      </c>
      <c r="AB2297" s="6">
        <f t="shared" ca="1" si="641"/>
        <v>6</v>
      </c>
      <c r="AC2297" s="68">
        <f ca="1">IFERROR(__xludf.DUMMYFUNCTION("""COMPUTED_VALUE"""),45448.9986111111)</f>
        <v>45448.998611111099</v>
      </c>
      <c r="AD2297" s="6">
        <f ca="1">IFERROR(__xludf.DUMMYFUNCTION("""COMPUTED_VALUE"""),1368.74)</f>
        <v>1368.74</v>
      </c>
      <c r="AH2297" s="6" t="str">
        <f t="shared" ca="1" si="642"/>
        <v>20244</v>
      </c>
      <c r="AI2297" s="6">
        <f t="shared" ca="1" si="643"/>
        <v>2024</v>
      </c>
      <c r="AJ2297" s="6">
        <f t="shared" ca="1" si="644"/>
        <v>4</v>
      </c>
      <c r="AK2297" s="68">
        <f ca="1">IFERROR(__xludf.DUMMYFUNCTION("""COMPUTED_VALUE"""),45390.9986111111)</f>
        <v>45390.998611111099</v>
      </c>
      <c r="AL2297" s="6">
        <f ca="1">IFERROR(__xludf.DUMMYFUNCTION("""COMPUTED_VALUE"""),71636.84)</f>
        <v>71636.84</v>
      </c>
      <c r="AP2297" s="6" t="str">
        <f t="shared" si="645"/>
        <v>19001</v>
      </c>
      <c r="AQ2297" s="6">
        <f t="shared" si="646"/>
        <v>1900</v>
      </c>
      <c r="AR2297" s="6">
        <f t="shared" si="647"/>
        <v>1</v>
      </c>
    </row>
    <row r="2298" spans="2:44" x14ac:dyDescent="0.35">
      <c r="B2298" s="6" t="str">
        <f t="shared" si="630"/>
        <v>19001</v>
      </c>
      <c r="C2298" s="6">
        <f t="shared" si="631"/>
        <v>1900</v>
      </c>
      <c r="D2298" s="6">
        <f t="shared" si="632"/>
        <v>1</v>
      </c>
      <c r="J2298" s="6" t="str">
        <f t="shared" si="633"/>
        <v>19001</v>
      </c>
      <c r="K2298" s="6">
        <f t="shared" si="634"/>
        <v>1900</v>
      </c>
      <c r="L2298" s="6">
        <f t="shared" si="635"/>
        <v>1</v>
      </c>
      <c r="R2298" s="6" t="str">
        <f t="shared" si="636"/>
        <v>19001</v>
      </c>
      <c r="S2298" s="6">
        <f t="shared" si="637"/>
        <v>1900</v>
      </c>
      <c r="T2298" s="6">
        <f t="shared" si="638"/>
        <v>1</v>
      </c>
      <c r="Z2298" s="6" t="str">
        <f t="shared" ca="1" si="639"/>
        <v>20246</v>
      </c>
      <c r="AA2298" s="6">
        <f t="shared" ca="1" si="640"/>
        <v>2024</v>
      </c>
      <c r="AB2298" s="6">
        <f t="shared" ca="1" si="641"/>
        <v>6</v>
      </c>
      <c r="AC2298" s="68">
        <f ca="1">IFERROR(__xludf.DUMMYFUNCTION("""COMPUTED_VALUE"""),45449.9986111111)</f>
        <v>45449.998611111099</v>
      </c>
      <c r="AD2298" s="6">
        <f ca="1">IFERROR(__xludf.DUMMYFUNCTION("""COMPUTED_VALUE"""),1365.25)</f>
        <v>1365.25</v>
      </c>
      <c r="AH2298" s="6" t="str">
        <f t="shared" ca="1" si="642"/>
        <v>20244</v>
      </c>
      <c r="AI2298" s="6">
        <f t="shared" ca="1" si="643"/>
        <v>2024</v>
      </c>
      <c r="AJ2298" s="6">
        <f t="shared" ca="1" si="644"/>
        <v>4</v>
      </c>
      <c r="AK2298" s="68">
        <f ca="1">IFERROR(__xludf.DUMMYFUNCTION("""COMPUTED_VALUE"""),45391.9986111111)</f>
        <v>45391.998611111099</v>
      </c>
      <c r="AL2298" s="6">
        <f ca="1">IFERROR(__xludf.DUMMYFUNCTION("""COMPUTED_VALUE"""),69156.68)</f>
        <v>69156.679999999993</v>
      </c>
      <c r="AP2298" s="6" t="str">
        <f t="shared" si="645"/>
        <v>19001</v>
      </c>
      <c r="AQ2298" s="6">
        <f t="shared" si="646"/>
        <v>1900</v>
      </c>
      <c r="AR2298" s="6">
        <f t="shared" si="647"/>
        <v>1</v>
      </c>
    </row>
    <row r="2299" spans="2:44" x14ac:dyDescent="0.35">
      <c r="B2299" s="6" t="str">
        <f t="shared" si="630"/>
        <v>19001</v>
      </c>
      <c r="C2299" s="6">
        <f t="shared" si="631"/>
        <v>1900</v>
      </c>
      <c r="D2299" s="6">
        <f t="shared" si="632"/>
        <v>1</v>
      </c>
      <c r="J2299" s="6" t="str">
        <f t="shared" si="633"/>
        <v>19001</v>
      </c>
      <c r="K2299" s="6">
        <f t="shared" si="634"/>
        <v>1900</v>
      </c>
      <c r="L2299" s="6">
        <f t="shared" si="635"/>
        <v>1</v>
      </c>
      <c r="R2299" s="6" t="str">
        <f t="shared" si="636"/>
        <v>19001</v>
      </c>
      <c r="S2299" s="6">
        <f t="shared" si="637"/>
        <v>1900</v>
      </c>
      <c r="T2299" s="6">
        <f t="shared" si="638"/>
        <v>1</v>
      </c>
      <c r="Z2299" s="6" t="str">
        <f t="shared" ca="1" si="639"/>
        <v>20246</v>
      </c>
      <c r="AA2299" s="6">
        <f t="shared" ca="1" si="640"/>
        <v>2024</v>
      </c>
      <c r="AB2299" s="6">
        <f t="shared" ca="1" si="641"/>
        <v>6</v>
      </c>
      <c r="AC2299" s="68">
        <f ca="1">IFERROR(__xludf.DUMMYFUNCTION("""COMPUTED_VALUE"""),45450.9986111111)</f>
        <v>45450.998611111099</v>
      </c>
      <c r="AD2299" s="6">
        <f ca="1">IFERROR(__xludf.DUMMYFUNCTION("""COMPUTED_VALUE"""),1379.04)</f>
        <v>1379.04</v>
      </c>
      <c r="AH2299" s="6" t="str">
        <f t="shared" ca="1" si="642"/>
        <v>20244</v>
      </c>
      <c r="AI2299" s="6">
        <f t="shared" ca="1" si="643"/>
        <v>2024</v>
      </c>
      <c r="AJ2299" s="6">
        <f t="shared" ca="1" si="644"/>
        <v>4</v>
      </c>
      <c r="AK2299" s="68">
        <f ca="1">IFERROR(__xludf.DUMMYFUNCTION("""COMPUTED_VALUE"""),45392.9986111111)</f>
        <v>45392.998611111099</v>
      </c>
      <c r="AL2299" s="6">
        <f ca="1">IFERROR(__xludf.DUMMYFUNCTION("""COMPUTED_VALUE"""),70612.79)</f>
        <v>70612.789999999994</v>
      </c>
      <c r="AP2299" s="6" t="str">
        <f t="shared" si="645"/>
        <v>19001</v>
      </c>
      <c r="AQ2299" s="6">
        <f t="shared" si="646"/>
        <v>1900</v>
      </c>
      <c r="AR2299" s="6">
        <f t="shared" si="647"/>
        <v>1</v>
      </c>
    </row>
    <row r="2300" spans="2:44" x14ac:dyDescent="0.35">
      <c r="B2300" s="6" t="str">
        <f t="shared" si="630"/>
        <v>19001</v>
      </c>
      <c r="C2300" s="6">
        <f t="shared" si="631"/>
        <v>1900</v>
      </c>
      <c r="D2300" s="6">
        <f t="shared" si="632"/>
        <v>1</v>
      </c>
      <c r="J2300" s="6" t="str">
        <f t="shared" si="633"/>
        <v>19001</v>
      </c>
      <c r="K2300" s="6">
        <f t="shared" si="634"/>
        <v>1900</v>
      </c>
      <c r="L2300" s="6">
        <f t="shared" si="635"/>
        <v>1</v>
      </c>
      <c r="R2300" s="6" t="str">
        <f t="shared" si="636"/>
        <v>19001</v>
      </c>
      <c r="S2300" s="6">
        <f t="shared" si="637"/>
        <v>1900</v>
      </c>
      <c r="T2300" s="6">
        <f t="shared" si="638"/>
        <v>1</v>
      </c>
      <c r="Z2300" s="6" t="str">
        <f t="shared" ca="1" si="639"/>
        <v>20246</v>
      </c>
      <c r="AA2300" s="6">
        <f t="shared" ca="1" si="640"/>
        <v>2024</v>
      </c>
      <c r="AB2300" s="6">
        <f t="shared" ca="1" si="641"/>
        <v>6</v>
      </c>
      <c r="AC2300" s="68">
        <f ca="1">IFERROR(__xludf.DUMMYFUNCTION("""COMPUTED_VALUE"""),45451.9986111111)</f>
        <v>45451.998611111099</v>
      </c>
      <c r="AD2300" s="6">
        <f ca="1">IFERROR(__xludf.DUMMYFUNCTION("""COMPUTED_VALUE"""),1379.04)</f>
        <v>1379.04</v>
      </c>
      <c r="AH2300" s="6" t="str">
        <f t="shared" ca="1" si="642"/>
        <v>20244</v>
      </c>
      <c r="AI2300" s="6">
        <f t="shared" ca="1" si="643"/>
        <v>2024</v>
      </c>
      <c r="AJ2300" s="6">
        <f t="shared" ca="1" si="644"/>
        <v>4</v>
      </c>
      <c r="AK2300" s="68">
        <f ca="1">IFERROR(__xludf.DUMMYFUNCTION("""COMPUTED_VALUE"""),45393.9986111111)</f>
        <v>45393.998611111099</v>
      </c>
      <c r="AL2300" s="6">
        <f ca="1">IFERROR(__xludf.DUMMYFUNCTION("""COMPUTED_VALUE"""),70029.4)</f>
        <v>70029.399999999994</v>
      </c>
      <c r="AP2300" s="6" t="str">
        <f t="shared" si="645"/>
        <v>19001</v>
      </c>
      <c r="AQ2300" s="6">
        <f t="shared" si="646"/>
        <v>1900</v>
      </c>
      <c r="AR2300" s="6">
        <f t="shared" si="647"/>
        <v>1</v>
      </c>
    </row>
    <row r="2301" spans="2:44" x14ac:dyDescent="0.35">
      <c r="B2301" s="6" t="str">
        <f t="shared" si="630"/>
        <v>19001</v>
      </c>
      <c r="C2301" s="6">
        <f t="shared" si="631"/>
        <v>1900</v>
      </c>
      <c r="D2301" s="6">
        <f t="shared" si="632"/>
        <v>1</v>
      </c>
      <c r="J2301" s="6" t="str">
        <f t="shared" si="633"/>
        <v>19001</v>
      </c>
      <c r="K2301" s="6">
        <f t="shared" si="634"/>
        <v>1900</v>
      </c>
      <c r="L2301" s="6">
        <f t="shared" si="635"/>
        <v>1</v>
      </c>
      <c r="R2301" s="6" t="str">
        <f t="shared" si="636"/>
        <v>19001</v>
      </c>
      <c r="S2301" s="6">
        <f t="shared" si="637"/>
        <v>1900</v>
      </c>
      <c r="T2301" s="6">
        <f t="shared" si="638"/>
        <v>1</v>
      </c>
      <c r="Z2301" s="6" t="str">
        <f t="shared" ca="1" si="639"/>
        <v>20246</v>
      </c>
      <c r="AA2301" s="6">
        <f t="shared" ca="1" si="640"/>
        <v>2024</v>
      </c>
      <c r="AB2301" s="6">
        <f t="shared" ca="1" si="641"/>
        <v>6</v>
      </c>
      <c r="AC2301" s="68">
        <f ca="1">IFERROR(__xludf.DUMMYFUNCTION("""COMPUTED_VALUE"""),45452.9986111111)</f>
        <v>45452.998611111099</v>
      </c>
      <c r="AD2301" s="6">
        <f ca="1">IFERROR(__xludf.DUMMYFUNCTION("""COMPUTED_VALUE"""),1379.05)</f>
        <v>1379.05</v>
      </c>
      <c r="AH2301" s="6" t="str">
        <f t="shared" ca="1" si="642"/>
        <v>20244</v>
      </c>
      <c r="AI2301" s="6">
        <f t="shared" ca="1" si="643"/>
        <v>2024</v>
      </c>
      <c r="AJ2301" s="6">
        <f t="shared" ca="1" si="644"/>
        <v>4</v>
      </c>
      <c r="AK2301" s="68">
        <f ca="1">IFERROR(__xludf.DUMMYFUNCTION("""COMPUTED_VALUE"""),45394.9986111111)</f>
        <v>45394.998611111099</v>
      </c>
      <c r="AL2301" s="6">
        <f ca="1">IFERROR(__xludf.DUMMYFUNCTION("""COMPUTED_VALUE"""),67094.69)</f>
        <v>67094.69</v>
      </c>
      <c r="AP2301" s="6" t="str">
        <f t="shared" si="645"/>
        <v>19001</v>
      </c>
      <c r="AQ2301" s="6">
        <f t="shared" si="646"/>
        <v>1900</v>
      </c>
      <c r="AR2301" s="6">
        <f t="shared" si="647"/>
        <v>1</v>
      </c>
    </row>
    <row r="2302" spans="2:44" x14ac:dyDescent="0.35">
      <c r="B2302" s="6" t="str">
        <f t="shared" si="630"/>
        <v>19001</v>
      </c>
      <c r="C2302" s="6">
        <f t="shared" si="631"/>
        <v>1900</v>
      </c>
      <c r="D2302" s="6">
        <f t="shared" si="632"/>
        <v>1</v>
      </c>
      <c r="J2302" s="6" t="str">
        <f t="shared" si="633"/>
        <v>19001</v>
      </c>
      <c r="K2302" s="6">
        <f t="shared" si="634"/>
        <v>1900</v>
      </c>
      <c r="L2302" s="6">
        <f t="shared" si="635"/>
        <v>1</v>
      </c>
      <c r="R2302" s="6" t="str">
        <f t="shared" si="636"/>
        <v>19001</v>
      </c>
      <c r="S2302" s="6">
        <f t="shared" si="637"/>
        <v>1900</v>
      </c>
      <c r="T2302" s="6">
        <f t="shared" si="638"/>
        <v>1</v>
      </c>
      <c r="Z2302" s="6" t="str">
        <f t="shared" ca="1" si="639"/>
        <v>20246</v>
      </c>
      <c r="AA2302" s="6">
        <f t="shared" ca="1" si="640"/>
        <v>2024</v>
      </c>
      <c r="AB2302" s="6">
        <f t="shared" ca="1" si="641"/>
        <v>6</v>
      </c>
      <c r="AC2302" s="68">
        <f ca="1">IFERROR(__xludf.DUMMYFUNCTION("""COMPUTED_VALUE"""),45453.9986111111)</f>
        <v>45453.998611111099</v>
      </c>
      <c r="AD2302" s="6">
        <f ca="1">IFERROR(__xludf.DUMMYFUNCTION("""COMPUTED_VALUE"""),1373.96)</f>
        <v>1373.96</v>
      </c>
      <c r="AH2302" s="6" t="str">
        <f t="shared" ca="1" si="642"/>
        <v>20244</v>
      </c>
      <c r="AI2302" s="6">
        <f t="shared" ca="1" si="643"/>
        <v>2024</v>
      </c>
      <c r="AJ2302" s="6">
        <f t="shared" ca="1" si="644"/>
        <v>4</v>
      </c>
      <c r="AK2302" s="68">
        <f ca="1">IFERROR(__xludf.DUMMYFUNCTION("""COMPUTED_VALUE"""),45395.9986111111)</f>
        <v>45395.998611111099</v>
      </c>
      <c r="AL2302" s="6">
        <f ca="1">IFERROR(__xludf.DUMMYFUNCTION("""COMPUTED_VALUE"""),64349.1)</f>
        <v>64349.1</v>
      </c>
      <c r="AP2302" s="6" t="str">
        <f t="shared" si="645"/>
        <v>19001</v>
      </c>
      <c r="AQ2302" s="6">
        <f t="shared" si="646"/>
        <v>1900</v>
      </c>
      <c r="AR2302" s="6">
        <f t="shared" si="647"/>
        <v>1</v>
      </c>
    </row>
    <row r="2303" spans="2:44" x14ac:dyDescent="0.35">
      <c r="B2303" s="6" t="str">
        <f t="shared" si="630"/>
        <v>19001</v>
      </c>
      <c r="C2303" s="6">
        <f t="shared" si="631"/>
        <v>1900</v>
      </c>
      <c r="D2303" s="6">
        <f t="shared" si="632"/>
        <v>1</v>
      </c>
      <c r="J2303" s="6" t="str">
        <f t="shared" si="633"/>
        <v>19001</v>
      </c>
      <c r="K2303" s="6">
        <f t="shared" si="634"/>
        <v>1900</v>
      </c>
      <c r="L2303" s="6">
        <f t="shared" si="635"/>
        <v>1</v>
      </c>
      <c r="R2303" s="6" t="str">
        <f t="shared" si="636"/>
        <v>19001</v>
      </c>
      <c r="S2303" s="6">
        <f t="shared" si="637"/>
        <v>1900</v>
      </c>
      <c r="T2303" s="6">
        <f t="shared" si="638"/>
        <v>1</v>
      </c>
      <c r="Z2303" s="6" t="str">
        <f t="shared" ca="1" si="639"/>
        <v>20246</v>
      </c>
      <c r="AA2303" s="6">
        <f t="shared" ca="1" si="640"/>
        <v>2024</v>
      </c>
      <c r="AB2303" s="6">
        <f t="shared" ca="1" si="641"/>
        <v>6</v>
      </c>
      <c r="AC2303" s="68">
        <f ca="1">IFERROR(__xludf.DUMMYFUNCTION("""COMPUTED_VALUE"""),45454.9986111111)</f>
        <v>45454.998611111099</v>
      </c>
      <c r="AD2303" s="6">
        <f ca="1">IFERROR(__xludf.DUMMYFUNCTION("""COMPUTED_VALUE"""),1377.36)</f>
        <v>1377.36</v>
      </c>
      <c r="AH2303" s="6" t="str">
        <f t="shared" ca="1" si="642"/>
        <v>20244</v>
      </c>
      <c r="AI2303" s="6">
        <f t="shared" ca="1" si="643"/>
        <v>2024</v>
      </c>
      <c r="AJ2303" s="6">
        <f t="shared" ca="1" si="644"/>
        <v>4</v>
      </c>
      <c r="AK2303" s="68">
        <f ca="1">IFERROR(__xludf.DUMMYFUNCTION("""COMPUTED_VALUE"""),45396.9986111111)</f>
        <v>45396.998611111099</v>
      </c>
      <c r="AL2303" s="6">
        <f ca="1">IFERROR(__xludf.DUMMYFUNCTION("""COMPUTED_VALUE"""),65779.36)</f>
        <v>65779.360000000001</v>
      </c>
      <c r="AP2303" s="6" t="str">
        <f t="shared" si="645"/>
        <v>19001</v>
      </c>
      <c r="AQ2303" s="6">
        <f t="shared" si="646"/>
        <v>1900</v>
      </c>
      <c r="AR2303" s="6">
        <f t="shared" si="647"/>
        <v>1</v>
      </c>
    </row>
    <row r="2304" spans="2:44" x14ac:dyDescent="0.35">
      <c r="B2304" s="6" t="str">
        <f t="shared" si="630"/>
        <v>19001</v>
      </c>
      <c r="C2304" s="6">
        <f t="shared" si="631"/>
        <v>1900</v>
      </c>
      <c r="D2304" s="6">
        <f t="shared" si="632"/>
        <v>1</v>
      </c>
      <c r="J2304" s="6" t="str">
        <f t="shared" si="633"/>
        <v>19001</v>
      </c>
      <c r="K2304" s="6">
        <f t="shared" si="634"/>
        <v>1900</v>
      </c>
      <c r="L2304" s="6">
        <f t="shared" si="635"/>
        <v>1</v>
      </c>
      <c r="R2304" s="6" t="str">
        <f t="shared" si="636"/>
        <v>19001</v>
      </c>
      <c r="S2304" s="6">
        <f t="shared" si="637"/>
        <v>1900</v>
      </c>
      <c r="T2304" s="6">
        <f t="shared" si="638"/>
        <v>1</v>
      </c>
      <c r="Z2304" s="6" t="str">
        <f t="shared" ca="1" si="639"/>
        <v>20246</v>
      </c>
      <c r="AA2304" s="6">
        <f t="shared" ca="1" si="640"/>
        <v>2024</v>
      </c>
      <c r="AB2304" s="6">
        <f t="shared" ca="1" si="641"/>
        <v>6</v>
      </c>
      <c r="AC2304" s="68">
        <f ca="1">IFERROR(__xludf.DUMMYFUNCTION("""COMPUTED_VALUE"""),45455.9986111111)</f>
        <v>45455.998611111099</v>
      </c>
      <c r="AD2304" s="6">
        <f ca="1">IFERROR(__xludf.DUMMYFUNCTION("""COMPUTED_VALUE"""),1370.41)</f>
        <v>1370.41</v>
      </c>
      <c r="AH2304" s="6" t="str">
        <f t="shared" ca="1" si="642"/>
        <v>20244</v>
      </c>
      <c r="AI2304" s="6">
        <f t="shared" ca="1" si="643"/>
        <v>2024</v>
      </c>
      <c r="AJ2304" s="6">
        <f t="shared" ca="1" si="644"/>
        <v>4</v>
      </c>
      <c r="AK2304" s="68">
        <f ca="1">IFERROR(__xludf.DUMMYFUNCTION("""COMPUTED_VALUE"""),45397.9986111111)</f>
        <v>45397.998611111099</v>
      </c>
      <c r="AL2304" s="6">
        <f ca="1">IFERROR(__xludf.DUMMYFUNCTION("""COMPUTED_VALUE"""),63431.23)</f>
        <v>63431.23</v>
      </c>
      <c r="AP2304" s="6" t="str">
        <f t="shared" si="645"/>
        <v>19001</v>
      </c>
      <c r="AQ2304" s="6">
        <f t="shared" si="646"/>
        <v>1900</v>
      </c>
      <c r="AR2304" s="6">
        <f t="shared" si="647"/>
        <v>1</v>
      </c>
    </row>
    <row r="2305" spans="2:44" x14ac:dyDescent="0.35">
      <c r="B2305" s="6" t="str">
        <f t="shared" si="630"/>
        <v>19001</v>
      </c>
      <c r="C2305" s="6">
        <f t="shared" si="631"/>
        <v>1900</v>
      </c>
      <c r="D2305" s="6">
        <f t="shared" si="632"/>
        <v>1</v>
      </c>
      <c r="J2305" s="6" t="str">
        <f t="shared" si="633"/>
        <v>19001</v>
      </c>
      <c r="K2305" s="6">
        <f t="shared" si="634"/>
        <v>1900</v>
      </c>
      <c r="L2305" s="6">
        <f t="shared" si="635"/>
        <v>1</v>
      </c>
      <c r="R2305" s="6" t="str">
        <f t="shared" si="636"/>
        <v>19001</v>
      </c>
      <c r="S2305" s="6">
        <f t="shared" si="637"/>
        <v>1900</v>
      </c>
      <c r="T2305" s="6">
        <f t="shared" si="638"/>
        <v>1</v>
      </c>
      <c r="Z2305" s="6" t="str">
        <f t="shared" ca="1" si="639"/>
        <v>20246</v>
      </c>
      <c r="AA2305" s="6">
        <f t="shared" ca="1" si="640"/>
        <v>2024</v>
      </c>
      <c r="AB2305" s="6">
        <f t="shared" ca="1" si="641"/>
        <v>6</v>
      </c>
      <c r="AC2305" s="68">
        <f ca="1">IFERROR(__xludf.DUMMYFUNCTION("""COMPUTED_VALUE"""),45456.9986111111)</f>
        <v>45456.998611111099</v>
      </c>
      <c r="AD2305" s="6">
        <f ca="1">IFERROR(__xludf.DUMMYFUNCTION("""COMPUTED_VALUE"""),1373.74)</f>
        <v>1373.74</v>
      </c>
      <c r="AH2305" s="6" t="str">
        <f t="shared" ca="1" si="642"/>
        <v>20244</v>
      </c>
      <c r="AI2305" s="6">
        <f t="shared" ca="1" si="643"/>
        <v>2024</v>
      </c>
      <c r="AJ2305" s="6">
        <f t="shared" ca="1" si="644"/>
        <v>4</v>
      </c>
      <c r="AK2305" s="68">
        <f ca="1">IFERROR(__xludf.DUMMYFUNCTION("""COMPUTED_VALUE"""),45398.9986111111)</f>
        <v>45398.998611111099</v>
      </c>
      <c r="AL2305" s="6">
        <f ca="1">IFERROR(__xludf.DUMMYFUNCTION("""COMPUTED_VALUE"""),63780.76)</f>
        <v>63780.76</v>
      </c>
      <c r="AP2305" s="6" t="str">
        <f t="shared" si="645"/>
        <v>19001</v>
      </c>
      <c r="AQ2305" s="6">
        <f t="shared" si="646"/>
        <v>1900</v>
      </c>
      <c r="AR2305" s="6">
        <f t="shared" si="647"/>
        <v>1</v>
      </c>
    </row>
    <row r="2306" spans="2:44" x14ac:dyDescent="0.35">
      <c r="B2306" s="6" t="str">
        <f t="shared" si="630"/>
        <v>19001</v>
      </c>
      <c r="C2306" s="6">
        <f t="shared" si="631"/>
        <v>1900</v>
      </c>
      <c r="D2306" s="6">
        <f t="shared" si="632"/>
        <v>1</v>
      </c>
      <c r="J2306" s="6" t="str">
        <f t="shared" si="633"/>
        <v>19001</v>
      </c>
      <c r="K2306" s="6">
        <f t="shared" si="634"/>
        <v>1900</v>
      </c>
      <c r="L2306" s="6">
        <f t="shared" si="635"/>
        <v>1</v>
      </c>
      <c r="R2306" s="6" t="str">
        <f t="shared" si="636"/>
        <v>19001</v>
      </c>
      <c r="S2306" s="6">
        <f t="shared" si="637"/>
        <v>1900</v>
      </c>
      <c r="T2306" s="6">
        <f t="shared" si="638"/>
        <v>1</v>
      </c>
      <c r="Z2306" s="6" t="str">
        <f t="shared" ca="1" si="639"/>
        <v>20246</v>
      </c>
      <c r="AA2306" s="6">
        <f t="shared" ca="1" si="640"/>
        <v>2024</v>
      </c>
      <c r="AB2306" s="6">
        <f t="shared" ca="1" si="641"/>
        <v>6</v>
      </c>
      <c r="AC2306" s="68">
        <f ca="1">IFERROR(__xludf.DUMMYFUNCTION("""COMPUTED_VALUE"""),45457.9986111111)</f>
        <v>45457.998611111099</v>
      </c>
      <c r="AD2306" s="6">
        <f ca="1">IFERROR(__xludf.DUMMYFUNCTION("""COMPUTED_VALUE"""),1382.27)</f>
        <v>1382.27</v>
      </c>
      <c r="AH2306" s="6" t="str">
        <f t="shared" ca="1" si="642"/>
        <v>20244</v>
      </c>
      <c r="AI2306" s="6">
        <f t="shared" ca="1" si="643"/>
        <v>2024</v>
      </c>
      <c r="AJ2306" s="6">
        <f t="shared" ca="1" si="644"/>
        <v>4</v>
      </c>
      <c r="AK2306" s="68">
        <f ca="1">IFERROR(__xludf.DUMMYFUNCTION("""COMPUTED_VALUE"""),45399.9986111111)</f>
        <v>45399.998611111099</v>
      </c>
      <c r="AL2306" s="6">
        <f ca="1">IFERROR(__xludf.DUMMYFUNCTION("""COMPUTED_VALUE"""),61321.64)</f>
        <v>61321.64</v>
      </c>
      <c r="AP2306" s="6" t="str">
        <f t="shared" si="645"/>
        <v>19001</v>
      </c>
      <c r="AQ2306" s="6">
        <f t="shared" si="646"/>
        <v>1900</v>
      </c>
      <c r="AR2306" s="6">
        <f t="shared" si="647"/>
        <v>1</v>
      </c>
    </row>
    <row r="2307" spans="2:44" x14ac:dyDescent="0.35">
      <c r="B2307" s="6" t="str">
        <f t="shared" si="630"/>
        <v>19001</v>
      </c>
      <c r="C2307" s="6">
        <f t="shared" si="631"/>
        <v>1900</v>
      </c>
      <c r="D2307" s="6">
        <f t="shared" si="632"/>
        <v>1</v>
      </c>
      <c r="J2307" s="6" t="str">
        <f t="shared" si="633"/>
        <v>19001</v>
      </c>
      <c r="K2307" s="6">
        <f t="shared" si="634"/>
        <v>1900</v>
      </c>
      <c r="L2307" s="6">
        <f t="shared" si="635"/>
        <v>1</v>
      </c>
      <c r="R2307" s="6" t="str">
        <f t="shared" si="636"/>
        <v>19001</v>
      </c>
      <c r="S2307" s="6">
        <f t="shared" si="637"/>
        <v>1900</v>
      </c>
      <c r="T2307" s="6">
        <f t="shared" si="638"/>
        <v>1</v>
      </c>
      <c r="Z2307" s="6" t="str">
        <f t="shared" ca="1" si="639"/>
        <v>20246</v>
      </c>
      <c r="AA2307" s="6">
        <f t="shared" ca="1" si="640"/>
        <v>2024</v>
      </c>
      <c r="AB2307" s="6">
        <f t="shared" ca="1" si="641"/>
        <v>6</v>
      </c>
      <c r="AC2307" s="68">
        <f ca="1">IFERROR(__xludf.DUMMYFUNCTION("""COMPUTED_VALUE"""),45458.9986111111)</f>
        <v>45458.998611111099</v>
      </c>
      <c r="AD2307" s="6">
        <f ca="1">IFERROR(__xludf.DUMMYFUNCTION("""COMPUTED_VALUE"""),1382.27)</f>
        <v>1382.27</v>
      </c>
      <c r="AH2307" s="6" t="str">
        <f t="shared" ca="1" si="642"/>
        <v>20244</v>
      </c>
      <c r="AI2307" s="6">
        <f t="shared" ca="1" si="643"/>
        <v>2024</v>
      </c>
      <c r="AJ2307" s="6">
        <f t="shared" ca="1" si="644"/>
        <v>4</v>
      </c>
      <c r="AK2307" s="68">
        <f ca="1">IFERROR(__xludf.DUMMYFUNCTION("""COMPUTED_VALUE"""),45400.9986111111)</f>
        <v>45400.998611111099</v>
      </c>
      <c r="AL2307" s="6">
        <f ca="1">IFERROR(__xludf.DUMMYFUNCTION("""COMPUTED_VALUE"""),63509.67)</f>
        <v>63509.67</v>
      </c>
      <c r="AP2307" s="6" t="str">
        <f t="shared" si="645"/>
        <v>19001</v>
      </c>
      <c r="AQ2307" s="6">
        <f t="shared" si="646"/>
        <v>1900</v>
      </c>
      <c r="AR2307" s="6">
        <f t="shared" si="647"/>
        <v>1</v>
      </c>
    </row>
    <row r="2308" spans="2:44" x14ac:dyDescent="0.35">
      <c r="B2308" s="6" t="str">
        <f t="shared" si="630"/>
        <v>19001</v>
      </c>
      <c r="C2308" s="6">
        <f t="shared" si="631"/>
        <v>1900</v>
      </c>
      <c r="D2308" s="6">
        <f t="shared" si="632"/>
        <v>1</v>
      </c>
      <c r="J2308" s="6" t="str">
        <f t="shared" si="633"/>
        <v>19001</v>
      </c>
      <c r="K2308" s="6">
        <f t="shared" si="634"/>
        <v>1900</v>
      </c>
      <c r="L2308" s="6">
        <f t="shared" si="635"/>
        <v>1</v>
      </c>
      <c r="R2308" s="6" t="str">
        <f t="shared" si="636"/>
        <v>19001</v>
      </c>
      <c r="S2308" s="6">
        <f t="shared" si="637"/>
        <v>1900</v>
      </c>
      <c r="T2308" s="6">
        <f t="shared" si="638"/>
        <v>1</v>
      </c>
      <c r="Z2308" s="6" t="str">
        <f t="shared" ca="1" si="639"/>
        <v>20246</v>
      </c>
      <c r="AA2308" s="6">
        <f t="shared" ca="1" si="640"/>
        <v>2024</v>
      </c>
      <c r="AB2308" s="6">
        <f t="shared" ca="1" si="641"/>
        <v>6</v>
      </c>
      <c r="AC2308" s="68">
        <f ca="1">IFERROR(__xludf.DUMMYFUNCTION("""COMPUTED_VALUE"""),45459.9986111111)</f>
        <v>45459.998611111099</v>
      </c>
      <c r="AD2308" s="6">
        <f ca="1">IFERROR(__xludf.DUMMYFUNCTION("""COMPUTED_VALUE"""),1382.28)</f>
        <v>1382.28</v>
      </c>
      <c r="AH2308" s="6" t="str">
        <f t="shared" ca="1" si="642"/>
        <v>20244</v>
      </c>
      <c r="AI2308" s="6">
        <f t="shared" ca="1" si="643"/>
        <v>2024</v>
      </c>
      <c r="AJ2308" s="6">
        <f t="shared" ca="1" si="644"/>
        <v>4</v>
      </c>
      <c r="AK2308" s="68">
        <f ca="1">IFERROR(__xludf.DUMMYFUNCTION("""COMPUTED_VALUE"""),45401.9986111111)</f>
        <v>45401.998611111099</v>
      </c>
      <c r="AL2308" s="6">
        <f ca="1">IFERROR(__xludf.DUMMYFUNCTION("""COMPUTED_VALUE"""),63803.57)</f>
        <v>63803.57</v>
      </c>
      <c r="AP2308" s="6" t="str">
        <f t="shared" si="645"/>
        <v>19001</v>
      </c>
      <c r="AQ2308" s="6">
        <f t="shared" si="646"/>
        <v>1900</v>
      </c>
      <c r="AR2308" s="6">
        <f t="shared" si="647"/>
        <v>1</v>
      </c>
    </row>
    <row r="2309" spans="2:44" x14ac:dyDescent="0.35">
      <c r="B2309" s="6" t="str">
        <f t="shared" si="630"/>
        <v>19001</v>
      </c>
      <c r="C2309" s="6">
        <f t="shared" si="631"/>
        <v>1900</v>
      </c>
      <c r="D2309" s="6">
        <f t="shared" si="632"/>
        <v>1</v>
      </c>
      <c r="J2309" s="6" t="str">
        <f t="shared" si="633"/>
        <v>19001</v>
      </c>
      <c r="K2309" s="6">
        <f t="shared" si="634"/>
        <v>1900</v>
      </c>
      <c r="L2309" s="6">
        <f t="shared" si="635"/>
        <v>1</v>
      </c>
      <c r="R2309" s="6" t="str">
        <f t="shared" si="636"/>
        <v>19001</v>
      </c>
      <c r="S2309" s="6">
        <f t="shared" si="637"/>
        <v>1900</v>
      </c>
      <c r="T2309" s="6">
        <f t="shared" si="638"/>
        <v>1</v>
      </c>
      <c r="Z2309" s="6" t="str">
        <f t="shared" ca="1" si="639"/>
        <v>20246</v>
      </c>
      <c r="AA2309" s="6">
        <f t="shared" ca="1" si="640"/>
        <v>2024</v>
      </c>
      <c r="AB2309" s="6">
        <f t="shared" ca="1" si="641"/>
        <v>6</v>
      </c>
      <c r="AC2309" s="68">
        <f ca="1">IFERROR(__xludf.DUMMYFUNCTION("""COMPUTED_VALUE"""),45460.9986111111)</f>
        <v>45460.998611111099</v>
      </c>
      <c r="AD2309" s="6">
        <f ca="1">IFERROR(__xludf.DUMMYFUNCTION("""COMPUTED_VALUE"""),1379.06)</f>
        <v>1379.06</v>
      </c>
      <c r="AH2309" s="6" t="str">
        <f t="shared" ca="1" si="642"/>
        <v>20244</v>
      </c>
      <c r="AI2309" s="6">
        <f t="shared" ca="1" si="643"/>
        <v>2024</v>
      </c>
      <c r="AJ2309" s="6">
        <f t="shared" ca="1" si="644"/>
        <v>4</v>
      </c>
      <c r="AK2309" s="68">
        <f ca="1">IFERROR(__xludf.DUMMYFUNCTION("""COMPUTED_VALUE"""),45402.9986111111)</f>
        <v>45402.998611111099</v>
      </c>
      <c r="AL2309" s="6">
        <f ca="1">IFERROR(__xludf.DUMMYFUNCTION("""COMPUTED_VALUE"""),64958.39)</f>
        <v>64958.39</v>
      </c>
      <c r="AP2309" s="6" t="str">
        <f t="shared" si="645"/>
        <v>19001</v>
      </c>
      <c r="AQ2309" s="6">
        <f t="shared" si="646"/>
        <v>1900</v>
      </c>
      <c r="AR2309" s="6">
        <f t="shared" si="647"/>
        <v>1</v>
      </c>
    </row>
    <row r="2310" spans="2:44" x14ac:dyDescent="0.35">
      <c r="B2310" s="6" t="str">
        <f t="shared" si="630"/>
        <v>19001</v>
      </c>
      <c r="C2310" s="6">
        <f t="shared" si="631"/>
        <v>1900</v>
      </c>
      <c r="D2310" s="6">
        <f t="shared" si="632"/>
        <v>1</v>
      </c>
      <c r="J2310" s="6" t="str">
        <f t="shared" si="633"/>
        <v>19001</v>
      </c>
      <c r="K2310" s="6">
        <f t="shared" si="634"/>
        <v>1900</v>
      </c>
      <c r="L2310" s="6">
        <f t="shared" si="635"/>
        <v>1</v>
      </c>
      <c r="R2310" s="6" t="str">
        <f t="shared" si="636"/>
        <v>19001</v>
      </c>
      <c r="S2310" s="6">
        <f t="shared" si="637"/>
        <v>1900</v>
      </c>
      <c r="T2310" s="6">
        <f t="shared" si="638"/>
        <v>1</v>
      </c>
      <c r="Z2310" s="6" t="str">
        <f t="shared" ca="1" si="639"/>
        <v>20246</v>
      </c>
      <c r="AA2310" s="6">
        <f t="shared" ca="1" si="640"/>
        <v>2024</v>
      </c>
      <c r="AB2310" s="6">
        <f t="shared" ca="1" si="641"/>
        <v>6</v>
      </c>
      <c r="AC2310" s="68">
        <f ca="1">IFERROR(__xludf.DUMMYFUNCTION("""COMPUTED_VALUE"""),45461.9986111111)</f>
        <v>45461.998611111099</v>
      </c>
      <c r="AD2310" s="6">
        <f ca="1">IFERROR(__xludf.DUMMYFUNCTION("""COMPUTED_VALUE"""),1378.61)</f>
        <v>1378.61</v>
      </c>
      <c r="AH2310" s="6" t="str">
        <f t="shared" ca="1" si="642"/>
        <v>20244</v>
      </c>
      <c r="AI2310" s="6">
        <f t="shared" ca="1" si="643"/>
        <v>2024</v>
      </c>
      <c r="AJ2310" s="6">
        <f t="shared" ca="1" si="644"/>
        <v>4</v>
      </c>
      <c r="AK2310" s="68">
        <f ca="1">IFERROR(__xludf.DUMMYFUNCTION("""COMPUTED_VALUE"""),45403.9986111111)</f>
        <v>45403.998611111099</v>
      </c>
      <c r="AL2310" s="6">
        <f ca="1">IFERROR(__xludf.DUMMYFUNCTION("""COMPUTED_VALUE"""),64946.52)</f>
        <v>64946.52</v>
      </c>
      <c r="AP2310" s="6" t="str">
        <f t="shared" si="645"/>
        <v>19001</v>
      </c>
      <c r="AQ2310" s="6">
        <f t="shared" si="646"/>
        <v>1900</v>
      </c>
      <c r="AR2310" s="6">
        <f t="shared" si="647"/>
        <v>1</v>
      </c>
    </row>
    <row r="2311" spans="2:44" x14ac:dyDescent="0.35">
      <c r="B2311" s="6" t="str">
        <f t="shared" ref="B2311:B2374" si="648">C2311&amp;D2311</f>
        <v>19001</v>
      </c>
      <c r="C2311" s="6">
        <f t="shared" ref="C2311:C2374" si="649">YEAR(E2311)</f>
        <v>1900</v>
      </c>
      <c r="D2311" s="6">
        <f t="shared" ref="D2311:D2374" si="650">MONTH(E2311)</f>
        <v>1</v>
      </c>
      <c r="J2311" s="6" t="str">
        <f t="shared" ref="J2311:J2374" si="651">K2311&amp;L2311</f>
        <v>19001</v>
      </c>
      <c r="K2311" s="6">
        <f t="shared" ref="K2311:K2374" si="652">YEAR(M2311)</f>
        <v>1900</v>
      </c>
      <c r="L2311" s="6">
        <f t="shared" ref="L2311:L2374" si="653">MONTH(M2311)</f>
        <v>1</v>
      </c>
      <c r="R2311" s="6" t="str">
        <f t="shared" ref="R2311:R2374" si="654">S2311&amp;T2311</f>
        <v>19001</v>
      </c>
      <c r="S2311" s="6">
        <f t="shared" ref="S2311:S2374" si="655">YEAR(U2311)</f>
        <v>1900</v>
      </c>
      <c r="T2311" s="6">
        <f t="shared" ref="T2311:T2374" si="656">MONTH(U2311)</f>
        <v>1</v>
      </c>
      <c r="Z2311" s="6" t="str">
        <f t="shared" ref="Z2311:Z2374" ca="1" si="657">AA2311&amp;AB2311</f>
        <v>20246</v>
      </c>
      <c r="AA2311" s="6">
        <f t="shared" ref="AA2311:AA2374" ca="1" si="658">YEAR(AC2311)</f>
        <v>2024</v>
      </c>
      <c r="AB2311" s="6">
        <f t="shared" ref="AB2311:AB2374" ca="1" si="659">MONTH(AC2311)</f>
        <v>6</v>
      </c>
      <c r="AC2311" s="68">
        <f ca="1">IFERROR(__xludf.DUMMYFUNCTION("""COMPUTED_VALUE"""),45462.9986111111)</f>
        <v>45462.998611111099</v>
      </c>
      <c r="AD2311" s="6">
        <f ca="1">IFERROR(__xludf.DUMMYFUNCTION("""COMPUTED_VALUE"""),1381.15)</f>
        <v>1381.15</v>
      </c>
      <c r="AH2311" s="6" t="str">
        <f t="shared" ref="AH2311:AH2374" ca="1" si="660">AI2311&amp;AJ2311</f>
        <v>20244</v>
      </c>
      <c r="AI2311" s="6">
        <f t="shared" ref="AI2311:AI2374" ca="1" si="661">YEAR(AK2311)</f>
        <v>2024</v>
      </c>
      <c r="AJ2311" s="6">
        <f t="shared" ref="AJ2311:AJ2374" ca="1" si="662">MONTH(AK2311)</f>
        <v>4</v>
      </c>
      <c r="AK2311" s="68">
        <f ca="1">IFERROR(__xludf.DUMMYFUNCTION("""COMPUTED_VALUE"""),45404.9986111111)</f>
        <v>45404.998611111099</v>
      </c>
      <c r="AL2311" s="6">
        <f ca="1">IFERROR(__xludf.DUMMYFUNCTION("""COMPUTED_VALUE"""),66840.57)</f>
        <v>66840.570000000007</v>
      </c>
      <c r="AP2311" s="6" t="str">
        <f t="shared" ref="AP2311:AP2374" si="663">AQ2311&amp;AR2311</f>
        <v>19001</v>
      </c>
      <c r="AQ2311" s="6">
        <f t="shared" ref="AQ2311:AQ2374" si="664">YEAR(AS2311)</f>
        <v>1900</v>
      </c>
      <c r="AR2311" s="6">
        <f t="shared" ref="AR2311:AR2374" si="665">MONTH(AS2311)</f>
        <v>1</v>
      </c>
    </row>
    <row r="2312" spans="2:44" x14ac:dyDescent="0.35">
      <c r="B2312" s="6" t="str">
        <f t="shared" si="648"/>
        <v>19001</v>
      </c>
      <c r="C2312" s="6">
        <f t="shared" si="649"/>
        <v>1900</v>
      </c>
      <c r="D2312" s="6">
        <f t="shared" si="650"/>
        <v>1</v>
      </c>
      <c r="J2312" s="6" t="str">
        <f t="shared" si="651"/>
        <v>19001</v>
      </c>
      <c r="K2312" s="6">
        <f t="shared" si="652"/>
        <v>1900</v>
      </c>
      <c r="L2312" s="6">
        <f t="shared" si="653"/>
        <v>1</v>
      </c>
      <c r="R2312" s="6" t="str">
        <f t="shared" si="654"/>
        <v>19001</v>
      </c>
      <c r="S2312" s="6">
        <f t="shared" si="655"/>
        <v>1900</v>
      </c>
      <c r="T2312" s="6">
        <f t="shared" si="656"/>
        <v>1</v>
      </c>
      <c r="Z2312" s="6" t="str">
        <f t="shared" ca="1" si="657"/>
        <v>20246</v>
      </c>
      <c r="AA2312" s="6">
        <f t="shared" ca="1" si="658"/>
        <v>2024</v>
      </c>
      <c r="AB2312" s="6">
        <f t="shared" ca="1" si="659"/>
        <v>6</v>
      </c>
      <c r="AC2312" s="68">
        <f ca="1">IFERROR(__xludf.DUMMYFUNCTION("""COMPUTED_VALUE"""),45463.9986111111)</f>
        <v>45463.998611111099</v>
      </c>
      <c r="AD2312" s="6">
        <f ca="1">IFERROR(__xludf.DUMMYFUNCTION("""COMPUTED_VALUE"""),1391.82)</f>
        <v>1391.82</v>
      </c>
      <c r="AH2312" s="6" t="str">
        <f t="shared" ca="1" si="660"/>
        <v>20244</v>
      </c>
      <c r="AI2312" s="6">
        <f t="shared" ca="1" si="661"/>
        <v>2024</v>
      </c>
      <c r="AJ2312" s="6">
        <f t="shared" ca="1" si="662"/>
        <v>4</v>
      </c>
      <c r="AK2312" s="68">
        <f ca="1">IFERROR(__xludf.DUMMYFUNCTION("""COMPUTED_VALUE"""),45405.9986111111)</f>
        <v>45405.998611111099</v>
      </c>
      <c r="AL2312" s="6">
        <f ca="1">IFERROR(__xludf.DUMMYFUNCTION("""COMPUTED_VALUE"""),66402.03)</f>
        <v>66402.03</v>
      </c>
      <c r="AP2312" s="6" t="str">
        <f t="shared" si="663"/>
        <v>19001</v>
      </c>
      <c r="AQ2312" s="6">
        <f t="shared" si="664"/>
        <v>1900</v>
      </c>
      <c r="AR2312" s="6">
        <f t="shared" si="665"/>
        <v>1</v>
      </c>
    </row>
    <row r="2313" spans="2:44" x14ac:dyDescent="0.35">
      <c r="B2313" s="6" t="str">
        <f t="shared" si="648"/>
        <v>19001</v>
      </c>
      <c r="C2313" s="6">
        <f t="shared" si="649"/>
        <v>1900</v>
      </c>
      <c r="D2313" s="6">
        <f t="shared" si="650"/>
        <v>1</v>
      </c>
      <c r="J2313" s="6" t="str">
        <f t="shared" si="651"/>
        <v>19001</v>
      </c>
      <c r="K2313" s="6">
        <f t="shared" si="652"/>
        <v>1900</v>
      </c>
      <c r="L2313" s="6">
        <f t="shared" si="653"/>
        <v>1</v>
      </c>
      <c r="R2313" s="6" t="str">
        <f t="shared" si="654"/>
        <v>19001</v>
      </c>
      <c r="S2313" s="6">
        <f t="shared" si="655"/>
        <v>1900</v>
      </c>
      <c r="T2313" s="6">
        <f t="shared" si="656"/>
        <v>1</v>
      </c>
      <c r="Z2313" s="6" t="str">
        <f t="shared" ca="1" si="657"/>
        <v>20246</v>
      </c>
      <c r="AA2313" s="6">
        <f t="shared" ca="1" si="658"/>
        <v>2024</v>
      </c>
      <c r="AB2313" s="6">
        <f t="shared" ca="1" si="659"/>
        <v>6</v>
      </c>
      <c r="AC2313" s="68">
        <f ca="1">IFERROR(__xludf.DUMMYFUNCTION("""COMPUTED_VALUE"""),45464.9986111111)</f>
        <v>45464.998611111099</v>
      </c>
      <c r="AD2313" s="6">
        <f ca="1">IFERROR(__xludf.DUMMYFUNCTION("""COMPUTED_VALUE"""),1388.39)</f>
        <v>1388.39</v>
      </c>
      <c r="AH2313" s="6" t="str">
        <f t="shared" ca="1" si="660"/>
        <v>20244</v>
      </c>
      <c r="AI2313" s="6">
        <f t="shared" ca="1" si="661"/>
        <v>2024</v>
      </c>
      <c r="AJ2313" s="6">
        <f t="shared" ca="1" si="662"/>
        <v>4</v>
      </c>
      <c r="AK2313" s="68">
        <f ca="1">IFERROR(__xludf.DUMMYFUNCTION("""COMPUTED_VALUE"""),45406.9986111111)</f>
        <v>45406.998611111099</v>
      </c>
      <c r="AL2313" s="6">
        <f ca="1">IFERROR(__xludf.DUMMYFUNCTION("""COMPUTED_VALUE"""),64270.73)</f>
        <v>64270.73</v>
      </c>
      <c r="AP2313" s="6" t="str">
        <f t="shared" si="663"/>
        <v>19001</v>
      </c>
      <c r="AQ2313" s="6">
        <f t="shared" si="664"/>
        <v>1900</v>
      </c>
      <c r="AR2313" s="6">
        <f t="shared" si="665"/>
        <v>1</v>
      </c>
    </row>
    <row r="2314" spans="2:44" x14ac:dyDescent="0.35">
      <c r="B2314" s="6" t="str">
        <f t="shared" si="648"/>
        <v>19001</v>
      </c>
      <c r="C2314" s="6">
        <f t="shared" si="649"/>
        <v>1900</v>
      </c>
      <c r="D2314" s="6">
        <f t="shared" si="650"/>
        <v>1</v>
      </c>
      <c r="J2314" s="6" t="str">
        <f t="shared" si="651"/>
        <v>19001</v>
      </c>
      <c r="K2314" s="6">
        <f t="shared" si="652"/>
        <v>1900</v>
      </c>
      <c r="L2314" s="6">
        <f t="shared" si="653"/>
        <v>1</v>
      </c>
      <c r="R2314" s="6" t="str">
        <f t="shared" si="654"/>
        <v>19001</v>
      </c>
      <c r="S2314" s="6">
        <f t="shared" si="655"/>
        <v>1900</v>
      </c>
      <c r="T2314" s="6">
        <f t="shared" si="656"/>
        <v>1</v>
      </c>
      <c r="Z2314" s="6" t="str">
        <f t="shared" ca="1" si="657"/>
        <v>20246</v>
      </c>
      <c r="AA2314" s="6">
        <f t="shared" ca="1" si="658"/>
        <v>2024</v>
      </c>
      <c r="AB2314" s="6">
        <f t="shared" ca="1" si="659"/>
        <v>6</v>
      </c>
      <c r="AC2314" s="68">
        <f ca="1">IFERROR(__xludf.DUMMYFUNCTION("""COMPUTED_VALUE"""),45465.9986111111)</f>
        <v>45465.998611111099</v>
      </c>
      <c r="AD2314" s="6">
        <f ca="1">IFERROR(__xludf.DUMMYFUNCTION("""COMPUTED_VALUE"""),1388.39)</f>
        <v>1388.39</v>
      </c>
      <c r="AH2314" s="6" t="str">
        <f t="shared" ca="1" si="660"/>
        <v>20244</v>
      </c>
      <c r="AI2314" s="6">
        <f t="shared" ca="1" si="661"/>
        <v>2024</v>
      </c>
      <c r="AJ2314" s="6">
        <f t="shared" ca="1" si="662"/>
        <v>4</v>
      </c>
      <c r="AK2314" s="68">
        <f ca="1">IFERROR(__xludf.DUMMYFUNCTION("""COMPUTED_VALUE"""),45407.9986111111)</f>
        <v>45407.998611111099</v>
      </c>
      <c r="AL2314" s="6">
        <f ca="1">IFERROR(__xludf.DUMMYFUNCTION("""COMPUTED_VALUE"""),64506.1)</f>
        <v>64506.1</v>
      </c>
      <c r="AP2314" s="6" t="str">
        <f t="shared" si="663"/>
        <v>19001</v>
      </c>
      <c r="AQ2314" s="6">
        <f t="shared" si="664"/>
        <v>1900</v>
      </c>
      <c r="AR2314" s="6">
        <f t="shared" si="665"/>
        <v>1</v>
      </c>
    </row>
    <row r="2315" spans="2:44" x14ac:dyDescent="0.35">
      <c r="B2315" s="6" t="str">
        <f t="shared" si="648"/>
        <v>19001</v>
      </c>
      <c r="C2315" s="6">
        <f t="shared" si="649"/>
        <v>1900</v>
      </c>
      <c r="D2315" s="6">
        <f t="shared" si="650"/>
        <v>1</v>
      </c>
      <c r="J2315" s="6" t="str">
        <f t="shared" si="651"/>
        <v>19001</v>
      </c>
      <c r="K2315" s="6">
        <f t="shared" si="652"/>
        <v>1900</v>
      </c>
      <c r="L2315" s="6">
        <f t="shared" si="653"/>
        <v>1</v>
      </c>
      <c r="R2315" s="6" t="str">
        <f t="shared" si="654"/>
        <v>19001</v>
      </c>
      <c r="S2315" s="6">
        <f t="shared" si="655"/>
        <v>1900</v>
      </c>
      <c r="T2315" s="6">
        <f t="shared" si="656"/>
        <v>1</v>
      </c>
      <c r="Z2315" s="6" t="str">
        <f t="shared" ca="1" si="657"/>
        <v>20246</v>
      </c>
      <c r="AA2315" s="6">
        <f t="shared" ca="1" si="658"/>
        <v>2024</v>
      </c>
      <c r="AB2315" s="6">
        <f t="shared" ca="1" si="659"/>
        <v>6</v>
      </c>
      <c r="AC2315" s="68">
        <f ca="1">IFERROR(__xludf.DUMMYFUNCTION("""COMPUTED_VALUE"""),45466.9986111111)</f>
        <v>45466.998611111099</v>
      </c>
      <c r="AD2315" s="6">
        <f ca="1">IFERROR(__xludf.DUMMYFUNCTION("""COMPUTED_VALUE"""),1388.39)</f>
        <v>1388.39</v>
      </c>
      <c r="AH2315" s="6" t="str">
        <f t="shared" ca="1" si="660"/>
        <v>20244</v>
      </c>
      <c r="AI2315" s="6">
        <f t="shared" ca="1" si="661"/>
        <v>2024</v>
      </c>
      <c r="AJ2315" s="6">
        <f t="shared" ca="1" si="662"/>
        <v>4</v>
      </c>
      <c r="AK2315" s="68">
        <f ca="1">IFERROR(__xludf.DUMMYFUNCTION("""COMPUTED_VALUE"""),45408.9986111111)</f>
        <v>45408.998611111099</v>
      </c>
      <c r="AL2315" s="6">
        <f ca="1">IFERROR(__xludf.DUMMYFUNCTION("""COMPUTED_VALUE"""),63782.04)</f>
        <v>63782.04</v>
      </c>
      <c r="AP2315" s="6" t="str">
        <f t="shared" si="663"/>
        <v>19001</v>
      </c>
      <c r="AQ2315" s="6">
        <f t="shared" si="664"/>
        <v>1900</v>
      </c>
      <c r="AR2315" s="6">
        <f t="shared" si="665"/>
        <v>1</v>
      </c>
    </row>
    <row r="2316" spans="2:44" x14ac:dyDescent="0.35">
      <c r="B2316" s="6" t="str">
        <f t="shared" si="648"/>
        <v>19001</v>
      </c>
      <c r="C2316" s="6">
        <f t="shared" si="649"/>
        <v>1900</v>
      </c>
      <c r="D2316" s="6">
        <f t="shared" si="650"/>
        <v>1</v>
      </c>
      <c r="J2316" s="6" t="str">
        <f t="shared" si="651"/>
        <v>19001</v>
      </c>
      <c r="K2316" s="6">
        <f t="shared" si="652"/>
        <v>1900</v>
      </c>
      <c r="L2316" s="6">
        <f t="shared" si="653"/>
        <v>1</v>
      </c>
      <c r="R2316" s="6" t="str">
        <f t="shared" si="654"/>
        <v>19001</v>
      </c>
      <c r="S2316" s="6">
        <f t="shared" si="655"/>
        <v>1900</v>
      </c>
      <c r="T2316" s="6">
        <f t="shared" si="656"/>
        <v>1</v>
      </c>
      <c r="Z2316" s="6" t="str">
        <f t="shared" ca="1" si="657"/>
        <v>20246</v>
      </c>
      <c r="AA2316" s="6">
        <f t="shared" ca="1" si="658"/>
        <v>2024</v>
      </c>
      <c r="AB2316" s="6">
        <f t="shared" ca="1" si="659"/>
        <v>6</v>
      </c>
      <c r="AC2316" s="68">
        <f ca="1">IFERROR(__xludf.DUMMYFUNCTION("""COMPUTED_VALUE"""),45467.9986111111)</f>
        <v>45467.998611111099</v>
      </c>
      <c r="AD2316" s="6">
        <f ca="1">IFERROR(__xludf.DUMMYFUNCTION("""COMPUTED_VALUE"""),1386.11)</f>
        <v>1386.11</v>
      </c>
      <c r="AH2316" s="6" t="str">
        <f t="shared" ca="1" si="660"/>
        <v>20244</v>
      </c>
      <c r="AI2316" s="6">
        <f t="shared" ca="1" si="661"/>
        <v>2024</v>
      </c>
      <c r="AJ2316" s="6">
        <f t="shared" ca="1" si="662"/>
        <v>4</v>
      </c>
      <c r="AK2316" s="68">
        <f ca="1">IFERROR(__xludf.DUMMYFUNCTION("""COMPUTED_VALUE"""),45409.9986111111)</f>
        <v>45409.998611111099</v>
      </c>
      <c r="AL2316" s="6">
        <f ca="1">IFERROR(__xludf.DUMMYFUNCTION("""COMPUTED_VALUE"""),63452.65)</f>
        <v>63452.65</v>
      </c>
      <c r="AP2316" s="6" t="str">
        <f t="shared" si="663"/>
        <v>19001</v>
      </c>
      <c r="AQ2316" s="6">
        <f t="shared" si="664"/>
        <v>1900</v>
      </c>
      <c r="AR2316" s="6">
        <f t="shared" si="665"/>
        <v>1</v>
      </c>
    </row>
    <row r="2317" spans="2:44" x14ac:dyDescent="0.35">
      <c r="B2317" s="6" t="str">
        <f t="shared" si="648"/>
        <v>19001</v>
      </c>
      <c r="C2317" s="6">
        <f t="shared" si="649"/>
        <v>1900</v>
      </c>
      <c r="D2317" s="6">
        <f t="shared" si="650"/>
        <v>1</v>
      </c>
      <c r="J2317" s="6" t="str">
        <f t="shared" si="651"/>
        <v>19001</v>
      </c>
      <c r="K2317" s="6">
        <f t="shared" si="652"/>
        <v>1900</v>
      </c>
      <c r="L2317" s="6">
        <f t="shared" si="653"/>
        <v>1</v>
      </c>
      <c r="R2317" s="6" t="str">
        <f t="shared" si="654"/>
        <v>19001</v>
      </c>
      <c r="S2317" s="6">
        <f t="shared" si="655"/>
        <v>1900</v>
      </c>
      <c r="T2317" s="6">
        <f t="shared" si="656"/>
        <v>1</v>
      </c>
      <c r="Z2317" s="6" t="str">
        <f t="shared" ca="1" si="657"/>
        <v>20246</v>
      </c>
      <c r="AA2317" s="6">
        <f t="shared" ca="1" si="658"/>
        <v>2024</v>
      </c>
      <c r="AB2317" s="6">
        <f t="shared" ca="1" si="659"/>
        <v>6</v>
      </c>
      <c r="AC2317" s="68">
        <f ca="1">IFERROR(__xludf.DUMMYFUNCTION("""COMPUTED_VALUE"""),45469.9986111111)</f>
        <v>45469.998611111099</v>
      </c>
      <c r="AD2317" s="6">
        <f ca="1">IFERROR(__xludf.DUMMYFUNCTION("""COMPUTED_VALUE"""),1393.38)</f>
        <v>1393.38</v>
      </c>
      <c r="AH2317" s="6" t="str">
        <f t="shared" ca="1" si="660"/>
        <v>20244</v>
      </c>
      <c r="AI2317" s="6">
        <f t="shared" ca="1" si="661"/>
        <v>2024</v>
      </c>
      <c r="AJ2317" s="6">
        <f t="shared" ca="1" si="662"/>
        <v>4</v>
      </c>
      <c r="AK2317" s="68">
        <f ca="1">IFERROR(__xludf.DUMMYFUNCTION("""COMPUTED_VALUE"""),45410.9986111111)</f>
        <v>45410.998611111099</v>
      </c>
      <c r="AL2317" s="6">
        <f ca="1">IFERROR(__xludf.DUMMYFUNCTION("""COMPUTED_VALUE"""),62987.93)</f>
        <v>62987.93</v>
      </c>
      <c r="AP2317" s="6" t="str">
        <f t="shared" si="663"/>
        <v>19001</v>
      </c>
      <c r="AQ2317" s="6">
        <f t="shared" si="664"/>
        <v>1900</v>
      </c>
      <c r="AR2317" s="6">
        <f t="shared" si="665"/>
        <v>1</v>
      </c>
    </row>
    <row r="2318" spans="2:44" x14ac:dyDescent="0.35">
      <c r="B2318" s="6" t="str">
        <f t="shared" si="648"/>
        <v>19001</v>
      </c>
      <c r="C2318" s="6">
        <f t="shared" si="649"/>
        <v>1900</v>
      </c>
      <c r="D2318" s="6">
        <f t="shared" si="650"/>
        <v>1</v>
      </c>
      <c r="J2318" s="6" t="str">
        <f t="shared" si="651"/>
        <v>19001</v>
      </c>
      <c r="K2318" s="6">
        <f t="shared" si="652"/>
        <v>1900</v>
      </c>
      <c r="L2318" s="6">
        <f t="shared" si="653"/>
        <v>1</v>
      </c>
      <c r="R2318" s="6" t="str">
        <f t="shared" si="654"/>
        <v>19001</v>
      </c>
      <c r="S2318" s="6">
        <f t="shared" si="655"/>
        <v>1900</v>
      </c>
      <c r="T2318" s="6">
        <f t="shared" si="656"/>
        <v>1</v>
      </c>
      <c r="Z2318" s="6" t="str">
        <f t="shared" ca="1" si="657"/>
        <v>20246</v>
      </c>
      <c r="AA2318" s="6">
        <f t="shared" ca="1" si="658"/>
        <v>2024</v>
      </c>
      <c r="AB2318" s="6">
        <f t="shared" ca="1" si="659"/>
        <v>6</v>
      </c>
      <c r="AC2318" s="68">
        <f ca="1">IFERROR(__xludf.DUMMYFUNCTION("""COMPUTED_VALUE"""),45470.9986111111)</f>
        <v>45470.998611111099</v>
      </c>
      <c r="AD2318" s="6">
        <f ca="1">IFERROR(__xludf.DUMMYFUNCTION("""COMPUTED_VALUE"""),1386.95)</f>
        <v>1386.95</v>
      </c>
      <c r="AH2318" s="6" t="str">
        <f t="shared" ca="1" si="660"/>
        <v>20244</v>
      </c>
      <c r="AI2318" s="6">
        <f t="shared" ca="1" si="661"/>
        <v>2024</v>
      </c>
      <c r="AJ2318" s="6">
        <f t="shared" ca="1" si="662"/>
        <v>4</v>
      </c>
      <c r="AK2318" s="68">
        <f ca="1">IFERROR(__xludf.DUMMYFUNCTION("""COMPUTED_VALUE"""),45411.9986111111)</f>
        <v>45411.998611111099</v>
      </c>
      <c r="AL2318" s="6">
        <f ca="1">IFERROR(__xludf.DUMMYFUNCTION("""COMPUTED_VALUE"""),63869.59)</f>
        <v>63869.59</v>
      </c>
      <c r="AP2318" s="6" t="str">
        <f t="shared" si="663"/>
        <v>19001</v>
      </c>
      <c r="AQ2318" s="6">
        <f t="shared" si="664"/>
        <v>1900</v>
      </c>
      <c r="AR2318" s="6">
        <f t="shared" si="665"/>
        <v>1</v>
      </c>
    </row>
    <row r="2319" spans="2:44" x14ac:dyDescent="0.35">
      <c r="B2319" s="6" t="str">
        <f t="shared" si="648"/>
        <v>19001</v>
      </c>
      <c r="C2319" s="6">
        <f t="shared" si="649"/>
        <v>1900</v>
      </c>
      <c r="D2319" s="6">
        <f t="shared" si="650"/>
        <v>1</v>
      </c>
      <c r="J2319" s="6" t="str">
        <f t="shared" si="651"/>
        <v>19001</v>
      </c>
      <c r="K2319" s="6">
        <f t="shared" si="652"/>
        <v>1900</v>
      </c>
      <c r="L2319" s="6">
        <f t="shared" si="653"/>
        <v>1</v>
      </c>
      <c r="R2319" s="6" t="str">
        <f t="shared" si="654"/>
        <v>19001</v>
      </c>
      <c r="S2319" s="6">
        <f t="shared" si="655"/>
        <v>1900</v>
      </c>
      <c r="T2319" s="6">
        <f t="shared" si="656"/>
        <v>1</v>
      </c>
      <c r="Z2319" s="6" t="str">
        <f t="shared" ca="1" si="657"/>
        <v>20246</v>
      </c>
      <c r="AA2319" s="6">
        <f t="shared" ca="1" si="658"/>
        <v>2024</v>
      </c>
      <c r="AB2319" s="6">
        <f t="shared" ca="1" si="659"/>
        <v>6</v>
      </c>
      <c r="AC2319" s="68">
        <f ca="1">IFERROR(__xludf.DUMMYFUNCTION("""COMPUTED_VALUE"""),45471.9986111111)</f>
        <v>45471.998611111099</v>
      </c>
      <c r="AD2319" s="6">
        <f ca="1">IFERROR(__xludf.DUMMYFUNCTION("""COMPUTED_VALUE"""),1380.28)</f>
        <v>1380.28</v>
      </c>
      <c r="AH2319" s="6" t="str">
        <f t="shared" ca="1" si="660"/>
        <v>20244</v>
      </c>
      <c r="AI2319" s="6">
        <f t="shared" ca="1" si="661"/>
        <v>2024</v>
      </c>
      <c r="AJ2319" s="6">
        <f t="shared" ca="1" si="662"/>
        <v>4</v>
      </c>
      <c r="AK2319" s="68">
        <f ca="1">IFERROR(__xludf.DUMMYFUNCTION("""COMPUTED_VALUE"""),45412.9986111111)</f>
        <v>45412.998611111099</v>
      </c>
      <c r="AL2319" s="6">
        <f ca="1">IFERROR(__xludf.DUMMYFUNCTION("""COMPUTED_VALUE"""),60751.65)</f>
        <v>60751.65</v>
      </c>
      <c r="AP2319" s="6" t="str">
        <f t="shared" si="663"/>
        <v>19001</v>
      </c>
      <c r="AQ2319" s="6">
        <f t="shared" si="664"/>
        <v>1900</v>
      </c>
      <c r="AR2319" s="6">
        <f t="shared" si="665"/>
        <v>1</v>
      </c>
    </row>
    <row r="2320" spans="2:44" x14ac:dyDescent="0.35">
      <c r="B2320" s="6" t="str">
        <f t="shared" si="648"/>
        <v>19001</v>
      </c>
      <c r="C2320" s="6">
        <f t="shared" si="649"/>
        <v>1900</v>
      </c>
      <c r="D2320" s="6">
        <f t="shared" si="650"/>
        <v>1</v>
      </c>
      <c r="J2320" s="6" t="str">
        <f t="shared" si="651"/>
        <v>19001</v>
      </c>
      <c r="K2320" s="6">
        <f t="shared" si="652"/>
        <v>1900</v>
      </c>
      <c r="L2320" s="6">
        <f t="shared" si="653"/>
        <v>1</v>
      </c>
      <c r="R2320" s="6" t="str">
        <f t="shared" si="654"/>
        <v>19001</v>
      </c>
      <c r="S2320" s="6">
        <f t="shared" si="655"/>
        <v>1900</v>
      </c>
      <c r="T2320" s="6">
        <f t="shared" si="656"/>
        <v>1</v>
      </c>
      <c r="Z2320" s="6" t="str">
        <f t="shared" ca="1" si="657"/>
        <v>20246</v>
      </c>
      <c r="AA2320" s="6">
        <f t="shared" ca="1" si="658"/>
        <v>2024</v>
      </c>
      <c r="AB2320" s="6">
        <f t="shared" ca="1" si="659"/>
        <v>6</v>
      </c>
      <c r="AC2320" s="68">
        <f ca="1">IFERROR(__xludf.DUMMYFUNCTION("""COMPUTED_VALUE"""),45472.9986111111)</f>
        <v>45472.998611111099</v>
      </c>
      <c r="AD2320" s="6">
        <f ca="1">IFERROR(__xludf.DUMMYFUNCTION("""COMPUTED_VALUE"""),1380.28)</f>
        <v>1380.28</v>
      </c>
      <c r="AH2320" s="6" t="str">
        <f t="shared" ca="1" si="660"/>
        <v>20245</v>
      </c>
      <c r="AI2320" s="6">
        <f t="shared" ca="1" si="661"/>
        <v>2024</v>
      </c>
      <c r="AJ2320" s="6">
        <f t="shared" ca="1" si="662"/>
        <v>5</v>
      </c>
      <c r="AK2320" s="68">
        <f ca="1">IFERROR(__xludf.DUMMYFUNCTION("""COMPUTED_VALUE"""),45413.9986111111)</f>
        <v>45413.998611111099</v>
      </c>
      <c r="AL2320" s="6">
        <f ca="1">IFERROR(__xludf.DUMMYFUNCTION("""COMPUTED_VALUE"""),58311.26)</f>
        <v>58311.26</v>
      </c>
      <c r="AP2320" s="6" t="str">
        <f t="shared" si="663"/>
        <v>19001</v>
      </c>
      <c r="AQ2320" s="6">
        <f t="shared" si="664"/>
        <v>1900</v>
      </c>
      <c r="AR2320" s="6">
        <f t="shared" si="665"/>
        <v>1</v>
      </c>
    </row>
    <row r="2321" spans="2:44" x14ac:dyDescent="0.35">
      <c r="B2321" s="6" t="str">
        <f t="shared" si="648"/>
        <v>19001</v>
      </c>
      <c r="C2321" s="6">
        <f t="shared" si="649"/>
        <v>1900</v>
      </c>
      <c r="D2321" s="6">
        <f t="shared" si="650"/>
        <v>1</v>
      </c>
      <c r="J2321" s="6" t="str">
        <f t="shared" si="651"/>
        <v>19001</v>
      </c>
      <c r="K2321" s="6">
        <f t="shared" si="652"/>
        <v>1900</v>
      </c>
      <c r="L2321" s="6">
        <f t="shared" si="653"/>
        <v>1</v>
      </c>
      <c r="R2321" s="6" t="str">
        <f t="shared" si="654"/>
        <v>19001</v>
      </c>
      <c r="S2321" s="6">
        <f t="shared" si="655"/>
        <v>1900</v>
      </c>
      <c r="T2321" s="6">
        <f t="shared" si="656"/>
        <v>1</v>
      </c>
      <c r="Z2321" s="6" t="str">
        <f t="shared" ca="1" si="657"/>
        <v>20246</v>
      </c>
      <c r="AA2321" s="6">
        <f t="shared" ca="1" si="658"/>
        <v>2024</v>
      </c>
      <c r="AB2321" s="6">
        <f t="shared" ca="1" si="659"/>
        <v>6</v>
      </c>
      <c r="AC2321" s="68">
        <f ca="1">IFERROR(__xludf.DUMMYFUNCTION("""COMPUTED_VALUE"""),45473.9986111111)</f>
        <v>45473.998611111099</v>
      </c>
      <c r="AD2321" s="6">
        <f ca="1">IFERROR(__xludf.DUMMYFUNCTION("""COMPUTED_VALUE"""),1380.29)</f>
        <v>1380.29</v>
      </c>
      <c r="AH2321" s="6" t="str">
        <f t="shared" ca="1" si="660"/>
        <v>20245</v>
      </c>
      <c r="AI2321" s="6">
        <f t="shared" ca="1" si="661"/>
        <v>2024</v>
      </c>
      <c r="AJ2321" s="6">
        <f t="shared" ca="1" si="662"/>
        <v>5</v>
      </c>
      <c r="AK2321" s="68">
        <f ca="1">IFERROR(__xludf.DUMMYFUNCTION("""COMPUTED_VALUE"""),45414.9986111111)</f>
        <v>45414.998611111099</v>
      </c>
      <c r="AL2321" s="6">
        <f ca="1">IFERROR(__xludf.DUMMYFUNCTION("""COMPUTED_VALUE"""),59146.74)</f>
        <v>59146.74</v>
      </c>
      <c r="AP2321" s="6" t="str">
        <f t="shared" si="663"/>
        <v>19001</v>
      </c>
      <c r="AQ2321" s="6">
        <f t="shared" si="664"/>
        <v>1900</v>
      </c>
      <c r="AR2321" s="6">
        <f t="shared" si="665"/>
        <v>1</v>
      </c>
    </row>
    <row r="2322" spans="2:44" x14ac:dyDescent="0.35">
      <c r="B2322" s="6" t="str">
        <f t="shared" si="648"/>
        <v>19001</v>
      </c>
      <c r="C2322" s="6">
        <f t="shared" si="649"/>
        <v>1900</v>
      </c>
      <c r="D2322" s="6">
        <f t="shared" si="650"/>
        <v>1</v>
      </c>
      <c r="J2322" s="6" t="str">
        <f t="shared" si="651"/>
        <v>19001</v>
      </c>
      <c r="K2322" s="6">
        <f t="shared" si="652"/>
        <v>1900</v>
      </c>
      <c r="L2322" s="6">
        <f t="shared" si="653"/>
        <v>1</v>
      </c>
      <c r="R2322" s="6" t="str">
        <f t="shared" si="654"/>
        <v>19001</v>
      </c>
      <c r="S2322" s="6">
        <f t="shared" si="655"/>
        <v>1900</v>
      </c>
      <c r="T2322" s="6">
        <f t="shared" si="656"/>
        <v>1</v>
      </c>
      <c r="Z2322" s="6" t="str">
        <f t="shared" ca="1" si="657"/>
        <v>20247</v>
      </c>
      <c r="AA2322" s="6">
        <f t="shared" ca="1" si="658"/>
        <v>2024</v>
      </c>
      <c r="AB2322" s="6">
        <f t="shared" ca="1" si="659"/>
        <v>7</v>
      </c>
      <c r="AC2322" s="68">
        <f ca="1">IFERROR(__xludf.DUMMYFUNCTION("""COMPUTED_VALUE"""),45474.9986111111)</f>
        <v>45474.998611111099</v>
      </c>
      <c r="AD2322" s="6">
        <f ca="1">IFERROR(__xludf.DUMMYFUNCTION("""COMPUTED_VALUE"""),1383.42)</f>
        <v>1383.42</v>
      </c>
      <c r="AH2322" s="6" t="str">
        <f t="shared" ca="1" si="660"/>
        <v>20245</v>
      </c>
      <c r="AI2322" s="6">
        <f t="shared" ca="1" si="661"/>
        <v>2024</v>
      </c>
      <c r="AJ2322" s="6">
        <f t="shared" ca="1" si="662"/>
        <v>5</v>
      </c>
      <c r="AK2322" s="68">
        <f ca="1">IFERROR(__xludf.DUMMYFUNCTION("""COMPUTED_VALUE"""),45415.9986111111)</f>
        <v>45415.998611111099</v>
      </c>
      <c r="AL2322" s="6">
        <f ca="1">IFERROR(__xludf.DUMMYFUNCTION("""COMPUTED_VALUE"""),62914.16)</f>
        <v>62914.16</v>
      </c>
      <c r="AP2322" s="6" t="str">
        <f t="shared" si="663"/>
        <v>19001</v>
      </c>
      <c r="AQ2322" s="6">
        <f t="shared" si="664"/>
        <v>1900</v>
      </c>
      <c r="AR2322" s="6">
        <f t="shared" si="665"/>
        <v>1</v>
      </c>
    </row>
    <row r="2323" spans="2:44" x14ac:dyDescent="0.35">
      <c r="B2323" s="6" t="str">
        <f t="shared" si="648"/>
        <v>19001</v>
      </c>
      <c r="C2323" s="6">
        <f t="shared" si="649"/>
        <v>1900</v>
      </c>
      <c r="D2323" s="6">
        <f t="shared" si="650"/>
        <v>1</v>
      </c>
      <c r="J2323" s="6" t="str">
        <f t="shared" si="651"/>
        <v>19001</v>
      </c>
      <c r="K2323" s="6">
        <f t="shared" si="652"/>
        <v>1900</v>
      </c>
      <c r="L2323" s="6">
        <f t="shared" si="653"/>
        <v>1</v>
      </c>
      <c r="R2323" s="6" t="str">
        <f t="shared" si="654"/>
        <v>19001</v>
      </c>
      <c r="S2323" s="6">
        <f t="shared" si="655"/>
        <v>1900</v>
      </c>
      <c r="T2323" s="6">
        <f t="shared" si="656"/>
        <v>1</v>
      </c>
      <c r="Z2323" s="6" t="str">
        <f t="shared" ca="1" si="657"/>
        <v>20247</v>
      </c>
      <c r="AA2323" s="6">
        <f t="shared" ca="1" si="658"/>
        <v>2024</v>
      </c>
      <c r="AB2323" s="6">
        <f t="shared" ca="1" si="659"/>
        <v>7</v>
      </c>
      <c r="AC2323" s="68">
        <f ca="1">IFERROR(__xludf.DUMMYFUNCTION("""COMPUTED_VALUE"""),45475.9986111111)</f>
        <v>45475.998611111099</v>
      </c>
      <c r="AD2323" s="6">
        <f ca="1">IFERROR(__xludf.DUMMYFUNCTION("""COMPUTED_VALUE"""),1383.42)</f>
        <v>1383.42</v>
      </c>
      <c r="AH2323" s="6" t="str">
        <f t="shared" ca="1" si="660"/>
        <v>20245</v>
      </c>
      <c r="AI2323" s="6">
        <f t="shared" ca="1" si="661"/>
        <v>2024</v>
      </c>
      <c r="AJ2323" s="6">
        <f t="shared" ca="1" si="662"/>
        <v>5</v>
      </c>
      <c r="AK2323" s="68">
        <f ca="1">IFERROR(__xludf.DUMMYFUNCTION("""COMPUTED_VALUE"""),45416.9986111111)</f>
        <v>45416.998611111099</v>
      </c>
      <c r="AL2323" s="6">
        <f ca="1">IFERROR(__xludf.DUMMYFUNCTION("""COMPUTED_VALUE"""),63866.37)</f>
        <v>63866.37</v>
      </c>
      <c r="AP2323" s="6" t="str">
        <f t="shared" si="663"/>
        <v>19001</v>
      </c>
      <c r="AQ2323" s="6">
        <f t="shared" si="664"/>
        <v>1900</v>
      </c>
      <c r="AR2323" s="6">
        <f t="shared" si="665"/>
        <v>1</v>
      </c>
    </row>
    <row r="2324" spans="2:44" x14ac:dyDescent="0.35">
      <c r="B2324" s="6" t="str">
        <f t="shared" si="648"/>
        <v>19001</v>
      </c>
      <c r="C2324" s="6">
        <f t="shared" si="649"/>
        <v>1900</v>
      </c>
      <c r="D2324" s="6">
        <f t="shared" si="650"/>
        <v>1</v>
      </c>
      <c r="J2324" s="6" t="str">
        <f t="shared" si="651"/>
        <v>19001</v>
      </c>
      <c r="K2324" s="6">
        <f t="shared" si="652"/>
        <v>1900</v>
      </c>
      <c r="L2324" s="6">
        <f t="shared" si="653"/>
        <v>1</v>
      </c>
      <c r="R2324" s="6" t="str">
        <f t="shared" si="654"/>
        <v>19001</v>
      </c>
      <c r="S2324" s="6">
        <f t="shared" si="655"/>
        <v>1900</v>
      </c>
      <c r="T2324" s="6">
        <f t="shared" si="656"/>
        <v>1</v>
      </c>
      <c r="Z2324" s="6" t="str">
        <f t="shared" ca="1" si="657"/>
        <v>20247</v>
      </c>
      <c r="AA2324" s="6">
        <f t="shared" ca="1" si="658"/>
        <v>2024</v>
      </c>
      <c r="AB2324" s="6">
        <f t="shared" ca="1" si="659"/>
        <v>7</v>
      </c>
      <c r="AC2324" s="68">
        <f ca="1">IFERROR(__xludf.DUMMYFUNCTION("""COMPUTED_VALUE"""),45476.9986111111)</f>
        <v>45476.998611111099</v>
      </c>
      <c r="AD2324" s="6">
        <f ca="1">IFERROR(__xludf.DUMMYFUNCTION("""COMPUTED_VALUE"""),1385.77)</f>
        <v>1385.77</v>
      </c>
      <c r="AH2324" s="6" t="str">
        <f t="shared" ca="1" si="660"/>
        <v>20245</v>
      </c>
      <c r="AI2324" s="6">
        <f t="shared" ca="1" si="661"/>
        <v>2024</v>
      </c>
      <c r="AJ2324" s="6">
        <f t="shared" ca="1" si="662"/>
        <v>5</v>
      </c>
      <c r="AK2324" s="68">
        <f ca="1">IFERROR(__xludf.DUMMYFUNCTION("""COMPUTED_VALUE"""),45417.9986111111)</f>
        <v>45417.998611111099</v>
      </c>
      <c r="AL2324" s="6">
        <f ca="1">IFERROR(__xludf.DUMMYFUNCTION("""COMPUTED_VALUE"""),63928.8)</f>
        <v>63928.800000000003</v>
      </c>
      <c r="AP2324" s="6" t="str">
        <f t="shared" si="663"/>
        <v>19001</v>
      </c>
      <c r="AQ2324" s="6">
        <f t="shared" si="664"/>
        <v>1900</v>
      </c>
      <c r="AR2324" s="6">
        <f t="shared" si="665"/>
        <v>1</v>
      </c>
    </row>
    <row r="2325" spans="2:44" x14ac:dyDescent="0.35">
      <c r="B2325" s="6" t="str">
        <f t="shared" si="648"/>
        <v>19001</v>
      </c>
      <c r="C2325" s="6">
        <f t="shared" si="649"/>
        <v>1900</v>
      </c>
      <c r="D2325" s="6">
        <f t="shared" si="650"/>
        <v>1</v>
      </c>
      <c r="J2325" s="6" t="str">
        <f t="shared" si="651"/>
        <v>19001</v>
      </c>
      <c r="K2325" s="6">
        <f t="shared" si="652"/>
        <v>1900</v>
      </c>
      <c r="L2325" s="6">
        <f t="shared" si="653"/>
        <v>1</v>
      </c>
      <c r="R2325" s="6" t="str">
        <f t="shared" si="654"/>
        <v>19001</v>
      </c>
      <c r="S2325" s="6">
        <f t="shared" si="655"/>
        <v>1900</v>
      </c>
      <c r="T2325" s="6">
        <f t="shared" si="656"/>
        <v>1</v>
      </c>
      <c r="Z2325" s="6" t="str">
        <f t="shared" ca="1" si="657"/>
        <v>20247</v>
      </c>
      <c r="AA2325" s="6">
        <f t="shared" ca="1" si="658"/>
        <v>2024</v>
      </c>
      <c r="AB2325" s="6">
        <f t="shared" ca="1" si="659"/>
        <v>7</v>
      </c>
      <c r="AC2325" s="68">
        <f ca="1">IFERROR(__xludf.DUMMYFUNCTION("""COMPUTED_VALUE"""),45477.9986111111)</f>
        <v>45477.998611111099</v>
      </c>
      <c r="AD2325" s="6">
        <f ca="1">IFERROR(__xludf.DUMMYFUNCTION("""COMPUTED_VALUE"""),1380.25)</f>
        <v>1380.25</v>
      </c>
      <c r="AH2325" s="6" t="str">
        <f t="shared" ca="1" si="660"/>
        <v>20245</v>
      </c>
      <c r="AI2325" s="6">
        <f t="shared" ca="1" si="661"/>
        <v>2024</v>
      </c>
      <c r="AJ2325" s="6">
        <f t="shared" ca="1" si="662"/>
        <v>5</v>
      </c>
      <c r="AK2325" s="68">
        <f ca="1">IFERROR(__xludf.DUMMYFUNCTION("""COMPUTED_VALUE"""),45418.9986111111)</f>
        <v>45418.998611111099</v>
      </c>
      <c r="AL2325" s="6">
        <f ca="1">IFERROR(__xludf.DUMMYFUNCTION("""COMPUTED_VALUE"""),63193.37)</f>
        <v>63193.37</v>
      </c>
      <c r="AP2325" s="6" t="str">
        <f t="shared" si="663"/>
        <v>19001</v>
      </c>
      <c r="AQ2325" s="6">
        <f t="shared" si="664"/>
        <v>1900</v>
      </c>
      <c r="AR2325" s="6">
        <f t="shared" si="665"/>
        <v>1</v>
      </c>
    </row>
    <row r="2326" spans="2:44" x14ac:dyDescent="0.35">
      <c r="B2326" s="6" t="str">
        <f t="shared" si="648"/>
        <v>19001</v>
      </c>
      <c r="C2326" s="6">
        <f t="shared" si="649"/>
        <v>1900</v>
      </c>
      <c r="D2326" s="6">
        <f t="shared" si="650"/>
        <v>1</v>
      </c>
      <c r="J2326" s="6" t="str">
        <f t="shared" si="651"/>
        <v>19001</v>
      </c>
      <c r="K2326" s="6">
        <f t="shared" si="652"/>
        <v>1900</v>
      </c>
      <c r="L2326" s="6">
        <f t="shared" si="653"/>
        <v>1</v>
      </c>
      <c r="R2326" s="6" t="str">
        <f t="shared" si="654"/>
        <v>19001</v>
      </c>
      <c r="S2326" s="6">
        <f t="shared" si="655"/>
        <v>1900</v>
      </c>
      <c r="T2326" s="6">
        <f t="shared" si="656"/>
        <v>1</v>
      </c>
      <c r="Z2326" s="6" t="str">
        <f t="shared" ca="1" si="657"/>
        <v>20247</v>
      </c>
      <c r="AA2326" s="6">
        <f t="shared" ca="1" si="658"/>
        <v>2024</v>
      </c>
      <c r="AB2326" s="6">
        <f t="shared" ca="1" si="659"/>
        <v>7</v>
      </c>
      <c r="AC2326" s="68">
        <f ca="1">IFERROR(__xludf.DUMMYFUNCTION("""COMPUTED_VALUE"""),45478.9986111111)</f>
        <v>45478.998611111099</v>
      </c>
      <c r="AD2326" s="6">
        <f ca="1">IFERROR(__xludf.DUMMYFUNCTION("""COMPUTED_VALUE"""),1376.56)</f>
        <v>1376.56</v>
      </c>
      <c r="AH2326" s="6" t="str">
        <f t="shared" ca="1" si="660"/>
        <v>20245</v>
      </c>
      <c r="AI2326" s="6">
        <f t="shared" ca="1" si="661"/>
        <v>2024</v>
      </c>
      <c r="AJ2326" s="6">
        <f t="shared" ca="1" si="662"/>
        <v>5</v>
      </c>
      <c r="AK2326" s="68">
        <f ca="1">IFERROR(__xludf.DUMMYFUNCTION("""COMPUTED_VALUE"""),45419.9986111111)</f>
        <v>45419.998611111099</v>
      </c>
      <c r="AL2326" s="6">
        <f ca="1">IFERROR(__xludf.DUMMYFUNCTION("""COMPUTED_VALUE"""),62382.92)</f>
        <v>62382.92</v>
      </c>
      <c r="AP2326" s="6" t="str">
        <f t="shared" si="663"/>
        <v>19001</v>
      </c>
      <c r="AQ2326" s="6">
        <f t="shared" si="664"/>
        <v>1900</v>
      </c>
      <c r="AR2326" s="6">
        <f t="shared" si="665"/>
        <v>1</v>
      </c>
    </row>
    <row r="2327" spans="2:44" x14ac:dyDescent="0.35">
      <c r="B2327" s="6" t="str">
        <f t="shared" si="648"/>
        <v>19001</v>
      </c>
      <c r="C2327" s="6">
        <f t="shared" si="649"/>
        <v>1900</v>
      </c>
      <c r="D2327" s="6">
        <f t="shared" si="650"/>
        <v>1</v>
      </c>
      <c r="J2327" s="6" t="str">
        <f t="shared" si="651"/>
        <v>19001</v>
      </c>
      <c r="K2327" s="6">
        <f t="shared" si="652"/>
        <v>1900</v>
      </c>
      <c r="L2327" s="6">
        <f t="shared" si="653"/>
        <v>1</v>
      </c>
      <c r="R2327" s="6" t="str">
        <f t="shared" si="654"/>
        <v>19001</v>
      </c>
      <c r="S2327" s="6">
        <f t="shared" si="655"/>
        <v>1900</v>
      </c>
      <c r="T2327" s="6">
        <f t="shared" si="656"/>
        <v>1</v>
      </c>
      <c r="Z2327" s="6" t="str">
        <f t="shared" ca="1" si="657"/>
        <v>20247</v>
      </c>
      <c r="AA2327" s="6">
        <f t="shared" ca="1" si="658"/>
        <v>2024</v>
      </c>
      <c r="AB2327" s="6">
        <f t="shared" ca="1" si="659"/>
        <v>7</v>
      </c>
      <c r="AC2327" s="68">
        <f ca="1">IFERROR(__xludf.DUMMYFUNCTION("""COMPUTED_VALUE"""),45479.9986111111)</f>
        <v>45479.998611111099</v>
      </c>
      <c r="AD2327" s="6">
        <f ca="1">IFERROR(__xludf.DUMMYFUNCTION("""COMPUTED_VALUE"""),1376.56)</f>
        <v>1376.56</v>
      </c>
      <c r="AH2327" s="6" t="str">
        <f t="shared" ca="1" si="660"/>
        <v>20245</v>
      </c>
      <c r="AI2327" s="6">
        <f t="shared" ca="1" si="661"/>
        <v>2024</v>
      </c>
      <c r="AJ2327" s="6">
        <f t="shared" ca="1" si="662"/>
        <v>5</v>
      </c>
      <c r="AK2327" s="68">
        <f ca="1">IFERROR(__xludf.DUMMYFUNCTION("""COMPUTED_VALUE"""),45420.9986111111)</f>
        <v>45420.998611111099</v>
      </c>
      <c r="AL2327" s="6">
        <f ca="1">IFERROR(__xludf.DUMMYFUNCTION("""COMPUTED_VALUE"""),61105.57)</f>
        <v>61105.57</v>
      </c>
      <c r="AP2327" s="6" t="str">
        <f t="shared" si="663"/>
        <v>19001</v>
      </c>
      <c r="AQ2327" s="6">
        <f t="shared" si="664"/>
        <v>1900</v>
      </c>
      <c r="AR2327" s="6">
        <f t="shared" si="665"/>
        <v>1</v>
      </c>
    </row>
    <row r="2328" spans="2:44" x14ac:dyDescent="0.35">
      <c r="B2328" s="6" t="str">
        <f t="shared" si="648"/>
        <v>19001</v>
      </c>
      <c r="C2328" s="6">
        <f t="shared" si="649"/>
        <v>1900</v>
      </c>
      <c r="D2328" s="6">
        <f t="shared" si="650"/>
        <v>1</v>
      </c>
      <c r="J2328" s="6" t="str">
        <f t="shared" si="651"/>
        <v>19001</v>
      </c>
      <c r="K2328" s="6">
        <f t="shared" si="652"/>
        <v>1900</v>
      </c>
      <c r="L2328" s="6">
        <f t="shared" si="653"/>
        <v>1</v>
      </c>
      <c r="R2328" s="6" t="str">
        <f t="shared" si="654"/>
        <v>19001</v>
      </c>
      <c r="S2328" s="6">
        <f t="shared" si="655"/>
        <v>1900</v>
      </c>
      <c r="T2328" s="6">
        <f t="shared" si="656"/>
        <v>1</v>
      </c>
      <c r="Z2328" s="6" t="str">
        <f t="shared" ca="1" si="657"/>
        <v>20247</v>
      </c>
      <c r="AA2328" s="6">
        <f t="shared" ca="1" si="658"/>
        <v>2024</v>
      </c>
      <c r="AB2328" s="6">
        <f t="shared" ca="1" si="659"/>
        <v>7</v>
      </c>
      <c r="AC2328" s="68">
        <f ca="1">IFERROR(__xludf.DUMMYFUNCTION("""COMPUTED_VALUE"""),45480.9986111111)</f>
        <v>45480.998611111099</v>
      </c>
      <c r="AD2328" s="6">
        <f ca="1">IFERROR(__xludf.DUMMYFUNCTION("""COMPUTED_VALUE"""),1376.57)</f>
        <v>1376.57</v>
      </c>
      <c r="AH2328" s="6" t="str">
        <f t="shared" ca="1" si="660"/>
        <v>20245</v>
      </c>
      <c r="AI2328" s="6">
        <f t="shared" ca="1" si="661"/>
        <v>2024</v>
      </c>
      <c r="AJ2328" s="6">
        <f t="shared" ca="1" si="662"/>
        <v>5</v>
      </c>
      <c r="AK2328" s="68">
        <f ca="1">IFERROR(__xludf.DUMMYFUNCTION("""COMPUTED_VALUE"""),45421.9986111111)</f>
        <v>45421.998611111099</v>
      </c>
      <c r="AL2328" s="6">
        <f ca="1">IFERROR(__xludf.DUMMYFUNCTION("""COMPUTED_VALUE"""),63025.2)</f>
        <v>63025.2</v>
      </c>
      <c r="AP2328" s="6" t="str">
        <f t="shared" si="663"/>
        <v>19001</v>
      </c>
      <c r="AQ2328" s="6">
        <f t="shared" si="664"/>
        <v>1900</v>
      </c>
      <c r="AR2328" s="6">
        <f t="shared" si="665"/>
        <v>1</v>
      </c>
    </row>
    <row r="2329" spans="2:44" x14ac:dyDescent="0.35">
      <c r="B2329" s="6" t="str">
        <f t="shared" si="648"/>
        <v>19001</v>
      </c>
      <c r="C2329" s="6">
        <f t="shared" si="649"/>
        <v>1900</v>
      </c>
      <c r="D2329" s="6">
        <f t="shared" si="650"/>
        <v>1</v>
      </c>
      <c r="J2329" s="6" t="str">
        <f t="shared" si="651"/>
        <v>19001</v>
      </c>
      <c r="K2329" s="6">
        <f t="shared" si="652"/>
        <v>1900</v>
      </c>
      <c r="L2329" s="6">
        <f t="shared" si="653"/>
        <v>1</v>
      </c>
      <c r="R2329" s="6" t="str">
        <f t="shared" si="654"/>
        <v>19001</v>
      </c>
      <c r="S2329" s="6">
        <f t="shared" si="655"/>
        <v>1900</v>
      </c>
      <c r="T2329" s="6">
        <f t="shared" si="656"/>
        <v>1</v>
      </c>
      <c r="Z2329" s="6" t="str">
        <f t="shared" ca="1" si="657"/>
        <v>20247</v>
      </c>
      <c r="AA2329" s="6">
        <f t="shared" ca="1" si="658"/>
        <v>2024</v>
      </c>
      <c r="AB2329" s="6">
        <f t="shared" ca="1" si="659"/>
        <v>7</v>
      </c>
      <c r="AC2329" s="68">
        <f ca="1">IFERROR(__xludf.DUMMYFUNCTION("""COMPUTED_VALUE"""),45481.9986111111)</f>
        <v>45481.998611111099</v>
      </c>
      <c r="AD2329" s="6">
        <f ca="1">IFERROR(__xludf.DUMMYFUNCTION("""COMPUTED_VALUE"""),1382.75)</f>
        <v>1382.75</v>
      </c>
      <c r="AH2329" s="6" t="str">
        <f t="shared" ca="1" si="660"/>
        <v>20245</v>
      </c>
      <c r="AI2329" s="6">
        <f t="shared" ca="1" si="661"/>
        <v>2024</v>
      </c>
      <c r="AJ2329" s="6">
        <f t="shared" ca="1" si="662"/>
        <v>5</v>
      </c>
      <c r="AK2329" s="68">
        <f ca="1">IFERROR(__xludf.DUMMYFUNCTION("""COMPUTED_VALUE"""),45422.9986111111)</f>
        <v>45422.998611111099</v>
      </c>
      <c r="AL2329" s="6">
        <f ca="1">IFERROR(__xludf.DUMMYFUNCTION("""COMPUTED_VALUE"""),60863.24)</f>
        <v>60863.24</v>
      </c>
      <c r="AP2329" s="6" t="str">
        <f t="shared" si="663"/>
        <v>19001</v>
      </c>
      <c r="AQ2329" s="6">
        <f t="shared" si="664"/>
        <v>1900</v>
      </c>
      <c r="AR2329" s="6">
        <f t="shared" si="665"/>
        <v>1</v>
      </c>
    </row>
    <row r="2330" spans="2:44" x14ac:dyDescent="0.35">
      <c r="B2330" s="6" t="str">
        <f t="shared" si="648"/>
        <v>19001</v>
      </c>
      <c r="C2330" s="6">
        <f t="shared" si="649"/>
        <v>1900</v>
      </c>
      <c r="D2330" s="6">
        <f t="shared" si="650"/>
        <v>1</v>
      </c>
      <c r="J2330" s="6" t="str">
        <f t="shared" si="651"/>
        <v>19001</v>
      </c>
      <c r="K2330" s="6">
        <f t="shared" si="652"/>
        <v>1900</v>
      </c>
      <c r="L2330" s="6">
        <f t="shared" si="653"/>
        <v>1</v>
      </c>
      <c r="R2330" s="6" t="str">
        <f t="shared" si="654"/>
        <v>19001</v>
      </c>
      <c r="S2330" s="6">
        <f t="shared" si="655"/>
        <v>1900</v>
      </c>
      <c r="T2330" s="6">
        <f t="shared" si="656"/>
        <v>1</v>
      </c>
      <c r="Z2330" s="6" t="str">
        <f t="shared" ca="1" si="657"/>
        <v>20247</v>
      </c>
      <c r="AA2330" s="6">
        <f t="shared" ca="1" si="658"/>
        <v>2024</v>
      </c>
      <c r="AB2330" s="6">
        <f t="shared" ca="1" si="659"/>
        <v>7</v>
      </c>
      <c r="AC2330" s="68">
        <f ca="1">IFERROR(__xludf.DUMMYFUNCTION("""COMPUTED_VALUE"""),45482.9986111111)</f>
        <v>45482.998611111099</v>
      </c>
      <c r="AD2330" s="6">
        <f ca="1">IFERROR(__xludf.DUMMYFUNCTION("""COMPUTED_VALUE"""),1382.42)</f>
        <v>1382.42</v>
      </c>
      <c r="AH2330" s="6" t="str">
        <f t="shared" ca="1" si="660"/>
        <v>20245</v>
      </c>
      <c r="AI2330" s="6">
        <f t="shared" ca="1" si="661"/>
        <v>2024</v>
      </c>
      <c r="AJ2330" s="6">
        <f t="shared" ca="1" si="662"/>
        <v>5</v>
      </c>
      <c r="AK2330" s="68">
        <f ca="1">IFERROR(__xludf.DUMMYFUNCTION("""COMPUTED_VALUE"""),45424.9986111111)</f>
        <v>45424.998611111099</v>
      </c>
      <c r="AL2330" s="6">
        <f ca="1">IFERROR(__xludf.DUMMYFUNCTION("""COMPUTED_VALUE"""),60914.79)</f>
        <v>60914.79</v>
      </c>
      <c r="AP2330" s="6" t="str">
        <f t="shared" si="663"/>
        <v>19001</v>
      </c>
      <c r="AQ2330" s="6">
        <f t="shared" si="664"/>
        <v>1900</v>
      </c>
      <c r="AR2330" s="6">
        <f t="shared" si="665"/>
        <v>1</v>
      </c>
    </row>
    <row r="2331" spans="2:44" x14ac:dyDescent="0.35">
      <c r="B2331" s="6" t="str">
        <f t="shared" si="648"/>
        <v>19001</v>
      </c>
      <c r="C2331" s="6">
        <f t="shared" si="649"/>
        <v>1900</v>
      </c>
      <c r="D2331" s="6">
        <f t="shared" si="650"/>
        <v>1</v>
      </c>
      <c r="J2331" s="6" t="str">
        <f t="shared" si="651"/>
        <v>19001</v>
      </c>
      <c r="K2331" s="6">
        <f t="shared" si="652"/>
        <v>1900</v>
      </c>
      <c r="L2331" s="6">
        <f t="shared" si="653"/>
        <v>1</v>
      </c>
      <c r="R2331" s="6" t="str">
        <f t="shared" si="654"/>
        <v>19001</v>
      </c>
      <c r="S2331" s="6">
        <f t="shared" si="655"/>
        <v>1900</v>
      </c>
      <c r="T2331" s="6">
        <f t="shared" si="656"/>
        <v>1</v>
      </c>
      <c r="Z2331" s="6" t="str">
        <f t="shared" ca="1" si="657"/>
        <v>20247</v>
      </c>
      <c r="AA2331" s="6">
        <f t="shared" ca="1" si="658"/>
        <v>2024</v>
      </c>
      <c r="AB2331" s="6">
        <f t="shared" ca="1" si="659"/>
        <v>7</v>
      </c>
      <c r="AC2331" s="68">
        <f ca="1">IFERROR(__xludf.DUMMYFUNCTION("""COMPUTED_VALUE"""),45483.9986111111)</f>
        <v>45483.998611111099</v>
      </c>
      <c r="AD2331" s="6">
        <f ca="1">IFERROR(__xludf.DUMMYFUNCTION("""COMPUTED_VALUE"""),1382.99)</f>
        <v>1382.99</v>
      </c>
      <c r="AH2331" s="6" t="str">
        <f t="shared" ca="1" si="660"/>
        <v>20245</v>
      </c>
      <c r="AI2331" s="6">
        <f t="shared" ca="1" si="661"/>
        <v>2024</v>
      </c>
      <c r="AJ2331" s="6">
        <f t="shared" ca="1" si="662"/>
        <v>5</v>
      </c>
      <c r="AK2331" s="68">
        <f ca="1">IFERROR(__xludf.DUMMYFUNCTION("""COMPUTED_VALUE"""),45425.9986111111)</f>
        <v>45425.998611111099</v>
      </c>
      <c r="AL2331" s="6">
        <f ca="1">IFERROR(__xludf.DUMMYFUNCTION("""COMPUTED_VALUE"""),61151.16)</f>
        <v>61151.16</v>
      </c>
      <c r="AP2331" s="6" t="str">
        <f t="shared" si="663"/>
        <v>19001</v>
      </c>
      <c r="AQ2331" s="6">
        <f t="shared" si="664"/>
        <v>1900</v>
      </c>
      <c r="AR2331" s="6">
        <f t="shared" si="665"/>
        <v>1</v>
      </c>
    </row>
    <row r="2332" spans="2:44" x14ac:dyDescent="0.35">
      <c r="B2332" s="6" t="str">
        <f t="shared" si="648"/>
        <v>19001</v>
      </c>
      <c r="C2332" s="6">
        <f t="shared" si="649"/>
        <v>1900</v>
      </c>
      <c r="D2332" s="6">
        <f t="shared" si="650"/>
        <v>1</v>
      </c>
      <c r="J2332" s="6" t="str">
        <f t="shared" si="651"/>
        <v>19001</v>
      </c>
      <c r="K2332" s="6">
        <f t="shared" si="652"/>
        <v>1900</v>
      </c>
      <c r="L2332" s="6">
        <f t="shared" si="653"/>
        <v>1</v>
      </c>
      <c r="R2332" s="6" t="str">
        <f t="shared" si="654"/>
        <v>19001</v>
      </c>
      <c r="S2332" s="6">
        <f t="shared" si="655"/>
        <v>1900</v>
      </c>
      <c r="T2332" s="6">
        <f t="shared" si="656"/>
        <v>1</v>
      </c>
      <c r="Z2332" s="6" t="str">
        <f t="shared" ca="1" si="657"/>
        <v>20247</v>
      </c>
      <c r="AA2332" s="6">
        <f t="shared" ca="1" si="658"/>
        <v>2024</v>
      </c>
      <c r="AB2332" s="6">
        <f t="shared" ca="1" si="659"/>
        <v>7</v>
      </c>
      <c r="AC2332" s="68">
        <f ca="1">IFERROR(__xludf.DUMMYFUNCTION("""COMPUTED_VALUE"""),45484.9986111111)</f>
        <v>45484.998611111099</v>
      </c>
      <c r="AD2332" s="6">
        <f ca="1">IFERROR(__xludf.DUMMYFUNCTION("""COMPUTED_VALUE"""),1371.27)</f>
        <v>1371.27</v>
      </c>
      <c r="AH2332" s="6" t="str">
        <f t="shared" ca="1" si="660"/>
        <v>20245</v>
      </c>
      <c r="AI2332" s="6">
        <f t="shared" ca="1" si="661"/>
        <v>2024</v>
      </c>
      <c r="AJ2332" s="6">
        <f t="shared" ca="1" si="662"/>
        <v>5</v>
      </c>
      <c r="AK2332" s="68">
        <f ca="1">IFERROR(__xludf.DUMMYFUNCTION("""COMPUTED_VALUE"""),45426.9986111111)</f>
        <v>45426.998611111099</v>
      </c>
      <c r="AL2332" s="6">
        <f ca="1">IFERROR(__xludf.DUMMYFUNCTION("""COMPUTED_VALUE"""),62425.72)</f>
        <v>62425.72</v>
      </c>
      <c r="AP2332" s="6" t="str">
        <f t="shared" si="663"/>
        <v>19001</v>
      </c>
      <c r="AQ2332" s="6">
        <f t="shared" si="664"/>
        <v>1900</v>
      </c>
      <c r="AR2332" s="6">
        <f t="shared" si="665"/>
        <v>1</v>
      </c>
    </row>
    <row r="2333" spans="2:44" x14ac:dyDescent="0.35">
      <c r="B2333" s="6" t="str">
        <f t="shared" si="648"/>
        <v>19001</v>
      </c>
      <c r="C2333" s="6">
        <f t="shared" si="649"/>
        <v>1900</v>
      </c>
      <c r="D2333" s="6">
        <f t="shared" si="650"/>
        <v>1</v>
      </c>
      <c r="J2333" s="6" t="str">
        <f t="shared" si="651"/>
        <v>19001</v>
      </c>
      <c r="K2333" s="6">
        <f t="shared" si="652"/>
        <v>1900</v>
      </c>
      <c r="L2333" s="6">
        <f t="shared" si="653"/>
        <v>1</v>
      </c>
      <c r="R2333" s="6" t="str">
        <f t="shared" si="654"/>
        <v>19001</v>
      </c>
      <c r="S2333" s="6">
        <f t="shared" si="655"/>
        <v>1900</v>
      </c>
      <c r="T2333" s="6">
        <f t="shared" si="656"/>
        <v>1</v>
      </c>
      <c r="Z2333" s="6" t="str">
        <f t="shared" ca="1" si="657"/>
        <v>20247</v>
      </c>
      <c r="AA2333" s="6">
        <f t="shared" ca="1" si="658"/>
        <v>2024</v>
      </c>
      <c r="AB2333" s="6">
        <f t="shared" ca="1" si="659"/>
        <v>7</v>
      </c>
      <c r="AC2333" s="68">
        <f ca="1">IFERROR(__xludf.DUMMYFUNCTION("""COMPUTED_VALUE"""),45485.9986111111)</f>
        <v>45485.998611111099</v>
      </c>
      <c r="AD2333" s="6">
        <f ca="1">IFERROR(__xludf.DUMMYFUNCTION("""COMPUTED_VALUE"""),1374.1)</f>
        <v>1374.1</v>
      </c>
      <c r="AH2333" s="6" t="str">
        <f t="shared" ca="1" si="660"/>
        <v>20245</v>
      </c>
      <c r="AI2333" s="6">
        <f t="shared" ca="1" si="661"/>
        <v>2024</v>
      </c>
      <c r="AJ2333" s="6">
        <f t="shared" ca="1" si="662"/>
        <v>5</v>
      </c>
      <c r="AK2333" s="68">
        <f ca="1">IFERROR(__xludf.DUMMYFUNCTION("""COMPUTED_VALUE"""),45427.9986111111)</f>
        <v>45427.998611111099</v>
      </c>
      <c r="AL2333" s="6">
        <f ca="1">IFERROR(__xludf.DUMMYFUNCTION("""COMPUTED_VALUE"""),61854.5)</f>
        <v>61854.5</v>
      </c>
      <c r="AP2333" s="6" t="str">
        <f t="shared" si="663"/>
        <v>19001</v>
      </c>
      <c r="AQ2333" s="6">
        <f t="shared" si="664"/>
        <v>1900</v>
      </c>
      <c r="AR2333" s="6">
        <f t="shared" si="665"/>
        <v>1</v>
      </c>
    </row>
    <row r="2334" spans="2:44" x14ac:dyDescent="0.35">
      <c r="B2334" s="6" t="str">
        <f t="shared" si="648"/>
        <v>19001</v>
      </c>
      <c r="C2334" s="6">
        <f t="shared" si="649"/>
        <v>1900</v>
      </c>
      <c r="D2334" s="6">
        <f t="shared" si="650"/>
        <v>1</v>
      </c>
      <c r="J2334" s="6" t="str">
        <f t="shared" si="651"/>
        <v>19001</v>
      </c>
      <c r="K2334" s="6">
        <f t="shared" si="652"/>
        <v>1900</v>
      </c>
      <c r="L2334" s="6">
        <f t="shared" si="653"/>
        <v>1</v>
      </c>
      <c r="R2334" s="6" t="str">
        <f t="shared" si="654"/>
        <v>19001</v>
      </c>
      <c r="S2334" s="6">
        <f t="shared" si="655"/>
        <v>1900</v>
      </c>
      <c r="T2334" s="6">
        <f t="shared" si="656"/>
        <v>1</v>
      </c>
      <c r="Z2334" s="6" t="str">
        <f t="shared" ca="1" si="657"/>
        <v>20247</v>
      </c>
      <c r="AA2334" s="6">
        <f t="shared" ca="1" si="658"/>
        <v>2024</v>
      </c>
      <c r="AB2334" s="6">
        <f t="shared" ca="1" si="659"/>
        <v>7</v>
      </c>
      <c r="AC2334" s="68">
        <f ca="1">IFERROR(__xludf.DUMMYFUNCTION("""COMPUTED_VALUE"""),45486.9986111111)</f>
        <v>45486.998611111099</v>
      </c>
      <c r="AD2334" s="6">
        <f ca="1">IFERROR(__xludf.DUMMYFUNCTION("""COMPUTED_VALUE"""),1374.1)</f>
        <v>1374.1</v>
      </c>
      <c r="AH2334" s="6" t="str">
        <f t="shared" ca="1" si="660"/>
        <v>20245</v>
      </c>
      <c r="AI2334" s="6">
        <f t="shared" ca="1" si="661"/>
        <v>2024</v>
      </c>
      <c r="AJ2334" s="6">
        <f t="shared" ca="1" si="662"/>
        <v>5</v>
      </c>
      <c r="AK2334" s="68">
        <f ca="1">IFERROR(__xludf.DUMMYFUNCTION("""COMPUTED_VALUE"""),45428.9986111111)</f>
        <v>45428.998611111099</v>
      </c>
      <c r="AL2334" s="6">
        <f ca="1">IFERROR(__xludf.DUMMYFUNCTION("""COMPUTED_VALUE"""),66077.67)</f>
        <v>66077.67</v>
      </c>
      <c r="AP2334" s="6" t="str">
        <f t="shared" si="663"/>
        <v>19001</v>
      </c>
      <c r="AQ2334" s="6">
        <f t="shared" si="664"/>
        <v>1900</v>
      </c>
      <c r="AR2334" s="6">
        <f t="shared" si="665"/>
        <v>1</v>
      </c>
    </row>
    <row r="2335" spans="2:44" x14ac:dyDescent="0.35">
      <c r="B2335" s="6" t="str">
        <f t="shared" si="648"/>
        <v>19001</v>
      </c>
      <c r="C2335" s="6">
        <f t="shared" si="649"/>
        <v>1900</v>
      </c>
      <c r="D2335" s="6">
        <f t="shared" si="650"/>
        <v>1</v>
      </c>
      <c r="J2335" s="6" t="str">
        <f t="shared" si="651"/>
        <v>19001</v>
      </c>
      <c r="K2335" s="6">
        <f t="shared" si="652"/>
        <v>1900</v>
      </c>
      <c r="L2335" s="6">
        <f t="shared" si="653"/>
        <v>1</v>
      </c>
      <c r="R2335" s="6" t="str">
        <f t="shared" si="654"/>
        <v>19001</v>
      </c>
      <c r="S2335" s="6">
        <f t="shared" si="655"/>
        <v>1900</v>
      </c>
      <c r="T2335" s="6">
        <f t="shared" si="656"/>
        <v>1</v>
      </c>
      <c r="Z2335" s="6" t="str">
        <f t="shared" ca="1" si="657"/>
        <v>20247</v>
      </c>
      <c r="AA2335" s="6">
        <f t="shared" ca="1" si="658"/>
        <v>2024</v>
      </c>
      <c r="AB2335" s="6">
        <f t="shared" ca="1" si="659"/>
        <v>7</v>
      </c>
      <c r="AC2335" s="68">
        <f ca="1">IFERROR(__xludf.DUMMYFUNCTION("""COMPUTED_VALUE"""),45487.9986111111)</f>
        <v>45487.998611111099</v>
      </c>
      <c r="AD2335" s="6">
        <f ca="1">IFERROR(__xludf.DUMMYFUNCTION("""COMPUTED_VALUE"""),1374.11)</f>
        <v>1374.11</v>
      </c>
      <c r="AH2335" s="6" t="str">
        <f t="shared" ca="1" si="660"/>
        <v>20245</v>
      </c>
      <c r="AI2335" s="6">
        <f t="shared" ca="1" si="661"/>
        <v>2024</v>
      </c>
      <c r="AJ2335" s="6">
        <f t="shared" ca="1" si="662"/>
        <v>5</v>
      </c>
      <c r="AK2335" s="68">
        <f ca="1">IFERROR(__xludf.DUMMYFUNCTION("""COMPUTED_VALUE"""),45429.9986111111)</f>
        <v>45429.998611111099</v>
      </c>
      <c r="AL2335" s="6">
        <f ca="1">IFERROR(__xludf.DUMMYFUNCTION("""COMPUTED_VALUE"""),65647.21)</f>
        <v>65647.210000000006</v>
      </c>
      <c r="AP2335" s="6" t="str">
        <f t="shared" si="663"/>
        <v>19001</v>
      </c>
      <c r="AQ2335" s="6">
        <f t="shared" si="664"/>
        <v>1900</v>
      </c>
      <c r="AR2335" s="6">
        <f t="shared" si="665"/>
        <v>1</v>
      </c>
    </row>
    <row r="2336" spans="2:44" x14ac:dyDescent="0.35">
      <c r="B2336" s="6" t="str">
        <f t="shared" si="648"/>
        <v>19001</v>
      </c>
      <c r="C2336" s="6">
        <f t="shared" si="649"/>
        <v>1900</v>
      </c>
      <c r="D2336" s="6">
        <f t="shared" si="650"/>
        <v>1</v>
      </c>
      <c r="J2336" s="6" t="str">
        <f t="shared" si="651"/>
        <v>19001</v>
      </c>
      <c r="K2336" s="6">
        <f t="shared" si="652"/>
        <v>1900</v>
      </c>
      <c r="L2336" s="6">
        <f t="shared" si="653"/>
        <v>1</v>
      </c>
      <c r="R2336" s="6" t="str">
        <f t="shared" si="654"/>
        <v>19001</v>
      </c>
      <c r="S2336" s="6">
        <f t="shared" si="655"/>
        <v>1900</v>
      </c>
      <c r="T2336" s="6">
        <f t="shared" si="656"/>
        <v>1</v>
      </c>
      <c r="Z2336" s="6" t="str">
        <f t="shared" ca="1" si="657"/>
        <v>20247</v>
      </c>
      <c r="AA2336" s="6">
        <f t="shared" ca="1" si="658"/>
        <v>2024</v>
      </c>
      <c r="AB2336" s="6">
        <f t="shared" ca="1" si="659"/>
        <v>7</v>
      </c>
      <c r="AC2336" s="68">
        <f ca="1">IFERROR(__xludf.DUMMYFUNCTION("""COMPUTED_VALUE"""),45488.9986111111)</f>
        <v>45488.998611111099</v>
      </c>
      <c r="AD2336" s="6">
        <f ca="1">IFERROR(__xludf.DUMMYFUNCTION("""COMPUTED_VALUE"""),1383.69)</f>
        <v>1383.69</v>
      </c>
      <c r="AH2336" s="6" t="str">
        <f t="shared" ca="1" si="660"/>
        <v>20245</v>
      </c>
      <c r="AI2336" s="6">
        <f t="shared" ca="1" si="661"/>
        <v>2024</v>
      </c>
      <c r="AJ2336" s="6">
        <f t="shared" ca="1" si="662"/>
        <v>5</v>
      </c>
      <c r="AK2336" s="68">
        <f ca="1">IFERROR(__xludf.DUMMYFUNCTION("""COMPUTED_VALUE"""),45430.9986111111)</f>
        <v>45430.998611111099</v>
      </c>
      <c r="AL2336" s="6">
        <f ca="1">IFERROR(__xludf.DUMMYFUNCTION("""COMPUTED_VALUE"""),66964.48)</f>
        <v>66964.479999999996</v>
      </c>
      <c r="AP2336" s="6" t="str">
        <f t="shared" si="663"/>
        <v>19001</v>
      </c>
      <c r="AQ2336" s="6">
        <f t="shared" si="664"/>
        <v>1900</v>
      </c>
      <c r="AR2336" s="6">
        <f t="shared" si="665"/>
        <v>1</v>
      </c>
    </row>
    <row r="2337" spans="2:44" x14ac:dyDescent="0.35">
      <c r="B2337" s="6" t="str">
        <f t="shared" si="648"/>
        <v>19001</v>
      </c>
      <c r="C2337" s="6">
        <f t="shared" si="649"/>
        <v>1900</v>
      </c>
      <c r="D2337" s="6">
        <f t="shared" si="650"/>
        <v>1</v>
      </c>
      <c r="J2337" s="6" t="str">
        <f t="shared" si="651"/>
        <v>19001</v>
      </c>
      <c r="K2337" s="6">
        <f t="shared" si="652"/>
        <v>1900</v>
      </c>
      <c r="L2337" s="6">
        <f t="shared" si="653"/>
        <v>1</v>
      </c>
      <c r="R2337" s="6" t="str">
        <f t="shared" si="654"/>
        <v>19001</v>
      </c>
      <c r="S2337" s="6">
        <f t="shared" si="655"/>
        <v>1900</v>
      </c>
      <c r="T2337" s="6">
        <f t="shared" si="656"/>
        <v>1</v>
      </c>
      <c r="Z2337" s="6" t="str">
        <f t="shared" ca="1" si="657"/>
        <v>20247</v>
      </c>
      <c r="AA2337" s="6">
        <f t="shared" ca="1" si="658"/>
        <v>2024</v>
      </c>
      <c r="AB2337" s="6">
        <f t="shared" ca="1" si="659"/>
        <v>7</v>
      </c>
      <c r="AC2337" s="68">
        <f ca="1">IFERROR(__xludf.DUMMYFUNCTION("""COMPUTED_VALUE"""),45489.9986111111)</f>
        <v>45489.998611111099</v>
      </c>
      <c r="AD2337" s="6">
        <f ca="1">IFERROR(__xludf.DUMMYFUNCTION("""COMPUTED_VALUE"""),1382.64)</f>
        <v>1382.64</v>
      </c>
      <c r="AH2337" s="6" t="str">
        <f t="shared" ca="1" si="660"/>
        <v>20245</v>
      </c>
      <c r="AI2337" s="6">
        <f t="shared" ca="1" si="661"/>
        <v>2024</v>
      </c>
      <c r="AJ2337" s="6">
        <f t="shared" ca="1" si="662"/>
        <v>5</v>
      </c>
      <c r="AK2337" s="68">
        <f ca="1">IFERROR(__xludf.DUMMYFUNCTION("""COMPUTED_VALUE"""),45431.9986111111)</f>
        <v>45431.998611111099</v>
      </c>
      <c r="AL2337" s="6">
        <f ca="1">IFERROR(__xludf.DUMMYFUNCTION("""COMPUTED_VALUE"""),67052.87)</f>
        <v>67052.87</v>
      </c>
      <c r="AP2337" s="6" t="str">
        <f t="shared" si="663"/>
        <v>19001</v>
      </c>
      <c r="AQ2337" s="6">
        <f t="shared" si="664"/>
        <v>1900</v>
      </c>
      <c r="AR2337" s="6">
        <f t="shared" si="665"/>
        <v>1</v>
      </c>
    </row>
    <row r="2338" spans="2:44" x14ac:dyDescent="0.35">
      <c r="B2338" s="6" t="str">
        <f t="shared" si="648"/>
        <v>19001</v>
      </c>
      <c r="C2338" s="6">
        <f t="shared" si="649"/>
        <v>1900</v>
      </c>
      <c r="D2338" s="6">
        <f t="shared" si="650"/>
        <v>1</v>
      </c>
      <c r="J2338" s="6" t="str">
        <f t="shared" si="651"/>
        <v>19001</v>
      </c>
      <c r="K2338" s="6">
        <f t="shared" si="652"/>
        <v>1900</v>
      </c>
      <c r="L2338" s="6">
        <f t="shared" si="653"/>
        <v>1</v>
      </c>
      <c r="R2338" s="6" t="str">
        <f t="shared" si="654"/>
        <v>19001</v>
      </c>
      <c r="S2338" s="6">
        <f t="shared" si="655"/>
        <v>1900</v>
      </c>
      <c r="T2338" s="6">
        <f t="shared" si="656"/>
        <v>1</v>
      </c>
      <c r="Z2338" s="6" t="str">
        <f t="shared" ca="1" si="657"/>
        <v>20247</v>
      </c>
      <c r="AA2338" s="6">
        <f t="shared" ca="1" si="658"/>
        <v>2024</v>
      </c>
      <c r="AB2338" s="6">
        <f t="shared" ca="1" si="659"/>
        <v>7</v>
      </c>
      <c r="AC2338" s="68">
        <f ca="1">IFERROR(__xludf.DUMMYFUNCTION("""COMPUTED_VALUE"""),45490.9986111111)</f>
        <v>45490.998611111099</v>
      </c>
      <c r="AD2338" s="6">
        <f ca="1">IFERROR(__xludf.DUMMYFUNCTION("""COMPUTED_VALUE"""),1378.65)</f>
        <v>1378.65</v>
      </c>
      <c r="AH2338" s="6" t="str">
        <f t="shared" ca="1" si="660"/>
        <v>20245</v>
      </c>
      <c r="AI2338" s="6">
        <f t="shared" ca="1" si="661"/>
        <v>2024</v>
      </c>
      <c r="AJ2338" s="6">
        <f t="shared" ca="1" si="662"/>
        <v>5</v>
      </c>
      <c r="AK2338" s="68">
        <f ca="1">IFERROR(__xludf.DUMMYFUNCTION("""COMPUTED_VALUE"""),45432.9986111111)</f>
        <v>45432.998611111099</v>
      </c>
      <c r="AL2338" s="6">
        <f ca="1">IFERROR(__xludf.DUMMYFUNCTION("""COMPUTED_VALUE"""),66680.9)</f>
        <v>66680.899999999994</v>
      </c>
      <c r="AP2338" s="6" t="str">
        <f t="shared" si="663"/>
        <v>19001</v>
      </c>
      <c r="AQ2338" s="6">
        <f t="shared" si="664"/>
        <v>1900</v>
      </c>
      <c r="AR2338" s="6">
        <f t="shared" si="665"/>
        <v>1</v>
      </c>
    </row>
    <row r="2339" spans="2:44" x14ac:dyDescent="0.35">
      <c r="B2339" s="6" t="str">
        <f t="shared" si="648"/>
        <v>19001</v>
      </c>
      <c r="C2339" s="6">
        <f t="shared" si="649"/>
        <v>1900</v>
      </c>
      <c r="D2339" s="6">
        <f t="shared" si="650"/>
        <v>1</v>
      </c>
      <c r="J2339" s="6" t="str">
        <f t="shared" si="651"/>
        <v>19001</v>
      </c>
      <c r="K2339" s="6">
        <f t="shared" si="652"/>
        <v>1900</v>
      </c>
      <c r="L2339" s="6">
        <f t="shared" si="653"/>
        <v>1</v>
      </c>
      <c r="R2339" s="6" t="str">
        <f t="shared" si="654"/>
        <v>19001</v>
      </c>
      <c r="S2339" s="6">
        <f t="shared" si="655"/>
        <v>1900</v>
      </c>
      <c r="T2339" s="6">
        <f t="shared" si="656"/>
        <v>1</v>
      </c>
      <c r="Z2339" s="6" t="str">
        <f t="shared" ca="1" si="657"/>
        <v>20247</v>
      </c>
      <c r="AA2339" s="6">
        <f t="shared" ca="1" si="658"/>
        <v>2024</v>
      </c>
      <c r="AB2339" s="6">
        <f t="shared" ca="1" si="659"/>
        <v>7</v>
      </c>
      <c r="AC2339" s="68">
        <f ca="1">IFERROR(__xludf.DUMMYFUNCTION("""COMPUTED_VALUE"""),45491.9986111111)</f>
        <v>45491.998611111099</v>
      </c>
      <c r="AD2339" s="6">
        <f ca="1">IFERROR(__xludf.DUMMYFUNCTION("""COMPUTED_VALUE"""),1385.24)</f>
        <v>1385.24</v>
      </c>
      <c r="AH2339" s="6" t="str">
        <f t="shared" ca="1" si="660"/>
        <v>20245</v>
      </c>
      <c r="AI2339" s="6">
        <f t="shared" ca="1" si="661"/>
        <v>2024</v>
      </c>
      <c r="AJ2339" s="6">
        <f t="shared" ca="1" si="662"/>
        <v>5</v>
      </c>
      <c r="AK2339" s="68">
        <f ca="1">IFERROR(__xludf.DUMMYFUNCTION("""COMPUTED_VALUE"""),45433.9986111111)</f>
        <v>45433.998611111099</v>
      </c>
      <c r="AL2339" s="6">
        <f ca="1">IFERROR(__xludf.DUMMYFUNCTION("""COMPUTED_VALUE"""),71227.18)</f>
        <v>71227.179999999993</v>
      </c>
      <c r="AP2339" s="6" t="str">
        <f t="shared" si="663"/>
        <v>19001</v>
      </c>
      <c r="AQ2339" s="6">
        <f t="shared" si="664"/>
        <v>1900</v>
      </c>
      <c r="AR2339" s="6">
        <f t="shared" si="665"/>
        <v>1</v>
      </c>
    </row>
    <row r="2340" spans="2:44" x14ac:dyDescent="0.35">
      <c r="B2340" s="6" t="str">
        <f t="shared" si="648"/>
        <v>19001</v>
      </c>
      <c r="C2340" s="6">
        <f t="shared" si="649"/>
        <v>1900</v>
      </c>
      <c r="D2340" s="6">
        <f t="shared" si="650"/>
        <v>1</v>
      </c>
      <c r="J2340" s="6" t="str">
        <f t="shared" si="651"/>
        <v>19001</v>
      </c>
      <c r="K2340" s="6">
        <f t="shared" si="652"/>
        <v>1900</v>
      </c>
      <c r="L2340" s="6">
        <f t="shared" si="653"/>
        <v>1</v>
      </c>
      <c r="R2340" s="6" t="str">
        <f t="shared" si="654"/>
        <v>19001</v>
      </c>
      <c r="S2340" s="6">
        <f t="shared" si="655"/>
        <v>1900</v>
      </c>
      <c r="T2340" s="6">
        <f t="shared" si="656"/>
        <v>1</v>
      </c>
      <c r="Z2340" s="6" t="str">
        <f t="shared" ca="1" si="657"/>
        <v>20247</v>
      </c>
      <c r="AA2340" s="6">
        <f t="shared" ca="1" si="658"/>
        <v>2024</v>
      </c>
      <c r="AB2340" s="6">
        <f t="shared" ca="1" si="659"/>
        <v>7</v>
      </c>
      <c r="AC2340" s="68">
        <f ca="1">IFERROR(__xludf.DUMMYFUNCTION("""COMPUTED_VALUE"""),45492.9986111111)</f>
        <v>45492.998611111099</v>
      </c>
      <c r="AD2340" s="6">
        <f ca="1">IFERROR(__xludf.DUMMYFUNCTION("""COMPUTED_VALUE"""),1388.92)</f>
        <v>1388.92</v>
      </c>
      <c r="AH2340" s="6" t="str">
        <f t="shared" ca="1" si="660"/>
        <v>20245</v>
      </c>
      <c r="AI2340" s="6">
        <f t="shared" ca="1" si="661"/>
        <v>2024</v>
      </c>
      <c r="AJ2340" s="6">
        <f t="shared" ca="1" si="662"/>
        <v>5</v>
      </c>
      <c r="AK2340" s="68">
        <f ca="1">IFERROR(__xludf.DUMMYFUNCTION("""COMPUTED_VALUE"""),45434.9986111111)</f>
        <v>45434.998611111099</v>
      </c>
      <c r="AL2340" s="6">
        <f ca="1">IFERROR(__xludf.DUMMYFUNCTION("""COMPUTED_VALUE"""),69901.25)</f>
        <v>69901.25</v>
      </c>
      <c r="AP2340" s="6" t="str">
        <f t="shared" si="663"/>
        <v>19001</v>
      </c>
      <c r="AQ2340" s="6">
        <f t="shared" si="664"/>
        <v>1900</v>
      </c>
      <c r="AR2340" s="6">
        <f t="shared" si="665"/>
        <v>1</v>
      </c>
    </row>
    <row r="2341" spans="2:44" x14ac:dyDescent="0.35">
      <c r="B2341" s="6" t="str">
        <f t="shared" si="648"/>
        <v>19001</v>
      </c>
      <c r="C2341" s="6">
        <f t="shared" si="649"/>
        <v>1900</v>
      </c>
      <c r="D2341" s="6">
        <f t="shared" si="650"/>
        <v>1</v>
      </c>
      <c r="J2341" s="6" t="str">
        <f t="shared" si="651"/>
        <v>19001</v>
      </c>
      <c r="K2341" s="6">
        <f t="shared" si="652"/>
        <v>1900</v>
      </c>
      <c r="L2341" s="6">
        <f t="shared" si="653"/>
        <v>1</v>
      </c>
      <c r="R2341" s="6" t="str">
        <f t="shared" si="654"/>
        <v>19001</v>
      </c>
      <c r="S2341" s="6">
        <f t="shared" si="655"/>
        <v>1900</v>
      </c>
      <c r="T2341" s="6">
        <f t="shared" si="656"/>
        <v>1</v>
      </c>
      <c r="Z2341" s="6" t="str">
        <f t="shared" ca="1" si="657"/>
        <v>20247</v>
      </c>
      <c r="AA2341" s="6">
        <f t="shared" ca="1" si="658"/>
        <v>2024</v>
      </c>
      <c r="AB2341" s="6">
        <f t="shared" ca="1" si="659"/>
        <v>7</v>
      </c>
      <c r="AC2341" s="68">
        <f ca="1">IFERROR(__xludf.DUMMYFUNCTION("""COMPUTED_VALUE"""),45493.9986111111)</f>
        <v>45493.998611111099</v>
      </c>
      <c r="AD2341" s="6">
        <f ca="1">IFERROR(__xludf.DUMMYFUNCTION("""COMPUTED_VALUE"""),1388.92)</f>
        <v>1388.92</v>
      </c>
      <c r="AH2341" s="6" t="str">
        <f t="shared" ca="1" si="660"/>
        <v>20245</v>
      </c>
      <c r="AI2341" s="6">
        <f t="shared" ca="1" si="661"/>
        <v>2024</v>
      </c>
      <c r="AJ2341" s="6">
        <f t="shared" ca="1" si="662"/>
        <v>5</v>
      </c>
      <c r="AK2341" s="68">
        <f ca="1">IFERROR(__xludf.DUMMYFUNCTION("""COMPUTED_VALUE"""),45435.9986111111)</f>
        <v>45435.998611111099</v>
      </c>
      <c r="AL2341" s="6">
        <f ca="1">IFERROR(__xludf.DUMMYFUNCTION("""COMPUTED_VALUE"""),69334.23)</f>
        <v>69334.23</v>
      </c>
      <c r="AP2341" s="6" t="str">
        <f t="shared" si="663"/>
        <v>19001</v>
      </c>
      <c r="AQ2341" s="6">
        <f t="shared" si="664"/>
        <v>1900</v>
      </c>
      <c r="AR2341" s="6">
        <f t="shared" si="665"/>
        <v>1</v>
      </c>
    </row>
    <row r="2342" spans="2:44" x14ac:dyDescent="0.35">
      <c r="B2342" s="6" t="str">
        <f t="shared" si="648"/>
        <v>19001</v>
      </c>
      <c r="C2342" s="6">
        <f t="shared" si="649"/>
        <v>1900</v>
      </c>
      <c r="D2342" s="6">
        <f t="shared" si="650"/>
        <v>1</v>
      </c>
      <c r="J2342" s="6" t="str">
        <f t="shared" si="651"/>
        <v>19001</v>
      </c>
      <c r="K2342" s="6">
        <f t="shared" si="652"/>
        <v>1900</v>
      </c>
      <c r="L2342" s="6">
        <f t="shared" si="653"/>
        <v>1</v>
      </c>
      <c r="R2342" s="6" t="str">
        <f t="shared" si="654"/>
        <v>19001</v>
      </c>
      <c r="S2342" s="6">
        <f t="shared" si="655"/>
        <v>1900</v>
      </c>
      <c r="T2342" s="6">
        <f t="shared" si="656"/>
        <v>1</v>
      </c>
      <c r="Z2342" s="6" t="str">
        <f t="shared" ca="1" si="657"/>
        <v>20247</v>
      </c>
      <c r="AA2342" s="6">
        <f t="shared" ca="1" si="658"/>
        <v>2024</v>
      </c>
      <c r="AB2342" s="6">
        <f t="shared" ca="1" si="659"/>
        <v>7</v>
      </c>
      <c r="AC2342" s="68">
        <f ca="1">IFERROR(__xludf.DUMMYFUNCTION("""COMPUTED_VALUE"""),45494.9986111111)</f>
        <v>45494.998611111099</v>
      </c>
      <c r="AD2342" s="6">
        <f ca="1">IFERROR(__xludf.DUMMYFUNCTION("""COMPUTED_VALUE"""),1388.81)</f>
        <v>1388.81</v>
      </c>
      <c r="AH2342" s="6" t="str">
        <f t="shared" ca="1" si="660"/>
        <v>20245</v>
      </c>
      <c r="AI2342" s="6">
        <f t="shared" ca="1" si="661"/>
        <v>2024</v>
      </c>
      <c r="AJ2342" s="6">
        <f t="shared" ca="1" si="662"/>
        <v>5</v>
      </c>
      <c r="AK2342" s="68">
        <f ca="1">IFERROR(__xludf.DUMMYFUNCTION("""COMPUTED_VALUE"""),45436.9986111111)</f>
        <v>45436.998611111099</v>
      </c>
      <c r="AL2342" s="6">
        <f ca="1">IFERROR(__xludf.DUMMYFUNCTION("""COMPUTED_VALUE"""),67851.91)</f>
        <v>67851.91</v>
      </c>
      <c r="AP2342" s="6" t="str">
        <f t="shared" si="663"/>
        <v>19001</v>
      </c>
      <c r="AQ2342" s="6">
        <f t="shared" si="664"/>
        <v>1900</v>
      </c>
      <c r="AR2342" s="6">
        <f t="shared" si="665"/>
        <v>1</v>
      </c>
    </row>
    <row r="2343" spans="2:44" x14ac:dyDescent="0.35">
      <c r="B2343" s="6" t="str">
        <f t="shared" si="648"/>
        <v>19001</v>
      </c>
      <c r="C2343" s="6">
        <f t="shared" si="649"/>
        <v>1900</v>
      </c>
      <c r="D2343" s="6">
        <f t="shared" si="650"/>
        <v>1</v>
      </c>
      <c r="J2343" s="6" t="str">
        <f t="shared" si="651"/>
        <v>19001</v>
      </c>
      <c r="K2343" s="6">
        <f t="shared" si="652"/>
        <v>1900</v>
      </c>
      <c r="L2343" s="6">
        <f t="shared" si="653"/>
        <v>1</v>
      </c>
      <c r="R2343" s="6" t="str">
        <f t="shared" si="654"/>
        <v>19001</v>
      </c>
      <c r="S2343" s="6">
        <f t="shared" si="655"/>
        <v>1900</v>
      </c>
      <c r="T2343" s="6">
        <f t="shared" si="656"/>
        <v>1</v>
      </c>
      <c r="Z2343" s="6" t="str">
        <f t="shared" ca="1" si="657"/>
        <v>20247</v>
      </c>
      <c r="AA2343" s="6">
        <f t="shared" ca="1" si="658"/>
        <v>2024</v>
      </c>
      <c r="AB2343" s="6">
        <f t="shared" ca="1" si="659"/>
        <v>7</v>
      </c>
      <c r="AC2343" s="68">
        <f ca="1">IFERROR(__xludf.DUMMYFUNCTION("""COMPUTED_VALUE"""),45495.9986111111)</f>
        <v>45495.998611111099</v>
      </c>
      <c r="AD2343" s="6">
        <f ca="1">IFERROR(__xludf.DUMMYFUNCTION("""COMPUTED_VALUE"""),1387.1)</f>
        <v>1387.1</v>
      </c>
      <c r="AH2343" s="6" t="str">
        <f t="shared" ca="1" si="660"/>
        <v>20245</v>
      </c>
      <c r="AI2343" s="6">
        <f t="shared" ca="1" si="661"/>
        <v>2024</v>
      </c>
      <c r="AJ2343" s="6">
        <f t="shared" ca="1" si="662"/>
        <v>5</v>
      </c>
      <c r="AK2343" s="68">
        <f ca="1">IFERROR(__xludf.DUMMYFUNCTION("""COMPUTED_VALUE"""),45437.9986111111)</f>
        <v>45437.998611111099</v>
      </c>
      <c r="AL2343" s="6">
        <f ca="1">IFERROR(__xludf.DUMMYFUNCTION("""COMPUTED_VALUE"""),68747.1)</f>
        <v>68747.100000000006</v>
      </c>
      <c r="AP2343" s="6" t="str">
        <f t="shared" si="663"/>
        <v>19001</v>
      </c>
      <c r="AQ2343" s="6">
        <f t="shared" si="664"/>
        <v>1900</v>
      </c>
      <c r="AR2343" s="6">
        <f t="shared" si="665"/>
        <v>1</v>
      </c>
    </row>
    <row r="2344" spans="2:44" x14ac:dyDescent="0.35">
      <c r="B2344" s="6" t="str">
        <f t="shared" si="648"/>
        <v>19001</v>
      </c>
      <c r="C2344" s="6">
        <f t="shared" si="649"/>
        <v>1900</v>
      </c>
      <c r="D2344" s="6">
        <f t="shared" si="650"/>
        <v>1</v>
      </c>
      <c r="J2344" s="6" t="str">
        <f t="shared" si="651"/>
        <v>19001</v>
      </c>
      <c r="K2344" s="6">
        <f t="shared" si="652"/>
        <v>1900</v>
      </c>
      <c r="L2344" s="6">
        <f t="shared" si="653"/>
        <v>1</v>
      </c>
      <c r="R2344" s="6" t="str">
        <f t="shared" si="654"/>
        <v>19001</v>
      </c>
      <c r="S2344" s="6">
        <f t="shared" si="655"/>
        <v>1900</v>
      </c>
      <c r="T2344" s="6">
        <f t="shared" si="656"/>
        <v>1</v>
      </c>
      <c r="Z2344" s="6" t="str">
        <f t="shared" ca="1" si="657"/>
        <v>20247</v>
      </c>
      <c r="AA2344" s="6">
        <f t="shared" ca="1" si="658"/>
        <v>2024</v>
      </c>
      <c r="AB2344" s="6">
        <f t="shared" ca="1" si="659"/>
        <v>7</v>
      </c>
      <c r="AC2344" s="68">
        <f ca="1">IFERROR(__xludf.DUMMYFUNCTION("""COMPUTED_VALUE"""),45496.9986111111)</f>
        <v>45496.998611111099</v>
      </c>
      <c r="AD2344" s="6">
        <f ca="1">IFERROR(__xludf.DUMMYFUNCTION("""COMPUTED_VALUE"""),1384.57)</f>
        <v>1384.57</v>
      </c>
      <c r="AH2344" s="6" t="str">
        <f t="shared" ca="1" si="660"/>
        <v>20245</v>
      </c>
      <c r="AI2344" s="6">
        <f t="shared" ca="1" si="661"/>
        <v>2024</v>
      </c>
      <c r="AJ2344" s="6">
        <f t="shared" ca="1" si="662"/>
        <v>5</v>
      </c>
      <c r="AK2344" s="68">
        <f ca="1">IFERROR(__xludf.DUMMYFUNCTION("""COMPUTED_VALUE"""),45438.9986111111)</f>
        <v>45438.998611111099</v>
      </c>
      <c r="AL2344" s="6">
        <f ca="1">IFERROR(__xludf.DUMMYFUNCTION("""COMPUTED_VALUE"""),69076.61)</f>
        <v>69076.61</v>
      </c>
      <c r="AP2344" s="6" t="str">
        <f t="shared" si="663"/>
        <v>19001</v>
      </c>
      <c r="AQ2344" s="6">
        <f t="shared" si="664"/>
        <v>1900</v>
      </c>
      <c r="AR2344" s="6">
        <f t="shared" si="665"/>
        <v>1</v>
      </c>
    </row>
    <row r="2345" spans="2:44" x14ac:dyDescent="0.35">
      <c r="B2345" s="6" t="str">
        <f t="shared" si="648"/>
        <v>19001</v>
      </c>
      <c r="C2345" s="6">
        <f t="shared" si="649"/>
        <v>1900</v>
      </c>
      <c r="D2345" s="6">
        <f t="shared" si="650"/>
        <v>1</v>
      </c>
      <c r="J2345" s="6" t="str">
        <f t="shared" si="651"/>
        <v>19001</v>
      </c>
      <c r="K2345" s="6">
        <f t="shared" si="652"/>
        <v>1900</v>
      </c>
      <c r="L2345" s="6">
        <f t="shared" si="653"/>
        <v>1</v>
      </c>
      <c r="R2345" s="6" t="str">
        <f t="shared" si="654"/>
        <v>19001</v>
      </c>
      <c r="S2345" s="6">
        <f t="shared" si="655"/>
        <v>1900</v>
      </c>
      <c r="T2345" s="6">
        <f t="shared" si="656"/>
        <v>1</v>
      </c>
      <c r="Z2345" s="6" t="str">
        <f t="shared" ca="1" si="657"/>
        <v>20247</v>
      </c>
      <c r="AA2345" s="6">
        <f t="shared" ca="1" si="658"/>
        <v>2024</v>
      </c>
      <c r="AB2345" s="6">
        <f t="shared" ca="1" si="659"/>
        <v>7</v>
      </c>
      <c r="AC2345" s="68">
        <f ca="1">IFERROR(__xludf.DUMMYFUNCTION("""COMPUTED_VALUE"""),45497.9986111111)</f>
        <v>45497.998611111099</v>
      </c>
      <c r="AD2345" s="6">
        <f ca="1">IFERROR(__xludf.DUMMYFUNCTION("""COMPUTED_VALUE"""),1382.65)</f>
        <v>1382.65</v>
      </c>
      <c r="AH2345" s="6" t="str">
        <f t="shared" ca="1" si="660"/>
        <v>20245</v>
      </c>
      <c r="AI2345" s="6">
        <f t="shared" ca="1" si="661"/>
        <v>2024</v>
      </c>
      <c r="AJ2345" s="6">
        <f t="shared" ca="1" si="662"/>
        <v>5</v>
      </c>
      <c r="AK2345" s="68">
        <f ca="1">IFERROR(__xludf.DUMMYFUNCTION("""COMPUTED_VALUE"""),45439.9986111111)</f>
        <v>45439.998611111099</v>
      </c>
      <c r="AL2345" s="6">
        <f ca="1">IFERROR(__xludf.DUMMYFUNCTION("""COMPUTED_VALUE"""),68914.83)</f>
        <v>68914.83</v>
      </c>
      <c r="AP2345" s="6" t="str">
        <f t="shared" si="663"/>
        <v>19001</v>
      </c>
      <c r="AQ2345" s="6">
        <f t="shared" si="664"/>
        <v>1900</v>
      </c>
      <c r="AR2345" s="6">
        <f t="shared" si="665"/>
        <v>1</v>
      </c>
    </row>
    <row r="2346" spans="2:44" x14ac:dyDescent="0.35">
      <c r="B2346" s="6" t="str">
        <f t="shared" si="648"/>
        <v>19001</v>
      </c>
      <c r="C2346" s="6">
        <f t="shared" si="649"/>
        <v>1900</v>
      </c>
      <c r="D2346" s="6">
        <f t="shared" si="650"/>
        <v>1</v>
      </c>
      <c r="J2346" s="6" t="str">
        <f t="shared" si="651"/>
        <v>19001</v>
      </c>
      <c r="K2346" s="6">
        <f t="shared" si="652"/>
        <v>1900</v>
      </c>
      <c r="L2346" s="6">
        <f t="shared" si="653"/>
        <v>1</v>
      </c>
      <c r="R2346" s="6" t="str">
        <f t="shared" si="654"/>
        <v>19001</v>
      </c>
      <c r="S2346" s="6">
        <f t="shared" si="655"/>
        <v>1900</v>
      </c>
      <c r="T2346" s="6">
        <f t="shared" si="656"/>
        <v>1</v>
      </c>
      <c r="Z2346" s="6" t="str">
        <f t="shared" ca="1" si="657"/>
        <v>20247</v>
      </c>
      <c r="AA2346" s="6">
        <f t="shared" ca="1" si="658"/>
        <v>2024</v>
      </c>
      <c r="AB2346" s="6">
        <f t="shared" ca="1" si="659"/>
        <v>7</v>
      </c>
      <c r="AC2346" s="68">
        <f ca="1">IFERROR(__xludf.DUMMYFUNCTION("""COMPUTED_VALUE"""),45498.9986111111)</f>
        <v>45498.998611111099</v>
      </c>
      <c r="AD2346" s="6">
        <f ca="1">IFERROR(__xludf.DUMMYFUNCTION("""COMPUTED_VALUE"""),1381.43)</f>
        <v>1381.43</v>
      </c>
      <c r="AH2346" s="6" t="str">
        <f t="shared" ca="1" si="660"/>
        <v>20245</v>
      </c>
      <c r="AI2346" s="6">
        <f t="shared" ca="1" si="661"/>
        <v>2024</v>
      </c>
      <c r="AJ2346" s="6">
        <f t="shared" ca="1" si="662"/>
        <v>5</v>
      </c>
      <c r="AK2346" s="68">
        <f ca="1">IFERROR(__xludf.DUMMYFUNCTION("""COMPUTED_VALUE"""),45440.9986111111)</f>
        <v>45440.998611111099</v>
      </c>
      <c r="AL2346" s="6">
        <f ca="1">IFERROR(__xludf.DUMMYFUNCTION("""COMPUTED_VALUE"""),68102.04)</f>
        <v>68102.039999999994</v>
      </c>
      <c r="AP2346" s="6" t="str">
        <f t="shared" si="663"/>
        <v>19001</v>
      </c>
      <c r="AQ2346" s="6">
        <f t="shared" si="664"/>
        <v>1900</v>
      </c>
      <c r="AR2346" s="6">
        <f t="shared" si="665"/>
        <v>1</v>
      </c>
    </row>
    <row r="2347" spans="2:44" x14ac:dyDescent="0.35">
      <c r="B2347" s="6" t="str">
        <f t="shared" si="648"/>
        <v>19001</v>
      </c>
      <c r="C2347" s="6">
        <f t="shared" si="649"/>
        <v>1900</v>
      </c>
      <c r="D2347" s="6">
        <f t="shared" si="650"/>
        <v>1</v>
      </c>
      <c r="J2347" s="6" t="str">
        <f t="shared" si="651"/>
        <v>19001</v>
      </c>
      <c r="K2347" s="6">
        <f t="shared" si="652"/>
        <v>1900</v>
      </c>
      <c r="L2347" s="6">
        <f t="shared" si="653"/>
        <v>1</v>
      </c>
      <c r="R2347" s="6" t="str">
        <f t="shared" si="654"/>
        <v>19001</v>
      </c>
      <c r="S2347" s="6">
        <f t="shared" si="655"/>
        <v>1900</v>
      </c>
      <c r="T2347" s="6">
        <f t="shared" si="656"/>
        <v>1</v>
      </c>
      <c r="Z2347" s="6" t="str">
        <f t="shared" ca="1" si="657"/>
        <v>20247</v>
      </c>
      <c r="AA2347" s="6">
        <f t="shared" ca="1" si="658"/>
        <v>2024</v>
      </c>
      <c r="AB2347" s="6">
        <f t="shared" ca="1" si="659"/>
        <v>7</v>
      </c>
      <c r="AC2347" s="68">
        <f ca="1">IFERROR(__xludf.DUMMYFUNCTION("""COMPUTED_VALUE"""),45499.9986111111)</f>
        <v>45499.998611111099</v>
      </c>
      <c r="AD2347" s="6">
        <f ca="1">IFERROR(__xludf.DUMMYFUNCTION("""COMPUTED_VALUE"""),1384.27)</f>
        <v>1384.27</v>
      </c>
      <c r="AH2347" s="6" t="str">
        <f t="shared" ca="1" si="660"/>
        <v>20245</v>
      </c>
      <c r="AI2347" s="6">
        <f t="shared" ca="1" si="661"/>
        <v>2024</v>
      </c>
      <c r="AJ2347" s="6">
        <f t="shared" ca="1" si="662"/>
        <v>5</v>
      </c>
      <c r="AK2347" s="68">
        <f ca="1">IFERROR(__xludf.DUMMYFUNCTION("""COMPUTED_VALUE"""),45441.9986111111)</f>
        <v>45441.998611111099</v>
      </c>
      <c r="AL2347" s="6">
        <f ca="1">IFERROR(__xludf.DUMMYFUNCTION("""COMPUTED_VALUE"""),68713.48)</f>
        <v>68713.48</v>
      </c>
      <c r="AP2347" s="6" t="str">
        <f t="shared" si="663"/>
        <v>19001</v>
      </c>
      <c r="AQ2347" s="6">
        <f t="shared" si="664"/>
        <v>1900</v>
      </c>
      <c r="AR2347" s="6">
        <f t="shared" si="665"/>
        <v>1</v>
      </c>
    </row>
    <row r="2348" spans="2:44" x14ac:dyDescent="0.35">
      <c r="B2348" s="6" t="str">
        <f t="shared" si="648"/>
        <v>19001</v>
      </c>
      <c r="C2348" s="6">
        <f t="shared" si="649"/>
        <v>1900</v>
      </c>
      <c r="D2348" s="6">
        <f t="shared" si="650"/>
        <v>1</v>
      </c>
      <c r="J2348" s="6" t="str">
        <f t="shared" si="651"/>
        <v>19001</v>
      </c>
      <c r="K2348" s="6">
        <f t="shared" si="652"/>
        <v>1900</v>
      </c>
      <c r="L2348" s="6">
        <f t="shared" si="653"/>
        <v>1</v>
      </c>
      <c r="R2348" s="6" t="str">
        <f t="shared" si="654"/>
        <v>19001</v>
      </c>
      <c r="S2348" s="6">
        <f t="shared" si="655"/>
        <v>1900</v>
      </c>
      <c r="T2348" s="6">
        <f t="shared" si="656"/>
        <v>1</v>
      </c>
      <c r="Z2348" s="6" t="str">
        <f t="shared" ca="1" si="657"/>
        <v>20247</v>
      </c>
      <c r="AA2348" s="6">
        <f t="shared" ca="1" si="658"/>
        <v>2024</v>
      </c>
      <c r="AB2348" s="6">
        <f t="shared" ca="1" si="659"/>
        <v>7</v>
      </c>
      <c r="AC2348" s="68">
        <f ca="1">IFERROR(__xludf.DUMMYFUNCTION("""COMPUTED_VALUE"""),45500.9986111111)</f>
        <v>45500.998611111099</v>
      </c>
      <c r="AD2348" s="6">
        <f ca="1">IFERROR(__xludf.DUMMYFUNCTION("""COMPUTED_VALUE"""),1384.27)</f>
        <v>1384.27</v>
      </c>
      <c r="AH2348" s="6" t="str">
        <f t="shared" ca="1" si="660"/>
        <v>20245</v>
      </c>
      <c r="AI2348" s="6">
        <f t="shared" ca="1" si="661"/>
        <v>2024</v>
      </c>
      <c r="AJ2348" s="6">
        <f t="shared" ca="1" si="662"/>
        <v>5</v>
      </c>
      <c r="AK2348" s="68">
        <f ca="1">IFERROR(__xludf.DUMMYFUNCTION("""COMPUTED_VALUE"""),45442.9986111111)</f>
        <v>45442.998611111099</v>
      </c>
      <c r="AL2348" s="6">
        <f ca="1">IFERROR(__xludf.DUMMYFUNCTION("""COMPUTED_VALUE"""),68038.64)</f>
        <v>68038.64</v>
      </c>
      <c r="AP2348" s="6" t="str">
        <f t="shared" si="663"/>
        <v>19001</v>
      </c>
      <c r="AQ2348" s="6">
        <f t="shared" si="664"/>
        <v>1900</v>
      </c>
      <c r="AR2348" s="6">
        <f t="shared" si="665"/>
        <v>1</v>
      </c>
    </row>
    <row r="2349" spans="2:44" x14ac:dyDescent="0.35">
      <c r="B2349" s="6" t="str">
        <f t="shared" si="648"/>
        <v>19001</v>
      </c>
      <c r="C2349" s="6">
        <f t="shared" si="649"/>
        <v>1900</v>
      </c>
      <c r="D2349" s="6">
        <f t="shared" si="650"/>
        <v>1</v>
      </c>
      <c r="J2349" s="6" t="str">
        <f t="shared" si="651"/>
        <v>19001</v>
      </c>
      <c r="K2349" s="6">
        <f t="shared" si="652"/>
        <v>1900</v>
      </c>
      <c r="L2349" s="6">
        <f t="shared" si="653"/>
        <v>1</v>
      </c>
      <c r="R2349" s="6" t="str">
        <f t="shared" si="654"/>
        <v>19001</v>
      </c>
      <c r="S2349" s="6">
        <f t="shared" si="655"/>
        <v>1900</v>
      </c>
      <c r="T2349" s="6">
        <f t="shared" si="656"/>
        <v>1</v>
      </c>
      <c r="Z2349" s="6" t="str">
        <f t="shared" ca="1" si="657"/>
        <v>20247</v>
      </c>
      <c r="AA2349" s="6">
        <f t="shared" ca="1" si="658"/>
        <v>2024</v>
      </c>
      <c r="AB2349" s="6">
        <f t="shared" ca="1" si="659"/>
        <v>7</v>
      </c>
      <c r="AC2349" s="68">
        <f ca="1">IFERROR(__xludf.DUMMYFUNCTION("""COMPUTED_VALUE"""),45501.9986111111)</f>
        <v>45501.998611111099</v>
      </c>
      <c r="AD2349" s="6">
        <f ca="1">IFERROR(__xludf.DUMMYFUNCTION("""COMPUTED_VALUE"""),1382.09)</f>
        <v>1382.09</v>
      </c>
      <c r="AH2349" s="6" t="str">
        <f t="shared" ca="1" si="660"/>
        <v>20245</v>
      </c>
      <c r="AI2349" s="6">
        <f t="shared" ca="1" si="661"/>
        <v>2024</v>
      </c>
      <c r="AJ2349" s="6">
        <f t="shared" ca="1" si="662"/>
        <v>5</v>
      </c>
      <c r="AK2349" s="68">
        <f ca="1">IFERROR(__xludf.DUMMYFUNCTION("""COMPUTED_VALUE"""),45443.9986111111)</f>
        <v>45443.998611111099</v>
      </c>
      <c r="AL2349" s="6">
        <f ca="1">IFERROR(__xludf.DUMMYFUNCTION("""COMPUTED_VALUE"""),68571.17)</f>
        <v>68571.17</v>
      </c>
      <c r="AP2349" s="6" t="str">
        <f t="shared" si="663"/>
        <v>19001</v>
      </c>
      <c r="AQ2349" s="6">
        <f t="shared" si="664"/>
        <v>1900</v>
      </c>
      <c r="AR2349" s="6">
        <f t="shared" si="665"/>
        <v>1</v>
      </c>
    </row>
    <row r="2350" spans="2:44" x14ac:dyDescent="0.35">
      <c r="B2350" s="6" t="str">
        <f t="shared" si="648"/>
        <v>19001</v>
      </c>
      <c r="C2350" s="6">
        <f t="shared" si="649"/>
        <v>1900</v>
      </c>
      <c r="D2350" s="6">
        <f t="shared" si="650"/>
        <v>1</v>
      </c>
      <c r="J2350" s="6" t="str">
        <f t="shared" si="651"/>
        <v>19001</v>
      </c>
      <c r="K2350" s="6">
        <f t="shared" si="652"/>
        <v>1900</v>
      </c>
      <c r="L2350" s="6">
        <f t="shared" si="653"/>
        <v>1</v>
      </c>
      <c r="R2350" s="6" t="str">
        <f t="shared" si="654"/>
        <v>19001</v>
      </c>
      <c r="S2350" s="6">
        <f t="shared" si="655"/>
        <v>1900</v>
      </c>
      <c r="T2350" s="6">
        <f t="shared" si="656"/>
        <v>1</v>
      </c>
      <c r="Z2350" s="6" t="str">
        <f t="shared" ca="1" si="657"/>
        <v>20247</v>
      </c>
      <c r="AA2350" s="6">
        <f t="shared" ca="1" si="658"/>
        <v>2024</v>
      </c>
      <c r="AB2350" s="6">
        <f t="shared" ca="1" si="659"/>
        <v>7</v>
      </c>
      <c r="AC2350" s="68">
        <f ca="1">IFERROR(__xludf.DUMMYFUNCTION("""COMPUTED_VALUE"""),45502.9986111111)</f>
        <v>45502.998611111099</v>
      </c>
      <c r="AD2350" s="6">
        <f ca="1">IFERROR(__xludf.DUMMYFUNCTION("""COMPUTED_VALUE"""),1381.36)</f>
        <v>1381.36</v>
      </c>
      <c r="AH2350" s="6" t="str">
        <f t="shared" ca="1" si="660"/>
        <v>20246</v>
      </c>
      <c r="AI2350" s="6">
        <f t="shared" ca="1" si="661"/>
        <v>2024</v>
      </c>
      <c r="AJ2350" s="6">
        <f t="shared" ca="1" si="662"/>
        <v>6</v>
      </c>
      <c r="AK2350" s="68">
        <f ca="1">IFERROR(__xludf.DUMMYFUNCTION("""COMPUTED_VALUE"""),45444.9986111111)</f>
        <v>45444.998611111099</v>
      </c>
      <c r="AL2350" s="6">
        <f ca="1">IFERROR(__xludf.DUMMYFUNCTION("""COMPUTED_VALUE"""),67659.3)</f>
        <v>67659.3</v>
      </c>
      <c r="AP2350" s="6" t="str">
        <f t="shared" si="663"/>
        <v>19001</v>
      </c>
      <c r="AQ2350" s="6">
        <f t="shared" si="664"/>
        <v>1900</v>
      </c>
      <c r="AR2350" s="6">
        <f t="shared" si="665"/>
        <v>1</v>
      </c>
    </row>
    <row r="2351" spans="2:44" x14ac:dyDescent="0.35">
      <c r="B2351" s="6" t="str">
        <f t="shared" si="648"/>
        <v>19001</v>
      </c>
      <c r="C2351" s="6">
        <f t="shared" si="649"/>
        <v>1900</v>
      </c>
      <c r="D2351" s="6">
        <f t="shared" si="650"/>
        <v>1</v>
      </c>
      <c r="J2351" s="6" t="str">
        <f t="shared" si="651"/>
        <v>19001</v>
      </c>
      <c r="K2351" s="6">
        <f t="shared" si="652"/>
        <v>1900</v>
      </c>
      <c r="L2351" s="6">
        <f t="shared" si="653"/>
        <v>1</v>
      </c>
      <c r="R2351" s="6" t="str">
        <f t="shared" si="654"/>
        <v>19001</v>
      </c>
      <c r="S2351" s="6">
        <f t="shared" si="655"/>
        <v>1900</v>
      </c>
      <c r="T2351" s="6">
        <f t="shared" si="656"/>
        <v>1</v>
      </c>
      <c r="Z2351" s="6" t="str">
        <f t="shared" ca="1" si="657"/>
        <v>20247</v>
      </c>
      <c r="AA2351" s="6">
        <f t="shared" ca="1" si="658"/>
        <v>2024</v>
      </c>
      <c r="AB2351" s="6">
        <f t="shared" ca="1" si="659"/>
        <v>7</v>
      </c>
      <c r="AC2351" s="68">
        <f ca="1">IFERROR(__xludf.DUMMYFUNCTION("""COMPUTED_VALUE"""),45503.9986111111)</f>
        <v>45503.998611111099</v>
      </c>
      <c r="AD2351" s="6">
        <f ca="1">IFERROR(__xludf.DUMMYFUNCTION("""COMPUTED_VALUE"""),1383.5)</f>
        <v>1383.5</v>
      </c>
      <c r="AH2351" s="6" t="str">
        <f t="shared" ca="1" si="660"/>
        <v>20246</v>
      </c>
      <c r="AI2351" s="6">
        <f t="shared" ca="1" si="661"/>
        <v>2024</v>
      </c>
      <c r="AJ2351" s="6">
        <f t="shared" ca="1" si="662"/>
        <v>6</v>
      </c>
      <c r="AK2351" s="68">
        <f ca="1">IFERROR(__xludf.DUMMYFUNCTION("""COMPUTED_VALUE"""),45445.9986111111)</f>
        <v>45445.998611111099</v>
      </c>
      <c r="AL2351" s="6">
        <f ca="1">IFERROR(__xludf.DUMMYFUNCTION("""COMPUTED_VALUE"""),67737.81)</f>
        <v>67737.81</v>
      </c>
      <c r="AP2351" s="6" t="str">
        <f t="shared" si="663"/>
        <v>19001</v>
      </c>
      <c r="AQ2351" s="6">
        <f t="shared" si="664"/>
        <v>1900</v>
      </c>
      <c r="AR2351" s="6">
        <f t="shared" si="665"/>
        <v>1</v>
      </c>
    </row>
    <row r="2352" spans="2:44" x14ac:dyDescent="0.35">
      <c r="B2352" s="6" t="str">
        <f t="shared" si="648"/>
        <v>19001</v>
      </c>
      <c r="C2352" s="6">
        <f t="shared" si="649"/>
        <v>1900</v>
      </c>
      <c r="D2352" s="6">
        <f t="shared" si="650"/>
        <v>1</v>
      </c>
      <c r="J2352" s="6" t="str">
        <f t="shared" si="651"/>
        <v>19001</v>
      </c>
      <c r="K2352" s="6">
        <f t="shared" si="652"/>
        <v>1900</v>
      </c>
      <c r="L2352" s="6">
        <f t="shared" si="653"/>
        <v>1</v>
      </c>
      <c r="R2352" s="6" t="str">
        <f t="shared" si="654"/>
        <v>19001</v>
      </c>
      <c r="S2352" s="6">
        <f t="shared" si="655"/>
        <v>1900</v>
      </c>
      <c r="T2352" s="6">
        <f t="shared" si="656"/>
        <v>1</v>
      </c>
      <c r="Z2352" s="6" t="str">
        <f t="shared" ca="1" si="657"/>
        <v>20247</v>
      </c>
      <c r="AA2352" s="6">
        <f t="shared" ca="1" si="658"/>
        <v>2024</v>
      </c>
      <c r="AB2352" s="6">
        <f t="shared" ca="1" si="659"/>
        <v>7</v>
      </c>
      <c r="AC2352" s="68">
        <f ca="1">IFERROR(__xludf.DUMMYFUNCTION("""COMPUTED_VALUE"""),45504.9986111111)</f>
        <v>45504.998611111099</v>
      </c>
      <c r="AD2352" s="6">
        <f ca="1">IFERROR(__xludf.DUMMYFUNCTION("""COMPUTED_VALUE"""),1367.92)</f>
        <v>1367.92</v>
      </c>
      <c r="AH2352" s="6" t="str">
        <f t="shared" ca="1" si="660"/>
        <v>20246</v>
      </c>
      <c r="AI2352" s="6">
        <f t="shared" ca="1" si="661"/>
        <v>2024</v>
      </c>
      <c r="AJ2352" s="6">
        <f t="shared" ca="1" si="662"/>
        <v>6</v>
      </c>
      <c r="AK2352" s="68">
        <f ca="1">IFERROR(__xludf.DUMMYFUNCTION("""COMPUTED_VALUE"""),45446.9986111111)</f>
        <v>45446.998611111099</v>
      </c>
      <c r="AL2352" s="6">
        <f ca="1">IFERROR(__xludf.DUMMYFUNCTION("""COMPUTED_VALUE"""),68358.28)</f>
        <v>68358.28</v>
      </c>
      <c r="AP2352" s="6" t="str">
        <f t="shared" si="663"/>
        <v>19001</v>
      </c>
      <c r="AQ2352" s="6">
        <f t="shared" si="664"/>
        <v>1900</v>
      </c>
      <c r="AR2352" s="6">
        <f t="shared" si="665"/>
        <v>1</v>
      </c>
    </row>
    <row r="2353" spans="2:44" x14ac:dyDescent="0.35">
      <c r="B2353" s="6" t="str">
        <f t="shared" si="648"/>
        <v>19001</v>
      </c>
      <c r="C2353" s="6">
        <f t="shared" si="649"/>
        <v>1900</v>
      </c>
      <c r="D2353" s="6">
        <f t="shared" si="650"/>
        <v>1</v>
      </c>
      <c r="J2353" s="6" t="str">
        <f t="shared" si="651"/>
        <v>19001</v>
      </c>
      <c r="K2353" s="6">
        <f t="shared" si="652"/>
        <v>1900</v>
      </c>
      <c r="L2353" s="6">
        <f t="shared" si="653"/>
        <v>1</v>
      </c>
      <c r="R2353" s="6" t="str">
        <f t="shared" si="654"/>
        <v>19001</v>
      </c>
      <c r="S2353" s="6">
        <f t="shared" si="655"/>
        <v>1900</v>
      </c>
      <c r="T2353" s="6">
        <f t="shared" si="656"/>
        <v>1</v>
      </c>
      <c r="Z2353" s="6" t="str">
        <f t="shared" ca="1" si="657"/>
        <v>20248</v>
      </c>
      <c r="AA2353" s="6">
        <f t="shared" ca="1" si="658"/>
        <v>2024</v>
      </c>
      <c r="AB2353" s="6">
        <f t="shared" ca="1" si="659"/>
        <v>8</v>
      </c>
      <c r="AC2353" s="68">
        <f ca="1">IFERROR(__xludf.DUMMYFUNCTION("""COMPUTED_VALUE"""),45505.9986111111)</f>
        <v>45505.998611111099</v>
      </c>
      <c r="AD2353" s="6">
        <f ca="1">IFERROR(__xludf.DUMMYFUNCTION("""COMPUTED_VALUE"""),1368.97)</f>
        <v>1368.97</v>
      </c>
      <c r="AH2353" s="6" t="str">
        <f t="shared" ca="1" si="660"/>
        <v>20246</v>
      </c>
      <c r="AI2353" s="6">
        <f t="shared" ca="1" si="661"/>
        <v>2024</v>
      </c>
      <c r="AJ2353" s="6">
        <f t="shared" ca="1" si="662"/>
        <v>6</v>
      </c>
      <c r="AK2353" s="68">
        <f ca="1">IFERROR(__xludf.DUMMYFUNCTION("""COMPUTED_VALUE"""),45447.9986111111)</f>
        <v>45447.998611111099</v>
      </c>
      <c r="AL2353" s="6">
        <f ca="1">IFERROR(__xludf.DUMMYFUNCTION("""COMPUTED_VALUE"""),69155.55)</f>
        <v>69155.55</v>
      </c>
      <c r="AP2353" s="6" t="str">
        <f t="shared" si="663"/>
        <v>19001</v>
      </c>
      <c r="AQ2353" s="6">
        <f t="shared" si="664"/>
        <v>1900</v>
      </c>
      <c r="AR2353" s="6">
        <f t="shared" si="665"/>
        <v>1</v>
      </c>
    </row>
    <row r="2354" spans="2:44" x14ac:dyDescent="0.35">
      <c r="B2354" s="6" t="str">
        <f t="shared" si="648"/>
        <v>19001</v>
      </c>
      <c r="C2354" s="6">
        <f t="shared" si="649"/>
        <v>1900</v>
      </c>
      <c r="D2354" s="6">
        <f t="shared" si="650"/>
        <v>1</v>
      </c>
      <c r="J2354" s="6" t="str">
        <f t="shared" si="651"/>
        <v>19001</v>
      </c>
      <c r="K2354" s="6">
        <f t="shared" si="652"/>
        <v>1900</v>
      </c>
      <c r="L2354" s="6">
        <f t="shared" si="653"/>
        <v>1</v>
      </c>
      <c r="R2354" s="6" t="str">
        <f t="shared" si="654"/>
        <v>19001</v>
      </c>
      <c r="S2354" s="6">
        <f t="shared" si="655"/>
        <v>1900</v>
      </c>
      <c r="T2354" s="6">
        <f t="shared" si="656"/>
        <v>1</v>
      </c>
      <c r="Z2354" s="6" t="str">
        <f t="shared" ca="1" si="657"/>
        <v>20248</v>
      </c>
      <c r="AA2354" s="6">
        <f t="shared" ca="1" si="658"/>
        <v>2024</v>
      </c>
      <c r="AB2354" s="6">
        <f t="shared" ca="1" si="659"/>
        <v>8</v>
      </c>
      <c r="AC2354" s="68">
        <f ca="1">IFERROR(__xludf.DUMMYFUNCTION("""COMPUTED_VALUE"""),45506.9986111111)</f>
        <v>45506.998611111099</v>
      </c>
      <c r="AD2354" s="6">
        <f ca="1">IFERROR(__xludf.DUMMYFUNCTION("""COMPUTED_VALUE"""),1357.15)</f>
        <v>1357.15</v>
      </c>
      <c r="AH2354" s="6" t="str">
        <f t="shared" ca="1" si="660"/>
        <v>20246</v>
      </c>
      <c r="AI2354" s="6">
        <f t="shared" ca="1" si="661"/>
        <v>2024</v>
      </c>
      <c r="AJ2354" s="6">
        <f t="shared" ca="1" si="662"/>
        <v>6</v>
      </c>
      <c r="AK2354" s="68">
        <f ca="1">IFERROR(__xludf.DUMMYFUNCTION("""COMPUTED_VALUE"""),45448.9986111111)</f>
        <v>45448.998611111099</v>
      </c>
      <c r="AL2354" s="6">
        <f ca="1">IFERROR(__xludf.DUMMYFUNCTION("""COMPUTED_VALUE"""),70883.12)</f>
        <v>70883.12</v>
      </c>
      <c r="AP2354" s="6" t="str">
        <f t="shared" si="663"/>
        <v>19001</v>
      </c>
      <c r="AQ2354" s="6">
        <f t="shared" si="664"/>
        <v>1900</v>
      </c>
      <c r="AR2354" s="6">
        <f t="shared" si="665"/>
        <v>1</v>
      </c>
    </row>
    <row r="2355" spans="2:44" x14ac:dyDescent="0.35">
      <c r="B2355" s="6" t="str">
        <f t="shared" si="648"/>
        <v>19001</v>
      </c>
      <c r="C2355" s="6">
        <f t="shared" si="649"/>
        <v>1900</v>
      </c>
      <c r="D2355" s="6">
        <f t="shared" si="650"/>
        <v>1</v>
      </c>
      <c r="J2355" s="6" t="str">
        <f t="shared" si="651"/>
        <v>19001</v>
      </c>
      <c r="K2355" s="6">
        <f t="shared" si="652"/>
        <v>1900</v>
      </c>
      <c r="L2355" s="6">
        <f t="shared" si="653"/>
        <v>1</v>
      </c>
      <c r="R2355" s="6" t="str">
        <f t="shared" si="654"/>
        <v>19001</v>
      </c>
      <c r="S2355" s="6">
        <f t="shared" si="655"/>
        <v>1900</v>
      </c>
      <c r="T2355" s="6">
        <f t="shared" si="656"/>
        <v>1</v>
      </c>
      <c r="Z2355" s="6" t="str">
        <f t="shared" ca="1" si="657"/>
        <v>20248</v>
      </c>
      <c r="AA2355" s="6">
        <f t="shared" ca="1" si="658"/>
        <v>2024</v>
      </c>
      <c r="AB2355" s="6">
        <f t="shared" ca="1" si="659"/>
        <v>8</v>
      </c>
      <c r="AC2355" s="68">
        <f ca="1">IFERROR(__xludf.DUMMYFUNCTION("""COMPUTED_VALUE"""),45507.9986111111)</f>
        <v>45507.998611111099</v>
      </c>
      <c r="AD2355" s="6">
        <f ca="1">IFERROR(__xludf.DUMMYFUNCTION("""COMPUTED_VALUE"""),1357.15)</f>
        <v>1357.15</v>
      </c>
      <c r="AH2355" s="6" t="str">
        <f t="shared" ca="1" si="660"/>
        <v>20246</v>
      </c>
      <c r="AI2355" s="6">
        <f t="shared" ca="1" si="661"/>
        <v>2024</v>
      </c>
      <c r="AJ2355" s="6">
        <f t="shared" ca="1" si="662"/>
        <v>6</v>
      </c>
      <c r="AK2355" s="68">
        <f ca="1">IFERROR(__xludf.DUMMYFUNCTION("""COMPUTED_VALUE"""),45449.9986111111)</f>
        <v>45449.998611111099</v>
      </c>
      <c r="AL2355" s="6">
        <f ca="1">IFERROR(__xludf.DUMMYFUNCTION("""COMPUTED_VALUE"""),71103.14)</f>
        <v>71103.14</v>
      </c>
      <c r="AP2355" s="6" t="str">
        <f t="shared" si="663"/>
        <v>19001</v>
      </c>
      <c r="AQ2355" s="6">
        <f t="shared" si="664"/>
        <v>1900</v>
      </c>
      <c r="AR2355" s="6">
        <f t="shared" si="665"/>
        <v>1</v>
      </c>
    </row>
    <row r="2356" spans="2:44" x14ac:dyDescent="0.35">
      <c r="B2356" s="6" t="str">
        <f t="shared" si="648"/>
        <v>19001</v>
      </c>
      <c r="C2356" s="6">
        <f t="shared" si="649"/>
        <v>1900</v>
      </c>
      <c r="D2356" s="6">
        <f t="shared" si="650"/>
        <v>1</v>
      </c>
      <c r="J2356" s="6" t="str">
        <f t="shared" si="651"/>
        <v>19001</v>
      </c>
      <c r="K2356" s="6">
        <f t="shared" si="652"/>
        <v>1900</v>
      </c>
      <c r="L2356" s="6">
        <f t="shared" si="653"/>
        <v>1</v>
      </c>
      <c r="R2356" s="6" t="str">
        <f t="shared" si="654"/>
        <v>19001</v>
      </c>
      <c r="S2356" s="6">
        <f t="shared" si="655"/>
        <v>1900</v>
      </c>
      <c r="T2356" s="6">
        <f t="shared" si="656"/>
        <v>1</v>
      </c>
      <c r="Z2356" s="6" t="str">
        <f t="shared" ca="1" si="657"/>
        <v>20248</v>
      </c>
      <c r="AA2356" s="6">
        <f t="shared" ca="1" si="658"/>
        <v>2024</v>
      </c>
      <c r="AB2356" s="6">
        <f t="shared" ca="1" si="659"/>
        <v>8</v>
      </c>
      <c r="AC2356" s="68">
        <f ca="1">IFERROR(__xludf.DUMMYFUNCTION("""COMPUTED_VALUE"""),45508.9986111111)</f>
        <v>45508.998611111099</v>
      </c>
      <c r="AD2356" s="6">
        <f ca="1">IFERROR(__xludf.DUMMYFUNCTION("""COMPUTED_VALUE"""),1357.17)</f>
        <v>1357.17</v>
      </c>
      <c r="AH2356" s="6" t="str">
        <f t="shared" ca="1" si="660"/>
        <v>20246</v>
      </c>
      <c r="AI2356" s="6">
        <f t="shared" ca="1" si="661"/>
        <v>2024</v>
      </c>
      <c r="AJ2356" s="6">
        <f t="shared" ca="1" si="662"/>
        <v>6</v>
      </c>
      <c r="AK2356" s="68">
        <f ca="1">IFERROR(__xludf.DUMMYFUNCTION("""COMPUTED_VALUE"""),45450.9986111111)</f>
        <v>45450.998611111099</v>
      </c>
      <c r="AL2356" s="6">
        <f ca="1">IFERROR(__xludf.DUMMYFUNCTION("""COMPUTED_VALUE"""),70959.8)</f>
        <v>70959.8</v>
      </c>
      <c r="AP2356" s="6" t="str">
        <f t="shared" si="663"/>
        <v>19001</v>
      </c>
      <c r="AQ2356" s="6">
        <f t="shared" si="664"/>
        <v>1900</v>
      </c>
      <c r="AR2356" s="6">
        <f t="shared" si="665"/>
        <v>1</v>
      </c>
    </row>
    <row r="2357" spans="2:44" x14ac:dyDescent="0.35">
      <c r="B2357" s="6" t="str">
        <f t="shared" si="648"/>
        <v>19001</v>
      </c>
      <c r="C2357" s="6">
        <f t="shared" si="649"/>
        <v>1900</v>
      </c>
      <c r="D2357" s="6">
        <f t="shared" si="650"/>
        <v>1</v>
      </c>
      <c r="J2357" s="6" t="str">
        <f t="shared" si="651"/>
        <v>19001</v>
      </c>
      <c r="K2357" s="6">
        <f t="shared" si="652"/>
        <v>1900</v>
      </c>
      <c r="L2357" s="6">
        <f t="shared" si="653"/>
        <v>1</v>
      </c>
      <c r="R2357" s="6" t="str">
        <f t="shared" si="654"/>
        <v>19001</v>
      </c>
      <c r="S2357" s="6">
        <f t="shared" si="655"/>
        <v>1900</v>
      </c>
      <c r="T2357" s="6">
        <f t="shared" si="656"/>
        <v>1</v>
      </c>
      <c r="Z2357" s="6" t="str">
        <f t="shared" ca="1" si="657"/>
        <v>20248</v>
      </c>
      <c r="AA2357" s="6">
        <f t="shared" ca="1" si="658"/>
        <v>2024</v>
      </c>
      <c r="AB2357" s="6">
        <f t="shared" ca="1" si="659"/>
        <v>8</v>
      </c>
      <c r="AC2357" s="68">
        <f ca="1">IFERROR(__xludf.DUMMYFUNCTION("""COMPUTED_VALUE"""),45509.9986111111)</f>
        <v>45509.998611111099</v>
      </c>
      <c r="AD2357" s="6">
        <f ca="1">IFERROR(__xludf.DUMMYFUNCTION("""COMPUTED_VALUE"""),1367.4)</f>
        <v>1367.4</v>
      </c>
      <c r="AH2357" s="6" t="str">
        <f t="shared" ca="1" si="660"/>
        <v>20246</v>
      </c>
      <c r="AI2357" s="6">
        <f t="shared" ca="1" si="661"/>
        <v>2024</v>
      </c>
      <c r="AJ2357" s="6">
        <f t="shared" ca="1" si="662"/>
        <v>6</v>
      </c>
      <c r="AK2357" s="68">
        <f ca="1">IFERROR(__xludf.DUMMYFUNCTION("""COMPUTED_VALUE"""),45451.9986111111)</f>
        <v>45451.998611111099</v>
      </c>
      <c r="AL2357" s="6">
        <f ca="1">IFERROR(__xludf.DUMMYFUNCTION("""COMPUTED_VALUE"""),69445.59)</f>
        <v>69445.59</v>
      </c>
      <c r="AP2357" s="6" t="str">
        <f t="shared" si="663"/>
        <v>19001</v>
      </c>
      <c r="AQ2357" s="6">
        <f t="shared" si="664"/>
        <v>1900</v>
      </c>
      <c r="AR2357" s="6">
        <f t="shared" si="665"/>
        <v>1</v>
      </c>
    </row>
    <row r="2358" spans="2:44" x14ac:dyDescent="0.35">
      <c r="B2358" s="6" t="str">
        <f t="shared" si="648"/>
        <v>19001</v>
      </c>
      <c r="C2358" s="6">
        <f t="shared" si="649"/>
        <v>1900</v>
      </c>
      <c r="D2358" s="6">
        <f t="shared" si="650"/>
        <v>1</v>
      </c>
      <c r="J2358" s="6" t="str">
        <f t="shared" si="651"/>
        <v>19001</v>
      </c>
      <c r="K2358" s="6">
        <f t="shared" si="652"/>
        <v>1900</v>
      </c>
      <c r="L2358" s="6">
        <f t="shared" si="653"/>
        <v>1</v>
      </c>
      <c r="R2358" s="6" t="str">
        <f t="shared" si="654"/>
        <v>19001</v>
      </c>
      <c r="S2358" s="6">
        <f t="shared" si="655"/>
        <v>1900</v>
      </c>
      <c r="T2358" s="6">
        <f t="shared" si="656"/>
        <v>1</v>
      </c>
      <c r="Z2358" s="6" t="str">
        <f t="shared" ca="1" si="657"/>
        <v>20248</v>
      </c>
      <c r="AA2358" s="6">
        <f t="shared" ca="1" si="658"/>
        <v>2024</v>
      </c>
      <c r="AB2358" s="6">
        <f t="shared" ca="1" si="659"/>
        <v>8</v>
      </c>
      <c r="AC2358" s="68">
        <f ca="1">IFERROR(__xludf.DUMMYFUNCTION("""COMPUTED_VALUE"""),45510.9986111111)</f>
        <v>45510.998611111099</v>
      </c>
      <c r="AD2358" s="6">
        <f ca="1">IFERROR(__xludf.DUMMYFUNCTION("""COMPUTED_VALUE"""),1370.31)</f>
        <v>1370.31</v>
      </c>
      <c r="AH2358" s="6" t="str">
        <f t="shared" ca="1" si="660"/>
        <v>20246</v>
      </c>
      <c r="AI2358" s="6">
        <f t="shared" ca="1" si="661"/>
        <v>2024</v>
      </c>
      <c r="AJ2358" s="6">
        <f t="shared" ca="1" si="662"/>
        <v>6</v>
      </c>
      <c r="AK2358" s="68">
        <f ca="1">IFERROR(__xludf.DUMMYFUNCTION("""COMPUTED_VALUE"""),45452.9986111111)</f>
        <v>45452.998611111099</v>
      </c>
      <c r="AL2358" s="6">
        <f ca="1">IFERROR(__xludf.DUMMYFUNCTION("""COMPUTED_VALUE"""),69277.68)</f>
        <v>69277.679999999993</v>
      </c>
      <c r="AP2358" s="6" t="str">
        <f t="shared" si="663"/>
        <v>19001</v>
      </c>
      <c r="AQ2358" s="6">
        <f t="shared" si="664"/>
        <v>1900</v>
      </c>
      <c r="AR2358" s="6">
        <f t="shared" si="665"/>
        <v>1</v>
      </c>
    </row>
    <row r="2359" spans="2:44" x14ac:dyDescent="0.35">
      <c r="B2359" s="6" t="str">
        <f t="shared" si="648"/>
        <v>19001</v>
      </c>
      <c r="C2359" s="6">
        <f t="shared" si="649"/>
        <v>1900</v>
      </c>
      <c r="D2359" s="6">
        <f t="shared" si="650"/>
        <v>1</v>
      </c>
      <c r="J2359" s="6" t="str">
        <f t="shared" si="651"/>
        <v>19001</v>
      </c>
      <c r="K2359" s="6">
        <f t="shared" si="652"/>
        <v>1900</v>
      </c>
      <c r="L2359" s="6">
        <f t="shared" si="653"/>
        <v>1</v>
      </c>
      <c r="R2359" s="6" t="str">
        <f t="shared" si="654"/>
        <v>19001</v>
      </c>
      <c r="S2359" s="6">
        <f t="shared" si="655"/>
        <v>1900</v>
      </c>
      <c r="T2359" s="6">
        <f t="shared" si="656"/>
        <v>1</v>
      </c>
      <c r="Z2359" s="6" t="str">
        <f t="shared" ca="1" si="657"/>
        <v>20248</v>
      </c>
      <c r="AA2359" s="6">
        <f t="shared" ca="1" si="658"/>
        <v>2024</v>
      </c>
      <c r="AB2359" s="6">
        <f t="shared" ca="1" si="659"/>
        <v>8</v>
      </c>
      <c r="AC2359" s="68">
        <f ca="1">IFERROR(__xludf.DUMMYFUNCTION("""COMPUTED_VALUE"""),45511.9986111111)</f>
        <v>45511.998611111099</v>
      </c>
      <c r="AD2359" s="6">
        <f ca="1">IFERROR(__xludf.DUMMYFUNCTION("""COMPUTED_VALUE"""),1375.33)</f>
        <v>1375.33</v>
      </c>
      <c r="AH2359" s="6" t="str">
        <f t="shared" ca="1" si="660"/>
        <v>20246</v>
      </c>
      <c r="AI2359" s="6">
        <f t="shared" ca="1" si="661"/>
        <v>2024</v>
      </c>
      <c r="AJ2359" s="6">
        <f t="shared" ca="1" si="662"/>
        <v>6</v>
      </c>
      <c r="AK2359" s="68">
        <f ca="1">IFERROR(__xludf.DUMMYFUNCTION("""COMPUTED_VALUE"""),45453.9986111111)</f>
        <v>45453.998611111099</v>
      </c>
      <c r="AL2359" s="6">
        <f ca="1">IFERROR(__xludf.DUMMYFUNCTION("""COMPUTED_VALUE"""),69633.42)</f>
        <v>69633.42</v>
      </c>
      <c r="AP2359" s="6" t="str">
        <f t="shared" si="663"/>
        <v>19001</v>
      </c>
      <c r="AQ2359" s="6">
        <f t="shared" si="664"/>
        <v>1900</v>
      </c>
      <c r="AR2359" s="6">
        <f t="shared" si="665"/>
        <v>1</v>
      </c>
    </row>
    <row r="2360" spans="2:44" x14ac:dyDescent="0.35">
      <c r="B2360" s="6" t="str">
        <f t="shared" si="648"/>
        <v>19001</v>
      </c>
      <c r="C2360" s="6">
        <f t="shared" si="649"/>
        <v>1900</v>
      </c>
      <c r="D2360" s="6">
        <f t="shared" si="650"/>
        <v>1</v>
      </c>
      <c r="J2360" s="6" t="str">
        <f t="shared" si="651"/>
        <v>19001</v>
      </c>
      <c r="K2360" s="6">
        <f t="shared" si="652"/>
        <v>1900</v>
      </c>
      <c r="L2360" s="6">
        <f t="shared" si="653"/>
        <v>1</v>
      </c>
      <c r="R2360" s="6" t="str">
        <f t="shared" si="654"/>
        <v>19001</v>
      </c>
      <c r="S2360" s="6">
        <f t="shared" si="655"/>
        <v>1900</v>
      </c>
      <c r="T2360" s="6">
        <f t="shared" si="656"/>
        <v>1</v>
      </c>
      <c r="Z2360" s="6" t="str">
        <f t="shared" ca="1" si="657"/>
        <v>20248</v>
      </c>
      <c r="AA2360" s="6">
        <f t="shared" ca="1" si="658"/>
        <v>2024</v>
      </c>
      <c r="AB2360" s="6">
        <f t="shared" ca="1" si="659"/>
        <v>8</v>
      </c>
      <c r="AC2360" s="68">
        <f ca="1">IFERROR(__xludf.DUMMYFUNCTION("""COMPUTED_VALUE"""),45512.9986111111)</f>
        <v>45512.998611111099</v>
      </c>
      <c r="AD2360" s="6">
        <f ca="1">IFERROR(__xludf.DUMMYFUNCTION("""COMPUTED_VALUE"""),1373.76)</f>
        <v>1373.76</v>
      </c>
      <c r="AH2360" s="6" t="str">
        <f t="shared" ca="1" si="660"/>
        <v>20246</v>
      </c>
      <c r="AI2360" s="6">
        <f t="shared" ca="1" si="661"/>
        <v>2024</v>
      </c>
      <c r="AJ2360" s="6">
        <f t="shared" ca="1" si="662"/>
        <v>6</v>
      </c>
      <c r="AK2360" s="68">
        <f ca="1">IFERROR(__xludf.DUMMYFUNCTION("""COMPUTED_VALUE"""),45454.9986111111)</f>
        <v>45454.998611111099</v>
      </c>
      <c r="AL2360" s="6">
        <f ca="1">IFERROR(__xludf.DUMMYFUNCTION("""COMPUTED_VALUE"""),68405.53)</f>
        <v>68405.53</v>
      </c>
      <c r="AP2360" s="6" t="str">
        <f t="shared" si="663"/>
        <v>19001</v>
      </c>
      <c r="AQ2360" s="6">
        <f t="shared" si="664"/>
        <v>1900</v>
      </c>
      <c r="AR2360" s="6">
        <f t="shared" si="665"/>
        <v>1</v>
      </c>
    </row>
    <row r="2361" spans="2:44" x14ac:dyDescent="0.35">
      <c r="B2361" s="6" t="str">
        <f t="shared" si="648"/>
        <v>19001</v>
      </c>
      <c r="C2361" s="6">
        <f t="shared" si="649"/>
        <v>1900</v>
      </c>
      <c r="D2361" s="6">
        <f t="shared" si="650"/>
        <v>1</v>
      </c>
      <c r="J2361" s="6" t="str">
        <f t="shared" si="651"/>
        <v>19001</v>
      </c>
      <c r="K2361" s="6">
        <f t="shared" si="652"/>
        <v>1900</v>
      </c>
      <c r="L2361" s="6">
        <f t="shared" si="653"/>
        <v>1</v>
      </c>
      <c r="R2361" s="6" t="str">
        <f t="shared" si="654"/>
        <v>19001</v>
      </c>
      <c r="S2361" s="6">
        <f t="shared" si="655"/>
        <v>1900</v>
      </c>
      <c r="T2361" s="6">
        <f t="shared" si="656"/>
        <v>1</v>
      </c>
      <c r="Z2361" s="6" t="str">
        <f t="shared" ca="1" si="657"/>
        <v>20248</v>
      </c>
      <c r="AA2361" s="6">
        <f t="shared" ca="1" si="658"/>
        <v>2024</v>
      </c>
      <c r="AB2361" s="6">
        <f t="shared" ca="1" si="659"/>
        <v>8</v>
      </c>
      <c r="AC2361" s="68">
        <f ca="1">IFERROR(__xludf.DUMMYFUNCTION("""COMPUTED_VALUE"""),45513.9986111111)</f>
        <v>45513.998611111099</v>
      </c>
      <c r="AD2361" s="6">
        <f ca="1">IFERROR(__xludf.DUMMYFUNCTION("""COMPUTED_VALUE"""),1363.46)</f>
        <v>1363.46</v>
      </c>
      <c r="AH2361" s="6" t="str">
        <f t="shared" ca="1" si="660"/>
        <v>20246</v>
      </c>
      <c r="AI2361" s="6">
        <f t="shared" ca="1" si="661"/>
        <v>2024</v>
      </c>
      <c r="AJ2361" s="6">
        <f t="shared" ca="1" si="662"/>
        <v>6</v>
      </c>
      <c r="AK2361" s="68">
        <f ca="1">IFERROR(__xludf.DUMMYFUNCTION("""COMPUTED_VALUE"""),45455.9986111111)</f>
        <v>45455.998611111099</v>
      </c>
      <c r="AL2361" s="6">
        <f ca="1">IFERROR(__xludf.DUMMYFUNCTION("""COMPUTED_VALUE"""),67369.51)</f>
        <v>67369.509999999995</v>
      </c>
      <c r="AP2361" s="6" t="str">
        <f t="shared" si="663"/>
        <v>19001</v>
      </c>
      <c r="AQ2361" s="6">
        <f t="shared" si="664"/>
        <v>1900</v>
      </c>
      <c r="AR2361" s="6">
        <f t="shared" si="665"/>
        <v>1</v>
      </c>
    </row>
    <row r="2362" spans="2:44" x14ac:dyDescent="0.35">
      <c r="B2362" s="6" t="str">
        <f t="shared" si="648"/>
        <v>19001</v>
      </c>
      <c r="C2362" s="6">
        <f t="shared" si="649"/>
        <v>1900</v>
      </c>
      <c r="D2362" s="6">
        <f t="shared" si="650"/>
        <v>1</v>
      </c>
      <c r="J2362" s="6" t="str">
        <f t="shared" si="651"/>
        <v>19001</v>
      </c>
      <c r="K2362" s="6">
        <f t="shared" si="652"/>
        <v>1900</v>
      </c>
      <c r="L2362" s="6">
        <f t="shared" si="653"/>
        <v>1</v>
      </c>
      <c r="R2362" s="6" t="str">
        <f t="shared" si="654"/>
        <v>19001</v>
      </c>
      <c r="S2362" s="6">
        <f t="shared" si="655"/>
        <v>1900</v>
      </c>
      <c r="T2362" s="6">
        <f t="shared" si="656"/>
        <v>1</v>
      </c>
      <c r="Z2362" s="6" t="str">
        <f t="shared" ca="1" si="657"/>
        <v>20248</v>
      </c>
      <c r="AA2362" s="6">
        <f t="shared" ca="1" si="658"/>
        <v>2024</v>
      </c>
      <c r="AB2362" s="6">
        <f t="shared" ca="1" si="659"/>
        <v>8</v>
      </c>
      <c r="AC2362" s="68">
        <f ca="1">IFERROR(__xludf.DUMMYFUNCTION("""COMPUTED_VALUE"""),45514.9986111111)</f>
        <v>45514.998611111099</v>
      </c>
      <c r="AD2362" s="6">
        <f ca="1">IFERROR(__xludf.DUMMYFUNCTION("""COMPUTED_VALUE"""),1363.46)</f>
        <v>1363.46</v>
      </c>
      <c r="AH2362" s="6" t="str">
        <f t="shared" ca="1" si="660"/>
        <v>20246</v>
      </c>
      <c r="AI2362" s="6">
        <f t="shared" ca="1" si="661"/>
        <v>2024</v>
      </c>
      <c r="AJ2362" s="6">
        <f t="shared" ca="1" si="662"/>
        <v>6</v>
      </c>
      <c r="AK2362" s="68">
        <f ca="1">IFERROR(__xludf.DUMMYFUNCTION("""COMPUTED_VALUE"""),45456.9986111111)</f>
        <v>45456.998611111099</v>
      </c>
      <c r="AL2362" s="6">
        <f ca="1">IFERROR(__xludf.DUMMYFUNCTION("""COMPUTED_VALUE"""),67363.84)</f>
        <v>67363.839999999997</v>
      </c>
      <c r="AP2362" s="6" t="str">
        <f t="shared" si="663"/>
        <v>19001</v>
      </c>
      <c r="AQ2362" s="6">
        <f t="shared" si="664"/>
        <v>1900</v>
      </c>
      <c r="AR2362" s="6">
        <f t="shared" si="665"/>
        <v>1</v>
      </c>
    </row>
    <row r="2363" spans="2:44" x14ac:dyDescent="0.35">
      <c r="B2363" s="6" t="str">
        <f t="shared" si="648"/>
        <v>19001</v>
      </c>
      <c r="C2363" s="6">
        <f t="shared" si="649"/>
        <v>1900</v>
      </c>
      <c r="D2363" s="6">
        <f t="shared" si="650"/>
        <v>1</v>
      </c>
      <c r="J2363" s="6" t="str">
        <f t="shared" si="651"/>
        <v>19001</v>
      </c>
      <c r="K2363" s="6">
        <f t="shared" si="652"/>
        <v>1900</v>
      </c>
      <c r="L2363" s="6">
        <f t="shared" si="653"/>
        <v>1</v>
      </c>
      <c r="R2363" s="6" t="str">
        <f t="shared" si="654"/>
        <v>19001</v>
      </c>
      <c r="S2363" s="6">
        <f t="shared" si="655"/>
        <v>1900</v>
      </c>
      <c r="T2363" s="6">
        <f t="shared" si="656"/>
        <v>1</v>
      </c>
      <c r="Z2363" s="6" t="str">
        <f t="shared" ca="1" si="657"/>
        <v>20248</v>
      </c>
      <c r="AA2363" s="6">
        <f t="shared" ca="1" si="658"/>
        <v>2024</v>
      </c>
      <c r="AB2363" s="6">
        <f t="shared" ca="1" si="659"/>
        <v>8</v>
      </c>
      <c r="AC2363" s="68">
        <f ca="1">IFERROR(__xludf.DUMMYFUNCTION("""COMPUTED_VALUE"""),45515.9986111111)</f>
        <v>45515.998611111099</v>
      </c>
      <c r="AD2363" s="6">
        <f ca="1">IFERROR(__xludf.DUMMYFUNCTION("""COMPUTED_VALUE"""),1363.84)</f>
        <v>1363.84</v>
      </c>
      <c r="AH2363" s="6" t="str">
        <f t="shared" ca="1" si="660"/>
        <v>20246</v>
      </c>
      <c r="AI2363" s="6">
        <f t="shared" ca="1" si="661"/>
        <v>2024</v>
      </c>
      <c r="AJ2363" s="6">
        <f t="shared" ca="1" si="662"/>
        <v>6</v>
      </c>
      <c r="AK2363" s="68">
        <f ca="1">IFERROR(__xludf.DUMMYFUNCTION("""COMPUTED_VALUE"""),45457.9986111111)</f>
        <v>45457.998611111099</v>
      </c>
      <c r="AL2363" s="6">
        <f ca="1">IFERROR(__xludf.DUMMYFUNCTION("""COMPUTED_VALUE"""),66718.27)</f>
        <v>66718.27</v>
      </c>
      <c r="AP2363" s="6" t="str">
        <f t="shared" si="663"/>
        <v>19001</v>
      </c>
      <c r="AQ2363" s="6">
        <f t="shared" si="664"/>
        <v>1900</v>
      </c>
      <c r="AR2363" s="6">
        <f t="shared" si="665"/>
        <v>1</v>
      </c>
    </row>
    <row r="2364" spans="2:44" x14ac:dyDescent="0.35">
      <c r="B2364" s="6" t="str">
        <f t="shared" si="648"/>
        <v>19001</v>
      </c>
      <c r="C2364" s="6">
        <f t="shared" si="649"/>
        <v>1900</v>
      </c>
      <c r="D2364" s="6">
        <f t="shared" si="650"/>
        <v>1</v>
      </c>
      <c r="J2364" s="6" t="str">
        <f t="shared" si="651"/>
        <v>19001</v>
      </c>
      <c r="K2364" s="6">
        <f t="shared" si="652"/>
        <v>1900</v>
      </c>
      <c r="L2364" s="6">
        <f t="shared" si="653"/>
        <v>1</v>
      </c>
      <c r="R2364" s="6" t="str">
        <f t="shared" si="654"/>
        <v>19001</v>
      </c>
      <c r="S2364" s="6">
        <f t="shared" si="655"/>
        <v>1900</v>
      </c>
      <c r="T2364" s="6">
        <f t="shared" si="656"/>
        <v>1</v>
      </c>
      <c r="Z2364" s="6" t="str">
        <f t="shared" ca="1" si="657"/>
        <v>20248</v>
      </c>
      <c r="AA2364" s="6">
        <f t="shared" ca="1" si="658"/>
        <v>2024</v>
      </c>
      <c r="AB2364" s="6">
        <f t="shared" ca="1" si="659"/>
        <v>8</v>
      </c>
      <c r="AC2364" s="68">
        <f ca="1">IFERROR(__xludf.DUMMYFUNCTION("""COMPUTED_VALUE"""),45516.9986111111)</f>
        <v>45516.998611111099</v>
      </c>
      <c r="AD2364" s="6">
        <f ca="1">IFERROR(__xludf.DUMMYFUNCTION("""COMPUTED_VALUE"""),1369.54)</f>
        <v>1369.54</v>
      </c>
      <c r="AH2364" s="6" t="str">
        <f t="shared" ca="1" si="660"/>
        <v>20246</v>
      </c>
      <c r="AI2364" s="6">
        <f t="shared" ca="1" si="661"/>
        <v>2024</v>
      </c>
      <c r="AJ2364" s="6">
        <f t="shared" ca="1" si="662"/>
        <v>6</v>
      </c>
      <c r="AK2364" s="68">
        <f ca="1">IFERROR(__xludf.DUMMYFUNCTION("""COMPUTED_VALUE"""),45458.9986111111)</f>
        <v>45458.998611111099</v>
      </c>
      <c r="AL2364" s="6">
        <f ca="1">IFERROR(__xludf.DUMMYFUNCTION("""COMPUTED_VALUE"""),66138.7)</f>
        <v>66138.7</v>
      </c>
      <c r="AP2364" s="6" t="str">
        <f t="shared" si="663"/>
        <v>19001</v>
      </c>
      <c r="AQ2364" s="6">
        <f t="shared" si="664"/>
        <v>1900</v>
      </c>
      <c r="AR2364" s="6">
        <f t="shared" si="665"/>
        <v>1</v>
      </c>
    </row>
    <row r="2365" spans="2:44" x14ac:dyDescent="0.35">
      <c r="B2365" s="6" t="str">
        <f t="shared" si="648"/>
        <v>19001</v>
      </c>
      <c r="C2365" s="6">
        <f t="shared" si="649"/>
        <v>1900</v>
      </c>
      <c r="D2365" s="6">
        <f t="shared" si="650"/>
        <v>1</v>
      </c>
      <c r="J2365" s="6" t="str">
        <f t="shared" si="651"/>
        <v>19001</v>
      </c>
      <c r="K2365" s="6">
        <f t="shared" si="652"/>
        <v>1900</v>
      </c>
      <c r="L2365" s="6">
        <f t="shared" si="653"/>
        <v>1</v>
      </c>
      <c r="R2365" s="6" t="str">
        <f t="shared" si="654"/>
        <v>19001</v>
      </c>
      <c r="S2365" s="6">
        <f t="shared" si="655"/>
        <v>1900</v>
      </c>
      <c r="T2365" s="6">
        <f t="shared" si="656"/>
        <v>1</v>
      </c>
      <c r="Z2365" s="6" t="str">
        <f t="shared" ca="1" si="657"/>
        <v>20248</v>
      </c>
      <c r="AA2365" s="6">
        <f t="shared" ca="1" si="658"/>
        <v>2024</v>
      </c>
      <c r="AB2365" s="6">
        <f t="shared" ca="1" si="659"/>
        <v>8</v>
      </c>
      <c r="AC2365" s="68">
        <f ca="1">IFERROR(__xludf.DUMMYFUNCTION("""COMPUTED_VALUE"""),45517.9986111111)</f>
        <v>45517.998611111099</v>
      </c>
      <c r="AD2365" s="6">
        <f ca="1">IFERROR(__xludf.DUMMYFUNCTION("""COMPUTED_VALUE"""),1362.17)</f>
        <v>1362.17</v>
      </c>
      <c r="AH2365" s="6" t="str">
        <f t="shared" ca="1" si="660"/>
        <v>20246</v>
      </c>
      <c r="AI2365" s="6">
        <f t="shared" ca="1" si="661"/>
        <v>2024</v>
      </c>
      <c r="AJ2365" s="6">
        <f t="shared" ca="1" si="662"/>
        <v>6</v>
      </c>
      <c r="AK2365" s="68">
        <f ca="1">IFERROR(__xludf.DUMMYFUNCTION("""COMPUTED_VALUE"""),45459.9986111111)</f>
        <v>45459.998611111099</v>
      </c>
      <c r="AL2365" s="6">
        <f ca="1">IFERROR(__xludf.DUMMYFUNCTION("""COMPUTED_VALUE"""),66111.79)</f>
        <v>66111.789999999994</v>
      </c>
      <c r="AP2365" s="6" t="str">
        <f t="shared" si="663"/>
        <v>19001</v>
      </c>
      <c r="AQ2365" s="6">
        <f t="shared" si="664"/>
        <v>1900</v>
      </c>
      <c r="AR2365" s="6">
        <f t="shared" si="665"/>
        <v>1</v>
      </c>
    </row>
    <row r="2366" spans="2:44" x14ac:dyDescent="0.35">
      <c r="B2366" s="6" t="str">
        <f t="shared" si="648"/>
        <v>19001</v>
      </c>
      <c r="C2366" s="6">
        <f t="shared" si="649"/>
        <v>1900</v>
      </c>
      <c r="D2366" s="6">
        <f t="shared" si="650"/>
        <v>1</v>
      </c>
      <c r="J2366" s="6" t="str">
        <f t="shared" si="651"/>
        <v>19001</v>
      </c>
      <c r="K2366" s="6">
        <f t="shared" si="652"/>
        <v>1900</v>
      </c>
      <c r="L2366" s="6">
        <f t="shared" si="653"/>
        <v>1</v>
      </c>
      <c r="R2366" s="6" t="str">
        <f t="shared" si="654"/>
        <v>19001</v>
      </c>
      <c r="S2366" s="6">
        <f t="shared" si="655"/>
        <v>1900</v>
      </c>
      <c r="T2366" s="6">
        <f t="shared" si="656"/>
        <v>1</v>
      </c>
      <c r="Z2366" s="6" t="str">
        <f t="shared" ca="1" si="657"/>
        <v>20248</v>
      </c>
      <c r="AA2366" s="6">
        <f t="shared" ca="1" si="658"/>
        <v>2024</v>
      </c>
      <c r="AB2366" s="6">
        <f t="shared" ca="1" si="659"/>
        <v>8</v>
      </c>
      <c r="AC2366" s="68">
        <f ca="1">IFERROR(__xludf.DUMMYFUNCTION("""COMPUTED_VALUE"""),45518.9986111111)</f>
        <v>45518.998611111099</v>
      </c>
      <c r="AD2366" s="6">
        <f ca="1">IFERROR(__xludf.DUMMYFUNCTION("""COMPUTED_VALUE"""),1355.71)</f>
        <v>1355.71</v>
      </c>
      <c r="AH2366" s="6" t="str">
        <f t="shared" ca="1" si="660"/>
        <v>20246</v>
      </c>
      <c r="AI2366" s="6">
        <f t="shared" ca="1" si="661"/>
        <v>2024</v>
      </c>
      <c r="AJ2366" s="6">
        <f t="shared" ca="1" si="662"/>
        <v>6</v>
      </c>
      <c r="AK2366" s="68">
        <f ca="1">IFERROR(__xludf.DUMMYFUNCTION("""COMPUTED_VALUE"""),45460.9986111111)</f>
        <v>45460.998611111099</v>
      </c>
      <c r="AL2366" s="6">
        <f ca="1">IFERROR(__xludf.DUMMYFUNCTION("""COMPUTED_VALUE"""),66229.78)</f>
        <v>66229.78</v>
      </c>
      <c r="AP2366" s="6" t="str">
        <f t="shared" si="663"/>
        <v>19001</v>
      </c>
      <c r="AQ2366" s="6">
        <f t="shared" si="664"/>
        <v>1900</v>
      </c>
      <c r="AR2366" s="6">
        <f t="shared" si="665"/>
        <v>1</v>
      </c>
    </row>
    <row r="2367" spans="2:44" x14ac:dyDescent="0.35">
      <c r="B2367" s="6" t="str">
        <f t="shared" si="648"/>
        <v>19001</v>
      </c>
      <c r="C2367" s="6">
        <f t="shared" si="649"/>
        <v>1900</v>
      </c>
      <c r="D2367" s="6">
        <f t="shared" si="650"/>
        <v>1</v>
      </c>
      <c r="J2367" s="6" t="str">
        <f t="shared" si="651"/>
        <v>19001</v>
      </c>
      <c r="K2367" s="6">
        <f t="shared" si="652"/>
        <v>1900</v>
      </c>
      <c r="L2367" s="6">
        <f t="shared" si="653"/>
        <v>1</v>
      </c>
      <c r="R2367" s="6" t="str">
        <f t="shared" si="654"/>
        <v>19001</v>
      </c>
      <c r="S2367" s="6">
        <f t="shared" si="655"/>
        <v>1900</v>
      </c>
      <c r="T2367" s="6">
        <f t="shared" si="656"/>
        <v>1</v>
      </c>
      <c r="Z2367" s="6" t="str">
        <f t="shared" ca="1" si="657"/>
        <v>20248</v>
      </c>
      <c r="AA2367" s="6">
        <f t="shared" ca="1" si="658"/>
        <v>2024</v>
      </c>
      <c r="AB2367" s="6">
        <f t="shared" ca="1" si="659"/>
        <v>8</v>
      </c>
      <c r="AC2367" s="68">
        <f ca="1">IFERROR(__xludf.DUMMYFUNCTION("""COMPUTED_VALUE"""),45519.9986111111)</f>
        <v>45519.998611111099</v>
      </c>
      <c r="AD2367" s="6">
        <f ca="1">IFERROR(__xludf.DUMMYFUNCTION("""COMPUTED_VALUE"""),1363.51)</f>
        <v>1363.51</v>
      </c>
      <c r="AH2367" s="6" t="str">
        <f t="shared" ca="1" si="660"/>
        <v>20246</v>
      </c>
      <c r="AI2367" s="6">
        <f t="shared" ca="1" si="661"/>
        <v>2024</v>
      </c>
      <c r="AJ2367" s="6">
        <f t="shared" ca="1" si="662"/>
        <v>6</v>
      </c>
      <c r="AK2367" s="68">
        <f ca="1">IFERROR(__xludf.DUMMYFUNCTION("""COMPUTED_VALUE"""),45461.9986111111)</f>
        <v>45461.998611111099</v>
      </c>
      <c r="AL2367" s="6">
        <f ca="1">IFERROR(__xludf.DUMMYFUNCTION("""COMPUTED_VALUE"""),65507.87)</f>
        <v>65507.87</v>
      </c>
      <c r="AP2367" s="6" t="str">
        <f t="shared" si="663"/>
        <v>19001</v>
      </c>
      <c r="AQ2367" s="6">
        <f t="shared" si="664"/>
        <v>1900</v>
      </c>
      <c r="AR2367" s="6">
        <f t="shared" si="665"/>
        <v>1</v>
      </c>
    </row>
    <row r="2368" spans="2:44" x14ac:dyDescent="0.35">
      <c r="B2368" s="6" t="str">
        <f t="shared" si="648"/>
        <v>19001</v>
      </c>
      <c r="C2368" s="6">
        <f t="shared" si="649"/>
        <v>1900</v>
      </c>
      <c r="D2368" s="6">
        <f t="shared" si="650"/>
        <v>1</v>
      </c>
      <c r="J2368" s="6" t="str">
        <f t="shared" si="651"/>
        <v>19001</v>
      </c>
      <c r="K2368" s="6">
        <f t="shared" si="652"/>
        <v>1900</v>
      </c>
      <c r="L2368" s="6">
        <f t="shared" si="653"/>
        <v>1</v>
      </c>
      <c r="R2368" s="6" t="str">
        <f t="shared" si="654"/>
        <v>19001</v>
      </c>
      <c r="S2368" s="6">
        <f t="shared" si="655"/>
        <v>1900</v>
      </c>
      <c r="T2368" s="6">
        <f t="shared" si="656"/>
        <v>1</v>
      </c>
      <c r="Z2368" s="6" t="str">
        <f t="shared" ca="1" si="657"/>
        <v>20248</v>
      </c>
      <c r="AA2368" s="6">
        <f t="shared" ca="1" si="658"/>
        <v>2024</v>
      </c>
      <c r="AB2368" s="6">
        <f t="shared" ca="1" si="659"/>
        <v>8</v>
      </c>
      <c r="AC2368" s="68">
        <f ca="1">IFERROR(__xludf.DUMMYFUNCTION("""COMPUTED_VALUE"""),45520.9986111111)</f>
        <v>45520.998611111099</v>
      </c>
      <c r="AD2368" s="6">
        <f ca="1">IFERROR(__xludf.DUMMYFUNCTION("""COMPUTED_VALUE"""),1348.97)</f>
        <v>1348.97</v>
      </c>
      <c r="AH2368" s="6" t="str">
        <f t="shared" ca="1" si="660"/>
        <v>20246</v>
      </c>
      <c r="AI2368" s="6">
        <f t="shared" ca="1" si="661"/>
        <v>2024</v>
      </c>
      <c r="AJ2368" s="6">
        <f t="shared" ca="1" si="662"/>
        <v>6</v>
      </c>
      <c r="AK2368" s="68">
        <f ca="1">IFERROR(__xludf.DUMMYFUNCTION("""COMPUTED_VALUE"""),45462.9986111111)</f>
        <v>45462.998611111099</v>
      </c>
      <c r="AL2368" s="6">
        <f ca="1">IFERROR(__xludf.DUMMYFUNCTION("""COMPUTED_VALUE"""),65411.28)</f>
        <v>65411.28</v>
      </c>
      <c r="AP2368" s="6" t="str">
        <f t="shared" si="663"/>
        <v>19001</v>
      </c>
      <c r="AQ2368" s="6">
        <f t="shared" si="664"/>
        <v>1900</v>
      </c>
      <c r="AR2368" s="6">
        <f t="shared" si="665"/>
        <v>1</v>
      </c>
    </row>
    <row r="2369" spans="2:44" x14ac:dyDescent="0.35">
      <c r="B2369" s="6" t="str">
        <f t="shared" si="648"/>
        <v>19001</v>
      </c>
      <c r="C2369" s="6">
        <f t="shared" si="649"/>
        <v>1900</v>
      </c>
      <c r="D2369" s="6">
        <f t="shared" si="650"/>
        <v>1</v>
      </c>
      <c r="J2369" s="6" t="str">
        <f t="shared" si="651"/>
        <v>19001</v>
      </c>
      <c r="K2369" s="6">
        <f t="shared" si="652"/>
        <v>1900</v>
      </c>
      <c r="L2369" s="6">
        <f t="shared" si="653"/>
        <v>1</v>
      </c>
      <c r="R2369" s="6" t="str">
        <f t="shared" si="654"/>
        <v>19001</v>
      </c>
      <c r="S2369" s="6">
        <f t="shared" si="655"/>
        <v>1900</v>
      </c>
      <c r="T2369" s="6">
        <f t="shared" si="656"/>
        <v>1</v>
      </c>
      <c r="Z2369" s="6" t="str">
        <f t="shared" ca="1" si="657"/>
        <v>20248</v>
      </c>
      <c r="AA2369" s="6">
        <f t="shared" ca="1" si="658"/>
        <v>2024</v>
      </c>
      <c r="AB2369" s="6">
        <f t="shared" ca="1" si="659"/>
        <v>8</v>
      </c>
      <c r="AC2369" s="68">
        <f ca="1">IFERROR(__xludf.DUMMYFUNCTION("""COMPUTED_VALUE"""),45521.9986111111)</f>
        <v>45521.998611111099</v>
      </c>
      <c r="AD2369" s="6">
        <f ca="1">IFERROR(__xludf.DUMMYFUNCTION("""COMPUTED_VALUE"""),1348.97)</f>
        <v>1348.97</v>
      </c>
      <c r="AH2369" s="6" t="str">
        <f t="shared" ca="1" si="660"/>
        <v>20246</v>
      </c>
      <c r="AI2369" s="6">
        <f t="shared" ca="1" si="661"/>
        <v>2024</v>
      </c>
      <c r="AJ2369" s="6">
        <f t="shared" ca="1" si="662"/>
        <v>6</v>
      </c>
      <c r="AK2369" s="68">
        <f ca="1">IFERROR(__xludf.DUMMYFUNCTION("""COMPUTED_VALUE"""),45463.9986111111)</f>
        <v>45463.998611111099</v>
      </c>
      <c r="AL2369" s="6">
        <f ca="1">IFERROR(__xludf.DUMMYFUNCTION("""COMPUTED_VALUE"""),65171.54)</f>
        <v>65171.54</v>
      </c>
      <c r="AP2369" s="6" t="str">
        <f t="shared" si="663"/>
        <v>19001</v>
      </c>
      <c r="AQ2369" s="6">
        <f t="shared" si="664"/>
        <v>1900</v>
      </c>
      <c r="AR2369" s="6">
        <f t="shared" si="665"/>
        <v>1</v>
      </c>
    </row>
    <row r="2370" spans="2:44" x14ac:dyDescent="0.35">
      <c r="B2370" s="6" t="str">
        <f t="shared" si="648"/>
        <v>19001</v>
      </c>
      <c r="C2370" s="6">
        <f t="shared" si="649"/>
        <v>1900</v>
      </c>
      <c r="D2370" s="6">
        <f t="shared" si="650"/>
        <v>1</v>
      </c>
      <c r="J2370" s="6" t="str">
        <f t="shared" si="651"/>
        <v>19001</v>
      </c>
      <c r="K2370" s="6">
        <f t="shared" si="652"/>
        <v>1900</v>
      </c>
      <c r="L2370" s="6">
        <f t="shared" si="653"/>
        <v>1</v>
      </c>
      <c r="R2370" s="6" t="str">
        <f t="shared" si="654"/>
        <v>19001</v>
      </c>
      <c r="S2370" s="6">
        <f t="shared" si="655"/>
        <v>1900</v>
      </c>
      <c r="T2370" s="6">
        <f t="shared" si="656"/>
        <v>1</v>
      </c>
      <c r="Z2370" s="6" t="str">
        <f t="shared" ca="1" si="657"/>
        <v>20248</v>
      </c>
      <c r="AA2370" s="6">
        <f t="shared" ca="1" si="658"/>
        <v>2024</v>
      </c>
      <c r="AB2370" s="6">
        <f t="shared" ca="1" si="659"/>
        <v>8</v>
      </c>
      <c r="AC2370" s="68">
        <f ca="1">IFERROR(__xludf.DUMMYFUNCTION("""COMPUTED_VALUE"""),45522.9986111111)</f>
        <v>45522.998611111099</v>
      </c>
      <c r="AD2370" s="6">
        <f ca="1">IFERROR(__xludf.DUMMYFUNCTION("""COMPUTED_VALUE"""),1348.98)</f>
        <v>1348.98</v>
      </c>
      <c r="AH2370" s="6" t="str">
        <f t="shared" ca="1" si="660"/>
        <v>20246</v>
      </c>
      <c r="AI2370" s="6">
        <f t="shared" ca="1" si="661"/>
        <v>2024</v>
      </c>
      <c r="AJ2370" s="6">
        <f t="shared" ca="1" si="662"/>
        <v>6</v>
      </c>
      <c r="AK2370" s="68">
        <f ca="1">IFERROR(__xludf.DUMMYFUNCTION("""COMPUTED_VALUE"""),45464.9986111111)</f>
        <v>45464.998611111099</v>
      </c>
      <c r="AL2370" s="6">
        <f ca="1">IFERROR(__xludf.DUMMYFUNCTION("""COMPUTED_VALUE"""),64652.56)</f>
        <v>64652.56</v>
      </c>
      <c r="AP2370" s="6" t="str">
        <f t="shared" si="663"/>
        <v>19001</v>
      </c>
      <c r="AQ2370" s="6">
        <f t="shared" si="664"/>
        <v>1900</v>
      </c>
      <c r="AR2370" s="6">
        <f t="shared" si="665"/>
        <v>1</v>
      </c>
    </row>
    <row r="2371" spans="2:44" x14ac:dyDescent="0.35">
      <c r="B2371" s="6" t="str">
        <f t="shared" si="648"/>
        <v>19001</v>
      </c>
      <c r="C2371" s="6">
        <f t="shared" si="649"/>
        <v>1900</v>
      </c>
      <c r="D2371" s="6">
        <f t="shared" si="650"/>
        <v>1</v>
      </c>
      <c r="J2371" s="6" t="str">
        <f t="shared" si="651"/>
        <v>19001</v>
      </c>
      <c r="K2371" s="6">
        <f t="shared" si="652"/>
        <v>1900</v>
      </c>
      <c r="L2371" s="6">
        <f t="shared" si="653"/>
        <v>1</v>
      </c>
      <c r="R2371" s="6" t="str">
        <f t="shared" si="654"/>
        <v>19001</v>
      </c>
      <c r="S2371" s="6">
        <f t="shared" si="655"/>
        <v>1900</v>
      </c>
      <c r="T2371" s="6">
        <f t="shared" si="656"/>
        <v>1</v>
      </c>
      <c r="Z2371" s="6" t="str">
        <f t="shared" ca="1" si="657"/>
        <v>20248</v>
      </c>
      <c r="AA2371" s="6">
        <f t="shared" ca="1" si="658"/>
        <v>2024</v>
      </c>
      <c r="AB2371" s="6">
        <f t="shared" ca="1" si="659"/>
        <v>8</v>
      </c>
      <c r="AC2371" s="68">
        <f ca="1">IFERROR(__xludf.DUMMYFUNCTION("""COMPUTED_VALUE"""),45523.9986111111)</f>
        <v>45523.998611111099</v>
      </c>
      <c r="AD2371" s="6">
        <f ca="1">IFERROR(__xludf.DUMMYFUNCTION("""COMPUTED_VALUE"""),1330.88)</f>
        <v>1330.88</v>
      </c>
      <c r="AH2371" s="6" t="str">
        <f t="shared" ca="1" si="660"/>
        <v>20246</v>
      </c>
      <c r="AI2371" s="6">
        <f t="shared" ca="1" si="661"/>
        <v>2024</v>
      </c>
      <c r="AJ2371" s="6">
        <f t="shared" ca="1" si="662"/>
        <v>6</v>
      </c>
      <c r="AK2371" s="68">
        <f ca="1">IFERROR(__xludf.DUMMYFUNCTION("""COMPUTED_VALUE"""),45465.9986111111)</f>
        <v>45465.998611111099</v>
      </c>
      <c r="AL2371" s="6">
        <f ca="1">IFERROR(__xludf.DUMMYFUNCTION("""COMPUTED_VALUE"""),64283.77)</f>
        <v>64283.77</v>
      </c>
      <c r="AP2371" s="6" t="str">
        <f t="shared" si="663"/>
        <v>19001</v>
      </c>
      <c r="AQ2371" s="6">
        <f t="shared" si="664"/>
        <v>1900</v>
      </c>
      <c r="AR2371" s="6">
        <f t="shared" si="665"/>
        <v>1</v>
      </c>
    </row>
    <row r="2372" spans="2:44" x14ac:dyDescent="0.35">
      <c r="B2372" s="6" t="str">
        <f t="shared" si="648"/>
        <v>19001</v>
      </c>
      <c r="C2372" s="6">
        <f t="shared" si="649"/>
        <v>1900</v>
      </c>
      <c r="D2372" s="6">
        <f t="shared" si="650"/>
        <v>1</v>
      </c>
      <c r="J2372" s="6" t="str">
        <f t="shared" si="651"/>
        <v>19001</v>
      </c>
      <c r="K2372" s="6">
        <f t="shared" si="652"/>
        <v>1900</v>
      </c>
      <c r="L2372" s="6">
        <f t="shared" si="653"/>
        <v>1</v>
      </c>
      <c r="R2372" s="6" t="str">
        <f t="shared" si="654"/>
        <v>19001</v>
      </c>
      <c r="S2372" s="6">
        <f t="shared" si="655"/>
        <v>1900</v>
      </c>
      <c r="T2372" s="6">
        <f t="shared" si="656"/>
        <v>1</v>
      </c>
      <c r="Z2372" s="6" t="str">
        <f t="shared" ca="1" si="657"/>
        <v>20248</v>
      </c>
      <c r="AA2372" s="6">
        <f t="shared" ca="1" si="658"/>
        <v>2024</v>
      </c>
      <c r="AB2372" s="6">
        <f t="shared" ca="1" si="659"/>
        <v>8</v>
      </c>
      <c r="AC2372" s="68">
        <f ca="1">IFERROR(__xludf.DUMMYFUNCTION("""COMPUTED_VALUE"""),45524.9986111111)</f>
        <v>45524.998611111099</v>
      </c>
      <c r="AD2372" s="6">
        <f ca="1">IFERROR(__xludf.DUMMYFUNCTION("""COMPUTED_VALUE"""),1327.58)</f>
        <v>1327.58</v>
      </c>
      <c r="AH2372" s="6" t="str">
        <f t="shared" ca="1" si="660"/>
        <v>20246</v>
      </c>
      <c r="AI2372" s="6">
        <f t="shared" ca="1" si="661"/>
        <v>2024</v>
      </c>
      <c r="AJ2372" s="6">
        <f t="shared" ca="1" si="662"/>
        <v>6</v>
      </c>
      <c r="AK2372" s="68">
        <f ca="1">IFERROR(__xludf.DUMMYFUNCTION("""COMPUTED_VALUE"""),45466.9986111111)</f>
        <v>45466.998611111099</v>
      </c>
      <c r="AL2372" s="6">
        <f ca="1">IFERROR(__xludf.DUMMYFUNCTION("""COMPUTED_VALUE"""),64407)</f>
        <v>64407</v>
      </c>
      <c r="AP2372" s="6" t="str">
        <f t="shared" si="663"/>
        <v>19001</v>
      </c>
      <c r="AQ2372" s="6">
        <f t="shared" si="664"/>
        <v>1900</v>
      </c>
      <c r="AR2372" s="6">
        <f t="shared" si="665"/>
        <v>1</v>
      </c>
    </row>
    <row r="2373" spans="2:44" x14ac:dyDescent="0.35">
      <c r="B2373" s="6" t="str">
        <f t="shared" si="648"/>
        <v>19001</v>
      </c>
      <c r="C2373" s="6">
        <f t="shared" si="649"/>
        <v>1900</v>
      </c>
      <c r="D2373" s="6">
        <f t="shared" si="650"/>
        <v>1</v>
      </c>
      <c r="J2373" s="6" t="str">
        <f t="shared" si="651"/>
        <v>19001</v>
      </c>
      <c r="K2373" s="6">
        <f t="shared" si="652"/>
        <v>1900</v>
      </c>
      <c r="L2373" s="6">
        <f t="shared" si="653"/>
        <v>1</v>
      </c>
      <c r="R2373" s="6" t="str">
        <f t="shared" si="654"/>
        <v>19001</v>
      </c>
      <c r="S2373" s="6">
        <f t="shared" si="655"/>
        <v>1900</v>
      </c>
      <c r="T2373" s="6">
        <f t="shared" si="656"/>
        <v>1</v>
      </c>
      <c r="Z2373" s="6" t="str">
        <f t="shared" ca="1" si="657"/>
        <v>20248</v>
      </c>
      <c r="AA2373" s="6">
        <f t="shared" ca="1" si="658"/>
        <v>2024</v>
      </c>
      <c r="AB2373" s="6">
        <f t="shared" ca="1" si="659"/>
        <v>8</v>
      </c>
      <c r="AC2373" s="68">
        <f ca="1">IFERROR(__xludf.DUMMYFUNCTION("""COMPUTED_VALUE"""),45525.9986111111)</f>
        <v>45525.998611111099</v>
      </c>
      <c r="AD2373" s="6">
        <f ca="1">IFERROR(__xludf.DUMMYFUNCTION("""COMPUTED_VALUE"""),1333.66)</f>
        <v>1333.66</v>
      </c>
      <c r="AH2373" s="6" t="str">
        <f t="shared" ca="1" si="660"/>
        <v>20246</v>
      </c>
      <c r="AI2373" s="6">
        <f t="shared" ca="1" si="661"/>
        <v>2024</v>
      </c>
      <c r="AJ2373" s="6">
        <f t="shared" ca="1" si="662"/>
        <v>6</v>
      </c>
      <c r="AK2373" s="68">
        <f ca="1">IFERROR(__xludf.DUMMYFUNCTION("""COMPUTED_VALUE"""),45467.9986111111)</f>
        <v>45467.998611111099</v>
      </c>
      <c r="AL2373" s="6">
        <f ca="1">IFERROR(__xludf.DUMMYFUNCTION("""COMPUTED_VALUE"""),62860.14)</f>
        <v>62860.14</v>
      </c>
      <c r="AP2373" s="6" t="str">
        <f t="shared" si="663"/>
        <v>19001</v>
      </c>
      <c r="AQ2373" s="6">
        <f t="shared" si="664"/>
        <v>1900</v>
      </c>
      <c r="AR2373" s="6">
        <f t="shared" si="665"/>
        <v>1</v>
      </c>
    </row>
    <row r="2374" spans="2:44" x14ac:dyDescent="0.35">
      <c r="B2374" s="6" t="str">
        <f t="shared" si="648"/>
        <v>19001</v>
      </c>
      <c r="C2374" s="6">
        <f t="shared" si="649"/>
        <v>1900</v>
      </c>
      <c r="D2374" s="6">
        <f t="shared" si="650"/>
        <v>1</v>
      </c>
      <c r="J2374" s="6" t="str">
        <f t="shared" si="651"/>
        <v>19001</v>
      </c>
      <c r="K2374" s="6">
        <f t="shared" si="652"/>
        <v>1900</v>
      </c>
      <c r="L2374" s="6">
        <f t="shared" si="653"/>
        <v>1</v>
      </c>
      <c r="R2374" s="6" t="str">
        <f t="shared" si="654"/>
        <v>19001</v>
      </c>
      <c r="S2374" s="6">
        <f t="shared" si="655"/>
        <v>1900</v>
      </c>
      <c r="T2374" s="6">
        <f t="shared" si="656"/>
        <v>1</v>
      </c>
      <c r="Z2374" s="6" t="str">
        <f t="shared" ca="1" si="657"/>
        <v>20248</v>
      </c>
      <c r="AA2374" s="6">
        <f t="shared" ca="1" si="658"/>
        <v>2024</v>
      </c>
      <c r="AB2374" s="6">
        <f t="shared" ca="1" si="659"/>
        <v>8</v>
      </c>
      <c r="AC2374" s="68">
        <f ca="1">IFERROR(__xludf.DUMMYFUNCTION("""COMPUTED_VALUE"""),45526.9986111111)</f>
        <v>45526.998611111099</v>
      </c>
      <c r="AD2374" s="6">
        <f ca="1">IFERROR(__xludf.DUMMYFUNCTION("""COMPUTED_VALUE"""),1339.54)</f>
        <v>1339.54</v>
      </c>
      <c r="AH2374" s="6" t="str">
        <f t="shared" ca="1" si="660"/>
        <v>20246</v>
      </c>
      <c r="AI2374" s="6">
        <f t="shared" ca="1" si="661"/>
        <v>2024</v>
      </c>
      <c r="AJ2374" s="6">
        <f t="shared" ca="1" si="662"/>
        <v>6</v>
      </c>
      <c r="AK2374" s="68">
        <f ca="1">IFERROR(__xludf.DUMMYFUNCTION("""COMPUTED_VALUE"""),45468.9986111111)</f>
        <v>45468.998611111099</v>
      </c>
      <c r="AL2374" s="6">
        <f ca="1">IFERROR(__xludf.DUMMYFUNCTION("""COMPUTED_VALUE"""),61352.41)</f>
        <v>61352.41</v>
      </c>
      <c r="AP2374" s="6" t="str">
        <f t="shared" si="663"/>
        <v>19001</v>
      </c>
      <c r="AQ2374" s="6">
        <f t="shared" si="664"/>
        <v>1900</v>
      </c>
      <c r="AR2374" s="6">
        <f t="shared" si="665"/>
        <v>1</v>
      </c>
    </row>
    <row r="2375" spans="2:44" x14ac:dyDescent="0.35">
      <c r="B2375" s="6" t="str">
        <f t="shared" ref="B2375:B2438" si="666">C2375&amp;D2375</f>
        <v>19001</v>
      </c>
      <c r="C2375" s="6">
        <f t="shared" ref="C2375:C2438" si="667">YEAR(E2375)</f>
        <v>1900</v>
      </c>
      <c r="D2375" s="6">
        <f t="shared" ref="D2375:D2438" si="668">MONTH(E2375)</f>
        <v>1</v>
      </c>
      <c r="J2375" s="6" t="str">
        <f t="shared" ref="J2375:J2438" si="669">K2375&amp;L2375</f>
        <v>19001</v>
      </c>
      <c r="K2375" s="6">
        <f t="shared" ref="K2375:K2438" si="670">YEAR(M2375)</f>
        <v>1900</v>
      </c>
      <c r="L2375" s="6">
        <f t="shared" ref="L2375:L2438" si="671">MONTH(M2375)</f>
        <v>1</v>
      </c>
      <c r="R2375" s="6" t="str">
        <f t="shared" ref="R2375:R2438" si="672">S2375&amp;T2375</f>
        <v>19001</v>
      </c>
      <c r="S2375" s="6">
        <f t="shared" ref="S2375:S2438" si="673">YEAR(U2375)</f>
        <v>1900</v>
      </c>
      <c r="T2375" s="6">
        <f t="shared" ref="T2375:T2438" si="674">MONTH(U2375)</f>
        <v>1</v>
      </c>
      <c r="Z2375" s="6" t="str">
        <f t="shared" ref="Z2375:Z2438" ca="1" si="675">AA2375&amp;AB2375</f>
        <v>20248</v>
      </c>
      <c r="AA2375" s="6">
        <f t="shared" ref="AA2375:AA2438" ca="1" si="676">YEAR(AC2375)</f>
        <v>2024</v>
      </c>
      <c r="AB2375" s="6">
        <f t="shared" ref="AB2375:AB2438" ca="1" si="677">MONTH(AC2375)</f>
        <v>8</v>
      </c>
      <c r="AC2375" s="68">
        <f ca="1">IFERROR(__xludf.DUMMYFUNCTION("""COMPUTED_VALUE"""),45527.9986111111)</f>
        <v>45527.998611111099</v>
      </c>
      <c r="AD2375" s="6">
        <f ca="1">IFERROR(__xludf.DUMMYFUNCTION("""COMPUTED_VALUE"""),1323.8)</f>
        <v>1323.8</v>
      </c>
      <c r="AH2375" s="6" t="str">
        <f t="shared" ref="AH2375:AH2438" ca="1" si="678">AI2375&amp;AJ2375</f>
        <v>20246</v>
      </c>
      <c r="AI2375" s="6">
        <f t="shared" ref="AI2375:AI2438" ca="1" si="679">YEAR(AK2375)</f>
        <v>2024</v>
      </c>
      <c r="AJ2375" s="6">
        <f t="shared" ref="AJ2375:AJ2438" ca="1" si="680">MONTH(AK2375)</f>
        <v>6</v>
      </c>
      <c r="AK2375" s="68">
        <f ca="1">IFERROR(__xludf.DUMMYFUNCTION("""COMPUTED_VALUE"""),45469.9986111111)</f>
        <v>45469.998611111099</v>
      </c>
      <c r="AL2375" s="6">
        <f ca="1">IFERROR(__xludf.DUMMYFUNCTION("""COMPUTED_VALUE"""),61958.77)</f>
        <v>61958.77</v>
      </c>
      <c r="AP2375" s="6" t="str">
        <f t="shared" ref="AP2375:AP2438" si="681">AQ2375&amp;AR2375</f>
        <v>19001</v>
      </c>
      <c r="AQ2375" s="6">
        <f t="shared" ref="AQ2375:AQ2438" si="682">YEAR(AS2375)</f>
        <v>1900</v>
      </c>
      <c r="AR2375" s="6">
        <f t="shared" ref="AR2375:AR2438" si="683">MONTH(AS2375)</f>
        <v>1</v>
      </c>
    </row>
    <row r="2376" spans="2:44" x14ac:dyDescent="0.35">
      <c r="B2376" s="6" t="str">
        <f t="shared" si="666"/>
        <v>19001</v>
      </c>
      <c r="C2376" s="6">
        <f t="shared" si="667"/>
        <v>1900</v>
      </c>
      <c r="D2376" s="6">
        <f t="shared" si="668"/>
        <v>1</v>
      </c>
      <c r="J2376" s="6" t="str">
        <f t="shared" si="669"/>
        <v>19001</v>
      </c>
      <c r="K2376" s="6">
        <f t="shared" si="670"/>
        <v>1900</v>
      </c>
      <c r="L2376" s="6">
        <f t="shared" si="671"/>
        <v>1</v>
      </c>
      <c r="R2376" s="6" t="str">
        <f t="shared" si="672"/>
        <v>19001</v>
      </c>
      <c r="S2376" s="6">
        <f t="shared" si="673"/>
        <v>1900</v>
      </c>
      <c r="T2376" s="6">
        <f t="shared" si="674"/>
        <v>1</v>
      </c>
      <c r="Z2376" s="6" t="str">
        <f t="shared" ca="1" si="675"/>
        <v>20248</v>
      </c>
      <c r="AA2376" s="6">
        <f t="shared" ca="1" si="676"/>
        <v>2024</v>
      </c>
      <c r="AB2376" s="6">
        <f t="shared" ca="1" si="677"/>
        <v>8</v>
      </c>
      <c r="AC2376" s="68">
        <f ca="1">IFERROR(__xludf.DUMMYFUNCTION("""COMPUTED_VALUE"""),45528.9986111111)</f>
        <v>45528.998611111099</v>
      </c>
      <c r="AD2376" s="6">
        <f ca="1">IFERROR(__xludf.DUMMYFUNCTION("""COMPUTED_VALUE"""),1323.8)</f>
        <v>1323.8</v>
      </c>
      <c r="AH2376" s="6" t="str">
        <f t="shared" ca="1" si="678"/>
        <v>20246</v>
      </c>
      <c r="AI2376" s="6">
        <f t="shared" ca="1" si="679"/>
        <v>2024</v>
      </c>
      <c r="AJ2376" s="6">
        <f t="shared" ca="1" si="680"/>
        <v>6</v>
      </c>
      <c r="AK2376" s="68">
        <f ca="1">IFERROR(__xludf.DUMMYFUNCTION("""COMPUTED_VALUE"""),45470.9986111111)</f>
        <v>45470.998611111099</v>
      </c>
      <c r="AL2376" s="6">
        <f ca="1">IFERROR(__xludf.DUMMYFUNCTION("""COMPUTED_VALUE"""),61006.5)</f>
        <v>61006.5</v>
      </c>
      <c r="AP2376" s="6" t="str">
        <f t="shared" si="681"/>
        <v>19001</v>
      </c>
      <c r="AQ2376" s="6">
        <f t="shared" si="682"/>
        <v>1900</v>
      </c>
      <c r="AR2376" s="6">
        <f t="shared" si="683"/>
        <v>1</v>
      </c>
    </row>
    <row r="2377" spans="2:44" x14ac:dyDescent="0.35">
      <c r="B2377" s="6" t="str">
        <f t="shared" si="666"/>
        <v>19001</v>
      </c>
      <c r="C2377" s="6">
        <f t="shared" si="667"/>
        <v>1900</v>
      </c>
      <c r="D2377" s="6">
        <f t="shared" si="668"/>
        <v>1</v>
      </c>
      <c r="J2377" s="6" t="str">
        <f t="shared" si="669"/>
        <v>19001</v>
      </c>
      <c r="K2377" s="6">
        <f t="shared" si="670"/>
        <v>1900</v>
      </c>
      <c r="L2377" s="6">
        <f t="shared" si="671"/>
        <v>1</v>
      </c>
      <c r="R2377" s="6" t="str">
        <f t="shared" si="672"/>
        <v>19001</v>
      </c>
      <c r="S2377" s="6">
        <f t="shared" si="673"/>
        <v>1900</v>
      </c>
      <c r="T2377" s="6">
        <f t="shared" si="674"/>
        <v>1</v>
      </c>
      <c r="Z2377" s="6" t="str">
        <f t="shared" ca="1" si="675"/>
        <v>20248</v>
      </c>
      <c r="AA2377" s="6">
        <f t="shared" ca="1" si="676"/>
        <v>2024</v>
      </c>
      <c r="AB2377" s="6">
        <f t="shared" ca="1" si="677"/>
        <v>8</v>
      </c>
      <c r="AC2377" s="68">
        <f ca="1">IFERROR(__xludf.DUMMYFUNCTION("""COMPUTED_VALUE"""),45529.9986111111)</f>
        <v>45529.998611111099</v>
      </c>
      <c r="AD2377" s="6">
        <f ca="1">IFERROR(__xludf.DUMMYFUNCTION("""COMPUTED_VALUE"""),1323.88)</f>
        <v>1323.88</v>
      </c>
      <c r="AH2377" s="6" t="str">
        <f t="shared" ca="1" si="678"/>
        <v>20246</v>
      </c>
      <c r="AI2377" s="6">
        <f t="shared" ca="1" si="679"/>
        <v>2024</v>
      </c>
      <c r="AJ2377" s="6">
        <f t="shared" ca="1" si="680"/>
        <v>6</v>
      </c>
      <c r="AK2377" s="68">
        <f ca="1">IFERROR(__xludf.DUMMYFUNCTION("""COMPUTED_VALUE"""),45471.9986111111)</f>
        <v>45471.998611111099</v>
      </c>
      <c r="AL2377" s="6">
        <f ca="1">IFERROR(__xludf.DUMMYFUNCTION("""COMPUTED_VALUE"""),61814.18)</f>
        <v>61814.18</v>
      </c>
      <c r="AP2377" s="6" t="str">
        <f t="shared" si="681"/>
        <v>19001</v>
      </c>
      <c r="AQ2377" s="6">
        <f t="shared" si="682"/>
        <v>1900</v>
      </c>
      <c r="AR2377" s="6">
        <f t="shared" si="683"/>
        <v>1</v>
      </c>
    </row>
    <row r="2378" spans="2:44" x14ac:dyDescent="0.35">
      <c r="B2378" s="6" t="str">
        <f t="shared" si="666"/>
        <v>19001</v>
      </c>
      <c r="C2378" s="6">
        <f t="shared" si="667"/>
        <v>1900</v>
      </c>
      <c r="D2378" s="6">
        <f t="shared" si="668"/>
        <v>1</v>
      </c>
      <c r="J2378" s="6" t="str">
        <f t="shared" si="669"/>
        <v>19001</v>
      </c>
      <c r="K2378" s="6">
        <f t="shared" si="670"/>
        <v>1900</v>
      </c>
      <c r="L2378" s="6">
        <f t="shared" si="671"/>
        <v>1</v>
      </c>
      <c r="R2378" s="6" t="str">
        <f t="shared" si="672"/>
        <v>19001</v>
      </c>
      <c r="S2378" s="6">
        <f t="shared" si="673"/>
        <v>1900</v>
      </c>
      <c r="T2378" s="6">
        <f t="shared" si="674"/>
        <v>1</v>
      </c>
      <c r="Z2378" s="6" t="str">
        <f t="shared" ca="1" si="675"/>
        <v>20248</v>
      </c>
      <c r="AA2378" s="6">
        <f t="shared" ca="1" si="676"/>
        <v>2024</v>
      </c>
      <c r="AB2378" s="6">
        <f t="shared" ca="1" si="677"/>
        <v>8</v>
      </c>
      <c r="AC2378" s="68">
        <f ca="1">IFERROR(__xludf.DUMMYFUNCTION("""COMPUTED_VALUE"""),45530.9986111111)</f>
        <v>45530.998611111099</v>
      </c>
      <c r="AD2378" s="6">
        <f ca="1">IFERROR(__xludf.DUMMYFUNCTION("""COMPUTED_VALUE"""),1326.64)</f>
        <v>1326.64</v>
      </c>
      <c r="AH2378" s="6" t="str">
        <f t="shared" ca="1" si="678"/>
        <v>20246</v>
      </c>
      <c r="AI2378" s="6">
        <f t="shared" ca="1" si="679"/>
        <v>2024</v>
      </c>
      <c r="AJ2378" s="6">
        <f t="shared" ca="1" si="680"/>
        <v>6</v>
      </c>
      <c r="AK2378" s="68">
        <f ca="1">IFERROR(__xludf.DUMMYFUNCTION("""COMPUTED_VALUE"""),45472.9986111111)</f>
        <v>45472.998611111099</v>
      </c>
      <c r="AL2378" s="6">
        <f ca="1">IFERROR(__xludf.DUMMYFUNCTION("""COMPUTED_VALUE"""),60684.36)</f>
        <v>60684.36</v>
      </c>
      <c r="AP2378" s="6" t="str">
        <f t="shared" si="681"/>
        <v>19001</v>
      </c>
      <c r="AQ2378" s="6">
        <f t="shared" si="682"/>
        <v>1900</v>
      </c>
      <c r="AR2378" s="6">
        <f t="shared" si="683"/>
        <v>1</v>
      </c>
    </row>
    <row r="2379" spans="2:44" x14ac:dyDescent="0.35">
      <c r="B2379" s="6" t="str">
        <f t="shared" si="666"/>
        <v>19001</v>
      </c>
      <c r="C2379" s="6">
        <f t="shared" si="667"/>
        <v>1900</v>
      </c>
      <c r="D2379" s="6">
        <f t="shared" si="668"/>
        <v>1</v>
      </c>
      <c r="J2379" s="6" t="str">
        <f t="shared" si="669"/>
        <v>19001</v>
      </c>
      <c r="K2379" s="6">
        <f t="shared" si="670"/>
        <v>1900</v>
      </c>
      <c r="L2379" s="6">
        <f t="shared" si="671"/>
        <v>1</v>
      </c>
      <c r="R2379" s="6" t="str">
        <f t="shared" si="672"/>
        <v>19001</v>
      </c>
      <c r="S2379" s="6">
        <f t="shared" si="673"/>
        <v>1900</v>
      </c>
      <c r="T2379" s="6">
        <f t="shared" si="674"/>
        <v>1</v>
      </c>
      <c r="Z2379" s="6" t="str">
        <f t="shared" ca="1" si="675"/>
        <v>20248</v>
      </c>
      <c r="AA2379" s="6">
        <f t="shared" ca="1" si="676"/>
        <v>2024</v>
      </c>
      <c r="AB2379" s="6">
        <f t="shared" ca="1" si="677"/>
        <v>8</v>
      </c>
      <c r="AC2379" s="68">
        <f ca="1">IFERROR(__xludf.DUMMYFUNCTION("""COMPUTED_VALUE"""),45531.9986111111)</f>
        <v>45531.998611111099</v>
      </c>
      <c r="AD2379" s="6">
        <f ca="1">IFERROR(__xludf.DUMMYFUNCTION("""COMPUTED_VALUE"""),1326.36)</f>
        <v>1326.36</v>
      </c>
      <c r="AH2379" s="6" t="str">
        <f t="shared" ca="1" si="678"/>
        <v>20246</v>
      </c>
      <c r="AI2379" s="6">
        <f t="shared" ca="1" si="679"/>
        <v>2024</v>
      </c>
      <c r="AJ2379" s="6">
        <f t="shared" ca="1" si="680"/>
        <v>6</v>
      </c>
      <c r="AK2379" s="68">
        <f ca="1">IFERROR(__xludf.DUMMYFUNCTION("""COMPUTED_VALUE"""),45473.9986111111)</f>
        <v>45473.998611111099</v>
      </c>
      <c r="AL2379" s="6">
        <f ca="1">IFERROR(__xludf.DUMMYFUNCTION("""COMPUTED_VALUE"""),60860.1)</f>
        <v>60860.1</v>
      </c>
      <c r="AP2379" s="6" t="str">
        <f t="shared" si="681"/>
        <v>19001</v>
      </c>
      <c r="AQ2379" s="6">
        <f t="shared" si="682"/>
        <v>1900</v>
      </c>
      <c r="AR2379" s="6">
        <f t="shared" si="683"/>
        <v>1</v>
      </c>
    </row>
    <row r="2380" spans="2:44" x14ac:dyDescent="0.35">
      <c r="B2380" s="6" t="str">
        <f t="shared" si="666"/>
        <v>19001</v>
      </c>
      <c r="C2380" s="6">
        <f t="shared" si="667"/>
        <v>1900</v>
      </c>
      <c r="D2380" s="6">
        <f t="shared" si="668"/>
        <v>1</v>
      </c>
      <c r="J2380" s="6" t="str">
        <f t="shared" si="669"/>
        <v>19001</v>
      </c>
      <c r="K2380" s="6">
        <f t="shared" si="670"/>
        <v>1900</v>
      </c>
      <c r="L2380" s="6">
        <f t="shared" si="671"/>
        <v>1</v>
      </c>
      <c r="R2380" s="6" t="str">
        <f t="shared" si="672"/>
        <v>19001</v>
      </c>
      <c r="S2380" s="6">
        <f t="shared" si="673"/>
        <v>1900</v>
      </c>
      <c r="T2380" s="6">
        <f t="shared" si="674"/>
        <v>1</v>
      </c>
      <c r="Z2380" s="6" t="str">
        <f t="shared" ca="1" si="675"/>
        <v>20248</v>
      </c>
      <c r="AA2380" s="6">
        <f t="shared" ca="1" si="676"/>
        <v>2024</v>
      </c>
      <c r="AB2380" s="6">
        <f t="shared" ca="1" si="677"/>
        <v>8</v>
      </c>
      <c r="AC2380" s="68">
        <f ca="1">IFERROR(__xludf.DUMMYFUNCTION("""COMPUTED_VALUE"""),45532.9986111111)</f>
        <v>45532.998611111099</v>
      </c>
      <c r="AD2380" s="6">
        <f ca="1">IFERROR(__xludf.DUMMYFUNCTION("""COMPUTED_VALUE"""),1336.69)</f>
        <v>1336.69</v>
      </c>
      <c r="AH2380" s="6" t="str">
        <f t="shared" ca="1" si="678"/>
        <v>20247</v>
      </c>
      <c r="AI2380" s="6">
        <f t="shared" ca="1" si="679"/>
        <v>2024</v>
      </c>
      <c r="AJ2380" s="6">
        <f t="shared" ca="1" si="680"/>
        <v>7</v>
      </c>
      <c r="AK2380" s="68">
        <f ca="1">IFERROR(__xludf.DUMMYFUNCTION("""COMPUTED_VALUE"""),45474.9986111111)</f>
        <v>45474.998611111099</v>
      </c>
      <c r="AL2380" s="6">
        <f ca="1">IFERROR(__xludf.DUMMYFUNCTION("""COMPUTED_VALUE"""),63352.62)</f>
        <v>63352.62</v>
      </c>
      <c r="AP2380" s="6" t="str">
        <f t="shared" si="681"/>
        <v>19001</v>
      </c>
      <c r="AQ2380" s="6">
        <f t="shared" si="682"/>
        <v>1900</v>
      </c>
      <c r="AR2380" s="6">
        <f t="shared" si="683"/>
        <v>1</v>
      </c>
    </row>
    <row r="2381" spans="2:44" x14ac:dyDescent="0.35">
      <c r="B2381" s="6" t="str">
        <f t="shared" si="666"/>
        <v>19001</v>
      </c>
      <c r="C2381" s="6">
        <f t="shared" si="667"/>
        <v>1900</v>
      </c>
      <c r="D2381" s="6">
        <f t="shared" si="668"/>
        <v>1</v>
      </c>
      <c r="J2381" s="6" t="str">
        <f t="shared" si="669"/>
        <v>19001</v>
      </c>
      <c r="K2381" s="6">
        <f t="shared" si="670"/>
        <v>1900</v>
      </c>
      <c r="L2381" s="6">
        <f t="shared" si="671"/>
        <v>1</v>
      </c>
      <c r="R2381" s="6" t="str">
        <f t="shared" si="672"/>
        <v>19001</v>
      </c>
      <c r="S2381" s="6">
        <f t="shared" si="673"/>
        <v>1900</v>
      </c>
      <c r="T2381" s="6">
        <f t="shared" si="674"/>
        <v>1</v>
      </c>
      <c r="Z2381" s="6" t="str">
        <f t="shared" ca="1" si="675"/>
        <v>20248</v>
      </c>
      <c r="AA2381" s="6">
        <f t="shared" ca="1" si="676"/>
        <v>2024</v>
      </c>
      <c r="AB2381" s="6">
        <f t="shared" ca="1" si="677"/>
        <v>8</v>
      </c>
      <c r="AC2381" s="68">
        <f ca="1">IFERROR(__xludf.DUMMYFUNCTION("""COMPUTED_VALUE"""),45533.9986111111)</f>
        <v>45533.998611111099</v>
      </c>
      <c r="AD2381" s="6">
        <f ca="1">IFERROR(__xludf.DUMMYFUNCTION("""COMPUTED_VALUE"""),1332.88)</f>
        <v>1332.88</v>
      </c>
      <c r="AH2381" s="6" t="str">
        <f t="shared" ca="1" si="678"/>
        <v>20247</v>
      </c>
      <c r="AI2381" s="6">
        <f t="shared" ca="1" si="679"/>
        <v>2024</v>
      </c>
      <c r="AJ2381" s="6">
        <f t="shared" ca="1" si="680"/>
        <v>7</v>
      </c>
      <c r="AK2381" s="68">
        <f ca="1">IFERROR(__xludf.DUMMYFUNCTION("""COMPUTED_VALUE"""),45475.9986111111)</f>
        <v>45475.998611111099</v>
      </c>
      <c r="AL2381" s="6">
        <f ca="1">IFERROR(__xludf.DUMMYFUNCTION("""COMPUTED_VALUE"""),63112.1)</f>
        <v>63112.1</v>
      </c>
      <c r="AP2381" s="6" t="str">
        <f t="shared" si="681"/>
        <v>19001</v>
      </c>
      <c r="AQ2381" s="6">
        <f t="shared" si="682"/>
        <v>1900</v>
      </c>
      <c r="AR2381" s="6">
        <f t="shared" si="683"/>
        <v>1</v>
      </c>
    </row>
    <row r="2382" spans="2:44" x14ac:dyDescent="0.35">
      <c r="B2382" s="6" t="str">
        <f t="shared" si="666"/>
        <v>19001</v>
      </c>
      <c r="C2382" s="6">
        <f t="shared" si="667"/>
        <v>1900</v>
      </c>
      <c r="D2382" s="6">
        <f t="shared" si="668"/>
        <v>1</v>
      </c>
      <c r="J2382" s="6" t="str">
        <f t="shared" si="669"/>
        <v>19001</v>
      </c>
      <c r="K2382" s="6">
        <f t="shared" si="670"/>
        <v>1900</v>
      </c>
      <c r="L2382" s="6">
        <f t="shared" si="671"/>
        <v>1</v>
      </c>
      <c r="R2382" s="6" t="str">
        <f t="shared" si="672"/>
        <v>19001</v>
      </c>
      <c r="S2382" s="6">
        <f t="shared" si="673"/>
        <v>1900</v>
      </c>
      <c r="T2382" s="6">
        <f t="shared" si="674"/>
        <v>1</v>
      </c>
      <c r="Z2382" s="6" t="str">
        <f t="shared" ca="1" si="675"/>
        <v>20248</v>
      </c>
      <c r="AA2382" s="6">
        <f t="shared" ca="1" si="676"/>
        <v>2024</v>
      </c>
      <c r="AB2382" s="6">
        <f t="shared" ca="1" si="677"/>
        <v>8</v>
      </c>
      <c r="AC2382" s="68">
        <f ca="1">IFERROR(__xludf.DUMMYFUNCTION("""COMPUTED_VALUE"""),45534.9986111111)</f>
        <v>45534.998611111099</v>
      </c>
      <c r="AD2382" s="6">
        <f ca="1">IFERROR(__xludf.DUMMYFUNCTION("""COMPUTED_VALUE"""),1336.57)</f>
        <v>1336.57</v>
      </c>
      <c r="AH2382" s="6" t="str">
        <f t="shared" ca="1" si="678"/>
        <v>20247</v>
      </c>
      <c r="AI2382" s="6">
        <f t="shared" ca="1" si="679"/>
        <v>2024</v>
      </c>
      <c r="AJ2382" s="6">
        <f t="shared" ca="1" si="680"/>
        <v>7</v>
      </c>
      <c r="AK2382" s="68">
        <f ca="1">IFERROR(__xludf.DUMMYFUNCTION("""COMPUTED_VALUE"""),45476.9986111111)</f>
        <v>45476.998611111099</v>
      </c>
      <c r="AL2382" s="6">
        <f ca="1">IFERROR(__xludf.DUMMYFUNCTION("""COMPUTED_VALUE"""),60889.5)</f>
        <v>60889.5</v>
      </c>
      <c r="AP2382" s="6" t="str">
        <f t="shared" si="681"/>
        <v>19001</v>
      </c>
      <c r="AQ2382" s="6">
        <f t="shared" si="682"/>
        <v>1900</v>
      </c>
      <c r="AR2382" s="6">
        <f t="shared" si="683"/>
        <v>1</v>
      </c>
    </row>
    <row r="2383" spans="2:44" x14ac:dyDescent="0.35">
      <c r="B2383" s="6" t="str">
        <f t="shared" si="666"/>
        <v>19001</v>
      </c>
      <c r="C2383" s="6">
        <f t="shared" si="667"/>
        <v>1900</v>
      </c>
      <c r="D2383" s="6">
        <f t="shared" si="668"/>
        <v>1</v>
      </c>
      <c r="J2383" s="6" t="str">
        <f t="shared" si="669"/>
        <v>19001</v>
      </c>
      <c r="K2383" s="6">
        <f t="shared" si="670"/>
        <v>1900</v>
      </c>
      <c r="L2383" s="6">
        <f t="shared" si="671"/>
        <v>1</v>
      </c>
      <c r="R2383" s="6" t="str">
        <f t="shared" si="672"/>
        <v>19001</v>
      </c>
      <c r="S2383" s="6">
        <f t="shared" si="673"/>
        <v>1900</v>
      </c>
      <c r="T2383" s="6">
        <f t="shared" si="674"/>
        <v>1</v>
      </c>
      <c r="Z2383" s="6" t="str">
        <f t="shared" ca="1" si="675"/>
        <v>20248</v>
      </c>
      <c r="AA2383" s="6">
        <f t="shared" ca="1" si="676"/>
        <v>2024</v>
      </c>
      <c r="AB2383" s="6">
        <f t="shared" ca="1" si="677"/>
        <v>8</v>
      </c>
      <c r="AC2383" s="68">
        <f ca="1">IFERROR(__xludf.DUMMYFUNCTION("""COMPUTED_VALUE"""),45535.9986111111)</f>
        <v>45535.998611111099</v>
      </c>
      <c r="AD2383" s="6">
        <f ca="1">IFERROR(__xludf.DUMMYFUNCTION("""COMPUTED_VALUE"""),1336.57)</f>
        <v>1336.57</v>
      </c>
      <c r="AH2383" s="6" t="str">
        <f t="shared" ca="1" si="678"/>
        <v>20247</v>
      </c>
      <c r="AI2383" s="6">
        <f t="shared" ca="1" si="679"/>
        <v>2024</v>
      </c>
      <c r="AJ2383" s="6">
        <f t="shared" ca="1" si="680"/>
        <v>7</v>
      </c>
      <c r="AK2383" s="68">
        <f ca="1">IFERROR(__xludf.DUMMYFUNCTION("""COMPUTED_VALUE"""),45477.9986111111)</f>
        <v>45477.998611111099</v>
      </c>
      <c r="AL2383" s="6">
        <f ca="1">IFERROR(__xludf.DUMMYFUNCTION("""COMPUTED_VALUE"""),58973.24)</f>
        <v>58973.24</v>
      </c>
      <c r="AP2383" s="6" t="str">
        <f t="shared" si="681"/>
        <v>19001</v>
      </c>
      <c r="AQ2383" s="6">
        <f t="shared" si="682"/>
        <v>1900</v>
      </c>
      <c r="AR2383" s="6">
        <f t="shared" si="683"/>
        <v>1</v>
      </c>
    </row>
    <row r="2384" spans="2:44" x14ac:dyDescent="0.35">
      <c r="B2384" s="6" t="str">
        <f t="shared" si="666"/>
        <v>19001</v>
      </c>
      <c r="C2384" s="6">
        <f t="shared" si="667"/>
        <v>1900</v>
      </c>
      <c r="D2384" s="6">
        <f t="shared" si="668"/>
        <v>1</v>
      </c>
      <c r="J2384" s="6" t="str">
        <f t="shared" si="669"/>
        <v>19001</v>
      </c>
      <c r="K2384" s="6">
        <f t="shared" si="670"/>
        <v>1900</v>
      </c>
      <c r="L2384" s="6">
        <f t="shared" si="671"/>
        <v>1</v>
      </c>
      <c r="R2384" s="6" t="str">
        <f t="shared" si="672"/>
        <v>19001</v>
      </c>
      <c r="S2384" s="6">
        <f t="shared" si="673"/>
        <v>1900</v>
      </c>
      <c r="T2384" s="6">
        <f t="shared" si="674"/>
        <v>1</v>
      </c>
      <c r="Z2384" s="6" t="str">
        <f t="shared" ca="1" si="675"/>
        <v>20249</v>
      </c>
      <c r="AA2384" s="6">
        <f t="shared" ca="1" si="676"/>
        <v>2024</v>
      </c>
      <c r="AB2384" s="6">
        <f t="shared" ca="1" si="677"/>
        <v>9</v>
      </c>
      <c r="AC2384" s="68">
        <f ca="1">IFERROR(__xludf.DUMMYFUNCTION("""COMPUTED_VALUE"""),45536.9986111111)</f>
        <v>45536.998611111099</v>
      </c>
      <c r="AD2384" s="6">
        <f ca="1">IFERROR(__xludf.DUMMYFUNCTION("""COMPUTED_VALUE"""),1336.58)</f>
        <v>1336.58</v>
      </c>
      <c r="AH2384" s="6" t="str">
        <f t="shared" ca="1" si="678"/>
        <v>20247</v>
      </c>
      <c r="AI2384" s="6">
        <f t="shared" ca="1" si="679"/>
        <v>2024</v>
      </c>
      <c r="AJ2384" s="6">
        <f t="shared" ca="1" si="680"/>
        <v>7</v>
      </c>
      <c r="AK2384" s="68">
        <f ca="1">IFERROR(__xludf.DUMMYFUNCTION("""COMPUTED_VALUE"""),45478.9986111111)</f>
        <v>45478.998611111099</v>
      </c>
      <c r="AL2384" s="6">
        <f ca="1">IFERROR(__xludf.DUMMYFUNCTION("""COMPUTED_VALUE"""),55244.81)</f>
        <v>55244.81</v>
      </c>
      <c r="AP2384" s="6" t="str">
        <f t="shared" si="681"/>
        <v>19001</v>
      </c>
      <c r="AQ2384" s="6">
        <f t="shared" si="682"/>
        <v>1900</v>
      </c>
      <c r="AR2384" s="6">
        <f t="shared" si="683"/>
        <v>1</v>
      </c>
    </row>
    <row r="2385" spans="2:44" x14ac:dyDescent="0.35">
      <c r="B2385" s="6" t="str">
        <f t="shared" si="666"/>
        <v>19001</v>
      </c>
      <c r="C2385" s="6">
        <f t="shared" si="667"/>
        <v>1900</v>
      </c>
      <c r="D2385" s="6">
        <f t="shared" si="668"/>
        <v>1</v>
      </c>
      <c r="J2385" s="6" t="str">
        <f t="shared" si="669"/>
        <v>19001</v>
      </c>
      <c r="K2385" s="6">
        <f t="shared" si="670"/>
        <v>1900</v>
      </c>
      <c r="L2385" s="6">
        <f t="shared" si="671"/>
        <v>1</v>
      </c>
      <c r="R2385" s="6" t="str">
        <f t="shared" si="672"/>
        <v>19001</v>
      </c>
      <c r="S2385" s="6">
        <f t="shared" si="673"/>
        <v>1900</v>
      </c>
      <c r="T2385" s="6">
        <f t="shared" si="674"/>
        <v>1</v>
      </c>
      <c r="Z2385" s="6" t="str">
        <f t="shared" ca="1" si="675"/>
        <v>20249</v>
      </c>
      <c r="AA2385" s="6">
        <f t="shared" ca="1" si="676"/>
        <v>2024</v>
      </c>
      <c r="AB2385" s="6">
        <f t="shared" ca="1" si="677"/>
        <v>9</v>
      </c>
      <c r="AC2385" s="68">
        <f ca="1">IFERROR(__xludf.DUMMYFUNCTION("""COMPUTED_VALUE"""),45537.9986111111)</f>
        <v>45537.998611111099</v>
      </c>
      <c r="AD2385" s="6">
        <f ca="1">IFERROR(__xludf.DUMMYFUNCTION("""COMPUTED_VALUE"""),1337.55)</f>
        <v>1337.55</v>
      </c>
      <c r="AH2385" s="6" t="str">
        <f t="shared" ca="1" si="678"/>
        <v>20247</v>
      </c>
      <c r="AI2385" s="6">
        <f t="shared" ca="1" si="679"/>
        <v>2024</v>
      </c>
      <c r="AJ2385" s="6">
        <f t="shared" ca="1" si="680"/>
        <v>7</v>
      </c>
      <c r="AK2385" s="68">
        <f ca="1">IFERROR(__xludf.DUMMYFUNCTION("""COMPUTED_VALUE"""),45479.9986111111)</f>
        <v>45479.998611111099</v>
      </c>
      <c r="AL2385" s="6">
        <f ca="1">IFERROR(__xludf.DUMMYFUNCTION("""COMPUTED_VALUE"""),56420.53)</f>
        <v>56420.53</v>
      </c>
      <c r="AP2385" s="6" t="str">
        <f t="shared" si="681"/>
        <v>19001</v>
      </c>
      <c r="AQ2385" s="6">
        <f t="shared" si="682"/>
        <v>1900</v>
      </c>
      <c r="AR2385" s="6">
        <f t="shared" si="683"/>
        <v>1</v>
      </c>
    </row>
    <row r="2386" spans="2:44" x14ac:dyDescent="0.35">
      <c r="B2386" s="6" t="str">
        <f t="shared" si="666"/>
        <v>19001</v>
      </c>
      <c r="C2386" s="6">
        <f t="shared" si="667"/>
        <v>1900</v>
      </c>
      <c r="D2386" s="6">
        <f t="shared" si="668"/>
        <v>1</v>
      </c>
      <c r="J2386" s="6" t="str">
        <f t="shared" si="669"/>
        <v>19001</v>
      </c>
      <c r="K2386" s="6">
        <f t="shared" si="670"/>
        <v>1900</v>
      </c>
      <c r="L2386" s="6">
        <f t="shared" si="671"/>
        <v>1</v>
      </c>
      <c r="R2386" s="6" t="str">
        <f t="shared" si="672"/>
        <v>19001</v>
      </c>
      <c r="S2386" s="6">
        <f t="shared" si="673"/>
        <v>1900</v>
      </c>
      <c r="T2386" s="6">
        <f t="shared" si="674"/>
        <v>1</v>
      </c>
      <c r="Z2386" s="6" t="str">
        <f t="shared" ca="1" si="675"/>
        <v>20249</v>
      </c>
      <c r="AA2386" s="6">
        <f t="shared" ca="1" si="676"/>
        <v>2024</v>
      </c>
      <c r="AB2386" s="6">
        <f t="shared" ca="1" si="677"/>
        <v>9</v>
      </c>
      <c r="AC2386" s="68">
        <f ca="1">IFERROR(__xludf.DUMMYFUNCTION("""COMPUTED_VALUE"""),45538.9986111111)</f>
        <v>45538.998611111099</v>
      </c>
      <c r="AD2386" s="6">
        <f ca="1">IFERROR(__xludf.DUMMYFUNCTION("""COMPUTED_VALUE"""),1340.41)</f>
        <v>1340.41</v>
      </c>
      <c r="AH2386" s="6" t="str">
        <f t="shared" ca="1" si="678"/>
        <v>20247</v>
      </c>
      <c r="AI2386" s="6">
        <f t="shared" ca="1" si="679"/>
        <v>2024</v>
      </c>
      <c r="AJ2386" s="6">
        <f t="shared" ca="1" si="680"/>
        <v>7</v>
      </c>
      <c r="AK2386" s="68">
        <f ca="1">IFERROR(__xludf.DUMMYFUNCTION("""COMPUTED_VALUE"""),45480.9986111111)</f>
        <v>45480.998611111099</v>
      </c>
      <c r="AL2386" s="6">
        <f ca="1">IFERROR(__xludf.DUMMYFUNCTION("""COMPUTED_VALUE"""),58088.72)</f>
        <v>58088.72</v>
      </c>
      <c r="AP2386" s="6" t="str">
        <f t="shared" si="681"/>
        <v>19001</v>
      </c>
      <c r="AQ2386" s="6">
        <f t="shared" si="682"/>
        <v>1900</v>
      </c>
      <c r="AR2386" s="6">
        <f t="shared" si="683"/>
        <v>1</v>
      </c>
    </row>
    <row r="2387" spans="2:44" x14ac:dyDescent="0.35">
      <c r="B2387" s="6" t="str">
        <f t="shared" si="666"/>
        <v>19001</v>
      </c>
      <c r="C2387" s="6">
        <f t="shared" si="667"/>
        <v>1900</v>
      </c>
      <c r="D2387" s="6">
        <f t="shared" si="668"/>
        <v>1</v>
      </c>
      <c r="J2387" s="6" t="str">
        <f t="shared" si="669"/>
        <v>19001</v>
      </c>
      <c r="K2387" s="6">
        <f t="shared" si="670"/>
        <v>1900</v>
      </c>
      <c r="L2387" s="6">
        <f t="shared" si="671"/>
        <v>1</v>
      </c>
      <c r="R2387" s="6" t="str">
        <f t="shared" si="672"/>
        <v>19001</v>
      </c>
      <c r="S2387" s="6">
        <f t="shared" si="673"/>
        <v>1900</v>
      </c>
      <c r="T2387" s="6">
        <f t="shared" si="674"/>
        <v>1</v>
      </c>
      <c r="Z2387" s="6" t="str">
        <f t="shared" ca="1" si="675"/>
        <v>20249</v>
      </c>
      <c r="AA2387" s="6">
        <f t="shared" ca="1" si="676"/>
        <v>2024</v>
      </c>
      <c r="AB2387" s="6">
        <f t="shared" ca="1" si="677"/>
        <v>9</v>
      </c>
      <c r="AC2387" s="68">
        <f ca="1">IFERROR(__xludf.DUMMYFUNCTION("""COMPUTED_VALUE"""),45539.9986111111)</f>
        <v>45539.998611111099</v>
      </c>
      <c r="AD2387" s="6">
        <f ca="1">IFERROR(__xludf.DUMMYFUNCTION("""COMPUTED_VALUE"""),1331.01)</f>
        <v>1331.01</v>
      </c>
      <c r="AH2387" s="6" t="str">
        <f t="shared" ca="1" si="678"/>
        <v>20247</v>
      </c>
      <c r="AI2387" s="6">
        <f t="shared" ca="1" si="679"/>
        <v>2024</v>
      </c>
      <c r="AJ2387" s="6">
        <f t="shared" ca="1" si="680"/>
        <v>7</v>
      </c>
      <c r="AK2387" s="68">
        <f ca="1">IFERROR(__xludf.DUMMYFUNCTION("""COMPUTED_VALUE"""),45481.9986111111)</f>
        <v>45481.998611111099</v>
      </c>
      <c r="AL2387" s="6">
        <f ca="1">IFERROR(__xludf.DUMMYFUNCTION("""COMPUTED_VALUE"""),55184.9)</f>
        <v>55184.9</v>
      </c>
      <c r="AP2387" s="6" t="str">
        <f t="shared" si="681"/>
        <v>19001</v>
      </c>
      <c r="AQ2387" s="6">
        <f t="shared" si="682"/>
        <v>1900</v>
      </c>
      <c r="AR2387" s="6">
        <f t="shared" si="683"/>
        <v>1</v>
      </c>
    </row>
    <row r="2388" spans="2:44" x14ac:dyDescent="0.35">
      <c r="B2388" s="6" t="str">
        <f t="shared" si="666"/>
        <v>19001</v>
      </c>
      <c r="C2388" s="6">
        <f t="shared" si="667"/>
        <v>1900</v>
      </c>
      <c r="D2388" s="6">
        <f t="shared" si="668"/>
        <v>1</v>
      </c>
      <c r="J2388" s="6" t="str">
        <f t="shared" si="669"/>
        <v>19001</v>
      </c>
      <c r="K2388" s="6">
        <f t="shared" si="670"/>
        <v>1900</v>
      </c>
      <c r="L2388" s="6">
        <f t="shared" si="671"/>
        <v>1</v>
      </c>
      <c r="R2388" s="6" t="str">
        <f t="shared" si="672"/>
        <v>19001</v>
      </c>
      <c r="S2388" s="6">
        <f t="shared" si="673"/>
        <v>1900</v>
      </c>
      <c r="T2388" s="6">
        <f t="shared" si="674"/>
        <v>1</v>
      </c>
      <c r="Z2388" s="6" t="str">
        <f t="shared" ca="1" si="675"/>
        <v>20249</v>
      </c>
      <c r="AA2388" s="6">
        <f t="shared" ca="1" si="676"/>
        <v>2024</v>
      </c>
      <c r="AB2388" s="6">
        <f t="shared" ca="1" si="677"/>
        <v>9</v>
      </c>
      <c r="AC2388" s="68">
        <f ca="1">IFERROR(__xludf.DUMMYFUNCTION("""COMPUTED_VALUE"""),45540.9986111111)</f>
        <v>45540.998611111099</v>
      </c>
      <c r="AD2388" s="6">
        <f ca="1">IFERROR(__xludf.DUMMYFUNCTION("""COMPUTED_VALUE"""),1332.79)</f>
        <v>1332.79</v>
      </c>
      <c r="AH2388" s="6" t="str">
        <f t="shared" ca="1" si="678"/>
        <v>20247</v>
      </c>
      <c r="AI2388" s="6">
        <f t="shared" ca="1" si="679"/>
        <v>2024</v>
      </c>
      <c r="AJ2388" s="6">
        <f t="shared" ca="1" si="680"/>
        <v>7</v>
      </c>
      <c r="AK2388" s="68">
        <f ca="1">IFERROR(__xludf.DUMMYFUNCTION("""COMPUTED_VALUE"""),45482.9986111111)</f>
        <v>45482.998611111099</v>
      </c>
      <c r="AL2388" s="6">
        <f ca="1">IFERROR(__xludf.DUMMYFUNCTION("""COMPUTED_VALUE"""),57109.26)</f>
        <v>57109.26</v>
      </c>
      <c r="AP2388" s="6" t="str">
        <f t="shared" si="681"/>
        <v>19001</v>
      </c>
      <c r="AQ2388" s="6">
        <f t="shared" si="682"/>
        <v>1900</v>
      </c>
      <c r="AR2388" s="6">
        <f t="shared" si="683"/>
        <v>1</v>
      </c>
    </row>
    <row r="2389" spans="2:44" x14ac:dyDescent="0.35">
      <c r="B2389" s="6" t="str">
        <f t="shared" si="666"/>
        <v>19001</v>
      </c>
      <c r="C2389" s="6">
        <f t="shared" si="667"/>
        <v>1900</v>
      </c>
      <c r="D2389" s="6">
        <f t="shared" si="668"/>
        <v>1</v>
      </c>
      <c r="J2389" s="6" t="str">
        <f t="shared" si="669"/>
        <v>19001</v>
      </c>
      <c r="K2389" s="6">
        <f t="shared" si="670"/>
        <v>1900</v>
      </c>
      <c r="L2389" s="6">
        <f t="shared" si="671"/>
        <v>1</v>
      </c>
      <c r="R2389" s="6" t="str">
        <f t="shared" si="672"/>
        <v>19001</v>
      </c>
      <c r="S2389" s="6">
        <f t="shared" si="673"/>
        <v>1900</v>
      </c>
      <c r="T2389" s="6">
        <f t="shared" si="674"/>
        <v>1</v>
      </c>
      <c r="Z2389" s="6" t="str">
        <f t="shared" ca="1" si="675"/>
        <v>20249</v>
      </c>
      <c r="AA2389" s="6">
        <f t="shared" ca="1" si="676"/>
        <v>2024</v>
      </c>
      <c r="AB2389" s="6">
        <f t="shared" ca="1" si="677"/>
        <v>9</v>
      </c>
      <c r="AC2389" s="68">
        <f ca="1">IFERROR(__xludf.DUMMYFUNCTION("""COMPUTED_VALUE"""),45541.9986111111)</f>
        <v>45541.998611111099</v>
      </c>
      <c r="AD2389" s="6">
        <f ca="1">IFERROR(__xludf.DUMMYFUNCTION("""COMPUTED_VALUE"""),1337.27)</f>
        <v>1337.27</v>
      </c>
      <c r="AH2389" s="6" t="str">
        <f t="shared" ca="1" si="678"/>
        <v>20247</v>
      </c>
      <c r="AI2389" s="6">
        <f t="shared" ca="1" si="679"/>
        <v>2024</v>
      </c>
      <c r="AJ2389" s="6">
        <f t="shared" ca="1" si="680"/>
        <v>7</v>
      </c>
      <c r="AK2389" s="68">
        <f ca="1">IFERROR(__xludf.DUMMYFUNCTION("""COMPUTED_VALUE"""),45483.9986111111)</f>
        <v>45483.998611111099</v>
      </c>
      <c r="AL2389" s="6">
        <f ca="1">IFERROR(__xludf.DUMMYFUNCTION("""COMPUTED_VALUE"""),58045.79)</f>
        <v>58045.79</v>
      </c>
      <c r="AP2389" s="6" t="str">
        <f t="shared" si="681"/>
        <v>19001</v>
      </c>
      <c r="AQ2389" s="6">
        <f t="shared" si="682"/>
        <v>1900</v>
      </c>
      <c r="AR2389" s="6">
        <f t="shared" si="683"/>
        <v>1</v>
      </c>
    </row>
    <row r="2390" spans="2:44" x14ac:dyDescent="0.35">
      <c r="B2390" s="6" t="str">
        <f t="shared" si="666"/>
        <v>19001</v>
      </c>
      <c r="C2390" s="6">
        <f t="shared" si="667"/>
        <v>1900</v>
      </c>
      <c r="D2390" s="6">
        <f t="shared" si="668"/>
        <v>1</v>
      </c>
      <c r="J2390" s="6" t="str">
        <f t="shared" si="669"/>
        <v>19001</v>
      </c>
      <c r="K2390" s="6">
        <f t="shared" si="670"/>
        <v>1900</v>
      </c>
      <c r="L2390" s="6">
        <f t="shared" si="671"/>
        <v>1</v>
      </c>
      <c r="R2390" s="6" t="str">
        <f t="shared" si="672"/>
        <v>19001</v>
      </c>
      <c r="S2390" s="6">
        <f t="shared" si="673"/>
        <v>1900</v>
      </c>
      <c r="T2390" s="6">
        <f t="shared" si="674"/>
        <v>1</v>
      </c>
      <c r="Z2390" s="6" t="str">
        <f t="shared" ca="1" si="675"/>
        <v>20249</v>
      </c>
      <c r="AA2390" s="6">
        <f t="shared" ca="1" si="676"/>
        <v>2024</v>
      </c>
      <c r="AB2390" s="6">
        <f t="shared" ca="1" si="677"/>
        <v>9</v>
      </c>
      <c r="AC2390" s="68">
        <f ca="1">IFERROR(__xludf.DUMMYFUNCTION("""COMPUTED_VALUE"""),45542.9986111111)</f>
        <v>45542.998611111099</v>
      </c>
      <c r="AD2390" s="6">
        <f ca="1">IFERROR(__xludf.DUMMYFUNCTION("""COMPUTED_VALUE"""),1337.27)</f>
        <v>1337.27</v>
      </c>
      <c r="AH2390" s="6" t="str">
        <f t="shared" ca="1" si="678"/>
        <v>20247</v>
      </c>
      <c r="AI2390" s="6">
        <f t="shared" ca="1" si="679"/>
        <v>2024</v>
      </c>
      <c r="AJ2390" s="6">
        <f t="shared" ca="1" si="680"/>
        <v>7</v>
      </c>
      <c r="AK2390" s="68">
        <f ca="1">IFERROR(__xludf.DUMMYFUNCTION("""COMPUTED_VALUE"""),45484.9986111111)</f>
        <v>45484.998611111099</v>
      </c>
      <c r="AL2390" s="6">
        <f ca="1">IFERROR(__xludf.DUMMYFUNCTION("""COMPUTED_VALUE"""),57602.57)</f>
        <v>57602.57</v>
      </c>
      <c r="AP2390" s="6" t="str">
        <f t="shared" si="681"/>
        <v>19001</v>
      </c>
      <c r="AQ2390" s="6">
        <f t="shared" si="682"/>
        <v>1900</v>
      </c>
      <c r="AR2390" s="6">
        <f t="shared" si="683"/>
        <v>1</v>
      </c>
    </row>
    <row r="2391" spans="2:44" x14ac:dyDescent="0.35">
      <c r="B2391" s="6" t="str">
        <f t="shared" si="666"/>
        <v>19001</v>
      </c>
      <c r="C2391" s="6">
        <f t="shared" si="667"/>
        <v>1900</v>
      </c>
      <c r="D2391" s="6">
        <f t="shared" si="668"/>
        <v>1</v>
      </c>
      <c r="J2391" s="6" t="str">
        <f t="shared" si="669"/>
        <v>19001</v>
      </c>
      <c r="K2391" s="6">
        <f t="shared" si="670"/>
        <v>1900</v>
      </c>
      <c r="L2391" s="6">
        <f t="shared" si="671"/>
        <v>1</v>
      </c>
      <c r="R2391" s="6" t="str">
        <f t="shared" si="672"/>
        <v>19001</v>
      </c>
      <c r="S2391" s="6">
        <f t="shared" si="673"/>
        <v>1900</v>
      </c>
      <c r="T2391" s="6">
        <f t="shared" si="674"/>
        <v>1</v>
      </c>
      <c r="Z2391" s="6" t="str">
        <f t="shared" ca="1" si="675"/>
        <v>20249</v>
      </c>
      <c r="AA2391" s="6">
        <f t="shared" ca="1" si="676"/>
        <v>2024</v>
      </c>
      <c r="AB2391" s="6">
        <f t="shared" ca="1" si="677"/>
        <v>9</v>
      </c>
      <c r="AC2391" s="68">
        <f ca="1">IFERROR(__xludf.DUMMYFUNCTION("""COMPUTED_VALUE"""),45543.9986111111)</f>
        <v>45543.998611111099</v>
      </c>
      <c r="AD2391" s="6">
        <f ca="1">IFERROR(__xludf.DUMMYFUNCTION("""COMPUTED_VALUE"""),1337.77)</f>
        <v>1337.77</v>
      </c>
      <c r="AH2391" s="6" t="str">
        <f t="shared" ca="1" si="678"/>
        <v>20247</v>
      </c>
      <c r="AI2391" s="6">
        <f t="shared" ca="1" si="679"/>
        <v>2024</v>
      </c>
      <c r="AJ2391" s="6">
        <f t="shared" ca="1" si="680"/>
        <v>7</v>
      </c>
      <c r="AK2391" s="68">
        <f ca="1">IFERROR(__xludf.DUMMYFUNCTION("""COMPUTED_VALUE"""),45485.9986111111)</f>
        <v>45485.998611111099</v>
      </c>
      <c r="AL2391" s="6">
        <f ca="1">IFERROR(__xludf.DUMMYFUNCTION("""COMPUTED_VALUE"""),56940.31)</f>
        <v>56940.31</v>
      </c>
      <c r="AP2391" s="6" t="str">
        <f t="shared" si="681"/>
        <v>19001</v>
      </c>
      <c r="AQ2391" s="6">
        <f t="shared" si="682"/>
        <v>1900</v>
      </c>
      <c r="AR2391" s="6">
        <f t="shared" si="683"/>
        <v>1</v>
      </c>
    </row>
    <row r="2392" spans="2:44" x14ac:dyDescent="0.35">
      <c r="B2392" s="6" t="str">
        <f t="shared" si="666"/>
        <v>19001</v>
      </c>
      <c r="C2392" s="6">
        <f t="shared" si="667"/>
        <v>1900</v>
      </c>
      <c r="D2392" s="6">
        <f t="shared" si="668"/>
        <v>1</v>
      </c>
      <c r="J2392" s="6" t="str">
        <f t="shared" si="669"/>
        <v>19001</v>
      </c>
      <c r="K2392" s="6">
        <f t="shared" si="670"/>
        <v>1900</v>
      </c>
      <c r="L2392" s="6">
        <f t="shared" si="671"/>
        <v>1</v>
      </c>
      <c r="R2392" s="6" t="str">
        <f t="shared" si="672"/>
        <v>19001</v>
      </c>
      <c r="S2392" s="6">
        <f t="shared" si="673"/>
        <v>1900</v>
      </c>
      <c r="T2392" s="6">
        <f t="shared" si="674"/>
        <v>1</v>
      </c>
      <c r="Z2392" s="6" t="str">
        <f t="shared" ca="1" si="675"/>
        <v>20249</v>
      </c>
      <c r="AA2392" s="6">
        <f t="shared" ca="1" si="676"/>
        <v>2024</v>
      </c>
      <c r="AB2392" s="6">
        <f t="shared" ca="1" si="677"/>
        <v>9</v>
      </c>
      <c r="AC2392" s="68">
        <f ca="1">IFERROR(__xludf.DUMMYFUNCTION("""COMPUTED_VALUE"""),45544.9986111111)</f>
        <v>45544.998611111099</v>
      </c>
      <c r="AD2392" s="6">
        <f ca="1">IFERROR(__xludf.DUMMYFUNCTION("""COMPUTED_VALUE"""),1341.27)</f>
        <v>1341.27</v>
      </c>
      <c r="AH2392" s="6" t="str">
        <f t="shared" ca="1" si="678"/>
        <v>20247</v>
      </c>
      <c r="AI2392" s="6">
        <f t="shared" ca="1" si="679"/>
        <v>2024</v>
      </c>
      <c r="AJ2392" s="6">
        <f t="shared" ca="1" si="680"/>
        <v>7</v>
      </c>
      <c r="AK2392" s="68">
        <f ca="1">IFERROR(__xludf.DUMMYFUNCTION("""COMPUTED_VALUE"""),45486.9986111111)</f>
        <v>45486.998611111099</v>
      </c>
      <c r="AL2392" s="6">
        <f ca="1">IFERROR(__xludf.DUMMYFUNCTION("""COMPUTED_VALUE"""),57935.24)</f>
        <v>57935.24</v>
      </c>
      <c r="AP2392" s="6" t="str">
        <f t="shared" si="681"/>
        <v>19001</v>
      </c>
      <c r="AQ2392" s="6">
        <f t="shared" si="682"/>
        <v>1900</v>
      </c>
      <c r="AR2392" s="6">
        <f t="shared" si="683"/>
        <v>1</v>
      </c>
    </row>
    <row r="2393" spans="2:44" x14ac:dyDescent="0.35">
      <c r="B2393" s="6" t="str">
        <f t="shared" si="666"/>
        <v>19001</v>
      </c>
      <c r="C2393" s="6">
        <f t="shared" si="667"/>
        <v>1900</v>
      </c>
      <c r="D2393" s="6">
        <f t="shared" si="668"/>
        <v>1</v>
      </c>
      <c r="J2393" s="6" t="str">
        <f t="shared" si="669"/>
        <v>19001</v>
      </c>
      <c r="K2393" s="6">
        <f t="shared" si="670"/>
        <v>1900</v>
      </c>
      <c r="L2393" s="6">
        <f t="shared" si="671"/>
        <v>1</v>
      </c>
      <c r="R2393" s="6" t="str">
        <f t="shared" si="672"/>
        <v>19001</v>
      </c>
      <c r="S2393" s="6">
        <f t="shared" si="673"/>
        <v>1900</v>
      </c>
      <c r="T2393" s="6">
        <f t="shared" si="674"/>
        <v>1</v>
      </c>
      <c r="Z2393" s="6" t="str">
        <f t="shared" ca="1" si="675"/>
        <v>20249</v>
      </c>
      <c r="AA2393" s="6">
        <f t="shared" ca="1" si="676"/>
        <v>2024</v>
      </c>
      <c r="AB2393" s="6">
        <f t="shared" ca="1" si="677"/>
        <v>9</v>
      </c>
      <c r="AC2393" s="68">
        <f ca="1">IFERROR(__xludf.DUMMYFUNCTION("""COMPUTED_VALUE"""),45545.9986111111)</f>
        <v>45545.998611111099</v>
      </c>
      <c r="AD2393" s="6">
        <f ca="1">IFERROR(__xludf.DUMMYFUNCTION("""COMPUTED_VALUE"""),1343.34)</f>
        <v>1343.34</v>
      </c>
      <c r="AH2393" s="6" t="str">
        <f t="shared" ca="1" si="678"/>
        <v>20247</v>
      </c>
      <c r="AI2393" s="6">
        <f t="shared" ca="1" si="679"/>
        <v>2024</v>
      </c>
      <c r="AJ2393" s="6">
        <f t="shared" ca="1" si="680"/>
        <v>7</v>
      </c>
      <c r="AK2393" s="68">
        <f ca="1">IFERROR(__xludf.DUMMYFUNCTION("""COMPUTED_VALUE"""),45487.9986111111)</f>
        <v>45487.998611111099</v>
      </c>
      <c r="AL2393" s="6">
        <f ca="1">IFERROR(__xludf.DUMMYFUNCTION("""COMPUTED_VALUE"""),59477.68)</f>
        <v>59477.68</v>
      </c>
      <c r="AP2393" s="6" t="str">
        <f t="shared" si="681"/>
        <v>19001</v>
      </c>
      <c r="AQ2393" s="6">
        <f t="shared" si="682"/>
        <v>1900</v>
      </c>
      <c r="AR2393" s="6">
        <f t="shared" si="683"/>
        <v>1</v>
      </c>
    </row>
    <row r="2394" spans="2:44" x14ac:dyDescent="0.35">
      <c r="B2394" s="6" t="str">
        <f t="shared" si="666"/>
        <v>19001</v>
      </c>
      <c r="C2394" s="6">
        <f t="shared" si="667"/>
        <v>1900</v>
      </c>
      <c r="D2394" s="6">
        <f t="shared" si="668"/>
        <v>1</v>
      </c>
      <c r="J2394" s="6" t="str">
        <f t="shared" si="669"/>
        <v>19001</v>
      </c>
      <c r="K2394" s="6">
        <f t="shared" si="670"/>
        <v>1900</v>
      </c>
      <c r="L2394" s="6">
        <f t="shared" si="671"/>
        <v>1</v>
      </c>
      <c r="R2394" s="6" t="str">
        <f t="shared" si="672"/>
        <v>19001</v>
      </c>
      <c r="S2394" s="6">
        <f t="shared" si="673"/>
        <v>1900</v>
      </c>
      <c r="T2394" s="6">
        <f t="shared" si="674"/>
        <v>1</v>
      </c>
      <c r="Z2394" s="6" t="str">
        <f t="shared" ca="1" si="675"/>
        <v>20249</v>
      </c>
      <c r="AA2394" s="6">
        <f t="shared" ca="1" si="676"/>
        <v>2024</v>
      </c>
      <c r="AB2394" s="6">
        <f t="shared" ca="1" si="677"/>
        <v>9</v>
      </c>
      <c r="AC2394" s="68">
        <f ca="1">IFERROR(__xludf.DUMMYFUNCTION("""COMPUTED_VALUE"""),45546.9986111111)</f>
        <v>45546.998611111099</v>
      </c>
      <c r="AD2394" s="6">
        <f ca="1">IFERROR(__xludf.DUMMYFUNCTION("""COMPUTED_VALUE"""),1339.18)</f>
        <v>1339.18</v>
      </c>
      <c r="AH2394" s="6" t="str">
        <f t="shared" ca="1" si="678"/>
        <v>20247</v>
      </c>
      <c r="AI2394" s="6">
        <f t="shared" ca="1" si="679"/>
        <v>2024</v>
      </c>
      <c r="AJ2394" s="6">
        <f t="shared" ca="1" si="680"/>
        <v>7</v>
      </c>
      <c r="AK2394" s="68">
        <f ca="1">IFERROR(__xludf.DUMMYFUNCTION("""COMPUTED_VALUE"""),45488.9986111111)</f>
        <v>45488.998611111099</v>
      </c>
      <c r="AL2394" s="6">
        <f ca="1">IFERROR(__xludf.DUMMYFUNCTION("""COMPUTED_VALUE"""),62609.86)</f>
        <v>62609.86</v>
      </c>
      <c r="AP2394" s="6" t="str">
        <f t="shared" si="681"/>
        <v>19001</v>
      </c>
      <c r="AQ2394" s="6">
        <f t="shared" si="682"/>
        <v>1900</v>
      </c>
      <c r="AR2394" s="6">
        <f t="shared" si="683"/>
        <v>1</v>
      </c>
    </row>
    <row r="2395" spans="2:44" x14ac:dyDescent="0.35">
      <c r="B2395" s="6" t="str">
        <f t="shared" si="666"/>
        <v>19001</v>
      </c>
      <c r="C2395" s="6">
        <f t="shared" si="667"/>
        <v>1900</v>
      </c>
      <c r="D2395" s="6">
        <f t="shared" si="668"/>
        <v>1</v>
      </c>
      <c r="J2395" s="6" t="str">
        <f t="shared" si="669"/>
        <v>19001</v>
      </c>
      <c r="K2395" s="6">
        <f t="shared" si="670"/>
        <v>1900</v>
      </c>
      <c r="L2395" s="6">
        <f t="shared" si="671"/>
        <v>1</v>
      </c>
      <c r="R2395" s="6" t="str">
        <f t="shared" si="672"/>
        <v>19001</v>
      </c>
      <c r="S2395" s="6">
        <f t="shared" si="673"/>
        <v>1900</v>
      </c>
      <c r="T2395" s="6">
        <f t="shared" si="674"/>
        <v>1</v>
      </c>
      <c r="Z2395" s="6" t="str">
        <f t="shared" ca="1" si="675"/>
        <v>20249</v>
      </c>
      <c r="AA2395" s="6">
        <f t="shared" ca="1" si="676"/>
        <v>2024</v>
      </c>
      <c r="AB2395" s="6">
        <f t="shared" ca="1" si="677"/>
        <v>9</v>
      </c>
      <c r="AC2395" s="68">
        <f ca="1">IFERROR(__xludf.DUMMYFUNCTION("""COMPUTED_VALUE"""),45547.9986111111)</f>
        <v>45547.998611111099</v>
      </c>
      <c r="AD2395" s="6">
        <f ca="1">IFERROR(__xludf.DUMMYFUNCTION("""COMPUTED_VALUE"""),1335.69)</f>
        <v>1335.69</v>
      </c>
      <c r="AH2395" s="6" t="str">
        <f t="shared" ca="1" si="678"/>
        <v>20247</v>
      </c>
      <c r="AI2395" s="6">
        <f t="shared" ca="1" si="679"/>
        <v>2024</v>
      </c>
      <c r="AJ2395" s="6">
        <f t="shared" ca="1" si="680"/>
        <v>7</v>
      </c>
      <c r="AK2395" s="68">
        <f ca="1">IFERROR(__xludf.DUMMYFUNCTION("""COMPUTED_VALUE"""),45489.9986111111)</f>
        <v>45489.998611111099</v>
      </c>
      <c r="AL2395" s="6">
        <f ca="1">IFERROR(__xludf.DUMMYFUNCTION("""COMPUTED_VALUE"""),64779.16)</f>
        <v>64779.16</v>
      </c>
      <c r="AP2395" s="6" t="str">
        <f t="shared" si="681"/>
        <v>19001</v>
      </c>
      <c r="AQ2395" s="6">
        <f t="shared" si="682"/>
        <v>1900</v>
      </c>
      <c r="AR2395" s="6">
        <f t="shared" si="683"/>
        <v>1</v>
      </c>
    </row>
    <row r="2396" spans="2:44" x14ac:dyDescent="0.35">
      <c r="B2396" s="6" t="str">
        <f t="shared" si="666"/>
        <v>19001</v>
      </c>
      <c r="C2396" s="6">
        <f t="shared" si="667"/>
        <v>1900</v>
      </c>
      <c r="D2396" s="6">
        <f t="shared" si="668"/>
        <v>1</v>
      </c>
      <c r="J2396" s="6" t="str">
        <f t="shared" si="669"/>
        <v>19001</v>
      </c>
      <c r="K2396" s="6">
        <f t="shared" si="670"/>
        <v>1900</v>
      </c>
      <c r="L2396" s="6">
        <f t="shared" si="671"/>
        <v>1</v>
      </c>
      <c r="R2396" s="6" t="str">
        <f t="shared" si="672"/>
        <v>19001</v>
      </c>
      <c r="S2396" s="6">
        <f t="shared" si="673"/>
        <v>1900</v>
      </c>
      <c r="T2396" s="6">
        <f t="shared" si="674"/>
        <v>1</v>
      </c>
      <c r="Z2396" s="6" t="str">
        <f t="shared" ca="1" si="675"/>
        <v>20249</v>
      </c>
      <c r="AA2396" s="6">
        <f t="shared" ca="1" si="676"/>
        <v>2024</v>
      </c>
      <c r="AB2396" s="6">
        <f t="shared" ca="1" si="677"/>
        <v>9</v>
      </c>
      <c r="AC2396" s="68">
        <f ca="1">IFERROR(__xludf.DUMMYFUNCTION("""COMPUTED_VALUE"""),45548.9986111111)</f>
        <v>45548.998611111099</v>
      </c>
      <c r="AD2396" s="6">
        <f ca="1">IFERROR(__xludf.DUMMYFUNCTION("""COMPUTED_VALUE"""),1328.46)</f>
        <v>1328.46</v>
      </c>
      <c r="AH2396" s="6" t="str">
        <f t="shared" ca="1" si="678"/>
        <v>20247</v>
      </c>
      <c r="AI2396" s="6">
        <f t="shared" ca="1" si="679"/>
        <v>2024</v>
      </c>
      <c r="AJ2396" s="6">
        <f t="shared" ca="1" si="680"/>
        <v>7</v>
      </c>
      <c r="AK2396" s="68">
        <f ca="1">IFERROR(__xludf.DUMMYFUNCTION("""COMPUTED_VALUE"""),45490.9986111111)</f>
        <v>45490.998611111099</v>
      </c>
      <c r="AL2396" s="6">
        <f ca="1">IFERROR(__xludf.DUMMYFUNCTION("""COMPUTED_VALUE"""),65735.7)</f>
        <v>65735.7</v>
      </c>
      <c r="AP2396" s="6" t="str">
        <f t="shared" si="681"/>
        <v>19001</v>
      </c>
      <c r="AQ2396" s="6">
        <f t="shared" si="682"/>
        <v>1900</v>
      </c>
      <c r="AR2396" s="6">
        <f t="shared" si="683"/>
        <v>1</v>
      </c>
    </row>
    <row r="2397" spans="2:44" x14ac:dyDescent="0.35">
      <c r="B2397" s="6" t="str">
        <f t="shared" si="666"/>
        <v>19001</v>
      </c>
      <c r="C2397" s="6">
        <f t="shared" si="667"/>
        <v>1900</v>
      </c>
      <c r="D2397" s="6">
        <f t="shared" si="668"/>
        <v>1</v>
      </c>
      <c r="J2397" s="6" t="str">
        <f t="shared" si="669"/>
        <v>19001</v>
      </c>
      <c r="K2397" s="6">
        <f t="shared" si="670"/>
        <v>1900</v>
      </c>
      <c r="L2397" s="6">
        <f t="shared" si="671"/>
        <v>1</v>
      </c>
      <c r="R2397" s="6" t="str">
        <f t="shared" si="672"/>
        <v>19001</v>
      </c>
      <c r="S2397" s="6">
        <f t="shared" si="673"/>
        <v>1900</v>
      </c>
      <c r="T2397" s="6">
        <f t="shared" si="674"/>
        <v>1</v>
      </c>
      <c r="Z2397" s="6" t="str">
        <f t="shared" ca="1" si="675"/>
        <v>20249</v>
      </c>
      <c r="AA2397" s="6">
        <f t="shared" ca="1" si="676"/>
        <v>2024</v>
      </c>
      <c r="AB2397" s="6">
        <f t="shared" ca="1" si="677"/>
        <v>9</v>
      </c>
      <c r="AC2397" s="68">
        <f ca="1">IFERROR(__xludf.DUMMYFUNCTION("""COMPUTED_VALUE"""),45549.9986111111)</f>
        <v>45549.998611111099</v>
      </c>
      <c r="AD2397" s="6">
        <f ca="1">IFERROR(__xludf.DUMMYFUNCTION("""COMPUTED_VALUE"""),1327.86)</f>
        <v>1327.86</v>
      </c>
      <c r="AH2397" s="6" t="str">
        <f t="shared" ca="1" si="678"/>
        <v>20247</v>
      </c>
      <c r="AI2397" s="6">
        <f t="shared" ca="1" si="679"/>
        <v>2024</v>
      </c>
      <c r="AJ2397" s="6">
        <f t="shared" ca="1" si="680"/>
        <v>7</v>
      </c>
      <c r="AK2397" s="68">
        <f ca="1">IFERROR(__xludf.DUMMYFUNCTION("""COMPUTED_VALUE"""),45491.9986111111)</f>
        <v>45491.998611111099</v>
      </c>
      <c r="AL2397" s="6">
        <f ca="1">IFERROR(__xludf.DUMMYFUNCTION("""COMPUTED_VALUE"""),64883.35)</f>
        <v>64883.35</v>
      </c>
      <c r="AP2397" s="6" t="str">
        <f t="shared" si="681"/>
        <v>19001</v>
      </c>
      <c r="AQ2397" s="6">
        <f t="shared" si="682"/>
        <v>1900</v>
      </c>
      <c r="AR2397" s="6">
        <f t="shared" si="683"/>
        <v>1</v>
      </c>
    </row>
    <row r="2398" spans="2:44" x14ac:dyDescent="0.35">
      <c r="B2398" s="6" t="str">
        <f t="shared" si="666"/>
        <v>19001</v>
      </c>
      <c r="C2398" s="6">
        <f t="shared" si="667"/>
        <v>1900</v>
      </c>
      <c r="D2398" s="6">
        <f t="shared" si="668"/>
        <v>1</v>
      </c>
      <c r="J2398" s="6" t="str">
        <f t="shared" si="669"/>
        <v>19001</v>
      </c>
      <c r="K2398" s="6">
        <f t="shared" si="670"/>
        <v>1900</v>
      </c>
      <c r="L2398" s="6">
        <f t="shared" si="671"/>
        <v>1</v>
      </c>
      <c r="R2398" s="6" t="str">
        <f t="shared" si="672"/>
        <v>19001</v>
      </c>
      <c r="S2398" s="6">
        <f t="shared" si="673"/>
        <v>1900</v>
      </c>
      <c r="T2398" s="6">
        <f t="shared" si="674"/>
        <v>1</v>
      </c>
      <c r="Z2398" s="6" t="str">
        <f t="shared" ca="1" si="675"/>
        <v>20249</v>
      </c>
      <c r="AA2398" s="6">
        <f t="shared" ca="1" si="676"/>
        <v>2024</v>
      </c>
      <c r="AB2398" s="6">
        <f t="shared" ca="1" si="677"/>
        <v>9</v>
      </c>
      <c r="AC2398" s="68">
        <f ca="1">IFERROR(__xludf.DUMMYFUNCTION("""COMPUTED_VALUE"""),45550.9986111111)</f>
        <v>45550.998611111099</v>
      </c>
      <c r="AD2398" s="6">
        <f ca="1">IFERROR(__xludf.DUMMYFUNCTION("""COMPUTED_VALUE"""),1329.51)</f>
        <v>1329.51</v>
      </c>
      <c r="AH2398" s="6" t="str">
        <f t="shared" ca="1" si="678"/>
        <v>20247</v>
      </c>
      <c r="AI2398" s="6">
        <f t="shared" ca="1" si="679"/>
        <v>2024</v>
      </c>
      <c r="AJ2398" s="6">
        <f t="shared" ca="1" si="680"/>
        <v>7</v>
      </c>
      <c r="AK2398" s="68">
        <f ca="1">IFERROR(__xludf.DUMMYFUNCTION("""COMPUTED_VALUE"""),45492.9986111111)</f>
        <v>45492.998611111099</v>
      </c>
      <c r="AL2398" s="6">
        <f ca="1">IFERROR(__xludf.DUMMYFUNCTION("""COMPUTED_VALUE"""),64186.21)</f>
        <v>64186.21</v>
      </c>
      <c r="AP2398" s="6" t="str">
        <f t="shared" si="681"/>
        <v>19001</v>
      </c>
      <c r="AQ2398" s="6">
        <f t="shared" si="682"/>
        <v>1900</v>
      </c>
      <c r="AR2398" s="6">
        <f t="shared" si="683"/>
        <v>1</v>
      </c>
    </row>
    <row r="2399" spans="2:44" x14ac:dyDescent="0.35">
      <c r="B2399" s="6" t="str">
        <f t="shared" si="666"/>
        <v>19001</v>
      </c>
      <c r="C2399" s="6">
        <f t="shared" si="667"/>
        <v>1900</v>
      </c>
      <c r="D2399" s="6">
        <f t="shared" si="668"/>
        <v>1</v>
      </c>
      <c r="J2399" s="6" t="str">
        <f t="shared" si="669"/>
        <v>19001</v>
      </c>
      <c r="K2399" s="6">
        <f t="shared" si="670"/>
        <v>1900</v>
      </c>
      <c r="L2399" s="6">
        <f t="shared" si="671"/>
        <v>1</v>
      </c>
      <c r="R2399" s="6" t="str">
        <f t="shared" si="672"/>
        <v>19001</v>
      </c>
      <c r="S2399" s="6">
        <f t="shared" si="673"/>
        <v>1900</v>
      </c>
      <c r="T2399" s="6">
        <f t="shared" si="674"/>
        <v>1</v>
      </c>
      <c r="Z2399" s="6" t="str">
        <f t="shared" ca="1" si="675"/>
        <v>20249</v>
      </c>
      <c r="AA2399" s="6">
        <f t="shared" ca="1" si="676"/>
        <v>2024</v>
      </c>
      <c r="AB2399" s="6">
        <f t="shared" ca="1" si="677"/>
        <v>9</v>
      </c>
      <c r="AC2399" s="68">
        <f ca="1">IFERROR(__xludf.DUMMYFUNCTION("""COMPUTED_VALUE"""),45551.9986111111)</f>
        <v>45551.998611111099</v>
      </c>
      <c r="AD2399" s="6">
        <f ca="1">IFERROR(__xludf.DUMMYFUNCTION("""COMPUTED_VALUE"""),1319.11)</f>
        <v>1319.11</v>
      </c>
      <c r="AH2399" s="6" t="str">
        <f t="shared" ca="1" si="678"/>
        <v>20247</v>
      </c>
      <c r="AI2399" s="6">
        <f t="shared" ca="1" si="679"/>
        <v>2024</v>
      </c>
      <c r="AJ2399" s="6">
        <f t="shared" ca="1" si="680"/>
        <v>7</v>
      </c>
      <c r="AK2399" s="68">
        <f ca="1">IFERROR(__xludf.DUMMYFUNCTION("""COMPUTED_VALUE"""),45493.9986111111)</f>
        <v>45493.998611111099</v>
      </c>
      <c r="AL2399" s="6">
        <f ca="1">IFERROR(__xludf.DUMMYFUNCTION("""COMPUTED_VALUE"""),66693.2)</f>
        <v>66693.2</v>
      </c>
      <c r="AP2399" s="6" t="str">
        <f t="shared" si="681"/>
        <v>19001</v>
      </c>
      <c r="AQ2399" s="6">
        <f t="shared" si="682"/>
        <v>1900</v>
      </c>
      <c r="AR2399" s="6">
        <f t="shared" si="683"/>
        <v>1</v>
      </c>
    </row>
    <row r="2400" spans="2:44" x14ac:dyDescent="0.35">
      <c r="B2400" s="6" t="str">
        <f t="shared" si="666"/>
        <v>19001</v>
      </c>
      <c r="C2400" s="6">
        <f t="shared" si="667"/>
        <v>1900</v>
      </c>
      <c r="D2400" s="6">
        <f t="shared" si="668"/>
        <v>1</v>
      </c>
      <c r="J2400" s="6" t="str">
        <f t="shared" si="669"/>
        <v>19001</v>
      </c>
      <c r="K2400" s="6">
        <f t="shared" si="670"/>
        <v>1900</v>
      </c>
      <c r="L2400" s="6">
        <f t="shared" si="671"/>
        <v>1</v>
      </c>
      <c r="R2400" s="6" t="str">
        <f t="shared" si="672"/>
        <v>19001</v>
      </c>
      <c r="S2400" s="6">
        <f t="shared" si="673"/>
        <v>1900</v>
      </c>
      <c r="T2400" s="6">
        <f t="shared" si="674"/>
        <v>1</v>
      </c>
      <c r="Z2400" s="6" t="str">
        <f t="shared" ca="1" si="675"/>
        <v>20249</v>
      </c>
      <c r="AA2400" s="6">
        <f t="shared" ca="1" si="676"/>
        <v>2024</v>
      </c>
      <c r="AB2400" s="6">
        <f t="shared" ca="1" si="677"/>
        <v>9</v>
      </c>
      <c r="AC2400" s="68">
        <f ca="1">IFERROR(__xludf.DUMMYFUNCTION("""COMPUTED_VALUE"""),45552.9986111111)</f>
        <v>45552.998611111099</v>
      </c>
      <c r="AD2400" s="6">
        <f ca="1">IFERROR(__xludf.DUMMYFUNCTION("""COMPUTED_VALUE"""),1322.93)</f>
        <v>1322.93</v>
      </c>
      <c r="AH2400" s="6" t="str">
        <f t="shared" ca="1" si="678"/>
        <v>20247</v>
      </c>
      <c r="AI2400" s="6">
        <f t="shared" ca="1" si="679"/>
        <v>2024</v>
      </c>
      <c r="AJ2400" s="6">
        <f t="shared" ca="1" si="680"/>
        <v>7</v>
      </c>
      <c r="AK2400" s="68">
        <f ca="1">IFERROR(__xludf.DUMMYFUNCTION("""COMPUTED_VALUE"""),45494.9986111111)</f>
        <v>45494.998611111099</v>
      </c>
      <c r="AL2400" s="6">
        <f ca="1">IFERROR(__xludf.DUMMYFUNCTION("""COMPUTED_VALUE"""),67156.72)</f>
        <v>67156.72</v>
      </c>
      <c r="AP2400" s="6" t="str">
        <f t="shared" si="681"/>
        <v>19001</v>
      </c>
      <c r="AQ2400" s="6">
        <f t="shared" si="682"/>
        <v>1900</v>
      </c>
      <c r="AR2400" s="6">
        <f t="shared" si="683"/>
        <v>1</v>
      </c>
    </row>
    <row r="2401" spans="2:44" x14ac:dyDescent="0.35">
      <c r="B2401" s="6" t="str">
        <f t="shared" si="666"/>
        <v>19001</v>
      </c>
      <c r="C2401" s="6">
        <f t="shared" si="667"/>
        <v>1900</v>
      </c>
      <c r="D2401" s="6">
        <f t="shared" si="668"/>
        <v>1</v>
      </c>
      <c r="J2401" s="6" t="str">
        <f t="shared" si="669"/>
        <v>19001</v>
      </c>
      <c r="K2401" s="6">
        <f t="shared" si="670"/>
        <v>1900</v>
      </c>
      <c r="L2401" s="6">
        <f t="shared" si="671"/>
        <v>1</v>
      </c>
      <c r="R2401" s="6" t="str">
        <f t="shared" si="672"/>
        <v>19001</v>
      </c>
      <c r="S2401" s="6">
        <f t="shared" si="673"/>
        <v>1900</v>
      </c>
      <c r="T2401" s="6">
        <f t="shared" si="674"/>
        <v>1</v>
      </c>
      <c r="Z2401" s="6" t="str">
        <f t="shared" ca="1" si="675"/>
        <v>20249</v>
      </c>
      <c r="AA2401" s="6">
        <f t="shared" ca="1" si="676"/>
        <v>2024</v>
      </c>
      <c r="AB2401" s="6">
        <f t="shared" ca="1" si="677"/>
        <v>9</v>
      </c>
      <c r="AC2401" s="68">
        <f ca="1">IFERROR(__xludf.DUMMYFUNCTION("""COMPUTED_VALUE"""),45553.9986111111)</f>
        <v>45553.998611111099</v>
      </c>
      <c r="AD2401" s="6">
        <f ca="1">IFERROR(__xludf.DUMMYFUNCTION("""COMPUTED_VALUE"""),1322.26)</f>
        <v>1322.26</v>
      </c>
      <c r="AH2401" s="6" t="str">
        <f t="shared" ca="1" si="678"/>
        <v>20247</v>
      </c>
      <c r="AI2401" s="6">
        <f t="shared" ca="1" si="679"/>
        <v>2024</v>
      </c>
      <c r="AJ2401" s="6">
        <f t="shared" ca="1" si="680"/>
        <v>7</v>
      </c>
      <c r="AK2401" s="68">
        <f ca="1">IFERROR(__xludf.DUMMYFUNCTION("""COMPUTED_VALUE"""),45495.9986111111)</f>
        <v>45495.998611111099</v>
      </c>
      <c r="AL2401" s="6">
        <f ca="1">IFERROR(__xludf.DUMMYFUNCTION("""COMPUTED_VALUE"""),67951.34)</f>
        <v>67951.34</v>
      </c>
      <c r="AP2401" s="6" t="str">
        <f t="shared" si="681"/>
        <v>19001</v>
      </c>
      <c r="AQ2401" s="6">
        <f t="shared" si="682"/>
        <v>1900</v>
      </c>
      <c r="AR2401" s="6">
        <f t="shared" si="683"/>
        <v>1</v>
      </c>
    </row>
    <row r="2402" spans="2:44" x14ac:dyDescent="0.35">
      <c r="B2402" s="6" t="str">
        <f t="shared" si="666"/>
        <v>19001</v>
      </c>
      <c r="C2402" s="6">
        <f t="shared" si="667"/>
        <v>1900</v>
      </c>
      <c r="D2402" s="6">
        <f t="shared" si="668"/>
        <v>1</v>
      </c>
      <c r="J2402" s="6" t="str">
        <f t="shared" si="669"/>
        <v>19001</v>
      </c>
      <c r="K2402" s="6">
        <f t="shared" si="670"/>
        <v>1900</v>
      </c>
      <c r="L2402" s="6">
        <f t="shared" si="671"/>
        <v>1</v>
      </c>
      <c r="R2402" s="6" t="str">
        <f t="shared" si="672"/>
        <v>19001</v>
      </c>
      <c r="S2402" s="6">
        <f t="shared" si="673"/>
        <v>1900</v>
      </c>
      <c r="T2402" s="6">
        <f t="shared" si="674"/>
        <v>1</v>
      </c>
      <c r="Z2402" s="6" t="str">
        <f t="shared" ca="1" si="675"/>
        <v>20249</v>
      </c>
      <c r="AA2402" s="6">
        <f t="shared" ca="1" si="676"/>
        <v>2024</v>
      </c>
      <c r="AB2402" s="6">
        <f t="shared" ca="1" si="677"/>
        <v>9</v>
      </c>
      <c r="AC2402" s="68">
        <f ca="1">IFERROR(__xludf.DUMMYFUNCTION("""COMPUTED_VALUE"""),45554.9986111111)</f>
        <v>45554.998611111099</v>
      </c>
      <c r="AD2402" s="6">
        <f ca="1">IFERROR(__xludf.DUMMYFUNCTION("""COMPUTED_VALUE"""),1327.61)</f>
        <v>1327.61</v>
      </c>
      <c r="AH2402" s="6" t="str">
        <f t="shared" ca="1" si="678"/>
        <v>20247</v>
      </c>
      <c r="AI2402" s="6">
        <f t="shared" ca="1" si="679"/>
        <v>2024</v>
      </c>
      <c r="AJ2402" s="6">
        <f t="shared" ca="1" si="680"/>
        <v>7</v>
      </c>
      <c r="AK2402" s="68">
        <f ca="1">IFERROR(__xludf.DUMMYFUNCTION("""COMPUTED_VALUE"""),45496.9986111111)</f>
        <v>45496.998611111099</v>
      </c>
      <c r="AL2402" s="6">
        <f ca="1">IFERROR(__xludf.DUMMYFUNCTION("""COMPUTED_VALUE"""),67566.87)</f>
        <v>67566.87</v>
      </c>
      <c r="AP2402" s="6" t="str">
        <f t="shared" si="681"/>
        <v>19001</v>
      </c>
      <c r="AQ2402" s="6">
        <f t="shared" si="682"/>
        <v>1900</v>
      </c>
      <c r="AR2402" s="6">
        <f t="shared" si="683"/>
        <v>1</v>
      </c>
    </row>
    <row r="2403" spans="2:44" x14ac:dyDescent="0.35">
      <c r="B2403" s="6" t="str">
        <f t="shared" si="666"/>
        <v>19001</v>
      </c>
      <c r="C2403" s="6">
        <f t="shared" si="667"/>
        <v>1900</v>
      </c>
      <c r="D2403" s="6">
        <f t="shared" si="668"/>
        <v>1</v>
      </c>
      <c r="J2403" s="6" t="str">
        <f t="shared" si="669"/>
        <v>19001</v>
      </c>
      <c r="K2403" s="6">
        <f t="shared" si="670"/>
        <v>1900</v>
      </c>
      <c r="L2403" s="6">
        <f t="shared" si="671"/>
        <v>1</v>
      </c>
      <c r="R2403" s="6" t="str">
        <f t="shared" si="672"/>
        <v>19001</v>
      </c>
      <c r="S2403" s="6">
        <f t="shared" si="673"/>
        <v>1900</v>
      </c>
      <c r="T2403" s="6">
        <f t="shared" si="674"/>
        <v>1</v>
      </c>
      <c r="Z2403" s="6" t="str">
        <f t="shared" ca="1" si="675"/>
        <v>20249</v>
      </c>
      <c r="AA2403" s="6">
        <f t="shared" ca="1" si="676"/>
        <v>2024</v>
      </c>
      <c r="AB2403" s="6">
        <f t="shared" ca="1" si="677"/>
        <v>9</v>
      </c>
      <c r="AC2403" s="68">
        <f ca="1">IFERROR(__xludf.DUMMYFUNCTION("""COMPUTED_VALUE"""),45555.9986111111)</f>
        <v>45555.998611111099</v>
      </c>
      <c r="AD2403" s="6">
        <f ca="1">IFERROR(__xludf.DUMMYFUNCTION("""COMPUTED_VALUE"""),1331.49)</f>
        <v>1331.49</v>
      </c>
      <c r="AH2403" s="6" t="str">
        <f t="shared" ca="1" si="678"/>
        <v>20247</v>
      </c>
      <c r="AI2403" s="6">
        <f t="shared" ca="1" si="679"/>
        <v>2024</v>
      </c>
      <c r="AJ2403" s="6">
        <f t="shared" ca="1" si="680"/>
        <v>7</v>
      </c>
      <c r="AK2403" s="68">
        <f ca="1">IFERROR(__xludf.DUMMYFUNCTION("""COMPUTED_VALUE"""),45497.9986111111)</f>
        <v>45497.998611111099</v>
      </c>
      <c r="AL2403" s="6">
        <f ca="1">IFERROR(__xludf.DUMMYFUNCTION("""COMPUTED_VALUE"""),66041.17)</f>
        <v>66041.17</v>
      </c>
      <c r="AP2403" s="6" t="str">
        <f t="shared" si="681"/>
        <v>19001</v>
      </c>
      <c r="AQ2403" s="6">
        <f t="shared" si="682"/>
        <v>1900</v>
      </c>
      <c r="AR2403" s="6">
        <f t="shared" si="683"/>
        <v>1</v>
      </c>
    </row>
    <row r="2404" spans="2:44" x14ac:dyDescent="0.35">
      <c r="B2404" s="6" t="str">
        <f t="shared" si="666"/>
        <v>19001</v>
      </c>
      <c r="C2404" s="6">
        <f t="shared" si="667"/>
        <v>1900</v>
      </c>
      <c r="D2404" s="6">
        <f t="shared" si="668"/>
        <v>1</v>
      </c>
      <c r="J2404" s="6" t="str">
        <f t="shared" si="669"/>
        <v>19001</v>
      </c>
      <c r="K2404" s="6">
        <f t="shared" si="670"/>
        <v>1900</v>
      </c>
      <c r="L2404" s="6">
        <f t="shared" si="671"/>
        <v>1</v>
      </c>
      <c r="R2404" s="6" t="str">
        <f t="shared" si="672"/>
        <v>19001</v>
      </c>
      <c r="S2404" s="6">
        <f t="shared" si="673"/>
        <v>1900</v>
      </c>
      <c r="T2404" s="6">
        <f t="shared" si="674"/>
        <v>1</v>
      </c>
      <c r="Z2404" s="6" t="str">
        <f t="shared" ca="1" si="675"/>
        <v>20249</v>
      </c>
      <c r="AA2404" s="6">
        <f t="shared" ca="1" si="676"/>
        <v>2024</v>
      </c>
      <c r="AB2404" s="6">
        <f t="shared" ca="1" si="677"/>
        <v>9</v>
      </c>
      <c r="AC2404" s="68">
        <f ca="1">IFERROR(__xludf.DUMMYFUNCTION("""COMPUTED_VALUE"""),45556.9986111111)</f>
        <v>45556.998611111099</v>
      </c>
      <c r="AD2404" s="6">
        <f ca="1">IFERROR(__xludf.DUMMYFUNCTION("""COMPUTED_VALUE"""),1331.49)</f>
        <v>1331.49</v>
      </c>
      <c r="AH2404" s="6" t="str">
        <f t="shared" ca="1" si="678"/>
        <v>20247</v>
      </c>
      <c r="AI2404" s="6">
        <f t="shared" ca="1" si="679"/>
        <v>2024</v>
      </c>
      <c r="AJ2404" s="6">
        <f t="shared" ca="1" si="680"/>
        <v>7</v>
      </c>
      <c r="AK2404" s="68">
        <f ca="1">IFERROR(__xludf.DUMMYFUNCTION("""COMPUTED_VALUE"""),45498.9986111111)</f>
        <v>45498.998611111099</v>
      </c>
      <c r="AL2404" s="6">
        <f ca="1">IFERROR(__xludf.DUMMYFUNCTION("""COMPUTED_VALUE"""),64125.9)</f>
        <v>64125.9</v>
      </c>
      <c r="AP2404" s="6" t="str">
        <f t="shared" si="681"/>
        <v>19001</v>
      </c>
      <c r="AQ2404" s="6">
        <f t="shared" si="682"/>
        <v>1900</v>
      </c>
      <c r="AR2404" s="6">
        <f t="shared" si="683"/>
        <v>1</v>
      </c>
    </row>
    <row r="2405" spans="2:44" x14ac:dyDescent="0.35">
      <c r="B2405" s="6" t="str">
        <f t="shared" si="666"/>
        <v>19001</v>
      </c>
      <c r="C2405" s="6">
        <f t="shared" si="667"/>
        <v>1900</v>
      </c>
      <c r="D2405" s="6">
        <f t="shared" si="668"/>
        <v>1</v>
      </c>
      <c r="J2405" s="6" t="str">
        <f t="shared" si="669"/>
        <v>19001</v>
      </c>
      <c r="K2405" s="6">
        <f t="shared" si="670"/>
        <v>1900</v>
      </c>
      <c r="L2405" s="6">
        <f t="shared" si="671"/>
        <v>1</v>
      </c>
      <c r="R2405" s="6" t="str">
        <f t="shared" si="672"/>
        <v>19001</v>
      </c>
      <c r="S2405" s="6">
        <f t="shared" si="673"/>
        <v>1900</v>
      </c>
      <c r="T2405" s="6">
        <f t="shared" si="674"/>
        <v>1</v>
      </c>
      <c r="Z2405" s="6" t="str">
        <f t="shared" ca="1" si="675"/>
        <v>20249</v>
      </c>
      <c r="AA2405" s="6">
        <f t="shared" ca="1" si="676"/>
        <v>2024</v>
      </c>
      <c r="AB2405" s="6">
        <f t="shared" ca="1" si="677"/>
        <v>9</v>
      </c>
      <c r="AC2405" s="68">
        <f ca="1">IFERROR(__xludf.DUMMYFUNCTION("""COMPUTED_VALUE"""),45557.9986111111)</f>
        <v>45557.998611111099</v>
      </c>
      <c r="AD2405" s="6">
        <f ca="1">IFERROR(__xludf.DUMMYFUNCTION("""COMPUTED_VALUE"""),1331.5)</f>
        <v>1331.5</v>
      </c>
      <c r="AH2405" s="6" t="str">
        <f t="shared" ca="1" si="678"/>
        <v>20247</v>
      </c>
      <c r="AI2405" s="6">
        <f t="shared" ca="1" si="679"/>
        <v>2024</v>
      </c>
      <c r="AJ2405" s="6">
        <f t="shared" ca="1" si="680"/>
        <v>7</v>
      </c>
      <c r="AK2405" s="68">
        <f ca="1">IFERROR(__xludf.DUMMYFUNCTION("""COMPUTED_VALUE"""),45499.9986111111)</f>
        <v>45499.998611111099</v>
      </c>
      <c r="AL2405" s="6">
        <f ca="1">IFERROR(__xludf.DUMMYFUNCTION("""COMPUTED_VALUE"""),66948.46)</f>
        <v>66948.460000000006</v>
      </c>
      <c r="AP2405" s="6" t="str">
        <f t="shared" si="681"/>
        <v>19001</v>
      </c>
      <c r="AQ2405" s="6">
        <f t="shared" si="682"/>
        <v>1900</v>
      </c>
      <c r="AR2405" s="6">
        <f t="shared" si="683"/>
        <v>1</v>
      </c>
    </row>
    <row r="2406" spans="2:44" x14ac:dyDescent="0.35">
      <c r="B2406" s="6" t="str">
        <f t="shared" si="666"/>
        <v>19001</v>
      </c>
      <c r="C2406" s="6">
        <f t="shared" si="667"/>
        <v>1900</v>
      </c>
      <c r="D2406" s="6">
        <f t="shared" si="668"/>
        <v>1</v>
      </c>
      <c r="J2406" s="6" t="str">
        <f t="shared" si="669"/>
        <v>19001</v>
      </c>
      <c r="K2406" s="6">
        <f t="shared" si="670"/>
        <v>1900</v>
      </c>
      <c r="L2406" s="6">
        <f t="shared" si="671"/>
        <v>1</v>
      </c>
      <c r="R2406" s="6" t="str">
        <f t="shared" si="672"/>
        <v>19001</v>
      </c>
      <c r="S2406" s="6">
        <f t="shared" si="673"/>
        <v>1900</v>
      </c>
      <c r="T2406" s="6">
        <f t="shared" si="674"/>
        <v>1</v>
      </c>
      <c r="Z2406" s="6" t="str">
        <f t="shared" ca="1" si="675"/>
        <v>20249</v>
      </c>
      <c r="AA2406" s="6">
        <f t="shared" ca="1" si="676"/>
        <v>2024</v>
      </c>
      <c r="AB2406" s="6">
        <f t="shared" ca="1" si="677"/>
        <v>9</v>
      </c>
      <c r="AC2406" s="68">
        <f ca="1">IFERROR(__xludf.DUMMYFUNCTION("""COMPUTED_VALUE"""),45558.9986111111)</f>
        <v>45558.998611111099</v>
      </c>
      <c r="AD2406" s="6">
        <f ca="1">IFERROR(__xludf.DUMMYFUNCTION("""COMPUTED_VALUE"""),1333.62)</f>
        <v>1333.62</v>
      </c>
      <c r="AH2406" s="6" t="str">
        <f t="shared" ca="1" si="678"/>
        <v>20247</v>
      </c>
      <c r="AI2406" s="6">
        <f t="shared" ca="1" si="679"/>
        <v>2024</v>
      </c>
      <c r="AJ2406" s="6">
        <f t="shared" ca="1" si="680"/>
        <v>7</v>
      </c>
      <c r="AK2406" s="68">
        <f ca="1">IFERROR(__xludf.DUMMYFUNCTION("""COMPUTED_VALUE"""),45500.9986111111)</f>
        <v>45500.998611111099</v>
      </c>
      <c r="AL2406" s="6">
        <f ca="1">IFERROR(__xludf.DUMMYFUNCTION("""COMPUTED_VALUE"""),67845.7)</f>
        <v>67845.7</v>
      </c>
      <c r="AP2406" s="6" t="str">
        <f t="shared" si="681"/>
        <v>19001</v>
      </c>
      <c r="AQ2406" s="6">
        <f t="shared" si="682"/>
        <v>1900</v>
      </c>
      <c r="AR2406" s="6">
        <f t="shared" si="683"/>
        <v>1</v>
      </c>
    </row>
    <row r="2407" spans="2:44" x14ac:dyDescent="0.35">
      <c r="B2407" s="6" t="str">
        <f t="shared" si="666"/>
        <v>19001</v>
      </c>
      <c r="C2407" s="6">
        <f t="shared" si="667"/>
        <v>1900</v>
      </c>
      <c r="D2407" s="6">
        <f t="shared" si="668"/>
        <v>1</v>
      </c>
      <c r="J2407" s="6" t="str">
        <f t="shared" si="669"/>
        <v>19001</v>
      </c>
      <c r="K2407" s="6">
        <f t="shared" si="670"/>
        <v>1900</v>
      </c>
      <c r="L2407" s="6">
        <f t="shared" si="671"/>
        <v>1</v>
      </c>
      <c r="R2407" s="6" t="str">
        <f t="shared" si="672"/>
        <v>19001</v>
      </c>
      <c r="S2407" s="6">
        <f t="shared" si="673"/>
        <v>1900</v>
      </c>
      <c r="T2407" s="6">
        <f t="shared" si="674"/>
        <v>1</v>
      </c>
      <c r="Z2407" s="6" t="str">
        <f t="shared" ca="1" si="675"/>
        <v>20249</v>
      </c>
      <c r="AA2407" s="6">
        <f t="shared" ca="1" si="676"/>
        <v>2024</v>
      </c>
      <c r="AB2407" s="6">
        <f t="shared" ca="1" si="677"/>
        <v>9</v>
      </c>
      <c r="AC2407" s="68">
        <f ca="1">IFERROR(__xludf.DUMMYFUNCTION("""COMPUTED_VALUE"""),45559.9986111111)</f>
        <v>45559.998611111099</v>
      </c>
      <c r="AD2407" s="6">
        <f ca="1">IFERROR(__xludf.DUMMYFUNCTION("""COMPUTED_VALUE"""),1324.89)</f>
        <v>1324.89</v>
      </c>
      <c r="AH2407" s="6" t="str">
        <f t="shared" ca="1" si="678"/>
        <v>20247</v>
      </c>
      <c r="AI2407" s="6">
        <f t="shared" ca="1" si="679"/>
        <v>2024</v>
      </c>
      <c r="AJ2407" s="6">
        <f t="shared" ca="1" si="680"/>
        <v>7</v>
      </c>
      <c r="AK2407" s="68">
        <f ca="1">IFERROR(__xludf.DUMMYFUNCTION("""COMPUTED_VALUE"""),45501.9986111111)</f>
        <v>45501.998611111099</v>
      </c>
      <c r="AL2407" s="6">
        <f ca="1">IFERROR(__xludf.DUMMYFUNCTION("""COMPUTED_VALUE"""),68017.18)</f>
        <v>68017.179999999993</v>
      </c>
      <c r="AP2407" s="6" t="str">
        <f t="shared" si="681"/>
        <v>19001</v>
      </c>
      <c r="AQ2407" s="6">
        <f t="shared" si="682"/>
        <v>1900</v>
      </c>
      <c r="AR2407" s="6">
        <f t="shared" si="683"/>
        <v>1</v>
      </c>
    </row>
    <row r="2408" spans="2:44" x14ac:dyDescent="0.35">
      <c r="B2408" s="6" t="str">
        <f t="shared" si="666"/>
        <v>19001</v>
      </c>
      <c r="C2408" s="6">
        <f t="shared" si="667"/>
        <v>1900</v>
      </c>
      <c r="D2408" s="6">
        <f t="shared" si="668"/>
        <v>1</v>
      </c>
      <c r="J2408" s="6" t="str">
        <f t="shared" si="669"/>
        <v>19001</v>
      </c>
      <c r="K2408" s="6">
        <f t="shared" si="670"/>
        <v>1900</v>
      </c>
      <c r="L2408" s="6">
        <f t="shared" si="671"/>
        <v>1</v>
      </c>
      <c r="R2408" s="6" t="str">
        <f t="shared" si="672"/>
        <v>19001</v>
      </c>
      <c r="S2408" s="6">
        <f t="shared" si="673"/>
        <v>1900</v>
      </c>
      <c r="T2408" s="6">
        <f t="shared" si="674"/>
        <v>1</v>
      </c>
      <c r="Z2408" s="6" t="str">
        <f t="shared" ca="1" si="675"/>
        <v>20249</v>
      </c>
      <c r="AA2408" s="6">
        <f t="shared" ca="1" si="676"/>
        <v>2024</v>
      </c>
      <c r="AB2408" s="6">
        <f t="shared" ca="1" si="677"/>
        <v>9</v>
      </c>
      <c r="AC2408" s="68">
        <f ca="1">IFERROR(__xludf.DUMMYFUNCTION("""COMPUTED_VALUE"""),45560.9986111111)</f>
        <v>45560.998611111099</v>
      </c>
      <c r="AD2408" s="6">
        <f ca="1">IFERROR(__xludf.DUMMYFUNCTION("""COMPUTED_VALUE"""),1335.05)</f>
        <v>1335.05</v>
      </c>
      <c r="AH2408" s="6" t="str">
        <f t="shared" ca="1" si="678"/>
        <v>20247</v>
      </c>
      <c r="AI2408" s="6">
        <f t="shared" ca="1" si="679"/>
        <v>2024</v>
      </c>
      <c r="AJ2408" s="6">
        <f t="shared" ca="1" si="680"/>
        <v>7</v>
      </c>
      <c r="AK2408" s="68">
        <f ca="1">IFERROR(__xludf.DUMMYFUNCTION("""COMPUTED_VALUE"""),45502.9986111111)</f>
        <v>45502.998611111099</v>
      </c>
      <c r="AL2408" s="6">
        <f ca="1">IFERROR(__xludf.DUMMYFUNCTION("""COMPUTED_VALUE"""),69351.13)</f>
        <v>69351.13</v>
      </c>
      <c r="AP2408" s="6" t="str">
        <f t="shared" si="681"/>
        <v>19001</v>
      </c>
      <c r="AQ2408" s="6">
        <f t="shared" si="682"/>
        <v>1900</v>
      </c>
      <c r="AR2408" s="6">
        <f t="shared" si="683"/>
        <v>1</v>
      </c>
    </row>
    <row r="2409" spans="2:44" x14ac:dyDescent="0.35">
      <c r="B2409" s="6" t="str">
        <f t="shared" si="666"/>
        <v>19001</v>
      </c>
      <c r="C2409" s="6">
        <f t="shared" si="667"/>
        <v>1900</v>
      </c>
      <c r="D2409" s="6">
        <f t="shared" si="668"/>
        <v>1</v>
      </c>
      <c r="J2409" s="6" t="str">
        <f t="shared" si="669"/>
        <v>19001</v>
      </c>
      <c r="K2409" s="6">
        <f t="shared" si="670"/>
        <v>1900</v>
      </c>
      <c r="L2409" s="6">
        <f t="shared" si="671"/>
        <v>1</v>
      </c>
      <c r="R2409" s="6" t="str">
        <f t="shared" si="672"/>
        <v>19001</v>
      </c>
      <c r="S2409" s="6">
        <f t="shared" si="673"/>
        <v>1900</v>
      </c>
      <c r="T2409" s="6">
        <f t="shared" si="674"/>
        <v>1</v>
      </c>
      <c r="Z2409" s="6" t="str">
        <f t="shared" ca="1" si="675"/>
        <v>20249</v>
      </c>
      <c r="AA2409" s="6">
        <f t="shared" ca="1" si="676"/>
        <v>2024</v>
      </c>
      <c r="AB2409" s="6">
        <f t="shared" ca="1" si="677"/>
        <v>9</v>
      </c>
      <c r="AC2409" s="68">
        <f ca="1">IFERROR(__xludf.DUMMYFUNCTION("""COMPUTED_VALUE"""),45561.9986111111)</f>
        <v>45561.998611111099</v>
      </c>
      <c r="AD2409" s="6">
        <f ca="1">IFERROR(__xludf.DUMMYFUNCTION("""COMPUTED_VALUE"""),1313.3)</f>
        <v>1313.3</v>
      </c>
      <c r="AH2409" s="6" t="str">
        <f t="shared" ca="1" si="678"/>
        <v>20247</v>
      </c>
      <c r="AI2409" s="6">
        <f t="shared" ca="1" si="679"/>
        <v>2024</v>
      </c>
      <c r="AJ2409" s="6">
        <f t="shared" ca="1" si="680"/>
        <v>7</v>
      </c>
      <c r="AK2409" s="68">
        <f ca="1">IFERROR(__xludf.DUMMYFUNCTION("""COMPUTED_VALUE"""),45503.9986111111)</f>
        <v>45503.998611111099</v>
      </c>
      <c r="AL2409" s="6">
        <f ca="1">IFERROR(__xludf.DUMMYFUNCTION("""COMPUTED_VALUE"""),66416.08)</f>
        <v>66416.08</v>
      </c>
      <c r="AP2409" s="6" t="str">
        <f t="shared" si="681"/>
        <v>19001</v>
      </c>
      <c r="AQ2409" s="6">
        <f t="shared" si="682"/>
        <v>1900</v>
      </c>
      <c r="AR2409" s="6">
        <f t="shared" si="683"/>
        <v>1</v>
      </c>
    </row>
    <row r="2410" spans="2:44" x14ac:dyDescent="0.35">
      <c r="B2410" s="6" t="str">
        <f t="shared" si="666"/>
        <v>19001</v>
      </c>
      <c r="C2410" s="6">
        <f t="shared" si="667"/>
        <v>1900</v>
      </c>
      <c r="D2410" s="6">
        <f t="shared" si="668"/>
        <v>1</v>
      </c>
      <c r="J2410" s="6" t="str">
        <f t="shared" si="669"/>
        <v>19001</v>
      </c>
      <c r="K2410" s="6">
        <f t="shared" si="670"/>
        <v>1900</v>
      </c>
      <c r="L2410" s="6">
        <f t="shared" si="671"/>
        <v>1</v>
      </c>
      <c r="R2410" s="6" t="str">
        <f t="shared" si="672"/>
        <v>19001</v>
      </c>
      <c r="S2410" s="6">
        <f t="shared" si="673"/>
        <v>1900</v>
      </c>
      <c r="T2410" s="6">
        <f t="shared" si="674"/>
        <v>1</v>
      </c>
      <c r="Z2410" s="6" t="str">
        <f t="shared" ca="1" si="675"/>
        <v>20249</v>
      </c>
      <c r="AA2410" s="6">
        <f t="shared" ca="1" si="676"/>
        <v>2024</v>
      </c>
      <c r="AB2410" s="6">
        <f t="shared" ca="1" si="677"/>
        <v>9</v>
      </c>
      <c r="AC2410" s="68">
        <f ca="1">IFERROR(__xludf.DUMMYFUNCTION("""COMPUTED_VALUE"""),45562.9986111111)</f>
        <v>45562.998611111099</v>
      </c>
      <c r="AD2410" s="6">
        <f ca="1">IFERROR(__xludf.DUMMYFUNCTION("""COMPUTED_VALUE"""),1308.26)</f>
        <v>1308.26</v>
      </c>
      <c r="AH2410" s="6" t="str">
        <f t="shared" ca="1" si="678"/>
        <v>20247</v>
      </c>
      <c r="AI2410" s="6">
        <f t="shared" ca="1" si="679"/>
        <v>2024</v>
      </c>
      <c r="AJ2410" s="6">
        <f t="shared" ca="1" si="680"/>
        <v>7</v>
      </c>
      <c r="AK2410" s="68">
        <f ca="1">IFERROR(__xludf.DUMMYFUNCTION("""COMPUTED_VALUE"""),45504.9986111111)</f>
        <v>45504.998611111099</v>
      </c>
      <c r="AL2410" s="6">
        <f ca="1">IFERROR(__xludf.DUMMYFUNCTION("""COMPUTED_VALUE"""),66110.05)</f>
        <v>66110.05</v>
      </c>
      <c r="AP2410" s="6" t="str">
        <f t="shared" si="681"/>
        <v>19001</v>
      </c>
      <c r="AQ2410" s="6">
        <f t="shared" si="682"/>
        <v>1900</v>
      </c>
      <c r="AR2410" s="6">
        <f t="shared" si="683"/>
        <v>1</v>
      </c>
    </row>
    <row r="2411" spans="2:44" x14ac:dyDescent="0.35">
      <c r="B2411" s="6" t="str">
        <f t="shared" si="666"/>
        <v>19001</v>
      </c>
      <c r="C2411" s="6">
        <f t="shared" si="667"/>
        <v>1900</v>
      </c>
      <c r="D2411" s="6">
        <f t="shared" si="668"/>
        <v>1</v>
      </c>
      <c r="J2411" s="6" t="str">
        <f t="shared" si="669"/>
        <v>19001</v>
      </c>
      <c r="K2411" s="6">
        <f t="shared" si="670"/>
        <v>1900</v>
      </c>
      <c r="L2411" s="6">
        <f t="shared" si="671"/>
        <v>1</v>
      </c>
      <c r="R2411" s="6" t="str">
        <f t="shared" si="672"/>
        <v>19001</v>
      </c>
      <c r="S2411" s="6">
        <f t="shared" si="673"/>
        <v>1900</v>
      </c>
      <c r="T2411" s="6">
        <f t="shared" si="674"/>
        <v>1</v>
      </c>
      <c r="Z2411" s="6" t="str">
        <f t="shared" ca="1" si="675"/>
        <v>20249</v>
      </c>
      <c r="AA2411" s="6">
        <f t="shared" ca="1" si="676"/>
        <v>2024</v>
      </c>
      <c r="AB2411" s="6">
        <f t="shared" ca="1" si="677"/>
        <v>9</v>
      </c>
      <c r="AC2411" s="68">
        <f ca="1">IFERROR(__xludf.DUMMYFUNCTION("""COMPUTED_VALUE"""),45563.9986111111)</f>
        <v>45563.998611111099</v>
      </c>
      <c r="AD2411" s="6">
        <f ca="1">IFERROR(__xludf.DUMMYFUNCTION("""COMPUTED_VALUE"""),1308.26)</f>
        <v>1308.26</v>
      </c>
      <c r="AH2411" s="6" t="str">
        <f t="shared" ca="1" si="678"/>
        <v>20248</v>
      </c>
      <c r="AI2411" s="6">
        <f t="shared" ca="1" si="679"/>
        <v>2024</v>
      </c>
      <c r="AJ2411" s="6">
        <f t="shared" ca="1" si="680"/>
        <v>8</v>
      </c>
      <c r="AK2411" s="68">
        <f ca="1">IFERROR(__xludf.DUMMYFUNCTION("""COMPUTED_VALUE"""),45505.9986111111)</f>
        <v>45505.998611111099</v>
      </c>
      <c r="AL2411" s="6">
        <f ca="1">IFERROR(__xludf.DUMMYFUNCTION("""COMPUTED_VALUE"""),63925.74)</f>
        <v>63925.74</v>
      </c>
      <c r="AP2411" s="6" t="str">
        <f t="shared" si="681"/>
        <v>19001</v>
      </c>
      <c r="AQ2411" s="6">
        <f t="shared" si="682"/>
        <v>1900</v>
      </c>
      <c r="AR2411" s="6">
        <f t="shared" si="683"/>
        <v>1</v>
      </c>
    </row>
    <row r="2412" spans="2:44" x14ac:dyDescent="0.35">
      <c r="B2412" s="6" t="str">
        <f t="shared" si="666"/>
        <v>19001</v>
      </c>
      <c r="C2412" s="6">
        <f t="shared" si="667"/>
        <v>1900</v>
      </c>
      <c r="D2412" s="6">
        <f t="shared" si="668"/>
        <v>1</v>
      </c>
      <c r="J2412" s="6" t="str">
        <f t="shared" si="669"/>
        <v>19001</v>
      </c>
      <c r="K2412" s="6">
        <f t="shared" si="670"/>
        <v>1900</v>
      </c>
      <c r="L2412" s="6">
        <f t="shared" si="671"/>
        <v>1</v>
      </c>
      <c r="R2412" s="6" t="str">
        <f t="shared" si="672"/>
        <v>19001</v>
      </c>
      <c r="S2412" s="6">
        <f t="shared" si="673"/>
        <v>1900</v>
      </c>
      <c r="T2412" s="6">
        <f t="shared" si="674"/>
        <v>1</v>
      </c>
      <c r="Z2412" s="6" t="str">
        <f t="shared" ca="1" si="675"/>
        <v>20249</v>
      </c>
      <c r="AA2412" s="6">
        <f t="shared" ca="1" si="676"/>
        <v>2024</v>
      </c>
      <c r="AB2412" s="6">
        <f t="shared" ca="1" si="677"/>
        <v>9</v>
      </c>
      <c r="AC2412" s="68">
        <f ca="1">IFERROR(__xludf.DUMMYFUNCTION("""COMPUTED_VALUE"""),45564.9986111111)</f>
        <v>45564.998611111099</v>
      </c>
      <c r="AD2412" s="6">
        <f ca="1">IFERROR(__xludf.DUMMYFUNCTION("""COMPUTED_VALUE"""),1309.3)</f>
        <v>1309.3</v>
      </c>
      <c r="AH2412" s="6" t="str">
        <f t="shared" ca="1" si="678"/>
        <v>20248</v>
      </c>
      <c r="AI2412" s="6">
        <f t="shared" ca="1" si="679"/>
        <v>2024</v>
      </c>
      <c r="AJ2412" s="6">
        <f t="shared" ca="1" si="680"/>
        <v>8</v>
      </c>
      <c r="AK2412" s="68">
        <f ca="1">IFERROR(__xludf.DUMMYFUNCTION("""COMPUTED_VALUE"""),45506.9986111111)</f>
        <v>45506.998611111099</v>
      </c>
      <c r="AL2412" s="6">
        <f ca="1">IFERROR(__xludf.DUMMYFUNCTION("""COMPUTED_VALUE"""),64529.93)</f>
        <v>64529.93</v>
      </c>
      <c r="AP2412" s="6" t="str">
        <f t="shared" si="681"/>
        <v>19001</v>
      </c>
      <c r="AQ2412" s="6">
        <f t="shared" si="682"/>
        <v>1900</v>
      </c>
      <c r="AR2412" s="6">
        <f t="shared" si="683"/>
        <v>1</v>
      </c>
    </row>
    <row r="2413" spans="2:44" x14ac:dyDescent="0.35">
      <c r="B2413" s="6" t="str">
        <f t="shared" si="666"/>
        <v>19001</v>
      </c>
      <c r="C2413" s="6">
        <f t="shared" si="667"/>
        <v>1900</v>
      </c>
      <c r="D2413" s="6">
        <f t="shared" si="668"/>
        <v>1</v>
      </c>
      <c r="J2413" s="6" t="str">
        <f t="shared" si="669"/>
        <v>19001</v>
      </c>
      <c r="K2413" s="6">
        <f t="shared" si="670"/>
        <v>1900</v>
      </c>
      <c r="L2413" s="6">
        <f t="shared" si="671"/>
        <v>1</v>
      </c>
      <c r="R2413" s="6" t="str">
        <f t="shared" si="672"/>
        <v>19001</v>
      </c>
      <c r="S2413" s="6">
        <f t="shared" si="673"/>
        <v>1900</v>
      </c>
      <c r="T2413" s="6">
        <f t="shared" si="674"/>
        <v>1</v>
      </c>
      <c r="Z2413" s="6" t="str">
        <f t="shared" ca="1" si="675"/>
        <v>20249</v>
      </c>
      <c r="AA2413" s="6">
        <f t="shared" ca="1" si="676"/>
        <v>2024</v>
      </c>
      <c r="AB2413" s="6">
        <f t="shared" ca="1" si="677"/>
        <v>9</v>
      </c>
      <c r="AC2413" s="68">
        <f ca="1">IFERROR(__xludf.DUMMYFUNCTION("""COMPUTED_VALUE"""),45565.9986111111)</f>
        <v>45565.998611111099</v>
      </c>
      <c r="AD2413" s="6">
        <f ca="1">IFERROR(__xludf.DUMMYFUNCTION("""COMPUTED_VALUE"""),1315.33)</f>
        <v>1315.33</v>
      </c>
      <c r="AH2413" s="6" t="str">
        <f t="shared" ca="1" si="678"/>
        <v>20248</v>
      </c>
      <c r="AI2413" s="6">
        <f t="shared" ca="1" si="679"/>
        <v>2024</v>
      </c>
      <c r="AJ2413" s="6">
        <f t="shared" ca="1" si="680"/>
        <v>8</v>
      </c>
      <c r="AK2413" s="68">
        <f ca="1">IFERROR(__xludf.DUMMYFUNCTION("""COMPUTED_VALUE"""),45507.9986111111)</f>
        <v>45507.998611111099</v>
      </c>
      <c r="AL2413" s="6">
        <f ca="1">IFERROR(__xludf.DUMMYFUNCTION("""COMPUTED_VALUE"""),61732.31)</f>
        <v>61732.31</v>
      </c>
      <c r="AP2413" s="6" t="str">
        <f t="shared" si="681"/>
        <v>19001</v>
      </c>
      <c r="AQ2413" s="6">
        <f t="shared" si="682"/>
        <v>1900</v>
      </c>
      <c r="AR2413" s="6">
        <f t="shared" si="683"/>
        <v>1</v>
      </c>
    </row>
    <row r="2414" spans="2:44" x14ac:dyDescent="0.35">
      <c r="B2414" s="6" t="str">
        <f t="shared" si="666"/>
        <v>19001</v>
      </c>
      <c r="C2414" s="6">
        <f t="shared" si="667"/>
        <v>1900</v>
      </c>
      <c r="D2414" s="6">
        <f t="shared" si="668"/>
        <v>1</v>
      </c>
      <c r="J2414" s="6" t="str">
        <f t="shared" si="669"/>
        <v>19001</v>
      </c>
      <c r="K2414" s="6">
        <f t="shared" si="670"/>
        <v>1900</v>
      </c>
      <c r="L2414" s="6">
        <f t="shared" si="671"/>
        <v>1</v>
      </c>
      <c r="R2414" s="6" t="str">
        <f t="shared" si="672"/>
        <v>19001</v>
      </c>
      <c r="S2414" s="6">
        <f t="shared" si="673"/>
        <v>1900</v>
      </c>
      <c r="T2414" s="6">
        <f t="shared" si="674"/>
        <v>1</v>
      </c>
      <c r="Z2414" s="6" t="str">
        <f t="shared" ca="1" si="675"/>
        <v>202410</v>
      </c>
      <c r="AA2414" s="6">
        <f t="shared" ca="1" si="676"/>
        <v>2024</v>
      </c>
      <c r="AB2414" s="6">
        <f t="shared" ca="1" si="677"/>
        <v>10</v>
      </c>
      <c r="AC2414" s="68">
        <f ca="1">IFERROR(__xludf.DUMMYFUNCTION("""COMPUTED_VALUE"""),45566.9986111111)</f>
        <v>45566.998611111099</v>
      </c>
      <c r="AD2414" s="6">
        <f ca="1">IFERROR(__xludf.DUMMYFUNCTION("""COMPUTED_VALUE"""),1324.84)</f>
        <v>1324.84</v>
      </c>
      <c r="AH2414" s="6" t="str">
        <f t="shared" ca="1" si="678"/>
        <v>20248</v>
      </c>
      <c r="AI2414" s="6">
        <f t="shared" ca="1" si="679"/>
        <v>2024</v>
      </c>
      <c r="AJ2414" s="6">
        <f t="shared" ca="1" si="680"/>
        <v>8</v>
      </c>
      <c r="AK2414" s="68">
        <f ca="1">IFERROR(__xludf.DUMMYFUNCTION("""COMPUTED_VALUE"""),45508.9986111111)</f>
        <v>45508.998611111099</v>
      </c>
      <c r="AL2414" s="6">
        <f ca="1">IFERROR(__xludf.DUMMYFUNCTION("""COMPUTED_VALUE"""),60761.09)</f>
        <v>60761.09</v>
      </c>
      <c r="AP2414" s="6" t="str">
        <f t="shared" si="681"/>
        <v>19001</v>
      </c>
      <c r="AQ2414" s="6">
        <f t="shared" si="682"/>
        <v>1900</v>
      </c>
      <c r="AR2414" s="6">
        <f t="shared" si="683"/>
        <v>1</v>
      </c>
    </row>
    <row r="2415" spans="2:44" x14ac:dyDescent="0.35">
      <c r="B2415" s="6" t="str">
        <f t="shared" si="666"/>
        <v>19001</v>
      </c>
      <c r="C2415" s="6">
        <f t="shared" si="667"/>
        <v>1900</v>
      </c>
      <c r="D2415" s="6">
        <f t="shared" si="668"/>
        <v>1</v>
      </c>
      <c r="J2415" s="6" t="str">
        <f t="shared" si="669"/>
        <v>19001</v>
      </c>
      <c r="K2415" s="6">
        <f t="shared" si="670"/>
        <v>1900</v>
      </c>
      <c r="L2415" s="6">
        <f t="shared" si="671"/>
        <v>1</v>
      </c>
      <c r="R2415" s="6" t="str">
        <f t="shared" si="672"/>
        <v>19001</v>
      </c>
      <c r="S2415" s="6">
        <f t="shared" si="673"/>
        <v>1900</v>
      </c>
      <c r="T2415" s="6">
        <f t="shared" si="674"/>
        <v>1</v>
      </c>
      <c r="Z2415" s="6" t="str">
        <f t="shared" ca="1" si="675"/>
        <v>202410</v>
      </c>
      <c r="AA2415" s="6">
        <f t="shared" ca="1" si="676"/>
        <v>2024</v>
      </c>
      <c r="AB2415" s="6">
        <f t="shared" ca="1" si="677"/>
        <v>10</v>
      </c>
      <c r="AC2415" s="68">
        <f ca="1">IFERROR(__xludf.DUMMYFUNCTION("""COMPUTED_VALUE"""),45567.9986111111)</f>
        <v>45567.998611111099</v>
      </c>
      <c r="AD2415" s="6">
        <f ca="1">IFERROR(__xludf.DUMMYFUNCTION("""COMPUTED_VALUE"""),1324.03)</f>
        <v>1324.03</v>
      </c>
      <c r="AH2415" s="6" t="str">
        <f t="shared" ca="1" si="678"/>
        <v>20248</v>
      </c>
      <c r="AI2415" s="6">
        <f t="shared" ca="1" si="679"/>
        <v>2024</v>
      </c>
      <c r="AJ2415" s="6">
        <f t="shared" ca="1" si="680"/>
        <v>8</v>
      </c>
      <c r="AK2415" s="68">
        <f ca="1">IFERROR(__xludf.DUMMYFUNCTION("""COMPUTED_VALUE"""),45509.9986111111)</f>
        <v>45509.998611111099</v>
      </c>
      <c r="AL2415" s="6">
        <f ca="1">IFERROR(__xludf.DUMMYFUNCTION("""COMPUTED_VALUE"""),54237.53)</f>
        <v>54237.53</v>
      </c>
      <c r="AP2415" s="6" t="str">
        <f t="shared" si="681"/>
        <v>19001</v>
      </c>
      <c r="AQ2415" s="6">
        <f t="shared" si="682"/>
        <v>1900</v>
      </c>
      <c r="AR2415" s="6">
        <f t="shared" si="683"/>
        <v>1</v>
      </c>
    </row>
    <row r="2416" spans="2:44" x14ac:dyDescent="0.35">
      <c r="B2416" s="6" t="str">
        <f t="shared" si="666"/>
        <v>19001</v>
      </c>
      <c r="C2416" s="6">
        <f t="shared" si="667"/>
        <v>1900</v>
      </c>
      <c r="D2416" s="6">
        <f t="shared" si="668"/>
        <v>1</v>
      </c>
      <c r="J2416" s="6" t="str">
        <f t="shared" si="669"/>
        <v>19001</v>
      </c>
      <c r="K2416" s="6">
        <f t="shared" si="670"/>
        <v>1900</v>
      </c>
      <c r="L2416" s="6">
        <f t="shared" si="671"/>
        <v>1</v>
      </c>
      <c r="R2416" s="6" t="str">
        <f t="shared" si="672"/>
        <v>19001</v>
      </c>
      <c r="S2416" s="6">
        <f t="shared" si="673"/>
        <v>1900</v>
      </c>
      <c r="T2416" s="6">
        <f t="shared" si="674"/>
        <v>1</v>
      </c>
      <c r="Z2416" s="6" t="str">
        <f t="shared" ca="1" si="675"/>
        <v>202410</v>
      </c>
      <c r="AA2416" s="6">
        <f t="shared" ca="1" si="676"/>
        <v>2024</v>
      </c>
      <c r="AB2416" s="6">
        <f t="shared" ca="1" si="677"/>
        <v>10</v>
      </c>
      <c r="AC2416" s="68">
        <f ca="1">IFERROR(__xludf.DUMMYFUNCTION("""COMPUTED_VALUE"""),45568.9986111111)</f>
        <v>45568.998611111099</v>
      </c>
      <c r="AD2416" s="6">
        <f ca="1">IFERROR(__xludf.DUMMYFUNCTION("""COMPUTED_VALUE"""),1334.41)</f>
        <v>1334.41</v>
      </c>
      <c r="AH2416" s="6" t="str">
        <f t="shared" ca="1" si="678"/>
        <v>20248</v>
      </c>
      <c r="AI2416" s="6">
        <f t="shared" ca="1" si="679"/>
        <v>2024</v>
      </c>
      <c r="AJ2416" s="6">
        <f t="shared" ca="1" si="680"/>
        <v>8</v>
      </c>
      <c r="AK2416" s="68">
        <f ca="1">IFERROR(__xludf.DUMMYFUNCTION("""COMPUTED_VALUE"""),45510.9986111111)</f>
        <v>45510.998611111099</v>
      </c>
      <c r="AL2416" s="6">
        <f ca="1">IFERROR(__xludf.DUMMYFUNCTION("""COMPUTED_VALUE"""),55764.82)</f>
        <v>55764.82</v>
      </c>
      <c r="AP2416" s="6" t="str">
        <f t="shared" si="681"/>
        <v>19001</v>
      </c>
      <c r="AQ2416" s="6">
        <f t="shared" si="682"/>
        <v>1900</v>
      </c>
      <c r="AR2416" s="6">
        <f t="shared" si="683"/>
        <v>1</v>
      </c>
    </row>
    <row r="2417" spans="2:44" x14ac:dyDescent="0.35">
      <c r="B2417" s="6" t="str">
        <f t="shared" si="666"/>
        <v>19001</v>
      </c>
      <c r="C2417" s="6">
        <f t="shared" si="667"/>
        <v>1900</v>
      </c>
      <c r="D2417" s="6">
        <f t="shared" si="668"/>
        <v>1</v>
      </c>
      <c r="J2417" s="6" t="str">
        <f t="shared" si="669"/>
        <v>19001</v>
      </c>
      <c r="K2417" s="6">
        <f t="shared" si="670"/>
        <v>1900</v>
      </c>
      <c r="L2417" s="6">
        <f t="shared" si="671"/>
        <v>1</v>
      </c>
      <c r="R2417" s="6" t="str">
        <f t="shared" si="672"/>
        <v>19001</v>
      </c>
      <c r="S2417" s="6">
        <f t="shared" si="673"/>
        <v>1900</v>
      </c>
      <c r="T2417" s="6">
        <f t="shared" si="674"/>
        <v>1</v>
      </c>
      <c r="Z2417" s="6" t="str">
        <f t="shared" ca="1" si="675"/>
        <v>202410</v>
      </c>
      <c r="AA2417" s="6">
        <f t="shared" ca="1" si="676"/>
        <v>2024</v>
      </c>
      <c r="AB2417" s="6">
        <f t="shared" ca="1" si="677"/>
        <v>10</v>
      </c>
      <c r="AC2417" s="68">
        <f ca="1">IFERROR(__xludf.DUMMYFUNCTION("""COMPUTED_VALUE"""),45569.9986111111)</f>
        <v>45569.998611111099</v>
      </c>
      <c r="AD2417" s="6">
        <f ca="1">IFERROR(__xludf.DUMMYFUNCTION("""COMPUTED_VALUE"""),1346.31)</f>
        <v>1346.31</v>
      </c>
      <c r="AH2417" s="6" t="str">
        <f t="shared" ca="1" si="678"/>
        <v>20248</v>
      </c>
      <c r="AI2417" s="6">
        <f t="shared" ca="1" si="679"/>
        <v>2024</v>
      </c>
      <c r="AJ2417" s="6">
        <f t="shared" ca="1" si="680"/>
        <v>8</v>
      </c>
      <c r="AK2417" s="68">
        <f ca="1">IFERROR(__xludf.DUMMYFUNCTION("""COMPUTED_VALUE"""),45511.9986111111)</f>
        <v>45511.998611111099</v>
      </c>
      <c r="AL2417" s="6">
        <f ca="1">IFERROR(__xludf.DUMMYFUNCTION("""COMPUTED_VALUE"""),56886.8)</f>
        <v>56886.8</v>
      </c>
      <c r="AP2417" s="6" t="str">
        <f t="shared" si="681"/>
        <v>19001</v>
      </c>
      <c r="AQ2417" s="6">
        <f t="shared" si="682"/>
        <v>1900</v>
      </c>
      <c r="AR2417" s="6">
        <f t="shared" si="683"/>
        <v>1</v>
      </c>
    </row>
    <row r="2418" spans="2:44" x14ac:dyDescent="0.35">
      <c r="B2418" s="6" t="str">
        <f t="shared" si="666"/>
        <v>19001</v>
      </c>
      <c r="C2418" s="6">
        <f t="shared" si="667"/>
        <v>1900</v>
      </c>
      <c r="D2418" s="6">
        <f t="shared" si="668"/>
        <v>1</v>
      </c>
      <c r="J2418" s="6" t="str">
        <f t="shared" si="669"/>
        <v>19001</v>
      </c>
      <c r="K2418" s="6">
        <f t="shared" si="670"/>
        <v>1900</v>
      </c>
      <c r="L2418" s="6">
        <f t="shared" si="671"/>
        <v>1</v>
      </c>
      <c r="R2418" s="6" t="str">
        <f t="shared" si="672"/>
        <v>19001</v>
      </c>
      <c r="S2418" s="6">
        <f t="shared" si="673"/>
        <v>1900</v>
      </c>
      <c r="T2418" s="6">
        <f t="shared" si="674"/>
        <v>1</v>
      </c>
      <c r="Z2418" s="6" t="str">
        <f t="shared" ca="1" si="675"/>
        <v>202410</v>
      </c>
      <c r="AA2418" s="6">
        <f t="shared" ca="1" si="676"/>
        <v>2024</v>
      </c>
      <c r="AB2418" s="6">
        <f t="shared" ca="1" si="677"/>
        <v>10</v>
      </c>
      <c r="AC2418" s="68">
        <f ca="1">IFERROR(__xludf.DUMMYFUNCTION("""COMPUTED_VALUE"""),45570.9986111111)</f>
        <v>45570.998611111099</v>
      </c>
      <c r="AD2418" s="6">
        <f ca="1">IFERROR(__xludf.DUMMYFUNCTION("""COMPUTED_VALUE"""),1346.31)</f>
        <v>1346.31</v>
      </c>
      <c r="AH2418" s="6" t="str">
        <f t="shared" ca="1" si="678"/>
        <v>20248</v>
      </c>
      <c r="AI2418" s="6">
        <f t="shared" ca="1" si="679"/>
        <v>2024</v>
      </c>
      <c r="AJ2418" s="6">
        <f t="shared" ca="1" si="680"/>
        <v>8</v>
      </c>
      <c r="AK2418" s="68">
        <f ca="1">IFERROR(__xludf.DUMMYFUNCTION("""COMPUTED_VALUE"""),45512.9986111111)</f>
        <v>45512.998611111099</v>
      </c>
      <c r="AL2418" s="6">
        <f ca="1">IFERROR(__xludf.DUMMYFUNCTION("""COMPUTED_VALUE"""),57157.95)</f>
        <v>57157.95</v>
      </c>
      <c r="AP2418" s="6" t="str">
        <f t="shared" si="681"/>
        <v>19001</v>
      </c>
      <c r="AQ2418" s="6">
        <f t="shared" si="682"/>
        <v>1900</v>
      </c>
      <c r="AR2418" s="6">
        <f t="shared" si="683"/>
        <v>1</v>
      </c>
    </row>
    <row r="2419" spans="2:44" x14ac:dyDescent="0.35">
      <c r="B2419" s="6" t="str">
        <f t="shared" si="666"/>
        <v>19001</v>
      </c>
      <c r="C2419" s="6">
        <f t="shared" si="667"/>
        <v>1900</v>
      </c>
      <c r="D2419" s="6">
        <f t="shared" si="668"/>
        <v>1</v>
      </c>
      <c r="J2419" s="6" t="str">
        <f t="shared" si="669"/>
        <v>19001</v>
      </c>
      <c r="K2419" s="6">
        <f t="shared" si="670"/>
        <v>1900</v>
      </c>
      <c r="L2419" s="6">
        <f t="shared" si="671"/>
        <v>1</v>
      </c>
      <c r="R2419" s="6" t="str">
        <f t="shared" si="672"/>
        <v>19001</v>
      </c>
      <c r="S2419" s="6">
        <f t="shared" si="673"/>
        <v>1900</v>
      </c>
      <c r="T2419" s="6">
        <f t="shared" si="674"/>
        <v>1</v>
      </c>
      <c r="Z2419" s="6" t="str">
        <f t="shared" ca="1" si="675"/>
        <v>202410</v>
      </c>
      <c r="AA2419" s="6">
        <f t="shared" ca="1" si="676"/>
        <v>2024</v>
      </c>
      <c r="AB2419" s="6">
        <f t="shared" ca="1" si="677"/>
        <v>10</v>
      </c>
      <c r="AC2419" s="68">
        <f ca="1">IFERROR(__xludf.DUMMYFUNCTION("""COMPUTED_VALUE"""),45571.9986111111)</f>
        <v>45571.998611111099</v>
      </c>
      <c r="AD2419" s="6">
        <f ca="1">IFERROR(__xludf.DUMMYFUNCTION("""COMPUTED_VALUE"""),1345.88)</f>
        <v>1345.88</v>
      </c>
      <c r="AH2419" s="6" t="str">
        <f t="shared" ca="1" si="678"/>
        <v>20248</v>
      </c>
      <c r="AI2419" s="6">
        <f t="shared" ca="1" si="679"/>
        <v>2024</v>
      </c>
      <c r="AJ2419" s="6">
        <f t="shared" ca="1" si="680"/>
        <v>8</v>
      </c>
      <c r="AK2419" s="68">
        <f ca="1">IFERROR(__xludf.DUMMYFUNCTION("""COMPUTED_VALUE"""),45513.9986111111)</f>
        <v>45513.998611111099</v>
      </c>
      <c r="AL2419" s="6">
        <f ca="1">IFERROR(__xludf.DUMMYFUNCTION("""COMPUTED_VALUE"""),61347.45)</f>
        <v>61347.45</v>
      </c>
      <c r="AP2419" s="6" t="str">
        <f t="shared" si="681"/>
        <v>19001</v>
      </c>
      <c r="AQ2419" s="6">
        <f t="shared" si="682"/>
        <v>1900</v>
      </c>
      <c r="AR2419" s="6">
        <f t="shared" si="683"/>
        <v>1</v>
      </c>
    </row>
    <row r="2420" spans="2:44" x14ac:dyDescent="0.35">
      <c r="B2420" s="6" t="str">
        <f t="shared" si="666"/>
        <v>19001</v>
      </c>
      <c r="C2420" s="6">
        <f t="shared" si="667"/>
        <v>1900</v>
      </c>
      <c r="D2420" s="6">
        <f t="shared" si="668"/>
        <v>1</v>
      </c>
      <c r="J2420" s="6" t="str">
        <f t="shared" si="669"/>
        <v>19001</v>
      </c>
      <c r="K2420" s="6">
        <f t="shared" si="670"/>
        <v>1900</v>
      </c>
      <c r="L2420" s="6">
        <f t="shared" si="671"/>
        <v>1</v>
      </c>
      <c r="R2420" s="6" t="str">
        <f t="shared" si="672"/>
        <v>19001</v>
      </c>
      <c r="S2420" s="6">
        <f t="shared" si="673"/>
        <v>1900</v>
      </c>
      <c r="T2420" s="6">
        <f t="shared" si="674"/>
        <v>1</v>
      </c>
      <c r="Z2420" s="6" t="str">
        <f t="shared" ca="1" si="675"/>
        <v>202410</v>
      </c>
      <c r="AA2420" s="6">
        <f t="shared" ca="1" si="676"/>
        <v>2024</v>
      </c>
      <c r="AB2420" s="6">
        <f t="shared" ca="1" si="677"/>
        <v>10</v>
      </c>
      <c r="AC2420" s="68">
        <f ca="1">IFERROR(__xludf.DUMMYFUNCTION("""COMPUTED_VALUE"""),45572.9986111111)</f>
        <v>45572.998611111099</v>
      </c>
      <c r="AD2420" s="6">
        <f ca="1">IFERROR(__xludf.DUMMYFUNCTION("""COMPUTED_VALUE"""),1342.37)</f>
        <v>1342.37</v>
      </c>
      <c r="AH2420" s="6" t="str">
        <f t="shared" ca="1" si="678"/>
        <v>20248</v>
      </c>
      <c r="AI2420" s="6">
        <f t="shared" ca="1" si="679"/>
        <v>2024</v>
      </c>
      <c r="AJ2420" s="6">
        <f t="shared" ca="1" si="680"/>
        <v>8</v>
      </c>
      <c r="AK2420" s="68">
        <f ca="1">IFERROR(__xludf.DUMMYFUNCTION("""COMPUTED_VALUE"""),45514.9986111111)</f>
        <v>45514.998611111099</v>
      </c>
      <c r="AL2420" s="6">
        <f ca="1">IFERROR(__xludf.DUMMYFUNCTION("""COMPUTED_VALUE"""),60463.2)</f>
        <v>60463.199999999997</v>
      </c>
      <c r="AP2420" s="6" t="str">
        <f t="shared" si="681"/>
        <v>19001</v>
      </c>
      <c r="AQ2420" s="6">
        <f t="shared" si="682"/>
        <v>1900</v>
      </c>
      <c r="AR2420" s="6">
        <f t="shared" si="683"/>
        <v>1</v>
      </c>
    </row>
    <row r="2421" spans="2:44" x14ac:dyDescent="0.35">
      <c r="B2421" s="6" t="str">
        <f t="shared" si="666"/>
        <v>19001</v>
      </c>
      <c r="C2421" s="6">
        <f t="shared" si="667"/>
        <v>1900</v>
      </c>
      <c r="D2421" s="6">
        <f t="shared" si="668"/>
        <v>1</v>
      </c>
      <c r="J2421" s="6" t="str">
        <f t="shared" si="669"/>
        <v>19001</v>
      </c>
      <c r="K2421" s="6">
        <f t="shared" si="670"/>
        <v>1900</v>
      </c>
      <c r="L2421" s="6">
        <f t="shared" si="671"/>
        <v>1</v>
      </c>
      <c r="R2421" s="6" t="str">
        <f t="shared" si="672"/>
        <v>19001</v>
      </c>
      <c r="S2421" s="6">
        <f t="shared" si="673"/>
        <v>1900</v>
      </c>
      <c r="T2421" s="6">
        <f t="shared" si="674"/>
        <v>1</v>
      </c>
      <c r="Z2421" s="6" t="str">
        <f t="shared" ca="1" si="675"/>
        <v>202410</v>
      </c>
      <c r="AA2421" s="6">
        <f t="shared" ca="1" si="676"/>
        <v>2024</v>
      </c>
      <c r="AB2421" s="6">
        <f t="shared" ca="1" si="677"/>
        <v>10</v>
      </c>
      <c r="AC2421" s="68">
        <f ca="1">IFERROR(__xludf.DUMMYFUNCTION("""COMPUTED_VALUE"""),45573.9986111111)</f>
        <v>45573.998611111099</v>
      </c>
      <c r="AD2421" s="6">
        <f ca="1">IFERROR(__xludf.DUMMYFUNCTION("""COMPUTED_VALUE"""),1341.31)</f>
        <v>1341.31</v>
      </c>
      <c r="AH2421" s="6" t="str">
        <f t="shared" ca="1" si="678"/>
        <v>20248</v>
      </c>
      <c r="AI2421" s="6">
        <f t="shared" ca="1" si="679"/>
        <v>2024</v>
      </c>
      <c r="AJ2421" s="6">
        <f t="shared" ca="1" si="680"/>
        <v>8</v>
      </c>
      <c r="AK2421" s="68">
        <f ca="1">IFERROR(__xludf.DUMMYFUNCTION("""COMPUTED_VALUE"""),45515.9986111111)</f>
        <v>45515.998611111099</v>
      </c>
      <c r="AL2421" s="6">
        <f ca="1">IFERROR(__xludf.DUMMYFUNCTION("""COMPUTED_VALUE"""),61144.88)</f>
        <v>61144.88</v>
      </c>
      <c r="AP2421" s="6" t="str">
        <f t="shared" si="681"/>
        <v>19001</v>
      </c>
      <c r="AQ2421" s="6">
        <f t="shared" si="682"/>
        <v>1900</v>
      </c>
      <c r="AR2421" s="6">
        <f t="shared" si="683"/>
        <v>1</v>
      </c>
    </row>
    <row r="2422" spans="2:44" x14ac:dyDescent="0.35">
      <c r="B2422" s="6" t="str">
        <f t="shared" si="666"/>
        <v>19001</v>
      </c>
      <c r="C2422" s="6">
        <f t="shared" si="667"/>
        <v>1900</v>
      </c>
      <c r="D2422" s="6">
        <f t="shared" si="668"/>
        <v>1</v>
      </c>
      <c r="J2422" s="6" t="str">
        <f t="shared" si="669"/>
        <v>19001</v>
      </c>
      <c r="K2422" s="6">
        <f t="shared" si="670"/>
        <v>1900</v>
      </c>
      <c r="L2422" s="6">
        <f t="shared" si="671"/>
        <v>1</v>
      </c>
      <c r="R2422" s="6" t="str">
        <f t="shared" si="672"/>
        <v>19001</v>
      </c>
      <c r="S2422" s="6">
        <f t="shared" si="673"/>
        <v>1900</v>
      </c>
      <c r="T2422" s="6">
        <f t="shared" si="674"/>
        <v>1</v>
      </c>
      <c r="Z2422" s="6" t="str">
        <f t="shared" ca="1" si="675"/>
        <v>202410</v>
      </c>
      <c r="AA2422" s="6">
        <f t="shared" ca="1" si="676"/>
        <v>2024</v>
      </c>
      <c r="AB2422" s="6">
        <f t="shared" ca="1" si="677"/>
        <v>10</v>
      </c>
      <c r="AC2422" s="68">
        <f ca="1">IFERROR(__xludf.DUMMYFUNCTION("""COMPUTED_VALUE"""),45574.9986111111)</f>
        <v>45574.998611111099</v>
      </c>
      <c r="AD2422" s="6">
        <f ca="1">IFERROR(__xludf.DUMMYFUNCTION("""COMPUTED_VALUE"""),1343.02)</f>
        <v>1343.02</v>
      </c>
      <c r="AH2422" s="6" t="str">
        <f t="shared" ca="1" si="678"/>
        <v>20248</v>
      </c>
      <c r="AI2422" s="6">
        <f t="shared" ca="1" si="679"/>
        <v>2024</v>
      </c>
      <c r="AJ2422" s="6">
        <f t="shared" ca="1" si="680"/>
        <v>8</v>
      </c>
      <c r="AK2422" s="68">
        <f ca="1">IFERROR(__xludf.DUMMYFUNCTION("""COMPUTED_VALUE"""),45516.9986111111)</f>
        <v>45516.998611111099</v>
      </c>
      <c r="AL2422" s="6">
        <f ca="1">IFERROR(__xludf.DUMMYFUNCTION("""COMPUTED_VALUE"""),58614.72)</f>
        <v>58614.720000000001</v>
      </c>
      <c r="AP2422" s="6" t="str">
        <f t="shared" si="681"/>
        <v>19001</v>
      </c>
      <c r="AQ2422" s="6">
        <f t="shared" si="682"/>
        <v>1900</v>
      </c>
      <c r="AR2422" s="6">
        <f t="shared" si="683"/>
        <v>1</v>
      </c>
    </row>
    <row r="2423" spans="2:44" x14ac:dyDescent="0.35">
      <c r="B2423" s="6" t="str">
        <f t="shared" si="666"/>
        <v>19001</v>
      </c>
      <c r="C2423" s="6">
        <f t="shared" si="667"/>
        <v>1900</v>
      </c>
      <c r="D2423" s="6">
        <f t="shared" si="668"/>
        <v>1</v>
      </c>
      <c r="J2423" s="6" t="str">
        <f t="shared" si="669"/>
        <v>19001</v>
      </c>
      <c r="K2423" s="6">
        <f t="shared" si="670"/>
        <v>1900</v>
      </c>
      <c r="L2423" s="6">
        <f t="shared" si="671"/>
        <v>1</v>
      </c>
      <c r="R2423" s="6" t="str">
        <f t="shared" si="672"/>
        <v>19001</v>
      </c>
      <c r="S2423" s="6">
        <f t="shared" si="673"/>
        <v>1900</v>
      </c>
      <c r="T2423" s="6">
        <f t="shared" si="674"/>
        <v>1</v>
      </c>
      <c r="Z2423" s="6" t="str">
        <f t="shared" ca="1" si="675"/>
        <v>202410</v>
      </c>
      <c r="AA2423" s="6">
        <f t="shared" ca="1" si="676"/>
        <v>2024</v>
      </c>
      <c r="AB2423" s="6">
        <f t="shared" ca="1" si="677"/>
        <v>10</v>
      </c>
      <c r="AC2423" s="68">
        <f ca="1">IFERROR(__xludf.DUMMYFUNCTION("""COMPUTED_VALUE"""),45575.9986111111)</f>
        <v>45575.998611111099</v>
      </c>
      <c r="AD2423" s="6">
        <f ca="1">IFERROR(__xludf.DUMMYFUNCTION("""COMPUTED_VALUE"""),1349.74)</f>
        <v>1349.74</v>
      </c>
      <c r="AH2423" s="6" t="str">
        <f t="shared" ca="1" si="678"/>
        <v>20248</v>
      </c>
      <c r="AI2423" s="6">
        <f t="shared" ca="1" si="679"/>
        <v>2024</v>
      </c>
      <c r="AJ2423" s="6">
        <f t="shared" ca="1" si="680"/>
        <v>8</v>
      </c>
      <c r="AK2423" s="68">
        <f ca="1">IFERROR(__xludf.DUMMYFUNCTION("""COMPUTED_VALUE"""),45517.9986111111)</f>
        <v>45517.998611111099</v>
      </c>
      <c r="AL2423" s="6">
        <f ca="1">IFERROR(__xludf.DUMMYFUNCTION("""COMPUTED_VALUE"""),59135.62)</f>
        <v>59135.62</v>
      </c>
      <c r="AP2423" s="6" t="str">
        <f t="shared" si="681"/>
        <v>19001</v>
      </c>
      <c r="AQ2423" s="6">
        <f t="shared" si="682"/>
        <v>1900</v>
      </c>
      <c r="AR2423" s="6">
        <f t="shared" si="683"/>
        <v>1</v>
      </c>
    </row>
    <row r="2424" spans="2:44" x14ac:dyDescent="0.35">
      <c r="B2424" s="6" t="str">
        <f t="shared" si="666"/>
        <v>19001</v>
      </c>
      <c r="C2424" s="6">
        <f t="shared" si="667"/>
        <v>1900</v>
      </c>
      <c r="D2424" s="6">
        <f t="shared" si="668"/>
        <v>1</v>
      </c>
      <c r="J2424" s="6" t="str">
        <f t="shared" si="669"/>
        <v>19001</v>
      </c>
      <c r="K2424" s="6">
        <f t="shared" si="670"/>
        <v>1900</v>
      </c>
      <c r="L2424" s="6">
        <f t="shared" si="671"/>
        <v>1</v>
      </c>
      <c r="R2424" s="6" t="str">
        <f t="shared" si="672"/>
        <v>19001</v>
      </c>
      <c r="S2424" s="6">
        <f t="shared" si="673"/>
        <v>1900</v>
      </c>
      <c r="T2424" s="6">
        <f t="shared" si="674"/>
        <v>1</v>
      </c>
      <c r="Z2424" s="6" t="str">
        <f t="shared" ca="1" si="675"/>
        <v>202410</v>
      </c>
      <c r="AA2424" s="6">
        <f t="shared" ca="1" si="676"/>
        <v>2024</v>
      </c>
      <c r="AB2424" s="6">
        <f t="shared" ca="1" si="677"/>
        <v>10</v>
      </c>
      <c r="AC2424" s="68">
        <f ca="1">IFERROR(__xludf.DUMMYFUNCTION("""COMPUTED_VALUE"""),45576.9986111111)</f>
        <v>45576.998611111099</v>
      </c>
      <c r="AD2424" s="6">
        <f ca="1">IFERROR(__xludf.DUMMYFUNCTION("""COMPUTED_VALUE"""),1348.34)</f>
        <v>1348.34</v>
      </c>
      <c r="AH2424" s="6" t="str">
        <f t="shared" ca="1" si="678"/>
        <v>20248</v>
      </c>
      <c r="AI2424" s="6">
        <f t="shared" ca="1" si="679"/>
        <v>2024</v>
      </c>
      <c r="AJ2424" s="6">
        <f t="shared" ca="1" si="680"/>
        <v>8</v>
      </c>
      <c r="AK2424" s="68">
        <f ca="1">IFERROR(__xludf.DUMMYFUNCTION("""COMPUTED_VALUE"""),45518.9986111111)</f>
        <v>45518.998611111099</v>
      </c>
      <c r="AL2424" s="6">
        <f ca="1">IFERROR(__xludf.DUMMYFUNCTION("""COMPUTED_VALUE"""),61051.58)</f>
        <v>61051.58</v>
      </c>
      <c r="AP2424" s="6" t="str">
        <f t="shared" si="681"/>
        <v>19001</v>
      </c>
      <c r="AQ2424" s="6">
        <f t="shared" si="682"/>
        <v>1900</v>
      </c>
      <c r="AR2424" s="6">
        <f t="shared" si="683"/>
        <v>1</v>
      </c>
    </row>
    <row r="2425" spans="2:44" x14ac:dyDescent="0.35">
      <c r="B2425" s="6" t="str">
        <f t="shared" si="666"/>
        <v>19001</v>
      </c>
      <c r="C2425" s="6">
        <f t="shared" si="667"/>
        <v>1900</v>
      </c>
      <c r="D2425" s="6">
        <f t="shared" si="668"/>
        <v>1</v>
      </c>
      <c r="J2425" s="6" t="str">
        <f t="shared" si="669"/>
        <v>19001</v>
      </c>
      <c r="K2425" s="6">
        <f t="shared" si="670"/>
        <v>1900</v>
      </c>
      <c r="L2425" s="6">
        <f t="shared" si="671"/>
        <v>1</v>
      </c>
      <c r="R2425" s="6" t="str">
        <f t="shared" si="672"/>
        <v>19001</v>
      </c>
      <c r="S2425" s="6">
        <f t="shared" si="673"/>
        <v>1900</v>
      </c>
      <c r="T2425" s="6">
        <f t="shared" si="674"/>
        <v>1</v>
      </c>
      <c r="Z2425" s="6" t="str">
        <f t="shared" ca="1" si="675"/>
        <v>202410</v>
      </c>
      <c r="AA2425" s="6">
        <f t="shared" ca="1" si="676"/>
        <v>2024</v>
      </c>
      <c r="AB2425" s="6">
        <f t="shared" ca="1" si="677"/>
        <v>10</v>
      </c>
      <c r="AC2425" s="68">
        <f ca="1">IFERROR(__xludf.DUMMYFUNCTION("""COMPUTED_VALUE"""),45577.9986111111)</f>
        <v>45577.998611111099</v>
      </c>
      <c r="AD2425" s="6">
        <f ca="1">IFERROR(__xludf.DUMMYFUNCTION("""COMPUTED_VALUE"""),1348.34)</f>
        <v>1348.34</v>
      </c>
      <c r="AH2425" s="6" t="str">
        <f t="shared" ca="1" si="678"/>
        <v>20248</v>
      </c>
      <c r="AI2425" s="6">
        <f t="shared" ca="1" si="679"/>
        <v>2024</v>
      </c>
      <c r="AJ2425" s="6">
        <f t="shared" ca="1" si="680"/>
        <v>8</v>
      </c>
      <c r="AK2425" s="68">
        <f ca="1">IFERROR(__xludf.DUMMYFUNCTION("""COMPUTED_VALUE"""),45519.9986111111)</f>
        <v>45519.998611111099</v>
      </c>
      <c r="AL2425" s="6">
        <f ca="1">IFERROR(__xludf.DUMMYFUNCTION("""COMPUTED_VALUE"""),58418.11)</f>
        <v>58418.11</v>
      </c>
      <c r="AP2425" s="6" t="str">
        <f t="shared" si="681"/>
        <v>19001</v>
      </c>
      <c r="AQ2425" s="6">
        <f t="shared" si="682"/>
        <v>1900</v>
      </c>
      <c r="AR2425" s="6">
        <f t="shared" si="683"/>
        <v>1</v>
      </c>
    </row>
    <row r="2426" spans="2:44" x14ac:dyDescent="0.35">
      <c r="B2426" s="6" t="str">
        <f t="shared" si="666"/>
        <v>19001</v>
      </c>
      <c r="C2426" s="6">
        <f t="shared" si="667"/>
        <v>1900</v>
      </c>
      <c r="D2426" s="6">
        <f t="shared" si="668"/>
        <v>1</v>
      </c>
      <c r="J2426" s="6" t="str">
        <f t="shared" si="669"/>
        <v>19001</v>
      </c>
      <c r="K2426" s="6">
        <f t="shared" si="670"/>
        <v>1900</v>
      </c>
      <c r="L2426" s="6">
        <f t="shared" si="671"/>
        <v>1</v>
      </c>
      <c r="R2426" s="6" t="str">
        <f t="shared" si="672"/>
        <v>19001</v>
      </c>
      <c r="S2426" s="6">
        <f t="shared" si="673"/>
        <v>1900</v>
      </c>
      <c r="T2426" s="6">
        <f t="shared" si="674"/>
        <v>1</v>
      </c>
      <c r="Z2426" s="6" t="str">
        <f t="shared" ca="1" si="675"/>
        <v>202410</v>
      </c>
      <c r="AA2426" s="6">
        <f t="shared" ca="1" si="676"/>
        <v>2024</v>
      </c>
      <c r="AB2426" s="6">
        <f t="shared" ca="1" si="677"/>
        <v>10</v>
      </c>
      <c r="AC2426" s="68">
        <f ca="1">IFERROR(__xludf.DUMMYFUNCTION("""COMPUTED_VALUE"""),45578.9986111111)</f>
        <v>45578.998611111099</v>
      </c>
      <c r="AD2426" s="6">
        <f ca="1">IFERROR(__xludf.DUMMYFUNCTION("""COMPUTED_VALUE"""),1348.33)</f>
        <v>1348.33</v>
      </c>
      <c r="AH2426" s="6" t="str">
        <f t="shared" ca="1" si="678"/>
        <v>20248</v>
      </c>
      <c r="AI2426" s="6">
        <f t="shared" ca="1" si="679"/>
        <v>2024</v>
      </c>
      <c r="AJ2426" s="6">
        <f t="shared" ca="1" si="680"/>
        <v>8</v>
      </c>
      <c r="AK2426" s="68">
        <f ca="1">IFERROR(__xludf.DUMMYFUNCTION("""COMPUTED_VALUE"""),45520.9986111111)</f>
        <v>45520.998611111099</v>
      </c>
      <c r="AL2426" s="6">
        <f ca="1">IFERROR(__xludf.DUMMYFUNCTION("""COMPUTED_VALUE"""),57976.19)</f>
        <v>57976.19</v>
      </c>
      <c r="AP2426" s="6" t="str">
        <f t="shared" si="681"/>
        <v>19001</v>
      </c>
      <c r="AQ2426" s="6">
        <f t="shared" si="682"/>
        <v>1900</v>
      </c>
      <c r="AR2426" s="6">
        <f t="shared" si="683"/>
        <v>1</v>
      </c>
    </row>
    <row r="2427" spans="2:44" x14ac:dyDescent="0.35">
      <c r="B2427" s="6" t="str">
        <f t="shared" si="666"/>
        <v>19001</v>
      </c>
      <c r="C2427" s="6">
        <f t="shared" si="667"/>
        <v>1900</v>
      </c>
      <c r="D2427" s="6">
        <f t="shared" si="668"/>
        <v>1</v>
      </c>
      <c r="J2427" s="6" t="str">
        <f t="shared" si="669"/>
        <v>19001</v>
      </c>
      <c r="K2427" s="6">
        <f t="shared" si="670"/>
        <v>1900</v>
      </c>
      <c r="L2427" s="6">
        <f t="shared" si="671"/>
        <v>1</v>
      </c>
      <c r="R2427" s="6" t="str">
        <f t="shared" si="672"/>
        <v>19001</v>
      </c>
      <c r="S2427" s="6">
        <f t="shared" si="673"/>
        <v>1900</v>
      </c>
      <c r="T2427" s="6">
        <f t="shared" si="674"/>
        <v>1</v>
      </c>
      <c r="Z2427" s="6" t="str">
        <f t="shared" ca="1" si="675"/>
        <v>202410</v>
      </c>
      <c r="AA2427" s="6">
        <f t="shared" ca="1" si="676"/>
        <v>2024</v>
      </c>
      <c r="AB2427" s="6">
        <f t="shared" ca="1" si="677"/>
        <v>10</v>
      </c>
      <c r="AC2427" s="68">
        <f ca="1">IFERROR(__xludf.DUMMYFUNCTION("""COMPUTED_VALUE"""),45579.9986111111)</f>
        <v>45579.998611111099</v>
      </c>
      <c r="AD2427" s="6">
        <f ca="1">IFERROR(__xludf.DUMMYFUNCTION("""COMPUTED_VALUE"""),1357.27)</f>
        <v>1357.27</v>
      </c>
      <c r="AH2427" s="6" t="str">
        <f t="shared" ca="1" si="678"/>
        <v>20248</v>
      </c>
      <c r="AI2427" s="6">
        <f t="shared" ca="1" si="679"/>
        <v>2024</v>
      </c>
      <c r="AJ2427" s="6">
        <f t="shared" ca="1" si="680"/>
        <v>8</v>
      </c>
      <c r="AK2427" s="68">
        <f ca="1">IFERROR(__xludf.DUMMYFUNCTION("""COMPUTED_VALUE"""),45521.9986111111)</f>
        <v>45521.998611111099</v>
      </c>
      <c r="AL2427" s="6">
        <f ca="1">IFERROR(__xludf.DUMMYFUNCTION("""COMPUTED_VALUE"""),59131.83)</f>
        <v>59131.83</v>
      </c>
      <c r="AP2427" s="6" t="str">
        <f t="shared" si="681"/>
        <v>19001</v>
      </c>
      <c r="AQ2427" s="6">
        <f t="shared" si="682"/>
        <v>1900</v>
      </c>
      <c r="AR2427" s="6">
        <f t="shared" si="683"/>
        <v>1</v>
      </c>
    </row>
    <row r="2428" spans="2:44" x14ac:dyDescent="0.35">
      <c r="B2428" s="6" t="str">
        <f t="shared" si="666"/>
        <v>19001</v>
      </c>
      <c r="C2428" s="6">
        <f t="shared" si="667"/>
        <v>1900</v>
      </c>
      <c r="D2428" s="6">
        <f t="shared" si="668"/>
        <v>1</v>
      </c>
      <c r="J2428" s="6" t="str">
        <f t="shared" si="669"/>
        <v>19001</v>
      </c>
      <c r="K2428" s="6">
        <f t="shared" si="670"/>
        <v>1900</v>
      </c>
      <c r="L2428" s="6">
        <f t="shared" si="671"/>
        <v>1</v>
      </c>
      <c r="R2428" s="6" t="str">
        <f t="shared" si="672"/>
        <v>19001</v>
      </c>
      <c r="S2428" s="6">
        <f t="shared" si="673"/>
        <v>1900</v>
      </c>
      <c r="T2428" s="6">
        <f t="shared" si="674"/>
        <v>1</v>
      </c>
      <c r="Z2428" s="6" t="str">
        <f t="shared" ca="1" si="675"/>
        <v>202410</v>
      </c>
      <c r="AA2428" s="6">
        <f t="shared" ca="1" si="676"/>
        <v>2024</v>
      </c>
      <c r="AB2428" s="6">
        <f t="shared" ca="1" si="677"/>
        <v>10</v>
      </c>
      <c r="AC2428" s="68">
        <f ca="1">IFERROR(__xludf.DUMMYFUNCTION("""COMPUTED_VALUE"""),45580.9986111111)</f>
        <v>45580.998611111099</v>
      </c>
      <c r="AD2428" s="6">
        <f ca="1">IFERROR(__xludf.DUMMYFUNCTION("""COMPUTED_VALUE"""),1363.18)</f>
        <v>1363.18</v>
      </c>
      <c r="AH2428" s="6" t="str">
        <f t="shared" ca="1" si="678"/>
        <v>20248</v>
      </c>
      <c r="AI2428" s="6">
        <f t="shared" ca="1" si="679"/>
        <v>2024</v>
      </c>
      <c r="AJ2428" s="6">
        <f t="shared" ca="1" si="680"/>
        <v>8</v>
      </c>
      <c r="AK2428" s="68">
        <f ca="1">IFERROR(__xludf.DUMMYFUNCTION("""COMPUTED_VALUE"""),45522.9986111111)</f>
        <v>45522.998611111099</v>
      </c>
      <c r="AL2428" s="6">
        <f ca="1">IFERROR(__xludf.DUMMYFUNCTION("""COMPUTED_VALUE"""),59435.34)</f>
        <v>59435.34</v>
      </c>
      <c r="AP2428" s="6" t="str">
        <f t="shared" si="681"/>
        <v>19001</v>
      </c>
      <c r="AQ2428" s="6">
        <f t="shared" si="682"/>
        <v>1900</v>
      </c>
      <c r="AR2428" s="6">
        <f t="shared" si="683"/>
        <v>1</v>
      </c>
    </row>
    <row r="2429" spans="2:44" x14ac:dyDescent="0.35">
      <c r="B2429" s="6" t="str">
        <f t="shared" si="666"/>
        <v>19001</v>
      </c>
      <c r="C2429" s="6">
        <f t="shared" si="667"/>
        <v>1900</v>
      </c>
      <c r="D2429" s="6">
        <f t="shared" si="668"/>
        <v>1</v>
      </c>
      <c r="J2429" s="6" t="str">
        <f t="shared" si="669"/>
        <v>19001</v>
      </c>
      <c r="K2429" s="6">
        <f t="shared" si="670"/>
        <v>1900</v>
      </c>
      <c r="L2429" s="6">
        <f t="shared" si="671"/>
        <v>1</v>
      </c>
      <c r="R2429" s="6" t="str">
        <f t="shared" si="672"/>
        <v>19001</v>
      </c>
      <c r="S2429" s="6">
        <f t="shared" si="673"/>
        <v>1900</v>
      </c>
      <c r="T2429" s="6">
        <f t="shared" si="674"/>
        <v>1</v>
      </c>
      <c r="Z2429" s="6" t="str">
        <f t="shared" ca="1" si="675"/>
        <v>202410</v>
      </c>
      <c r="AA2429" s="6">
        <f t="shared" ca="1" si="676"/>
        <v>2024</v>
      </c>
      <c r="AB2429" s="6">
        <f t="shared" ca="1" si="677"/>
        <v>10</v>
      </c>
      <c r="AC2429" s="68">
        <f ca="1">IFERROR(__xludf.DUMMYFUNCTION("""COMPUTED_VALUE"""),45581.9986111111)</f>
        <v>45581.998611111099</v>
      </c>
      <c r="AD2429" s="6">
        <f ca="1">IFERROR(__xludf.DUMMYFUNCTION("""COMPUTED_VALUE"""),1364.2)</f>
        <v>1364.2</v>
      </c>
      <c r="AH2429" s="6" t="str">
        <f t="shared" ca="1" si="678"/>
        <v>20248</v>
      </c>
      <c r="AI2429" s="6">
        <f t="shared" ca="1" si="679"/>
        <v>2024</v>
      </c>
      <c r="AJ2429" s="6">
        <f t="shared" ca="1" si="680"/>
        <v>8</v>
      </c>
      <c r="AK2429" s="68">
        <f ca="1">IFERROR(__xludf.DUMMYFUNCTION("""COMPUTED_VALUE"""),45523.9986111111)</f>
        <v>45523.998611111099</v>
      </c>
      <c r="AL2429" s="6">
        <f ca="1">IFERROR(__xludf.DUMMYFUNCTION("""COMPUTED_VALUE"""),58708.96)</f>
        <v>58708.959999999999</v>
      </c>
      <c r="AP2429" s="6" t="str">
        <f t="shared" si="681"/>
        <v>19001</v>
      </c>
      <c r="AQ2429" s="6">
        <f t="shared" si="682"/>
        <v>1900</v>
      </c>
      <c r="AR2429" s="6">
        <f t="shared" si="683"/>
        <v>1</v>
      </c>
    </row>
    <row r="2430" spans="2:44" x14ac:dyDescent="0.35">
      <c r="B2430" s="6" t="str">
        <f t="shared" si="666"/>
        <v>19001</v>
      </c>
      <c r="C2430" s="6">
        <f t="shared" si="667"/>
        <v>1900</v>
      </c>
      <c r="D2430" s="6">
        <f t="shared" si="668"/>
        <v>1</v>
      </c>
      <c r="J2430" s="6" t="str">
        <f t="shared" si="669"/>
        <v>19001</v>
      </c>
      <c r="K2430" s="6">
        <f t="shared" si="670"/>
        <v>1900</v>
      </c>
      <c r="L2430" s="6">
        <f t="shared" si="671"/>
        <v>1</v>
      </c>
      <c r="R2430" s="6" t="str">
        <f t="shared" si="672"/>
        <v>19001</v>
      </c>
      <c r="S2430" s="6">
        <f t="shared" si="673"/>
        <v>1900</v>
      </c>
      <c r="T2430" s="6">
        <f t="shared" si="674"/>
        <v>1</v>
      </c>
      <c r="Z2430" s="6" t="str">
        <f t="shared" ca="1" si="675"/>
        <v>202410</v>
      </c>
      <c r="AA2430" s="6">
        <f t="shared" ca="1" si="676"/>
        <v>2024</v>
      </c>
      <c r="AB2430" s="6">
        <f t="shared" ca="1" si="677"/>
        <v>10</v>
      </c>
      <c r="AC2430" s="68">
        <f ca="1">IFERROR(__xludf.DUMMYFUNCTION("""COMPUTED_VALUE"""),45582.9986111111)</f>
        <v>45582.998611111099</v>
      </c>
      <c r="AD2430" s="6">
        <f ca="1">IFERROR(__xludf.DUMMYFUNCTION("""COMPUTED_VALUE"""),1370.05)</f>
        <v>1370.05</v>
      </c>
      <c r="AH2430" s="6" t="str">
        <f t="shared" ca="1" si="678"/>
        <v>20248</v>
      </c>
      <c r="AI2430" s="6">
        <f t="shared" ca="1" si="679"/>
        <v>2024</v>
      </c>
      <c r="AJ2430" s="6">
        <f t="shared" ca="1" si="680"/>
        <v>8</v>
      </c>
      <c r="AK2430" s="68">
        <f ca="1">IFERROR(__xludf.DUMMYFUNCTION("""COMPUTED_VALUE"""),45524.9986111111)</f>
        <v>45524.998611111099</v>
      </c>
      <c r="AL2430" s="6">
        <f ca="1">IFERROR(__xludf.DUMMYFUNCTION("""COMPUTED_VALUE"""),60549.66)</f>
        <v>60549.66</v>
      </c>
      <c r="AP2430" s="6" t="str">
        <f t="shared" si="681"/>
        <v>19001</v>
      </c>
      <c r="AQ2430" s="6">
        <f t="shared" si="682"/>
        <v>1900</v>
      </c>
      <c r="AR2430" s="6">
        <f t="shared" si="683"/>
        <v>1</v>
      </c>
    </row>
    <row r="2431" spans="2:44" x14ac:dyDescent="0.35">
      <c r="B2431" s="6" t="str">
        <f t="shared" si="666"/>
        <v>19001</v>
      </c>
      <c r="C2431" s="6">
        <f t="shared" si="667"/>
        <v>1900</v>
      </c>
      <c r="D2431" s="6">
        <f t="shared" si="668"/>
        <v>1</v>
      </c>
      <c r="J2431" s="6" t="str">
        <f t="shared" si="669"/>
        <v>19001</v>
      </c>
      <c r="K2431" s="6">
        <f t="shared" si="670"/>
        <v>1900</v>
      </c>
      <c r="L2431" s="6">
        <f t="shared" si="671"/>
        <v>1</v>
      </c>
      <c r="R2431" s="6" t="str">
        <f t="shared" si="672"/>
        <v>19001</v>
      </c>
      <c r="S2431" s="6">
        <f t="shared" si="673"/>
        <v>1900</v>
      </c>
      <c r="T2431" s="6">
        <f t="shared" si="674"/>
        <v>1</v>
      </c>
      <c r="Z2431" s="6" t="str">
        <f t="shared" ca="1" si="675"/>
        <v>202410</v>
      </c>
      <c r="AA2431" s="6">
        <f t="shared" ca="1" si="676"/>
        <v>2024</v>
      </c>
      <c r="AB2431" s="6">
        <f t="shared" ca="1" si="677"/>
        <v>10</v>
      </c>
      <c r="AC2431" s="68">
        <f ca="1">IFERROR(__xludf.DUMMYFUNCTION("""COMPUTED_VALUE"""),45583.9986111111)</f>
        <v>45583.998611111099</v>
      </c>
      <c r="AD2431" s="6">
        <f ca="1">IFERROR(__xludf.DUMMYFUNCTION("""COMPUTED_VALUE"""),1369.01)</f>
        <v>1369.01</v>
      </c>
      <c r="AH2431" s="6" t="str">
        <f t="shared" ca="1" si="678"/>
        <v>20248</v>
      </c>
      <c r="AI2431" s="6">
        <f t="shared" ca="1" si="679"/>
        <v>2024</v>
      </c>
      <c r="AJ2431" s="6">
        <f t="shared" ca="1" si="680"/>
        <v>8</v>
      </c>
      <c r="AK2431" s="68">
        <f ca="1">IFERROR(__xludf.DUMMYFUNCTION("""COMPUTED_VALUE"""),45525.9986111111)</f>
        <v>45525.998611111099</v>
      </c>
      <c r="AL2431" s="6">
        <f ca="1">IFERROR(__xludf.DUMMYFUNCTION("""COMPUTED_VALUE"""),59291.03)</f>
        <v>59291.03</v>
      </c>
      <c r="AP2431" s="6" t="str">
        <f t="shared" si="681"/>
        <v>19001</v>
      </c>
      <c r="AQ2431" s="6">
        <f t="shared" si="682"/>
        <v>1900</v>
      </c>
      <c r="AR2431" s="6">
        <f t="shared" si="683"/>
        <v>1</v>
      </c>
    </row>
    <row r="2432" spans="2:44" x14ac:dyDescent="0.35">
      <c r="B2432" s="6" t="str">
        <f t="shared" si="666"/>
        <v>19001</v>
      </c>
      <c r="C2432" s="6">
        <f t="shared" si="667"/>
        <v>1900</v>
      </c>
      <c r="D2432" s="6">
        <f t="shared" si="668"/>
        <v>1</v>
      </c>
      <c r="J2432" s="6" t="str">
        <f t="shared" si="669"/>
        <v>19001</v>
      </c>
      <c r="K2432" s="6">
        <f t="shared" si="670"/>
        <v>1900</v>
      </c>
      <c r="L2432" s="6">
        <f t="shared" si="671"/>
        <v>1</v>
      </c>
      <c r="R2432" s="6" t="str">
        <f t="shared" si="672"/>
        <v>19001</v>
      </c>
      <c r="S2432" s="6">
        <f t="shared" si="673"/>
        <v>1900</v>
      </c>
      <c r="T2432" s="6">
        <f t="shared" si="674"/>
        <v>1</v>
      </c>
      <c r="Z2432" s="6" t="str">
        <f t="shared" ca="1" si="675"/>
        <v>202410</v>
      </c>
      <c r="AA2432" s="6">
        <f t="shared" ca="1" si="676"/>
        <v>2024</v>
      </c>
      <c r="AB2432" s="6">
        <f t="shared" ca="1" si="677"/>
        <v>10</v>
      </c>
      <c r="AC2432" s="68">
        <f ca="1">IFERROR(__xludf.DUMMYFUNCTION("""COMPUTED_VALUE"""),45584.9986111111)</f>
        <v>45584.998611111099</v>
      </c>
      <c r="AD2432" s="6">
        <f ca="1">IFERROR(__xludf.DUMMYFUNCTION("""COMPUTED_VALUE"""),1369.01)</f>
        <v>1369.01</v>
      </c>
      <c r="AH2432" s="6" t="str">
        <f t="shared" ca="1" si="678"/>
        <v>20248</v>
      </c>
      <c r="AI2432" s="6">
        <f t="shared" ca="1" si="679"/>
        <v>2024</v>
      </c>
      <c r="AJ2432" s="6">
        <f t="shared" ca="1" si="680"/>
        <v>8</v>
      </c>
      <c r="AK2432" s="68">
        <f ca="1">IFERROR(__xludf.DUMMYFUNCTION("""COMPUTED_VALUE"""),45526.9986111111)</f>
        <v>45526.998611111099</v>
      </c>
      <c r="AL2432" s="6">
        <f ca="1">IFERROR(__xludf.DUMMYFUNCTION("""COMPUTED_VALUE"""),60554.25)</f>
        <v>60554.25</v>
      </c>
      <c r="AP2432" s="6" t="str">
        <f t="shared" si="681"/>
        <v>19001</v>
      </c>
      <c r="AQ2432" s="6">
        <f t="shared" si="682"/>
        <v>1900</v>
      </c>
      <c r="AR2432" s="6">
        <f t="shared" si="683"/>
        <v>1</v>
      </c>
    </row>
    <row r="2433" spans="2:44" x14ac:dyDescent="0.35">
      <c r="B2433" s="6" t="str">
        <f t="shared" si="666"/>
        <v>19001</v>
      </c>
      <c r="C2433" s="6">
        <f t="shared" si="667"/>
        <v>1900</v>
      </c>
      <c r="D2433" s="6">
        <f t="shared" si="668"/>
        <v>1</v>
      </c>
      <c r="J2433" s="6" t="str">
        <f t="shared" si="669"/>
        <v>19001</v>
      </c>
      <c r="K2433" s="6">
        <f t="shared" si="670"/>
        <v>1900</v>
      </c>
      <c r="L2433" s="6">
        <f t="shared" si="671"/>
        <v>1</v>
      </c>
      <c r="R2433" s="6" t="str">
        <f t="shared" si="672"/>
        <v>19001</v>
      </c>
      <c r="S2433" s="6">
        <f t="shared" si="673"/>
        <v>1900</v>
      </c>
      <c r="T2433" s="6">
        <f t="shared" si="674"/>
        <v>1</v>
      </c>
      <c r="Z2433" s="6" t="str">
        <f t="shared" ca="1" si="675"/>
        <v>202410</v>
      </c>
      <c r="AA2433" s="6">
        <f t="shared" ca="1" si="676"/>
        <v>2024</v>
      </c>
      <c r="AB2433" s="6">
        <f t="shared" ca="1" si="677"/>
        <v>10</v>
      </c>
      <c r="AC2433" s="68">
        <f ca="1">IFERROR(__xludf.DUMMYFUNCTION("""COMPUTED_VALUE"""),45585.9986111111)</f>
        <v>45585.998611111099</v>
      </c>
      <c r="AD2433" s="6">
        <f ca="1">IFERROR(__xludf.DUMMYFUNCTION("""COMPUTED_VALUE"""),1369.01)</f>
        <v>1369.01</v>
      </c>
      <c r="AH2433" s="6" t="str">
        <f t="shared" ca="1" si="678"/>
        <v>20248</v>
      </c>
      <c r="AI2433" s="6">
        <f t="shared" ca="1" si="679"/>
        <v>2024</v>
      </c>
      <c r="AJ2433" s="6">
        <f t="shared" ca="1" si="680"/>
        <v>8</v>
      </c>
      <c r="AK2433" s="68">
        <f ca="1">IFERROR(__xludf.DUMMYFUNCTION("""COMPUTED_VALUE"""),45527.9986111111)</f>
        <v>45527.998611111099</v>
      </c>
      <c r="AL2433" s="6">
        <f ca="1">IFERROR(__xludf.DUMMYFUNCTION("""COMPUTED_VALUE"""),60625.02)</f>
        <v>60625.02</v>
      </c>
      <c r="AP2433" s="6" t="str">
        <f t="shared" si="681"/>
        <v>19001</v>
      </c>
      <c r="AQ2433" s="6">
        <f t="shared" si="682"/>
        <v>1900</v>
      </c>
      <c r="AR2433" s="6">
        <f t="shared" si="683"/>
        <v>1</v>
      </c>
    </row>
    <row r="2434" spans="2:44" x14ac:dyDescent="0.35">
      <c r="B2434" s="6" t="str">
        <f t="shared" si="666"/>
        <v>19001</v>
      </c>
      <c r="C2434" s="6">
        <f t="shared" si="667"/>
        <v>1900</v>
      </c>
      <c r="D2434" s="6">
        <f t="shared" si="668"/>
        <v>1</v>
      </c>
      <c r="J2434" s="6" t="str">
        <f t="shared" si="669"/>
        <v>19001</v>
      </c>
      <c r="K2434" s="6">
        <f t="shared" si="670"/>
        <v>1900</v>
      </c>
      <c r="L2434" s="6">
        <f t="shared" si="671"/>
        <v>1</v>
      </c>
      <c r="R2434" s="6" t="str">
        <f t="shared" si="672"/>
        <v>19001</v>
      </c>
      <c r="S2434" s="6">
        <f t="shared" si="673"/>
        <v>1900</v>
      </c>
      <c r="T2434" s="6">
        <f t="shared" si="674"/>
        <v>1</v>
      </c>
      <c r="Z2434" s="6" t="str">
        <f t="shared" ca="1" si="675"/>
        <v>202410</v>
      </c>
      <c r="AA2434" s="6">
        <f t="shared" ca="1" si="676"/>
        <v>2024</v>
      </c>
      <c r="AB2434" s="6">
        <f t="shared" ca="1" si="677"/>
        <v>10</v>
      </c>
      <c r="AC2434" s="68">
        <f ca="1">IFERROR(__xludf.DUMMYFUNCTION("""COMPUTED_VALUE"""),45586.9986111111)</f>
        <v>45586.998611111099</v>
      </c>
      <c r="AD2434" s="6">
        <f ca="1">IFERROR(__xludf.DUMMYFUNCTION("""COMPUTED_VALUE"""),1376.5)</f>
        <v>1376.5</v>
      </c>
      <c r="AH2434" s="6" t="str">
        <f t="shared" ca="1" si="678"/>
        <v>20248</v>
      </c>
      <c r="AI2434" s="6">
        <f t="shared" ca="1" si="679"/>
        <v>2024</v>
      </c>
      <c r="AJ2434" s="6">
        <f t="shared" ca="1" si="680"/>
        <v>8</v>
      </c>
      <c r="AK2434" s="68">
        <f ca="1">IFERROR(__xludf.DUMMYFUNCTION("""COMPUTED_VALUE"""),45528.9986111111)</f>
        <v>45528.998611111099</v>
      </c>
      <c r="AL2434" s="6">
        <f ca="1">IFERROR(__xludf.DUMMYFUNCTION("""COMPUTED_VALUE"""),63975.61)</f>
        <v>63975.61</v>
      </c>
      <c r="AP2434" s="6" t="str">
        <f t="shared" si="681"/>
        <v>19001</v>
      </c>
      <c r="AQ2434" s="6">
        <f t="shared" si="682"/>
        <v>1900</v>
      </c>
      <c r="AR2434" s="6">
        <f t="shared" si="683"/>
        <v>1</v>
      </c>
    </row>
    <row r="2435" spans="2:44" x14ac:dyDescent="0.35">
      <c r="B2435" s="6" t="str">
        <f t="shared" si="666"/>
        <v>19001</v>
      </c>
      <c r="C2435" s="6">
        <f t="shared" si="667"/>
        <v>1900</v>
      </c>
      <c r="D2435" s="6">
        <f t="shared" si="668"/>
        <v>1</v>
      </c>
      <c r="J2435" s="6" t="str">
        <f t="shared" si="669"/>
        <v>19001</v>
      </c>
      <c r="K2435" s="6">
        <f t="shared" si="670"/>
        <v>1900</v>
      </c>
      <c r="L2435" s="6">
        <f t="shared" si="671"/>
        <v>1</v>
      </c>
      <c r="R2435" s="6" t="str">
        <f t="shared" si="672"/>
        <v>19001</v>
      </c>
      <c r="S2435" s="6">
        <f t="shared" si="673"/>
        <v>1900</v>
      </c>
      <c r="T2435" s="6">
        <f t="shared" si="674"/>
        <v>1</v>
      </c>
      <c r="Z2435" s="6" t="str">
        <f t="shared" ca="1" si="675"/>
        <v>202410</v>
      </c>
      <c r="AA2435" s="6">
        <f t="shared" ca="1" si="676"/>
        <v>2024</v>
      </c>
      <c r="AB2435" s="6">
        <f t="shared" ca="1" si="677"/>
        <v>10</v>
      </c>
      <c r="AC2435" s="68">
        <f ca="1">IFERROR(__xludf.DUMMYFUNCTION("""COMPUTED_VALUE"""),45587.9986111111)</f>
        <v>45587.998611111099</v>
      </c>
      <c r="AD2435" s="6">
        <f ca="1">IFERROR(__xludf.DUMMYFUNCTION("""COMPUTED_VALUE"""),1376.63)</f>
        <v>1376.63</v>
      </c>
      <c r="AH2435" s="6" t="str">
        <f t="shared" ca="1" si="678"/>
        <v>20248</v>
      </c>
      <c r="AI2435" s="6">
        <f t="shared" ca="1" si="679"/>
        <v>2024</v>
      </c>
      <c r="AJ2435" s="6">
        <f t="shared" ca="1" si="680"/>
        <v>8</v>
      </c>
      <c r="AK2435" s="68">
        <f ca="1">IFERROR(__xludf.DUMMYFUNCTION("""COMPUTED_VALUE"""),45529.9986111111)</f>
        <v>45529.998611111099</v>
      </c>
      <c r="AL2435" s="6">
        <f ca="1">IFERROR(__xludf.DUMMYFUNCTION("""COMPUTED_VALUE"""),64153.97)</f>
        <v>64153.97</v>
      </c>
      <c r="AP2435" s="6" t="str">
        <f t="shared" si="681"/>
        <v>19001</v>
      </c>
      <c r="AQ2435" s="6">
        <f t="shared" si="682"/>
        <v>1900</v>
      </c>
      <c r="AR2435" s="6">
        <f t="shared" si="683"/>
        <v>1</v>
      </c>
    </row>
    <row r="2436" spans="2:44" x14ac:dyDescent="0.35">
      <c r="B2436" s="6" t="str">
        <f t="shared" si="666"/>
        <v>19001</v>
      </c>
      <c r="C2436" s="6">
        <f t="shared" si="667"/>
        <v>1900</v>
      </c>
      <c r="D2436" s="6">
        <f t="shared" si="668"/>
        <v>1</v>
      </c>
      <c r="J2436" s="6" t="str">
        <f t="shared" si="669"/>
        <v>19001</v>
      </c>
      <c r="K2436" s="6">
        <f t="shared" si="670"/>
        <v>1900</v>
      </c>
      <c r="L2436" s="6">
        <f t="shared" si="671"/>
        <v>1</v>
      </c>
      <c r="R2436" s="6" t="str">
        <f t="shared" si="672"/>
        <v>19001</v>
      </c>
      <c r="S2436" s="6">
        <f t="shared" si="673"/>
        <v>1900</v>
      </c>
      <c r="T2436" s="6">
        <f t="shared" si="674"/>
        <v>1</v>
      </c>
      <c r="Z2436" s="6" t="str">
        <f t="shared" ca="1" si="675"/>
        <v>202410</v>
      </c>
      <c r="AA2436" s="6">
        <f t="shared" ca="1" si="676"/>
        <v>2024</v>
      </c>
      <c r="AB2436" s="6">
        <f t="shared" ca="1" si="677"/>
        <v>10</v>
      </c>
      <c r="AC2436" s="68">
        <f ca="1">IFERROR(__xludf.DUMMYFUNCTION("""COMPUTED_VALUE"""),45588.9986111111)</f>
        <v>45588.998611111099</v>
      </c>
      <c r="AD2436" s="6">
        <f ca="1">IFERROR(__xludf.DUMMYFUNCTION("""COMPUTED_VALUE"""),1377.34)</f>
        <v>1377.34</v>
      </c>
      <c r="AH2436" s="6" t="str">
        <f t="shared" ca="1" si="678"/>
        <v>20248</v>
      </c>
      <c r="AI2436" s="6">
        <f t="shared" ca="1" si="679"/>
        <v>2024</v>
      </c>
      <c r="AJ2436" s="6">
        <f t="shared" ca="1" si="680"/>
        <v>8</v>
      </c>
      <c r="AK2436" s="68">
        <f ca="1">IFERROR(__xludf.DUMMYFUNCTION("""COMPUTED_VALUE"""),45530.9986111111)</f>
        <v>45530.998611111099</v>
      </c>
      <c r="AL2436" s="6">
        <f ca="1">IFERROR(__xludf.DUMMYFUNCTION("""COMPUTED_VALUE"""),64134.76)</f>
        <v>64134.76</v>
      </c>
      <c r="AP2436" s="6" t="str">
        <f t="shared" si="681"/>
        <v>19001</v>
      </c>
      <c r="AQ2436" s="6">
        <f t="shared" si="682"/>
        <v>1900</v>
      </c>
      <c r="AR2436" s="6">
        <f t="shared" si="683"/>
        <v>1</v>
      </c>
    </row>
    <row r="2437" spans="2:44" x14ac:dyDescent="0.35">
      <c r="B2437" s="6" t="str">
        <f t="shared" si="666"/>
        <v>19001</v>
      </c>
      <c r="C2437" s="6">
        <f t="shared" si="667"/>
        <v>1900</v>
      </c>
      <c r="D2437" s="6">
        <f t="shared" si="668"/>
        <v>1</v>
      </c>
      <c r="J2437" s="6" t="str">
        <f t="shared" si="669"/>
        <v>19001</v>
      </c>
      <c r="K2437" s="6">
        <f t="shared" si="670"/>
        <v>1900</v>
      </c>
      <c r="L2437" s="6">
        <f t="shared" si="671"/>
        <v>1</v>
      </c>
      <c r="R2437" s="6" t="str">
        <f t="shared" si="672"/>
        <v>19001</v>
      </c>
      <c r="S2437" s="6">
        <f t="shared" si="673"/>
        <v>1900</v>
      </c>
      <c r="T2437" s="6">
        <f t="shared" si="674"/>
        <v>1</v>
      </c>
      <c r="Z2437" s="6" t="str">
        <f t="shared" ca="1" si="675"/>
        <v>202410</v>
      </c>
      <c r="AA2437" s="6">
        <f t="shared" ca="1" si="676"/>
        <v>2024</v>
      </c>
      <c r="AB2437" s="6">
        <f t="shared" ca="1" si="677"/>
        <v>10</v>
      </c>
      <c r="AC2437" s="68">
        <f ca="1">IFERROR(__xludf.DUMMYFUNCTION("""COMPUTED_VALUE"""),45589.9986111111)</f>
        <v>45589.998611111099</v>
      </c>
      <c r="AD2437" s="6">
        <f ca="1">IFERROR(__xludf.DUMMYFUNCTION("""COMPUTED_VALUE"""),1376.32)</f>
        <v>1376.32</v>
      </c>
      <c r="AH2437" s="6" t="str">
        <f t="shared" ca="1" si="678"/>
        <v>20248</v>
      </c>
      <c r="AI2437" s="6">
        <f t="shared" ca="1" si="679"/>
        <v>2024</v>
      </c>
      <c r="AJ2437" s="6">
        <f t="shared" ca="1" si="680"/>
        <v>8</v>
      </c>
      <c r="AK2437" s="68">
        <f ca="1">IFERROR(__xludf.DUMMYFUNCTION("""COMPUTED_VALUE"""),45531.9986111111)</f>
        <v>45531.998611111099</v>
      </c>
      <c r="AL2437" s="6">
        <f ca="1">IFERROR(__xludf.DUMMYFUNCTION("""COMPUTED_VALUE"""),62976.04)</f>
        <v>62976.04</v>
      </c>
      <c r="AP2437" s="6" t="str">
        <f t="shared" si="681"/>
        <v>19001</v>
      </c>
      <c r="AQ2437" s="6">
        <f t="shared" si="682"/>
        <v>1900</v>
      </c>
      <c r="AR2437" s="6">
        <f t="shared" si="683"/>
        <v>1</v>
      </c>
    </row>
    <row r="2438" spans="2:44" x14ac:dyDescent="0.35">
      <c r="B2438" s="6" t="str">
        <f t="shared" si="666"/>
        <v>19001</v>
      </c>
      <c r="C2438" s="6">
        <f t="shared" si="667"/>
        <v>1900</v>
      </c>
      <c r="D2438" s="6">
        <f t="shared" si="668"/>
        <v>1</v>
      </c>
      <c r="J2438" s="6" t="str">
        <f t="shared" si="669"/>
        <v>19001</v>
      </c>
      <c r="K2438" s="6">
        <f t="shared" si="670"/>
        <v>1900</v>
      </c>
      <c r="L2438" s="6">
        <f t="shared" si="671"/>
        <v>1</v>
      </c>
      <c r="R2438" s="6" t="str">
        <f t="shared" si="672"/>
        <v>19001</v>
      </c>
      <c r="S2438" s="6">
        <f t="shared" si="673"/>
        <v>1900</v>
      </c>
      <c r="T2438" s="6">
        <f t="shared" si="674"/>
        <v>1</v>
      </c>
      <c r="Z2438" s="6" t="str">
        <f t="shared" ca="1" si="675"/>
        <v>202410</v>
      </c>
      <c r="AA2438" s="6">
        <f t="shared" ca="1" si="676"/>
        <v>2024</v>
      </c>
      <c r="AB2438" s="6">
        <f t="shared" ca="1" si="677"/>
        <v>10</v>
      </c>
      <c r="AC2438" s="68">
        <f ca="1">IFERROR(__xludf.DUMMYFUNCTION("""COMPUTED_VALUE"""),45590.9986111111)</f>
        <v>45590.998611111099</v>
      </c>
      <c r="AD2438" s="6">
        <f ca="1">IFERROR(__xludf.DUMMYFUNCTION("""COMPUTED_VALUE"""),1387.66)</f>
        <v>1387.66</v>
      </c>
      <c r="AH2438" s="6" t="str">
        <f t="shared" ca="1" si="678"/>
        <v>20248</v>
      </c>
      <c r="AI2438" s="6">
        <f t="shared" ca="1" si="679"/>
        <v>2024</v>
      </c>
      <c r="AJ2438" s="6">
        <f t="shared" ca="1" si="680"/>
        <v>8</v>
      </c>
      <c r="AK2438" s="68">
        <f ca="1">IFERROR(__xludf.DUMMYFUNCTION("""COMPUTED_VALUE"""),45532.9986111111)</f>
        <v>45532.998611111099</v>
      </c>
      <c r="AL2438" s="6">
        <f ca="1">IFERROR(__xludf.DUMMYFUNCTION("""COMPUTED_VALUE"""),59536.44)</f>
        <v>59536.44</v>
      </c>
      <c r="AP2438" s="6" t="str">
        <f t="shared" si="681"/>
        <v>19001</v>
      </c>
      <c r="AQ2438" s="6">
        <f t="shared" si="682"/>
        <v>1900</v>
      </c>
      <c r="AR2438" s="6">
        <f t="shared" si="683"/>
        <v>1</v>
      </c>
    </row>
    <row r="2439" spans="2:44" x14ac:dyDescent="0.35">
      <c r="B2439" s="6" t="str">
        <f t="shared" ref="B2439:B2502" si="684">C2439&amp;D2439</f>
        <v>19001</v>
      </c>
      <c r="C2439" s="6">
        <f t="shared" ref="C2439:C2502" si="685">YEAR(E2439)</f>
        <v>1900</v>
      </c>
      <c r="D2439" s="6">
        <f t="shared" ref="D2439:D2502" si="686">MONTH(E2439)</f>
        <v>1</v>
      </c>
      <c r="J2439" s="6" t="str">
        <f t="shared" ref="J2439:J2502" si="687">K2439&amp;L2439</f>
        <v>19001</v>
      </c>
      <c r="K2439" s="6">
        <f t="shared" ref="K2439:K2502" si="688">YEAR(M2439)</f>
        <v>1900</v>
      </c>
      <c r="L2439" s="6">
        <f t="shared" ref="L2439:L2502" si="689">MONTH(M2439)</f>
        <v>1</v>
      </c>
      <c r="R2439" s="6" t="str">
        <f t="shared" ref="R2439:R2502" si="690">S2439&amp;T2439</f>
        <v>19001</v>
      </c>
      <c r="S2439" s="6">
        <f t="shared" ref="S2439:S2502" si="691">YEAR(U2439)</f>
        <v>1900</v>
      </c>
      <c r="T2439" s="6">
        <f t="shared" ref="T2439:T2502" si="692">MONTH(U2439)</f>
        <v>1</v>
      </c>
      <c r="Z2439" s="6" t="str">
        <f t="shared" ref="Z2439:Z2502" ca="1" si="693">AA2439&amp;AB2439</f>
        <v>202410</v>
      </c>
      <c r="AA2439" s="6">
        <f t="shared" ref="AA2439:AA2502" ca="1" si="694">YEAR(AC2439)</f>
        <v>2024</v>
      </c>
      <c r="AB2439" s="6">
        <f t="shared" ref="AB2439:AB2502" ca="1" si="695">MONTH(AC2439)</f>
        <v>10</v>
      </c>
      <c r="AC2439" s="68">
        <f ca="1">IFERROR(__xludf.DUMMYFUNCTION("""COMPUTED_VALUE"""),45591.9986111111)</f>
        <v>45591.998611111099</v>
      </c>
      <c r="AD2439" s="6">
        <f ca="1">IFERROR(__xludf.DUMMYFUNCTION("""COMPUTED_VALUE"""),1387.66)</f>
        <v>1387.66</v>
      </c>
      <c r="AH2439" s="6" t="str">
        <f t="shared" ref="AH2439:AH2502" ca="1" si="696">AI2439&amp;AJ2439</f>
        <v>20248</v>
      </c>
      <c r="AI2439" s="6">
        <f t="shared" ref="AI2439:AI2502" ca="1" si="697">YEAR(AK2439)</f>
        <v>2024</v>
      </c>
      <c r="AJ2439" s="6">
        <f t="shared" ref="AJ2439:AJ2502" ca="1" si="698">MONTH(AK2439)</f>
        <v>8</v>
      </c>
      <c r="AK2439" s="68">
        <f ca="1">IFERROR(__xludf.DUMMYFUNCTION("""COMPUTED_VALUE"""),45533.9986111111)</f>
        <v>45533.998611111099</v>
      </c>
      <c r="AL2439" s="6">
        <f ca="1">IFERROR(__xludf.DUMMYFUNCTION("""COMPUTED_VALUE"""),59114.96)</f>
        <v>59114.96</v>
      </c>
      <c r="AP2439" s="6" t="str">
        <f t="shared" ref="AP2439:AP2502" si="699">AQ2439&amp;AR2439</f>
        <v>19001</v>
      </c>
      <c r="AQ2439" s="6">
        <f t="shared" ref="AQ2439:AQ2502" si="700">YEAR(AS2439)</f>
        <v>1900</v>
      </c>
      <c r="AR2439" s="6">
        <f t="shared" ref="AR2439:AR2502" si="701">MONTH(AS2439)</f>
        <v>1</v>
      </c>
    </row>
    <row r="2440" spans="2:44" x14ac:dyDescent="0.35">
      <c r="B2440" s="6" t="str">
        <f t="shared" si="684"/>
        <v>19001</v>
      </c>
      <c r="C2440" s="6">
        <f t="shared" si="685"/>
        <v>1900</v>
      </c>
      <c r="D2440" s="6">
        <f t="shared" si="686"/>
        <v>1</v>
      </c>
      <c r="J2440" s="6" t="str">
        <f t="shared" si="687"/>
        <v>19001</v>
      </c>
      <c r="K2440" s="6">
        <f t="shared" si="688"/>
        <v>1900</v>
      </c>
      <c r="L2440" s="6">
        <f t="shared" si="689"/>
        <v>1</v>
      </c>
      <c r="R2440" s="6" t="str">
        <f t="shared" si="690"/>
        <v>19001</v>
      </c>
      <c r="S2440" s="6">
        <f t="shared" si="691"/>
        <v>1900</v>
      </c>
      <c r="T2440" s="6">
        <f t="shared" si="692"/>
        <v>1</v>
      </c>
      <c r="Z2440" s="6" t="str">
        <f t="shared" ca="1" si="693"/>
        <v>202410</v>
      </c>
      <c r="AA2440" s="6">
        <f t="shared" ca="1" si="694"/>
        <v>2024</v>
      </c>
      <c r="AB2440" s="6">
        <f t="shared" ca="1" si="695"/>
        <v>10</v>
      </c>
      <c r="AC2440" s="68">
        <f ca="1">IFERROR(__xludf.DUMMYFUNCTION("""COMPUTED_VALUE"""),45592.9986111111)</f>
        <v>45592.998611111099</v>
      </c>
      <c r="AD2440" s="6">
        <f ca="1">IFERROR(__xludf.DUMMYFUNCTION("""COMPUTED_VALUE"""),1387.66)</f>
        <v>1387.66</v>
      </c>
      <c r="AH2440" s="6" t="str">
        <f t="shared" ca="1" si="696"/>
        <v>20248</v>
      </c>
      <c r="AI2440" s="6">
        <f t="shared" ca="1" si="697"/>
        <v>2024</v>
      </c>
      <c r="AJ2440" s="6">
        <f t="shared" ca="1" si="698"/>
        <v>8</v>
      </c>
      <c r="AK2440" s="68">
        <f ca="1">IFERROR(__xludf.DUMMYFUNCTION("""COMPUTED_VALUE"""),45534.9986111111)</f>
        <v>45534.998611111099</v>
      </c>
      <c r="AL2440" s="6">
        <f ca="1">IFERROR(__xludf.DUMMYFUNCTION("""COMPUTED_VALUE"""),59061.49)</f>
        <v>59061.49</v>
      </c>
      <c r="AP2440" s="6" t="str">
        <f t="shared" si="699"/>
        <v>19001</v>
      </c>
      <c r="AQ2440" s="6">
        <f t="shared" si="700"/>
        <v>1900</v>
      </c>
      <c r="AR2440" s="6">
        <f t="shared" si="701"/>
        <v>1</v>
      </c>
    </row>
    <row r="2441" spans="2:44" x14ac:dyDescent="0.35">
      <c r="B2441" s="6" t="str">
        <f t="shared" si="684"/>
        <v>19001</v>
      </c>
      <c r="C2441" s="6">
        <f t="shared" si="685"/>
        <v>1900</v>
      </c>
      <c r="D2441" s="6">
        <f t="shared" si="686"/>
        <v>1</v>
      </c>
      <c r="J2441" s="6" t="str">
        <f t="shared" si="687"/>
        <v>19001</v>
      </c>
      <c r="K2441" s="6">
        <f t="shared" si="688"/>
        <v>1900</v>
      </c>
      <c r="L2441" s="6">
        <f t="shared" si="689"/>
        <v>1</v>
      </c>
      <c r="R2441" s="6" t="str">
        <f t="shared" si="690"/>
        <v>19001</v>
      </c>
      <c r="S2441" s="6">
        <f t="shared" si="691"/>
        <v>1900</v>
      </c>
      <c r="T2441" s="6">
        <f t="shared" si="692"/>
        <v>1</v>
      </c>
      <c r="Z2441" s="6" t="str">
        <f t="shared" ca="1" si="693"/>
        <v>202410</v>
      </c>
      <c r="AA2441" s="6">
        <f t="shared" ca="1" si="694"/>
        <v>2024</v>
      </c>
      <c r="AB2441" s="6">
        <f t="shared" ca="1" si="695"/>
        <v>10</v>
      </c>
      <c r="AC2441" s="68">
        <f ca="1">IFERROR(__xludf.DUMMYFUNCTION("""COMPUTED_VALUE"""),45593.9986111111)</f>
        <v>45593.998611111099</v>
      </c>
      <c r="AD2441" s="6">
        <f ca="1">IFERROR(__xludf.DUMMYFUNCTION("""COMPUTED_VALUE"""),1381.97)</f>
        <v>1381.97</v>
      </c>
      <c r="AH2441" s="6" t="str">
        <f t="shared" ca="1" si="696"/>
        <v>20248</v>
      </c>
      <c r="AI2441" s="6">
        <f t="shared" ca="1" si="697"/>
        <v>2024</v>
      </c>
      <c r="AJ2441" s="6">
        <f t="shared" ca="1" si="698"/>
        <v>8</v>
      </c>
      <c r="AK2441" s="68">
        <f ca="1">IFERROR(__xludf.DUMMYFUNCTION("""COMPUTED_VALUE"""),45535.9986111111)</f>
        <v>45535.998611111099</v>
      </c>
      <c r="AL2441" s="6">
        <f ca="1">IFERROR(__xludf.DUMMYFUNCTION("""COMPUTED_VALUE"""),59244.12)</f>
        <v>59244.12</v>
      </c>
      <c r="AP2441" s="6" t="str">
        <f t="shared" si="699"/>
        <v>19001</v>
      </c>
      <c r="AQ2441" s="6">
        <f t="shared" si="700"/>
        <v>1900</v>
      </c>
      <c r="AR2441" s="6">
        <f t="shared" si="701"/>
        <v>1</v>
      </c>
    </row>
    <row r="2442" spans="2:44" x14ac:dyDescent="0.35">
      <c r="B2442" s="6" t="str">
        <f t="shared" si="684"/>
        <v>19001</v>
      </c>
      <c r="C2442" s="6">
        <f t="shared" si="685"/>
        <v>1900</v>
      </c>
      <c r="D2442" s="6">
        <f t="shared" si="686"/>
        <v>1</v>
      </c>
      <c r="J2442" s="6" t="str">
        <f t="shared" si="687"/>
        <v>19001</v>
      </c>
      <c r="K2442" s="6">
        <f t="shared" si="688"/>
        <v>1900</v>
      </c>
      <c r="L2442" s="6">
        <f t="shared" si="689"/>
        <v>1</v>
      </c>
      <c r="R2442" s="6" t="str">
        <f t="shared" si="690"/>
        <v>19001</v>
      </c>
      <c r="S2442" s="6">
        <f t="shared" si="691"/>
        <v>1900</v>
      </c>
      <c r="T2442" s="6">
        <f t="shared" si="692"/>
        <v>1</v>
      </c>
      <c r="Z2442" s="6" t="str">
        <f t="shared" ca="1" si="693"/>
        <v>202410</v>
      </c>
      <c r="AA2442" s="6">
        <f t="shared" ca="1" si="694"/>
        <v>2024</v>
      </c>
      <c r="AB2442" s="6">
        <f t="shared" ca="1" si="695"/>
        <v>10</v>
      </c>
      <c r="AC2442" s="68">
        <f ca="1">IFERROR(__xludf.DUMMYFUNCTION("""COMPUTED_VALUE"""),45594.9986111111)</f>
        <v>45594.998611111099</v>
      </c>
      <c r="AD2442" s="6">
        <f ca="1">IFERROR(__xludf.DUMMYFUNCTION("""COMPUTED_VALUE"""),1383.18)</f>
        <v>1383.18</v>
      </c>
      <c r="AH2442" s="6" t="str">
        <f t="shared" ca="1" si="696"/>
        <v>20249</v>
      </c>
      <c r="AI2442" s="6">
        <f t="shared" ca="1" si="697"/>
        <v>2024</v>
      </c>
      <c r="AJ2442" s="6">
        <f t="shared" ca="1" si="698"/>
        <v>9</v>
      </c>
      <c r="AK2442" s="68">
        <f ca="1">IFERROR(__xludf.DUMMYFUNCTION("""COMPUTED_VALUE"""),45536.9986111111)</f>
        <v>45536.998611111099</v>
      </c>
      <c r="AL2442" s="6">
        <f ca="1">IFERROR(__xludf.DUMMYFUNCTION("""COMPUTED_VALUE"""),58563.01)</f>
        <v>58563.01</v>
      </c>
      <c r="AP2442" s="6" t="str">
        <f t="shared" si="699"/>
        <v>19001</v>
      </c>
      <c r="AQ2442" s="6">
        <f t="shared" si="700"/>
        <v>1900</v>
      </c>
      <c r="AR2442" s="6">
        <f t="shared" si="701"/>
        <v>1</v>
      </c>
    </row>
    <row r="2443" spans="2:44" x14ac:dyDescent="0.35">
      <c r="B2443" s="6" t="str">
        <f t="shared" si="684"/>
        <v>19001</v>
      </c>
      <c r="C2443" s="6">
        <f t="shared" si="685"/>
        <v>1900</v>
      </c>
      <c r="D2443" s="6">
        <f t="shared" si="686"/>
        <v>1</v>
      </c>
      <c r="J2443" s="6" t="str">
        <f t="shared" si="687"/>
        <v>19001</v>
      </c>
      <c r="K2443" s="6">
        <f t="shared" si="688"/>
        <v>1900</v>
      </c>
      <c r="L2443" s="6">
        <f t="shared" si="689"/>
        <v>1</v>
      </c>
      <c r="R2443" s="6" t="str">
        <f t="shared" si="690"/>
        <v>19001</v>
      </c>
      <c r="S2443" s="6">
        <f t="shared" si="691"/>
        <v>1900</v>
      </c>
      <c r="T2443" s="6">
        <f t="shared" si="692"/>
        <v>1</v>
      </c>
      <c r="Z2443" s="6" t="str">
        <f t="shared" ca="1" si="693"/>
        <v>202410</v>
      </c>
      <c r="AA2443" s="6">
        <f t="shared" ca="1" si="694"/>
        <v>2024</v>
      </c>
      <c r="AB2443" s="6">
        <f t="shared" ca="1" si="695"/>
        <v>10</v>
      </c>
      <c r="AC2443" s="68">
        <f ca="1">IFERROR(__xludf.DUMMYFUNCTION("""COMPUTED_VALUE"""),45595.9986111111)</f>
        <v>45595.998611111099</v>
      </c>
      <c r="AD2443" s="6">
        <f ca="1">IFERROR(__xludf.DUMMYFUNCTION("""COMPUTED_VALUE"""),1378.57)</f>
        <v>1378.57</v>
      </c>
      <c r="AH2443" s="6" t="str">
        <f t="shared" ca="1" si="696"/>
        <v>20249</v>
      </c>
      <c r="AI2443" s="6">
        <f t="shared" ca="1" si="697"/>
        <v>2024</v>
      </c>
      <c r="AJ2443" s="6">
        <f t="shared" ca="1" si="698"/>
        <v>9</v>
      </c>
      <c r="AK2443" s="68">
        <f ca="1">IFERROR(__xludf.DUMMYFUNCTION("""COMPUTED_VALUE"""),45537.9986111111)</f>
        <v>45537.998611111099</v>
      </c>
      <c r="AL2443" s="6">
        <f ca="1">IFERROR(__xludf.DUMMYFUNCTION("""COMPUTED_VALUE"""),57724.56)</f>
        <v>57724.56</v>
      </c>
      <c r="AP2443" s="6" t="str">
        <f t="shared" si="699"/>
        <v>19001</v>
      </c>
      <c r="AQ2443" s="6">
        <f t="shared" si="700"/>
        <v>1900</v>
      </c>
      <c r="AR2443" s="6">
        <f t="shared" si="701"/>
        <v>1</v>
      </c>
    </row>
    <row r="2444" spans="2:44" x14ac:dyDescent="0.35">
      <c r="B2444" s="6" t="str">
        <f t="shared" si="684"/>
        <v>19001</v>
      </c>
      <c r="C2444" s="6">
        <f t="shared" si="685"/>
        <v>1900</v>
      </c>
      <c r="D2444" s="6">
        <f t="shared" si="686"/>
        <v>1</v>
      </c>
      <c r="J2444" s="6" t="str">
        <f t="shared" si="687"/>
        <v>19001</v>
      </c>
      <c r="K2444" s="6">
        <f t="shared" si="688"/>
        <v>1900</v>
      </c>
      <c r="L2444" s="6">
        <f t="shared" si="689"/>
        <v>1</v>
      </c>
      <c r="R2444" s="6" t="str">
        <f t="shared" si="690"/>
        <v>19001</v>
      </c>
      <c r="S2444" s="6">
        <f t="shared" si="691"/>
        <v>1900</v>
      </c>
      <c r="T2444" s="6">
        <f t="shared" si="692"/>
        <v>1</v>
      </c>
      <c r="Z2444" s="6" t="str">
        <f t="shared" ca="1" si="693"/>
        <v>202410</v>
      </c>
      <c r="AA2444" s="6">
        <f t="shared" ca="1" si="694"/>
        <v>2024</v>
      </c>
      <c r="AB2444" s="6">
        <f t="shared" ca="1" si="695"/>
        <v>10</v>
      </c>
      <c r="AC2444" s="68">
        <f ca="1">IFERROR(__xludf.DUMMYFUNCTION("""COMPUTED_VALUE"""),45596.9986111111)</f>
        <v>45596.998611111099</v>
      </c>
      <c r="AD2444" s="6">
        <f ca="1">IFERROR(__xludf.DUMMYFUNCTION("""COMPUTED_VALUE"""),1372.93)</f>
        <v>1372.93</v>
      </c>
      <c r="AH2444" s="6" t="str">
        <f t="shared" ca="1" si="696"/>
        <v>20249</v>
      </c>
      <c r="AI2444" s="6">
        <f t="shared" ca="1" si="697"/>
        <v>2024</v>
      </c>
      <c r="AJ2444" s="6">
        <f t="shared" ca="1" si="698"/>
        <v>9</v>
      </c>
      <c r="AK2444" s="68">
        <f ca="1">IFERROR(__xludf.DUMMYFUNCTION("""COMPUTED_VALUE"""),45538.9986111111)</f>
        <v>45538.998611111099</v>
      </c>
      <c r="AL2444" s="6">
        <f ca="1">IFERROR(__xludf.DUMMYFUNCTION("""COMPUTED_VALUE"""),59123.2)</f>
        <v>59123.199999999997</v>
      </c>
      <c r="AP2444" s="6" t="str">
        <f t="shared" si="699"/>
        <v>19001</v>
      </c>
      <c r="AQ2444" s="6">
        <f t="shared" si="700"/>
        <v>1900</v>
      </c>
      <c r="AR2444" s="6">
        <f t="shared" si="701"/>
        <v>1</v>
      </c>
    </row>
    <row r="2445" spans="2:44" x14ac:dyDescent="0.35">
      <c r="B2445" s="6" t="str">
        <f t="shared" si="684"/>
        <v>19001</v>
      </c>
      <c r="C2445" s="6">
        <f t="shared" si="685"/>
        <v>1900</v>
      </c>
      <c r="D2445" s="6">
        <f t="shared" si="686"/>
        <v>1</v>
      </c>
      <c r="J2445" s="6" t="str">
        <f t="shared" si="687"/>
        <v>19001</v>
      </c>
      <c r="K2445" s="6">
        <f t="shared" si="688"/>
        <v>1900</v>
      </c>
      <c r="L2445" s="6">
        <f t="shared" si="689"/>
        <v>1</v>
      </c>
      <c r="R2445" s="6" t="str">
        <f t="shared" si="690"/>
        <v>19001</v>
      </c>
      <c r="S2445" s="6">
        <f t="shared" si="691"/>
        <v>1900</v>
      </c>
      <c r="T2445" s="6">
        <f t="shared" si="692"/>
        <v>1</v>
      </c>
      <c r="Z2445" s="6" t="str">
        <f t="shared" ca="1" si="693"/>
        <v>202411</v>
      </c>
      <c r="AA2445" s="6">
        <f t="shared" ca="1" si="694"/>
        <v>2024</v>
      </c>
      <c r="AB2445" s="6">
        <f t="shared" ca="1" si="695"/>
        <v>11</v>
      </c>
      <c r="AC2445" s="68">
        <f ca="1">IFERROR(__xludf.DUMMYFUNCTION("""COMPUTED_VALUE"""),45597.9986111111)</f>
        <v>45597.998611111099</v>
      </c>
      <c r="AD2445" s="6">
        <f ca="1">IFERROR(__xludf.DUMMYFUNCTION("""COMPUTED_VALUE"""),1379.34)</f>
        <v>1379.34</v>
      </c>
      <c r="AH2445" s="6" t="str">
        <f t="shared" ca="1" si="696"/>
        <v>20249</v>
      </c>
      <c r="AI2445" s="6">
        <f t="shared" ca="1" si="697"/>
        <v>2024</v>
      </c>
      <c r="AJ2445" s="6">
        <f t="shared" ca="1" si="698"/>
        <v>9</v>
      </c>
      <c r="AK2445" s="68">
        <f ca="1">IFERROR(__xludf.DUMMYFUNCTION("""COMPUTED_VALUE"""),45539.9986111111)</f>
        <v>45539.998611111099</v>
      </c>
      <c r="AL2445" s="6">
        <f ca="1">IFERROR(__xludf.DUMMYFUNCTION("""COMPUTED_VALUE"""),56729.19)</f>
        <v>56729.19</v>
      </c>
      <c r="AP2445" s="6" t="str">
        <f t="shared" si="699"/>
        <v>19001</v>
      </c>
      <c r="AQ2445" s="6">
        <f t="shared" si="700"/>
        <v>1900</v>
      </c>
      <c r="AR2445" s="6">
        <f t="shared" si="701"/>
        <v>1</v>
      </c>
    </row>
    <row r="2446" spans="2:44" x14ac:dyDescent="0.35">
      <c r="B2446" s="6" t="str">
        <f t="shared" si="684"/>
        <v>19001</v>
      </c>
      <c r="C2446" s="6">
        <f t="shared" si="685"/>
        <v>1900</v>
      </c>
      <c r="D2446" s="6">
        <f t="shared" si="686"/>
        <v>1</v>
      </c>
      <c r="J2446" s="6" t="str">
        <f t="shared" si="687"/>
        <v>19001</v>
      </c>
      <c r="K2446" s="6">
        <f t="shared" si="688"/>
        <v>1900</v>
      </c>
      <c r="L2446" s="6">
        <f t="shared" si="689"/>
        <v>1</v>
      </c>
      <c r="R2446" s="6" t="str">
        <f t="shared" si="690"/>
        <v>19001</v>
      </c>
      <c r="S2446" s="6">
        <f t="shared" si="691"/>
        <v>1900</v>
      </c>
      <c r="T2446" s="6">
        <f t="shared" si="692"/>
        <v>1</v>
      </c>
      <c r="Z2446" s="6" t="str">
        <f t="shared" ca="1" si="693"/>
        <v>202411</v>
      </c>
      <c r="AA2446" s="6">
        <f t="shared" ca="1" si="694"/>
        <v>2024</v>
      </c>
      <c r="AB2446" s="6">
        <f t="shared" ca="1" si="695"/>
        <v>11</v>
      </c>
      <c r="AC2446" s="68">
        <f ca="1">IFERROR(__xludf.DUMMYFUNCTION("""COMPUTED_VALUE"""),45598.9986111111)</f>
        <v>45598.998611111099</v>
      </c>
      <c r="AD2446" s="6">
        <f ca="1">IFERROR(__xludf.DUMMYFUNCTION("""COMPUTED_VALUE"""),1379.34)</f>
        <v>1379.34</v>
      </c>
      <c r="AH2446" s="6" t="str">
        <f t="shared" ca="1" si="696"/>
        <v>20249</v>
      </c>
      <c r="AI2446" s="6">
        <f t="shared" ca="1" si="697"/>
        <v>2024</v>
      </c>
      <c r="AJ2446" s="6">
        <f t="shared" ca="1" si="698"/>
        <v>9</v>
      </c>
      <c r="AK2446" s="68">
        <f ca="1">IFERROR(__xludf.DUMMYFUNCTION("""COMPUTED_VALUE"""),45540.9986111111)</f>
        <v>45540.998611111099</v>
      </c>
      <c r="AL2446" s="6">
        <f ca="1">IFERROR(__xludf.DUMMYFUNCTION("""COMPUTED_VALUE"""),57202.56)</f>
        <v>57202.559999999998</v>
      </c>
      <c r="AP2446" s="6" t="str">
        <f t="shared" si="699"/>
        <v>19001</v>
      </c>
      <c r="AQ2446" s="6">
        <f t="shared" si="700"/>
        <v>1900</v>
      </c>
      <c r="AR2446" s="6">
        <f t="shared" si="701"/>
        <v>1</v>
      </c>
    </row>
    <row r="2447" spans="2:44" x14ac:dyDescent="0.35">
      <c r="B2447" s="6" t="str">
        <f t="shared" si="684"/>
        <v>19001</v>
      </c>
      <c r="C2447" s="6">
        <f t="shared" si="685"/>
        <v>1900</v>
      </c>
      <c r="D2447" s="6">
        <f t="shared" si="686"/>
        <v>1</v>
      </c>
      <c r="J2447" s="6" t="str">
        <f t="shared" si="687"/>
        <v>19001</v>
      </c>
      <c r="K2447" s="6">
        <f t="shared" si="688"/>
        <v>1900</v>
      </c>
      <c r="L2447" s="6">
        <f t="shared" si="689"/>
        <v>1</v>
      </c>
      <c r="R2447" s="6" t="str">
        <f t="shared" si="690"/>
        <v>19001</v>
      </c>
      <c r="S2447" s="6">
        <f t="shared" si="691"/>
        <v>1900</v>
      </c>
      <c r="T2447" s="6">
        <f t="shared" si="692"/>
        <v>1</v>
      </c>
      <c r="Z2447" s="6" t="str">
        <f t="shared" ca="1" si="693"/>
        <v>202411</v>
      </c>
      <c r="AA2447" s="6">
        <f t="shared" ca="1" si="694"/>
        <v>2024</v>
      </c>
      <c r="AB2447" s="6">
        <f t="shared" ca="1" si="695"/>
        <v>11</v>
      </c>
      <c r="AC2447" s="68">
        <f ca="1">IFERROR(__xludf.DUMMYFUNCTION("""COMPUTED_VALUE"""),45599.9986111111)</f>
        <v>45599.998611111099</v>
      </c>
      <c r="AD2447" s="6">
        <f ca="1">IFERROR(__xludf.DUMMYFUNCTION("""COMPUTED_VALUE"""),1379.34)</f>
        <v>1379.34</v>
      </c>
      <c r="AH2447" s="6" t="str">
        <f t="shared" ca="1" si="696"/>
        <v>20249</v>
      </c>
      <c r="AI2447" s="6">
        <f t="shared" ca="1" si="697"/>
        <v>2024</v>
      </c>
      <c r="AJ2447" s="6">
        <f t="shared" ca="1" si="698"/>
        <v>9</v>
      </c>
      <c r="AK2447" s="68">
        <f ca="1">IFERROR(__xludf.DUMMYFUNCTION("""COMPUTED_VALUE"""),45541.9986111111)</f>
        <v>45541.998611111099</v>
      </c>
      <c r="AL2447" s="6">
        <f ca="1">IFERROR(__xludf.DUMMYFUNCTION("""COMPUTED_VALUE"""),56604.56)</f>
        <v>56604.56</v>
      </c>
      <c r="AP2447" s="6" t="str">
        <f t="shared" si="699"/>
        <v>19001</v>
      </c>
      <c r="AQ2447" s="6">
        <f t="shared" si="700"/>
        <v>1900</v>
      </c>
      <c r="AR2447" s="6">
        <f t="shared" si="701"/>
        <v>1</v>
      </c>
    </row>
    <row r="2448" spans="2:44" x14ac:dyDescent="0.35">
      <c r="B2448" s="6" t="str">
        <f t="shared" si="684"/>
        <v>19001</v>
      </c>
      <c r="C2448" s="6">
        <f t="shared" si="685"/>
        <v>1900</v>
      </c>
      <c r="D2448" s="6">
        <f t="shared" si="686"/>
        <v>1</v>
      </c>
      <c r="J2448" s="6" t="str">
        <f t="shared" si="687"/>
        <v>19001</v>
      </c>
      <c r="K2448" s="6">
        <f t="shared" si="688"/>
        <v>1900</v>
      </c>
      <c r="L2448" s="6">
        <f t="shared" si="689"/>
        <v>1</v>
      </c>
      <c r="R2448" s="6" t="str">
        <f t="shared" si="690"/>
        <v>19001</v>
      </c>
      <c r="S2448" s="6">
        <f t="shared" si="691"/>
        <v>1900</v>
      </c>
      <c r="T2448" s="6">
        <f t="shared" si="692"/>
        <v>1</v>
      </c>
      <c r="Z2448" s="6" t="str">
        <f t="shared" ca="1" si="693"/>
        <v>202411</v>
      </c>
      <c r="AA2448" s="6">
        <f t="shared" ca="1" si="694"/>
        <v>2024</v>
      </c>
      <c r="AB2448" s="6">
        <f t="shared" ca="1" si="695"/>
        <v>11</v>
      </c>
      <c r="AC2448" s="68">
        <f ca="1">IFERROR(__xludf.DUMMYFUNCTION("""COMPUTED_VALUE"""),45600.9986111111)</f>
        <v>45600.998611111099</v>
      </c>
      <c r="AD2448" s="6">
        <f ca="1">IFERROR(__xludf.DUMMYFUNCTION("""COMPUTED_VALUE"""),1372.86)</f>
        <v>1372.86</v>
      </c>
      <c r="AH2448" s="6" t="str">
        <f t="shared" ca="1" si="696"/>
        <v>20249</v>
      </c>
      <c r="AI2448" s="6">
        <f t="shared" ca="1" si="697"/>
        <v>2024</v>
      </c>
      <c r="AJ2448" s="6">
        <f t="shared" ca="1" si="698"/>
        <v>9</v>
      </c>
      <c r="AK2448" s="68">
        <f ca="1">IFERROR(__xludf.DUMMYFUNCTION("""COMPUTED_VALUE"""),45542.9986111111)</f>
        <v>45542.998611111099</v>
      </c>
      <c r="AL2448" s="6">
        <f ca="1">IFERROR(__xludf.DUMMYFUNCTION("""COMPUTED_VALUE"""),53857.56)</f>
        <v>53857.56</v>
      </c>
      <c r="AP2448" s="6" t="str">
        <f t="shared" si="699"/>
        <v>19001</v>
      </c>
      <c r="AQ2448" s="6">
        <f t="shared" si="700"/>
        <v>1900</v>
      </c>
      <c r="AR2448" s="6">
        <f t="shared" si="701"/>
        <v>1</v>
      </c>
    </row>
    <row r="2449" spans="2:44" x14ac:dyDescent="0.35">
      <c r="B2449" s="6" t="str">
        <f t="shared" si="684"/>
        <v>19001</v>
      </c>
      <c r="C2449" s="6">
        <f t="shared" si="685"/>
        <v>1900</v>
      </c>
      <c r="D2449" s="6">
        <f t="shared" si="686"/>
        <v>1</v>
      </c>
      <c r="J2449" s="6" t="str">
        <f t="shared" si="687"/>
        <v>19001</v>
      </c>
      <c r="K2449" s="6">
        <f t="shared" si="688"/>
        <v>1900</v>
      </c>
      <c r="L2449" s="6">
        <f t="shared" si="689"/>
        <v>1</v>
      </c>
      <c r="R2449" s="6" t="str">
        <f t="shared" si="690"/>
        <v>19001</v>
      </c>
      <c r="S2449" s="6">
        <f t="shared" si="691"/>
        <v>1900</v>
      </c>
      <c r="T2449" s="6">
        <f t="shared" si="692"/>
        <v>1</v>
      </c>
      <c r="Z2449" s="6" t="str">
        <f t="shared" ca="1" si="693"/>
        <v>202411</v>
      </c>
      <c r="AA2449" s="6">
        <f t="shared" ca="1" si="694"/>
        <v>2024</v>
      </c>
      <c r="AB2449" s="6">
        <f t="shared" ca="1" si="695"/>
        <v>11</v>
      </c>
      <c r="AC2449" s="68">
        <f ca="1">IFERROR(__xludf.DUMMYFUNCTION("""COMPUTED_VALUE"""),45601.9986111111)</f>
        <v>45601.998611111099</v>
      </c>
      <c r="AD2449" s="6">
        <f ca="1">IFERROR(__xludf.DUMMYFUNCTION("""COMPUTED_VALUE"""),1378)</f>
        <v>1378</v>
      </c>
      <c r="AH2449" s="6" t="str">
        <f t="shared" ca="1" si="696"/>
        <v>20249</v>
      </c>
      <c r="AI2449" s="6">
        <f t="shared" ca="1" si="697"/>
        <v>2024</v>
      </c>
      <c r="AJ2449" s="6">
        <f t="shared" ca="1" si="698"/>
        <v>9</v>
      </c>
      <c r="AK2449" s="68">
        <f ca="1">IFERROR(__xludf.DUMMYFUNCTION("""COMPUTED_VALUE"""),45543.9986111111)</f>
        <v>45543.998611111099</v>
      </c>
      <c r="AL2449" s="6">
        <f ca="1">IFERROR(__xludf.DUMMYFUNCTION("""COMPUTED_VALUE"""),54382)</f>
        <v>54382</v>
      </c>
      <c r="AP2449" s="6" t="str">
        <f t="shared" si="699"/>
        <v>19001</v>
      </c>
      <c r="AQ2449" s="6">
        <f t="shared" si="700"/>
        <v>1900</v>
      </c>
      <c r="AR2449" s="6">
        <f t="shared" si="701"/>
        <v>1</v>
      </c>
    </row>
    <row r="2450" spans="2:44" x14ac:dyDescent="0.35">
      <c r="B2450" s="6" t="str">
        <f t="shared" si="684"/>
        <v>19001</v>
      </c>
      <c r="C2450" s="6">
        <f t="shared" si="685"/>
        <v>1900</v>
      </c>
      <c r="D2450" s="6">
        <f t="shared" si="686"/>
        <v>1</v>
      </c>
      <c r="J2450" s="6" t="str">
        <f t="shared" si="687"/>
        <v>19001</v>
      </c>
      <c r="K2450" s="6">
        <f t="shared" si="688"/>
        <v>1900</v>
      </c>
      <c r="L2450" s="6">
        <f t="shared" si="689"/>
        <v>1</v>
      </c>
      <c r="R2450" s="6" t="str">
        <f t="shared" si="690"/>
        <v>19001</v>
      </c>
      <c r="S2450" s="6">
        <f t="shared" si="691"/>
        <v>1900</v>
      </c>
      <c r="T2450" s="6">
        <f t="shared" si="692"/>
        <v>1</v>
      </c>
      <c r="Z2450" s="6" t="str">
        <f t="shared" ca="1" si="693"/>
        <v>202411</v>
      </c>
      <c r="AA2450" s="6">
        <f t="shared" ca="1" si="694"/>
        <v>2024</v>
      </c>
      <c r="AB2450" s="6">
        <f t="shared" ca="1" si="695"/>
        <v>11</v>
      </c>
      <c r="AC2450" s="68">
        <f ca="1">IFERROR(__xludf.DUMMYFUNCTION("""COMPUTED_VALUE"""),45602.9986111111)</f>
        <v>45602.998611111099</v>
      </c>
      <c r="AD2450" s="6">
        <f ca="1">IFERROR(__xludf.DUMMYFUNCTION("""COMPUTED_VALUE"""),1399.8)</f>
        <v>1399.8</v>
      </c>
      <c r="AH2450" s="6" t="str">
        <f t="shared" ca="1" si="696"/>
        <v>20249</v>
      </c>
      <c r="AI2450" s="6">
        <f t="shared" ca="1" si="697"/>
        <v>2024</v>
      </c>
      <c r="AJ2450" s="6">
        <f t="shared" ca="1" si="698"/>
        <v>9</v>
      </c>
      <c r="AK2450" s="68">
        <f ca="1">IFERROR(__xludf.DUMMYFUNCTION("""COMPUTED_VALUE"""),45544.9986111111)</f>
        <v>45544.998611111099</v>
      </c>
      <c r="AL2450" s="6">
        <f ca="1">IFERROR(__xludf.DUMMYFUNCTION("""COMPUTED_VALUE"""),55073.68)</f>
        <v>55073.68</v>
      </c>
      <c r="AP2450" s="6" t="str">
        <f t="shared" si="699"/>
        <v>19001</v>
      </c>
      <c r="AQ2450" s="6">
        <f t="shared" si="700"/>
        <v>1900</v>
      </c>
      <c r="AR2450" s="6">
        <f t="shared" si="701"/>
        <v>1</v>
      </c>
    </row>
    <row r="2451" spans="2:44" x14ac:dyDescent="0.35">
      <c r="B2451" s="6" t="str">
        <f t="shared" si="684"/>
        <v>19001</v>
      </c>
      <c r="C2451" s="6">
        <f t="shared" si="685"/>
        <v>1900</v>
      </c>
      <c r="D2451" s="6">
        <f t="shared" si="686"/>
        <v>1</v>
      </c>
      <c r="J2451" s="6" t="str">
        <f t="shared" si="687"/>
        <v>19001</v>
      </c>
      <c r="K2451" s="6">
        <f t="shared" si="688"/>
        <v>1900</v>
      </c>
      <c r="L2451" s="6">
        <f t="shared" si="689"/>
        <v>1</v>
      </c>
      <c r="R2451" s="6" t="str">
        <f t="shared" si="690"/>
        <v>19001</v>
      </c>
      <c r="S2451" s="6">
        <f t="shared" si="691"/>
        <v>1900</v>
      </c>
      <c r="T2451" s="6">
        <f t="shared" si="692"/>
        <v>1</v>
      </c>
      <c r="Z2451" s="6" t="str">
        <f t="shared" ca="1" si="693"/>
        <v>202411</v>
      </c>
      <c r="AA2451" s="6">
        <f t="shared" ca="1" si="694"/>
        <v>2024</v>
      </c>
      <c r="AB2451" s="6">
        <f t="shared" ca="1" si="695"/>
        <v>11</v>
      </c>
      <c r="AC2451" s="68">
        <f ca="1">IFERROR(__xludf.DUMMYFUNCTION("""COMPUTED_VALUE"""),45603.9986111111)</f>
        <v>45603.998611111099</v>
      </c>
      <c r="AD2451" s="6">
        <f ca="1">IFERROR(__xludf.DUMMYFUNCTION("""COMPUTED_VALUE"""),1372.08)</f>
        <v>1372.08</v>
      </c>
      <c r="AH2451" s="6" t="str">
        <f t="shared" ca="1" si="696"/>
        <v>20249</v>
      </c>
      <c r="AI2451" s="6">
        <f t="shared" ca="1" si="697"/>
        <v>2024</v>
      </c>
      <c r="AJ2451" s="6">
        <f t="shared" ca="1" si="698"/>
        <v>9</v>
      </c>
      <c r="AK2451" s="68">
        <f ca="1">IFERROR(__xludf.DUMMYFUNCTION("""COMPUTED_VALUE"""),45545.9986111111)</f>
        <v>45545.998611111099</v>
      </c>
      <c r="AL2451" s="6">
        <f ca="1">IFERROR(__xludf.DUMMYFUNCTION("""COMPUTED_VALUE"""),56568.94)</f>
        <v>56568.94</v>
      </c>
      <c r="AP2451" s="6" t="str">
        <f t="shared" si="699"/>
        <v>19001</v>
      </c>
      <c r="AQ2451" s="6">
        <f t="shared" si="700"/>
        <v>1900</v>
      </c>
      <c r="AR2451" s="6">
        <f t="shared" si="701"/>
        <v>1</v>
      </c>
    </row>
    <row r="2452" spans="2:44" x14ac:dyDescent="0.35">
      <c r="B2452" s="6" t="str">
        <f t="shared" si="684"/>
        <v>19001</v>
      </c>
      <c r="C2452" s="6">
        <f t="shared" si="685"/>
        <v>1900</v>
      </c>
      <c r="D2452" s="6">
        <f t="shared" si="686"/>
        <v>1</v>
      </c>
      <c r="J2452" s="6" t="str">
        <f t="shared" si="687"/>
        <v>19001</v>
      </c>
      <c r="K2452" s="6">
        <f t="shared" si="688"/>
        <v>1900</v>
      </c>
      <c r="L2452" s="6">
        <f t="shared" si="689"/>
        <v>1</v>
      </c>
      <c r="R2452" s="6" t="str">
        <f t="shared" si="690"/>
        <v>19001</v>
      </c>
      <c r="S2452" s="6">
        <f t="shared" si="691"/>
        <v>1900</v>
      </c>
      <c r="T2452" s="6">
        <f t="shared" si="692"/>
        <v>1</v>
      </c>
      <c r="Z2452" s="6" t="str">
        <f t="shared" ca="1" si="693"/>
        <v>202411</v>
      </c>
      <c r="AA2452" s="6">
        <f t="shared" ca="1" si="694"/>
        <v>2024</v>
      </c>
      <c r="AB2452" s="6">
        <f t="shared" ca="1" si="695"/>
        <v>11</v>
      </c>
      <c r="AC2452" s="68">
        <f ca="1">IFERROR(__xludf.DUMMYFUNCTION("""COMPUTED_VALUE"""),45604.9986111111)</f>
        <v>45604.998611111099</v>
      </c>
      <c r="AD2452" s="6">
        <f ca="1">IFERROR(__xludf.DUMMYFUNCTION("""COMPUTED_VALUE"""),1397.2)</f>
        <v>1397.2</v>
      </c>
      <c r="AH2452" s="6" t="str">
        <f t="shared" ca="1" si="696"/>
        <v>20249</v>
      </c>
      <c r="AI2452" s="6">
        <f t="shared" ca="1" si="697"/>
        <v>2024</v>
      </c>
      <c r="AJ2452" s="6">
        <f t="shared" ca="1" si="698"/>
        <v>9</v>
      </c>
      <c r="AK2452" s="68">
        <f ca="1">IFERROR(__xludf.DUMMYFUNCTION("""COMPUTED_VALUE"""),45546.9986111111)</f>
        <v>45546.998611111099</v>
      </c>
      <c r="AL2452" s="6">
        <f ca="1">IFERROR(__xludf.DUMMYFUNCTION("""COMPUTED_VALUE"""),56778.54)</f>
        <v>56778.54</v>
      </c>
      <c r="AP2452" s="6" t="str">
        <f t="shared" si="699"/>
        <v>19001</v>
      </c>
      <c r="AQ2452" s="6">
        <f t="shared" si="700"/>
        <v>1900</v>
      </c>
      <c r="AR2452" s="6">
        <f t="shared" si="701"/>
        <v>1</v>
      </c>
    </row>
    <row r="2453" spans="2:44" x14ac:dyDescent="0.35">
      <c r="B2453" s="6" t="str">
        <f t="shared" si="684"/>
        <v>19001</v>
      </c>
      <c r="C2453" s="6">
        <f t="shared" si="685"/>
        <v>1900</v>
      </c>
      <c r="D2453" s="6">
        <f t="shared" si="686"/>
        <v>1</v>
      </c>
      <c r="J2453" s="6" t="str">
        <f t="shared" si="687"/>
        <v>19001</v>
      </c>
      <c r="K2453" s="6">
        <f t="shared" si="688"/>
        <v>1900</v>
      </c>
      <c r="L2453" s="6">
        <f t="shared" si="689"/>
        <v>1</v>
      </c>
      <c r="R2453" s="6" t="str">
        <f t="shared" si="690"/>
        <v>19001</v>
      </c>
      <c r="S2453" s="6">
        <f t="shared" si="691"/>
        <v>1900</v>
      </c>
      <c r="T2453" s="6">
        <f t="shared" si="692"/>
        <v>1</v>
      </c>
      <c r="Z2453" s="6" t="str">
        <f t="shared" ca="1" si="693"/>
        <v>202411</v>
      </c>
      <c r="AA2453" s="6">
        <f t="shared" ca="1" si="694"/>
        <v>2024</v>
      </c>
      <c r="AB2453" s="6">
        <f t="shared" ca="1" si="695"/>
        <v>11</v>
      </c>
      <c r="AC2453" s="68">
        <f ca="1">IFERROR(__xludf.DUMMYFUNCTION("""COMPUTED_VALUE"""),45605.9986111111)</f>
        <v>45605.998611111099</v>
      </c>
      <c r="AD2453" s="6">
        <f ca="1">IFERROR(__xludf.DUMMYFUNCTION("""COMPUTED_VALUE"""),1397.2)</f>
        <v>1397.2</v>
      </c>
      <c r="AH2453" s="6" t="str">
        <f t="shared" ca="1" si="696"/>
        <v>20249</v>
      </c>
      <c r="AI2453" s="6">
        <f t="shared" ca="1" si="697"/>
        <v>2024</v>
      </c>
      <c r="AJ2453" s="6">
        <f t="shared" ca="1" si="698"/>
        <v>9</v>
      </c>
      <c r="AK2453" s="68">
        <f ca="1">IFERROR(__xludf.DUMMYFUNCTION("""COMPUTED_VALUE"""),45547.9986111111)</f>
        <v>45547.998611111099</v>
      </c>
      <c r="AL2453" s="6">
        <f ca="1">IFERROR(__xludf.DUMMYFUNCTION("""COMPUTED_VALUE"""),58084.02)</f>
        <v>58084.02</v>
      </c>
      <c r="AP2453" s="6" t="str">
        <f t="shared" si="699"/>
        <v>19001</v>
      </c>
      <c r="AQ2453" s="6">
        <f t="shared" si="700"/>
        <v>1900</v>
      </c>
      <c r="AR2453" s="6">
        <f t="shared" si="701"/>
        <v>1</v>
      </c>
    </row>
    <row r="2454" spans="2:44" x14ac:dyDescent="0.35">
      <c r="B2454" s="6" t="str">
        <f t="shared" si="684"/>
        <v>19001</v>
      </c>
      <c r="C2454" s="6">
        <f t="shared" si="685"/>
        <v>1900</v>
      </c>
      <c r="D2454" s="6">
        <f t="shared" si="686"/>
        <v>1</v>
      </c>
      <c r="J2454" s="6" t="str">
        <f t="shared" si="687"/>
        <v>19001</v>
      </c>
      <c r="K2454" s="6">
        <f t="shared" si="688"/>
        <v>1900</v>
      </c>
      <c r="L2454" s="6">
        <f t="shared" si="689"/>
        <v>1</v>
      </c>
      <c r="R2454" s="6" t="str">
        <f t="shared" si="690"/>
        <v>19001</v>
      </c>
      <c r="S2454" s="6">
        <f t="shared" si="691"/>
        <v>1900</v>
      </c>
      <c r="T2454" s="6">
        <f t="shared" si="692"/>
        <v>1</v>
      </c>
      <c r="Z2454" s="6" t="str">
        <f t="shared" ca="1" si="693"/>
        <v>202411</v>
      </c>
      <c r="AA2454" s="6">
        <f t="shared" ca="1" si="694"/>
        <v>2024</v>
      </c>
      <c r="AB2454" s="6">
        <f t="shared" ca="1" si="695"/>
        <v>11</v>
      </c>
      <c r="AC2454" s="68">
        <f ca="1">IFERROR(__xludf.DUMMYFUNCTION("""COMPUTED_VALUE"""),45606.9986111111)</f>
        <v>45606.998611111099</v>
      </c>
      <c r="AD2454" s="6">
        <f ca="1">IFERROR(__xludf.DUMMYFUNCTION("""COMPUTED_VALUE"""),1397.2)</f>
        <v>1397.2</v>
      </c>
      <c r="AH2454" s="6" t="str">
        <f t="shared" ca="1" si="696"/>
        <v>20249</v>
      </c>
      <c r="AI2454" s="6">
        <f t="shared" ca="1" si="697"/>
        <v>2024</v>
      </c>
      <c r="AJ2454" s="6">
        <f t="shared" ca="1" si="698"/>
        <v>9</v>
      </c>
      <c r="AK2454" s="68">
        <f ca="1">IFERROR(__xludf.DUMMYFUNCTION("""COMPUTED_VALUE"""),45548.9986111111)</f>
        <v>45548.998611111099</v>
      </c>
      <c r="AL2454" s="6">
        <f ca="1">IFERROR(__xludf.DUMMYFUNCTION("""COMPUTED_VALUE"""),57886.09)</f>
        <v>57886.09</v>
      </c>
      <c r="AP2454" s="6" t="str">
        <f t="shared" si="699"/>
        <v>19001</v>
      </c>
      <c r="AQ2454" s="6">
        <f t="shared" si="700"/>
        <v>1900</v>
      </c>
      <c r="AR2454" s="6">
        <f t="shared" si="701"/>
        <v>1</v>
      </c>
    </row>
    <row r="2455" spans="2:44" x14ac:dyDescent="0.35">
      <c r="B2455" s="6" t="str">
        <f t="shared" si="684"/>
        <v>19001</v>
      </c>
      <c r="C2455" s="6">
        <f t="shared" si="685"/>
        <v>1900</v>
      </c>
      <c r="D2455" s="6">
        <f t="shared" si="686"/>
        <v>1</v>
      </c>
      <c r="J2455" s="6" t="str">
        <f t="shared" si="687"/>
        <v>19001</v>
      </c>
      <c r="K2455" s="6">
        <f t="shared" si="688"/>
        <v>1900</v>
      </c>
      <c r="L2455" s="6">
        <f t="shared" si="689"/>
        <v>1</v>
      </c>
      <c r="R2455" s="6" t="str">
        <f t="shared" si="690"/>
        <v>19001</v>
      </c>
      <c r="S2455" s="6">
        <f t="shared" si="691"/>
        <v>1900</v>
      </c>
      <c r="T2455" s="6">
        <f t="shared" si="692"/>
        <v>1</v>
      </c>
      <c r="Z2455" s="6" t="str">
        <f t="shared" ca="1" si="693"/>
        <v>202411</v>
      </c>
      <c r="AA2455" s="6">
        <f t="shared" ca="1" si="694"/>
        <v>2024</v>
      </c>
      <c r="AB2455" s="6">
        <f t="shared" ca="1" si="695"/>
        <v>11</v>
      </c>
      <c r="AC2455" s="68">
        <f ca="1">IFERROR(__xludf.DUMMYFUNCTION("""COMPUTED_VALUE"""),45607.9986111111)</f>
        <v>45607.998611111099</v>
      </c>
      <c r="AD2455" s="6">
        <f ca="1">IFERROR(__xludf.DUMMYFUNCTION("""COMPUTED_VALUE"""),1400.55)</f>
        <v>1400.55</v>
      </c>
      <c r="AH2455" s="6" t="str">
        <f t="shared" ca="1" si="696"/>
        <v>20249</v>
      </c>
      <c r="AI2455" s="6">
        <f t="shared" ca="1" si="697"/>
        <v>2024</v>
      </c>
      <c r="AJ2455" s="6">
        <f t="shared" ca="1" si="698"/>
        <v>9</v>
      </c>
      <c r="AK2455" s="68">
        <f ca="1">IFERROR(__xludf.DUMMYFUNCTION("""COMPUTED_VALUE"""),45549.9986111111)</f>
        <v>45549.998611111099</v>
      </c>
      <c r="AL2455" s="6">
        <f ca="1">IFERROR(__xludf.DUMMYFUNCTION("""COMPUTED_VALUE"""),60382.43)</f>
        <v>60382.43</v>
      </c>
      <c r="AP2455" s="6" t="str">
        <f t="shared" si="699"/>
        <v>19001</v>
      </c>
      <c r="AQ2455" s="6">
        <f t="shared" si="700"/>
        <v>1900</v>
      </c>
      <c r="AR2455" s="6">
        <f t="shared" si="701"/>
        <v>1</v>
      </c>
    </row>
    <row r="2456" spans="2:44" x14ac:dyDescent="0.35">
      <c r="B2456" s="6" t="str">
        <f t="shared" si="684"/>
        <v>19001</v>
      </c>
      <c r="C2456" s="6">
        <f t="shared" si="685"/>
        <v>1900</v>
      </c>
      <c r="D2456" s="6">
        <f t="shared" si="686"/>
        <v>1</v>
      </c>
      <c r="J2456" s="6" t="str">
        <f t="shared" si="687"/>
        <v>19001</v>
      </c>
      <c r="K2456" s="6">
        <f t="shared" si="688"/>
        <v>1900</v>
      </c>
      <c r="L2456" s="6">
        <f t="shared" si="689"/>
        <v>1</v>
      </c>
      <c r="R2456" s="6" t="str">
        <f t="shared" si="690"/>
        <v>19001</v>
      </c>
      <c r="S2456" s="6">
        <f t="shared" si="691"/>
        <v>1900</v>
      </c>
      <c r="T2456" s="6">
        <f t="shared" si="692"/>
        <v>1</v>
      </c>
      <c r="Z2456" s="6" t="str">
        <f t="shared" ca="1" si="693"/>
        <v>202411</v>
      </c>
      <c r="AA2456" s="6">
        <f t="shared" ca="1" si="694"/>
        <v>2024</v>
      </c>
      <c r="AB2456" s="6">
        <f t="shared" ca="1" si="695"/>
        <v>11</v>
      </c>
      <c r="AC2456" s="68">
        <f ca="1">IFERROR(__xludf.DUMMYFUNCTION("""COMPUTED_VALUE"""),45608.9986111111)</f>
        <v>45608.998611111099</v>
      </c>
      <c r="AD2456" s="6">
        <f ca="1">IFERROR(__xludf.DUMMYFUNCTION("""COMPUTED_VALUE"""),1406.65)</f>
        <v>1406.65</v>
      </c>
      <c r="AH2456" s="6" t="str">
        <f t="shared" ca="1" si="696"/>
        <v>20249</v>
      </c>
      <c r="AI2456" s="6">
        <f t="shared" ca="1" si="697"/>
        <v>2024</v>
      </c>
      <c r="AJ2456" s="6">
        <f t="shared" ca="1" si="698"/>
        <v>9</v>
      </c>
      <c r="AK2456" s="68">
        <f ca="1">IFERROR(__xludf.DUMMYFUNCTION("""COMPUTED_VALUE"""),45550.9986111111)</f>
        <v>45550.998611111099</v>
      </c>
      <c r="AL2456" s="6">
        <f ca="1">IFERROR(__xludf.DUMMYFUNCTION("""COMPUTED_VALUE"""),60186.94)</f>
        <v>60186.94</v>
      </c>
      <c r="AP2456" s="6" t="str">
        <f t="shared" si="699"/>
        <v>19001</v>
      </c>
      <c r="AQ2456" s="6">
        <f t="shared" si="700"/>
        <v>1900</v>
      </c>
      <c r="AR2456" s="6">
        <f t="shared" si="701"/>
        <v>1</v>
      </c>
    </row>
    <row r="2457" spans="2:44" x14ac:dyDescent="0.35">
      <c r="B2457" s="6" t="str">
        <f t="shared" si="684"/>
        <v>19001</v>
      </c>
      <c r="C2457" s="6">
        <f t="shared" si="685"/>
        <v>1900</v>
      </c>
      <c r="D2457" s="6">
        <f t="shared" si="686"/>
        <v>1</v>
      </c>
      <c r="J2457" s="6" t="str">
        <f t="shared" si="687"/>
        <v>19001</v>
      </c>
      <c r="K2457" s="6">
        <f t="shared" si="688"/>
        <v>1900</v>
      </c>
      <c r="L2457" s="6">
        <f t="shared" si="689"/>
        <v>1</v>
      </c>
      <c r="R2457" s="6" t="str">
        <f t="shared" si="690"/>
        <v>19001</v>
      </c>
      <c r="S2457" s="6">
        <f t="shared" si="691"/>
        <v>1900</v>
      </c>
      <c r="T2457" s="6">
        <f t="shared" si="692"/>
        <v>1</v>
      </c>
      <c r="Z2457" s="6" t="str">
        <f t="shared" ca="1" si="693"/>
        <v>202411</v>
      </c>
      <c r="AA2457" s="6">
        <f t="shared" ca="1" si="694"/>
        <v>2024</v>
      </c>
      <c r="AB2457" s="6">
        <f t="shared" ca="1" si="695"/>
        <v>11</v>
      </c>
      <c r="AC2457" s="68">
        <f ca="1">IFERROR(__xludf.DUMMYFUNCTION("""COMPUTED_VALUE"""),45609.9986111111)</f>
        <v>45609.998611111099</v>
      </c>
      <c r="AD2457" s="6">
        <f ca="1">IFERROR(__xludf.DUMMYFUNCTION("""COMPUTED_VALUE"""),1399)</f>
        <v>1399</v>
      </c>
      <c r="AH2457" s="6" t="str">
        <f t="shared" ca="1" si="696"/>
        <v>20249</v>
      </c>
      <c r="AI2457" s="6">
        <f t="shared" ca="1" si="697"/>
        <v>2024</v>
      </c>
      <c r="AJ2457" s="6">
        <f t="shared" ca="1" si="698"/>
        <v>9</v>
      </c>
      <c r="AK2457" s="68">
        <f ca="1">IFERROR(__xludf.DUMMYFUNCTION("""COMPUTED_VALUE"""),45551.9986111111)</f>
        <v>45551.998611111099</v>
      </c>
      <c r="AL2457" s="6">
        <f ca="1">IFERROR(__xludf.DUMMYFUNCTION("""COMPUTED_VALUE"""),58582.38)</f>
        <v>58582.38</v>
      </c>
      <c r="AP2457" s="6" t="str">
        <f t="shared" si="699"/>
        <v>19001</v>
      </c>
      <c r="AQ2457" s="6">
        <f t="shared" si="700"/>
        <v>1900</v>
      </c>
      <c r="AR2457" s="6">
        <f t="shared" si="701"/>
        <v>1</v>
      </c>
    </row>
    <row r="2458" spans="2:44" x14ac:dyDescent="0.35">
      <c r="B2458" s="6" t="str">
        <f t="shared" si="684"/>
        <v>19001</v>
      </c>
      <c r="C2458" s="6">
        <f t="shared" si="685"/>
        <v>1900</v>
      </c>
      <c r="D2458" s="6">
        <f t="shared" si="686"/>
        <v>1</v>
      </c>
      <c r="J2458" s="6" t="str">
        <f t="shared" si="687"/>
        <v>19001</v>
      </c>
      <c r="K2458" s="6">
        <f t="shared" si="688"/>
        <v>1900</v>
      </c>
      <c r="L2458" s="6">
        <f t="shared" si="689"/>
        <v>1</v>
      </c>
      <c r="R2458" s="6" t="str">
        <f t="shared" si="690"/>
        <v>19001</v>
      </c>
      <c r="S2458" s="6">
        <f t="shared" si="691"/>
        <v>1900</v>
      </c>
      <c r="T2458" s="6">
        <f t="shared" si="692"/>
        <v>1</v>
      </c>
      <c r="Z2458" s="6" t="str">
        <f t="shared" ca="1" si="693"/>
        <v>202411</v>
      </c>
      <c r="AA2458" s="6">
        <f t="shared" ca="1" si="694"/>
        <v>2024</v>
      </c>
      <c r="AB2458" s="6">
        <f t="shared" ca="1" si="695"/>
        <v>11</v>
      </c>
      <c r="AC2458" s="68">
        <f ca="1">IFERROR(__xludf.DUMMYFUNCTION("""COMPUTED_VALUE"""),45610.9986111111)</f>
        <v>45610.998611111099</v>
      </c>
      <c r="AD2458" s="6">
        <f ca="1">IFERROR(__xludf.DUMMYFUNCTION("""COMPUTED_VALUE"""),1400.83)</f>
        <v>1400.83</v>
      </c>
      <c r="AH2458" s="6" t="str">
        <f t="shared" ca="1" si="696"/>
        <v>20249</v>
      </c>
      <c r="AI2458" s="6">
        <f t="shared" ca="1" si="697"/>
        <v>2024</v>
      </c>
      <c r="AJ2458" s="6">
        <f t="shared" ca="1" si="698"/>
        <v>9</v>
      </c>
      <c r="AK2458" s="68">
        <f ca="1">IFERROR(__xludf.DUMMYFUNCTION("""COMPUTED_VALUE"""),45552.9986111111)</f>
        <v>45552.998611111099</v>
      </c>
      <c r="AL2458" s="6">
        <f ca="1">IFERROR(__xludf.DUMMYFUNCTION("""COMPUTED_VALUE"""),58073.78)</f>
        <v>58073.78</v>
      </c>
      <c r="AP2458" s="6" t="str">
        <f t="shared" si="699"/>
        <v>19001</v>
      </c>
      <c r="AQ2458" s="6">
        <f t="shared" si="700"/>
        <v>1900</v>
      </c>
      <c r="AR2458" s="6">
        <f t="shared" si="701"/>
        <v>1</v>
      </c>
    </row>
    <row r="2459" spans="2:44" x14ac:dyDescent="0.35">
      <c r="B2459" s="6" t="str">
        <f t="shared" si="684"/>
        <v>19001</v>
      </c>
      <c r="C2459" s="6">
        <f t="shared" si="685"/>
        <v>1900</v>
      </c>
      <c r="D2459" s="6">
        <f t="shared" si="686"/>
        <v>1</v>
      </c>
      <c r="J2459" s="6" t="str">
        <f t="shared" si="687"/>
        <v>19001</v>
      </c>
      <c r="K2459" s="6">
        <f t="shared" si="688"/>
        <v>1900</v>
      </c>
      <c r="L2459" s="6">
        <f t="shared" si="689"/>
        <v>1</v>
      </c>
      <c r="R2459" s="6" t="str">
        <f t="shared" si="690"/>
        <v>19001</v>
      </c>
      <c r="S2459" s="6">
        <f t="shared" si="691"/>
        <v>1900</v>
      </c>
      <c r="T2459" s="6">
        <f t="shared" si="692"/>
        <v>1</v>
      </c>
      <c r="Z2459" s="6" t="str">
        <f t="shared" ca="1" si="693"/>
        <v>202411</v>
      </c>
      <c r="AA2459" s="6">
        <f t="shared" ca="1" si="694"/>
        <v>2024</v>
      </c>
      <c r="AB2459" s="6">
        <f t="shared" ca="1" si="695"/>
        <v>11</v>
      </c>
      <c r="AC2459" s="68">
        <f ca="1">IFERROR(__xludf.DUMMYFUNCTION("""COMPUTED_VALUE"""),45611.9986111111)</f>
        <v>45611.998611111099</v>
      </c>
      <c r="AD2459" s="6">
        <f ca="1">IFERROR(__xludf.DUMMYFUNCTION("""COMPUTED_VALUE"""),1394.35)</f>
        <v>1394.35</v>
      </c>
      <c r="AH2459" s="6" t="str">
        <f t="shared" ca="1" si="696"/>
        <v>20249</v>
      </c>
      <c r="AI2459" s="6">
        <f t="shared" ca="1" si="697"/>
        <v>2024</v>
      </c>
      <c r="AJ2459" s="6">
        <f t="shared" ca="1" si="698"/>
        <v>9</v>
      </c>
      <c r="AK2459" s="68">
        <f ca="1">IFERROR(__xludf.DUMMYFUNCTION("""COMPUTED_VALUE"""),45553.9986111111)</f>
        <v>45553.998611111099</v>
      </c>
      <c r="AL2459" s="6">
        <f ca="1">IFERROR(__xludf.DUMMYFUNCTION("""COMPUTED_VALUE"""),60545.42)</f>
        <v>60545.42</v>
      </c>
      <c r="AP2459" s="6" t="str">
        <f t="shared" si="699"/>
        <v>19001</v>
      </c>
      <c r="AQ2459" s="6">
        <f t="shared" si="700"/>
        <v>1900</v>
      </c>
      <c r="AR2459" s="6">
        <f t="shared" si="701"/>
        <v>1</v>
      </c>
    </row>
    <row r="2460" spans="2:44" x14ac:dyDescent="0.35">
      <c r="B2460" s="6" t="str">
        <f t="shared" si="684"/>
        <v>19001</v>
      </c>
      <c r="C2460" s="6">
        <f t="shared" si="685"/>
        <v>1900</v>
      </c>
      <c r="D2460" s="6">
        <f t="shared" si="686"/>
        <v>1</v>
      </c>
      <c r="J2460" s="6" t="str">
        <f t="shared" si="687"/>
        <v>19001</v>
      </c>
      <c r="K2460" s="6">
        <f t="shared" si="688"/>
        <v>1900</v>
      </c>
      <c r="L2460" s="6">
        <f t="shared" si="689"/>
        <v>1</v>
      </c>
      <c r="R2460" s="6" t="str">
        <f t="shared" si="690"/>
        <v>19001</v>
      </c>
      <c r="S2460" s="6">
        <f t="shared" si="691"/>
        <v>1900</v>
      </c>
      <c r="T2460" s="6">
        <f t="shared" si="692"/>
        <v>1</v>
      </c>
      <c r="Z2460" s="6" t="str">
        <f t="shared" ca="1" si="693"/>
        <v>202411</v>
      </c>
      <c r="AA2460" s="6">
        <f t="shared" ca="1" si="694"/>
        <v>2024</v>
      </c>
      <c r="AB2460" s="6">
        <f t="shared" ca="1" si="695"/>
        <v>11</v>
      </c>
      <c r="AC2460" s="68">
        <f ca="1">IFERROR(__xludf.DUMMYFUNCTION("""COMPUTED_VALUE"""),45612.9986111111)</f>
        <v>45612.998611111099</v>
      </c>
      <c r="AD2460" s="6">
        <f ca="1">IFERROR(__xludf.DUMMYFUNCTION("""COMPUTED_VALUE"""),1394.35)</f>
        <v>1394.35</v>
      </c>
      <c r="AH2460" s="6" t="str">
        <f t="shared" ca="1" si="696"/>
        <v>20249</v>
      </c>
      <c r="AI2460" s="6">
        <f t="shared" ca="1" si="697"/>
        <v>2024</v>
      </c>
      <c r="AJ2460" s="6">
        <f t="shared" ca="1" si="698"/>
        <v>9</v>
      </c>
      <c r="AK2460" s="68">
        <f ca="1">IFERROR(__xludf.DUMMYFUNCTION("""COMPUTED_VALUE"""),45554.9986111111)</f>
        <v>45554.998611111099</v>
      </c>
      <c r="AL2460" s="6">
        <f ca="1">IFERROR(__xludf.DUMMYFUNCTION("""COMPUTED_VALUE"""),62095.62)</f>
        <v>62095.62</v>
      </c>
      <c r="AP2460" s="6" t="str">
        <f t="shared" si="699"/>
        <v>19001</v>
      </c>
      <c r="AQ2460" s="6">
        <f t="shared" si="700"/>
        <v>1900</v>
      </c>
      <c r="AR2460" s="6">
        <f t="shared" si="701"/>
        <v>1</v>
      </c>
    </row>
    <row r="2461" spans="2:44" x14ac:dyDescent="0.35">
      <c r="B2461" s="6" t="str">
        <f t="shared" si="684"/>
        <v>19001</v>
      </c>
      <c r="C2461" s="6">
        <f t="shared" si="685"/>
        <v>1900</v>
      </c>
      <c r="D2461" s="6">
        <f t="shared" si="686"/>
        <v>1</v>
      </c>
      <c r="J2461" s="6" t="str">
        <f t="shared" si="687"/>
        <v>19001</v>
      </c>
      <c r="K2461" s="6">
        <f t="shared" si="688"/>
        <v>1900</v>
      </c>
      <c r="L2461" s="6">
        <f t="shared" si="689"/>
        <v>1</v>
      </c>
      <c r="R2461" s="6" t="str">
        <f t="shared" si="690"/>
        <v>19001</v>
      </c>
      <c r="S2461" s="6">
        <f t="shared" si="691"/>
        <v>1900</v>
      </c>
      <c r="T2461" s="6">
        <f t="shared" si="692"/>
        <v>1</v>
      </c>
      <c r="Z2461" s="6" t="str">
        <f t="shared" ca="1" si="693"/>
        <v>202411</v>
      </c>
      <c r="AA2461" s="6">
        <f t="shared" ca="1" si="694"/>
        <v>2024</v>
      </c>
      <c r="AB2461" s="6">
        <f t="shared" ca="1" si="695"/>
        <v>11</v>
      </c>
      <c r="AC2461" s="68">
        <f ca="1">IFERROR(__xludf.DUMMYFUNCTION("""COMPUTED_VALUE"""),45613.9986111111)</f>
        <v>45613.998611111099</v>
      </c>
      <c r="AD2461" s="6">
        <f ca="1">IFERROR(__xludf.DUMMYFUNCTION("""COMPUTED_VALUE"""),1394.35)</f>
        <v>1394.35</v>
      </c>
      <c r="AH2461" s="6" t="str">
        <f t="shared" ca="1" si="696"/>
        <v>20249</v>
      </c>
      <c r="AI2461" s="6">
        <f t="shared" ca="1" si="697"/>
        <v>2024</v>
      </c>
      <c r="AJ2461" s="6">
        <f t="shared" ca="1" si="698"/>
        <v>9</v>
      </c>
      <c r="AK2461" s="68">
        <f ca="1">IFERROR(__xludf.DUMMYFUNCTION("""COMPUTED_VALUE"""),45555.9986111111)</f>
        <v>45555.998611111099</v>
      </c>
      <c r="AL2461" s="6">
        <f ca="1">IFERROR(__xludf.DUMMYFUNCTION("""COMPUTED_VALUE"""),63671.56)</f>
        <v>63671.56</v>
      </c>
      <c r="AP2461" s="6" t="str">
        <f t="shared" si="699"/>
        <v>19001</v>
      </c>
      <c r="AQ2461" s="6">
        <f t="shared" si="700"/>
        <v>1900</v>
      </c>
      <c r="AR2461" s="6">
        <f t="shared" si="701"/>
        <v>1</v>
      </c>
    </row>
    <row r="2462" spans="2:44" x14ac:dyDescent="0.35">
      <c r="B2462" s="6" t="str">
        <f t="shared" si="684"/>
        <v>19001</v>
      </c>
      <c r="C2462" s="6">
        <f t="shared" si="685"/>
        <v>1900</v>
      </c>
      <c r="D2462" s="6">
        <f t="shared" si="686"/>
        <v>1</v>
      </c>
      <c r="J2462" s="6" t="str">
        <f t="shared" si="687"/>
        <v>19001</v>
      </c>
      <c r="K2462" s="6">
        <f t="shared" si="688"/>
        <v>1900</v>
      </c>
      <c r="L2462" s="6">
        <f t="shared" si="689"/>
        <v>1</v>
      </c>
      <c r="R2462" s="6" t="str">
        <f t="shared" si="690"/>
        <v>19001</v>
      </c>
      <c r="S2462" s="6">
        <f t="shared" si="691"/>
        <v>1900</v>
      </c>
      <c r="T2462" s="6">
        <f t="shared" si="692"/>
        <v>1</v>
      </c>
      <c r="Z2462" s="6" t="str">
        <f t="shared" ca="1" si="693"/>
        <v>202411</v>
      </c>
      <c r="AA2462" s="6">
        <f t="shared" ca="1" si="694"/>
        <v>2024</v>
      </c>
      <c r="AB2462" s="6">
        <f t="shared" ca="1" si="695"/>
        <v>11</v>
      </c>
      <c r="AC2462" s="68">
        <f ca="1">IFERROR(__xludf.DUMMYFUNCTION("""COMPUTED_VALUE"""),45614.9986111111)</f>
        <v>45614.998611111099</v>
      </c>
      <c r="AD2462" s="6">
        <f ca="1">IFERROR(__xludf.DUMMYFUNCTION("""COMPUTED_VALUE"""),1389.5)</f>
        <v>1389.5</v>
      </c>
      <c r="AH2462" s="6" t="str">
        <f t="shared" ca="1" si="696"/>
        <v>20249</v>
      </c>
      <c r="AI2462" s="6">
        <f t="shared" ca="1" si="697"/>
        <v>2024</v>
      </c>
      <c r="AJ2462" s="6">
        <f t="shared" ca="1" si="698"/>
        <v>9</v>
      </c>
      <c r="AK2462" s="68">
        <f ca="1">IFERROR(__xludf.DUMMYFUNCTION("""COMPUTED_VALUE"""),45556.9986111111)</f>
        <v>45556.998611111099</v>
      </c>
      <c r="AL2462" s="6">
        <f ca="1">IFERROR(__xludf.DUMMYFUNCTION("""COMPUTED_VALUE"""),62922.14)</f>
        <v>62922.14</v>
      </c>
      <c r="AP2462" s="6" t="str">
        <f t="shared" si="699"/>
        <v>19001</v>
      </c>
      <c r="AQ2462" s="6">
        <f t="shared" si="700"/>
        <v>1900</v>
      </c>
      <c r="AR2462" s="6">
        <f t="shared" si="701"/>
        <v>1</v>
      </c>
    </row>
    <row r="2463" spans="2:44" x14ac:dyDescent="0.35">
      <c r="B2463" s="6" t="str">
        <f t="shared" si="684"/>
        <v>19001</v>
      </c>
      <c r="C2463" s="6">
        <f t="shared" si="685"/>
        <v>1900</v>
      </c>
      <c r="D2463" s="6">
        <f t="shared" si="686"/>
        <v>1</v>
      </c>
      <c r="J2463" s="6" t="str">
        <f t="shared" si="687"/>
        <v>19001</v>
      </c>
      <c r="K2463" s="6">
        <f t="shared" si="688"/>
        <v>1900</v>
      </c>
      <c r="L2463" s="6">
        <f t="shared" si="689"/>
        <v>1</v>
      </c>
      <c r="R2463" s="6" t="str">
        <f t="shared" si="690"/>
        <v>19001</v>
      </c>
      <c r="S2463" s="6">
        <f t="shared" si="691"/>
        <v>1900</v>
      </c>
      <c r="T2463" s="6">
        <f t="shared" si="692"/>
        <v>1</v>
      </c>
      <c r="Z2463" s="6" t="str">
        <f t="shared" ca="1" si="693"/>
        <v>202411</v>
      </c>
      <c r="AA2463" s="6">
        <f t="shared" ca="1" si="694"/>
        <v>2024</v>
      </c>
      <c r="AB2463" s="6">
        <f t="shared" ca="1" si="695"/>
        <v>11</v>
      </c>
      <c r="AC2463" s="68">
        <f ca="1">IFERROR(__xludf.DUMMYFUNCTION("""COMPUTED_VALUE"""),45615.9986111111)</f>
        <v>45615.998611111099</v>
      </c>
      <c r="AD2463" s="6">
        <f ca="1">IFERROR(__xludf.DUMMYFUNCTION("""COMPUTED_VALUE"""),1392.16)</f>
        <v>1392.16</v>
      </c>
      <c r="AH2463" s="6" t="str">
        <f t="shared" ca="1" si="696"/>
        <v>20249</v>
      </c>
      <c r="AI2463" s="6">
        <f t="shared" ca="1" si="697"/>
        <v>2024</v>
      </c>
      <c r="AJ2463" s="6">
        <f t="shared" ca="1" si="698"/>
        <v>9</v>
      </c>
      <c r="AK2463" s="68">
        <f ca="1">IFERROR(__xludf.DUMMYFUNCTION("""COMPUTED_VALUE"""),45557.9986111111)</f>
        <v>45557.998611111099</v>
      </c>
      <c r="AL2463" s="6">
        <f ca="1">IFERROR(__xludf.DUMMYFUNCTION("""COMPUTED_VALUE"""),63140.06)</f>
        <v>63140.06</v>
      </c>
      <c r="AP2463" s="6" t="str">
        <f t="shared" si="699"/>
        <v>19001</v>
      </c>
      <c r="AQ2463" s="6">
        <f t="shared" si="700"/>
        <v>1900</v>
      </c>
      <c r="AR2463" s="6">
        <f t="shared" si="701"/>
        <v>1</v>
      </c>
    </row>
    <row r="2464" spans="2:44" x14ac:dyDescent="0.35">
      <c r="B2464" s="6" t="str">
        <f t="shared" si="684"/>
        <v>19001</v>
      </c>
      <c r="C2464" s="6">
        <f t="shared" si="685"/>
        <v>1900</v>
      </c>
      <c r="D2464" s="6">
        <f t="shared" si="686"/>
        <v>1</v>
      </c>
      <c r="J2464" s="6" t="str">
        <f t="shared" si="687"/>
        <v>19001</v>
      </c>
      <c r="K2464" s="6">
        <f t="shared" si="688"/>
        <v>1900</v>
      </c>
      <c r="L2464" s="6">
        <f t="shared" si="689"/>
        <v>1</v>
      </c>
      <c r="R2464" s="6" t="str">
        <f t="shared" si="690"/>
        <v>19001</v>
      </c>
      <c r="S2464" s="6">
        <f t="shared" si="691"/>
        <v>1900</v>
      </c>
      <c r="T2464" s="6">
        <f t="shared" si="692"/>
        <v>1</v>
      </c>
      <c r="Z2464" s="6" t="str">
        <f t="shared" ca="1" si="693"/>
        <v>202411</v>
      </c>
      <c r="AA2464" s="6">
        <f t="shared" ca="1" si="694"/>
        <v>2024</v>
      </c>
      <c r="AB2464" s="6">
        <f t="shared" ca="1" si="695"/>
        <v>11</v>
      </c>
      <c r="AC2464" s="68">
        <f ca="1">IFERROR(__xludf.DUMMYFUNCTION("""COMPUTED_VALUE"""),45616.9986111111)</f>
        <v>45616.998611111099</v>
      </c>
      <c r="AD2464" s="6">
        <f ca="1">IFERROR(__xludf.DUMMYFUNCTION("""COMPUTED_VALUE"""),1397.62)</f>
        <v>1397.62</v>
      </c>
      <c r="AH2464" s="6" t="str">
        <f t="shared" ca="1" si="696"/>
        <v>20249</v>
      </c>
      <c r="AI2464" s="6">
        <f t="shared" ca="1" si="697"/>
        <v>2024</v>
      </c>
      <c r="AJ2464" s="6">
        <f t="shared" ca="1" si="698"/>
        <v>9</v>
      </c>
      <c r="AK2464" s="68">
        <f ca="1">IFERROR(__xludf.DUMMYFUNCTION("""COMPUTED_VALUE"""),45558.9986111111)</f>
        <v>45558.998611111099</v>
      </c>
      <c r="AL2464" s="6">
        <f ca="1">IFERROR(__xludf.DUMMYFUNCTION("""COMPUTED_VALUE"""),64343.49)</f>
        <v>64343.49</v>
      </c>
      <c r="AP2464" s="6" t="str">
        <f t="shared" si="699"/>
        <v>19001</v>
      </c>
      <c r="AQ2464" s="6">
        <f t="shared" si="700"/>
        <v>1900</v>
      </c>
      <c r="AR2464" s="6">
        <f t="shared" si="701"/>
        <v>1</v>
      </c>
    </row>
    <row r="2465" spans="2:44" x14ac:dyDescent="0.35">
      <c r="B2465" s="6" t="str">
        <f t="shared" si="684"/>
        <v>19001</v>
      </c>
      <c r="C2465" s="6">
        <f t="shared" si="685"/>
        <v>1900</v>
      </c>
      <c r="D2465" s="6">
        <f t="shared" si="686"/>
        <v>1</v>
      </c>
      <c r="J2465" s="6" t="str">
        <f t="shared" si="687"/>
        <v>19001</v>
      </c>
      <c r="K2465" s="6">
        <f t="shared" si="688"/>
        <v>1900</v>
      </c>
      <c r="L2465" s="6">
        <f t="shared" si="689"/>
        <v>1</v>
      </c>
      <c r="R2465" s="6" t="str">
        <f t="shared" si="690"/>
        <v>19001</v>
      </c>
      <c r="S2465" s="6">
        <f t="shared" si="691"/>
        <v>1900</v>
      </c>
      <c r="T2465" s="6">
        <f t="shared" si="692"/>
        <v>1</v>
      </c>
      <c r="Z2465" s="6" t="str">
        <f t="shared" ca="1" si="693"/>
        <v>202411</v>
      </c>
      <c r="AA2465" s="6">
        <f t="shared" ca="1" si="694"/>
        <v>2024</v>
      </c>
      <c r="AB2465" s="6">
        <f t="shared" ca="1" si="695"/>
        <v>11</v>
      </c>
      <c r="AC2465" s="68">
        <f ca="1">IFERROR(__xludf.DUMMYFUNCTION("""COMPUTED_VALUE"""),45617.9986111111)</f>
        <v>45617.998611111099</v>
      </c>
      <c r="AD2465" s="6">
        <f ca="1">IFERROR(__xludf.DUMMYFUNCTION("""COMPUTED_VALUE"""),1399.6)</f>
        <v>1399.6</v>
      </c>
      <c r="AH2465" s="6" t="str">
        <f t="shared" ca="1" si="696"/>
        <v>20249</v>
      </c>
      <c r="AI2465" s="6">
        <f t="shared" ca="1" si="697"/>
        <v>2024</v>
      </c>
      <c r="AJ2465" s="6">
        <f t="shared" ca="1" si="698"/>
        <v>9</v>
      </c>
      <c r="AK2465" s="68">
        <f ca="1">IFERROR(__xludf.DUMMYFUNCTION("""COMPUTED_VALUE"""),45559.9986111111)</f>
        <v>45559.998611111099</v>
      </c>
      <c r="AL2465" s="6">
        <f ca="1">IFERROR(__xludf.DUMMYFUNCTION("""COMPUTED_VALUE"""),63130.39)</f>
        <v>63130.39</v>
      </c>
      <c r="AP2465" s="6" t="str">
        <f t="shared" si="699"/>
        <v>19001</v>
      </c>
      <c r="AQ2465" s="6">
        <f t="shared" si="700"/>
        <v>1900</v>
      </c>
      <c r="AR2465" s="6">
        <f t="shared" si="701"/>
        <v>1</v>
      </c>
    </row>
    <row r="2466" spans="2:44" x14ac:dyDescent="0.35">
      <c r="B2466" s="6" t="str">
        <f t="shared" si="684"/>
        <v>19001</v>
      </c>
      <c r="C2466" s="6">
        <f t="shared" si="685"/>
        <v>1900</v>
      </c>
      <c r="D2466" s="6">
        <f t="shared" si="686"/>
        <v>1</v>
      </c>
      <c r="J2466" s="6" t="str">
        <f t="shared" si="687"/>
        <v>19001</v>
      </c>
      <c r="K2466" s="6">
        <f t="shared" si="688"/>
        <v>1900</v>
      </c>
      <c r="L2466" s="6">
        <f t="shared" si="689"/>
        <v>1</v>
      </c>
      <c r="R2466" s="6" t="str">
        <f t="shared" si="690"/>
        <v>19001</v>
      </c>
      <c r="S2466" s="6">
        <f t="shared" si="691"/>
        <v>1900</v>
      </c>
      <c r="T2466" s="6">
        <f t="shared" si="692"/>
        <v>1</v>
      </c>
      <c r="Z2466" s="6" t="str">
        <f t="shared" ca="1" si="693"/>
        <v>202411</v>
      </c>
      <c r="AA2466" s="6">
        <f t="shared" ca="1" si="694"/>
        <v>2024</v>
      </c>
      <c r="AB2466" s="6">
        <f t="shared" ca="1" si="695"/>
        <v>11</v>
      </c>
      <c r="AC2466" s="68">
        <f ca="1">IFERROR(__xludf.DUMMYFUNCTION("""COMPUTED_VALUE"""),45618.9986111111)</f>
        <v>45618.998611111099</v>
      </c>
      <c r="AD2466" s="6">
        <f ca="1">IFERROR(__xludf.DUMMYFUNCTION("""COMPUTED_VALUE"""),1403.51)</f>
        <v>1403.51</v>
      </c>
      <c r="AH2466" s="6" t="str">
        <f t="shared" ca="1" si="696"/>
        <v>20249</v>
      </c>
      <c r="AI2466" s="6">
        <f t="shared" ca="1" si="697"/>
        <v>2024</v>
      </c>
      <c r="AJ2466" s="6">
        <f t="shared" ca="1" si="698"/>
        <v>9</v>
      </c>
      <c r="AK2466" s="68">
        <f ca="1">IFERROR(__xludf.DUMMYFUNCTION("""COMPUTED_VALUE"""),45560.9986111111)</f>
        <v>45560.998611111099</v>
      </c>
      <c r="AL2466" s="6">
        <f ca="1">IFERROR(__xludf.DUMMYFUNCTION("""COMPUTED_VALUE"""),64450.64)</f>
        <v>64450.64</v>
      </c>
      <c r="AP2466" s="6" t="str">
        <f t="shared" si="699"/>
        <v>19001</v>
      </c>
      <c r="AQ2466" s="6">
        <f t="shared" si="700"/>
        <v>1900</v>
      </c>
      <c r="AR2466" s="6">
        <f t="shared" si="701"/>
        <v>1</v>
      </c>
    </row>
    <row r="2467" spans="2:44" x14ac:dyDescent="0.35">
      <c r="B2467" s="6" t="str">
        <f t="shared" si="684"/>
        <v>19001</v>
      </c>
      <c r="C2467" s="6">
        <f t="shared" si="685"/>
        <v>1900</v>
      </c>
      <c r="D2467" s="6">
        <f t="shared" si="686"/>
        <v>1</v>
      </c>
      <c r="J2467" s="6" t="str">
        <f t="shared" si="687"/>
        <v>19001</v>
      </c>
      <c r="K2467" s="6">
        <f t="shared" si="688"/>
        <v>1900</v>
      </c>
      <c r="L2467" s="6">
        <f t="shared" si="689"/>
        <v>1</v>
      </c>
      <c r="R2467" s="6" t="str">
        <f t="shared" si="690"/>
        <v>19001</v>
      </c>
      <c r="S2467" s="6">
        <f t="shared" si="691"/>
        <v>1900</v>
      </c>
      <c r="T2467" s="6">
        <f t="shared" si="692"/>
        <v>1</v>
      </c>
      <c r="Z2467" s="6" t="str">
        <f t="shared" ca="1" si="693"/>
        <v>202411</v>
      </c>
      <c r="AA2467" s="6">
        <f t="shared" ca="1" si="694"/>
        <v>2024</v>
      </c>
      <c r="AB2467" s="6">
        <f t="shared" ca="1" si="695"/>
        <v>11</v>
      </c>
      <c r="AC2467" s="68">
        <f ca="1">IFERROR(__xludf.DUMMYFUNCTION("""COMPUTED_VALUE"""),45619.9986111111)</f>
        <v>45619.998611111099</v>
      </c>
      <c r="AD2467" s="6">
        <f ca="1">IFERROR(__xludf.DUMMYFUNCTION("""COMPUTED_VALUE"""),1403.51)</f>
        <v>1403.51</v>
      </c>
      <c r="AH2467" s="6" t="str">
        <f t="shared" ca="1" si="696"/>
        <v>20249</v>
      </c>
      <c r="AI2467" s="6">
        <f t="shared" ca="1" si="697"/>
        <v>2024</v>
      </c>
      <c r="AJ2467" s="6">
        <f t="shared" ca="1" si="698"/>
        <v>9</v>
      </c>
      <c r="AK2467" s="68">
        <f ca="1">IFERROR(__xludf.DUMMYFUNCTION("""COMPUTED_VALUE"""),45561.9986111111)</f>
        <v>45561.998611111099</v>
      </c>
      <c r="AL2467" s="6">
        <f ca="1">IFERROR(__xludf.DUMMYFUNCTION("""COMPUTED_VALUE"""),63495.91)</f>
        <v>63495.91</v>
      </c>
      <c r="AP2467" s="6" t="str">
        <f t="shared" si="699"/>
        <v>19001</v>
      </c>
      <c r="AQ2467" s="6">
        <f t="shared" si="700"/>
        <v>1900</v>
      </c>
      <c r="AR2467" s="6">
        <f t="shared" si="701"/>
        <v>1</v>
      </c>
    </row>
    <row r="2468" spans="2:44" x14ac:dyDescent="0.35">
      <c r="B2468" s="6" t="str">
        <f t="shared" si="684"/>
        <v>19001</v>
      </c>
      <c r="C2468" s="6">
        <f t="shared" si="685"/>
        <v>1900</v>
      </c>
      <c r="D2468" s="6">
        <f t="shared" si="686"/>
        <v>1</v>
      </c>
      <c r="J2468" s="6" t="str">
        <f t="shared" si="687"/>
        <v>19001</v>
      </c>
      <c r="K2468" s="6">
        <f t="shared" si="688"/>
        <v>1900</v>
      </c>
      <c r="L2468" s="6">
        <f t="shared" si="689"/>
        <v>1</v>
      </c>
      <c r="R2468" s="6" t="str">
        <f t="shared" si="690"/>
        <v>19001</v>
      </c>
      <c r="S2468" s="6">
        <f t="shared" si="691"/>
        <v>1900</v>
      </c>
      <c r="T2468" s="6">
        <f t="shared" si="692"/>
        <v>1</v>
      </c>
      <c r="Z2468" s="6" t="str">
        <f t="shared" ca="1" si="693"/>
        <v>202411</v>
      </c>
      <c r="AA2468" s="6">
        <f t="shared" ca="1" si="694"/>
        <v>2024</v>
      </c>
      <c r="AB2468" s="6">
        <f t="shared" ca="1" si="695"/>
        <v>11</v>
      </c>
      <c r="AC2468" s="68">
        <f ca="1">IFERROR(__xludf.DUMMYFUNCTION("""COMPUTED_VALUE"""),45620.9986111111)</f>
        <v>45620.998611111099</v>
      </c>
      <c r="AD2468" s="6">
        <f ca="1">IFERROR(__xludf.DUMMYFUNCTION("""COMPUTED_VALUE"""),1403.51)</f>
        <v>1403.51</v>
      </c>
      <c r="AH2468" s="6" t="str">
        <f t="shared" ca="1" si="696"/>
        <v>20249</v>
      </c>
      <c r="AI2468" s="6">
        <f t="shared" ca="1" si="697"/>
        <v>2024</v>
      </c>
      <c r="AJ2468" s="6">
        <f t="shared" ca="1" si="698"/>
        <v>9</v>
      </c>
      <c r="AK2468" s="68">
        <f ca="1">IFERROR(__xludf.DUMMYFUNCTION("""COMPUTED_VALUE"""),45562.9986111111)</f>
        <v>45562.998611111099</v>
      </c>
      <c r="AL2468" s="6">
        <f ca="1">IFERROR(__xludf.DUMMYFUNCTION("""COMPUTED_VALUE"""),65390.85)</f>
        <v>65390.85</v>
      </c>
      <c r="AP2468" s="6" t="str">
        <f t="shared" si="699"/>
        <v>19001</v>
      </c>
      <c r="AQ2468" s="6">
        <f t="shared" si="700"/>
        <v>1900</v>
      </c>
      <c r="AR2468" s="6">
        <f t="shared" si="701"/>
        <v>1</v>
      </c>
    </row>
    <row r="2469" spans="2:44" x14ac:dyDescent="0.35">
      <c r="B2469" s="6" t="str">
        <f t="shared" si="684"/>
        <v>19001</v>
      </c>
      <c r="C2469" s="6">
        <f t="shared" si="685"/>
        <v>1900</v>
      </c>
      <c r="D2469" s="6">
        <f t="shared" si="686"/>
        <v>1</v>
      </c>
      <c r="J2469" s="6" t="str">
        <f t="shared" si="687"/>
        <v>19001</v>
      </c>
      <c r="K2469" s="6">
        <f t="shared" si="688"/>
        <v>1900</v>
      </c>
      <c r="L2469" s="6">
        <f t="shared" si="689"/>
        <v>1</v>
      </c>
      <c r="R2469" s="6" t="str">
        <f t="shared" si="690"/>
        <v>19001</v>
      </c>
      <c r="S2469" s="6">
        <f t="shared" si="691"/>
        <v>1900</v>
      </c>
      <c r="T2469" s="6">
        <f t="shared" si="692"/>
        <v>1</v>
      </c>
      <c r="Z2469" s="6" t="str">
        <f t="shared" ca="1" si="693"/>
        <v>202411</v>
      </c>
      <c r="AA2469" s="6">
        <f t="shared" ca="1" si="694"/>
        <v>2024</v>
      </c>
      <c r="AB2469" s="6">
        <f t="shared" ca="1" si="695"/>
        <v>11</v>
      </c>
      <c r="AC2469" s="68">
        <f ca="1">IFERROR(__xludf.DUMMYFUNCTION("""COMPUTED_VALUE"""),45621.9986111111)</f>
        <v>45621.998611111099</v>
      </c>
      <c r="AD2469" s="6">
        <f ca="1">IFERROR(__xludf.DUMMYFUNCTION("""COMPUTED_VALUE"""),1395.56)</f>
        <v>1395.56</v>
      </c>
      <c r="AH2469" s="6" t="str">
        <f t="shared" ca="1" si="696"/>
        <v>20249</v>
      </c>
      <c r="AI2469" s="6">
        <f t="shared" ca="1" si="697"/>
        <v>2024</v>
      </c>
      <c r="AJ2469" s="6">
        <f t="shared" ca="1" si="698"/>
        <v>9</v>
      </c>
      <c r="AK2469" s="68">
        <f ca="1">IFERROR(__xludf.DUMMYFUNCTION("""COMPUTED_VALUE"""),45563.9986111111)</f>
        <v>45563.998611111099</v>
      </c>
      <c r="AL2469" s="6">
        <f ca="1">IFERROR(__xludf.DUMMYFUNCTION("""COMPUTED_VALUE"""),66096.32)</f>
        <v>66096.320000000007</v>
      </c>
      <c r="AP2469" s="6" t="str">
        <f t="shared" si="699"/>
        <v>19001</v>
      </c>
      <c r="AQ2469" s="6">
        <f t="shared" si="700"/>
        <v>1900</v>
      </c>
      <c r="AR2469" s="6">
        <f t="shared" si="701"/>
        <v>1</v>
      </c>
    </row>
    <row r="2470" spans="2:44" x14ac:dyDescent="0.35">
      <c r="B2470" s="6" t="str">
        <f t="shared" si="684"/>
        <v>19001</v>
      </c>
      <c r="C2470" s="6">
        <f t="shared" si="685"/>
        <v>1900</v>
      </c>
      <c r="D2470" s="6">
        <f t="shared" si="686"/>
        <v>1</v>
      </c>
      <c r="J2470" s="6" t="str">
        <f t="shared" si="687"/>
        <v>19001</v>
      </c>
      <c r="K2470" s="6">
        <f t="shared" si="688"/>
        <v>1900</v>
      </c>
      <c r="L2470" s="6">
        <f t="shared" si="689"/>
        <v>1</v>
      </c>
      <c r="R2470" s="6" t="str">
        <f t="shared" si="690"/>
        <v>19001</v>
      </c>
      <c r="S2470" s="6">
        <f t="shared" si="691"/>
        <v>1900</v>
      </c>
      <c r="T2470" s="6">
        <f t="shared" si="692"/>
        <v>1</v>
      </c>
      <c r="Z2470" s="6" t="str">
        <f t="shared" ca="1" si="693"/>
        <v>202411</v>
      </c>
      <c r="AA2470" s="6">
        <f t="shared" ca="1" si="694"/>
        <v>2024</v>
      </c>
      <c r="AB2470" s="6">
        <f t="shared" ca="1" si="695"/>
        <v>11</v>
      </c>
      <c r="AC2470" s="68">
        <f ca="1">IFERROR(__xludf.DUMMYFUNCTION("""COMPUTED_VALUE"""),45622.9986111111)</f>
        <v>45622.998611111099</v>
      </c>
      <c r="AD2470" s="6">
        <f ca="1">IFERROR(__xludf.DUMMYFUNCTION("""COMPUTED_VALUE"""),1395.27)</f>
        <v>1395.27</v>
      </c>
      <c r="AH2470" s="6" t="str">
        <f t="shared" ca="1" si="696"/>
        <v>20249</v>
      </c>
      <c r="AI2470" s="6">
        <f t="shared" ca="1" si="697"/>
        <v>2024</v>
      </c>
      <c r="AJ2470" s="6">
        <f t="shared" ca="1" si="698"/>
        <v>9</v>
      </c>
      <c r="AK2470" s="68">
        <f ca="1">IFERROR(__xludf.DUMMYFUNCTION("""COMPUTED_VALUE"""),45564.9986111111)</f>
        <v>45564.998611111099</v>
      </c>
      <c r="AL2470" s="6">
        <f ca="1">IFERROR(__xludf.DUMMYFUNCTION("""COMPUTED_VALUE"""),65848.43)</f>
        <v>65848.429999999993</v>
      </c>
      <c r="AP2470" s="6" t="str">
        <f t="shared" si="699"/>
        <v>19001</v>
      </c>
      <c r="AQ2470" s="6">
        <f t="shared" si="700"/>
        <v>1900</v>
      </c>
      <c r="AR2470" s="6">
        <f t="shared" si="701"/>
        <v>1</v>
      </c>
    </row>
    <row r="2471" spans="2:44" x14ac:dyDescent="0.35">
      <c r="B2471" s="6" t="str">
        <f t="shared" si="684"/>
        <v>19001</v>
      </c>
      <c r="C2471" s="6">
        <f t="shared" si="685"/>
        <v>1900</v>
      </c>
      <c r="D2471" s="6">
        <f t="shared" si="686"/>
        <v>1</v>
      </c>
      <c r="J2471" s="6" t="str">
        <f t="shared" si="687"/>
        <v>19001</v>
      </c>
      <c r="K2471" s="6">
        <f t="shared" si="688"/>
        <v>1900</v>
      </c>
      <c r="L2471" s="6">
        <f t="shared" si="689"/>
        <v>1</v>
      </c>
      <c r="R2471" s="6" t="str">
        <f t="shared" si="690"/>
        <v>19001</v>
      </c>
      <c r="S2471" s="6">
        <f t="shared" si="691"/>
        <v>1900</v>
      </c>
      <c r="T2471" s="6">
        <f t="shared" si="692"/>
        <v>1</v>
      </c>
      <c r="Z2471" s="6" t="str">
        <f t="shared" ca="1" si="693"/>
        <v>202411</v>
      </c>
      <c r="AA2471" s="6">
        <f t="shared" ca="1" si="694"/>
        <v>2024</v>
      </c>
      <c r="AB2471" s="6">
        <f t="shared" ca="1" si="695"/>
        <v>11</v>
      </c>
      <c r="AC2471" s="68">
        <f ca="1">IFERROR(__xludf.DUMMYFUNCTION("""COMPUTED_VALUE"""),45623.9986111111)</f>
        <v>45623.998611111099</v>
      </c>
      <c r="AD2471" s="6">
        <f ca="1">IFERROR(__xludf.DUMMYFUNCTION("""COMPUTED_VALUE"""),1388.47)</f>
        <v>1388.47</v>
      </c>
      <c r="AH2471" s="6" t="str">
        <f t="shared" ca="1" si="696"/>
        <v>20249</v>
      </c>
      <c r="AI2471" s="6">
        <f t="shared" ca="1" si="697"/>
        <v>2024</v>
      </c>
      <c r="AJ2471" s="6">
        <f t="shared" ca="1" si="698"/>
        <v>9</v>
      </c>
      <c r="AK2471" s="68">
        <f ca="1">IFERROR(__xludf.DUMMYFUNCTION("""COMPUTED_VALUE"""),45565.9986111111)</f>
        <v>45565.998611111099</v>
      </c>
      <c r="AL2471" s="6">
        <f ca="1">IFERROR(__xludf.DUMMYFUNCTION("""COMPUTED_VALUE"""),64544.22)</f>
        <v>64544.22</v>
      </c>
      <c r="AP2471" s="6" t="str">
        <f t="shared" si="699"/>
        <v>19001</v>
      </c>
      <c r="AQ2471" s="6">
        <f t="shared" si="700"/>
        <v>1900</v>
      </c>
      <c r="AR2471" s="6">
        <f t="shared" si="701"/>
        <v>1</v>
      </c>
    </row>
    <row r="2472" spans="2:44" x14ac:dyDescent="0.35">
      <c r="B2472" s="6" t="str">
        <f t="shared" si="684"/>
        <v>19001</v>
      </c>
      <c r="C2472" s="6">
        <f t="shared" si="685"/>
        <v>1900</v>
      </c>
      <c r="D2472" s="6">
        <f t="shared" si="686"/>
        <v>1</v>
      </c>
      <c r="J2472" s="6" t="str">
        <f t="shared" si="687"/>
        <v>19001</v>
      </c>
      <c r="K2472" s="6">
        <f t="shared" si="688"/>
        <v>1900</v>
      </c>
      <c r="L2472" s="6">
        <f t="shared" si="689"/>
        <v>1</v>
      </c>
      <c r="R2472" s="6" t="str">
        <f t="shared" si="690"/>
        <v>19001</v>
      </c>
      <c r="S2472" s="6">
        <f t="shared" si="691"/>
        <v>1900</v>
      </c>
      <c r="T2472" s="6">
        <f t="shared" si="692"/>
        <v>1</v>
      </c>
      <c r="Z2472" s="6" t="str">
        <f t="shared" ca="1" si="693"/>
        <v>202411</v>
      </c>
      <c r="AA2472" s="6">
        <f t="shared" ca="1" si="694"/>
        <v>2024</v>
      </c>
      <c r="AB2472" s="6">
        <f t="shared" ca="1" si="695"/>
        <v>11</v>
      </c>
      <c r="AC2472" s="68">
        <f ca="1">IFERROR(__xludf.DUMMYFUNCTION("""COMPUTED_VALUE"""),45624.9986111111)</f>
        <v>45624.998611111099</v>
      </c>
      <c r="AD2472" s="6">
        <f ca="1">IFERROR(__xludf.DUMMYFUNCTION("""COMPUTED_VALUE"""),1393.3)</f>
        <v>1393.3</v>
      </c>
      <c r="AH2472" s="6" t="str">
        <f t="shared" ca="1" si="696"/>
        <v>202410</v>
      </c>
      <c r="AI2472" s="6">
        <f t="shared" ca="1" si="697"/>
        <v>2024</v>
      </c>
      <c r="AJ2472" s="6">
        <f t="shared" ca="1" si="698"/>
        <v>10</v>
      </c>
      <c r="AK2472" s="68">
        <f ca="1">IFERROR(__xludf.DUMMYFUNCTION("""COMPUTED_VALUE"""),45566.9986111111)</f>
        <v>45566.998611111099</v>
      </c>
      <c r="AL2472" s="6">
        <f ca="1">IFERROR(__xludf.DUMMYFUNCTION("""COMPUTED_VALUE"""),63711.69)</f>
        <v>63711.69</v>
      </c>
      <c r="AP2472" s="6" t="str">
        <f t="shared" si="699"/>
        <v>19001</v>
      </c>
      <c r="AQ2472" s="6">
        <f t="shared" si="700"/>
        <v>1900</v>
      </c>
      <c r="AR2472" s="6">
        <f t="shared" si="701"/>
        <v>1</v>
      </c>
    </row>
    <row r="2473" spans="2:44" x14ac:dyDescent="0.35">
      <c r="B2473" s="6" t="str">
        <f t="shared" si="684"/>
        <v>19001</v>
      </c>
      <c r="C2473" s="6">
        <f t="shared" si="685"/>
        <v>1900</v>
      </c>
      <c r="D2473" s="6">
        <f t="shared" si="686"/>
        <v>1</v>
      </c>
      <c r="J2473" s="6" t="str">
        <f t="shared" si="687"/>
        <v>19001</v>
      </c>
      <c r="K2473" s="6">
        <f t="shared" si="688"/>
        <v>1900</v>
      </c>
      <c r="L2473" s="6">
        <f t="shared" si="689"/>
        <v>1</v>
      </c>
      <c r="R2473" s="6" t="str">
        <f t="shared" si="690"/>
        <v>19001</v>
      </c>
      <c r="S2473" s="6">
        <f t="shared" si="691"/>
        <v>1900</v>
      </c>
      <c r="T2473" s="6">
        <f t="shared" si="692"/>
        <v>1</v>
      </c>
      <c r="Z2473" s="6" t="str">
        <f t="shared" ca="1" si="693"/>
        <v>202411</v>
      </c>
      <c r="AA2473" s="6">
        <f t="shared" ca="1" si="694"/>
        <v>2024</v>
      </c>
      <c r="AB2473" s="6">
        <f t="shared" ca="1" si="695"/>
        <v>11</v>
      </c>
      <c r="AC2473" s="68">
        <f ca="1">IFERROR(__xludf.DUMMYFUNCTION("""COMPUTED_VALUE"""),45625.9986111111)</f>
        <v>45625.998611111099</v>
      </c>
      <c r="AD2473" s="6">
        <f ca="1">IFERROR(__xludf.DUMMYFUNCTION("""COMPUTED_VALUE"""),1399.86)</f>
        <v>1399.86</v>
      </c>
      <c r="AH2473" s="6" t="str">
        <f t="shared" ca="1" si="696"/>
        <v>202410</v>
      </c>
      <c r="AI2473" s="6">
        <f t="shared" ca="1" si="697"/>
        <v>2024</v>
      </c>
      <c r="AJ2473" s="6">
        <f t="shared" ca="1" si="698"/>
        <v>10</v>
      </c>
      <c r="AK2473" s="68">
        <f ca="1">IFERROR(__xludf.DUMMYFUNCTION("""COMPUTED_VALUE"""),45567.9986111111)</f>
        <v>45567.998611111099</v>
      </c>
      <c r="AL2473" s="6">
        <f ca="1">IFERROR(__xludf.DUMMYFUNCTION("""COMPUTED_VALUE"""),61781.73)</f>
        <v>61781.73</v>
      </c>
      <c r="AP2473" s="6" t="str">
        <f t="shared" si="699"/>
        <v>19001</v>
      </c>
      <c r="AQ2473" s="6">
        <f t="shared" si="700"/>
        <v>1900</v>
      </c>
      <c r="AR2473" s="6">
        <f t="shared" si="701"/>
        <v>1</v>
      </c>
    </row>
    <row r="2474" spans="2:44" x14ac:dyDescent="0.35">
      <c r="B2474" s="6" t="str">
        <f t="shared" si="684"/>
        <v>19001</v>
      </c>
      <c r="C2474" s="6">
        <f t="shared" si="685"/>
        <v>1900</v>
      </c>
      <c r="D2474" s="6">
        <f t="shared" si="686"/>
        <v>1</v>
      </c>
      <c r="J2474" s="6" t="str">
        <f t="shared" si="687"/>
        <v>19001</v>
      </c>
      <c r="K2474" s="6">
        <f t="shared" si="688"/>
        <v>1900</v>
      </c>
      <c r="L2474" s="6">
        <f t="shared" si="689"/>
        <v>1</v>
      </c>
      <c r="R2474" s="6" t="str">
        <f t="shared" si="690"/>
        <v>19001</v>
      </c>
      <c r="S2474" s="6">
        <f t="shared" si="691"/>
        <v>1900</v>
      </c>
      <c r="T2474" s="6">
        <f t="shared" si="692"/>
        <v>1</v>
      </c>
      <c r="Z2474" s="6" t="str">
        <f t="shared" ca="1" si="693"/>
        <v>202411</v>
      </c>
      <c r="AA2474" s="6">
        <f t="shared" ca="1" si="694"/>
        <v>2024</v>
      </c>
      <c r="AB2474" s="6">
        <f t="shared" ca="1" si="695"/>
        <v>11</v>
      </c>
      <c r="AC2474" s="68">
        <f ca="1">IFERROR(__xludf.DUMMYFUNCTION("""COMPUTED_VALUE"""),45626.9986111111)</f>
        <v>45626.998611111099</v>
      </c>
      <c r="AD2474" s="6">
        <f ca="1">IFERROR(__xludf.DUMMYFUNCTION("""COMPUTED_VALUE"""),1399.86)</f>
        <v>1399.86</v>
      </c>
      <c r="AH2474" s="6" t="str">
        <f t="shared" ca="1" si="696"/>
        <v>202410</v>
      </c>
      <c r="AI2474" s="6">
        <f t="shared" ca="1" si="697"/>
        <v>2024</v>
      </c>
      <c r="AJ2474" s="6">
        <f t="shared" ca="1" si="698"/>
        <v>10</v>
      </c>
      <c r="AK2474" s="68">
        <f ca="1">IFERROR(__xludf.DUMMYFUNCTION("""COMPUTED_VALUE"""),45568.9986111111)</f>
        <v>45568.998611111099</v>
      </c>
      <c r="AL2474" s="6">
        <f ca="1">IFERROR(__xludf.DUMMYFUNCTION("""COMPUTED_VALUE"""),61441.14)</f>
        <v>61441.14</v>
      </c>
      <c r="AP2474" s="6" t="str">
        <f t="shared" si="699"/>
        <v>19001</v>
      </c>
      <c r="AQ2474" s="6">
        <f t="shared" si="700"/>
        <v>1900</v>
      </c>
      <c r="AR2474" s="6">
        <f t="shared" si="701"/>
        <v>1</v>
      </c>
    </row>
    <row r="2475" spans="2:44" x14ac:dyDescent="0.35">
      <c r="B2475" s="6" t="str">
        <f t="shared" si="684"/>
        <v>19001</v>
      </c>
      <c r="C2475" s="6">
        <f t="shared" si="685"/>
        <v>1900</v>
      </c>
      <c r="D2475" s="6">
        <f t="shared" si="686"/>
        <v>1</v>
      </c>
      <c r="J2475" s="6" t="str">
        <f t="shared" si="687"/>
        <v>19001</v>
      </c>
      <c r="K2475" s="6">
        <f t="shared" si="688"/>
        <v>1900</v>
      </c>
      <c r="L2475" s="6">
        <f t="shared" si="689"/>
        <v>1</v>
      </c>
      <c r="R2475" s="6" t="str">
        <f t="shared" si="690"/>
        <v>19001</v>
      </c>
      <c r="S2475" s="6">
        <f t="shared" si="691"/>
        <v>1900</v>
      </c>
      <c r="T2475" s="6">
        <f t="shared" si="692"/>
        <v>1</v>
      </c>
      <c r="Z2475" s="6" t="str">
        <f t="shared" ca="1" si="693"/>
        <v>202412</v>
      </c>
      <c r="AA2475" s="6">
        <f t="shared" ca="1" si="694"/>
        <v>2024</v>
      </c>
      <c r="AB2475" s="6">
        <f t="shared" ca="1" si="695"/>
        <v>12</v>
      </c>
      <c r="AC2475" s="68">
        <f ca="1">IFERROR(__xludf.DUMMYFUNCTION("""COMPUTED_VALUE"""),45627.9986111111)</f>
        <v>45627.998611111099</v>
      </c>
      <c r="AD2475" s="6">
        <f ca="1">IFERROR(__xludf.DUMMYFUNCTION("""COMPUTED_VALUE"""),1399.86)</f>
        <v>1399.86</v>
      </c>
      <c r="AH2475" s="6" t="str">
        <f t="shared" ca="1" si="696"/>
        <v>202410</v>
      </c>
      <c r="AI2475" s="6">
        <f t="shared" ca="1" si="697"/>
        <v>2024</v>
      </c>
      <c r="AJ2475" s="6">
        <f t="shared" ca="1" si="698"/>
        <v>10</v>
      </c>
      <c r="AK2475" s="68">
        <f ca="1">IFERROR(__xludf.DUMMYFUNCTION("""COMPUTED_VALUE"""),45569.9986111111)</f>
        <v>45569.998611111099</v>
      </c>
      <c r="AL2475" s="6">
        <f ca="1">IFERROR(__xludf.DUMMYFUNCTION("""COMPUTED_VALUE"""),60953.97)</f>
        <v>60953.97</v>
      </c>
      <c r="AP2475" s="6" t="str">
        <f t="shared" si="699"/>
        <v>19001</v>
      </c>
      <c r="AQ2475" s="6">
        <f t="shared" si="700"/>
        <v>1900</v>
      </c>
      <c r="AR2475" s="6">
        <f t="shared" si="701"/>
        <v>1</v>
      </c>
    </row>
    <row r="2476" spans="2:44" x14ac:dyDescent="0.35">
      <c r="B2476" s="6" t="str">
        <f t="shared" si="684"/>
        <v>19001</v>
      </c>
      <c r="C2476" s="6">
        <f t="shared" si="685"/>
        <v>1900</v>
      </c>
      <c r="D2476" s="6">
        <f t="shared" si="686"/>
        <v>1</v>
      </c>
      <c r="J2476" s="6" t="str">
        <f t="shared" si="687"/>
        <v>19001</v>
      </c>
      <c r="K2476" s="6">
        <f t="shared" si="688"/>
        <v>1900</v>
      </c>
      <c r="L2476" s="6">
        <f t="shared" si="689"/>
        <v>1</v>
      </c>
      <c r="R2476" s="6" t="str">
        <f t="shared" si="690"/>
        <v>19001</v>
      </c>
      <c r="S2476" s="6">
        <f t="shared" si="691"/>
        <v>1900</v>
      </c>
      <c r="T2476" s="6">
        <f t="shared" si="692"/>
        <v>1</v>
      </c>
      <c r="Z2476" s="6" t="str">
        <f t="shared" ca="1" si="693"/>
        <v>202412</v>
      </c>
      <c r="AA2476" s="6">
        <f t="shared" ca="1" si="694"/>
        <v>2024</v>
      </c>
      <c r="AB2476" s="6">
        <f t="shared" ca="1" si="695"/>
        <v>12</v>
      </c>
      <c r="AC2476" s="68">
        <f ca="1">IFERROR(__xludf.DUMMYFUNCTION("""COMPUTED_VALUE"""),45628.9986111111)</f>
        <v>45628.998611111099</v>
      </c>
      <c r="AD2476" s="6">
        <f ca="1">IFERROR(__xludf.DUMMYFUNCTION("""COMPUTED_VALUE"""),1401.06)</f>
        <v>1401.06</v>
      </c>
      <c r="AH2476" s="6" t="str">
        <f t="shared" ca="1" si="696"/>
        <v>202410</v>
      </c>
      <c r="AI2476" s="6">
        <f t="shared" ca="1" si="697"/>
        <v>2024</v>
      </c>
      <c r="AJ2476" s="6">
        <f t="shared" ca="1" si="698"/>
        <v>10</v>
      </c>
      <c r="AK2476" s="68">
        <f ca="1">IFERROR(__xludf.DUMMYFUNCTION("""COMPUTED_VALUE"""),45570.9986111111)</f>
        <v>45570.998611111099</v>
      </c>
      <c r="AL2476" s="6">
        <f ca="1">IFERROR(__xludf.DUMMYFUNCTION("""COMPUTED_VALUE"""),61897.85)</f>
        <v>61897.85</v>
      </c>
      <c r="AP2476" s="6" t="str">
        <f t="shared" si="699"/>
        <v>19001</v>
      </c>
      <c r="AQ2476" s="6">
        <f t="shared" si="700"/>
        <v>1900</v>
      </c>
      <c r="AR2476" s="6">
        <f t="shared" si="701"/>
        <v>1</v>
      </c>
    </row>
    <row r="2477" spans="2:44" x14ac:dyDescent="0.35">
      <c r="B2477" s="6" t="str">
        <f t="shared" si="684"/>
        <v>19001</v>
      </c>
      <c r="C2477" s="6">
        <f t="shared" si="685"/>
        <v>1900</v>
      </c>
      <c r="D2477" s="6">
        <f t="shared" si="686"/>
        <v>1</v>
      </c>
      <c r="J2477" s="6" t="str">
        <f t="shared" si="687"/>
        <v>19001</v>
      </c>
      <c r="K2477" s="6">
        <f t="shared" si="688"/>
        <v>1900</v>
      </c>
      <c r="L2477" s="6">
        <f t="shared" si="689"/>
        <v>1</v>
      </c>
      <c r="R2477" s="6" t="str">
        <f t="shared" si="690"/>
        <v>19001</v>
      </c>
      <c r="S2477" s="6">
        <f t="shared" si="691"/>
        <v>1900</v>
      </c>
      <c r="T2477" s="6">
        <f t="shared" si="692"/>
        <v>1</v>
      </c>
      <c r="Z2477" s="6" t="str">
        <f t="shared" ca="1" si="693"/>
        <v>202412</v>
      </c>
      <c r="AA2477" s="6">
        <f t="shared" ca="1" si="694"/>
        <v>2024</v>
      </c>
      <c r="AB2477" s="6">
        <f t="shared" ca="1" si="695"/>
        <v>12</v>
      </c>
      <c r="AC2477" s="68">
        <f ca="1">IFERROR(__xludf.DUMMYFUNCTION("""COMPUTED_VALUE"""),45629.9986111111)</f>
        <v>45629.998611111099</v>
      </c>
      <c r="AD2477" s="6">
        <f ca="1">IFERROR(__xludf.DUMMYFUNCTION("""COMPUTED_VALUE"""),1411.67)</f>
        <v>1411.67</v>
      </c>
      <c r="AH2477" s="6" t="str">
        <f t="shared" ca="1" si="696"/>
        <v>202410</v>
      </c>
      <c r="AI2477" s="6">
        <f t="shared" ca="1" si="697"/>
        <v>2024</v>
      </c>
      <c r="AJ2477" s="6">
        <f t="shared" ca="1" si="698"/>
        <v>10</v>
      </c>
      <c r="AK2477" s="68">
        <f ca="1">IFERROR(__xludf.DUMMYFUNCTION("""COMPUTED_VALUE"""),45571.9986111111)</f>
        <v>45571.998611111099</v>
      </c>
      <c r="AL2477" s="6">
        <f ca="1">IFERROR(__xludf.DUMMYFUNCTION("""COMPUTED_VALUE"""),61906.66)</f>
        <v>61906.66</v>
      </c>
      <c r="AP2477" s="6" t="str">
        <f t="shared" si="699"/>
        <v>19001</v>
      </c>
      <c r="AQ2477" s="6">
        <f t="shared" si="700"/>
        <v>1900</v>
      </c>
      <c r="AR2477" s="6">
        <f t="shared" si="701"/>
        <v>1</v>
      </c>
    </row>
    <row r="2478" spans="2:44" x14ac:dyDescent="0.35">
      <c r="B2478" s="6" t="str">
        <f t="shared" si="684"/>
        <v>19001</v>
      </c>
      <c r="C2478" s="6">
        <f t="shared" si="685"/>
        <v>1900</v>
      </c>
      <c r="D2478" s="6">
        <f t="shared" si="686"/>
        <v>1</v>
      </c>
      <c r="J2478" s="6" t="str">
        <f t="shared" si="687"/>
        <v>19001</v>
      </c>
      <c r="K2478" s="6">
        <f t="shared" si="688"/>
        <v>1900</v>
      </c>
      <c r="L2478" s="6">
        <f t="shared" si="689"/>
        <v>1</v>
      </c>
      <c r="R2478" s="6" t="str">
        <f t="shared" si="690"/>
        <v>19001</v>
      </c>
      <c r="S2478" s="6">
        <f t="shared" si="691"/>
        <v>1900</v>
      </c>
      <c r="T2478" s="6">
        <f t="shared" si="692"/>
        <v>1</v>
      </c>
      <c r="Z2478" s="6" t="str">
        <f t="shared" ca="1" si="693"/>
        <v>202412</v>
      </c>
      <c r="AA2478" s="6">
        <f t="shared" ca="1" si="694"/>
        <v>2024</v>
      </c>
      <c r="AB2478" s="6">
        <f t="shared" ca="1" si="695"/>
        <v>12</v>
      </c>
      <c r="AC2478" s="68">
        <f ca="1">IFERROR(__xludf.DUMMYFUNCTION("""COMPUTED_VALUE"""),45630.9986111111)</f>
        <v>45630.998611111099</v>
      </c>
      <c r="AD2478" s="6">
        <f ca="1">IFERROR(__xludf.DUMMYFUNCTION("""COMPUTED_VALUE"""),1410.8)</f>
        <v>1410.8</v>
      </c>
      <c r="AH2478" s="6" t="str">
        <f t="shared" ca="1" si="696"/>
        <v>202410</v>
      </c>
      <c r="AI2478" s="6">
        <f t="shared" ca="1" si="697"/>
        <v>2024</v>
      </c>
      <c r="AJ2478" s="6">
        <f t="shared" ca="1" si="698"/>
        <v>10</v>
      </c>
      <c r="AK2478" s="68">
        <f ca="1">IFERROR(__xludf.DUMMYFUNCTION("""COMPUTED_VALUE"""),45572.9986111111)</f>
        <v>45572.998611111099</v>
      </c>
      <c r="AL2478" s="6">
        <f ca="1">IFERROR(__xludf.DUMMYFUNCTION("""COMPUTED_VALUE"""),63514.6)</f>
        <v>63514.6</v>
      </c>
      <c r="AP2478" s="6" t="str">
        <f t="shared" si="699"/>
        <v>19001</v>
      </c>
      <c r="AQ2478" s="6">
        <f t="shared" si="700"/>
        <v>1900</v>
      </c>
      <c r="AR2478" s="6">
        <f t="shared" si="701"/>
        <v>1</v>
      </c>
    </row>
    <row r="2479" spans="2:44" x14ac:dyDescent="0.35">
      <c r="B2479" s="6" t="str">
        <f t="shared" si="684"/>
        <v>19001</v>
      </c>
      <c r="C2479" s="6">
        <f t="shared" si="685"/>
        <v>1900</v>
      </c>
      <c r="D2479" s="6">
        <f t="shared" si="686"/>
        <v>1</v>
      </c>
      <c r="J2479" s="6" t="str">
        <f t="shared" si="687"/>
        <v>19001</v>
      </c>
      <c r="K2479" s="6">
        <f t="shared" si="688"/>
        <v>1900</v>
      </c>
      <c r="L2479" s="6">
        <f t="shared" si="689"/>
        <v>1</v>
      </c>
      <c r="R2479" s="6" t="str">
        <f t="shared" si="690"/>
        <v>19001</v>
      </c>
      <c r="S2479" s="6">
        <f t="shared" si="691"/>
        <v>1900</v>
      </c>
      <c r="T2479" s="6">
        <f t="shared" si="692"/>
        <v>1</v>
      </c>
      <c r="Z2479" s="6" t="str">
        <f t="shared" ca="1" si="693"/>
        <v>202412</v>
      </c>
      <c r="AA2479" s="6">
        <f t="shared" ca="1" si="694"/>
        <v>2024</v>
      </c>
      <c r="AB2479" s="6">
        <f t="shared" ca="1" si="695"/>
        <v>12</v>
      </c>
      <c r="AC2479" s="68">
        <f ca="1">IFERROR(__xludf.DUMMYFUNCTION("""COMPUTED_VALUE"""),45631.9986111111)</f>
        <v>45631.998611111099</v>
      </c>
      <c r="AD2479" s="6">
        <f ca="1">IFERROR(__xludf.DUMMYFUNCTION("""COMPUTED_VALUE"""),1399.99)</f>
        <v>1399.99</v>
      </c>
      <c r="AH2479" s="6" t="str">
        <f t="shared" ca="1" si="696"/>
        <v>202410</v>
      </c>
      <c r="AI2479" s="6">
        <f t="shared" ca="1" si="697"/>
        <v>2024</v>
      </c>
      <c r="AJ2479" s="6">
        <f t="shared" ca="1" si="698"/>
        <v>10</v>
      </c>
      <c r="AK2479" s="68">
        <f ca="1">IFERROR(__xludf.DUMMYFUNCTION("""COMPUTED_VALUE"""),45573.9986111111)</f>
        <v>45573.998611111099</v>
      </c>
      <c r="AL2479" s="6">
        <f ca="1">IFERROR(__xludf.DUMMYFUNCTION("""COMPUTED_VALUE"""),62609.76)</f>
        <v>62609.760000000002</v>
      </c>
      <c r="AP2479" s="6" t="str">
        <f t="shared" si="699"/>
        <v>19001</v>
      </c>
      <c r="AQ2479" s="6">
        <f t="shared" si="700"/>
        <v>1900</v>
      </c>
      <c r="AR2479" s="6">
        <f t="shared" si="701"/>
        <v>1</v>
      </c>
    </row>
    <row r="2480" spans="2:44" x14ac:dyDescent="0.35">
      <c r="B2480" s="6" t="str">
        <f t="shared" si="684"/>
        <v>19001</v>
      </c>
      <c r="C2480" s="6">
        <f t="shared" si="685"/>
        <v>1900</v>
      </c>
      <c r="D2480" s="6">
        <f t="shared" si="686"/>
        <v>1</v>
      </c>
      <c r="J2480" s="6" t="str">
        <f t="shared" si="687"/>
        <v>19001</v>
      </c>
      <c r="K2480" s="6">
        <f t="shared" si="688"/>
        <v>1900</v>
      </c>
      <c r="L2480" s="6">
        <f t="shared" si="689"/>
        <v>1</v>
      </c>
      <c r="R2480" s="6" t="str">
        <f t="shared" si="690"/>
        <v>19001</v>
      </c>
      <c r="S2480" s="6">
        <f t="shared" si="691"/>
        <v>1900</v>
      </c>
      <c r="T2480" s="6">
        <f t="shared" si="692"/>
        <v>1</v>
      </c>
      <c r="Z2480" s="6" t="str">
        <f t="shared" ca="1" si="693"/>
        <v>202412</v>
      </c>
      <c r="AA2480" s="6">
        <f t="shared" ca="1" si="694"/>
        <v>2024</v>
      </c>
      <c r="AB2480" s="6">
        <f t="shared" ca="1" si="695"/>
        <v>12</v>
      </c>
      <c r="AC2480" s="68">
        <f ca="1">IFERROR(__xludf.DUMMYFUNCTION("""COMPUTED_VALUE"""),45632.9986111111)</f>
        <v>45632.998611111099</v>
      </c>
      <c r="AD2480" s="6">
        <f ca="1">IFERROR(__xludf.DUMMYFUNCTION("""COMPUTED_VALUE"""),1424.22)</f>
        <v>1424.22</v>
      </c>
      <c r="AH2480" s="6" t="str">
        <f t="shared" ca="1" si="696"/>
        <v>202410</v>
      </c>
      <c r="AI2480" s="6">
        <f t="shared" ca="1" si="697"/>
        <v>2024</v>
      </c>
      <c r="AJ2480" s="6">
        <f t="shared" ca="1" si="698"/>
        <v>10</v>
      </c>
      <c r="AK2480" s="68">
        <f ca="1">IFERROR(__xludf.DUMMYFUNCTION("""COMPUTED_VALUE"""),45574.9986111111)</f>
        <v>45574.998611111099</v>
      </c>
      <c r="AL2480" s="6">
        <f ca="1">IFERROR(__xludf.DUMMYFUNCTION("""COMPUTED_VALUE"""),62359.38)</f>
        <v>62359.38</v>
      </c>
      <c r="AP2480" s="6" t="str">
        <f t="shared" si="699"/>
        <v>19001</v>
      </c>
      <c r="AQ2480" s="6">
        <f t="shared" si="700"/>
        <v>1900</v>
      </c>
      <c r="AR2480" s="6">
        <f t="shared" si="701"/>
        <v>1</v>
      </c>
    </row>
    <row r="2481" spans="2:44" x14ac:dyDescent="0.35">
      <c r="B2481" s="6" t="str">
        <f t="shared" si="684"/>
        <v>19001</v>
      </c>
      <c r="C2481" s="6">
        <f t="shared" si="685"/>
        <v>1900</v>
      </c>
      <c r="D2481" s="6">
        <f t="shared" si="686"/>
        <v>1</v>
      </c>
      <c r="J2481" s="6" t="str">
        <f t="shared" si="687"/>
        <v>19001</v>
      </c>
      <c r="K2481" s="6">
        <f t="shared" si="688"/>
        <v>1900</v>
      </c>
      <c r="L2481" s="6">
        <f t="shared" si="689"/>
        <v>1</v>
      </c>
      <c r="R2481" s="6" t="str">
        <f t="shared" si="690"/>
        <v>19001</v>
      </c>
      <c r="S2481" s="6">
        <f t="shared" si="691"/>
        <v>1900</v>
      </c>
      <c r="T2481" s="6">
        <f t="shared" si="692"/>
        <v>1</v>
      </c>
      <c r="Z2481" s="6" t="str">
        <f t="shared" ca="1" si="693"/>
        <v>202412</v>
      </c>
      <c r="AA2481" s="6">
        <f t="shared" ca="1" si="694"/>
        <v>2024</v>
      </c>
      <c r="AB2481" s="6">
        <f t="shared" ca="1" si="695"/>
        <v>12</v>
      </c>
      <c r="AC2481" s="68">
        <f ca="1">IFERROR(__xludf.DUMMYFUNCTION("""COMPUTED_VALUE"""),45633.9986111111)</f>
        <v>45633.998611111099</v>
      </c>
      <c r="AD2481" s="6">
        <f ca="1">IFERROR(__xludf.DUMMYFUNCTION("""COMPUTED_VALUE"""),1424.22)</f>
        <v>1424.22</v>
      </c>
      <c r="AH2481" s="6" t="str">
        <f t="shared" ca="1" si="696"/>
        <v>202410</v>
      </c>
      <c r="AI2481" s="6">
        <f t="shared" ca="1" si="697"/>
        <v>2024</v>
      </c>
      <c r="AJ2481" s="6">
        <f t="shared" ca="1" si="698"/>
        <v>10</v>
      </c>
      <c r="AK2481" s="68">
        <f ca="1">IFERROR(__xludf.DUMMYFUNCTION("""COMPUTED_VALUE"""),45575.9986111111)</f>
        <v>45575.998611111099</v>
      </c>
      <c r="AL2481" s="6">
        <f ca="1">IFERROR(__xludf.DUMMYFUNCTION("""COMPUTED_VALUE"""),60833.65)</f>
        <v>60833.65</v>
      </c>
      <c r="AP2481" s="6" t="str">
        <f t="shared" si="699"/>
        <v>19001</v>
      </c>
      <c r="AQ2481" s="6">
        <f t="shared" si="700"/>
        <v>1900</v>
      </c>
      <c r="AR2481" s="6">
        <f t="shared" si="701"/>
        <v>1</v>
      </c>
    </row>
    <row r="2482" spans="2:44" x14ac:dyDescent="0.35">
      <c r="B2482" s="6" t="str">
        <f t="shared" si="684"/>
        <v>19001</v>
      </c>
      <c r="C2482" s="6">
        <f t="shared" si="685"/>
        <v>1900</v>
      </c>
      <c r="D2482" s="6">
        <f t="shared" si="686"/>
        <v>1</v>
      </c>
      <c r="J2482" s="6" t="str">
        <f t="shared" si="687"/>
        <v>19001</v>
      </c>
      <c r="K2482" s="6">
        <f t="shared" si="688"/>
        <v>1900</v>
      </c>
      <c r="L2482" s="6">
        <f t="shared" si="689"/>
        <v>1</v>
      </c>
      <c r="R2482" s="6" t="str">
        <f t="shared" si="690"/>
        <v>19001</v>
      </c>
      <c r="S2482" s="6">
        <f t="shared" si="691"/>
        <v>1900</v>
      </c>
      <c r="T2482" s="6">
        <f t="shared" si="692"/>
        <v>1</v>
      </c>
      <c r="Z2482" s="6" t="str">
        <f t="shared" ca="1" si="693"/>
        <v>202412</v>
      </c>
      <c r="AA2482" s="6">
        <f t="shared" ca="1" si="694"/>
        <v>2024</v>
      </c>
      <c r="AB2482" s="6">
        <f t="shared" ca="1" si="695"/>
        <v>12</v>
      </c>
      <c r="AC2482" s="68">
        <f ca="1">IFERROR(__xludf.DUMMYFUNCTION("""COMPUTED_VALUE"""),45634.9986111111)</f>
        <v>45634.998611111099</v>
      </c>
      <c r="AD2482" s="6">
        <f ca="1">IFERROR(__xludf.DUMMYFUNCTION("""COMPUTED_VALUE"""),1424.22)</f>
        <v>1424.22</v>
      </c>
      <c r="AH2482" s="6" t="str">
        <f t="shared" ca="1" si="696"/>
        <v>202410</v>
      </c>
      <c r="AI2482" s="6">
        <f t="shared" ca="1" si="697"/>
        <v>2024</v>
      </c>
      <c r="AJ2482" s="6">
        <f t="shared" ca="1" si="698"/>
        <v>10</v>
      </c>
      <c r="AK2482" s="68">
        <f ca="1">IFERROR(__xludf.DUMMYFUNCTION("""COMPUTED_VALUE"""),45576.9986111111)</f>
        <v>45576.998611111099</v>
      </c>
      <c r="AL2482" s="6">
        <f ca="1">IFERROR(__xludf.DUMMYFUNCTION("""COMPUTED_VALUE"""),60607.19)</f>
        <v>60607.19</v>
      </c>
      <c r="AP2482" s="6" t="str">
        <f t="shared" si="699"/>
        <v>19001</v>
      </c>
      <c r="AQ2482" s="6">
        <f t="shared" si="700"/>
        <v>1900</v>
      </c>
      <c r="AR2482" s="6">
        <f t="shared" si="701"/>
        <v>1</v>
      </c>
    </row>
    <row r="2483" spans="2:44" x14ac:dyDescent="0.35">
      <c r="B2483" s="6" t="str">
        <f t="shared" si="684"/>
        <v>19001</v>
      </c>
      <c r="C2483" s="6">
        <f t="shared" si="685"/>
        <v>1900</v>
      </c>
      <c r="D2483" s="6">
        <f t="shared" si="686"/>
        <v>1</v>
      </c>
      <c r="J2483" s="6" t="str">
        <f t="shared" si="687"/>
        <v>19001</v>
      </c>
      <c r="K2483" s="6">
        <f t="shared" si="688"/>
        <v>1900</v>
      </c>
      <c r="L2483" s="6">
        <f t="shared" si="689"/>
        <v>1</v>
      </c>
      <c r="R2483" s="6" t="str">
        <f t="shared" si="690"/>
        <v>19001</v>
      </c>
      <c r="S2483" s="6">
        <f t="shared" si="691"/>
        <v>1900</v>
      </c>
      <c r="T2483" s="6">
        <f t="shared" si="692"/>
        <v>1</v>
      </c>
      <c r="Z2483" s="6" t="str">
        <f t="shared" ca="1" si="693"/>
        <v>202412</v>
      </c>
      <c r="AA2483" s="6">
        <f t="shared" ca="1" si="694"/>
        <v>2024</v>
      </c>
      <c r="AB2483" s="6">
        <f t="shared" ca="1" si="695"/>
        <v>12</v>
      </c>
      <c r="AC2483" s="68">
        <f ca="1">IFERROR(__xludf.DUMMYFUNCTION("""COMPUTED_VALUE"""),45635.9986111111)</f>
        <v>45635.998611111099</v>
      </c>
      <c r="AD2483" s="6">
        <f ca="1">IFERROR(__xludf.DUMMYFUNCTION("""COMPUTED_VALUE"""),1426.6)</f>
        <v>1426.6</v>
      </c>
      <c r="AH2483" s="6" t="str">
        <f t="shared" ca="1" si="696"/>
        <v>202410</v>
      </c>
      <c r="AI2483" s="6">
        <f t="shared" ca="1" si="697"/>
        <v>2024</v>
      </c>
      <c r="AJ2483" s="6">
        <f t="shared" ca="1" si="698"/>
        <v>10</v>
      </c>
      <c r="AK2483" s="68">
        <f ca="1">IFERROR(__xludf.DUMMYFUNCTION("""COMPUTED_VALUE"""),45577.9986111111)</f>
        <v>45577.998611111099</v>
      </c>
      <c r="AL2483" s="6">
        <f ca="1">IFERROR(__xludf.DUMMYFUNCTION("""COMPUTED_VALUE"""),62555.24)</f>
        <v>62555.24</v>
      </c>
      <c r="AP2483" s="6" t="str">
        <f t="shared" si="699"/>
        <v>19001</v>
      </c>
      <c r="AQ2483" s="6">
        <f t="shared" si="700"/>
        <v>1900</v>
      </c>
      <c r="AR2483" s="6">
        <f t="shared" si="701"/>
        <v>1</v>
      </c>
    </row>
    <row r="2484" spans="2:44" x14ac:dyDescent="0.35">
      <c r="B2484" s="6" t="str">
        <f t="shared" si="684"/>
        <v>19001</v>
      </c>
      <c r="C2484" s="6">
        <f t="shared" si="685"/>
        <v>1900</v>
      </c>
      <c r="D2484" s="6">
        <f t="shared" si="686"/>
        <v>1</v>
      </c>
      <c r="J2484" s="6" t="str">
        <f t="shared" si="687"/>
        <v>19001</v>
      </c>
      <c r="K2484" s="6">
        <f t="shared" si="688"/>
        <v>1900</v>
      </c>
      <c r="L2484" s="6">
        <f t="shared" si="689"/>
        <v>1</v>
      </c>
      <c r="R2484" s="6" t="str">
        <f t="shared" si="690"/>
        <v>19001</v>
      </c>
      <c r="S2484" s="6">
        <f t="shared" si="691"/>
        <v>1900</v>
      </c>
      <c r="T2484" s="6">
        <f t="shared" si="692"/>
        <v>1</v>
      </c>
      <c r="Z2484" s="6" t="str">
        <f t="shared" ca="1" si="693"/>
        <v>202412</v>
      </c>
      <c r="AA2484" s="6">
        <f t="shared" ca="1" si="694"/>
        <v>2024</v>
      </c>
      <c r="AB2484" s="6">
        <f t="shared" ca="1" si="695"/>
        <v>12</v>
      </c>
      <c r="AC2484" s="68">
        <f ca="1">IFERROR(__xludf.DUMMYFUNCTION("""COMPUTED_VALUE"""),45636.9986111111)</f>
        <v>45636.998611111099</v>
      </c>
      <c r="AD2484" s="6">
        <f ca="1">IFERROR(__xludf.DUMMYFUNCTION("""COMPUTED_VALUE"""),1433.95)</f>
        <v>1433.95</v>
      </c>
      <c r="AH2484" s="6" t="str">
        <f t="shared" ca="1" si="696"/>
        <v>202410</v>
      </c>
      <c r="AI2484" s="6">
        <f t="shared" ca="1" si="697"/>
        <v>2024</v>
      </c>
      <c r="AJ2484" s="6">
        <f t="shared" ca="1" si="698"/>
        <v>10</v>
      </c>
      <c r="AK2484" s="68">
        <f ca="1">IFERROR(__xludf.DUMMYFUNCTION("""COMPUTED_VALUE"""),45578.9986111111)</f>
        <v>45578.998611111099</v>
      </c>
      <c r="AL2484" s="6">
        <f ca="1">IFERROR(__xludf.DUMMYFUNCTION("""COMPUTED_VALUE"""),62717.15)</f>
        <v>62717.15</v>
      </c>
      <c r="AP2484" s="6" t="str">
        <f t="shared" si="699"/>
        <v>19001</v>
      </c>
      <c r="AQ2484" s="6">
        <f t="shared" si="700"/>
        <v>1900</v>
      </c>
      <c r="AR2484" s="6">
        <f t="shared" si="701"/>
        <v>1</v>
      </c>
    </row>
    <row r="2485" spans="2:44" x14ac:dyDescent="0.35">
      <c r="B2485" s="6" t="str">
        <f t="shared" si="684"/>
        <v>19001</v>
      </c>
      <c r="C2485" s="6">
        <f t="shared" si="685"/>
        <v>1900</v>
      </c>
      <c r="D2485" s="6">
        <f t="shared" si="686"/>
        <v>1</v>
      </c>
      <c r="J2485" s="6" t="str">
        <f t="shared" si="687"/>
        <v>19001</v>
      </c>
      <c r="K2485" s="6">
        <f t="shared" si="688"/>
        <v>1900</v>
      </c>
      <c r="L2485" s="6">
        <f t="shared" si="689"/>
        <v>1</v>
      </c>
      <c r="R2485" s="6" t="str">
        <f t="shared" si="690"/>
        <v>19001</v>
      </c>
      <c r="S2485" s="6">
        <f t="shared" si="691"/>
        <v>1900</v>
      </c>
      <c r="T2485" s="6">
        <f t="shared" si="692"/>
        <v>1</v>
      </c>
      <c r="Z2485" s="6" t="str">
        <f t="shared" ca="1" si="693"/>
        <v>202412</v>
      </c>
      <c r="AA2485" s="6">
        <f t="shared" ca="1" si="694"/>
        <v>2024</v>
      </c>
      <c r="AB2485" s="6">
        <f t="shared" ca="1" si="695"/>
        <v>12</v>
      </c>
      <c r="AC2485" s="68">
        <f ca="1">IFERROR(__xludf.DUMMYFUNCTION("""COMPUTED_VALUE"""),45637.9986111111)</f>
        <v>45637.998611111099</v>
      </c>
      <c r="AD2485" s="6">
        <f ca="1">IFERROR(__xludf.DUMMYFUNCTION("""COMPUTED_VALUE"""),1429.15)</f>
        <v>1429.15</v>
      </c>
      <c r="AH2485" s="6" t="str">
        <f t="shared" ca="1" si="696"/>
        <v>202410</v>
      </c>
      <c r="AI2485" s="6">
        <f t="shared" ca="1" si="697"/>
        <v>2024</v>
      </c>
      <c r="AJ2485" s="6">
        <f t="shared" ca="1" si="698"/>
        <v>10</v>
      </c>
      <c r="AK2485" s="68">
        <f ca="1">IFERROR(__xludf.DUMMYFUNCTION("""COMPUTED_VALUE"""),45579.9986111111)</f>
        <v>45579.998611111099</v>
      </c>
      <c r="AL2485" s="6">
        <f ca="1">IFERROR(__xludf.DUMMYFUNCTION("""COMPUTED_VALUE"""),64195.47)</f>
        <v>64195.47</v>
      </c>
      <c r="AP2485" s="6" t="str">
        <f t="shared" si="699"/>
        <v>19001</v>
      </c>
      <c r="AQ2485" s="6">
        <f t="shared" si="700"/>
        <v>1900</v>
      </c>
      <c r="AR2485" s="6">
        <f t="shared" si="701"/>
        <v>1</v>
      </c>
    </row>
    <row r="2486" spans="2:44" x14ac:dyDescent="0.35">
      <c r="B2486" s="6" t="str">
        <f t="shared" si="684"/>
        <v>19001</v>
      </c>
      <c r="C2486" s="6">
        <f t="shared" si="685"/>
        <v>1900</v>
      </c>
      <c r="D2486" s="6">
        <f t="shared" si="686"/>
        <v>1</v>
      </c>
      <c r="J2486" s="6" t="str">
        <f t="shared" si="687"/>
        <v>19001</v>
      </c>
      <c r="K2486" s="6">
        <f t="shared" si="688"/>
        <v>1900</v>
      </c>
      <c r="L2486" s="6">
        <f t="shared" si="689"/>
        <v>1</v>
      </c>
      <c r="R2486" s="6" t="str">
        <f t="shared" si="690"/>
        <v>19001</v>
      </c>
      <c r="S2486" s="6">
        <f t="shared" si="691"/>
        <v>1900</v>
      </c>
      <c r="T2486" s="6">
        <f t="shared" si="692"/>
        <v>1</v>
      </c>
      <c r="Z2486" s="6" t="str">
        <f t="shared" ca="1" si="693"/>
        <v>202412</v>
      </c>
      <c r="AA2486" s="6">
        <f t="shared" ca="1" si="694"/>
        <v>2024</v>
      </c>
      <c r="AB2486" s="6">
        <f t="shared" ca="1" si="695"/>
        <v>12</v>
      </c>
      <c r="AC2486" s="68">
        <f ca="1">IFERROR(__xludf.DUMMYFUNCTION("""COMPUTED_VALUE"""),45638.9986111111)</f>
        <v>45638.998611111099</v>
      </c>
      <c r="AD2486" s="6">
        <f ca="1">IFERROR(__xludf.DUMMYFUNCTION("""COMPUTED_VALUE"""),1427.86)</f>
        <v>1427.86</v>
      </c>
      <c r="AH2486" s="6" t="str">
        <f t="shared" ca="1" si="696"/>
        <v>202410</v>
      </c>
      <c r="AI2486" s="6">
        <f t="shared" ca="1" si="697"/>
        <v>2024</v>
      </c>
      <c r="AJ2486" s="6">
        <f t="shared" ca="1" si="698"/>
        <v>10</v>
      </c>
      <c r="AK2486" s="68">
        <f ca="1">IFERROR(__xludf.DUMMYFUNCTION("""COMPUTED_VALUE"""),45580.9986111111)</f>
        <v>45580.998611111099</v>
      </c>
      <c r="AL2486" s="6">
        <f ca="1">IFERROR(__xludf.DUMMYFUNCTION("""COMPUTED_VALUE"""),65353.81)</f>
        <v>65353.81</v>
      </c>
      <c r="AP2486" s="6" t="str">
        <f t="shared" si="699"/>
        <v>19001</v>
      </c>
      <c r="AQ2486" s="6">
        <f t="shared" si="700"/>
        <v>1900</v>
      </c>
      <c r="AR2486" s="6">
        <f t="shared" si="701"/>
        <v>1</v>
      </c>
    </row>
    <row r="2487" spans="2:44" x14ac:dyDescent="0.35">
      <c r="B2487" s="6" t="str">
        <f t="shared" si="684"/>
        <v>19001</v>
      </c>
      <c r="C2487" s="6">
        <f t="shared" si="685"/>
        <v>1900</v>
      </c>
      <c r="D2487" s="6">
        <f t="shared" si="686"/>
        <v>1</v>
      </c>
      <c r="J2487" s="6" t="str">
        <f t="shared" si="687"/>
        <v>19001</v>
      </c>
      <c r="K2487" s="6">
        <f t="shared" si="688"/>
        <v>1900</v>
      </c>
      <c r="L2487" s="6">
        <f t="shared" si="689"/>
        <v>1</v>
      </c>
      <c r="R2487" s="6" t="str">
        <f t="shared" si="690"/>
        <v>19001</v>
      </c>
      <c r="S2487" s="6">
        <f t="shared" si="691"/>
        <v>1900</v>
      </c>
      <c r="T2487" s="6">
        <f t="shared" si="692"/>
        <v>1</v>
      </c>
      <c r="Z2487" s="6" t="str">
        <f t="shared" ca="1" si="693"/>
        <v>202412</v>
      </c>
      <c r="AA2487" s="6">
        <f t="shared" ca="1" si="694"/>
        <v>2024</v>
      </c>
      <c r="AB2487" s="6">
        <f t="shared" ca="1" si="695"/>
        <v>12</v>
      </c>
      <c r="AC2487" s="68">
        <f ca="1">IFERROR(__xludf.DUMMYFUNCTION("""COMPUTED_VALUE"""),45639.9986111111)</f>
        <v>45639.998611111099</v>
      </c>
      <c r="AD2487" s="6">
        <f ca="1">IFERROR(__xludf.DUMMYFUNCTION("""COMPUTED_VALUE"""),1434.45)</f>
        <v>1434.45</v>
      </c>
      <c r="AH2487" s="6" t="str">
        <f t="shared" ca="1" si="696"/>
        <v>202410</v>
      </c>
      <c r="AI2487" s="6">
        <f t="shared" ca="1" si="697"/>
        <v>2024</v>
      </c>
      <c r="AJ2487" s="6">
        <f t="shared" ca="1" si="698"/>
        <v>10</v>
      </c>
      <c r="AK2487" s="68">
        <f ca="1">IFERROR(__xludf.DUMMYFUNCTION("""COMPUTED_VALUE"""),45581.9986111111)</f>
        <v>45581.998611111099</v>
      </c>
      <c r="AL2487" s="6">
        <f ca="1">IFERROR(__xludf.DUMMYFUNCTION("""COMPUTED_VALUE"""),67104.47)</f>
        <v>67104.47</v>
      </c>
      <c r="AP2487" s="6" t="str">
        <f t="shared" si="699"/>
        <v>19001</v>
      </c>
      <c r="AQ2487" s="6">
        <f t="shared" si="700"/>
        <v>1900</v>
      </c>
      <c r="AR2487" s="6">
        <f t="shared" si="701"/>
        <v>1</v>
      </c>
    </row>
    <row r="2488" spans="2:44" x14ac:dyDescent="0.35">
      <c r="B2488" s="6" t="str">
        <f t="shared" si="684"/>
        <v>19001</v>
      </c>
      <c r="C2488" s="6">
        <f t="shared" si="685"/>
        <v>1900</v>
      </c>
      <c r="D2488" s="6">
        <f t="shared" si="686"/>
        <v>1</v>
      </c>
      <c r="J2488" s="6" t="str">
        <f t="shared" si="687"/>
        <v>19001</v>
      </c>
      <c r="K2488" s="6">
        <f t="shared" si="688"/>
        <v>1900</v>
      </c>
      <c r="L2488" s="6">
        <f t="shared" si="689"/>
        <v>1</v>
      </c>
      <c r="R2488" s="6" t="str">
        <f t="shared" si="690"/>
        <v>19001</v>
      </c>
      <c r="S2488" s="6">
        <f t="shared" si="691"/>
        <v>1900</v>
      </c>
      <c r="T2488" s="6">
        <f t="shared" si="692"/>
        <v>1</v>
      </c>
      <c r="Z2488" s="6" t="str">
        <f t="shared" ca="1" si="693"/>
        <v>202412</v>
      </c>
      <c r="AA2488" s="6">
        <f t="shared" ca="1" si="694"/>
        <v>2024</v>
      </c>
      <c r="AB2488" s="6">
        <f t="shared" ca="1" si="695"/>
        <v>12</v>
      </c>
      <c r="AC2488" s="68">
        <f ca="1">IFERROR(__xludf.DUMMYFUNCTION("""COMPUTED_VALUE"""),45640.9986111111)</f>
        <v>45640.998611111099</v>
      </c>
      <c r="AD2488" s="6">
        <f ca="1">IFERROR(__xludf.DUMMYFUNCTION("""COMPUTED_VALUE"""),1434.45)</f>
        <v>1434.45</v>
      </c>
      <c r="AH2488" s="6" t="str">
        <f t="shared" ca="1" si="696"/>
        <v>202410</v>
      </c>
      <c r="AI2488" s="6">
        <f t="shared" ca="1" si="697"/>
        <v>2024</v>
      </c>
      <c r="AJ2488" s="6">
        <f t="shared" ca="1" si="698"/>
        <v>10</v>
      </c>
      <c r="AK2488" s="68">
        <f ca="1">IFERROR(__xludf.DUMMYFUNCTION("""COMPUTED_VALUE"""),45582.9986111111)</f>
        <v>45582.998611111099</v>
      </c>
      <c r="AL2488" s="6">
        <f ca="1">IFERROR(__xludf.DUMMYFUNCTION("""COMPUTED_VALUE"""),67605.86)</f>
        <v>67605.86</v>
      </c>
      <c r="AP2488" s="6" t="str">
        <f t="shared" si="699"/>
        <v>19001</v>
      </c>
      <c r="AQ2488" s="6">
        <f t="shared" si="700"/>
        <v>1900</v>
      </c>
      <c r="AR2488" s="6">
        <f t="shared" si="701"/>
        <v>1</v>
      </c>
    </row>
    <row r="2489" spans="2:44" x14ac:dyDescent="0.35">
      <c r="B2489" s="6" t="str">
        <f t="shared" si="684"/>
        <v>19001</v>
      </c>
      <c r="C2489" s="6">
        <f t="shared" si="685"/>
        <v>1900</v>
      </c>
      <c r="D2489" s="6">
        <f t="shared" si="686"/>
        <v>1</v>
      </c>
      <c r="J2489" s="6" t="str">
        <f t="shared" si="687"/>
        <v>19001</v>
      </c>
      <c r="K2489" s="6">
        <f t="shared" si="688"/>
        <v>1900</v>
      </c>
      <c r="L2489" s="6">
        <f t="shared" si="689"/>
        <v>1</v>
      </c>
      <c r="R2489" s="6" t="str">
        <f t="shared" si="690"/>
        <v>19001</v>
      </c>
      <c r="S2489" s="6">
        <f t="shared" si="691"/>
        <v>1900</v>
      </c>
      <c r="T2489" s="6">
        <f t="shared" si="692"/>
        <v>1</v>
      </c>
      <c r="Z2489" s="6" t="str">
        <f t="shared" ca="1" si="693"/>
        <v>202412</v>
      </c>
      <c r="AA2489" s="6">
        <f t="shared" ca="1" si="694"/>
        <v>2024</v>
      </c>
      <c r="AB2489" s="6">
        <f t="shared" ca="1" si="695"/>
        <v>12</v>
      </c>
      <c r="AC2489" s="68">
        <f ca="1">IFERROR(__xludf.DUMMYFUNCTION("""COMPUTED_VALUE"""),45641.9986111111)</f>
        <v>45641.998611111099</v>
      </c>
      <c r="AD2489" s="6">
        <f ca="1">IFERROR(__xludf.DUMMYFUNCTION("""COMPUTED_VALUE"""),1434.45)</f>
        <v>1434.45</v>
      </c>
      <c r="AH2489" s="6" t="str">
        <f t="shared" ca="1" si="696"/>
        <v>202410</v>
      </c>
      <c r="AI2489" s="6">
        <f t="shared" ca="1" si="697"/>
        <v>2024</v>
      </c>
      <c r="AJ2489" s="6">
        <f t="shared" ca="1" si="698"/>
        <v>10</v>
      </c>
      <c r="AK2489" s="68">
        <f ca="1">IFERROR(__xludf.DUMMYFUNCTION("""COMPUTED_VALUE"""),45583.9986111111)</f>
        <v>45583.998611111099</v>
      </c>
      <c r="AL2489" s="6">
        <f ca="1">IFERROR(__xludf.DUMMYFUNCTION("""COMPUTED_VALUE"""),67535.72)</f>
        <v>67535.72</v>
      </c>
      <c r="AP2489" s="6" t="str">
        <f t="shared" si="699"/>
        <v>19001</v>
      </c>
      <c r="AQ2489" s="6">
        <f t="shared" si="700"/>
        <v>1900</v>
      </c>
      <c r="AR2489" s="6">
        <f t="shared" si="701"/>
        <v>1</v>
      </c>
    </row>
    <row r="2490" spans="2:44" x14ac:dyDescent="0.35">
      <c r="B2490" s="6" t="str">
        <f t="shared" si="684"/>
        <v>19001</v>
      </c>
      <c r="C2490" s="6">
        <f t="shared" si="685"/>
        <v>1900</v>
      </c>
      <c r="D2490" s="6">
        <f t="shared" si="686"/>
        <v>1</v>
      </c>
      <c r="J2490" s="6" t="str">
        <f t="shared" si="687"/>
        <v>19001</v>
      </c>
      <c r="K2490" s="6">
        <f t="shared" si="688"/>
        <v>1900</v>
      </c>
      <c r="L2490" s="6">
        <f t="shared" si="689"/>
        <v>1</v>
      </c>
      <c r="R2490" s="6" t="str">
        <f t="shared" si="690"/>
        <v>19001</v>
      </c>
      <c r="S2490" s="6">
        <f t="shared" si="691"/>
        <v>1900</v>
      </c>
      <c r="T2490" s="6">
        <f t="shared" si="692"/>
        <v>1</v>
      </c>
      <c r="Z2490" s="6" t="str">
        <f t="shared" ca="1" si="693"/>
        <v>202412</v>
      </c>
      <c r="AA2490" s="6">
        <f t="shared" ca="1" si="694"/>
        <v>2024</v>
      </c>
      <c r="AB2490" s="6">
        <f t="shared" ca="1" si="695"/>
        <v>12</v>
      </c>
      <c r="AC2490" s="68">
        <f ca="1">IFERROR(__xludf.DUMMYFUNCTION("""COMPUTED_VALUE"""),45642.9986111111)</f>
        <v>45642.998611111099</v>
      </c>
      <c r="AD2490" s="6">
        <f ca="1">IFERROR(__xludf.DUMMYFUNCTION("""COMPUTED_VALUE"""),1431.35)</f>
        <v>1431.35</v>
      </c>
      <c r="AH2490" s="6" t="str">
        <f t="shared" ca="1" si="696"/>
        <v>202410</v>
      </c>
      <c r="AI2490" s="6">
        <f t="shared" ca="1" si="697"/>
        <v>2024</v>
      </c>
      <c r="AJ2490" s="6">
        <f t="shared" ca="1" si="698"/>
        <v>10</v>
      </c>
      <c r="AK2490" s="68">
        <f ca="1">IFERROR(__xludf.DUMMYFUNCTION("""COMPUTED_VALUE"""),45584.9986111111)</f>
        <v>45584.998611111099</v>
      </c>
      <c r="AL2490" s="6">
        <f ca="1">IFERROR(__xludf.DUMMYFUNCTION("""COMPUTED_VALUE"""),68456.86)</f>
        <v>68456.86</v>
      </c>
      <c r="AP2490" s="6" t="str">
        <f t="shared" si="699"/>
        <v>19001</v>
      </c>
      <c r="AQ2490" s="6">
        <f t="shared" si="700"/>
        <v>1900</v>
      </c>
      <c r="AR2490" s="6">
        <f t="shared" si="701"/>
        <v>1</v>
      </c>
    </row>
    <row r="2491" spans="2:44" x14ac:dyDescent="0.35">
      <c r="B2491" s="6" t="str">
        <f t="shared" si="684"/>
        <v>19001</v>
      </c>
      <c r="C2491" s="6">
        <f t="shared" si="685"/>
        <v>1900</v>
      </c>
      <c r="D2491" s="6">
        <f t="shared" si="686"/>
        <v>1</v>
      </c>
      <c r="J2491" s="6" t="str">
        <f t="shared" si="687"/>
        <v>19001</v>
      </c>
      <c r="K2491" s="6">
        <f t="shared" si="688"/>
        <v>1900</v>
      </c>
      <c r="L2491" s="6">
        <f t="shared" si="689"/>
        <v>1</v>
      </c>
      <c r="R2491" s="6" t="str">
        <f t="shared" si="690"/>
        <v>19001</v>
      </c>
      <c r="S2491" s="6">
        <f t="shared" si="691"/>
        <v>1900</v>
      </c>
      <c r="T2491" s="6">
        <f t="shared" si="692"/>
        <v>1</v>
      </c>
      <c r="Z2491" s="6" t="str">
        <f t="shared" ca="1" si="693"/>
        <v>202412</v>
      </c>
      <c r="AA2491" s="6">
        <f t="shared" ca="1" si="694"/>
        <v>2024</v>
      </c>
      <c r="AB2491" s="6">
        <f t="shared" ca="1" si="695"/>
        <v>12</v>
      </c>
      <c r="AC2491" s="68">
        <f ca="1">IFERROR(__xludf.DUMMYFUNCTION("""COMPUTED_VALUE"""),45643.9986111111)</f>
        <v>45643.998611111099</v>
      </c>
      <c r="AD2491" s="6">
        <f ca="1">IFERROR(__xludf.DUMMYFUNCTION("""COMPUTED_VALUE"""),1436.42)</f>
        <v>1436.42</v>
      </c>
      <c r="AH2491" s="6" t="str">
        <f t="shared" ca="1" si="696"/>
        <v>202410</v>
      </c>
      <c r="AI2491" s="6">
        <f t="shared" ca="1" si="697"/>
        <v>2024</v>
      </c>
      <c r="AJ2491" s="6">
        <f t="shared" ca="1" si="698"/>
        <v>10</v>
      </c>
      <c r="AK2491" s="68">
        <f ca="1">IFERROR(__xludf.DUMMYFUNCTION("""COMPUTED_VALUE"""),45585.9986111111)</f>
        <v>45585.998611111099</v>
      </c>
      <c r="AL2491" s="6">
        <f ca="1">IFERROR(__xludf.DUMMYFUNCTION("""COMPUTED_VALUE"""),68179.25)</f>
        <v>68179.25</v>
      </c>
      <c r="AP2491" s="6" t="str">
        <f t="shared" si="699"/>
        <v>19001</v>
      </c>
      <c r="AQ2491" s="6">
        <f t="shared" si="700"/>
        <v>1900</v>
      </c>
      <c r="AR2491" s="6">
        <f t="shared" si="701"/>
        <v>1</v>
      </c>
    </row>
    <row r="2492" spans="2:44" x14ac:dyDescent="0.35">
      <c r="B2492" s="6" t="str">
        <f t="shared" si="684"/>
        <v>19001</v>
      </c>
      <c r="C2492" s="6">
        <f t="shared" si="685"/>
        <v>1900</v>
      </c>
      <c r="D2492" s="6">
        <f t="shared" si="686"/>
        <v>1</v>
      </c>
      <c r="J2492" s="6" t="str">
        <f t="shared" si="687"/>
        <v>19001</v>
      </c>
      <c r="K2492" s="6">
        <f t="shared" si="688"/>
        <v>1900</v>
      </c>
      <c r="L2492" s="6">
        <f t="shared" si="689"/>
        <v>1</v>
      </c>
      <c r="R2492" s="6" t="str">
        <f t="shared" si="690"/>
        <v>19001</v>
      </c>
      <c r="S2492" s="6">
        <f t="shared" si="691"/>
        <v>1900</v>
      </c>
      <c r="T2492" s="6">
        <f t="shared" si="692"/>
        <v>1</v>
      </c>
      <c r="Z2492" s="6" t="str">
        <f t="shared" ca="1" si="693"/>
        <v>202412</v>
      </c>
      <c r="AA2492" s="6">
        <f t="shared" ca="1" si="694"/>
        <v>2024</v>
      </c>
      <c r="AB2492" s="6">
        <f t="shared" ca="1" si="695"/>
        <v>12</v>
      </c>
      <c r="AC2492" s="68">
        <f ca="1">IFERROR(__xludf.DUMMYFUNCTION("""COMPUTED_VALUE"""),45644.9986111111)</f>
        <v>45644.998611111099</v>
      </c>
      <c r="AD2492" s="6">
        <f ca="1">IFERROR(__xludf.DUMMYFUNCTION("""COMPUTED_VALUE"""),1451.5)</f>
        <v>1451.5</v>
      </c>
      <c r="AH2492" s="6" t="str">
        <f t="shared" ca="1" si="696"/>
        <v>202410</v>
      </c>
      <c r="AI2492" s="6">
        <f t="shared" ca="1" si="697"/>
        <v>2024</v>
      </c>
      <c r="AJ2492" s="6">
        <f t="shared" ca="1" si="698"/>
        <v>10</v>
      </c>
      <c r="AK2492" s="68">
        <f ca="1">IFERROR(__xludf.DUMMYFUNCTION("""COMPUTED_VALUE"""),45586.9986111111)</f>
        <v>45586.998611111099</v>
      </c>
      <c r="AL2492" s="6">
        <f ca="1">IFERROR(__xludf.DUMMYFUNCTION("""COMPUTED_VALUE"""),68890.14)</f>
        <v>68890.14</v>
      </c>
      <c r="AP2492" s="6" t="str">
        <f t="shared" si="699"/>
        <v>19001</v>
      </c>
      <c r="AQ2492" s="6">
        <f t="shared" si="700"/>
        <v>1900</v>
      </c>
      <c r="AR2492" s="6">
        <f t="shared" si="701"/>
        <v>1</v>
      </c>
    </row>
    <row r="2493" spans="2:44" x14ac:dyDescent="0.35">
      <c r="B2493" s="6" t="str">
        <f t="shared" si="684"/>
        <v>19001</v>
      </c>
      <c r="C2493" s="6">
        <f t="shared" si="685"/>
        <v>1900</v>
      </c>
      <c r="D2493" s="6">
        <f t="shared" si="686"/>
        <v>1</v>
      </c>
      <c r="J2493" s="6" t="str">
        <f t="shared" si="687"/>
        <v>19001</v>
      </c>
      <c r="K2493" s="6">
        <f t="shared" si="688"/>
        <v>1900</v>
      </c>
      <c r="L2493" s="6">
        <f t="shared" si="689"/>
        <v>1</v>
      </c>
      <c r="R2493" s="6" t="str">
        <f t="shared" si="690"/>
        <v>19001</v>
      </c>
      <c r="S2493" s="6">
        <f t="shared" si="691"/>
        <v>1900</v>
      </c>
      <c r="T2493" s="6">
        <f t="shared" si="692"/>
        <v>1</v>
      </c>
      <c r="Z2493" s="6" t="str">
        <f t="shared" ca="1" si="693"/>
        <v>202412</v>
      </c>
      <c r="AA2493" s="6">
        <f t="shared" ca="1" si="694"/>
        <v>2024</v>
      </c>
      <c r="AB2493" s="6">
        <f t="shared" ca="1" si="695"/>
        <v>12</v>
      </c>
      <c r="AC2493" s="68">
        <f ca="1">IFERROR(__xludf.DUMMYFUNCTION("""COMPUTED_VALUE"""),45645.9986111111)</f>
        <v>45645.998611111099</v>
      </c>
      <c r="AD2493" s="6">
        <f ca="1">IFERROR(__xludf.DUMMYFUNCTION("""COMPUTED_VALUE"""),1437.45)</f>
        <v>1437.45</v>
      </c>
      <c r="AH2493" s="6" t="str">
        <f t="shared" ca="1" si="696"/>
        <v>202410</v>
      </c>
      <c r="AI2493" s="6">
        <f t="shared" ca="1" si="697"/>
        <v>2024</v>
      </c>
      <c r="AJ2493" s="6">
        <f t="shared" ca="1" si="698"/>
        <v>10</v>
      </c>
      <c r="AK2493" s="68">
        <f ca="1">IFERROR(__xludf.DUMMYFUNCTION("""COMPUTED_VALUE"""),45587.9986111111)</f>
        <v>45587.998611111099</v>
      </c>
      <c r="AL2493" s="6">
        <f ca="1">IFERROR(__xludf.DUMMYFUNCTION("""COMPUTED_VALUE"""),67344.48)</f>
        <v>67344.479999999996</v>
      </c>
      <c r="AP2493" s="6" t="str">
        <f t="shared" si="699"/>
        <v>19001</v>
      </c>
      <c r="AQ2493" s="6">
        <f t="shared" si="700"/>
        <v>1900</v>
      </c>
      <c r="AR2493" s="6">
        <f t="shared" si="701"/>
        <v>1</v>
      </c>
    </row>
    <row r="2494" spans="2:44" x14ac:dyDescent="0.35">
      <c r="B2494" s="6" t="str">
        <f t="shared" si="684"/>
        <v>19001</v>
      </c>
      <c r="C2494" s="6">
        <f t="shared" si="685"/>
        <v>1900</v>
      </c>
      <c r="D2494" s="6">
        <f t="shared" si="686"/>
        <v>1</v>
      </c>
      <c r="J2494" s="6" t="str">
        <f t="shared" si="687"/>
        <v>19001</v>
      </c>
      <c r="K2494" s="6">
        <f t="shared" si="688"/>
        <v>1900</v>
      </c>
      <c r="L2494" s="6">
        <f t="shared" si="689"/>
        <v>1</v>
      </c>
      <c r="R2494" s="6" t="str">
        <f t="shared" si="690"/>
        <v>19001</v>
      </c>
      <c r="S2494" s="6">
        <f t="shared" si="691"/>
        <v>1900</v>
      </c>
      <c r="T2494" s="6">
        <f t="shared" si="692"/>
        <v>1</v>
      </c>
      <c r="Z2494" s="6" t="str">
        <f t="shared" ca="1" si="693"/>
        <v>202412</v>
      </c>
      <c r="AA2494" s="6">
        <f t="shared" ca="1" si="694"/>
        <v>2024</v>
      </c>
      <c r="AB2494" s="6">
        <f t="shared" ca="1" si="695"/>
        <v>12</v>
      </c>
      <c r="AC2494" s="68">
        <f ca="1">IFERROR(__xludf.DUMMYFUNCTION("""COMPUTED_VALUE"""),45646.9986111111)</f>
        <v>45646.998611111099</v>
      </c>
      <c r="AD2494" s="6">
        <f ca="1">IFERROR(__xludf.DUMMYFUNCTION("""COMPUTED_VALUE"""),1445.42)</f>
        <v>1445.42</v>
      </c>
      <c r="AH2494" s="6" t="str">
        <f t="shared" ca="1" si="696"/>
        <v>202410</v>
      </c>
      <c r="AI2494" s="6">
        <f t="shared" ca="1" si="697"/>
        <v>2024</v>
      </c>
      <c r="AJ2494" s="6">
        <f t="shared" ca="1" si="698"/>
        <v>10</v>
      </c>
      <c r="AK2494" s="68">
        <f ca="1">IFERROR(__xludf.DUMMYFUNCTION("""COMPUTED_VALUE"""),45588.9986111111)</f>
        <v>45588.998611111099</v>
      </c>
      <c r="AL2494" s="6">
        <f ca="1">IFERROR(__xludf.DUMMYFUNCTION("""COMPUTED_VALUE"""),67029.24)</f>
        <v>67029.240000000005</v>
      </c>
      <c r="AP2494" s="6" t="str">
        <f t="shared" si="699"/>
        <v>19001</v>
      </c>
      <c r="AQ2494" s="6">
        <f t="shared" si="700"/>
        <v>1900</v>
      </c>
      <c r="AR2494" s="6">
        <f t="shared" si="701"/>
        <v>1</v>
      </c>
    </row>
    <row r="2495" spans="2:44" x14ac:dyDescent="0.35">
      <c r="B2495" s="6" t="str">
        <f t="shared" si="684"/>
        <v>19001</v>
      </c>
      <c r="C2495" s="6">
        <f t="shared" si="685"/>
        <v>1900</v>
      </c>
      <c r="D2495" s="6">
        <f t="shared" si="686"/>
        <v>1</v>
      </c>
      <c r="J2495" s="6" t="str">
        <f t="shared" si="687"/>
        <v>19001</v>
      </c>
      <c r="K2495" s="6">
        <f t="shared" si="688"/>
        <v>1900</v>
      </c>
      <c r="L2495" s="6">
        <f t="shared" si="689"/>
        <v>1</v>
      </c>
      <c r="R2495" s="6" t="str">
        <f t="shared" si="690"/>
        <v>19001</v>
      </c>
      <c r="S2495" s="6">
        <f t="shared" si="691"/>
        <v>1900</v>
      </c>
      <c r="T2495" s="6">
        <f t="shared" si="692"/>
        <v>1</v>
      </c>
      <c r="Z2495" s="6" t="str">
        <f t="shared" ca="1" si="693"/>
        <v>202412</v>
      </c>
      <c r="AA2495" s="6">
        <f t="shared" ca="1" si="694"/>
        <v>2024</v>
      </c>
      <c r="AB2495" s="6">
        <f t="shared" ca="1" si="695"/>
        <v>12</v>
      </c>
      <c r="AC2495" s="68">
        <f ca="1">IFERROR(__xludf.DUMMYFUNCTION("""COMPUTED_VALUE"""),45647.9986111111)</f>
        <v>45647.998611111099</v>
      </c>
      <c r="AD2495" s="6">
        <f ca="1">IFERROR(__xludf.DUMMYFUNCTION("""COMPUTED_VALUE"""),1445.42)</f>
        <v>1445.42</v>
      </c>
      <c r="AH2495" s="6" t="str">
        <f t="shared" ca="1" si="696"/>
        <v>202410</v>
      </c>
      <c r="AI2495" s="6">
        <f t="shared" ca="1" si="697"/>
        <v>2024</v>
      </c>
      <c r="AJ2495" s="6">
        <f t="shared" ca="1" si="698"/>
        <v>10</v>
      </c>
      <c r="AK2495" s="68">
        <f ca="1">IFERROR(__xludf.DUMMYFUNCTION("""COMPUTED_VALUE"""),45589.9986111111)</f>
        <v>45589.998611111099</v>
      </c>
      <c r="AL2495" s="6">
        <f ca="1">IFERROR(__xludf.DUMMYFUNCTION("""COMPUTED_VALUE"""),67189.43)</f>
        <v>67189.429999999993</v>
      </c>
      <c r="AP2495" s="6" t="str">
        <f t="shared" si="699"/>
        <v>19001</v>
      </c>
      <c r="AQ2495" s="6">
        <f t="shared" si="700"/>
        <v>1900</v>
      </c>
      <c r="AR2495" s="6">
        <f t="shared" si="701"/>
        <v>1</v>
      </c>
    </row>
    <row r="2496" spans="2:44" x14ac:dyDescent="0.35">
      <c r="B2496" s="6" t="str">
        <f t="shared" si="684"/>
        <v>19001</v>
      </c>
      <c r="C2496" s="6">
        <f t="shared" si="685"/>
        <v>1900</v>
      </c>
      <c r="D2496" s="6">
        <f t="shared" si="686"/>
        <v>1</v>
      </c>
      <c r="J2496" s="6" t="str">
        <f t="shared" si="687"/>
        <v>19001</v>
      </c>
      <c r="K2496" s="6">
        <f t="shared" si="688"/>
        <v>1900</v>
      </c>
      <c r="L2496" s="6">
        <f t="shared" si="689"/>
        <v>1</v>
      </c>
      <c r="R2496" s="6" t="str">
        <f t="shared" si="690"/>
        <v>19001</v>
      </c>
      <c r="S2496" s="6">
        <f t="shared" si="691"/>
        <v>1900</v>
      </c>
      <c r="T2496" s="6">
        <f t="shared" si="692"/>
        <v>1</v>
      </c>
      <c r="Z2496" s="6" t="str">
        <f t="shared" ca="1" si="693"/>
        <v>202412</v>
      </c>
      <c r="AA2496" s="6">
        <f t="shared" ca="1" si="694"/>
        <v>2024</v>
      </c>
      <c r="AB2496" s="6">
        <f t="shared" ca="1" si="695"/>
        <v>12</v>
      </c>
      <c r="AC2496" s="68">
        <f ca="1">IFERROR(__xludf.DUMMYFUNCTION("""COMPUTED_VALUE"""),45648.9986111111)</f>
        <v>45648.998611111099</v>
      </c>
      <c r="AD2496" s="6">
        <f ca="1">IFERROR(__xludf.DUMMYFUNCTION("""COMPUTED_VALUE"""),1445.42)</f>
        <v>1445.42</v>
      </c>
      <c r="AH2496" s="6" t="str">
        <f t="shared" ca="1" si="696"/>
        <v>202410</v>
      </c>
      <c r="AI2496" s="6">
        <f t="shared" ca="1" si="697"/>
        <v>2024</v>
      </c>
      <c r="AJ2496" s="6">
        <f t="shared" ca="1" si="698"/>
        <v>10</v>
      </c>
      <c r="AK2496" s="68">
        <f ca="1">IFERROR(__xludf.DUMMYFUNCTION("""COMPUTED_VALUE"""),45590.9986111111)</f>
        <v>45590.998611111099</v>
      </c>
      <c r="AL2496" s="6">
        <f ca="1">IFERROR(__xludf.DUMMYFUNCTION("""COMPUTED_VALUE"""),67973.21)</f>
        <v>67973.210000000006</v>
      </c>
      <c r="AP2496" s="6" t="str">
        <f t="shared" si="699"/>
        <v>19001</v>
      </c>
      <c r="AQ2496" s="6">
        <f t="shared" si="700"/>
        <v>1900</v>
      </c>
      <c r="AR2496" s="6">
        <f t="shared" si="701"/>
        <v>1</v>
      </c>
    </row>
    <row r="2497" spans="2:44" x14ac:dyDescent="0.35">
      <c r="B2497" s="6" t="str">
        <f t="shared" si="684"/>
        <v>19001</v>
      </c>
      <c r="C2497" s="6">
        <f t="shared" si="685"/>
        <v>1900</v>
      </c>
      <c r="D2497" s="6">
        <f t="shared" si="686"/>
        <v>1</v>
      </c>
      <c r="J2497" s="6" t="str">
        <f t="shared" si="687"/>
        <v>19001</v>
      </c>
      <c r="K2497" s="6">
        <f t="shared" si="688"/>
        <v>1900</v>
      </c>
      <c r="L2497" s="6">
        <f t="shared" si="689"/>
        <v>1</v>
      </c>
      <c r="R2497" s="6" t="str">
        <f t="shared" si="690"/>
        <v>19001</v>
      </c>
      <c r="S2497" s="6">
        <f t="shared" si="691"/>
        <v>1900</v>
      </c>
      <c r="T2497" s="6">
        <f t="shared" si="692"/>
        <v>1</v>
      </c>
      <c r="Z2497" s="6" t="str">
        <f t="shared" ca="1" si="693"/>
        <v>202412</v>
      </c>
      <c r="AA2497" s="6">
        <f t="shared" ca="1" si="694"/>
        <v>2024</v>
      </c>
      <c r="AB2497" s="6">
        <f t="shared" ca="1" si="695"/>
        <v>12</v>
      </c>
      <c r="AC2497" s="68">
        <f ca="1">IFERROR(__xludf.DUMMYFUNCTION("""COMPUTED_VALUE"""),45649.9986111111)</f>
        <v>45649.998611111099</v>
      </c>
      <c r="AD2497" s="6">
        <f ca="1">IFERROR(__xludf.DUMMYFUNCTION("""COMPUTED_VALUE"""),1442.7)</f>
        <v>1442.7</v>
      </c>
      <c r="AH2497" s="6" t="str">
        <f t="shared" ca="1" si="696"/>
        <v>202410</v>
      </c>
      <c r="AI2497" s="6">
        <f t="shared" ca="1" si="697"/>
        <v>2024</v>
      </c>
      <c r="AJ2497" s="6">
        <f t="shared" ca="1" si="698"/>
        <v>10</v>
      </c>
      <c r="AK2497" s="68">
        <f ca="1">IFERROR(__xludf.DUMMYFUNCTION("""COMPUTED_VALUE"""),45591.9986111111)</f>
        <v>45591.998611111099</v>
      </c>
      <c r="AL2497" s="6">
        <f ca="1">IFERROR(__xludf.DUMMYFUNCTION("""COMPUTED_VALUE"""),66863)</f>
        <v>66863</v>
      </c>
      <c r="AP2497" s="6" t="str">
        <f t="shared" si="699"/>
        <v>19001</v>
      </c>
      <c r="AQ2497" s="6">
        <f t="shared" si="700"/>
        <v>1900</v>
      </c>
      <c r="AR2497" s="6">
        <f t="shared" si="701"/>
        <v>1</v>
      </c>
    </row>
    <row r="2498" spans="2:44" x14ac:dyDescent="0.35">
      <c r="B2498" s="6" t="str">
        <f t="shared" si="684"/>
        <v>19001</v>
      </c>
      <c r="C2498" s="6">
        <f t="shared" si="685"/>
        <v>1900</v>
      </c>
      <c r="D2498" s="6">
        <f t="shared" si="686"/>
        <v>1</v>
      </c>
      <c r="J2498" s="6" t="str">
        <f t="shared" si="687"/>
        <v>19001</v>
      </c>
      <c r="K2498" s="6">
        <f t="shared" si="688"/>
        <v>1900</v>
      </c>
      <c r="L2498" s="6">
        <f t="shared" si="689"/>
        <v>1</v>
      </c>
      <c r="R2498" s="6" t="str">
        <f t="shared" si="690"/>
        <v>19001</v>
      </c>
      <c r="S2498" s="6">
        <f t="shared" si="691"/>
        <v>1900</v>
      </c>
      <c r="T2498" s="6">
        <f t="shared" si="692"/>
        <v>1</v>
      </c>
      <c r="Z2498" s="6" t="str">
        <f t="shared" ca="1" si="693"/>
        <v>202412</v>
      </c>
      <c r="AA2498" s="6">
        <f t="shared" ca="1" si="694"/>
        <v>2024</v>
      </c>
      <c r="AB2498" s="6">
        <f t="shared" ca="1" si="695"/>
        <v>12</v>
      </c>
      <c r="AC2498" s="68">
        <f ca="1">IFERROR(__xludf.DUMMYFUNCTION("""COMPUTED_VALUE"""),45650.9986111111)</f>
        <v>45650.998611111099</v>
      </c>
      <c r="AD2498" s="6">
        <f ca="1">IFERROR(__xludf.DUMMYFUNCTION("""COMPUTED_VALUE"""),1453.42)</f>
        <v>1453.42</v>
      </c>
      <c r="AH2498" s="6" t="str">
        <f t="shared" ca="1" si="696"/>
        <v>202410</v>
      </c>
      <c r="AI2498" s="6">
        <f t="shared" ca="1" si="697"/>
        <v>2024</v>
      </c>
      <c r="AJ2498" s="6">
        <f t="shared" ca="1" si="698"/>
        <v>10</v>
      </c>
      <c r="AK2498" s="68">
        <f ca="1">IFERROR(__xludf.DUMMYFUNCTION("""COMPUTED_VALUE"""),45592.9986111111)</f>
        <v>45592.998611111099</v>
      </c>
      <c r="AL2498" s="6">
        <f ca="1">IFERROR(__xludf.DUMMYFUNCTION("""COMPUTED_VALUE"""),67196.3)</f>
        <v>67196.3</v>
      </c>
      <c r="AP2498" s="6" t="str">
        <f t="shared" si="699"/>
        <v>19001</v>
      </c>
      <c r="AQ2498" s="6">
        <f t="shared" si="700"/>
        <v>1900</v>
      </c>
      <c r="AR2498" s="6">
        <f t="shared" si="701"/>
        <v>1</v>
      </c>
    </row>
    <row r="2499" spans="2:44" x14ac:dyDescent="0.35">
      <c r="B2499" s="6" t="str">
        <f t="shared" si="684"/>
        <v>19001</v>
      </c>
      <c r="C2499" s="6">
        <f t="shared" si="685"/>
        <v>1900</v>
      </c>
      <c r="D2499" s="6">
        <f t="shared" si="686"/>
        <v>1</v>
      </c>
      <c r="J2499" s="6" t="str">
        <f t="shared" si="687"/>
        <v>19001</v>
      </c>
      <c r="K2499" s="6">
        <f t="shared" si="688"/>
        <v>1900</v>
      </c>
      <c r="L2499" s="6">
        <f t="shared" si="689"/>
        <v>1</v>
      </c>
      <c r="R2499" s="6" t="str">
        <f t="shared" si="690"/>
        <v>19001</v>
      </c>
      <c r="S2499" s="6">
        <f t="shared" si="691"/>
        <v>1900</v>
      </c>
      <c r="T2499" s="6">
        <f t="shared" si="692"/>
        <v>1</v>
      </c>
      <c r="Z2499" s="6" t="str">
        <f t="shared" ca="1" si="693"/>
        <v>202412</v>
      </c>
      <c r="AA2499" s="6">
        <f t="shared" ca="1" si="694"/>
        <v>2024</v>
      </c>
      <c r="AB2499" s="6">
        <f t="shared" ca="1" si="695"/>
        <v>12</v>
      </c>
      <c r="AC2499" s="68">
        <f ca="1">IFERROR(__xludf.DUMMYFUNCTION("""COMPUTED_VALUE"""),45651.9986111111)</f>
        <v>45651.998611111099</v>
      </c>
      <c r="AD2499" s="6">
        <f ca="1">IFERROR(__xludf.DUMMYFUNCTION("""COMPUTED_VALUE"""),1457.61)</f>
        <v>1457.61</v>
      </c>
      <c r="AH2499" s="6" t="str">
        <f t="shared" ca="1" si="696"/>
        <v>202410</v>
      </c>
      <c r="AI2499" s="6">
        <f t="shared" ca="1" si="697"/>
        <v>2024</v>
      </c>
      <c r="AJ2499" s="6">
        <f t="shared" ca="1" si="698"/>
        <v>10</v>
      </c>
      <c r="AK2499" s="68">
        <f ca="1">IFERROR(__xludf.DUMMYFUNCTION("""COMPUTED_VALUE"""),45593.9986111111)</f>
        <v>45593.998611111099</v>
      </c>
      <c r="AL2499" s="6">
        <f ca="1">IFERROR(__xludf.DUMMYFUNCTION("""COMPUTED_VALUE"""),67672.59)</f>
        <v>67672.59</v>
      </c>
      <c r="AP2499" s="6" t="str">
        <f t="shared" si="699"/>
        <v>19001</v>
      </c>
      <c r="AQ2499" s="6">
        <f t="shared" si="700"/>
        <v>1900</v>
      </c>
      <c r="AR2499" s="6">
        <f t="shared" si="701"/>
        <v>1</v>
      </c>
    </row>
    <row r="2500" spans="2:44" x14ac:dyDescent="0.35">
      <c r="B2500" s="6" t="str">
        <f t="shared" si="684"/>
        <v>19001</v>
      </c>
      <c r="C2500" s="6">
        <f t="shared" si="685"/>
        <v>1900</v>
      </c>
      <c r="D2500" s="6">
        <f t="shared" si="686"/>
        <v>1</v>
      </c>
      <c r="J2500" s="6" t="str">
        <f t="shared" si="687"/>
        <v>19001</v>
      </c>
      <c r="K2500" s="6">
        <f t="shared" si="688"/>
        <v>1900</v>
      </c>
      <c r="L2500" s="6">
        <f t="shared" si="689"/>
        <v>1</v>
      </c>
      <c r="R2500" s="6" t="str">
        <f t="shared" si="690"/>
        <v>19001</v>
      </c>
      <c r="S2500" s="6">
        <f t="shared" si="691"/>
        <v>1900</v>
      </c>
      <c r="T2500" s="6">
        <f t="shared" si="692"/>
        <v>1</v>
      </c>
      <c r="Z2500" s="6" t="str">
        <f t="shared" ca="1" si="693"/>
        <v>202412</v>
      </c>
      <c r="AA2500" s="6">
        <f t="shared" ca="1" si="694"/>
        <v>2024</v>
      </c>
      <c r="AB2500" s="6">
        <f t="shared" ca="1" si="695"/>
        <v>12</v>
      </c>
      <c r="AC2500" s="68">
        <f ca="1">IFERROR(__xludf.DUMMYFUNCTION("""COMPUTED_VALUE"""),45652.9986111111)</f>
        <v>45652.998611111099</v>
      </c>
      <c r="AD2500" s="6">
        <f ca="1">IFERROR(__xludf.DUMMYFUNCTION("""COMPUTED_VALUE"""),1466.99)</f>
        <v>1466.99</v>
      </c>
      <c r="AH2500" s="6" t="str">
        <f t="shared" ca="1" si="696"/>
        <v>202410</v>
      </c>
      <c r="AI2500" s="6">
        <f t="shared" ca="1" si="697"/>
        <v>2024</v>
      </c>
      <c r="AJ2500" s="6">
        <f t="shared" ca="1" si="698"/>
        <v>10</v>
      </c>
      <c r="AK2500" s="68">
        <f ca="1">IFERROR(__xludf.DUMMYFUNCTION("""COMPUTED_VALUE"""),45594.9986111111)</f>
        <v>45594.998611111099</v>
      </c>
      <c r="AL2500" s="6">
        <f ca="1">IFERROR(__xludf.DUMMYFUNCTION("""COMPUTED_VALUE"""),70889.45)</f>
        <v>70889.45</v>
      </c>
      <c r="AP2500" s="6" t="str">
        <f t="shared" si="699"/>
        <v>19001</v>
      </c>
      <c r="AQ2500" s="6">
        <f t="shared" si="700"/>
        <v>1900</v>
      </c>
      <c r="AR2500" s="6">
        <f t="shared" si="701"/>
        <v>1</v>
      </c>
    </row>
    <row r="2501" spans="2:44" x14ac:dyDescent="0.35">
      <c r="B2501" s="6" t="str">
        <f t="shared" si="684"/>
        <v>19001</v>
      </c>
      <c r="C2501" s="6">
        <f t="shared" si="685"/>
        <v>1900</v>
      </c>
      <c r="D2501" s="6">
        <f t="shared" si="686"/>
        <v>1</v>
      </c>
      <c r="J2501" s="6" t="str">
        <f t="shared" si="687"/>
        <v>19001</v>
      </c>
      <c r="K2501" s="6">
        <f t="shared" si="688"/>
        <v>1900</v>
      </c>
      <c r="L2501" s="6">
        <f t="shared" si="689"/>
        <v>1</v>
      </c>
      <c r="R2501" s="6" t="str">
        <f t="shared" si="690"/>
        <v>19001</v>
      </c>
      <c r="S2501" s="6">
        <f t="shared" si="691"/>
        <v>1900</v>
      </c>
      <c r="T2501" s="6">
        <f t="shared" si="692"/>
        <v>1</v>
      </c>
      <c r="Z2501" s="6" t="str">
        <f t="shared" ca="1" si="693"/>
        <v>202412</v>
      </c>
      <c r="AA2501" s="6">
        <f t="shared" ca="1" si="694"/>
        <v>2024</v>
      </c>
      <c r="AB2501" s="6">
        <f t="shared" ca="1" si="695"/>
        <v>12</v>
      </c>
      <c r="AC2501" s="68">
        <f ca="1">IFERROR(__xludf.DUMMYFUNCTION("""COMPUTED_VALUE"""),45653.9986111111)</f>
        <v>45653.998611111099</v>
      </c>
      <c r="AD2501" s="6">
        <f ca="1">IFERROR(__xludf.DUMMYFUNCTION("""COMPUTED_VALUE"""),1472.8)</f>
        <v>1472.8</v>
      </c>
      <c r="AH2501" s="6" t="str">
        <f t="shared" ca="1" si="696"/>
        <v>202410</v>
      </c>
      <c r="AI2501" s="6">
        <f t="shared" ca="1" si="697"/>
        <v>2024</v>
      </c>
      <c r="AJ2501" s="6">
        <f t="shared" ca="1" si="698"/>
        <v>10</v>
      </c>
      <c r="AK2501" s="68">
        <f ca="1">IFERROR(__xludf.DUMMYFUNCTION("""COMPUTED_VALUE"""),45595.9986111111)</f>
        <v>45595.998611111099</v>
      </c>
      <c r="AL2501" s="6">
        <f ca="1">IFERROR(__xludf.DUMMYFUNCTION("""COMPUTED_VALUE"""),72185.68)</f>
        <v>72185.679999999993</v>
      </c>
      <c r="AP2501" s="6" t="str">
        <f t="shared" si="699"/>
        <v>19001</v>
      </c>
      <c r="AQ2501" s="6">
        <f t="shared" si="700"/>
        <v>1900</v>
      </c>
      <c r="AR2501" s="6">
        <f t="shared" si="701"/>
        <v>1</v>
      </c>
    </row>
    <row r="2502" spans="2:44" x14ac:dyDescent="0.35">
      <c r="B2502" s="6" t="str">
        <f t="shared" si="684"/>
        <v>19001</v>
      </c>
      <c r="C2502" s="6">
        <f t="shared" si="685"/>
        <v>1900</v>
      </c>
      <c r="D2502" s="6">
        <f t="shared" si="686"/>
        <v>1</v>
      </c>
      <c r="J2502" s="6" t="str">
        <f t="shared" si="687"/>
        <v>19001</v>
      </c>
      <c r="K2502" s="6">
        <f t="shared" si="688"/>
        <v>1900</v>
      </c>
      <c r="L2502" s="6">
        <f t="shared" si="689"/>
        <v>1</v>
      </c>
      <c r="R2502" s="6" t="str">
        <f t="shared" si="690"/>
        <v>19001</v>
      </c>
      <c r="S2502" s="6">
        <f t="shared" si="691"/>
        <v>1900</v>
      </c>
      <c r="T2502" s="6">
        <f t="shared" si="692"/>
        <v>1</v>
      </c>
      <c r="Z2502" s="6" t="str">
        <f t="shared" ca="1" si="693"/>
        <v>202412</v>
      </c>
      <c r="AA2502" s="6">
        <f t="shared" ca="1" si="694"/>
        <v>2024</v>
      </c>
      <c r="AB2502" s="6">
        <f t="shared" ca="1" si="695"/>
        <v>12</v>
      </c>
      <c r="AC2502" s="68">
        <f ca="1">IFERROR(__xludf.DUMMYFUNCTION("""COMPUTED_VALUE"""),45654.9986111111)</f>
        <v>45654.998611111099</v>
      </c>
      <c r="AD2502" s="6">
        <f ca="1">IFERROR(__xludf.DUMMYFUNCTION("""COMPUTED_VALUE"""),1472.8)</f>
        <v>1472.8</v>
      </c>
      <c r="AH2502" s="6" t="str">
        <f t="shared" ca="1" si="696"/>
        <v>202410</v>
      </c>
      <c r="AI2502" s="6">
        <f t="shared" ca="1" si="697"/>
        <v>2024</v>
      </c>
      <c r="AJ2502" s="6">
        <f t="shared" ca="1" si="698"/>
        <v>10</v>
      </c>
      <c r="AK2502" s="68">
        <f ca="1">IFERROR(__xludf.DUMMYFUNCTION("""COMPUTED_VALUE"""),45596.9986111111)</f>
        <v>45596.998611111099</v>
      </c>
      <c r="AL2502" s="6">
        <f ca="1">IFERROR(__xludf.DUMMYFUNCTION("""COMPUTED_VALUE"""),72327.32)</f>
        <v>72327.320000000007</v>
      </c>
      <c r="AP2502" s="6" t="str">
        <f t="shared" si="699"/>
        <v>19001</v>
      </c>
      <c r="AQ2502" s="6">
        <f t="shared" si="700"/>
        <v>1900</v>
      </c>
      <c r="AR2502" s="6">
        <f t="shared" si="701"/>
        <v>1</v>
      </c>
    </row>
    <row r="2503" spans="2:44" x14ac:dyDescent="0.35">
      <c r="B2503" s="6" t="str">
        <f t="shared" ref="B2503:B2566" si="702">C2503&amp;D2503</f>
        <v>19001</v>
      </c>
      <c r="C2503" s="6">
        <f t="shared" ref="C2503:C2566" si="703">YEAR(E2503)</f>
        <v>1900</v>
      </c>
      <c r="D2503" s="6">
        <f t="shared" ref="D2503:D2566" si="704">MONTH(E2503)</f>
        <v>1</v>
      </c>
      <c r="J2503" s="6" t="str">
        <f t="shared" ref="J2503:J2566" si="705">K2503&amp;L2503</f>
        <v>19001</v>
      </c>
      <c r="K2503" s="6">
        <f t="shared" ref="K2503:K2566" si="706">YEAR(M2503)</f>
        <v>1900</v>
      </c>
      <c r="L2503" s="6">
        <f t="shared" ref="L2503:L2566" si="707">MONTH(M2503)</f>
        <v>1</v>
      </c>
      <c r="R2503" s="6" t="str">
        <f t="shared" ref="R2503:R2566" si="708">S2503&amp;T2503</f>
        <v>19001</v>
      </c>
      <c r="S2503" s="6">
        <f t="shared" ref="S2503:S2566" si="709">YEAR(U2503)</f>
        <v>1900</v>
      </c>
      <c r="T2503" s="6">
        <f t="shared" ref="T2503:T2566" si="710">MONTH(U2503)</f>
        <v>1</v>
      </c>
      <c r="Z2503" s="6" t="str">
        <f t="shared" ref="Z2503:Z2566" ca="1" si="711">AA2503&amp;AB2503</f>
        <v>202412</v>
      </c>
      <c r="AA2503" s="6">
        <f t="shared" ref="AA2503:AA2566" ca="1" si="712">YEAR(AC2503)</f>
        <v>2024</v>
      </c>
      <c r="AB2503" s="6">
        <f t="shared" ref="AB2503:AB2566" ca="1" si="713">MONTH(AC2503)</f>
        <v>12</v>
      </c>
      <c r="AC2503" s="68">
        <f ca="1">IFERROR(__xludf.DUMMYFUNCTION("""COMPUTED_VALUE"""),45655.9986111111)</f>
        <v>45655.998611111099</v>
      </c>
      <c r="AD2503" s="6">
        <f ca="1">IFERROR(__xludf.DUMMYFUNCTION("""COMPUTED_VALUE"""),1472.8)</f>
        <v>1472.8</v>
      </c>
      <c r="AH2503" s="6" t="str">
        <f t="shared" ref="AH2503:AH2566" ca="1" si="714">AI2503&amp;AJ2503</f>
        <v>202411</v>
      </c>
      <c r="AI2503" s="6">
        <f t="shared" ref="AI2503:AI2566" ca="1" si="715">YEAR(AK2503)</f>
        <v>2024</v>
      </c>
      <c r="AJ2503" s="6">
        <f t="shared" ref="AJ2503:AJ2566" ca="1" si="716">MONTH(AK2503)</f>
        <v>11</v>
      </c>
      <c r="AK2503" s="68">
        <f ca="1">IFERROR(__xludf.DUMMYFUNCTION("""COMPUTED_VALUE"""),45597.9986111111)</f>
        <v>45597.998611111099</v>
      </c>
      <c r="AL2503" s="6">
        <f ca="1">IFERROR(__xludf.DUMMYFUNCTION("""COMPUTED_VALUE"""),69310.14)</f>
        <v>69310.14</v>
      </c>
      <c r="AP2503" s="6" t="str">
        <f t="shared" ref="AP2503:AP2566" si="717">AQ2503&amp;AR2503</f>
        <v>19001</v>
      </c>
      <c r="AQ2503" s="6">
        <f t="shared" ref="AQ2503:AQ2566" si="718">YEAR(AS2503)</f>
        <v>1900</v>
      </c>
      <c r="AR2503" s="6">
        <f t="shared" ref="AR2503:AR2566" si="719">MONTH(AS2503)</f>
        <v>1</v>
      </c>
    </row>
    <row r="2504" spans="2:44" x14ac:dyDescent="0.35">
      <c r="B2504" s="6" t="str">
        <f t="shared" si="702"/>
        <v>19001</v>
      </c>
      <c r="C2504" s="6">
        <f t="shared" si="703"/>
        <v>1900</v>
      </c>
      <c r="D2504" s="6">
        <f t="shared" si="704"/>
        <v>1</v>
      </c>
      <c r="J2504" s="6" t="str">
        <f t="shared" si="705"/>
        <v>19001</v>
      </c>
      <c r="K2504" s="6">
        <f t="shared" si="706"/>
        <v>1900</v>
      </c>
      <c r="L2504" s="6">
        <f t="shared" si="707"/>
        <v>1</v>
      </c>
      <c r="R2504" s="6" t="str">
        <f t="shared" si="708"/>
        <v>19001</v>
      </c>
      <c r="S2504" s="6">
        <f t="shared" si="709"/>
        <v>1900</v>
      </c>
      <c r="T2504" s="6">
        <f t="shared" si="710"/>
        <v>1</v>
      </c>
      <c r="Z2504" s="6" t="str">
        <f t="shared" ca="1" si="711"/>
        <v>202412</v>
      </c>
      <c r="AA2504" s="6">
        <f t="shared" ca="1" si="712"/>
        <v>2024</v>
      </c>
      <c r="AB2504" s="6">
        <f t="shared" ca="1" si="713"/>
        <v>12</v>
      </c>
      <c r="AC2504" s="68">
        <f ca="1">IFERROR(__xludf.DUMMYFUNCTION("""COMPUTED_VALUE"""),45656.9986111111)</f>
        <v>45656.998611111099</v>
      </c>
      <c r="AD2504" s="6">
        <f ca="1">IFERROR(__xludf.DUMMYFUNCTION("""COMPUTED_VALUE"""),1467.39)</f>
        <v>1467.39</v>
      </c>
      <c r="AH2504" s="6" t="str">
        <f t="shared" ca="1" si="714"/>
        <v>202411</v>
      </c>
      <c r="AI2504" s="6">
        <f t="shared" ca="1" si="715"/>
        <v>2024</v>
      </c>
      <c r="AJ2504" s="6">
        <f t="shared" ca="1" si="716"/>
        <v>11</v>
      </c>
      <c r="AK2504" s="68">
        <f ca="1">IFERROR(__xludf.DUMMYFUNCTION("""COMPUTED_VALUE"""),45598.9986111111)</f>
        <v>45598.998611111099</v>
      </c>
      <c r="AL2504" s="6">
        <f ca="1">IFERROR(__xludf.DUMMYFUNCTION("""COMPUTED_VALUE"""),69621.91)</f>
        <v>69621.91</v>
      </c>
      <c r="AP2504" s="6" t="str">
        <f t="shared" si="717"/>
        <v>19001</v>
      </c>
      <c r="AQ2504" s="6">
        <f t="shared" si="718"/>
        <v>1900</v>
      </c>
      <c r="AR2504" s="6">
        <f t="shared" si="719"/>
        <v>1</v>
      </c>
    </row>
    <row r="2505" spans="2:44" x14ac:dyDescent="0.35">
      <c r="B2505" s="6" t="str">
        <f t="shared" si="702"/>
        <v>19001</v>
      </c>
      <c r="C2505" s="6">
        <f t="shared" si="703"/>
        <v>1900</v>
      </c>
      <c r="D2505" s="6">
        <f t="shared" si="704"/>
        <v>1</v>
      </c>
      <c r="J2505" s="6" t="str">
        <f t="shared" si="705"/>
        <v>19001</v>
      </c>
      <c r="K2505" s="6">
        <f t="shared" si="706"/>
        <v>1900</v>
      </c>
      <c r="L2505" s="6">
        <f t="shared" si="707"/>
        <v>1</v>
      </c>
      <c r="R2505" s="6" t="str">
        <f t="shared" si="708"/>
        <v>19001</v>
      </c>
      <c r="S2505" s="6">
        <f t="shared" si="709"/>
        <v>1900</v>
      </c>
      <c r="T2505" s="6">
        <f t="shared" si="710"/>
        <v>1</v>
      </c>
      <c r="Z2505" s="6" t="str">
        <f t="shared" ca="1" si="711"/>
        <v>202412</v>
      </c>
      <c r="AA2505" s="6">
        <f t="shared" ca="1" si="712"/>
        <v>2024</v>
      </c>
      <c r="AB2505" s="6">
        <f t="shared" ca="1" si="713"/>
        <v>12</v>
      </c>
      <c r="AC2505" s="68">
        <f ca="1">IFERROR(__xludf.DUMMYFUNCTION("""COMPUTED_VALUE"""),45657.9986111111)</f>
        <v>45657.998611111099</v>
      </c>
      <c r="AD2505" s="6">
        <f ca="1">IFERROR(__xludf.DUMMYFUNCTION("""COMPUTED_VALUE"""),1476.69)</f>
        <v>1476.69</v>
      </c>
      <c r="AH2505" s="6" t="str">
        <f t="shared" ca="1" si="714"/>
        <v>202411</v>
      </c>
      <c r="AI2505" s="6">
        <f t="shared" ca="1" si="715"/>
        <v>2024</v>
      </c>
      <c r="AJ2505" s="6">
        <f t="shared" ca="1" si="716"/>
        <v>11</v>
      </c>
      <c r="AK2505" s="68">
        <f ca="1">IFERROR(__xludf.DUMMYFUNCTION("""COMPUTED_VALUE"""),45599.9986111111)</f>
        <v>45599.998611111099</v>
      </c>
      <c r="AL2505" s="6">
        <f ca="1">IFERROR(__xludf.DUMMYFUNCTION("""COMPUTED_VALUE"""),68434.65)</f>
        <v>68434.649999999994</v>
      </c>
      <c r="AP2505" s="6" t="str">
        <f t="shared" si="717"/>
        <v>19001</v>
      </c>
      <c r="AQ2505" s="6">
        <f t="shared" si="718"/>
        <v>1900</v>
      </c>
      <c r="AR2505" s="6">
        <f t="shared" si="719"/>
        <v>1</v>
      </c>
    </row>
    <row r="2506" spans="2:44" x14ac:dyDescent="0.35">
      <c r="B2506" s="6" t="str">
        <f t="shared" si="702"/>
        <v>19001</v>
      </c>
      <c r="C2506" s="6">
        <f t="shared" si="703"/>
        <v>1900</v>
      </c>
      <c r="D2506" s="6">
        <f t="shared" si="704"/>
        <v>1</v>
      </c>
      <c r="J2506" s="6" t="str">
        <f t="shared" si="705"/>
        <v>19001</v>
      </c>
      <c r="K2506" s="6">
        <f t="shared" si="706"/>
        <v>1900</v>
      </c>
      <c r="L2506" s="6">
        <f t="shared" si="707"/>
        <v>1</v>
      </c>
      <c r="R2506" s="6" t="str">
        <f t="shared" si="708"/>
        <v>19001</v>
      </c>
      <c r="S2506" s="6">
        <f t="shared" si="709"/>
        <v>1900</v>
      </c>
      <c r="T2506" s="6">
        <f t="shared" si="710"/>
        <v>1</v>
      </c>
      <c r="Z2506" s="6" t="str">
        <f t="shared" ca="1" si="711"/>
        <v>20251</v>
      </c>
      <c r="AA2506" s="6">
        <f t="shared" ca="1" si="712"/>
        <v>2025</v>
      </c>
      <c r="AB2506" s="6">
        <f t="shared" ca="1" si="713"/>
        <v>1</v>
      </c>
      <c r="AC2506" s="68">
        <f ca="1">IFERROR(__xludf.DUMMYFUNCTION("""COMPUTED_VALUE"""),45658.9986111111)</f>
        <v>45658.998611111099</v>
      </c>
      <c r="AD2506" s="6">
        <f ca="1">IFERROR(__xludf.DUMMYFUNCTION("""COMPUTED_VALUE"""),1473.52)</f>
        <v>1473.52</v>
      </c>
      <c r="AH2506" s="6" t="str">
        <f t="shared" ca="1" si="714"/>
        <v>202411</v>
      </c>
      <c r="AI2506" s="6">
        <f t="shared" ca="1" si="715"/>
        <v>2024</v>
      </c>
      <c r="AJ2506" s="6">
        <f t="shared" ca="1" si="716"/>
        <v>11</v>
      </c>
      <c r="AK2506" s="68">
        <f ca="1">IFERROR(__xludf.DUMMYFUNCTION("""COMPUTED_VALUE"""),45600.9986111111)</f>
        <v>45600.998611111099</v>
      </c>
      <c r="AL2506" s="6">
        <f ca="1">IFERROR(__xludf.DUMMYFUNCTION("""COMPUTED_VALUE"""),69121.93)</f>
        <v>69121.929999999993</v>
      </c>
      <c r="AP2506" s="6" t="str">
        <f t="shared" si="717"/>
        <v>19001</v>
      </c>
      <c r="AQ2506" s="6">
        <f t="shared" si="718"/>
        <v>1900</v>
      </c>
      <c r="AR2506" s="6">
        <f t="shared" si="719"/>
        <v>1</v>
      </c>
    </row>
    <row r="2507" spans="2:44" x14ac:dyDescent="0.35">
      <c r="B2507" s="6" t="str">
        <f t="shared" si="702"/>
        <v>19001</v>
      </c>
      <c r="C2507" s="6">
        <f t="shared" si="703"/>
        <v>1900</v>
      </c>
      <c r="D2507" s="6">
        <f t="shared" si="704"/>
        <v>1</v>
      </c>
      <c r="J2507" s="6" t="str">
        <f t="shared" si="705"/>
        <v>19001</v>
      </c>
      <c r="K2507" s="6">
        <f t="shared" si="706"/>
        <v>1900</v>
      </c>
      <c r="L2507" s="6">
        <f t="shared" si="707"/>
        <v>1</v>
      </c>
      <c r="R2507" s="6" t="str">
        <f t="shared" si="708"/>
        <v>19001</v>
      </c>
      <c r="S2507" s="6">
        <f t="shared" si="709"/>
        <v>1900</v>
      </c>
      <c r="T2507" s="6">
        <f t="shared" si="710"/>
        <v>1</v>
      </c>
      <c r="Z2507" s="6" t="str">
        <f t="shared" ca="1" si="711"/>
        <v>20251</v>
      </c>
      <c r="AA2507" s="6">
        <f t="shared" ca="1" si="712"/>
        <v>2025</v>
      </c>
      <c r="AB2507" s="6">
        <f t="shared" ca="1" si="713"/>
        <v>1</v>
      </c>
      <c r="AC2507" s="68">
        <f ca="1">IFERROR(__xludf.DUMMYFUNCTION("""COMPUTED_VALUE"""),45659.9986111111)</f>
        <v>45659.998611111099</v>
      </c>
      <c r="AD2507" s="6">
        <f ca="1">IFERROR(__xludf.DUMMYFUNCTION("""COMPUTED_VALUE"""),1471.65)</f>
        <v>1471.65</v>
      </c>
      <c r="AH2507" s="6" t="str">
        <f t="shared" ca="1" si="714"/>
        <v>202411</v>
      </c>
      <c r="AI2507" s="6">
        <f t="shared" ca="1" si="715"/>
        <v>2024</v>
      </c>
      <c r="AJ2507" s="6">
        <f t="shared" ca="1" si="716"/>
        <v>11</v>
      </c>
      <c r="AK2507" s="68">
        <f ca="1">IFERROR(__xludf.DUMMYFUNCTION("""COMPUTED_VALUE"""),45601.9986111111)</f>
        <v>45601.998611111099</v>
      </c>
      <c r="AL2507" s="6">
        <f ca="1">IFERROR(__xludf.DUMMYFUNCTION("""COMPUTED_VALUE"""),68317.69)</f>
        <v>68317.69</v>
      </c>
      <c r="AP2507" s="6" t="str">
        <f t="shared" si="717"/>
        <v>19001</v>
      </c>
      <c r="AQ2507" s="6">
        <f t="shared" si="718"/>
        <v>1900</v>
      </c>
      <c r="AR2507" s="6">
        <f t="shared" si="719"/>
        <v>1</v>
      </c>
    </row>
    <row r="2508" spans="2:44" x14ac:dyDescent="0.35">
      <c r="B2508" s="6" t="str">
        <f t="shared" si="702"/>
        <v>19001</v>
      </c>
      <c r="C2508" s="6">
        <f t="shared" si="703"/>
        <v>1900</v>
      </c>
      <c r="D2508" s="6">
        <f t="shared" si="704"/>
        <v>1</v>
      </c>
      <c r="J2508" s="6" t="str">
        <f t="shared" si="705"/>
        <v>19001</v>
      </c>
      <c r="K2508" s="6">
        <f t="shared" si="706"/>
        <v>1900</v>
      </c>
      <c r="L2508" s="6">
        <f t="shared" si="707"/>
        <v>1</v>
      </c>
      <c r="R2508" s="6" t="str">
        <f t="shared" si="708"/>
        <v>19001</v>
      </c>
      <c r="S2508" s="6">
        <f t="shared" si="709"/>
        <v>1900</v>
      </c>
      <c r="T2508" s="6">
        <f t="shared" si="710"/>
        <v>1</v>
      </c>
      <c r="Z2508" s="6" t="str">
        <f t="shared" ca="1" si="711"/>
        <v>20251</v>
      </c>
      <c r="AA2508" s="6">
        <f t="shared" ca="1" si="712"/>
        <v>2025</v>
      </c>
      <c r="AB2508" s="6">
        <f t="shared" ca="1" si="713"/>
        <v>1</v>
      </c>
      <c r="AC2508" s="68">
        <f ca="1">IFERROR(__xludf.DUMMYFUNCTION("""COMPUTED_VALUE"""),45660.9986111111)</f>
        <v>45660.998611111099</v>
      </c>
      <c r="AD2508" s="6">
        <f ca="1">IFERROR(__xludf.DUMMYFUNCTION("""COMPUTED_VALUE"""),1465.53)</f>
        <v>1465.53</v>
      </c>
      <c r="AH2508" s="6" t="str">
        <f t="shared" ca="1" si="714"/>
        <v>202411</v>
      </c>
      <c r="AI2508" s="6">
        <f t="shared" ca="1" si="715"/>
        <v>2024</v>
      </c>
      <c r="AJ2508" s="6">
        <f t="shared" ca="1" si="716"/>
        <v>11</v>
      </c>
      <c r="AK2508" s="68">
        <f ca="1">IFERROR(__xludf.DUMMYFUNCTION("""COMPUTED_VALUE"""),45602.9986111111)</f>
        <v>45602.998611111099</v>
      </c>
      <c r="AL2508" s="6">
        <f ca="1">IFERROR(__xludf.DUMMYFUNCTION("""COMPUTED_VALUE"""),74445.82)</f>
        <v>74445.820000000007</v>
      </c>
      <c r="AP2508" s="6" t="str">
        <f t="shared" si="717"/>
        <v>19001</v>
      </c>
      <c r="AQ2508" s="6">
        <f t="shared" si="718"/>
        <v>1900</v>
      </c>
      <c r="AR2508" s="6">
        <f t="shared" si="719"/>
        <v>1</v>
      </c>
    </row>
    <row r="2509" spans="2:44" x14ac:dyDescent="0.35">
      <c r="B2509" s="6" t="str">
        <f t="shared" si="702"/>
        <v>19001</v>
      </c>
      <c r="C2509" s="6">
        <f t="shared" si="703"/>
        <v>1900</v>
      </c>
      <c r="D2509" s="6">
        <f t="shared" si="704"/>
        <v>1</v>
      </c>
      <c r="J2509" s="6" t="str">
        <f t="shared" si="705"/>
        <v>19001</v>
      </c>
      <c r="K2509" s="6">
        <f t="shared" si="706"/>
        <v>1900</v>
      </c>
      <c r="L2509" s="6">
        <f t="shared" si="707"/>
        <v>1</v>
      </c>
      <c r="R2509" s="6" t="str">
        <f t="shared" si="708"/>
        <v>19001</v>
      </c>
      <c r="S2509" s="6">
        <f t="shared" si="709"/>
        <v>1900</v>
      </c>
      <c r="T2509" s="6">
        <f t="shared" si="710"/>
        <v>1</v>
      </c>
      <c r="Z2509" s="6" t="str">
        <f t="shared" ca="1" si="711"/>
        <v>20251</v>
      </c>
      <c r="AA2509" s="6">
        <f t="shared" ca="1" si="712"/>
        <v>2025</v>
      </c>
      <c r="AB2509" s="6">
        <f t="shared" ca="1" si="713"/>
        <v>1</v>
      </c>
      <c r="AC2509" s="68">
        <f ca="1">IFERROR(__xludf.DUMMYFUNCTION("""COMPUTED_VALUE"""),45661.9986111111)</f>
        <v>45661.998611111099</v>
      </c>
      <c r="AD2509" s="6">
        <f ca="1">IFERROR(__xludf.DUMMYFUNCTION("""COMPUTED_VALUE"""),1465.53)</f>
        <v>1465.53</v>
      </c>
      <c r="AH2509" s="6" t="str">
        <f t="shared" ca="1" si="714"/>
        <v>202411</v>
      </c>
      <c r="AI2509" s="6">
        <f t="shared" ca="1" si="715"/>
        <v>2024</v>
      </c>
      <c r="AJ2509" s="6">
        <f t="shared" ca="1" si="716"/>
        <v>11</v>
      </c>
      <c r="AK2509" s="68">
        <f ca="1">IFERROR(__xludf.DUMMYFUNCTION("""COMPUTED_VALUE"""),45603.9986111111)</f>
        <v>45603.998611111099</v>
      </c>
      <c r="AL2509" s="6">
        <f ca="1">IFERROR(__xludf.DUMMYFUNCTION("""COMPUTED_VALUE"""),74732.36)</f>
        <v>74732.36</v>
      </c>
      <c r="AP2509" s="6" t="str">
        <f t="shared" si="717"/>
        <v>19001</v>
      </c>
      <c r="AQ2509" s="6">
        <f t="shared" si="718"/>
        <v>1900</v>
      </c>
      <c r="AR2509" s="6">
        <f t="shared" si="719"/>
        <v>1</v>
      </c>
    </row>
    <row r="2510" spans="2:44" x14ac:dyDescent="0.35">
      <c r="B2510" s="6" t="str">
        <f t="shared" si="702"/>
        <v>19001</v>
      </c>
      <c r="C2510" s="6">
        <f t="shared" si="703"/>
        <v>1900</v>
      </c>
      <c r="D2510" s="6">
        <f t="shared" si="704"/>
        <v>1</v>
      </c>
      <c r="J2510" s="6" t="str">
        <f t="shared" si="705"/>
        <v>19001</v>
      </c>
      <c r="K2510" s="6">
        <f t="shared" si="706"/>
        <v>1900</v>
      </c>
      <c r="L2510" s="6">
        <f t="shared" si="707"/>
        <v>1</v>
      </c>
      <c r="R2510" s="6" t="str">
        <f t="shared" si="708"/>
        <v>19001</v>
      </c>
      <c r="S2510" s="6">
        <f t="shared" si="709"/>
        <v>1900</v>
      </c>
      <c r="T2510" s="6">
        <f t="shared" si="710"/>
        <v>1</v>
      </c>
      <c r="Z2510" s="6" t="str">
        <f t="shared" ca="1" si="711"/>
        <v>20251</v>
      </c>
      <c r="AA2510" s="6">
        <f t="shared" ca="1" si="712"/>
        <v>2025</v>
      </c>
      <c r="AB2510" s="6">
        <f t="shared" ca="1" si="713"/>
        <v>1</v>
      </c>
      <c r="AC2510" s="68">
        <f ca="1">IFERROR(__xludf.DUMMYFUNCTION("""COMPUTED_VALUE"""),45662.9986111111)</f>
        <v>45662.998611111099</v>
      </c>
      <c r="AD2510" s="6">
        <f ca="1">IFERROR(__xludf.DUMMYFUNCTION("""COMPUTED_VALUE"""),1465.53)</f>
        <v>1465.53</v>
      </c>
      <c r="AH2510" s="6" t="str">
        <f t="shared" ca="1" si="714"/>
        <v>202411</v>
      </c>
      <c r="AI2510" s="6">
        <f t="shared" ca="1" si="715"/>
        <v>2024</v>
      </c>
      <c r="AJ2510" s="6">
        <f t="shared" ca="1" si="716"/>
        <v>11</v>
      </c>
      <c r="AK2510" s="68">
        <f ca="1">IFERROR(__xludf.DUMMYFUNCTION("""COMPUTED_VALUE"""),45604.9986111111)</f>
        <v>45604.998611111099</v>
      </c>
      <c r="AL2510" s="6">
        <f ca="1">IFERROR(__xludf.DUMMYFUNCTION("""COMPUTED_VALUE"""),75883.62)</f>
        <v>75883.62</v>
      </c>
      <c r="AP2510" s="6" t="str">
        <f t="shared" si="717"/>
        <v>19001</v>
      </c>
      <c r="AQ2510" s="6">
        <f t="shared" si="718"/>
        <v>1900</v>
      </c>
      <c r="AR2510" s="6">
        <f t="shared" si="719"/>
        <v>1</v>
      </c>
    </row>
    <row r="2511" spans="2:44" x14ac:dyDescent="0.35">
      <c r="B2511" s="6" t="str">
        <f t="shared" si="702"/>
        <v>19001</v>
      </c>
      <c r="C2511" s="6">
        <f t="shared" si="703"/>
        <v>1900</v>
      </c>
      <c r="D2511" s="6">
        <f t="shared" si="704"/>
        <v>1</v>
      </c>
      <c r="J2511" s="6" t="str">
        <f t="shared" si="705"/>
        <v>19001</v>
      </c>
      <c r="K2511" s="6">
        <f t="shared" si="706"/>
        <v>1900</v>
      </c>
      <c r="L2511" s="6">
        <f t="shared" si="707"/>
        <v>1</v>
      </c>
      <c r="R2511" s="6" t="str">
        <f t="shared" si="708"/>
        <v>19001</v>
      </c>
      <c r="S2511" s="6">
        <f t="shared" si="709"/>
        <v>1900</v>
      </c>
      <c r="T2511" s="6">
        <f t="shared" si="710"/>
        <v>1</v>
      </c>
      <c r="Z2511" s="6" t="str">
        <f t="shared" ca="1" si="711"/>
        <v>20251</v>
      </c>
      <c r="AA2511" s="6">
        <f t="shared" ca="1" si="712"/>
        <v>2025</v>
      </c>
      <c r="AB2511" s="6">
        <f t="shared" ca="1" si="713"/>
        <v>1</v>
      </c>
      <c r="AC2511" s="68">
        <f ca="1">IFERROR(__xludf.DUMMYFUNCTION("""COMPUTED_VALUE"""),45663.9986111111)</f>
        <v>45663.998611111099</v>
      </c>
      <c r="AD2511" s="6">
        <f ca="1">IFERROR(__xludf.DUMMYFUNCTION("""COMPUTED_VALUE"""),1459.45)</f>
        <v>1459.45</v>
      </c>
      <c r="AH2511" s="6" t="str">
        <f t="shared" ca="1" si="714"/>
        <v>202411</v>
      </c>
      <c r="AI2511" s="6">
        <f t="shared" ca="1" si="715"/>
        <v>2024</v>
      </c>
      <c r="AJ2511" s="6">
        <f t="shared" ca="1" si="716"/>
        <v>11</v>
      </c>
      <c r="AK2511" s="68">
        <f ca="1">IFERROR(__xludf.DUMMYFUNCTION("""COMPUTED_VALUE"""),45605.9986111111)</f>
        <v>45605.998611111099</v>
      </c>
      <c r="AL2511" s="6">
        <f ca="1">IFERROR(__xludf.DUMMYFUNCTION("""COMPUTED_VALUE"""),76413.14)</f>
        <v>76413.14</v>
      </c>
      <c r="AP2511" s="6" t="str">
        <f t="shared" si="717"/>
        <v>19001</v>
      </c>
      <c r="AQ2511" s="6">
        <f t="shared" si="718"/>
        <v>1900</v>
      </c>
      <c r="AR2511" s="6">
        <f t="shared" si="719"/>
        <v>1</v>
      </c>
    </row>
    <row r="2512" spans="2:44" x14ac:dyDescent="0.35">
      <c r="B2512" s="6" t="str">
        <f t="shared" si="702"/>
        <v>19001</v>
      </c>
      <c r="C2512" s="6">
        <f t="shared" si="703"/>
        <v>1900</v>
      </c>
      <c r="D2512" s="6">
        <f t="shared" si="704"/>
        <v>1</v>
      </c>
      <c r="J2512" s="6" t="str">
        <f t="shared" si="705"/>
        <v>19001</v>
      </c>
      <c r="K2512" s="6">
        <f t="shared" si="706"/>
        <v>1900</v>
      </c>
      <c r="L2512" s="6">
        <f t="shared" si="707"/>
        <v>1</v>
      </c>
      <c r="R2512" s="6" t="str">
        <f t="shared" si="708"/>
        <v>19001</v>
      </c>
      <c r="S2512" s="6">
        <f t="shared" si="709"/>
        <v>1900</v>
      </c>
      <c r="T2512" s="6">
        <f t="shared" si="710"/>
        <v>1</v>
      </c>
      <c r="Z2512" s="6" t="str">
        <f t="shared" ca="1" si="711"/>
        <v>20251</v>
      </c>
      <c r="AA2512" s="6">
        <f t="shared" ca="1" si="712"/>
        <v>2025</v>
      </c>
      <c r="AB2512" s="6">
        <f t="shared" ca="1" si="713"/>
        <v>1</v>
      </c>
      <c r="AC2512" s="68">
        <f ca="1">IFERROR(__xludf.DUMMYFUNCTION("""COMPUTED_VALUE"""),45664.9986111111)</f>
        <v>45664.998611111099</v>
      </c>
      <c r="AD2512" s="6">
        <f ca="1">IFERROR(__xludf.DUMMYFUNCTION("""COMPUTED_VALUE"""),1451.88)</f>
        <v>1451.88</v>
      </c>
      <c r="AH2512" s="6" t="str">
        <f t="shared" ca="1" si="714"/>
        <v>202411</v>
      </c>
      <c r="AI2512" s="6">
        <f t="shared" ca="1" si="715"/>
        <v>2024</v>
      </c>
      <c r="AJ2512" s="6">
        <f t="shared" ca="1" si="716"/>
        <v>11</v>
      </c>
      <c r="AK2512" s="68">
        <f ca="1">IFERROR(__xludf.DUMMYFUNCTION("""COMPUTED_VALUE"""),45606.9986111111)</f>
        <v>45606.998611111099</v>
      </c>
      <c r="AL2512" s="6">
        <f ca="1">IFERROR(__xludf.DUMMYFUNCTION("""COMPUTED_VALUE"""),78990.8)</f>
        <v>78990.8</v>
      </c>
      <c r="AP2512" s="6" t="str">
        <f t="shared" si="717"/>
        <v>19001</v>
      </c>
      <c r="AQ2512" s="6">
        <f t="shared" si="718"/>
        <v>1900</v>
      </c>
      <c r="AR2512" s="6">
        <f t="shared" si="719"/>
        <v>1</v>
      </c>
    </row>
    <row r="2513" spans="2:44" x14ac:dyDescent="0.35">
      <c r="B2513" s="6" t="str">
        <f t="shared" si="702"/>
        <v>19001</v>
      </c>
      <c r="C2513" s="6">
        <f t="shared" si="703"/>
        <v>1900</v>
      </c>
      <c r="D2513" s="6">
        <f t="shared" si="704"/>
        <v>1</v>
      </c>
      <c r="J2513" s="6" t="str">
        <f t="shared" si="705"/>
        <v>19001</v>
      </c>
      <c r="K2513" s="6">
        <f t="shared" si="706"/>
        <v>1900</v>
      </c>
      <c r="L2513" s="6">
        <f t="shared" si="707"/>
        <v>1</v>
      </c>
      <c r="R2513" s="6" t="str">
        <f t="shared" si="708"/>
        <v>19001</v>
      </c>
      <c r="S2513" s="6">
        <f t="shared" si="709"/>
        <v>1900</v>
      </c>
      <c r="T2513" s="6">
        <f t="shared" si="710"/>
        <v>1</v>
      </c>
      <c r="Z2513" s="6" t="str">
        <f t="shared" ca="1" si="711"/>
        <v>20251</v>
      </c>
      <c r="AA2513" s="6">
        <f t="shared" ca="1" si="712"/>
        <v>2025</v>
      </c>
      <c r="AB2513" s="6">
        <f t="shared" ca="1" si="713"/>
        <v>1</v>
      </c>
      <c r="AC2513" s="68">
        <f ca="1">IFERROR(__xludf.DUMMYFUNCTION("""COMPUTED_VALUE"""),45665.9986111111)</f>
        <v>45665.998611111099</v>
      </c>
      <c r="AD2513" s="6">
        <f ca="1">IFERROR(__xludf.DUMMYFUNCTION("""COMPUTED_VALUE"""),1457.97)</f>
        <v>1457.97</v>
      </c>
      <c r="AH2513" s="6" t="str">
        <f t="shared" ca="1" si="714"/>
        <v>202411</v>
      </c>
      <c r="AI2513" s="6">
        <f t="shared" ca="1" si="715"/>
        <v>2024</v>
      </c>
      <c r="AJ2513" s="6">
        <f t="shared" ca="1" si="716"/>
        <v>11</v>
      </c>
      <c r="AK2513" s="68">
        <f ca="1">IFERROR(__xludf.DUMMYFUNCTION("""COMPUTED_VALUE"""),45607.9986111111)</f>
        <v>45607.998611111099</v>
      </c>
      <c r="AL2513" s="6">
        <f ca="1">IFERROR(__xludf.DUMMYFUNCTION("""COMPUTED_VALUE"""),81483.31)</f>
        <v>81483.31</v>
      </c>
      <c r="AP2513" s="6" t="str">
        <f t="shared" si="717"/>
        <v>19001</v>
      </c>
      <c r="AQ2513" s="6">
        <f t="shared" si="718"/>
        <v>1900</v>
      </c>
      <c r="AR2513" s="6">
        <f t="shared" si="719"/>
        <v>1</v>
      </c>
    </row>
    <row r="2514" spans="2:44" x14ac:dyDescent="0.35">
      <c r="B2514" s="6" t="str">
        <f t="shared" si="702"/>
        <v>19001</v>
      </c>
      <c r="C2514" s="6">
        <f t="shared" si="703"/>
        <v>1900</v>
      </c>
      <c r="D2514" s="6">
        <f t="shared" si="704"/>
        <v>1</v>
      </c>
      <c r="J2514" s="6" t="str">
        <f t="shared" si="705"/>
        <v>19001</v>
      </c>
      <c r="K2514" s="6">
        <f t="shared" si="706"/>
        <v>1900</v>
      </c>
      <c r="L2514" s="6">
        <f t="shared" si="707"/>
        <v>1</v>
      </c>
      <c r="R2514" s="6" t="str">
        <f t="shared" si="708"/>
        <v>19001</v>
      </c>
      <c r="S2514" s="6">
        <f t="shared" si="709"/>
        <v>1900</v>
      </c>
      <c r="T2514" s="6">
        <f t="shared" si="710"/>
        <v>1</v>
      </c>
      <c r="Z2514" s="6" t="str">
        <f t="shared" ca="1" si="711"/>
        <v>20251</v>
      </c>
      <c r="AA2514" s="6">
        <f t="shared" ca="1" si="712"/>
        <v>2025</v>
      </c>
      <c r="AB2514" s="6">
        <f t="shared" ca="1" si="713"/>
        <v>1</v>
      </c>
      <c r="AC2514" s="68">
        <f ca="1">IFERROR(__xludf.DUMMYFUNCTION("""COMPUTED_VALUE"""),45666.9986111111)</f>
        <v>45666.998611111099</v>
      </c>
      <c r="AD2514" s="6">
        <f ca="1">IFERROR(__xludf.DUMMYFUNCTION("""COMPUTED_VALUE"""),1455.23)</f>
        <v>1455.23</v>
      </c>
      <c r="AH2514" s="6" t="str">
        <f t="shared" ca="1" si="714"/>
        <v>202411</v>
      </c>
      <c r="AI2514" s="6">
        <f t="shared" ca="1" si="715"/>
        <v>2024</v>
      </c>
      <c r="AJ2514" s="6">
        <f t="shared" ca="1" si="716"/>
        <v>11</v>
      </c>
      <c r="AK2514" s="68">
        <f ca="1">IFERROR(__xludf.DUMMYFUNCTION("""COMPUTED_VALUE"""),45608.9986111111)</f>
        <v>45608.998611111099</v>
      </c>
      <c r="AL2514" s="6">
        <f ca="1">IFERROR(__xludf.DUMMYFUNCTION("""COMPUTED_VALUE"""),88470.49)</f>
        <v>88470.49</v>
      </c>
      <c r="AP2514" s="6" t="str">
        <f t="shared" si="717"/>
        <v>19001</v>
      </c>
      <c r="AQ2514" s="6">
        <f t="shared" si="718"/>
        <v>1900</v>
      </c>
      <c r="AR2514" s="6">
        <f t="shared" si="719"/>
        <v>1</v>
      </c>
    </row>
    <row r="2515" spans="2:44" x14ac:dyDescent="0.35">
      <c r="B2515" s="6" t="str">
        <f t="shared" si="702"/>
        <v>19001</v>
      </c>
      <c r="C2515" s="6">
        <f t="shared" si="703"/>
        <v>1900</v>
      </c>
      <c r="D2515" s="6">
        <f t="shared" si="704"/>
        <v>1</v>
      </c>
      <c r="J2515" s="6" t="str">
        <f t="shared" si="705"/>
        <v>19001</v>
      </c>
      <c r="K2515" s="6">
        <f t="shared" si="706"/>
        <v>1900</v>
      </c>
      <c r="L2515" s="6">
        <f t="shared" si="707"/>
        <v>1</v>
      </c>
      <c r="R2515" s="6" t="str">
        <f t="shared" si="708"/>
        <v>19001</v>
      </c>
      <c r="S2515" s="6">
        <f t="shared" si="709"/>
        <v>1900</v>
      </c>
      <c r="T2515" s="6">
        <f t="shared" si="710"/>
        <v>1</v>
      </c>
      <c r="Z2515" s="6" t="str">
        <f t="shared" ca="1" si="711"/>
        <v>20251</v>
      </c>
      <c r="AA2515" s="6">
        <f t="shared" ca="1" si="712"/>
        <v>2025</v>
      </c>
      <c r="AB2515" s="6">
        <f t="shared" ca="1" si="713"/>
        <v>1</v>
      </c>
      <c r="AC2515" s="68">
        <f ca="1">IFERROR(__xludf.DUMMYFUNCTION("""COMPUTED_VALUE"""),45667.9986111111)</f>
        <v>45667.998611111099</v>
      </c>
      <c r="AD2515" s="6">
        <f ca="1">IFERROR(__xludf.DUMMYFUNCTION("""COMPUTED_VALUE"""),1472.25)</f>
        <v>1472.25</v>
      </c>
      <c r="AH2515" s="6" t="str">
        <f t="shared" ca="1" si="714"/>
        <v>202411</v>
      </c>
      <c r="AI2515" s="6">
        <f t="shared" ca="1" si="715"/>
        <v>2024</v>
      </c>
      <c r="AJ2515" s="6">
        <f t="shared" ca="1" si="716"/>
        <v>11</v>
      </c>
      <c r="AK2515" s="68">
        <f ca="1">IFERROR(__xludf.DUMMYFUNCTION("""COMPUTED_VALUE"""),45609.9986111111)</f>
        <v>45609.998611111099</v>
      </c>
      <c r="AL2515" s="6">
        <f ca="1">IFERROR(__xludf.DUMMYFUNCTION("""COMPUTED_VALUE"""),87125.45)</f>
        <v>87125.45</v>
      </c>
      <c r="AP2515" s="6" t="str">
        <f t="shared" si="717"/>
        <v>19001</v>
      </c>
      <c r="AQ2515" s="6">
        <f t="shared" si="718"/>
        <v>1900</v>
      </c>
      <c r="AR2515" s="6">
        <f t="shared" si="719"/>
        <v>1</v>
      </c>
    </row>
    <row r="2516" spans="2:44" x14ac:dyDescent="0.35">
      <c r="B2516" s="6" t="str">
        <f t="shared" si="702"/>
        <v>19001</v>
      </c>
      <c r="C2516" s="6">
        <f t="shared" si="703"/>
        <v>1900</v>
      </c>
      <c r="D2516" s="6">
        <f t="shared" si="704"/>
        <v>1</v>
      </c>
      <c r="J2516" s="6" t="str">
        <f t="shared" si="705"/>
        <v>19001</v>
      </c>
      <c r="K2516" s="6">
        <f t="shared" si="706"/>
        <v>1900</v>
      </c>
      <c r="L2516" s="6">
        <f t="shared" si="707"/>
        <v>1</v>
      </c>
      <c r="R2516" s="6" t="str">
        <f t="shared" si="708"/>
        <v>19001</v>
      </c>
      <c r="S2516" s="6">
        <f t="shared" si="709"/>
        <v>1900</v>
      </c>
      <c r="T2516" s="6">
        <f t="shared" si="710"/>
        <v>1</v>
      </c>
      <c r="Z2516" s="6" t="str">
        <f t="shared" ca="1" si="711"/>
        <v>20251</v>
      </c>
      <c r="AA2516" s="6">
        <f t="shared" ca="1" si="712"/>
        <v>2025</v>
      </c>
      <c r="AB2516" s="6">
        <f t="shared" ca="1" si="713"/>
        <v>1</v>
      </c>
      <c r="AC2516" s="68">
        <f ca="1">IFERROR(__xludf.DUMMYFUNCTION("""COMPUTED_VALUE"""),45668.9986111111)</f>
        <v>45668.998611111099</v>
      </c>
      <c r="AD2516" s="6">
        <f ca="1">IFERROR(__xludf.DUMMYFUNCTION("""COMPUTED_VALUE"""),1472.25)</f>
        <v>1472.25</v>
      </c>
      <c r="AH2516" s="6" t="str">
        <f t="shared" ca="1" si="714"/>
        <v>202411</v>
      </c>
      <c r="AI2516" s="6">
        <f t="shared" ca="1" si="715"/>
        <v>2024</v>
      </c>
      <c r="AJ2516" s="6">
        <f t="shared" ca="1" si="716"/>
        <v>11</v>
      </c>
      <c r="AK2516" s="68">
        <f ca="1">IFERROR(__xludf.DUMMYFUNCTION("""COMPUTED_VALUE"""),45610.9986111111)</f>
        <v>45610.998611111099</v>
      </c>
      <c r="AL2516" s="6">
        <f ca="1">IFERROR(__xludf.DUMMYFUNCTION("""COMPUTED_VALUE"""),90107.27)</f>
        <v>90107.27</v>
      </c>
      <c r="AP2516" s="6" t="str">
        <f t="shared" si="717"/>
        <v>19001</v>
      </c>
      <c r="AQ2516" s="6">
        <f t="shared" si="718"/>
        <v>1900</v>
      </c>
      <c r="AR2516" s="6">
        <f t="shared" si="719"/>
        <v>1</v>
      </c>
    </row>
    <row r="2517" spans="2:44" x14ac:dyDescent="0.35">
      <c r="B2517" s="6" t="str">
        <f t="shared" si="702"/>
        <v>19001</v>
      </c>
      <c r="C2517" s="6">
        <f t="shared" si="703"/>
        <v>1900</v>
      </c>
      <c r="D2517" s="6">
        <f t="shared" si="704"/>
        <v>1</v>
      </c>
      <c r="J2517" s="6" t="str">
        <f t="shared" si="705"/>
        <v>19001</v>
      </c>
      <c r="K2517" s="6">
        <f t="shared" si="706"/>
        <v>1900</v>
      </c>
      <c r="L2517" s="6">
        <f t="shared" si="707"/>
        <v>1</v>
      </c>
      <c r="R2517" s="6" t="str">
        <f t="shared" si="708"/>
        <v>19001</v>
      </c>
      <c r="S2517" s="6">
        <f t="shared" si="709"/>
        <v>1900</v>
      </c>
      <c r="T2517" s="6">
        <f t="shared" si="710"/>
        <v>1</v>
      </c>
      <c r="Z2517" s="6" t="str">
        <f t="shared" ca="1" si="711"/>
        <v>20251</v>
      </c>
      <c r="AA2517" s="6">
        <f t="shared" ca="1" si="712"/>
        <v>2025</v>
      </c>
      <c r="AB2517" s="6">
        <f t="shared" ca="1" si="713"/>
        <v>1</v>
      </c>
      <c r="AC2517" s="68">
        <f ca="1">IFERROR(__xludf.DUMMYFUNCTION("""COMPUTED_VALUE"""),45669.9986111111)</f>
        <v>45669.998611111099</v>
      </c>
      <c r="AD2517" s="6">
        <f ca="1">IFERROR(__xludf.DUMMYFUNCTION("""COMPUTED_VALUE"""),1472.25)</f>
        <v>1472.25</v>
      </c>
      <c r="AH2517" s="6" t="str">
        <f t="shared" ca="1" si="714"/>
        <v>202411</v>
      </c>
      <c r="AI2517" s="6">
        <f t="shared" ca="1" si="715"/>
        <v>2024</v>
      </c>
      <c r="AJ2517" s="6">
        <f t="shared" ca="1" si="716"/>
        <v>11</v>
      </c>
      <c r="AK2517" s="68">
        <f ca="1">IFERROR(__xludf.DUMMYFUNCTION("""COMPUTED_VALUE"""),45611.9986111111)</f>
        <v>45611.998611111099</v>
      </c>
      <c r="AL2517" s="6">
        <f ca="1">IFERROR(__xludf.DUMMYFUNCTION("""COMPUTED_VALUE"""),87426.22)</f>
        <v>87426.22</v>
      </c>
      <c r="AP2517" s="6" t="str">
        <f t="shared" si="717"/>
        <v>19001</v>
      </c>
      <c r="AQ2517" s="6">
        <f t="shared" si="718"/>
        <v>1900</v>
      </c>
      <c r="AR2517" s="6">
        <f t="shared" si="719"/>
        <v>1</v>
      </c>
    </row>
    <row r="2518" spans="2:44" x14ac:dyDescent="0.35">
      <c r="B2518" s="6" t="str">
        <f t="shared" si="702"/>
        <v>19001</v>
      </c>
      <c r="C2518" s="6">
        <f t="shared" si="703"/>
        <v>1900</v>
      </c>
      <c r="D2518" s="6">
        <f t="shared" si="704"/>
        <v>1</v>
      </c>
      <c r="J2518" s="6" t="str">
        <f t="shared" si="705"/>
        <v>19001</v>
      </c>
      <c r="K2518" s="6">
        <f t="shared" si="706"/>
        <v>1900</v>
      </c>
      <c r="L2518" s="6">
        <f t="shared" si="707"/>
        <v>1</v>
      </c>
      <c r="R2518" s="6" t="str">
        <f t="shared" si="708"/>
        <v>19001</v>
      </c>
      <c r="S2518" s="6">
        <f t="shared" si="709"/>
        <v>1900</v>
      </c>
      <c r="T2518" s="6">
        <f t="shared" si="710"/>
        <v>1</v>
      </c>
      <c r="Z2518" s="6" t="str">
        <f t="shared" ca="1" si="711"/>
        <v>20251</v>
      </c>
      <c r="AA2518" s="6">
        <f t="shared" ca="1" si="712"/>
        <v>2025</v>
      </c>
      <c r="AB2518" s="6">
        <f t="shared" ca="1" si="713"/>
        <v>1</v>
      </c>
      <c r="AC2518" s="68">
        <f ca="1">IFERROR(__xludf.DUMMYFUNCTION("""COMPUTED_VALUE"""),45670.9986111111)</f>
        <v>45670.998611111099</v>
      </c>
      <c r="AD2518" s="6">
        <f ca="1">IFERROR(__xludf.DUMMYFUNCTION("""COMPUTED_VALUE"""),1458.89)</f>
        <v>1458.89</v>
      </c>
      <c r="AH2518" s="6" t="str">
        <f t="shared" ca="1" si="714"/>
        <v>202411</v>
      </c>
      <c r="AI2518" s="6">
        <f t="shared" ca="1" si="715"/>
        <v>2024</v>
      </c>
      <c r="AJ2518" s="6">
        <f t="shared" ca="1" si="716"/>
        <v>11</v>
      </c>
      <c r="AK2518" s="68">
        <f ca="1">IFERROR(__xludf.DUMMYFUNCTION("""COMPUTED_VALUE"""),45612.9986111111)</f>
        <v>45612.998611111099</v>
      </c>
      <c r="AL2518" s="6">
        <f ca="1">IFERROR(__xludf.DUMMYFUNCTION("""COMPUTED_VALUE"""),91278.47)</f>
        <v>91278.47</v>
      </c>
      <c r="AP2518" s="6" t="str">
        <f t="shared" si="717"/>
        <v>19001</v>
      </c>
      <c r="AQ2518" s="6">
        <f t="shared" si="718"/>
        <v>1900</v>
      </c>
      <c r="AR2518" s="6">
        <f t="shared" si="719"/>
        <v>1</v>
      </c>
    </row>
    <row r="2519" spans="2:44" x14ac:dyDescent="0.35">
      <c r="B2519" s="6" t="str">
        <f t="shared" si="702"/>
        <v>19001</v>
      </c>
      <c r="C2519" s="6">
        <f t="shared" si="703"/>
        <v>1900</v>
      </c>
      <c r="D2519" s="6">
        <f t="shared" si="704"/>
        <v>1</v>
      </c>
      <c r="J2519" s="6" t="str">
        <f t="shared" si="705"/>
        <v>19001</v>
      </c>
      <c r="K2519" s="6">
        <f t="shared" si="706"/>
        <v>1900</v>
      </c>
      <c r="L2519" s="6">
        <f t="shared" si="707"/>
        <v>1</v>
      </c>
      <c r="R2519" s="6" t="str">
        <f t="shared" si="708"/>
        <v>19001</v>
      </c>
      <c r="S2519" s="6">
        <f t="shared" si="709"/>
        <v>1900</v>
      </c>
      <c r="T2519" s="6">
        <f t="shared" si="710"/>
        <v>1</v>
      </c>
      <c r="Z2519" s="6" t="str">
        <f t="shared" ca="1" si="711"/>
        <v>20251</v>
      </c>
      <c r="AA2519" s="6">
        <f t="shared" ca="1" si="712"/>
        <v>2025</v>
      </c>
      <c r="AB2519" s="6">
        <f t="shared" ca="1" si="713"/>
        <v>1</v>
      </c>
      <c r="AC2519" s="68">
        <f ca="1">IFERROR(__xludf.DUMMYFUNCTION("""COMPUTED_VALUE"""),45671.9986111111)</f>
        <v>45671.998611111099</v>
      </c>
      <c r="AD2519" s="6">
        <f ca="1">IFERROR(__xludf.DUMMYFUNCTION("""COMPUTED_VALUE"""),1460.03)</f>
        <v>1460.03</v>
      </c>
      <c r="AH2519" s="6" t="str">
        <f t="shared" ca="1" si="714"/>
        <v>202411</v>
      </c>
      <c r="AI2519" s="6">
        <f t="shared" ca="1" si="715"/>
        <v>2024</v>
      </c>
      <c r="AJ2519" s="6">
        <f t="shared" ca="1" si="716"/>
        <v>11</v>
      </c>
      <c r="AK2519" s="68">
        <f ca="1">IFERROR(__xludf.DUMMYFUNCTION("""COMPUTED_VALUE"""),45613.9986111111)</f>
        <v>45613.998611111099</v>
      </c>
      <c r="AL2519" s="6">
        <f ca="1">IFERROR(__xludf.DUMMYFUNCTION("""COMPUTED_VALUE"""),90318.17)</f>
        <v>90318.17</v>
      </c>
      <c r="AP2519" s="6" t="str">
        <f t="shared" si="717"/>
        <v>19001</v>
      </c>
      <c r="AQ2519" s="6">
        <f t="shared" si="718"/>
        <v>1900</v>
      </c>
      <c r="AR2519" s="6">
        <f t="shared" si="719"/>
        <v>1</v>
      </c>
    </row>
    <row r="2520" spans="2:44" x14ac:dyDescent="0.35">
      <c r="B2520" s="6" t="str">
        <f t="shared" si="702"/>
        <v>19001</v>
      </c>
      <c r="C2520" s="6">
        <f t="shared" si="703"/>
        <v>1900</v>
      </c>
      <c r="D2520" s="6">
        <f t="shared" si="704"/>
        <v>1</v>
      </c>
      <c r="J2520" s="6" t="str">
        <f t="shared" si="705"/>
        <v>19001</v>
      </c>
      <c r="K2520" s="6">
        <f t="shared" si="706"/>
        <v>1900</v>
      </c>
      <c r="L2520" s="6">
        <f t="shared" si="707"/>
        <v>1</v>
      </c>
      <c r="R2520" s="6" t="str">
        <f t="shared" si="708"/>
        <v>19001</v>
      </c>
      <c r="S2520" s="6">
        <f t="shared" si="709"/>
        <v>1900</v>
      </c>
      <c r="T2520" s="6">
        <f t="shared" si="710"/>
        <v>1</v>
      </c>
      <c r="Z2520" s="6" t="str">
        <f t="shared" ca="1" si="711"/>
        <v>20251</v>
      </c>
      <c r="AA2520" s="6">
        <f t="shared" ca="1" si="712"/>
        <v>2025</v>
      </c>
      <c r="AB2520" s="6">
        <f t="shared" ca="1" si="713"/>
        <v>1</v>
      </c>
      <c r="AC2520" s="68">
        <f ca="1">IFERROR(__xludf.DUMMYFUNCTION("""COMPUTED_VALUE"""),45672.9986111111)</f>
        <v>45672.998611111099</v>
      </c>
      <c r="AD2520" s="6">
        <f ca="1">IFERROR(__xludf.DUMMYFUNCTION("""COMPUTED_VALUE"""),1437.22)</f>
        <v>1437.22</v>
      </c>
      <c r="AH2520" s="6" t="str">
        <f t="shared" ca="1" si="714"/>
        <v>202411</v>
      </c>
      <c r="AI2520" s="6">
        <f t="shared" ca="1" si="715"/>
        <v>2024</v>
      </c>
      <c r="AJ2520" s="6">
        <f t="shared" ca="1" si="716"/>
        <v>11</v>
      </c>
      <c r="AK2520" s="68">
        <f ca="1">IFERROR(__xludf.DUMMYFUNCTION("""COMPUTED_VALUE"""),45614.9986111111)</f>
        <v>45614.998611111099</v>
      </c>
      <c r="AL2520" s="6">
        <f ca="1">IFERROR(__xludf.DUMMYFUNCTION("""COMPUTED_VALUE"""),90449.91)</f>
        <v>90449.91</v>
      </c>
      <c r="AP2520" s="6" t="str">
        <f t="shared" si="717"/>
        <v>19001</v>
      </c>
      <c r="AQ2520" s="6">
        <f t="shared" si="718"/>
        <v>1900</v>
      </c>
      <c r="AR2520" s="6">
        <f t="shared" si="719"/>
        <v>1</v>
      </c>
    </row>
    <row r="2521" spans="2:44" x14ac:dyDescent="0.35">
      <c r="B2521" s="6" t="str">
        <f t="shared" si="702"/>
        <v>19001</v>
      </c>
      <c r="C2521" s="6">
        <f t="shared" si="703"/>
        <v>1900</v>
      </c>
      <c r="D2521" s="6">
        <f t="shared" si="704"/>
        <v>1</v>
      </c>
      <c r="J2521" s="6" t="str">
        <f t="shared" si="705"/>
        <v>19001</v>
      </c>
      <c r="K2521" s="6">
        <f t="shared" si="706"/>
        <v>1900</v>
      </c>
      <c r="L2521" s="6">
        <f t="shared" si="707"/>
        <v>1</v>
      </c>
      <c r="R2521" s="6" t="str">
        <f t="shared" si="708"/>
        <v>19001</v>
      </c>
      <c r="S2521" s="6">
        <f t="shared" si="709"/>
        <v>1900</v>
      </c>
      <c r="T2521" s="6">
        <f t="shared" si="710"/>
        <v>1</v>
      </c>
      <c r="Z2521" s="6" t="str">
        <f t="shared" ca="1" si="711"/>
        <v>20251</v>
      </c>
      <c r="AA2521" s="6">
        <f t="shared" ca="1" si="712"/>
        <v>2025</v>
      </c>
      <c r="AB2521" s="6">
        <f t="shared" ca="1" si="713"/>
        <v>1</v>
      </c>
      <c r="AC2521" s="68">
        <f ca="1">IFERROR(__xludf.DUMMYFUNCTION("""COMPUTED_VALUE"""),45673.9986111111)</f>
        <v>45673.998611111099</v>
      </c>
      <c r="AD2521" s="6">
        <f ca="1">IFERROR(__xludf.DUMMYFUNCTION("""COMPUTED_VALUE"""),1453.32)</f>
        <v>1453.32</v>
      </c>
      <c r="AH2521" s="6" t="str">
        <f t="shared" ca="1" si="714"/>
        <v>202411</v>
      </c>
      <c r="AI2521" s="6">
        <f t="shared" ca="1" si="715"/>
        <v>2024</v>
      </c>
      <c r="AJ2521" s="6">
        <f t="shared" ca="1" si="716"/>
        <v>11</v>
      </c>
      <c r="AK2521" s="68">
        <f ca="1">IFERROR(__xludf.DUMMYFUNCTION("""COMPUTED_VALUE"""),45615.9986111111)</f>
        <v>45615.998611111099</v>
      </c>
      <c r="AL2521" s="6">
        <f ca="1">IFERROR(__xludf.DUMMYFUNCTION("""COMPUTED_VALUE"""),91546.89)</f>
        <v>91546.89</v>
      </c>
      <c r="AP2521" s="6" t="str">
        <f t="shared" si="717"/>
        <v>19001</v>
      </c>
      <c r="AQ2521" s="6">
        <f t="shared" si="718"/>
        <v>1900</v>
      </c>
      <c r="AR2521" s="6">
        <f t="shared" si="719"/>
        <v>1</v>
      </c>
    </row>
    <row r="2522" spans="2:44" x14ac:dyDescent="0.35">
      <c r="B2522" s="6" t="str">
        <f t="shared" si="702"/>
        <v>19001</v>
      </c>
      <c r="C2522" s="6">
        <f t="shared" si="703"/>
        <v>1900</v>
      </c>
      <c r="D2522" s="6">
        <f t="shared" si="704"/>
        <v>1</v>
      </c>
      <c r="J2522" s="6" t="str">
        <f t="shared" si="705"/>
        <v>19001</v>
      </c>
      <c r="K2522" s="6">
        <f t="shared" si="706"/>
        <v>1900</v>
      </c>
      <c r="L2522" s="6">
        <f t="shared" si="707"/>
        <v>1</v>
      </c>
      <c r="R2522" s="6" t="str">
        <f t="shared" si="708"/>
        <v>19001</v>
      </c>
      <c r="S2522" s="6">
        <f t="shared" si="709"/>
        <v>1900</v>
      </c>
      <c r="T2522" s="6">
        <f t="shared" si="710"/>
        <v>1</v>
      </c>
      <c r="Z2522" s="6" t="str">
        <f t="shared" ca="1" si="711"/>
        <v>20251</v>
      </c>
      <c r="AA2522" s="6">
        <f t="shared" ca="1" si="712"/>
        <v>2025</v>
      </c>
      <c r="AB2522" s="6">
        <f t="shared" ca="1" si="713"/>
        <v>1</v>
      </c>
      <c r="AC2522" s="68">
        <f ca="1">IFERROR(__xludf.DUMMYFUNCTION("""COMPUTED_VALUE"""),45674.9986111111)</f>
        <v>45674.998611111099</v>
      </c>
      <c r="AD2522" s="6">
        <f ca="1">IFERROR(__xludf.DUMMYFUNCTION("""COMPUTED_VALUE"""),1457.38)</f>
        <v>1457.38</v>
      </c>
      <c r="AH2522" s="6" t="str">
        <f t="shared" ca="1" si="714"/>
        <v>202411</v>
      </c>
      <c r="AI2522" s="6">
        <f t="shared" ca="1" si="715"/>
        <v>2024</v>
      </c>
      <c r="AJ2522" s="6">
        <f t="shared" ca="1" si="716"/>
        <v>11</v>
      </c>
      <c r="AK2522" s="68">
        <f ca="1">IFERROR(__xludf.DUMMYFUNCTION("""COMPUTED_VALUE"""),45616.9986111111)</f>
        <v>45616.998611111099</v>
      </c>
      <c r="AL2522" s="6">
        <f ca="1">IFERROR(__xludf.DUMMYFUNCTION("""COMPUTED_VALUE"""),92217.93)</f>
        <v>92217.93</v>
      </c>
      <c r="AP2522" s="6" t="str">
        <f t="shared" si="717"/>
        <v>19001</v>
      </c>
      <c r="AQ2522" s="6">
        <f t="shared" si="718"/>
        <v>1900</v>
      </c>
      <c r="AR2522" s="6">
        <f t="shared" si="719"/>
        <v>1</v>
      </c>
    </row>
    <row r="2523" spans="2:44" x14ac:dyDescent="0.35">
      <c r="B2523" s="6" t="str">
        <f t="shared" si="702"/>
        <v>19001</v>
      </c>
      <c r="C2523" s="6">
        <f t="shared" si="703"/>
        <v>1900</v>
      </c>
      <c r="D2523" s="6">
        <f t="shared" si="704"/>
        <v>1</v>
      </c>
      <c r="J2523" s="6" t="str">
        <f t="shared" si="705"/>
        <v>19001</v>
      </c>
      <c r="K2523" s="6">
        <f t="shared" si="706"/>
        <v>1900</v>
      </c>
      <c r="L2523" s="6">
        <f t="shared" si="707"/>
        <v>1</v>
      </c>
      <c r="R2523" s="6" t="str">
        <f t="shared" si="708"/>
        <v>19001</v>
      </c>
      <c r="S2523" s="6">
        <f t="shared" si="709"/>
        <v>1900</v>
      </c>
      <c r="T2523" s="6">
        <f t="shared" si="710"/>
        <v>1</v>
      </c>
      <c r="Z2523" s="6" t="str">
        <f t="shared" ca="1" si="711"/>
        <v>20251</v>
      </c>
      <c r="AA2523" s="6">
        <f t="shared" ca="1" si="712"/>
        <v>2025</v>
      </c>
      <c r="AB2523" s="6">
        <f t="shared" ca="1" si="713"/>
        <v>1</v>
      </c>
      <c r="AC2523" s="68">
        <f ca="1">IFERROR(__xludf.DUMMYFUNCTION("""COMPUTED_VALUE"""),45675.9986111111)</f>
        <v>45675.998611111099</v>
      </c>
      <c r="AD2523" s="6">
        <f ca="1">IFERROR(__xludf.DUMMYFUNCTION("""COMPUTED_VALUE"""),1457.38)</f>
        <v>1457.38</v>
      </c>
      <c r="AH2523" s="6" t="str">
        <f t="shared" ca="1" si="714"/>
        <v>202411</v>
      </c>
      <c r="AI2523" s="6">
        <f t="shared" ca="1" si="715"/>
        <v>2024</v>
      </c>
      <c r="AJ2523" s="6">
        <f t="shared" ca="1" si="716"/>
        <v>11</v>
      </c>
      <c r="AK2523" s="68">
        <f ca="1">IFERROR(__xludf.DUMMYFUNCTION("""COMPUTED_VALUE"""),45617.9986111111)</f>
        <v>45617.998611111099</v>
      </c>
      <c r="AL2523" s="6">
        <f ca="1">IFERROR(__xludf.DUMMYFUNCTION("""COMPUTED_VALUE"""),97402.66)</f>
        <v>97402.66</v>
      </c>
      <c r="AP2523" s="6" t="str">
        <f t="shared" si="717"/>
        <v>19001</v>
      </c>
      <c r="AQ2523" s="6">
        <f t="shared" si="718"/>
        <v>1900</v>
      </c>
      <c r="AR2523" s="6">
        <f t="shared" si="719"/>
        <v>1</v>
      </c>
    </row>
    <row r="2524" spans="2:44" x14ac:dyDescent="0.35">
      <c r="B2524" s="6" t="str">
        <f t="shared" si="702"/>
        <v>19001</v>
      </c>
      <c r="C2524" s="6">
        <f t="shared" si="703"/>
        <v>1900</v>
      </c>
      <c r="D2524" s="6">
        <f t="shared" si="704"/>
        <v>1</v>
      </c>
      <c r="J2524" s="6" t="str">
        <f t="shared" si="705"/>
        <v>19001</v>
      </c>
      <c r="K2524" s="6">
        <f t="shared" si="706"/>
        <v>1900</v>
      </c>
      <c r="L2524" s="6">
        <f t="shared" si="707"/>
        <v>1</v>
      </c>
      <c r="R2524" s="6" t="str">
        <f t="shared" si="708"/>
        <v>19001</v>
      </c>
      <c r="S2524" s="6">
        <f t="shared" si="709"/>
        <v>1900</v>
      </c>
      <c r="T2524" s="6">
        <f t="shared" si="710"/>
        <v>1</v>
      </c>
      <c r="Z2524" s="6" t="str">
        <f t="shared" ca="1" si="711"/>
        <v>20251</v>
      </c>
      <c r="AA2524" s="6">
        <f t="shared" ca="1" si="712"/>
        <v>2025</v>
      </c>
      <c r="AB2524" s="6">
        <f t="shared" ca="1" si="713"/>
        <v>1</v>
      </c>
      <c r="AC2524" s="68">
        <f ca="1">IFERROR(__xludf.DUMMYFUNCTION("""COMPUTED_VALUE"""),45677.9986111111)</f>
        <v>45677.998611111099</v>
      </c>
      <c r="AD2524" s="6">
        <f ca="1">IFERROR(__xludf.DUMMYFUNCTION("""COMPUTED_VALUE"""),1435.53)</f>
        <v>1435.53</v>
      </c>
      <c r="AH2524" s="6" t="str">
        <f t="shared" ca="1" si="714"/>
        <v>202411</v>
      </c>
      <c r="AI2524" s="6">
        <f t="shared" ca="1" si="715"/>
        <v>2024</v>
      </c>
      <c r="AJ2524" s="6">
        <f t="shared" ca="1" si="716"/>
        <v>11</v>
      </c>
      <c r="AK2524" s="68">
        <f ca="1">IFERROR(__xludf.DUMMYFUNCTION("""COMPUTED_VALUE"""),45618.9986111111)</f>
        <v>45618.998611111099</v>
      </c>
      <c r="AL2524" s="6">
        <f ca="1">IFERROR(__xludf.DUMMYFUNCTION("""COMPUTED_VALUE"""),98739.25)</f>
        <v>98739.25</v>
      </c>
      <c r="AP2524" s="6" t="str">
        <f t="shared" si="717"/>
        <v>19001</v>
      </c>
      <c r="AQ2524" s="6">
        <f t="shared" si="718"/>
        <v>1900</v>
      </c>
      <c r="AR2524" s="6">
        <f t="shared" si="719"/>
        <v>1</v>
      </c>
    </row>
    <row r="2525" spans="2:44" x14ac:dyDescent="0.35">
      <c r="B2525" s="6" t="str">
        <f t="shared" si="702"/>
        <v>19001</v>
      </c>
      <c r="C2525" s="6">
        <f t="shared" si="703"/>
        <v>1900</v>
      </c>
      <c r="D2525" s="6">
        <f t="shared" si="704"/>
        <v>1</v>
      </c>
      <c r="J2525" s="6" t="str">
        <f t="shared" si="705"/>
        <v>19001</v>
      </c>
      <c r="K2525" s="6">
        <f t="shared" si="706"/>
        <v>1900</v>
      </c>
      <c r="L2525" s="6">
        <f t="shared" si="707"/>
        <v>1</v>
      </c>
      <c r="R2525" s="6" t="str">
        <f t="shared" si="708"/>
        <v>19001</v>
      </c>
      <c r="S2525" s="6">
        <f t="shared" si="709"/>
        <v>1900</v>
      </c>
      <c r="T2525" s="6">
        <f t="shared" si="710"/>
        <v>1</v>
      </c>
      <c r="Z2525" s="6" t="str">
        <f t="shared" ca="1" si="711"/>
        <v>20251</v>
      </c>
      <c r="AA2525" s="6">
        <f t="shared" ca="1" si="712"/>
        <v>2025</v>
      </c>
      <c r="AB2525" s="6">
        <f t="shared" ca="1" si="713"/>
        <v>1</v>
      </c>
      <c r="AC2525" s="68">
        <f ca="1">IFERROR(__xludf.DUMMYFUNCTION("""COMPUTED_VALUE"""),45678.9986111111)</f>
        <v>45678.998611111099</v>
      </c>
      <c r="AD2525" s="6">
        <f ca="1">IFERROR(__xludf.DUMMYFUNCTION("""COMPUTED_VALUE"""),1425.79)</f>
        <v>1425.79</v>
      </c>
      <c r="AH2525" s="6" t="str">
        <f t="shared" ca="1" si="714"/>
        <v>202411</v>
      </c>
      <c r="AI2525" s="6">
        <f t="shared" ca="1" si="715"/>
        <v>2024</v>
      </c>
      <c r="AJ2525" s="6">
        <f t="shared" ca="1" si="716"/>
        <v>11</v>
      </c>
      <c r="AK2525" s="68">
        <f ca="1">IFERROR(__xludf.DUMMYFUNCTION("""COMPUTED_VALUE"""),45619.9986111111)</f>
        <v>45619.998611111099</v>
      </c>
      <c r="AL2525" s="6">
        <f ca="1">IFERROR(__xludf.DUMMYFUNCTION("""COMPUTED_VALUE"""),98496.91)</f>
        <v>98496.91</v>
      </c>
      <c r="AP2525" s="6" t="str">
        <f t="shared" si="717"/>
        <v>19001</v>
      </c>
      <c r="AQ2525" s="6">
        <f t="shared" si="718"/>
        <v>1900</v>
      </c>
      <c r="AR2525" s="6">
        <f t="shared" si="719"/>
        <v>1</v>
      </c>
    </row>
    <row r="2526" spans="2:44" x14ac:dyDescent="0.35">
      <c r="B2526" s="6" t="str">
        <f t="shared" si="702"/>
        <v>19001</v>
      </c>
      <c r="C2526" s="6">
        <f t="shared" si="703"/>
        <v>1900</v>
      </c>
      <c r="D2526" s="6">
        <f t="shared" si="704"/>
        <v>1</v>
      </c>
      <c r="J2526" s="6" t="str">
        <f t="shared" si="705"/>
        <v>19001</v>
      </c>
      <c r="K2526" s="6">
        <f t="shared" si="706"/>
        <v>1900</v>
      </c>
      <c r="L2526" s="6">
        <f t="shared" si="707"/>
        <v>1</v>
      </c>
      <c r="R2526" s="6" t="str">
        <f t="shared" si="708"/>
        <v>19001</v>
      </c>
      <c r="S2526" s="6">
        <f t="shared" si="709"/>
        <v>1900</v>
      </c>
      <c r="T2526" s="6">
        <f t="shared" si="710"/>
        <v>1</v>
      </c>
      <c r="Z2526" s="6" t="str">
        <f t="shared" ca="1" si="711"/>
        <v>20251</v>
      </c>
      <c r="AA2526" s="6">
        <f t="shared" ca="1" si="712"/>
        <v>2025</v>
      </c>
      <c r="AB2526" s="6">
        <f t="shared" ca="1" si="713"/>
        <v>1</v>
      </c>
      <c r="AC2526" s="68">
        <f ca="1">IFERROR(__xludf.DUMMYFUNCTION("""COMPUTED_VALUE"""),45679.9986111111)</f>
        <v>45679.998611111099</v>
      </c>
      <c r="AD2526" s="6">
        <f ca="1">IFERROR(__xludf.DUMMYFUNCTION("""COMPUTED_VALUE"""),1434.34)</f>
        <v>1434.34</v>
      </c>
      <c r="AH2526" s="6" t="str">
        <f t="shared" ca="1" si="714"/>
        <v>202411</v>
      </c>
      <c r="AI2526" s="6">
        <f t="shared" ca="1" si="715"/>
        <v>2024</v>
      </c>
      <c r="AJ2526" s="6">
        <f t="shared" ca="1" si="716"/>
        <v>11</v>
      </c>
      <c r="AK2526" s="68">
        <f ca="1">IFERROR(__xludf.DUMMYFUNCTION("""COMPUTED_VALUE"""),45620.9986111111)</f>
        <v>45620.998611111099</v>
      </c>
      <c r="AL2526" s="6">
        <f ca="1">IFERROR(__xludf.DUMMYFUNCTION("""COMPUTED_VALUE"""),98110.87)</f>
        <v>98110.87</v>
      </c>
      <c r="AP2526" s="6" t="str">
        <f t="shared" si="717"/>
        <v>19001</v>
      </c>
      <c r="AQ2526" s="6">
        <f t="shared" si="718"/>
        <v>1900</v>
      </c>
      <c r="AR2526" s="6">
        <f t="shared" si="719"/>
        <v>1</v>
      </c>
    </row>
    <row r="2527" spans="2:44" x14ac:dyDescent="0.35">
      <c r="B2527" s="6" t="str">
        <f t="shared" si="702"/>
        <v>19001</v>
      </c>
      <c r="C2527" s="6">
        <f t="shared" si="703"/>
        <v>1900</v>
      </c>
      <c r="D2527" s="6">
        <f t="shared" si="704"/>
        <v>1</v>
      </c>
      <c r="J2527" s="6" t="str">
        <f t="shared" si="705"/>
        <v>19001</v>
      </c>
      <c r="K2527" s="6">
        <f t="shared" si="706"/>
        <v>1900</v>
      </c>
      <c r="L2527" s="6">
        <f t="shared" si="707"/>
        <v>1</v>
      </c>
      <c r="R2527" s="6" t="str">
        <f t="shared" si="708"/>
        <v>19001</v>
      </c>
      <c r="S2527" s="6">
        <f t="shared" si="709"/>
        <v>1900</v>
      </c>
      <c r="T2527" s="6">
        <f t="shared" si="710"/>
        <v>1</v>
      </c>
      <c r="Z2527" s="6" t="str">
        <f t="shared" ca="1" si="711"/>
        <v>20251</v>
      </c>
      <c r="AA2527" s="6">
        <f t="shared" ca="1" si="712"/>
        <v>2025</v>
      </c>
      <c r="AB2527" s="6">
        <f t="shared" ca="1" si="713"/>
        <v>1</v>
      </c>
      <c r="AC2527" s="68">
        <f ca="1">IFERROR(__xludf.DUMMYFUNCTION("""COMPUTED_VALUE"""),45680.9986111111)</f>
        <v>45680.998611111099</v>
      </c>
      <c r="AD2527" s="6">
        <f ca="1">IFERROR(__xludf.DUMMYFUNCTION("""COMPUTED_VALUE"""),1433.93)</f>
        <v>1433.93</v>
      </c>
      <c r="AH2527" s="6" t="str">
        <f t="shared" ca="1" si="714"/>
        <v>202411</v>
      </c>
      <c r="AI2527" s="6">
        <f t="shared" ca="1" si="715"/>
        <v>2024</v>
      </c>
      <c r="AJ2527" s="6">
        <f t="shared" ca="1" si="716"/>
        <v>11</v>
      </c>
      <c r="AK2527" s="68">
        <f ca="1">IFERROR(__xludf.DUMMYFUNCTION("""COMPUTED_VALUE"""),45621.9986111111)</f>
        <v>45621.998611111099</v>
      </c>
      <c r="AL2527" s="6">
        <f ca="1">IFERROR(__xludf.DUMMYFUNCTION("""COMPUTED_VALUE"""),97811.99)</f>
        <v>97811.99</v>
      </c>
      <c r="AP2527" s="6" t="str">
        <f t="shared" si="717"/>
        <v>19001</v>
      </c>
      <c r="AQ2527" s="6">
        <f t="shared" si="718"/>
        <v>1900</v>
      </c>
      <c r="AR2527" s="6">
        <f t="shared" si="719"/>
        <v>1</v>
      </c>
    </row>
    <row r="2528" spans="2:44" x14ac:dyDescent="0.35">
      <c r="B2528" s="6" t="str">
        <f t="shared" si="702"/>
        <v>19001</v>
      </c>
      <c r="C2528" s="6">
        <f t="shared" si="703"/>
        <v>1900</v>
      </c>
      <c r="D2528" s="6">
        <f t="shared" si="704"/>
        <v>1</v>
      </c>
      <c r="J2528" s="6" t="str">
        <f t="shared" si="705"/>
        <v>19001</v>
      </c>
      <c r="K2528" s="6">
        <f t="shared" si="706"/>
        <v>1900</v>
      </c>
      <c r="L2528" s="6">
        <f t="shared" si="707"/>
        <v>1</v>
      </c>
      <c r="R2528" s="6" t="str">
        <f t="shared" si="708"/>
        <v>19001</v>
      </c>
      <c r="S2528" s="6">
        <f t="shared" si="709"/>
        <v>1900</v>
      </c>
      <c r="T2528" s="6">
        <f t="shared" si="710"/>
        <v>1</v>
      </c>
      <c r="Z2528" s="6" t="str">
        <f t="shared" ca="1" si="711"/>
        <v>20251</v>
      </c>
      <c r="AA2528" s="6">
        <f t="shared" ca="1" si="712"/>
        <v>2025</v>
      </c>
      <c r="AB2528" s="6">
        <f t="shared" ca="1" si="713"/>
        <v>1</v>
      </c>
      <c r="AC2528" s="68">
        <f ca="1">IFERROR(__xludf.DUMMYFUNCTION("""COMPUTED_VALUE"""),45681.9986111111)</f>
        <v>45681.998611111099</v>
      </c>
      <c r="AD2528" s="6">
        <f ca="1">IFERROR(__xludf.DUMMYFUNCTION("""COMPUTED_VALUE"""),1428.43)</f>
        <v>1428.43</v>
      </c>
      <c r="AH2528" s="6" t="str">
        <f t="shared" ca="1" si="714"/>
        <v>202411</v>
      </c>
      <c r="AI2528" s="6">
        <f t="shared" ca="1" si="715"/>
        <v>2024</v>
      </c>
      <c r="AJ2528" s="6">
        <f t="shared" ca="1" si="716"/>
        <v>11</v>
      </c>
      <c r="AK2528" s="68">
        <f ca="1">IFERROR(__xludf.DUMMYFUNCTION("""COMPUTED_VALUE"""),45622.9986111111)</f>
        <v>45622.998611111099</v>
      </c>
      <c r="AL2528" s="6">
        <f ca="1">IFERROR(__xludf.DUMMYFUNCTION("""COMPUTED_VALUE"""),94322.14)</f>
        <v>94322.14</v>
      </c>
      <c r="AP2528" s="6" t="str">
        <f t="shared" si="717"/>
        <v>19001</v>
      </c>
      <c r="AQ2528" s="6">
        <f t="shared" si="718"/>
        <v>1900</v>
      </c>
      <c r="AR2528" s="6">
        <f t="shared" si="719"/>
        <v>1</v>
      </c>
    </row>
    <row r="2529" spans="2:44" x14ac:dyDescent="0.35">
      <c r="B2529" s="6" t="str">
        <f t="shared" si="702"/>
        <v>19001</v>
      </c>
      <c r="C2529" s="6">
        <f t="shared" si="703"/>
        <v>1900</v>
      </c>
      <c r="D2529" s="6">
        <f t="shared" si="704"/>
        <v>1</v>
      </c>
      <c r="J2529" s="6" t="str">
        <f t="shared" si="705"/>
        <v>19001</v>
      </c>
      <c r="K2529" s="6">
        <f t="shared" si="706"/>
        <v>1900</v>
      </c>
      <c r="L2529" s="6">
        <f t="shared" si="707"/>
        <v>1</v>
      </c>
      <c r="R2529" s="6" t="str">
        <f t="shared" si="708"/>
        <v>19001</v>
      </c>
      <c r="S2529" s="6">
        <f t="shared" si="709"/>
        <v>1900</v>
      </c>
      <c r="T2529" s="6">
        <f t="shared" si="710"/>
        <v>1</v>
      </c>
      <c r="Z2529" s="6" t="str">
        <f t="shared" ca="1" si="711"/>
        <v>20251</v>
      </c>
      <c r="AA2529" s="6">
        <f t="shared" ca="1" si="712"/>
        <v>2025</v>
      </c>
      <c r="AB2529" s="6">
        <f t="shared" ca="1" si="713"/>
        <v>1</v>
      </c>
      <c r="AC2529" s="68">
        <f ca="1">IFERROR(__xludf.DUMMYFUNCTION("""COMPUTED_VALUE"""),45682.9986111111)</f>
        <v>45682.998611111099</v>
      </c>
      <c r="AD2529" s="6">
        <f ca="1">IFERROR(__xludf.DUMMYFUNCTION("""COMPUTED_VALUE"""),1428.03)</f>
        <v>1428.03</v>
      </c>
      <c r="AH2529" s="6" t="str">
        <f t="shared" ca="1" si="714"/>
        <v>202411</v>
      </c>
      <c r="AI2529" s="6">
        <f t="shared" ca="1" si="715"/>
        <v>2024</v>
      </c>
      <c r="AJ2529" s="6">
        <f t="shared" ca="1" si="716"/>
        <v>11</v>
      </c>
      <c r="AK2529" s="68">
        <f ca="1">IFERROR(__xludf.DUMMYFUNCTION("""COMPUTED_VALUE"""),45623.9986111111)</f>
        <v>45623.998611111099</v>
      </c>
      <c r="AL2529" s="6">
        <f ca="1">IFERROR(__xludf.DUMMYFUNCTION("""COMPUTED_VALUE"""),92545.14)</f>
        <v>92545.14</v>
      </c>
      <c r="AP2529" s="6" t="str">
        <f t="shared" si="717"/>
        <v>19001</v>
      </c>
      <c r="AQ2529" s="6">
        <f t="shared" si="718"/>
        <v>1900</v>
      </c>
      <c r="AR2529" s="6">
        <f t="shared" si="719"/>
        <v>1</v>
      </c>
    </row>
    <row r="2530" spans="2:44" x14ac:dyDescent="0.35">
      <c r="B2530" s="6" t="str">
        <f t="shared" si="702"/>
        <v>19001</v>
      </c>
      <c r="C2530" s="6">
        <f t="shared" si="703"/>
        <v>1900</v>
      </c>
      <c r="D2530" s="6">
        <f t="shared" si="704"/>
        <v>1</v>
      </c>
      <c r="J2530" s="6" t="str">
        <f t="shared" si="705"/>
        <v>19001</v>
      </c>
      <c r="K2530" s="6">
        <f t="shared" si="706"/>
        <v>1900</v>
      </c>
      <c r="L2530" s="6">
        <f t="shared" si="707"/>
        <v>1</v>
      </c>
      <c r="R2530" s="6" t="str">
        <f t="shared" si="708"/>
        <v>19001</v>
      </c>
      <c r="S2530" s="6">
        <f t="shared" si="709"/>
        <v>1900</v>
      </c>
      <c r="T2530" s="6">
        <f t="shared" si="710"/>
        <v>1</v>
      </c>
      <c r="Z2530" s="6" t="str">
        <f t="shared" ca="1" si="711"/>
        <v>20251</v>
      </c>
      <c r="AA2530" s="6">
        <f t="shared" ca="1" si="712"/>
        <v>2025</v>
      </c>
      <c r="AB2530" s="6">
        <f t="shared" ca="1" si="713"/>
        <v>1</v>
      </c>
      <c r="AC2530" s="68">
        <f ca="1">IFERROR(__xludf.DUMMYFUNCTION("""COMPUTED_VALUE"""),45683.9986111111)</f>
        <v>45683.998611111099</v>
      </c>
      <c r="AD2530" s="6">
        <f ca="1">IFERROR(__xludf.DUMMYFUNCTION("""COMPUTED_VALUE"""),1427.63)</f>
        <v>1427.63</v>
      </c>
      <c r="AH2530" s="6" t="str">
        <f t="shared" ca="1" si="714"/>
        <v>202411</v>
      </c>
      <c r="AI2530" s="6">
        <f t="shared" ca="1" si="715"/>
        <v>2024</v>
      </c>
      <c r="AJ2530" s="6">
        <f t="shared" ca="1" si="716"/>
        <v>11</v>
      </c>
      <c r="AK2530" s="68">
        <f ca="1">IFERROR(__xludf.DUMMYFUNCTION("""COMPUTED_VALUE"""),45624.9986111111)</f>
        <v>45624.998611111099</v>
      </c>
      <c r="AL2530" s="6">
        <f ca="1">IFERROR(__xludf.DUMMYFUNCTION("""COMPUTED_VALUE"""),95797.01)</f>
        <v>95797.01</v>
      </c>
      <c r="AP2530" s="6" t="str">
        <f t="shared" si="717"/>
        <v>19001</v>
      </c>
      <c r="AQ2530" s="6">
        <f t="shared" si="718"/>
        <v>1900</v>
      </c>
      <c r="AR2530" s="6">
        <f t="shared" si="719"/>
        <v>1</v>
      </c>
    </row>
    <row r="2531" spans="2:44" x14ac:dyDescent="0.35">
      <c r="B2531" s="6" t="str">
        <f t="shared" si="702"/>
        <v>19001</v>
      </c>
      <c r="C2531" s="6">
        <f t="shared" si="703"/>
        <v>1900</v>
      </c>
      <c r="D2531" s="6">
        <f t="shared" si="704"/>
        <v>1</v>
      </c>
      <c r="J2531" s="6" t="str">
        <f t="shared" si="705"/>
        <v>19001</v>
      </c>
      <c r="K2531" s="6">
        <f t="shared" si="706"/>
        <v>1900</v>
      </c>
      <c r="L2531" s="6">
        <f t="shared" si="707"/>
        <v>1</v>
      </c>
      <c r="R2531" s="6" t="str">
        <f t="shared" si="708"/>
        <v>19001</v>
      </c>
      <c r="S2531" s="6">
        <f t="shared" si="709"/>
        <v>1900</v>
      </c>
      <c r="T2531" s="6">
        <f t="shared" si="710"/>
        <v>1</v>
      </c>
      <c r="Z2531" s="6" t="str">
        <f t="shared" ca="1" si="711"/>
        <v>20251</v>
      </c>
      <c r="AA2531" s="6">
        <f t="shared" ca="1" si="712"/>
        <v>2025</v>
      </c>
      <c r="AB2531" s="6">
        <f t="shared" ca="1" si="713"/>
        <v>1</v>
      </c>
      <c r="AC2531" s="68">
        <f ca="1">IFERROR(__xludf.DUMMYFUNCTION("""COMPUTED_VALUE"""),45684.9986111111)</f>
        <v>45684.998611111099</v>
      </c>
      <c r="AD2531" s="6">
        <f ca="1">IFERROR(__xludf.DUMMYFUNCTION("""COMPUTED_VALUE"""),1417.92)</f>
        <v>1417.92</v>
      </c>
      <c r="AH2531" s="6" t="str">
        <f t="shared" ca="1" si="714"/>
        <v>202411</v>
      </c>
      <c r="AI2531" s="6">
        <f t="shared" ca="1" si="715"/>
        <v>2024</v>
      </c>
      <c r="AJ2531" s="6">
        <f t="shared" ca="1" si="716"/>
        <v>11</v>
      </c>
      <c r="AK2531" s="68">
        <f ca="1">IFERROR(__xludf.DUMMYFUNCTION("""COMPUTED_VALUE"""),45625.9986111111)</f>
        <v>45625.998611111099</v>
      </c>
      <c r="AL2531" s="6">
        <f ca="1">IFERROR(__xludf.DUMMYFUNCTION("""COMPUTED_VALUE"""),96293.35)</f>
        <v>96293.35</v>
      </c>
      <c r="AP2531" s="6" t="str">
        <f t="shared" si="717"/>
        <v>19001</v>
      </c>
      <c r="AQ2531" s="6">
        <f t="shared" si="718"/>
        <v>1900</v>
      </c>
      <c r="AR2531" s="6">
        <f t="shared" si="719"/>
        <v>1</v>
      </c>
    </row>
    <row r="2532" spans="2:44" x14ac:dyDescent="0.35">
      <c r="B2532" s="6" t="str">
        <f t="shared" si="702"/>
        <v>19001</v>
      </c>
      <c r="C2532" s="6">
        <f t="shared" si="703"/>
        <v>1900</v>
      </c>
      <c r="D2532" s="6">
        <f t="shared" si="704"/>
        <v>1</v>
      </c>
      <c r="J2532" s="6" t="str">
        <f t="shared" si="705"/>
        <v>19001</v>
      </c>
      <c r="K2532" s="6">
        <f t="shared" si="706"/>
        <v>1900</v>
      </c>
      <c r="L2532" s="6">
        <f t="shared" si="707"/>
        <v>1</v>
      </c>
      <c r="R2532" s="6" t="str">
        <f t="shared" si="708"/>
        <v>19001</v>
      </c>
      <c r="S2532" s="6">
        <f t="shared" si="709"/>
        <v>1900</v>
      </c>
      <c r="T2532" s="6">
        <f t="shared" si="710"/>
        <v>1</v>
      </c>
      <c r="Z2532" s="6" t="str">
        <f t="shared" ca="1" si="711"/>
        <v>20251</v>
      </c>
      <c r="AA2532" s="6">
        <f t="shared" ca="1" si="712"/>
        <v>2025</v>
      </c>
      <c r="AB2532" s="6">
        <f t="shared" ca="1" si="713"/>
        <v>1</v>
      </c>
      <c r="AC2532" s="68">
        <f ca="1">IFERROR(__xludf.DUMMYFUNCTION("""COMPUTED_VALUE"""),45685.9986111111)</f>
        <v>45685.998611111099</v>
      </c>
      <c r="AD2532" s="6">
        <f ca="1">IFERROR(__xludf.DUMMYFUNCTION("""COMPUTED_VALUE"""),1441.59)</f>
        <v>1441.59</v>
      </c>
      <c r="AH2532" s="6" t="str">
        <f t="shared" ca="1" si="714"/>
        <v>202411</v>
      </c>
      <c r="AI2532" s="6">
        <f t="shared" ca="1" si="715"/>
        <v>2024</v>
      </c>
      <c r="AJ2532" s="6">
        <f t="shared" ca="1" si="716"/>
        <v>11</v>
      </c>
      <c r="AK2532" s="68">
        <f ca="1">IFERROR(__xludf.DUMMYFUNCTION("""COMPUTED_VALUE"""),45626.9986111111)</f>
        <v>45626.998611111099</v>
      </c>
      <c r="AL2532" s="6">
        <f ca="1">IFERROR(__xludf.DUMMYFUNCTION("""COMPUTED_VALUE"""),96716.79)</f>
        <v>96716.79</v>
      </c>
      <c r="AP2532" s="6" t="str">
        <f t="shared" si="717"/>
        <v>19001</v>
      </c>
      <c r="AQ2532" s="6">
        <f t="shared" si="718"/>
        <v>1900</v>
      </c>
      <c r="AR2532" s="6">
        <f t="shared" si="719"/>
        <v>1</v>
      </c>
    </row>
    <row r="2533" spans="2:44" x14ac:dyDescent="0.35">
      <c r="B2533" s="6" t="str">
        <f t="shared" si="702"/>
        <v>19001</v>
      </c>
      <c r="C2533" s="6">
        <f t="shared" si="703"/>
        <v>1900</v>
      </c>
      <c r="D2533" s="6">
        <f t="shared" si="704"/>
        <v>1</v>
      </c>
      <c r="J2533" s="6" t="str">
        <f t="shared" si="705"/>
        <v>19001</v>
      </c>
      <c r="K2533" s="6">
        <f t="shared" si="706"/>
        <v>1900</v>
      </c>
      <c r="L2533" s="6">
        <f t="shared" si="707"/>
        <v>1</v>
      </c>
      <c r="R2533" s="6" t="str">
        <f t="shared" si="708"/>
        <v>19001</v>
      </c>
      <c r="S2533" s="6">
        <f t="shared" si="709"/>
        <v>1900</v>
      </c>
      <c r="T2533" s="6">
        <f t="shared" si="710"/>
        <v>1</v>
      </c>
      <c r="Z2533" s="6" t="str">
        <f t="shared" ca="1" si="711"/>
        <v>20251</v>
      </c>
      <c r="AA2533" s="6">
        <f t="shared" ca="1" si="712"/>
        <v>2025</v>
      </c>
      <c r="AB2533" s="6">
        <f t="shared" ca="1" si="713"/>
        <v>1</v>
      </c>
      <c r="AC2533" s="68">
        <f ca="1">IFERROR(__xludf.DUMMYFUNCTION("""COMPUTED_VALUE"""),45686.9986111111)</f>
        <v>45686.998611111099</v>
      </c>
      <c r="AD2533" s="6">
        <f ca="1">IFERROR(__xludf.DUMMYFUNCTION("""COMPUTED_VALUE"""),1443.32)</f>
        <v>1443.32</v>
      </c>
      <c r="AH2533" s="6" t="str">
        <f t="shared" ca="1" si="714"/>
        <v>202412</v>
      </c>
      <c r="AI2533" s="6">
        <f t="shared" ca="1" si="715"/>
        <v>2024</v>
      </c>
      <c r="AJ2533" s="6">
        <f t="shared" ca="1" si="716"/>
        <v>12</v>
      </c>
      <c r="AK2533" s="68">
        <f ca="1">IFERROR(__xludf.DUMMYFUNCTION("""COMPUTED_VALUE"""),45627.9986111111)</f>
        <v>45627.998611111099</v>
      </c>
      <c r="AL2533" s="6">
        <f ca="1">IFERROR(__xludf.DUMMYFUNCTION("""COMPUTED_VALUE"""),96490.37)</f>
        <v>96490.37</v>
      </c>
      <c r="AP2533" s="6" t="str">
        <f t="shared" si="717"/>
        <v>19001</v>
      </c>
      <c r="AQ2533" s="6">
        <f t="shared" si="718"/>
        <v>1900</v>
      </c>
      <c r="AR2533" s="6">
        <f t="shared" si="719"/>
        <v>1</v>
      </c>
    </row>
    <row r="2534" spans="2:44" x14ac:dyDescent="0.35">
      <c r="B2534" s="6" t="str">
        <f t="shared" si="702"/>
        <v>19001</v>
      </c>
      <c r="C2534" s="6">
        <f t="shared" si="703"/>
        <v>1900</v>
      </c>
      <c r="D2534" s="6">
        <f t="shared" si="704"/>
        <v>1</v>
      </c>
      <c r="J2534" s="6" t="str">
        <f t="shared" si="705"/>
        <v>19001</v>
      </c>
      <c r="K2534" s="6">
        <f t="shared" si="706"/>
        <v>1900</v>
      </c>
      <c r="L2534" s="6">
        <f t="shared" si="707"/>
        <v>1</v>
      </c>
      <c r="R2534" s="6" t="str">
        <f t="shared" si="708"/>
        <v>19001</v>
      </c>
      <c r="S2534" s="6">
        <f t="shared" si="709"/>
        <v>1900</v>
      </c>
      <c r="T2534" s="6">
        <f t="shared" si="710"/>
        <v>1</v>
      </c>
      <c r="Z2534" s="6" t="str">
        <f t="shared" ca="1" si="711"/>
        <v>20251</v>
      </c>
      <c r="AA2534" s="6">
        <f t="shared" ca="1" si="712"/>
        <v>2025</v>
      </c>
      <c r="AB2534" s="6">
        <f t="shared" ca="1" si="713"/>
        <v>1</v>
      </c>
      <c r="AC2534" s="68">
        <f ca="1">IFERROR(__xludf.DUMMYFUNCTION("""COMPUTED_VALUE"""),45687.9986111111)</f>
        <v>45687.998611111099</v>
      </c>
      <c r="AD2534" s="6">
        <f ca="1">IFERROR(__xludf.DUMMYFUNCTION("""COMPUTED_VALUE"""),1441.66)</f>
        <v>1441.66</v>
      </c>
      <c r="AH2534" s="6" t="str">
        <f t="shared" ca="1" si="714"/>
        <v>202412</v>
      </c>
      <c r="AI2534" s="6">
        <f t="shared" ca="1" si="715"/>
        <v>2024</v>
      </c>
      <c r="AJ2534" s="6">
        <f t="shared" ca="1" si="716"/>
        <v>12</v>
      </c>
      <c r="AK2534" s="68">
        <f ca="1">IFERROR(__xludf.DUMMYFUNCTION("""COMPUTED_VALUE"""),45628.9986111111)</f>
        <v>45628.998611111099</v>
      </c>
      <c r="AL2534" s="6">
        <f ca="1">IFERROR(__xludf.DUMMYFUNCTION("""COMPUTED_VALUE"""),96741.65)</f>
        <v>96741.65</v>
      </c>
      <c r="AP2534" s="6" t="str">
        <f t="shared" si="717"/>
        <v>19001</v>
      </c>
      <c r="AQ2534" s="6">
        <f t="shared" si="718"/>
        <v>1900</v>
      </c>
      <c r="AR2534" s="6">
        <f t="shared" si="719"/>
        <v>1</v>
      </c>
    </row>
    <row r="2535" spans="2:44" x14ac:dyDescent="0.35">
      <c r="B2535" s="6" t="str">
        <f t="shared" si="702"/>
        <v>19001</v>
      </c>
      <c r="C2535" s="6">
        <f t="shared" si="703"/>
        <v>1900</v>
      </c>
      <c r="D2535" s="6">
        <f t="shared" si="704"/>
        <v>1</v>
      </c>
      <c r="J2535" s="6" t="str">
        <f t="shared" si="705"/>
        <v>19001</v>
      </c>
      <c r="K2535" s="6">
        <f t="shared" si="706"/>
        <v>1900</v>
      </c>
      <c r="L2535" s="6">
        <f t="shared" si="707"/>
        <v>1</v>
      </c>
      <c r="R2535" s="6" t="str">
        <f t="shared" si="708"/>
        <v>19001</v>
      </c>
      <c r="S2535" s="6">
        <f t="shared" si="709"/>
        <v>1900</v>
      </c>
      <c r="T2535" s="6">
        <f t="shared" si="710"/>
        <v>1</v>
      </c>
      <c r="Z2535" s="6" t="str">
        <f t="shared" ca="1" si="711"/>
        <v>20251</v>
      </c>
      <c r="AA2535" s="6">
        <f t="shared" ca="1" si="712"/>
        <v>2025</v>
      </c>
      <c r="AB2535" s="6">
        <f t="shared" ca="1" si="713"/>
        <v>1</v>
      </c>
      <c r="AC2535" s="68">
        <f ca="1">IFERROR(__xludf.DUMMYFUNCTION("""COMPUTED_VALUE"""),45688.9986111111)</f>
        <v>45688.998611111099</v>
      </c>
      <c r="AD2535" s="6">
        <f ca="1">IFERROR(__xludf.DUMMYFUNCTION("""COMPUTED_VALUE"""),1456.78)</f>
        <v>1456.78</v>
      </c>
      <c r="AH2535" s="6" t="str">
        <f t="shared" ca="1" si="714"/>
        <v>202412</v>
      </c>
      <c r="AI2535" s="6">
        <f t="shared" ca="1" si="715"/>
        <v>2024</v>
      </c>
      <c r="AJ2535" s="6">
        <f t="shared" ca="1" si="716"/>
        <v>12</v>
      </c>
      <c r="AK2535" s="68">
        <f ca="1">IFERROR(__xludf.DUMMYFUNCTION("""COMPUTED_VALUE"""),45629.9986111111)</f>
        <v>45629.998611111099</v>
      </c>
      <c r="AL2535" s="6">
        <f ca="1">IFERROR(__xludf.DUMMYFUNCTION("""COMPUTED_VALUE"""),95939.93)</f>
        <v>95939.93</v>
      </c>
      <c r="AP2535" s="6" t="str">
        <f t="shared" si="717"/>
        <v>19001</v>
      </c>
      <c r="AQ2535" s="6">
        <f t="shared" si="718"/>
        <v>1900</v>
      </c>
      <c r="AR2535" s="6">
        <f t="shared" si="719"/>
        <v>1</v>
      </c>
    </row>
    <row r="2536" spans="2:44" x14ac:dyDescent="0.35">
      <c r="B2536" s="6" t="str">
        <f t="shared" si="702"/>
        <v>19001</v>
      </c>
      <c r="C2536" s="6">
        <f t="shared" si="703"/>
        <v>1900</v>
      </c>
      <c r="D2536" s="6">
        <f t="shared" si="704"/>
        <v>1</v>
      </c>
      <c r="J2536" s="6" t="str">
        <f t="shared" si="705"/>
        <v>19001</v>
      </c>
      <c r="K2536" s="6">
        <f t="shared" si="706"/>
        <v>1900</v>
      </c>
      <c r="L2536" s="6">
        <f t="shared" si="707"/>
        <v>1</v>
      </c>
      <c r="R2536" s="6" t="str">
        <f t="shared" si="708"/>
        <v>19001</v>
      </c>
      <c r="S2536" s="6">
        <f t="shared" si="709"/>
        <v>1900</v>
      </c>
      <c r="T2536" s="6">
        <f t="shared" si="710"/>
        <v>1</v>
      </c>
      <c r="Z2536" s="6" t="str">
        <f t="shared" ca="1" si="711"/>
        <v>20252</v>
      </c>
      <c r="AA2536" s="6">
        <f t="shared" ca="1" si="712"/>
        <v>2025</v>
      </c>
      <c r="AB2536" s="6">
        <f t="shared" ca="1" si="713"/>
        <v>2</v>
      </c>
      <c r="AC2536" s="68">
        <f ca="1">IFERROR(__xludf.DUMMYFUNCTION("""COMPUTED_VALUE"""),45689.9986111111)</f>
        <v>45689.998611111099</v>
      </c>
      <c r="AD2536" s="6">
        <f ca="1">IFERROR(__xludf.DUMMYFUNCTION("""COMPUTED_VALUE"""),1456.78)</f>
        <v>1456.78</v>
      </c>
      <c r="AH2536" s="6" t="str">
        <f t="shared" ca="1" si="714"/>
        <v>202412</v>
      </c>
      <c r="AI2536" s="6">
        <f t="shared" ca="1" si="715"/>
        <v>2024</v>
      </c>
      <c r="AJ2536" s="6">
        <f t="shared" ca="1" si="716"/>
        <v>12</v>
      </c>
      <c r="AK2536" s="68">
        <f ca="1">IFERROR(__xludf.DUMMYFUNCTION("""COMPUTED_VALUE"""),45630.9986111111)</f>
        <v>45630.998611111099</v>
      </c>
      <c r="AL2536" s="6">
        <f ca="1">IFERROR(__xludf.DUMMYFUNCTION("""COMPUTED_VALUE"""),95934.26)</f>
        <v>95934.26</v>
      </c>
      <c r="AP2536" s="6" t="str">
        <f t="shared" si="717"/>
        <v>19001</v>
      </c>
      <c r="AQ2536" s="6">
        <f t="shared" si="718"/>
        <v>1900</v>
      </c>
      <c r="AR2536" s="6">
        <f t="shared" si="719"/>
        <v>1</v>
      </c>
    </row>
    <row r="2537" spans="2:44" x14ac:dyDescent="0.35">
      <c r="B2537" s="6" t="str">
        <f t="shared" si="702"/>
        <v>19001</v>
      </c>
      <c r="C2537" s="6">
        <f t="shared" si="703"/>
        <v>1900</v>
      </c>
      <c r="D2537" s="6">
        <f t="shared" si="704"/>
        <v>1</v>
      </c>
      <c r="J2537" s="6" t="str">
        <f t="shared" si="705"/>
        <v>19001</v>
      </c>
      <c r="K2537" s="6">
        <f t="shared" si="706"/>
        <v>1900</v>
      </c>
      <c r="L2537" s="6">
        <f t="shared" si="707"/>
        <v>1</v>
      </c>
      <c r="R2537" s="6" t="str">
        <f t="shared" si="708"/>
        <v>19001</v>
      </c>
      <c r="S2537" s="6">
        <f t="shared" si="709"/>
        <v>1900</v>
      </c>
      <c r="T2537" s="6">
        <f t="shared" si="710"/>
        <v>1</v>
      </c>
      <c r="Z2537" s="6" t="str">
        <f t="shared" ca="1" si="711"/>
        <v>20252</v>
      </c>
      <c r="AA2537" s="6">
        <f t="shared" ca="1" si="712"/>
        <v>2025</v>
      </c>
      <c r="AB2537" s="6">
        <f t="shared" ca="1" si="713"/>
        <v>2</v>
      </c>
      <c r="AC2537" s="68">
        <f ca="1">IFERROR(__xludf.DUMMYFUNCTION("""COMPUTED_VALUE"""),45690.9986111111)</f>
        <v>45690.998611111099</v>
      </c>
      <c r="AD2537" s="6">
        <f ca="1">IFERROR(__xludf.DUMMYFUNCTION("""COMPUTED_VALUE"""),1456.78)</f>
        <v>1456.78</v>
      </c>
      <c r="AH2537" s="6" t="str">
        <f t="shared" ca="1" si="714"/>
        <v>202412</v>
      </c>
      <c r="AI2537" s="6">
        <f t="shared" ca="1" si="715"/>
        <v>2024</v>
      </c>
      <c r="AJ2537" s="6">
        <f t="shared" ca="1" si="716"/>
        <v>12</v>
      </c>
      <c r="AK2537" s="68">
        <f ca="1">IFERROR(__xludf.DUMMYFUNCTION("""COMPUTED_VALUE"""),45631.9986111111)</f>
        <v>45631.998611111099</v>
      </c>
      <c r="AL2537" s="6">
        <f ca="1">IFERROR(__xludf.DUMMYFUNCTION("""COMPUTED_VALUE"""),103242.7)</f>
        <v>103242.7</v>
      </c>
      <c r="AP2537" s="6" t="str">
        <f t="shared" si="717"/>
        <v>19001</v>
      </c>
      <c r="AQ2537" s="6">
        <f t="shared" si="718"/>
        <v>1900</v>
      </c>
      <c r="AR2537" s="6">
        <f t="shared" si="719"/>
        <v>1</v>
      </c>
    </row>
    <row r="2538" spans="2:44" x14ac:dyDescent="0.35">
      <c r="B2538" s="6" t="str">
        <f t="shared" si="702"/>
        <v>19001</v>
      </c>
      <c r="C2538" s="6">
        <f t="shared" si="703"/>
        <v>1900</v>
      </c>
      <c r="D2538" s="6">
        <f t="shared" si="704"/>
        <v>1</v>
      </c>
      <c r="J2538" s="6" t="str">
        <f t="shared" si="705"/>
        <v>19001</v>
      </c>
      <c r="K2538" s="6">
        <f t="shared" si="706"/>
        <v>1900</v>
      </c>
      <c r="L2538" s="6">
        <f t="shared" si="707"/>
        <v>1</v>
      </c>
      <c r="R2538" s="6" t="str">
        <f t="shared" si="708"/>
        <v>19001</v>
      </c>
      <c r="S2538" s="6">
        <f t="shared" si="709"/>
        <v>1900</v>
      </c>
      <c r="T2538" s="6">
        <f t="shared" si="710"/>
        <v>1</v>
      </c>
      <c r="Z2538" s="6" t="str">
        <f t="shared" ca="1" si="711"/>
        <v>20252</v>
      </c>
      <c r="AA2538" s="6">
        <f t="shared" ca="1" si="712"/>
        <v>2025</v>
      </c>
      <c r="AB2538" s="6">
        <f t="shared" ca="1" si="713"/>
        <v>2</v>
      </c>
      <c r="AC2538" s="68">
        <f ca="1">IFERROR(__xludf.DUMMYFUNCTION("""COMPUTED_VALUE"""),45691.9986111111)</f>
        <v>45691.998611111099</v>
      </c>
      <c r="AD2538" s="6">
        <f ca="1">IFERROR(__xludf.DUMMYFUNCTION("""COMPUTED_VALUE"""),1459.05)</f>
        <v>1459.05</v>
      </c>
      <c r="AH2538" s="6" t="str">
        <f t="shared" ca="1" si="714"/>
        <v>202412</v>
      </c>
      <c r="AI2538" s="6">
        <f t="shared" ca="1" si="715"/>
        <v>2024</v>
      </c>
      <c r="AJ2538" s="6">
        <f t="shared" ca="1" si="716"/>
        <v>12</v>
      </c>
      <c r="AK2538" s="68">
        <f ca="1">IFERROR(__xludf.DUMMYFUNCTION("""COMPUTED_VALUE"""),45632.9986111111)</f>
        <v>45632.998611111099</v>
      </c>
      <c r="AL2538" s="6">
        <f ca="1">IFERROR(__xludf.DUMMYFUNCTION("""COMPUTED_VALUE"""),97952.27)</f>
        <v>97952.27</v>
      </c>
      <c r="AP2538" s="6" t="str">
        <f t="shared" si="717"/>
        <v>19001</v>
      </c>
      <c r="AQ2538" s="6">
        <f t="shared" si="718"/>
        <v>1900</v>
      </c>
      <c r="AR2538" s="6">
        <f t="shared" si="719"/>
        <v>1</v>
      </c>
    </row>
    <row r="2539" spans="2:44" x14ac:dyDescent="0.35">
      <c r="B2539" s="6" t="str">
        <f t="shared" si="702"/>
        <v>19001</v>
      </c>
      <c r="C2539" s="6">
        <f t="shared" si="703"/>
        <v>1900</v>
      </c>
      <c r="D2539" s="6">
        <f t="shared" si="704"/>
        <v>1</v>
      </c>
      <c r="J2539" s="6" t="str">
        <f t="shared" si="705"/>
        <v>19001</v>
      </c>
      <c r="K2539" s="6">
        <f t="shared" si="706"/>
        <v>1900</v>
      </c>
      <c r="L2539" s="6">
        <f t="shared" si="707"/>
        <v>1</v>
      </c>
      <c r="R2539" s="6" t="str">
        <f t="shared" si="708"/>
        <v>19001</v>
      </c>
      <c r="S2539" s="6">
        <f t="shared" si="709"/>
        <v>1900</v>
      </c>
      <c r="T2539" s="6">
        <f t="shared" si="710"/>
        <v>1</v>
      </c>
      <c r="Z2539" s="6" t="str">
        <f t="shared" ca="1" si="711"/>
        <v>20252</v>
      </c>
      <c r="AA2539" s="6">
        <f t="shared" ca="1" si="712"/>
        <v>2025</v>
      </c>
      <c r="AB2539" s="6">
        <f t="shared" ca="1" si="713"/>
        <v>2</v>
      </c>
      <c r="AC2539" s="68">
        <f ca="1">IFERROR(__xludf.DUMMYFUNCTION("""COMPUTED_VALUE"""),45692.9986111111)</f>
        <v>45692.998611111099</v>
      </c>
      <c r="AD2539" s="6">
        <f ca="1">IFERROR(__xludf.DUMMYFUNCTION("""COMPUTED_VALUE"""),1450.16)</f>
        <v>1450.16</v>
      </c>
      <c r="AH2539" s="6" t="str">
        <f t="shared" ca="1" si="714"/>
        <v>202412</v>
      </c>
      <c r="AI2539" s="6">
        <f t="shared" ca="1" si="715"/>
        <v>2024</v>
      </c>
      <c r="AJ2539" s="6">
        <f t="shared" ca="1" si="716"/>
        <v>12</v>
      </c>
      <c r="AK2539" s="68">
        <f ca="1">IFERROR(__xludf.DUMMYFUNCTION("""COMPUTED_VALUE"""),45633.9986111111)</f>
        <v>45633.998611111099</v>
      </c>
      <c r="AL2539" s="6">
        <f ca="1">IFERROR(__xludf.DUMMYFUNCTION("""COMPUTED_VALUE"""),99702.98)</f>
        <v>99702.98</v>
      </c>
      <c r="AP2539" s="6" t="str">
        <f t="shared" si="717"/>
        <v>19001</v>
      </c>
      <c r="AQ2539" s="6">
        <f t="shared" si="718"/>
        <v>1900</v>
      </c>
      <c r="AR2539" s="6">
        <f t="shared" si="719"/>
        <v>1</v>
      </c>
    </row>
    <row r="2540" spans="2:44" x14ac:dyDescent="0.35">
      <c r="B2540" s="6" t="str">
        <f t="shared" si="702"/>
        <v>19001</v>
      </c>
      <c r="C2540" s="6">
        <f t="shared" si="703"/>
        <v>1900</v>
      </c>
      <c r="D2540" s="6">
        <f t="shared" si="704"/>
        <v>1</v>
      </c>
      <c r="J2540" s="6" t="str">
        <f t="shared" si="705"/>
        <v>19001</v>
      </c>
      <c r="K2540" s="6">
        <f t="shared" si="706"/>
        <v>1900</v>
      </c>
      <c r="L2540" s="6">
        <f t="shared" si="707"/>
        <v>1</v>
      </c>
      <c r="R2540" s="6" t="str">
        <f t="shared" si="708"/>
        <v>19001</v>
      </c>
      <c r="S2540" s="6">
        <f t="shared" si="709"/>
        <v>1900</v>
      </c>
      <c r="T2540" s="6">
        <f t="shared" si="710"/>
        <v>1</v>
      </c>
      <c r="Z2540" s="6" t="str">
        <f t="shared" ca="1" si="711"/>
        <v>20252</v>
      </c>
      <c r="AA2540" s="6">
        <f t="shared" ca="1" si="712"/>
        <v>2025</v>
      </c>
      <c r="AB2540" s="6">
        <f t="shared" ca="1" si="713"/>
        <v>2</v>
      </c>
      <c r="AC2540" s="68">
        <f ca="1">IFERROR(__xludf.DUMMYFUNCTION("""COMPUTED_VALUE"""),45693.9986111111)</f>
        <v>45693.998611111099</v>
      </c>
      <c r="AD2540" s="6">
        <f ca="1">IFERROR(__xludf.DUMMYFUNCTION("""COMPUTED_VALUE"""),1443.89)</f>
        <v>1443.89</v>
      </c>
      <c r="AH2540" s="6" t="str">
        <f t="shared" ca="1" si="714"/>
        <v>202412</v>
      </c>
      <c r="AI2540" s="6">
        <f t="shared" ca="1" si="715"/>
        <v>2024</v>
      </c>
      <c r="AJ2540" s="6">
        <f t="shared" ca="1" si="716"/>
        <v>12</v>
      </c>
      <c r="AK2540" s="68">
        <f ca="1">IFERROR(__xludf.DUMMYFUNCTION("""COMPUTED_VALUE"""),45634.9986111111)</f>
        <v>45634.998611111099</v>
      </c>
      <c r="AL2540" s="6">
        <f ca="1">IFERROR(__xludf.DUMMYFUNCTION("""COMPUTED_VALUE"""),99819.01)</f>
        <v>99819.01</v>
      </c>
      <c r="AP2540" s="6" t="str">
        <f t="shared" si="717"/>
        <v>19001</v>
      </c>
      <c r="AQ2540" s="6">
        <f t="shared" si="718"/>
        <v>1900</v>
      </c>
      <c r="AR2540" s="6">
        <f t="shared" si="719"/>
        <v>1</v>
      </c>
    </row>
    <row r="2541" spans="2:44" x14ac:dyDescent="0.35">
      <c r="B2541" s="6" t="str">
        <f t="shared" si="702"/>
        <v>19001</v>
      </c>
      <c r="C2541" s="6">
        <f t="shared" si="703"/>
        <v>1900</v>
      </c>
      <c r="D2541" s="6">
        <f t="shared" si="704"/>
        <v>1</v>
      </c>
      <c r="J2541" s="6" t="str">
        <f t="shared" si="705"/>
        <v>19001</v>
      </c>
      <c r="K2541" s="6">
        <f t="shared" si="706"/>
        <v>1900</v>
      </c>
      <c r="L2541" s="6">
        <f t="shared" si="707"/>
        <v>1</v>
      </c>
      <c r="R2541" s="6" t="str">
        <f t="shared" si="708"/>
        <v>19001</v>
      </c>
      <c r="S2541" s="6">
        <f t="shared" si="709"/>
        <v>1900</v>
      </c>
      <c r="T2541" s="6">
        <f t="shared" si="710"/>
        <v>1</v>
      </c>
      <c r="Z2541" s="6" t="str">
        <f t="shared" ca="1" si="711"/>
        <v>20252</v>
      </c>
      <c r="AA2541" s="6">
        <f t="shared" ca="1" si="712"/>
        <v>2025</v>
      </c>
      <c r="AB2541" s="6">
        <f t="shared" ca="1" si="713"/>
        <v>2</v>
      </c>
      <c r="AC2541" s="68">
        <f ca="1">IFERROR(__xludf.DUMMYFUNCTION("""COMPUTED_VALUE"""),45694.9986111111)</f>
        <v>45694.998611111099</v>
      </c>
      <c r="AD2541" s="6">
        <f ca="1">IFERROR(__xludf.DUMMYFUNCTION("""COMPUTED_VALUE"""),1442.15)</f>
        <v>1442.15</v>
      </c>
      <c r="AH2541" s="6" t="str">
        <f t="shared" ca="1" si="714"/>
        <v>202412</v>
      </c>
      <c r="AI2541" s="6">
        <f t="shared" ca="1" si="715"/>
        <v>2024</v>
      </c>
      <c r="AJ2541" s="6">
        <f t="shared" ca="1" si="716"/>
        <v>12</v>
      </c>
      <c r="AK2541" s="68">
        <f ca="1">IFERROR(__xludf.DUMMYFUNCTION("""COMPUTED_VALUE"""),45635.9986111111)</f>
        <v>45635.998611111099</v>
      </c>
      <c r="AL2541" s="6">
        <f ca="1">IFERROR(__xludf.DUMMYFUNCTION("""COMPUTED_VALUE"""),99438.46)</f>
        <v>99438.46</v>
      </c>
      <c r="AP2541" s="6" t="str">
        <f t="shared" si="717"/>
        <v>19001</v>
      </c>
      <c r="AQ2541" s="6">
        <f t="shared" si="718"/>
        <v>1900</v>
      </c>
      <c r="AR2541" s="6">
        <f t="shared" si="719"/>
        <v>1</v>
      </c>
    </row>
    <row r="2542" spans="2:44" x14ac:dyDescent="0.35">
      <c r="B2542" s="6" t="str">
        <f t="shared" si="702"/>
        <v>19001</v>
      </c>
      <c r="C2542" s="6">
        <f t="shared" si="703"/>
        <v>1900</v>
      </c>
      <c r="D2542" s="6">
        <f t="shared" si="704"/>
        <v>1</v>
      </c>
      <c r="J2542" s="6" t="str">
        <f t="shared" si="705"/>
        <v>19001</v>
      </c>
      <c r="K2542" s="6">
        <f t="shared" si="706"/>
        <v>1900</v>
      </c>
      <c r="L2542" s="6">
        <f t="shared" si="707"/>
        <v>1</v>
      </c>
      <c r="R2542" s="6" t="str">
        <f t="shared" si="708"/>
        <v>19001</v>
      </c>
      <c r="S2542" s="6">
        <f t="shared" si="709"/>
        <v>1900</v>
      </c>
      <c r="T2542" s="6">
        <f t="shared" si="710"/>
        <v>1</v>
      </c>
      <c r="Z2542" s="6" t="str">
        <f t="shared" ca="1" si="711"/>
        <v>20252</v>
      </c>
      <c r="AA2542" s="6">
        <f t="shared" ca="1" si="712"/>
        <v>2025</v>
      </c>
      <c r="AB2542" s="6">
        <f t="shared" ca="1" si="713"/>
        <v>2</v>
      </c>
      <c r="AC2542" s="68">
        <f ca="1">IFERROR(__xludf.DUMMYFUNCTION("""COMPUTED_VALUE"""),45695.9986111111)</f>
        <v>45695.998611111099</v>
      </c>
      <c r="AD2542" s="6">
        <f ca="1">IFERROR(__xludf.DUMMYFUNCTION("""COMPUTED_VALUE"""),1450.62)</f>
        <v>1450.62</v>
      </c>
      <c r="AH2542" s="6" t="str">
        <f t="shared" ca="1" si="714"/>
        <v>202412</v>
      </c>
      <c r="AI2542" s="6">
        <f t="shared" ca="1" si="715"/>
        <v>2024</v>
      </c>
      <c r="AJ2542" s="6">
        <f t="shared" ca="1" si="716"/>
        <v>12</v>
      </c>
      <c r="AK2542" s="68">
        <f ca="1">IFERROR(__xludf.DUMMYFUNCTION("""COMPUTED_VALUE"""),45636.9986111111)</f>
        <v>45636.998611111099</v>
      </c>
      <c r="AL2542" s="6">
        <f ca="1">IFERROR(__xludf.DUMMYFUNCTION("""COMPUTED_VALUE"""),97077.3)</f>
        <v>97077.3</v>
      </c>
      <c r="AP2542" s="6" t="str">
        <f t="shared" si="717"/>
        <v>19001</v>
      </c>
      <c r="AQ2542" s="6">
        <f t="shared" si="718"/>
        <v>1900</v>
      </c>
      <c r="AR2542" s="6">
        <f t="shared" si="719"/>
        <v>1</v>
      </c>
    </row>
    <row r="2543" spans="2:44" x14ac:dyDescent="0.35">
      <c r="B2543" s="6" t="str">
        <f t="shared" si="702"/>
        <v>19001</v>
      </c>
      <c r="C2543" s="6">
        <f t="shared" si="703"/>
        <v>1900</v>
      </c>
      <c r="D2543" s="6">
        <f t="shared" si="704"/>
        <v>1</v>
      </c>
      <c r="J2543" s="6" t="str">
        <f t="shared" si="705"/>
        <v>19001</v>
      </c>
      <c r="K2543" s="6">
        <f t="shared" si="706"/>
        <v>1900</v>
      </c>
      <c r="L2543" s="6">
        <f t="shared" si="707"/>
        <v>1</v>
      </c>
      <c r="R2543" s="6" t="str">
        <f t="shared" si="708"/>
        <v>19001</v>
      </c>
      <c r="S2543" s="6">
        <f t="shared" si="709"/>
        <v>1900</v>
      </c>
      <c r="T2543" s="6">
        <f t="shared" si="710"/>
        <v>1</v>
      </c>
      <c r="Z2543" s="6" t="str">
        <f t="shared" ca="1" si="711"/>
        <v>20252</v>
      </c>
      <c r="AA2543" s="6">
        <f t="shared" ca="1" si="712"/>
        <v>2025</v>
      </c>
      <c r="AB2543" s="6">
        <f t="shared" ca="1" si="713"/>
        <v>2</v>
      </c>
      <c r="AC2543" s="68">
        <f ca="1">IFERROR(__xludf.DUMMYFUNCTION("""COMPUTED_VALUE"""),45696.9986111111)</f>
        <v>45696.998611111099</v>
      </c>
      <c r="AD2543" s="6">
        <f ca="1">IFERROR(__xludf.DUMMYFUNCTION("""COMPUTED_VALUE"""),1450.62)</f>
        <v>1450.62</v>
      </c>
      <c r="AH2543" s="6" t="str">
        <f t="shared" ca="1" si="714"/>
        <v>202412</v>
      </c>
      <c r="AI2543" s="6">
        <f t="shared" ca="1" si="715"/>
        <v>2024</v>
      </c>
      <c r="AJ2543" s="6">
        <f t="shared" ca="1" si="716"/>
        <v>12</v>
      </c>
      <c r="AK2543" s="68">
        <f ca="1">IFERROR(__xludf.DUMMYFUNCTION("""COMPUTED_VALUE"""),45637.9986111111)</f>
        <v>45637.998611111099</v>
      </c>
      <c r="AL2543" s="6">
        <f ca="1">IFERROR(__xludf.DUMMYFUNCTION("""COMPUTED_VALUE"""),97601.6)</f>
        <v>97601.600000000006</v>
      </c>
      <c r="AP2543" s="6" t="str">
        <f t="shared" si="717"/>
        <v>19001</v>
      </c>
      <c r="AQ2543" s="6">
        <f t="shared" si="718"/>
        <v>1900</v>
      </c>
      <c r="AR2543" s="6">
        <f t="shared" si="719"/>
        <v>1</v>
      </c>
    </row>
    <row r="2544" spans="2:44" x14ac:dyDescent="0.35">
      <c r="B2544" s="6" t="str">
        <f t="shared" si="702"/>
        <v>19001</v>
      </c>
      <c r="C2544" s="6">
        <f t="shared" si="703"/>
        <v>1900</v>
      </c>
      <c r="D2544" s="6">
        <f t="shared" si="704"/>
        <v>1</v>
      </c>
      <c r="J2544" s="6" t="str">
        <f t="shared" si="705"/>
        <v>19001</v>
      </c>
      <c r="K2544" s="6">
        <f t="shared" si="706"/>
        <v>1900</v>
      </c>
      <c r="L2544" s="6">
        <f t="shared" si="707"/>
        <v>1</v>
      </c>
      <c r="R2544" s="6" t="str">
        <f t="shared" si="708"/>
        <v>19001</v>
      </c>
      <c r="S2544" s="6">
        <f t="shared" si="709"/>
        <v>1900</v>
      </c>
      <c r="T2544" s="6">
        <f t="shared" si="710"/>
        <v>1</v>
      </c>
      <c r="Z2544" s="6" t="str">
        <f t="shared" ca="1" si="711"/>
        <v>20252</v>
      </c>
      <c r="AA2544" s="6">
        <f t="shared" ca="1" si="712"/>
        <v>2025</v>
      </c>
      <c r="AB2544" s="6">
        <f t="shared" ca="1" si="713"/>
        <v>2</v>
      </c>
      <c r="AC2544" s="68">
        <f ca="1">IFERROR(__xludf.DUMMYFUNCTION("""COMPUTED_VALUE"""),45697.9986111111)</f>
        <v>45697.998611111099</v>
      </c>
      <c r="AD2544" s="6">
        <f ca="1">IFERROR(__xludf.DUMMYFUNCTION("""COMPUTED_VALUE"""),1450.62)</f>
        <v>1450.62</v>
      </c>
      <c r="AH2544" s="6" t="str">
        <f t="shared" ca="1" si="714"/>
        <v>202412</v>
      </c>
      <c r="AI2544" s="6">
        <f t="shared" ca="1" si="715"/>
        <v>2024</v>
      </c>
      <c r="AJ2544" s="6">
        <f t="shared" ca="1" si="716"/>
        <v>12</v>
      </c>
      <c r="AK2544" s="68">
        <f ca="1">IFERROR(__xludf.DUMMYFUNCTION("""COMPUTED_VALUE"""),45638.9986111111)</f>
        <v>45638.998611111099</v>
      </c>
      <c r="AL2544" s="6">
        <f ca="1">IFERROR(__xludf.DUMMYFUNCTION("""COMPUTED_VALUE"""),100697.2)</f>
        <v>100697.2</v>
      </c>
      <c r="AP2544" s="6" t="str">
        <f t="shared" si="717"/>
        <v>19001</v>
      </c>
      <c r="AQ2544" s="6">
        <f t="shared" si="718"/>
        <v>1900</v>
      </c>
      <c r="AR2544" s="6">
        <f t="shared" si="719"/>
        <v>1</v>
      </c>
    </row>
    <row r="2545" spans="2:44" x14ac:dyDescent="0.35">
      <c r="B2545" s="6" t="str">
        <f t="shared" si="702"/>
        <v>19001</v>
      </c>
      <c r="C2545" s="6">
        <f t="shared" si="703"/>
        <v>1900</v>
      </c>
      <c r="D2545" s="6">
        <f t="shared" si="704"/>
        <v>1</v>
      </c>
      <c r="J2545" s="6" t="str">
        <f t="shared" si="705"/>
        <v>19001</v>
      </c>
      <c r="K2545" s="6">
        <f t="shared" si="706"/>
        <v>1900</v>
      </c>
      <c r="L2545" s="6">
        <f t="shared" si="707"/>
        <v>1</v>
      </c>
      <c r="R2545" s="6" t="str">
        <f t="shared" si="708"/>
        <v>19001</v>
      </c>
      <c r="S2545" s="6">
        <f t="shared" si="709"/>
        <v>1900</v>
      </c>
      <c r="T2545" s="6">
        <f t="shared" si="710"/>
        <v>1</v>
      </c>
      <c r="Z2545" s="6" t="str">
        <f t="shared" ca="1" si="711"/>
        <v>20252</v>
      </c>
      <c r="AA2545" s="6">
        <f t="shared" ca="1" si="712"/>
        <v>2025</v>
      </c>
      <c r="AB2545" s="6">
        <f t="shared" ca="1" si="713"/>
        <v>2</v>
      </c>
      <c r="AC2545" s="68">
        <f ca="1">IFERROR(__xludf.DUMMYFUNCTION("""COMPUTED_VALUE"""),45698.9986111111)</f>
        <v>45698.998611111099</v>
      </c>
      <c r="AD2545" s="6">
        <f ca="1">IFERROR(__xludf.DUMMYFUNCTION("""COMPUTED_VALUE"""),1453.21)</f>
        <v>1453.21</v>
      </c>
      <c r="AH2545" s="6" t="str">
        <f t="shared" ca="1" si="714"/>
        <v>202412</v>
      </c>
      <c r="AI2545" s="6">
        <f t="shared" ca="1" si="715"/>
        <v>2024</v>
      </c>
      <c r="AJ2545" s="6">
        <f t="shared" ca="1" si="716"/>
        <v>12</v>
      </c>
      <c r="AK2545" s="68">
        <f ca="1">IFERROR(__xludf.DUMMYFUNCTION("""COMPUTED_VALUE"""),45639.9986111111)</f>
        <v>45639.998611111099</v>
      </c>
      <c r="AL2545" s="6">
        <f ca="1">IFERROR(__xludf.DUMMYFUNCTION("""COMPUTED_VALUE"""),99999.12)</f>
        <v>99999.12</v>
      </c>
      <c r="AP2545" s="6" t="str">
        <f t="shared" si="717"/>
        <v>19001</v>
      </c>
      <c r="AQ2545" s="6">
        <f t="shared" si="718"/>
        <v>1900</v>
      </c>
      <c r="AR2545" s="6">
        <f t="shared" si="719"/>
        <v>1</v>
      </c>
    </row>
    <row r="2546" spans="2:44" x14ac:dyDescent="0.35">
      <c r="B2546" s="6" t="str">
        <f t="shared" si="702"/>
        <v>19001</v>
      </c>
      <c r="C2546" s="6">
        <f t="shared" si="703"/>
        <v>1900</v>
      </c>
      <c r="D2546" s="6">
        <f t="shared" si="704"/>
        <v>1</v>
      </c>
      <c r="J2546" s="6" t="str">
        <f t="shared" si="705"/>
        <v>19001</v>
      </c>
      <c r="K2546" s="6">
        <f t="shared" si="706"/>
        <v>1900</v>
      </c>
      <c r="L2546" s="6">
        <f t="shared" si="707"/>
        <v>1</v>
      </c>
      <c r="R2546" s="6" t="str">
        <f t="shared" si="708"/>
        <v>19001</v>
      </c>
      <c r="S2546" s="6">
        <f t="shared" si="709"/>
        <v>1900</v>
      </c>
      <c r="T2546" s="6">
        <f t="shared" si="710"/>
        <v>1</v>
      </c>
      <c r="Z2546" s="6" t="str">
        <f t="shared" ca="1" si="711"/>
        <v>20252</v>
      </c>
      <c r="AA2546" s="6">
        <f t="shared" ca="1" si="712"/>
        <v>2025</v>
      </c>
      <c r="AB2546" s="6">
        <f t="shared" ca="1" si="713"/>
        <v>2</v>
      </c>
      <c r="AC2546" s="68">
        <f ca="1">IFERROR(__xludf.DUMMYFUNCTION("""COMPUTED_VALUE"""),45699.9986111111)</f>
        <v>45699.998611111099</v>
      </c>
      <c r="AD2546" s="6">
        <f ca="1">IFERROR(__xludf.DUMMYFUNCTION("""COMPUTED_VALUE"""),1450.75)</f>
        <v>1450.75</v>
      </c>
      <c r="AH2546" s="6" t="str">
        <f t="shared" ca="1" si="714"/>
        <v>202412</v>
      </c>
      <c r="AI2546" s="6">
        <f t="shared" ca="1" si="715"/>
        <v>2024</v>
      </c>
      <c r="AJ2546" s="6">
        <f t="shared" ca="1" si="716"/>
        <v>12</v>
      </c>
      <c r="AK2546" s="68">
        <f ca="1">IFERROR(__xludf.DUMMYFUNCTION("""COMPUTED_VALUE"""),45640.9986111111)</f>
        <v>45640.998611111099</v>
      </c>
      <c r="AL2546" s="6">
        <f ca="1">IFERROR(__xludf.DUMMYFUNCTION("""COMPUTED_VALUE"""),101680.9)</f>
        <v>101680.9</v>
      </c>
      <c r="AP2546" s="6" t="str">
        <f t="shared" si="717"/>
        <v>19001</v>
      </c>
      <c r="AQ2546" s="6">
        <f t="shared" si="718"/>
        <v>1900</v>
      </c>
      <c r="AR2546" s="6">
        <f t="shared" si="719"/>
        <v>1</v>
      </c>
    </row>
    <row r="2547" spans="2:44" x14ac:dyDescent="0.35">
      <c r="B2547" s="6" t="str">
        <f t="shared" si="702"/>
        <v>19001</v>
      </c>
      <c r="C2547" s="6">
        <f t="shared" si="703"/>
        <v>1900</v>
      </c>
      <c r="D2547" s="6">
        <f t="shared" si="704"/>
        <v>1</v>
      </c>
      <c r="J2547" s="6" t="str">
        <f t="shared" si="705"/>
        <v>19001</v>
      </c>
      <c r="K2547" s="6">
        <f t="shared" si="706"/>
        <v>1900</v>
      </c>
      <c r="L2547" s="6">
        <f t="shared" si="707"/>
        <v>1</v>
      </c>
      <c r="R2547" s="6" t="str">
        <f t="shared" si="708"/>
        <v>19001</v>
      </c>
      <c r="S2547" s="6">
        <f t="shared" si="709"/>
        <v>1900</v>
      </c>
      <c r="T2547" s="6">
        <f t="shared" si="710"/>
        <v>1</v>
      </c>
      <c r="Z2547" s="6" t="str">
        <f t="shared" ca="1" si="711"/>
        <v>20252</v>
      </c>
      <c r="AA2547" s="6">
        <f t="shared" ca="1" si="712"/>
        <v>2025</v>
      </c>
      <c r="AB2547" s="6">
        <f t="shared" ca="1" si="713"/>
        <v>2</v>
      </c>
      <c r="AC2547" s="68">
        <f ca="1">IFERROR(__xludf.DUMMYFUNCTION("""COMPUTED_VALUE"""),45700.9986111111)</f>
        <v>45700.998611111099</v>
      </c>
      <c r="AD2547" s="6">
        <f ca="1">IFERROR(__xludf.DUMMYFUNCTION("""COMPUTED_VALUE"""),1452.12)</f>
        <v>1452.12</v>
      </c>
      <c r="AH2547" s="6" t="str">
        <f t="shared" ca="1" si="714"/>
        <v>202412</v>
      </c>
      <c r="AI2547" s="6">
        <f t="shared" ca="1" si="715"/>
        <v>2024</v>
      </c>
      <c r="AJ2547" s="6">
        <f t="shared" ca="1" si="716"/>
        <v>12</v>
      </c>
      <c r="AK2547" s="68">
        <f ca="1">IFERROR(__xludf.DUMMYFUNCTION("""COMPUTED_VALUE"""),45641.9986111111)</f>
        <v>45641.998611111099</v>
      </c>
      <c r="AL2547" s="6">
        <f ca="1">IFERROR(__xludf.DUMMYFUNCTION("""COMPUTED_VALUE"""),102259.9)</f>
        <v>102259.9</v>
      </c>
      <c r="AP2547" s="6" t="str">
        <f t="shared" si="717"/>
        <v>19001</v>
      </c>
      <c r="AQ2547" s="6">
        <f t="shared" si="718"/>
        <v>1900</v>
      </c>
      <c r="AR2547" s="6">
        <f t="shared" si="719"/>
        <v>1</v>
      </c>
    </row>
    <row r="2548" spans="2:44" x14ac:dyDescent="0.35">
      <c r="B2548" s="6" t="str">
        <f t="shared" si="702"/>
        <v>19001</v>
      </c>
      <c r="C2548" s="6">
        <f t="shared" si="703"/>
        <v>1900</v>
      </c>
      <c r="D2548" s="6">
        <f t="shared" si="704"/>
        <v>1</v>
      </c>
      <c r="J2548" s="6" t="str">
        <f t="shared" si="705"/>
        <v>19001</v>
      </c>
      <c r="K2548" s="6">
        <f t="shared" si="706"/>
        <v>1900</v>
      </c>
      <c r="L2548" s="6">
        <f t="shared" si="707"/>
        <v>1</v>
      </c>
      <c r="R2548" s="6" t="str">
        <f t="shared" si="708"/>
        <v>19001</v>
      </c>
      <c r="S2548" s="6">
        <f t="shared" si="709"/>
        <v>1900</v>
      </c>
      <c r="T2548" s="6">
        <f t="shared" si="710"/>
        <v>1</v>
      </c>
      <c r="Z2548" s="6" t="str">
        <f t="shared" ca="1" si="711"/>
        <v>20252</v>
      </c>
      <c r="AA2548" s="6">
        <f t="shared" ca="1" si="712"/>
        <v>2025</v>
      </c>
      <c r="AB2548" s="6">
        <f t="shared" ca="1" si="713"/>
        <v>2</v>
      </c>
      <c r="AC2548" s="68">
        <f ca="1">IFERROR(__xludf.DUMMYFUNCTION("""COMPUTED_VALUE"""),45701.9986111111)</f>
        <v>45701.998611111099</v>
      </c>
      <c r="AD2548" s="6">
        <f ca="1">IFERROR(__xludf.DUMMYFUNCTION("""COMPUTED_VALUE"""),1438.74)</f>
        <v>1438.74</v>
      </c>
      <c r="AH2548" s="6" t="str">
        <f t="shared" ca="1" si="714"/>
        <v>202412</v>
      </c>
      <c r="AI2548" s="6">
        <f t="shared" ca="1" si="715"/>
        <v>2024</v>
      </c>
      <c r="AJ2548" s="6">
        <f t="shared" ca="1" si="716"/>
        <v>12</v>
      </c>
      <c r="AK2548" s="68">
        <f ca="1">IFERROR(__xludf.DUMMYFUNCTION("""COMPUTED_VALUE"""),45642.9986111111)</f>
        <v>45642.998611111099</v>
      </c>
      <c r="AL2548" s="6">
        <f ca="1">IFERROR(__xludf.DUMMYFUNCTION("""COMPUTED_VALUE"""),104572.1)</f>
        <v>104572.1</v>
      </c>
      <c r="AP2548" s="6" t="str">
        <f t="shared" si="717"/>
        <v>19001</v>
      </c>
      <c r="AQ2548" s="6">
        <f t="shared" si="718"/>
        <v>1900</v>
      </c>
      <c r="AR2548" s="6">
        <f t="shared" si="719"/>
        <v>1</v>
      </c>
    </row>
    <row r="2549" spans="2:44" x14ac:dyDescent="0.35">
      <c r="B2549" s="6" t="str">
        <f t="shared" si="702"/>
        <v>19001</v>
      </c>
      <c r="C2549" s="6">
        <f t="shared" si="703"/>
        <v>1900</v>
      </c>
      <c r="D2549" s="6">
        <f t="shared" si="704"/>
        <v>1</v>
      </c>
      <c r="J2549" s="6" t="str">
        <f t="shared" si="705"/>
        <v>19001</v>
      </c>
      <c r="K2549" s="6">
        <f t="shared" si="706"/>
        <v>1900</v>
      </c>
      <c r="L2549" s="6">
        <f t="shared" si="707"/>
        <v>1</v>
      </c>
      <c r="R2549" s="6" t="str">
        <f t="shared" si="708"/>
        <v>19001</v>
      </c>
      <c r="S2549" s="6">
        <f t="shared" si="709"/>
        <v>1900</v>
      </c>
      <c r="T2549" s="6">
        <f t="shared" si="710"/>
        <v>1</v>
      </c>
      <c r="Z2549" s="6" t="str">
        <f t="shared" ca="1" si="711"/>
        <v>20252</v>
      </c>
      <c r="AA2549" s="6">
        <f t="shared" ca="1" si="712"/>
        <v>2025</v>
      </c>
      <c r="AB2549" s="6">
        <f t="shared" ca="1" si="713"/>
        <v>2</v>
      </c>
      <c r="AC2549" s="68">
        <f ca="1">IFERROR(__xludf.DUMMYFUNCTION("""COMPUTED_VALUE"""),45702.9986111111)</f>
        <v>45702.998611111099</v>
      </c>
      <c r="AD2549" s="6">
        <f ca="1">IFERROR(__xludf.DUMMYFUNCTION("""COMPUTED_VALUE"""),1432.5)</f>
        <v>1432.5</v>
      </c>
      <c r="AH2549" s="6" t="str">
        <f t="shared" ca="1" si="714"/>
        <v>202412</v>
      </c>
      <c r="AI2549" s="6">
        <f t="shared" ca="1" si="715"/>
        <v>2024</v>
      </c>
      <c r="AJ2549" s="6">
        <f t="shared" ca="1" si="716"/>
        <v>12</v>
      </c>
      <c r="AK2549" s="68">
        <f ca="1">IFERROR(__xludf.DUMMYFUNCTION("""COMPUTED_VALUE"""),45643.9986111111)</f>
        <v>45643.998611111099</v>
      </c>
      <c r="AL2549" s="6">
        <f ca="1">IFERROR(__xludf.DUMMYFUNCTION("""COMPUTED_VALUE"""),106490.1)</f>
        <v>106490.1</v>
      </c>
      <c r="AP2549" s="6" t="str">
        <f t="shared" si="717"/>
        <v>19001</v>
      </c>
      <c r="AQ2549" s="6">
        <f t="shared" si="718"/>
        <v>1900</v>
      </c>
      <c r="AR2549" s="6">
        <f t="shared" si="719"/>
        <v>1</v>
      </c>
    </row>
    <row r="2550" spans="2:44" x14ac:dyDescent="0.35">
      <c r="B2550" s="6" t="str">
        <f t="shared" si="702"/>
        <v>19001</v>
      </c>
      <c r="C2550" s="6">
        <f t="shared" si="703"/>
        <v>1900</v>
      </c>
      <c r="D2550" s="6">
        <f t="shared" si="704"/>
        <v>1</v>
      </c>
      <c r="J2550" s="6" t="str">
        <f t="shared" si="705"/>
        <v>19001</v>
      </c>
      <c r="K2550" s="6">
        <f t="shared" si="706"/>
        <v>1900</v>
      </c>
      <c r="L2550" s="6">
        <f t="shared" si="707"/>
        <v>1</v>
      </c>
      <c r="R2550" s="6" t="str">
        <f t="shared" si="708"/>
        <v>19001</v>
      </c>
      <c r="S2550" s="6">
        <f t="shared" si="709"/>
        <v>1900</v>
      </c>
      <c r="T2550" s="6">
        <f t="shared" si="710"/>
        <v>1</v>
      </c>
      <c r="Z2550" s="6" t="str">
        <f t="shared" ca="1" si="711"/>
        <v>20252</v>
      </c>
      <c r="AA2550" s="6">
        <f t="shared" ca="1" si="712"/>
        <v>2025</v>
      </c>
      <c r="AB2550" s="6">
        <f t="shared" ca="1" si="713"/>
        <v>2</v>
      </c>
      <c r="AC2550" s="68">
        <f ca="1">IFERROR(__xludf.DUMMYFUNCTION("""COMPUTED_VALUE"""),45703.9986111111)</f>
        <v>45703.998611111099</v>
      </c>
      <c r="AD2550" s="6">
        <f ca="1">IFERROR(__xludf.DUMMYFUNCTION("""COMPUTED_VALUE"""),1439.43)</f>
        <v>1439.43</v>
      </c>
      <c r="AH2550" s="6" t="str">
        <f t="shared" ca="1" si="714"/>
        <v>202412</v>
      </c>
      <c r="AI2550" s="6">
        <f t="shared" ca="1" si="715"/>
        <v>2024</v>
      </c>
      <c r="AJ2550" s="6">
        <f t="shared" ca="1" si="716"/>
        <v>12</v>
      </c>
      <c r="AK2550" s="68">
        <f ca="1">IFERROR(__xludf.DUMMYFUNCTION("""COMPUTED_VALUE"""),45644.9986111111)</f>
        <v>45644.998611111099</v>
      </c>
      <c r="AL2550" s="6">
        <f ca="1">IFERROR(__xludf.DUMMYFUNCTION("""COMPUTED_VALUE"""),103848.1)</f>
        <v>103848.1</v>
      </c>
      <c r="AP2550" s="6" t="str">
        <f t="shared" si="717"/>
        <v>19001</v>
      </c>
      <c r="AQ2550" s="6">
        <f t="shared" si="718"/>
        <v>1900</v>
      </c>
      <c r="AR2550" s="6">
        <f t="shared" si="719"/>
        <v>1</v>
      </c>
    </row>
    <row r="2551" spans="2:44" x14ac:dyDescent="0.35">
      <c r="B2551" s="6" t="str">
        <f t="shared" si="702"/>
        <v>19001</v>
      </c>
      <c r="C2551" s="6">
        <f t="shared" si="703"/>
        <v>1900</v>
      </c>
      <c r="D2551" s="6">
        <f t="shared" si="704"/>
        <v>1</v>
      </c>
      <c r="J2551" s="6" t="str">
        <f t="shared" si="705"/>
        <v>19001</v>
      </c>
      <c r="K2551" s="6">
        <f t="shared" si="706"/>
        <v>1900</v>
      </c>
      <c r="L2551" s="6">
        <f t="shared" si="707"/>
        <v>1</v>
      </c>
      <c r="R2551" s="6" t="str">
        <f t="shared" si="708"/>
        <v>19001</v>
      </c>
      <c r="S2551" s="6">
        <f t="shared" si="709"/>
        <v>1900</v>
      </c>
      <c r="T2551" s="6">
        <f t="shared" si="710"/>
        <v>1</v>
      </c>
      <c r="Z2551" s="6" t="str">
        <f t="shared" ca="1" si="711"/>
        <v>20252</v>
      </c>
      <c r="AA2551" s="6">
        <f t="shared" ca="1" si="712"/>
        <v>2025</v>
      </c>
      <c r="AB2551" s="6">
        <f t="shared" ca="1" si="713"/>
        <v>2</v>
      </c>
      <c r="AC2551" s="68">
        <f ca="1">IFERROR(__xludf.DUMMYFUNCTION("""COMPUTED_VALUE"""),45704.9986111111)</f>
        <v>45704.998611111099</v>
      </c>
      <c r="AD2551" s="6">
        <f ca="1">IFERROR(__xludf.DUMMYFUNCTION("""COMPUTED_VALUE"""),1432.6)</f>
        <v>1432.6</v>
      </c>
      <c r="AH2551" s="6" t="str">
        <f t="shared" ca="1" si="714"/>
        <v>202412</v>
      </c>
      <c r="AI2551" s="6">
        <f t="shared" ca="1" si="715"/>
        <v>2024</v>
      </c>
      <c r="AJ2551" s="6">
        <f t="shared" ca="1" si="716"/>
        <v>12</v>
      </c>
      <c r="AK2551" s="68">
        <f ca="1">IFERROR(__xludf.DUMMYFUNCTION("""COMPUTED_VALUE"""),45645.9986111111)</f>
        <v>45645.998611111099</v>
      </c>
      <c r="AL2551" s="6">
        <f ca="1">IFERROR(__xludf.DUMMYFUNCTION("""COMPUTED_VALUE"""),100646.2)</f>
        <v>100646.2</v>
      </c>
      <c r="AP2551" s="6" t="str">
        <f t="shared" si="717"/>
        <v>19001</v>
      </c>
      <c r="AQ2551" s="6">
        <f t="shared" si="718"/>
        <v>1900</v>
      </c>
      <c r="AR2551" s="6">
        <f t="shared" si="719"/>
        <v>1</v>
      </c>
    </row>
    <row r="2552" spans="2:44" x14ac:dyDescent="0.35">
      <c r="B2552" s="6" t="str">
        <f t="shared" si="702"/>
        <v>19001</v>
      </c>
      <c r="C2552" s="6">
        <f t="shared" si="703"/>
        <v>1900</v>
      </c>
      <c r="D2552" s="6">
        <f t="shared" si="704"/>
        <v>1</v>
      </c>
      <c r="J2552" s="6" t="str">
        <f t="shared" si="705"/>
        <v>19001</v>
      </c>
      <c r="K2552" s="6">
        <f t="shared" si="706"/>
        <v>1900</v>
      </c>
      <c r="L2552" s="6">
        <f t="shared" si="707"/>
        <v>1</v>
      </c>
      <c r="R2552" s="6" t="str">
        <f t="shared" si="708"/>
        <v>19001</v>
      </c>
      <c r="S2552" s="6">
        <f t="shared" si="709"/>
        <v>1900</v>
      </c>
      <c r="T2552" s="6">
        <f t="shared" si="710"/>
        <v>1</v>
      </c>
      <c r="Z2552" s="6" t="str">
        <f t="shared" ca="1" si="711"/>
        <v>20252</v>
      </c>
      <c r="AA2552" s="6">
        <f t="shared" ca="1" si="712"/>
        <v>2025</v>
      </c>
      <c r="AB2552" s="6">
        <f t="shared" ca="1" si="713"/>
        <v>2</v>
      </c>
      <c r="AC2552" s="68">
        <f ca="1">IFERROR(__xludf.DUMMYFUNCTION("""COMPUTED_VALUE"""),45705.9986111111)</f>
        <v>45705.998611111099</v>
      </c>
      <c r="AD2552" s="6">
        <f ca="1">IFERROR(__xludf.DUMMYFUNCTION("""COMPUTED_VALUE"""),1441.29)</f>
        <v>1441.29</v>
      </c>
      <c r="AH2552" s="6" t="str">
        <f t="shared" ca="1" si="714"/>
        <v>202412</v>
      </c>
      <c r="AI2552" s="6">
        <f t="shared" ca="1" si="715"/>
        <v>2024</v>
      </c>
      <c r="AJ2552" s="6">
        <f t="shared" ca="1" si="716"/>
        <v>12</v>
      </c>
      <c r="AK2552" s="68">
        <f ca="1">IFERROR(__xludf.DUMMYFUNCTION("""COMPUTED_VALUE"""),45646.9986111111)</f>
        <v>45646.998611111099</v>
      </c>
      <c r="AL2552" s="6">
        <f ca="1">IFERROR(__xludf.DUMMYFUNCTION("""COMPUTED_VALUE"""),97334.15)</f>
        <v>97334.15</v>
      </c>
      <c r="AP2552" s="6" t="str">
        <f t="shared" si="717"/>
        <v>19001</v>
      </c>
      <c r="AQ2552" s="6">
        <f t="shared" si="718"/>
        <v>1900</v>
      </c>
      <c r="AR2552" s="6">
        <f t="shared" si="719"/>
        <v>1</v>
      </c>
    </row>
    <row r="2553" spans="2:44" x14ac:dyDescent="0.35">
      <c r="B2553" s="6" t="str">
        <f t="shared" si="702"/>
        <v>19001</v>
      </c>
      <c r="C2553" s="6">
        <f t="shared" si="703"/>
        <v>1900</v>
      </c>
      <c r="D2553" s="6">
        <f t="shared" si="704"/>
        <v>1</v>
      </c>
      <c r="J2553" s="6" t="str">
        <f t="shared" si="705"/>
        <v>19001</v>
      </c>
      <c r="K2553" s="6">
        <f t="shared" si="706"/>
        <v>1900</v>
      </c>
      <c r="L2553" s="6">
        <f t="shared" si="707"/>
        <v>1</v>
      </c>
      <c r="R2553" s="6" t="str">
        <f t="shared" si="708"/>
        <v>19001</v>
      </c>
      <c r="S2553" s="6">
        <f t="shared" si="709"/>
        <v>1900</v>
      </c>
      <c r="T2553" s="6">
        <f t="shared" si="710"/>
        <v>1</v>
      </c>
      <c r="Z2553" s="6" t="str">
        <f t="shared" ca="1" si="711"/>
        <v>20252</v>
      </c>
      <c r="AA2553" s="6">
        <f t="shared" ca="1" si="712"/>
        <v>2025</v>
      </c>
      <c r="AB2553" s="6">
        <f t="shared" ca="1" si="713"/>
        <v>2</v>
      </c>
      <c r="AC2553" s="68">
        <f ca="1">IFERROR(__xludf.DUMMYFUNCTION("""COMPUTED_VALUE"""),45706.9986111111)</f>
        <v>45706.998611111099</v>
      </c>
      <c r="AD2553" s="6">
        <f ca="1">IFERROR(__xludf.DUMMYFUNCTION("""COMPUTED_VALUE"""),1440.08)</f>
        <v>1440.08</v>
      </c>
      <c r="AH2553" s="6" t="str">
        <f t="shared" ca="1" si="714"/>
        <v>202412</v>
      </c>
      <c r="AI2553" s="6">
        <f t="shared" ca="1" si="715"/>
        <v>2024</v>
      </c>
      <c r="AJ2553" s="6">
        <f t="shared" ca="1" si="716"/>
        <v>12</v>
      </c>
      <c r="AK2553" s="68">
        <f ca="1">IFERROR(__xludf.DUMMYFUNCTION("""COMPUTED_VALUE"""),45647.9986111111)</f>
        <v>45647.998611111099</v>
      </c>
      <c r="AL2553" s="6">
        <f ca="1">IFERROR(__xludf.DUMMYFUNCTION("""COMPUTED_VALUE"""),97623.92)</f>
        <v>97623.92</v>
      </c>
      <c r="AP2553" s="6" t="str">
        <f t="shared" si="717"/>
        <v>19001</v>
      </c>
      <c r="AQ2553" s="6">
        <f t="shared" si="718"/>
        <v>1900</v>
      </c>
      <c r="AR2553" s="6">
        <f t="shared" si="719"/>
        <v>1</v>
      </c>
    </row>
    <row r="2554" spans="2:44" x14ac:dyDescent="0.35">
      <c r="B2554" s="6" t="str">
        <f t="shared" si="702"/>
        <v>19001</v>
      </c>
      <c r="C2554" s="6">
        <f t="shared" si="703"/>
        <v>1900</v>
      </c>
      <c r="D2554" s="6">
        <f t="shared" si="704"/>
        <v>1</v>
      </c>
      <c r="J2554" s="6" t="str">
        <f t="shared" si="705"/>
        <v>19001</v>
      </c>
      <c r="K2554" s="6">
        <f t="shared" si="706"/>
        <v>1900</v>
      </c>
      <c r="L2554" s="6">
        <f t="shared" si="707"/>
        <v>1</v>
      </c>
      <c r="R2554" s="6" t="str">
        <f t="shared" si="708"/>
        <v>19001</v>
      </c>
      <c r="S2554" s="6">
        <f t="shared" si="709"/>
        <v>1900</v>
      </c>
      <c r="T2554" s="6">
        <f t="shared" si="710"/>
        <v>1</v>
      </c>
      <c r="Z2554" s="6" t="str">
        <f t="shared" ca="1" si="711"/>
        <v>20252</v>
      </c>
      <c r="AA2554" s="6">
        <f t="shared" ca="1" si="712"/>
        <v>2025</v>
      </c>
      <c r="AB2554" s="6">
        <f t="shared" ca="1" si="713"/>
        <v>2</v>
      </c>
      <c r="AC2554" s="68">
        <f ca="1">IFERROR(__xludf.DUMMYFUNCTION("""COMPUTED_VALUE"""),45707.9986111111)</f>
        <v>45707.998611111099</v>
      </c>
      <c r="AD2554" s="6">
        <f ca="1">IFERROR(__xludf.DUMMYFUNCTION("""COMPUTED_VALUE"""),1439.98)</f>
        <v>1439.98</v>
      </c>
      <c r="AH2554" s="6" t="str">
        <f t="shared" ca="1" si="714"/>
        <v>202412</v>
      </c>
      <c r="AI2554" s="6">
        <f t="shared" ca="1" si="715"/>
        <v>2024</v>
      </c>
      <c r="AJ2554" s="6">
        <f t="shared" ca="1" si="716"/>
        <v>12</v>
      </c>
      <c r="AK2554" s="68">
        <f ca="1">IFERROR(__xludf.DUMMYFUNCTION("""COMPUTED_VALUE"""),45648.9986111111)</f>
        <v>45648.998611111099</v>
      </c>
      <c r="AL2554" s="6">
        <f ca="1">IFERROR(__xludf.DUMMYFUNCTION("""COMPUTED_VALUE"""),96193.61)</f>
        <v>96193.61</v>
      </c>
      <c r="AP2554" s="6" t="str">
        <f t="shared" si="717"/>
        <v>19001</v>
      </c>
      <c r="AQ2554" s="6">
        <f t="shared" si="718"/>
        <v>1900</v>
      </c>
      <c r="AR2554" s="6">
        <f t="shared" si="719"/>
        <v>1</v>
      </c>
    </row>
    <row r="2555" spans="2:44" x14ac:dyDescent="0.35">
      <c r="B2555" s="6" t="str">
        <f t="shared" si="702"/>
        <v>19001</v>
      </c>
      <c r="C2555" s="6">
        <f t="shared" si="703"/>
        <v>1900</v>
      </c>
      <c r="D2555" s="6">
        <f t="shared" si="704"/>
        <v>1</v>
      </c>
      <c r="J2555" s="6" t="str">
        <f t="shared" si="705"/>
        <v>19001</v>
      </c>
      <c r="K2555" s="6">
        <f t="shared" si="706"/>
        <v>1900</v>
      </c>
      <c r="L2555" s="6">
        <f t="shared" si="707"/>
        <v>1</v>
      </c>
      <c r="R2555" s="6" t="str">
        <f t="shared" si="708"/>
        <v>19001</v>
      </c>
      <c r="S2555" s="6">
        <f t="shared" si="709"/>
        <v>1900</v>
      </c>
      <c r="T2555" s="6">
        <f t="shared" si="710"/>
        <v>1</v>
      </c>
      <c r="Z2555" s="6" t="str">
        <f t="shared" ca="1" si="711"/>
        <v>20252</v>
      </c>
      <c r="AA2555" s="6">
        <f t="shared" ca="1" si="712"/>
        <v>2025</v>
      </c>
      <c r="AB2555" s="6">
        <f t="shared" ca="1" si="713"/>
        <v>2</v>
      </c>
      <c r="AC2555" s="68">
        <f ca="1">IFERROR(__xludf.DUMMYFUNCTION("""COMPUTED_VALUE"""),45708.9986111111)</f>
        <v>45708.998611111099</v>
      </c>
      <c r="AD2555" s="6">
        <f ca="1">IFERROR(__xludf.DUMMYFUNCTION("""COMPUTED_VALUE"""),1431.7)</f>
        <v>1431.7</v>
      </c>
      <c r="AH2555" s="6" t="str">
        <f t="shared" ca="1" si="714"/>
        <v>202412</v>
      </c>
      <c r="AI2555" s="6">
        <f t="shared" ca="1" si="715"/>
        <v>2024</v>
      </c>
      <c r="AJ2555" s="6">
        <f t="shared" ca="1" si="716"/>
        <v>12</v>
      </c>
      <c r="AK2555" s="68">
        <f ca="1">IFERROR(__xludf.DUMMYFUNCTION("""COMPUTED_VALUE"""),45649.9986111111)</f>
        <v>45649.998611111099</v>
      </c>
      <c r="AL2555" s="6">
        <f ca="1">IFERROR(__xludf.DUMMYFUNCTION("""COMPUTED_VALUE"""),95786.72)</f>
        <v>95786.72</v>
      </c>
      <c r="AP2555" s="6" t="str">
        <f t="shared" si="717"/>
        <v>19001</v>
      </c>
      <c r="AQ2555" s="6">
        <f t="shared" si="718"/>
        <v>1900</v>
      </c>
      <c r="AR2555" s="6">
        <f t="shared" si="719"/>
        <v>1</v>
      </c>
    </row>
    <row r="2556" spans="2:44" x14ac:dyDescent="0.35">
      <c r="B2556" s="6" t="str">
        <f t="shared" si="702"/>
        <v>19001</v>
      </c>
      <c r="C2556" s="6">
        <f t="shared" si="703"/>
        <v>1900</v>
      </c>
      <c r="D2556" s="6">
        <f t="shared" si="704"/>
        <v>1</v>
      </c>
      <c r="J2556" s="6" t="str">
        <f t="shared" si="705"/>
        <v>19001</v>
      </c>
      <c r="K2556" s="6">
        <f t="shared" si="706"/>
        <v>1900</v>
      </c>
      <c r="L2556" s="6">
        <f t="shared" si="707"/>
        <v>1</v>
      </c>
      <c r="R2556" s="6" t="str">
        <f t="shared" si="708"/>
        <v>19001</v>
      </c>
      <c r="S2556" s="6">
        <f t="shared" si="709"/>
        <v>1900</v>
      </c>
      <c r="T2556" s="6">
        <f t="shared" si="710"/>
        <v>1</v>
      </c>
      <c r="Z2556" s="6" t="str">
        <f t="shared" ca="1" si="711"/>
        <v>20252</v>
      </c>
      <c r="AA2556" s="6">
        <f t="shared" ca="1" si="712"/>
        <v>2025</v>
      </c>
      <c r="AB2556" s="6">
        <f t="shared" ca="1" si="713"/>
        <v>2</v>
      </c>
      <c r="AC2556" s="68">
        <f ca="1">IFERROR(__xludf.DUMMYFUNCTION("""COMPUTED_VALUE"""),45709.9986111111)</f>
        <v>45709.998611111099</v>
      </c>
      <c r="AD2556" s="6">
        <f ca="1">IFERROR(__xludf.DUMMYFUNCTION("""COMPUTED_VALUE"""),1434.39)</f>
        <v>1434.39</v>
      </c>
      <c r="AH2556" s="6" t="str">
        <f t="shared" ca="1" si="714"/>
        <v>202412</v>
      </c>
      <c r="AI2556" s="6">
        <f t="shared" ca="1" si="715"/>
        <v>2024</v>
      </c>
      <c r="AJ2556" s="6">
        <f t="shared" ca="1" si="716"/>
        <v>12</v>
      </c>
      <c r="AK2556" s="68">
        <f ca="1">IFERROR(__xludf.DUMMYFUNCTION("""COMPUTED_VALUE"""),45650.9986111111)</f>
        <v>45650.998611111099</v>
      </c>
      <c r="AL2556" s="6">
        <f ca="1">IFERROR(__xludf.DUMMYFUNCTION("""COMPUTED_VALUE"""),94287.05)</f>
        <v>94287.05</v>
      </c>
      <c r="AP2556" s="6" t="str">
        <f t="shared" si="717"/>
        <v>19001</v>
      </c>
      <c r="AQ2556" s="6">
        <f t="shared" si="718"/>
        <v>1900</v>
      </c>
      <c r="AR2556" s="6">
        <f t="shared" si="719"/>
        <v>1</v>
      </c>
    </row>
    <row r="2557" spans="2:44" x14ac:dyDescent="0.35">
      <c r="B2557" s="6" t="str">
        <f t="shared" si="702"/>
        <v>19001</v>
      </c>
      <c r="C2557" s="6">
        <f t="shared" si="703"/>
        <v>1900</v>
      </c>
      <c r="D2557" s="6">
        <f t="shared" si="704"/>
        <v>1</v>
      </c>
      <c r="J2557" s="6" t="str">
        <f t="shared" si="705"/>
        <v>19001</v>
      </c>
      <c r="K2557" s="6">
        <f t="shared" si="706"/>
        <v>1900</v>
      </c>
      <c r="L2557" s="6">
        <f t="shared" si="707"/>
        <v>1</v>
      </c>
      <c r="R2557" s="6" t="str">
        <f t="shared" si="708"/>
        <v>19001</v>
      </c>
      <c r="S2557" s="6">
        <f t="shared" si="709"/>
        <v>1900</v>
      </c>
      <c r="T2557" s="6">
        <f t="shared" si="710"/>
        <v>1</v>
      </c>
      <c r="Z2557" s="6" t="str">
        <f t="shared" ca="1" si="711"/>
        <v>20252</v>
      </c>
      <c r="AA2557" s="6">
        <f t="shared" ca="1" si="712"/>
        <v>2025</v>
      </c>
      <c r="AB2557" s="6">
        <f t="shared" ca="1" si="713"/>
        <v>2</v>
      </c>
      <c r="AC2557" s="68">
        <f ca="1">IFERROR(__xludf.DUMMYFUNCTION("""COMPUTED_VALUE"""),45710.9986111111)</f>
        <v>45710.998611111099</v>
      </c>
      <c r="AD2557" s="6">
        <f ca="1">IFERROR(__xludf.DUMMYFUNCTION("""COMPUTED_VALUE"""),1434.29)</f>
        <v>1434.29</v>
      </c>
      <c r="AH2557" s="6" t="str">
        <f t="shared" ca="1" si="714"/>
        <v>202412</v>
      </c>
      <c r="AI2557" s="6">
        <f t="shared" ca="1" si="715"/>
        <v>2024</v>
      </c>
      <c r="AJ2557" s="6">
        <f t="shared" ca="1" si="716"/>
        <v>12</v>
      </c>
      <c r="AK2557" s="68">
        <f ca="1">IFERROR(__xludf.DUMMYFUNCTION("""COMPUTED_VALUE"""),45651.9986111111)</f>
        <v>45651.998611111099</v>
      </c>
      <c r="AL2557" s="6">
        <f ca="1">IFERROR(__xludf.DUMMYFUNCTION("""COMPUTED_VALUE"""),98209.62)</f>
        <v>98209.62</v>
      </c>
      <c r="AP2557" s="6" t="str">
        <f t="shared" si="717"/>
        <v>19001</v>
      </c>
      <c r="AQ2557" s="6">
        <f t="shared" si="718"/>
        <v>1900</v>
      </c>
      <c r="AR2557" s="6">
        <f t="shared" si="719"/>
        <v>1</v>
      </c>
    </row>
    <row r="2558" spans="2:44" x14ac:dyDescent="0.35">
      <c r="B2558" s="6" t="str">
        <f t="shared" si="702"/>
        <v>19001</v>
      </c>
      <c r="C2558" s="6">
        <f t="shared" si="703"/>
        <v>1900</v>
      </c>
      <c r="D2558" s="6">
        <f t="shared" si="704"/>
        <v>1</v>
      </c>
      <c r="J2558" s="6" t="str">
        <f t="shared" si="705"/>
        <v>19001</v>
      </c>
      <c r="K2558" s="6">
        <f t="shared" si="706"/>
        <v>1900</v>
      </c>
      <c r="L2558" s="6">
        <f t="shared" si="707"/>
        <v>1</v>
      </c>
      <c r="R2558" s="6" t="str">
        <f t="shared" si="708"/>
        <v>19001</v>
      </c>
      <c r="S2558" s="6">
        <f t="shared" si="709"/>
        <v>1900</v>
      </c>
      <c r="T2558" s="6">
        <f t="shared" si="710"/>
        <v>1</v>
      </c>
      <c r="Z2558" s="6" t="str">
        <f t="shared" ca="1" si="711"/>
        <v>20252</v>
      </c>
      <c r="AA2558" s="6">
        <f t="shared" ca="1" si="712"/>
        <v>2025</v>
      </c>
      <c r="AB2558" s="6">
        <f t="shared" ca="1" si="713"/>
        <v>2</v>
      </c>
      <c r="AC2558" s="68">
        <f ca="1">IFERROR(__xludf.DUMMYFUNCTION("""COMPUTED_VALUE"""),45711.9986111111)</f>
        <v>45711.998611111099</v>
      </c>
      <c r="AD2558" s="6">
        <f ca="1">IFERROR(__xludf.DUMMYFUNCTION("""COMPUTED_VALUE"""),1434.29)</f>
        <v>1434.29</v>
      </c>
      <c r="AH2558" s="6" t="str">
        <f t="shared" ca="1" si="714"/>
        <v>202412</v>
      </c>
      <c r="AI2558" s="6">
        <f t="shared" ca="1" si="715"/>
        <v>2024</v>
      </c>
      <c r="AJ2558" s="6">
        <f t="shared" ca="1" si="716"/>
        <v>12</v>
      </c>
      <c r="AK2558" s="68">
        <f ca="1">IFERROR(__xludf.DUMMYFUNCTION("""COMPUTED_VALUE"""),45652.9986111111)</f>
        <v>45652.998611111099</v>
      </c>
      <c r="AL2558" s="6">
        <f ca="1">IFERROR(__xludf.DUMMYFUNCTION("""COMPUTED_VALUE"""),98294.12)</f>
        <v>98294.12</v>
      </c>
      <c r="AP2558" s="6" t="str">
        <f t="shared" si="717"/>
        <v>19001</v>
      </c>
      <c r="AQ2558" s="6">
        <f t="shared" si="718"/>
        <v>1900</v>
      </c>
      <c r="AR2558" s="6">
        <f t="shared" si="719"/>
        <v>1</v>
      </c>
    </row>
    <row r="2559" spans="2:44" x14ac:dyDescent="0.35">
      <c r="B2559" s="6" t="str">
        <f t="shared" si="702"/>
        <v>19001</v>
      </c>
      <c r="C2559" s="6">
        <f t="shared" si="703"/>
        <v>1900</v>
      </c>
      <c r="D2559" s="6">
        <f t="shared" si="704"/>
        <v>1</v>
      </c>
      <c r="J2559" s="6" t="str">
        <f t="shared" si="705"/>
        <v>19001</v>
      </c>
      <c r="K2559" s="6">
        <f t="shared" si="706"/>
        <v>1900</v>
      </c>
      <c r="L2559" s="6">
        <f t="shared" si="707"/>
        <v>1</v>
      </c>
      <c r="R2559" s="6" t="str">
        <f t="shared" si="708"/>
        <v>19001</v>
      </c>
      <c r="S2559" s="6">
        <f t="shared" si="709"/>
        <v>1900</v>
      </c>
      <c r="T2559" s="6">
        <f t="shared" si="710"/>
        <v>1</v>
      </c>
      <c r="Z2559" s="6" t="str">
        <f t="shared" ca="1" si="711"/>
        <v>20252</v>
      </c>
      <c r="AA2559" s="6">
        <f t="shared" ca="1" si="712"/>
        <v>2025</v>
      </c>
      <c r="AB2559" s="6">
        <f t="shared" ca="1" si="713"/>
        <v>2</v>
      </c>
      <c r="AC2559" s="68">
        <f ca="1">IFERROR(__xludf.DUMMYFUNCTION("""COMPUTED_VALUE"""),45712.9986111111)</f>
        <v>45712.998611111099</v>
      </c>
      <c r="AD2559" s="6">
        <f ca="1">IFERROR(__xludf.DUMMYFUNCTION("""COMPUTED_VALUE"""),1428.65)</f>
        <v>1428.65</v>
      </c>
      <c r="AH2559" s="6" t="str">
        <f t="shared" ca="1" si="714"/>
        <v>202412</v>
      </c>
      <c r="AI2559" s="6">
        <f t="shared" ca="1" si="715"/>
        <v>2024</v>
      </c>
      <c r="AJ2559" s="6">
        <f t="shared" ca="1" si="716"/>
        <v>12</v>
      </c>
      <c r="AK2559" s="68">
        <f ca="1">IFERROR(__xludf.DUMMYFUNCTION("""COMPUTED_VALUE"""),45653.9986111111)</f>
        <v>45653.998611111099</v>
      </c>
      <c r="AL2559" s="6">
        <f ca="1">IFERROR(__xludf.DUMMYFUNCTION("""COMPUTED_VALUE"""),96209.8)</f>
        <v>96209.8</v>
      </c>
      <c r="AP2559" s="6" t="str">
        <f t="shared" si="717"/>
        <v>19001</v>
      </c>
      <c r="AQ2559" s="6">
        <f t="shared" si="718"/>
        <v>1900</v>
      </c>
      <c r="AR2559" s="6">
        <f t="shared" si="719"/>
        <v>1</v>
      </c>
    </row>
    <row r="2560" spans="2:44" x14ac:dyDescent="0.35">
      <c r="B2560" s="6" t="str">
        <f t="shared" si="702"/>
        <v>19001</v>
      </c>
      <c r="C2560" s="6">
        <f t="shared" si="703"/>
        <v>1900</v>
      </c>
      <c r="D2560" s="6">
        <f t="shared" si="704"/>
        <v>1</v>
      </c>
      <c r="J2560" s="6" t="str">
        <f t="shared" si="705"/>
        <v>19001</v>
      </c>
      <c r="K2560" s="6">
        <f t="shared" si="706"/>
        <v>1900</v>
      </c>
      <c r="L2560" s="6">
        <f t="shared" si="707"/>
        <v>1</v>
      </c>
      <c r="R2560" s="6" t="str">
        <f t="shared" si="708"/>
        <v>19001</v>
      </c>
      <c r="S2560" s="6">
        <f t="shared" si="709"/>
        <v>1900</v>
      </c>
      <c r="T2560" s="6">
        <f t="shared" si="710"/>
        <v>1</v>
      </c>
      <c r="Z2560" s="6" t="str">
        <f t="shared" ca="1" si="711"/>
        <v>20252</v>
      </c>
      <c r="AA2560" s="6">
        <f t="shared" ca="1" si="712"/>
        <v>2025</v>
      </c>
      <c r="AB2560" s="6">
        <f t="shared" ca="1" si="713"/>
        <v>2</v>
      </c>
      <c r="AC2560" s="68">
        <f ca="1">IFERROR(__xludf.DUMMYFUNCTION("""COMPUTED_VALUE"""),45713.9986111111)</f>
        <v>45713.998611111099</v>
      </c>
      <c r="AD2560" s="6">
        <f ca="1">IFERROR(__xludf.DUMMYFUNCTION("""COMPUTED_VALUE"""),1429.5)</f>
        <v>1429.5</v>
      </c>
      <c r="AH2560" s="6" t="str">
        <f t="shared" ca="1" si="714"/>
        <v>202412</v>
      </c>
      <c r="AI2560" s="6">
        <f t="shared" ca="1" si="715"/>
        <v>2024</v>
      </c>
      <c r="AJ2560" s="6">
        <f t="shared" ca="1" si="716"/>
        <v>12</v>
      </c>
      <c r="AK2560" s="68">
        <f ca="1">IFERROR(__xludf.DUMMYFUNCTION("""COMPUTED_VALUE"""),45654.9986111111)</f>
        <v>45654.998611111099</v>
      </c>
      <c r="AL2560" s="6">
        <f ca="1">IFERROR(__xludf.DUMMYFUNCTION("""COMPUTED_VALUE"""),94449.97)</f>
        <v>94449.97</v>
      </c>
      <c r="AP2560" s="6" t="str">
        <f t="shared" si="717"/>
        <v>19001</v>
      </c>
      <c r="AQ2560" s="6">
        <f t="shared" si="718"/>
        <v>1900</v>
      </c>
      <c r="AR2560" s="6">
        <f t="shared" si="719"/>
        <v>1</v>
      </c>
    </row>
    <row r="2561" spans="2:44" x14ac:dyDescent="0.35">
      <c r="B2561" s="6" t="str">
        <f t="shared" si="702"/>
        <v>19001</v>
      </c>
      <c r="C2561" s="6">
        <f t="shared" si="703"/>
        <v>1900</v>
      </c>
      <c r="D2561" s="6">
        <f t="shared" si="704"/>
        <v>1</v>
      </c>
      <c r="J2561" s="6" t="str">
        <f t="shared" si="705"/>
        <v>19001</v>
      </c>
      <c r="K2561" s="6">
        <f t="shared" si="706"/>
        <v>1900</v>
      </c>
      <c r="L2561" s="6">
        <f t="shared" si="707"/>
        <v>1</v>
      </c>
      <c r="R2561" s="6" t="str">
        <f t="shared" si="708"/>
        <v>19001</v>
      </c>
      <c r="S2561" s="6">
        <f t="shared" si="709"/>
        <v>1900</v>
      </c>
      <c r="T2561" s="6">
        <f t="shared" si="710"/>
        <v>1</v>
      </c>
      <c r="Z2561" s="6" t="str">
        <f t="shared" ca="1" si="711"/>
        <v>20252</v>
      </c>
      <c r="AA2561" s="6">
        <f t="shared" ca="1" si="712"/>
        <v>2025</v>
      </c>
      <c r="AB2561" s="6">
        <f t="shared" ca="1" si="713"/>
        <v>2</v>
      </c>
      <c r="AC2561" s="68">
        <f ca="1">IFERROR(__xludf.DUMMYFUNCTION("""COMPUTED_VALUE"""),45714.9986111111)</f>
        <v>45714.998611111099</v>
      </c>
      <c r="AD2561" s="6">
        <f ca="1">IFERROR(__xludf.DUMMYFUNCTION("""COMPUTED_VALUE"""),1434.42)</f>
        <v>1434.42</v>
      </c>
      <c r="AH2561" s="6" t="str">
        <f t="shared" ca="1" si="714"/>
        <v>202412</v>
      </c>
      <c r="AI2561" s="6">
        <f t="shared" ca="1" si="715"/>
        <v>2024</v>
      </c>
      <c r="AJ2561" s="6">
        <f t="shared" ca="1" si="716"/>
        <v>12</v>
      </c>
      <c r="AK2561" s="68">
        <f ca="1">IFERROR(__xludf.DUMMYFUNCTION("""COMPUTED_VALUE"""),45655.9986111111)</f>
        <v>45655.998611111099</v>
      </c>
      <c r="AL2561" s="6">
        <f ca="1">IFERROR(__xludf.DUMMYFUNCTION("""COMPUTED_VALUE"""),94996.09)</f>
        <v>94996.09</v>
      </c>
      <c r="AP2561" s="6" t="str">
        <f t="shared" si="717"/>
        <v>19001</v>
      </c>
      <c r="AQ2561" s="6">
        <f t="shared" si="718"/>
        <v>1900</v>
      </c>
      <c r="AR2561" s="6">
        <f t="shared" si="719"/>
        <v>1</v>
      </c>
    </row>
    <row r="2562" spans="2:44" x14ac:dyDescent="0.35">
      <c r="B2562" s="6" t="str">
        <f t="shared" si="702"/>
        <v>19001</v>
      </c>
      <c r="C2562" s="6">
        <f t="shared" si="703"/>
        <v>1900</v>
      </c>
      <c r="D2562" s="6">
        <f t="shared" si="704"/>
        <v>1</v>
      </c>
      <c r="J2562" s="6" t="str">
        <f t="shared" si="705"/>
        <v>19001</v>
      </c>
      <c r="K2562" s="6">
        <f t="shared" si="706"/>
        <v>1900</v>
      </c>
      <c r="L2562" s="6">
        <f t="shared" si="707"/>
        <v>1</v>
      </c>
      <c r="R2562" s="6" t="str">
        <f t="shared" si="708"/>
        <v>19001</v>
      </c>
      <c r="S2562" s="6">
        <f t="shared" si="709"/>
        <v>1900</v>
      </c>
      <c r="T2562" s="6">
        <f t="shared" si="710"/>
        <v>1</v>
      </c>
      <c r="Z2562" s="6" t="str">
        <f t="shared" ca="1" si="711"/>
        <v>20252</v>
      </c>
      <c r="AA2562" s="6">
        <f t="shared" ca="1" si="712"/>
        <v>2025</v>
      </c>
      <c r="AB2562" s="6">
        <f t="shared" ca="1" si="713"/>
        <v>2</v>
      </c>
      <c r="AC2562" s="68">
        <f ca="1">IFERROR(__xludf.DUMMYFUNCTION("""COMPUTED_VALUE"""),45715.9986111111)</f>
        <v>45715.998611111099</v>
      </c>
      <c r="AD2562" s="6">
        <f ca="1">IFERROR(__xludf.DUMMYFUNCTION("""COMPUTED_VALUE"""),1449.86)</f>
        <v>1449.86</v>
      </c>
      <c r="AH2562" s="6" t="str">
        <f t="shared" ca="1" si="714"/>
        <v>202412</v>
      </c>
      <c r="AI2562" s="6">
        <f t="shared" ca="1" si="715"/>
        <v>2024</v>
      </c>
      <c r="AJ2562" s="6">
        <f t="shared" ca="1" si="716"/>
        <v>12</v>
      </c>
      <c r="AK2562" s="68">
        <f ca="1">IFERROR(__xludf.DUMMYFUNCTION("""COMPUTED_VALUE"""),45656.9986111111)</f>
        <v>45656.998611111099</v>
      </c>
      <c r="AL2562" s="6">
        <f ca="1">IFERROR(__xludf.DUMMYFUNCTION("""COMPUTED_VALUE"""),93169.94)</f>
        <v>93169.94</v>
      </c>
      <c r="AP2562" s="6" t="str">
        <f t="shared" si="717"/>
        <v>19001</v>
      </c>
      <c r="AQ2562" s="6">
        <f t="shared" si="718"/>
        <v>1900</v>
      </c>
      <c r="AR2562" s="6">
        <f t="shared" si="719"/>
        <v>1</v>
      </c>
    </row>
    <row r="2563" spans="2:44" x14ac:dyDescent="0.35">
      <c r="B2563" s="6" t="str">
        <f t="shared" si="702"/>
        <v>19001</v>
      </c>
      <c r="C2563" s="6">
        <f t="shared" si="703"/>
        <v>1900</v>
      </c>
      <c r="D2563" s="6">
        <f t="shared" si="704"/>
        <v>1</v>
      </c>
      <c r="J2563" s="6" t="str">
        <f t="shared" si="705"/>
        <v>19001</v>
      </c>
      <c r="K2563" s="6">
        <f t="shared" si="706"/>
        <v>1900</v>
      </c>
      <c r="L2563" s="6">
        <f t="shared" si="707"/>
        <v>1</v>
      </c>
      <c r="R2563" s="6" t="str">
        <f t="shared" si="708"/>
        <v>19001</v>
      </c>
      <c r="S2563" s="6">
        <f t="shared" si="709"/>
        <v>1900</v>
      </c>
      <c r="T2563" s="6">
        <f t="shared" si="710"/>
        <v>1</v>
      </c>
      <c r="Z2563" s="6" t="str">
        <f t="shared" ca="1" si="711"/>
        <v>20252</v>
      </c>
      <c r="AA2563" s="6">
        <f t="shared" ca="1" si="712"/>
        <v>2025</v>
      </c>
      <c r="AB2563" s="6">
        <f t="shared" ca="1" si="713"/>
        <v>2</v>
      </c>
      <c r="AC2563" s="68">
        <f ca="1">IFERROR(__xludf.DUMMYFUNCTION("""COMPUTED_VALUE"""),45716.9986111111)</f>
        <v>45716.998611111099</v>
      </c>
      <c r="AD2563" s="6">
        <f ca="1">IFERROR(__xludf.DUMMYFUNCTION("""COMPUTED_VALUE"""),1461.18)</f>
        <v>1461.18</v>
      </c>
      <c r="AH2563" s="6" t="str">
        <f t="shared" ca="1" si="714"/>
        <v>202412</v>
      </c>
      <c r="AI2563" s="6">
        <f t="shared" ca="1" si="715"/>
        <v>2024</v>
      </c>
      <c r="AJ2563" s="6">
        <f t="shared" ca="1" si="716"/>
        <v>12</v>
      </c>
      <c r="AK2563" s="68">
        <f ca="1">IFERROR(__xludf.DUMMYFUNCTION("""COMPUTED_VALUE"""),45657.9986111111)</f>
        <v>45657.998611111099</v>
      </c>
      <c r="AL2563" s="6">
        <f ca="1">IFERROR(__xludf.DUMMYFUNCTION("""COMPUTED_VALUE"""),92382.89)</f>
        <v>92382.89</v>
      </c>
      <c r="AP2563" s="6" t="str">
        <f t="shared" si="717"/>
        <v>19001</v>
      </c>
      <c r="AQ2563" s="6">
        <f t="shared" si="718"/>
        <v>1900</v>
      </c>
      <c r="AR2563" s="6">
        <f t="shared" si="719"/>
        <v>1</v>
      </c>
    </row>
    <row r="2564" spans="2:44" x14ac:dyDescent="0.35">
      <c r="B2564" s="6" t="str">
        <f t="shared" si="702"/>
        <v>19001</v>
      </c>
      <c r="C2564" s="6">
        <f t="shared" si="703"/>
        <v>1900</v>
      </c>
      <c r="D2564" s="6">
        <f t="shared" si="704"/>
        <v>1</v>
      </c>
      <c r="J2564" s="6" t="str">
        <f t="shared" si="705"/>
        <v>19001</v>
      </c>
      <c r="K2564" s="6">
        <f t="shared" si="706"/>
        <v>1900</v>
      </c>
      <c r="L2564" s="6">
        <f t="shared" si="707"/>
        <v>1</v>
      </c>
      <c r="R2564" s="6" t="str">
        <f t="shared" si="708"/>
        <v>19001</v>
      </c>
      <c r="S2564" s="6">
        <f t="shared" si="709"/>
        <v>1900</v>
      </c>
      <c r="T2564" s="6">
        <f t="shared" si="710"/>
        <v>1</v>
      </c>
      <c r="Z2564" s="6" t="str">
        <f t="shared" ca="1" si="711"/>
        <v>20253</v>
      </c>
      <c r="AA2564" s="6">
        <f t="shared" ca="1" si="712"/>
        <v>2025</v>
      </c>
      <c r="AB2564" s="6">
        <f t="shared" ca="1" si="713"/>
        <v>3</v>
      </c>
      <c r="AC2564" s="68">
        <f ca="1">IFERROR(__xludf.DUMMYFUNCTION("""COMPUTED_VALUE"""),45717.9986111111)</f>
        <v>45717.998611111099</v>
      </c>
      <c r="AD2564" s="6">
        <f ca="1">IFERROR(__xludf.DUMMYFUNCTION("""COMPUTED_VALUE"""),1461.18)</f>
        <v>1461.18</v>
      </c>
      <c r="AH2564" s="6" t="str">
        <f t="shared" ca="1" si="714"/>
        <v>20251</v>
      </c>
      <c r="AI2564" s="6">
        <f t="shared" ca="1" si="715"/>
        <v>2025</v>
      </c>
      <c r="AJ2564" s="6">
        <f t="shared" ca="1" si="716"/>
        <v>1</v>
      </c>
      <c r="AK2564" s="68">
        <f ca="1">IFERROR(__xludf.DUMMYFUNCTION("""COMPUTED_VALUE"""),45658.9986111111)</f>
        <v>45658.998611111099</v>
      </c>
      <c r="AL2564" s="6">
        <f ca="1">IFERROR(__xludf.DUMMYFUNCTION("""COMPUTED_VALUE"""),93462.86)</f>
        <v>93462.86</v>
      </c>
      <c r="AP2564" s="6" t="str">
        <f t="shared" si="717"/>
        <v>19001</v>
      </c>
      <c r="AQ2564" s="6">
        <f t="shared" si="718"/>
        <v>1900</v>
      </c>
      <c r="AR2564" s="6">
        <f t="shared" si="719"/>
        <v>1</v>
      </c>
    </row>
    <row r="2565" spans="2:44" x14ac:dyDescent="0.35">
      <c r="B2565" s="6" t="str">
        <f t="shared" si="702"/>
        <v>19001</v>
      </c>
      <c r="C2565" s="6">
        <f t="shared" si="703"/>
        <v>1900</v>
      </c>
      <c r="D2565" s="6">
        <f t="shared" si="704"/>
        <v>1</v>
      </c>
      <c r="J2565" s="6" t="str">
        <f t="shared" si="705"/>
        <v>19001</v>
      </c>
      <c r="K2565" s="6">
        <f t="shared" si="706"/>
        <v>1900</v>
      </c>
      <c r="L2565" s="6">
        <f t="shared" si="707"/>
        <v>1</v>
      </c>
      <c r="R2565" s="6" t="str">
        <f t="shared" si="708"/>
        <v>19001</v>
      </c>
      <c r="S2565" s="6">
        <f t="shared" si="709"/>
        <v>1900</v>
      </c>
      <c r="T2565" s="6">
        <f t="shared" si="710"/>
        <v>1</v>
      </c>
      <c r="Z2565" s="6" t="str">
        <f t="shared" ca="1" si="711"/>
        <v>20253</v>
      </c>
      <c r="AA2565" s="6">
        <f t="shared" ca="1" si="712"/>
        <v>2025</v>
      </c>
      <c r="AB2565" s="6">
        <f t="shared" ca="1" si="713"/>
        <v>3</v>
      </c>
      <c r="AC2565" s="68">
        <f ca="1">IFERROR(__xludf.DUMMYFUNCTION("""COMPUTED_VALUE"""),45718.9986111111)</f>
        <v>45718.998611111099</v>
      </c>
      <c r="AD2565" s="6">
        <f ca="1">IFERROR(__xludf.DUMMYFUNCTION("""COMPUTED_VALUE"""),1459.8)</f>
        <v>1459.8</v>
      </c>
      <c r="AH2565" s="6" t="str">
        <f t="shared" ca="1" si="714"/>
        <v>20251</v>
      </c>
      <c r="AI2565" s="6">
        <f t="shared" ca="1" si="715"/>
        <v>2025</v>
      </c>
      <c r="AJ2565" s="6">
        <f t="shared" ca="1" si="716"/>
        <v>1</v>
      </c>
      <c r="AK2565" s="68">
        <f ca="1">IFERROR(__xludf.DUMMYFUNCTION("""COMPUTED_VALUE"""),45659.9986111111)</f>
        <v>45659.998611111099</v>
      </c>
      <c r="AL2565" s="6">
        <f ca="1">IFERROR(__xludf.DUMMYFUNCTION("""COMPUTED_VALUE"""),95642.54)</f>
        <v>95642.54</v>
      </c>
      <c r="AP2565" s="6" t="str">
        <f t="shared" si="717"/>
        <v>19001</v>
      </c>
      <c r="AQ2565" s="6">
        <f t="shared" si="718"/>
        <v>1900</v>
      </c>
      <c r="AR2565" s="6">
        <f t="shared" si="719"/>
        <v>1</v>
      </c>
    </row>
    <row r="2566" spans="2:44" x14ac:dyDescent="0.35">
      <c r="B2566" s="6" t="str">
        <f t="shared" si="702"/>
        <v>19001</v>
      </c>
      <c r="C2566" s="6">
        <f t="shared" si="703"/>
        <v>1900</v>
      </c>
      <c r="D2566" s="6">
        <f t="shared" si="704"/>
        <v>1</v>
      </c>
      <c r="J2566" s="6" t="str">
        <f t="shared" si="705"/>
        <v>19001</v>
      </c>
      <c r="K2566" s="6">
        <f t="shared" si="706"/>
        <v>1900</v>
      </c>
      <c r="L2566" s="6">
        <f t="shared" si="707"/>
        <v>1</v>
      </c>
      <c r="R2566" s="6" t="str">
        <f t="shared" si="708"/>
        <v>19001</v>
      </c>
      <c r="S2566" s="6">
        <f t="shared" si="709"/>
        <v>1900</v>
      </c>
      <c r="T2566" s="6">
        <f t="shared" si="710"/>
        <v>1</v>
      </c>
      <c r="Z2566" s="6" t="str">
        <f t="shared" ca="1" si="711"/>
        <v>20253</v>
      </c>
      <c r="AA2566" s="6">
        <f t="shared" ca="1" si="712"/>
        <v>2025</v>
      </c>
      <c r="AB2566" s="6">
        <f t="shared" ca="1" si="713"/>
        <v>3</v>
      </c>
      <c r="AC2566" s="68">
        <f ca="1">IFERROR(__xludf.DUMMYFUNCTION("""COMPUTED_VALUE"""),45719.9986111111)</f>
        <v>45719.998611111099</v>
      </c>
      <c r="AD2566" s="6">
        <f ca="1">IFERROR(__xludf.DUMMYFUNCTION("""COMPUTED_VALUE"""),1457.93)</f>
        <v>1457.93</v>
      </c>
      <c r="AH2566" s="6" t="str">
        <f t="shared" ca="1" si="714"/>
        <v>20251</v>
      </c>
      <c r="AI2566" s="6">
        <f t="shared" ca="1" si="715"/>
        <v>2025</v>
      </c>
      <c r="AJ2566" s="6">
        <f t="shared" ca="1" si="716"/>
        <v>1</v>
      </c>
      <c r="AK2566" s="68">
        <f ca="1">IFERROR(__xludf.DUMMYFUNCTION("""COMPUTED_VALUE"""),45660.9986111111)</f>
        <v>45660.998611111099</v>
      </c>
      <c r="AL2566" s="6">
        <f ca="1">IFERROR(__xludf.DUMMYFUNCTION("""COMPUTED_VALUE"""),96732.46)</f>
        <v>96732.46</v>
      </c>
      <c r="AP2566" s="6" t="str">
        <f t="shared" si="717"/>
        <v>19001</v>
      </c>
      <c r="AQ2566" s="6">
        <f t="shared" si="718"/>
        <v>1900</v>
      </c>
      <c r="AR2566" s="6">
        <f t="shared" si="719"/>
        <v>1</v>
      </c>
    </row>
    <row r="2567" spans="2:44" x14ac:dyDescent="0.35">
      <c r="B2567" s="6" t="str">
        <f t="shared" ref="B2567:B2630" si="720">C2567&amp;D2567</f>
        <v>19001</v>
      </c>
      <c r="C2567" s="6">
        <f t="shared" ref="C2567:C2630" si="721">YEAR(E2567)</f>
        <v>1900</v>
      </c>
      <c r="D2567" s="6">
        <f t="shared" ref="D2567:D2630" si="722">MONTH(E2567)</f>
        <v>1</v>
      </c>
      <c r="J2567" s="6" t="str">
        <f t="shared" ref="J2567:J2630" si="723">K2567&amp;L2567</f>
        <v>19001</v>
      </c>
      <c r="K2567" s="6">
        <f t="shared" ref="K2567:K2630" si="724">YEAR(M2567)</f>
        <v>1900</v>
      </c>
      <c r="L2567" s="6">
        <f t="shared" ref="L2567:L2630" si="725">MONTH(M2567)</f>
        <v>1</v>
      </c>
      <c r="R2567" s="6" t="str">
        <f t="shared" ref="R2567:R2630" si="726">S2567&amp;T2567</f>
        <v>19001</v>
      </c>
      <c r="S2567" s="6">
        <f t="shared" ref="S2567:S2630" si="727">YEAR(U2567)</f>
        <v>1900</v>
      </c>
      <c r="T2567" s="6">
        <f t="shared" ref="T2567:T2630" si="728">MONTH(U2567)</f>
        <v>1</v>
      </c>
      <c r="Z2567" s="6" t="str">
        <f t="shared" ref="Z2567:Z2630" ca="1" si="729">AA2567&amp;AB2567</f>
        <v>20253</v>
      </c>
      <c r="AA2567" s="6">
        <f t="shared" ref="AA2567:AA2630" ca="1" si="730">YEAR(AC2567)</f>
        <v>2025</v>
      </c>
      <c r="AB2567" s="6">
        <f t="shared" ref="AB2567:AB2630" ca="1" si="731">MONTH(AC2567)</f>
        <v>3</v>
      </c>
      <c r="AC2567" s="68">
        <f ca="1">IFERROR(__xludf.DUMMYFUNCTION("""COMPUTED_VALUE"""),45720.9986111111)</f>
        <v>45720.998611111099</v>
      </c>
      <c r="AD2567" s="6">
        <f ca="1">IFERROR(__xludf.DUMMYFUNCTION("""COMPUTED_VALUE"""),1452.85)</f>
        <v>1452.85</v>
      </c>
      <c r="AH2567" s="6" t="str">
        <f t="shared" ref="AH2567:AH2630" ca="1" si="732">AI2567&amp;AJ2567</f>
        <v>20251</v>
      </c>
      <c r="AI2567" s="6">
        <f t="shared" ref="AI2567:AI2630" ca="1" si="733">YEAR(AK2567)</f>
        <v>2025</v>
      </c>
      <c r="AJ2567" s="6">
        <f t="shared" ref="AJ2567:AJ2630" ca="1" si="734">MONTH(AK2567)</f>
        <v>1</v>
      </c>
      <c r="AK2567" s="68">
        <f ca="1">IFERROR(__xludf.DUMMYFUNCTION("""COMPUTED_VALUE"""),45661.9986111111)</f>
        <v>45661.998611111099</v>
      </c>
      <c r="AL2567" s="6">
        <f ca="1">IFERROR(__xludf.DUMMYFUNCTION("""COMPUTED_VALUE"""),97942.97)</f>
        <v>97942.97</v>
      </c>
      <c r="AP2567" s="6" t="str">
        <f t="shared" ref="AP2567:AP2630" si="735">AQ2567&amp;AR2567</f>
        <v>19001</v>
      </c>
      <c r="AQ2567" s="6">
        <f t="shared" ref="AQ2567:AQ2630" si="736">YEAR(AS2567)</f>
        <v>1900</v>
      </c>
      <c r="AR2567" s="6">
        <f t="shared" ref="AR2567:AR2630" si="737">MONTH(AS2567)</f>
        <v>1</v>
      </c>
    </row>
    <row r="2568" spans="2:44" x14ac:dyDescent="0.35">
      <c r="B2568" s="6" t="str">
        <f t="shared" si="720"/>
        <v>19001</v>
      </c>
      <c r="C2568" s="6">
        <f t="shared" si="721"/>
        <v>1900</v>
      </c>
      <c r="D2568" s="6">
        <f t="shared" si="722"/>
        <v>1</v>
      </c>
      <c r="J2568" s="6" t="str">
        <f t="shared" si="723"/>
        <v>19001</v>
      </c>
      <c r="K2568" s="6">
        <f t="shared" si="724"/>
        <v>1900</v>
      </c>
      <c r="L2568" s="6">
        <f t="shared" si="725"/>
        <v>1</v>
      </c>
      <c r="R2568" s="6" t="str">
        <f t="shared" si="726"/>
        <v>19001</v>
      </c>
      <c r="S2568" s="6">
        <f t="shared" si="727"/>
        <v>1900</v>
      </c>
      <c r="T2568" s="6">
        <f t="shared" si="728"/>
        <v>1</v>
      </c>
      <c r="Z2568" s="6" t="str">
        <f t="shared" ca="1" si="729"/>
        <v>20253</v>
      </c>
      <c r="AA2568" s="6">
        <f t="shared" ca="1" si="730"/>
        <v>2025</v>
      </c>
      <c r="AB2568" s="6">
        <f t="shared" ca="1" si="731"/>
        <v>3</v>
      </c>
      <c r="AC2568" s="68">
        <f ca="1">IFERROR(__xludf.DUMMYFUNCTION("""COMPUTED_VALUE"""),45721.9986111111)</f>
        <v>45721.998611111099</v>
      </c>
      <c r="AD2568" s="6">
        <f ca="1">IFERROR(__xludf.DUMMYFUNCTION("""COMPUTED_VALUE"""),1443.03)</f>
        <v>1443.03</v>
      </c>
      <c r="AH2568" s="6" t="str">
        <f t="shared" ca="1" si="732"/>
        <v>20251</v>
      </c>
      <c r="AI2568" s="6">
        <f t="shared" ca="1" si="733"/>
        <v>2025</v>
      </c>
      <c r="AJ2568" s="6">
        <f t="shared" ca="1" si="734"/>
        <v>1</v>
      </c>
      <c r="AK2568" s="68">
        <f ca="1">IFERROR(__xludf.DUMMYFUNCTION("""COMPUTED_VALUE"""),45662.9986111111)</f>
        <v>45662.998611111099</v>
      </c>
      <c r="AL2568" s="6">
        <f ca="1">IFERROR(__xludf.DUMMYFUNCTION("""COMPUTED_VALUE"""),98355.51)</f>
        <v>98355.51</v>
      </c>
      <c r="AP2568" s="6" t="str">
        <f t="shared" si="735"/>
        <v>19001</v>
      </c>
      <c r="AQ2568" s="6">
        <f t="shared" si="736"/>
        <v>1900</v>
      </c>
      <c r="AR2568" s="6">
        <f t="shared" si="737"/>
        <v>1</v>
      </c>
    </row>
    <row r="2569" spans="2:44" x14ac:dyDescent="0.35">
      <c r="B2569" s="6" t="str">
        <f t="shared" si="720"/>
        <v>19001</v>
      </c>
      <c r="C2569" s="6">
        <f t="shared" si="721"/>
        <v>1900</v>
      </c>
      <c r="D2569" s="6">
        <f t="shared" si="722"/>
        <v>1</v>
      </c>
      <c r="J2569" s="6" t="str">
        <f t="shared" si="723"/>
        <v>19001</v>
      </c>
      <c r="K2569" s="6">
        <f t="shared" si="724"/>
        <v>1900</v>
      </c>
      <c r="L2569" s="6">
        <f t="shared" si="725"/>
        <v>1</v>
      </c>
      <c r="R2569" s="6" t="str">
        <f t="shared" si="726"/>
        <v>19001</v>
      </c>
      <c r="S2569" s="6">
        <f t="shared" si="727"/>
        <v>1900</v>
      </c>
      <c r="T2569" s="6">
        <f t="shared" si="728"/>
        <v>1</v>
      </c>
      <c r="Z2569" s="6" t="str">
        <f t="shared" ca="1" si="729"/>
        <v>20253</v>
      </c>
      <c r="AA2569" s="6">
        <f t="shared" ca="1" si="730"/>
        <v>2025</v>
      </c>
      <c r="AB2569" s="6">
        <f t="shared" ca="1" si="731"/>
        <v>3</v>
      </c>
      <c r="AC2569" s="68">
        <f ca="1">IFERROR(__xludf.DUMMYFUNCTION("""COMPUTED_VALUE"""),45722.9986111111)</f>
        <v>45722.998611111099</v>
      </c>
      <c r="AD2569" s="6">
        <f ca="1">IFERROR(__xludf.DUMMYFUNCTION("""COMPUTED_VALUE"""),1446.5)</f>
        <v>1446.5</v>
      </c>
      <c r="AH2569" s="6" t="str">
        <f t="shared" ca="1" si="732"/>
        <v>20251</v>
      </c>
      <c r="AI2569" s="6">
        <f t="shared" ca="1" si="733"/>
        <v>2025</v>
      </c>
      <c r="AJ2569" s="6">
        <f t="shared" ca="1" si="734"/>
        <v>1</v>
      </c>
      <c r="AK2569" s="68">
        <f ca="1">IFERROR(__xludf.DUMMYFUNCTION("""COMPUTED_VALUE"""),45663.9986111111)</f>
        <v>45663.998611111099</v>
      </c>
      <c r="AL2569" s="6">
        <f ca="1">IFERROR(__xludf.DUMMYFUNCTION("""COMPUTED_VALUE"""),99424.66)</f>
        <v>99424.66</v>
      </c>
      <c r="AP2569" s="6" t="str">
        <f t="shared" si="735"/>
        <v>19001</v>
      </c>
      <c r="AQ2569" s="6">
        <f t="shared" si="736"/>
        <v>1900</v>
      </c>
      <c r="AR2569" s="6">
        <f t="shared" si="737"/>
        <v>1</v>
      </c>
    </row>
    <row r="2570" spans="2:44" x14ac:dyDescent="0.35">
      <c r="B2570" s="6" t="str">
        <f t="shared" si="720"/>
        <v>19001</v>
      </c>
      <c r="C2570" s="6">
        <f t="shared" si="721"/>
        <v>1900</v>
      </c>
      <c r="D2570" s="6">
        <f t="shared" si="722"/>
        <v>1</v>
      </c>
      <c r="J2570" s="6" t="str">
        <f t="shared" si="723"/>
        <v>19001</v>
      </c>
      <c r="K2570" s="6">
        <f t="shared" si="724"/>
        <v>1900</v>
      </c>
      <c r="L2570" s="6">
        <f t="shared" si="725"/>
        <v>1</v>
      </c>
      <c r="R2570" s="6" t="str">
        <f t="shared" si="726"/>
        <v>19001</v>
      </c>
      <c r="S2570" s="6">
        <f t="shared" si="727"/>
        <v>1900</v>
      </c>
      <c r="T2570" s="6">
        <f t="shared" si="728"/>
        <v>1</v>
      </c>
      <c r="Z2570" s="6" t="str">
        <f t="shared" ca="1" si="729"/>
        <v>20253</v>
      </c>
      <c r="AA2570" s="6">
        <f t="shared" ca="1" si="730"/>
        <v>2025</v>
      </c>
      <c r="AB2570" s="6">
        <f t="shared" ca="1" si="731"/>
        <v>3</v>
      </c>
      <c r="AC2570" s="68">
        <f ca="1">IFERROR(__xludf.DUMMYFUNCTION("""COMPUTED_VALUE"""),45723.9986111111)</f>
        <v>45723.998611111099</v>
      </c>
      <c r="AD2570" s="6">
        <f ca="1">IFERROR(__xludf.DUMMYFUNCTION("""COMPUTED_VALUE"""),1446.16)</f>
        <v>1446.16</v>
      </c>
      <c r="AH2570" s="6" t="str">
        <f t="shared" ca="1" si="732"/>
        <v>20251</v>
      </c>
      <c r="AI2570" s="6">
        <f t="shared" ca="1" si="733"/>
        <v>2025</v>
      </c>
      <c r="AJ2570" s="6">
        <f t="shared" ca="1" si="734"/>
        <v>1</v>
      </c>
      <c r="AK2570" s="68">
        <f ca="1">IFERROR(__xludf.DUMMYFUNCTION("""COMPUTED_VALUE"""),45664.9986111111)</f>
        <v>45664.998611111099</v>
      </c>
      <c r="AL2570" s="6">
        <f ca="1">IFERROR(__xludf.DUMMYFUNCTION("""COMPUTED_VALUE"""),101731)</f>
        <v>101731</v>
      </c>
      <c r="AP2570" s="6" t="str">
        <f t="shared" si="735"/>
        <v>19001</v>
      </c>
      <c r="AQ2570" s="6">
        <f t="shared" si="736"/>
        <v>1900</v>
      </c>
      <c r="AR2570" s="6">
        <f t="shared" si="737"/>
        <v>1</v>
      </c>
    </row>
    <row r="2571" spans="2:44" x14ac:dyDescent="0.35">
      <c r="B2571" s="6" t="str">
        <f t="shared" si="720"/>
        <v>19001</v>
      </c>
      <c r="C2571" s="6">
        <f t="shared" si="721"/>
        <v>1900</v>
      </c>
      <c r="D2571" s="6">
        <f t="shared" si="722"/>
        <v>1</v>
      </c>
      <c r="J2571" s="6" t="str">
        <f t="shared" si="723"/>
        <v>19001</v>
      </c>
      <c r="K2571" s="6">
        <f t="shared" si="724"/>
        <v>1900</v>
      </c>
      <c r="L2571" s="6">
        <f t="shared" si="725"/>
        <v>1</v>
      </c>
      <c r="R2571" s="6" t="str">
        <f t="shared" si="726"/>
        <v>19001</v>
      </c>
      <c r="S2571" s="6">
        <f t="shared" si="727"/>
        <v>1900</v>
      </c>
      <c r="T2571" s="6">
        <f t="shared" si="728"/>
        <v>1</v>
      </c>
      <c r="Z2571" s="6" t="str">
        <f t="shared" ca="1" si="729"/>
        <v>20253</v>
      </c>
      <c r="AA2571" s="6">
        <f t="shared" ca="1" si="730"/>
        <v>2025</v>
      </c>
      <c r="AB2571" s="6">
        <f t="shared" ca="1" si="731"/>
        <v>3</v>
      </c>
      <c r="AC2571" s="68">
        <f ca="1">IFERROR(__xludf.DUMMYFUNCTION("""COMPUTED_VALUE"""),45724.9986111111)</f>
        <v>45724.998611111099</v>
      </c>
      <c r="AD2571" s="6">
        <f ca="1">IFERROR(__xludf.DUMMYFUNCTION("""COMPUTED_VALUE"""),1448)</f>
        <v>1448</v>
      </c>
      <c r="AH2571" s="6" t="str">
        <f t="shared" ca="1" si="732"/>
        <v>20251</v>
      </c>
      <c r="AI2571" s="6">
        <f t="shared" ca="1" si="733"/>
        <v>2025</v>
      </c>
      <c r="AJ2571" s="6">
        <f t="shared" ca="1" si="734"/>
        <v>1</v>
      </c>
      <c r="AK2571" s="68">
        <f ca="1">IFERROR(__xludf.DUMMYFUNCTION("""COMPUTED_VALUE"""),45665.9986111111)</f>
        <v>45665.998611111099</v>
      </c>
      <c r="AL2571" s="6">
        <f ca="1">IFERROR(__xludf.DUMMYFUNCTION("""COMPUTED_VALUE"""),96294.37)</f>
        <v>96294.37</v>
      </c>
      <c r="AP2571" s="6" t="str">
        <f t="shared" si="735"/>
        <v>19001</v>
      </c>
      <c r="AQ2571" s="6">
        <f t="shared" si="736"/>
        <v>1900</v>
      </c>
      <c r="AR2571" s="6">
        <f t="shared" si="737"/>
        <v>1</v>
      </c>
    </row>
    <row r="2572" spans="2:44" x14ac:dyDescent="0.35">
      <c r="B2572" s="6" t="str">
        <f t="shared" si="720"/>
        <v>19001</v>
      </c>
      <c r="C2572" s="6">
        <f t="shared" si="721"/>
        <v>1900</v>
      </c>
      <c r="D2572" s="6">
        <f t="shared" si="722"/>
        <v>1</v>
      </c>
      <c r="J2572" s="6" t="str">
        <f t="shared" si="723"/>
        <v>19001</v>
      </c>
      <c r="K2572" s="6">
        <f t="shared" si="724"/>
        <v>1900</v>
      </c>
      <c r="L2572" s="6">
        <f t="shared" si="725"/>
        <v>1</v>
      </c>
      <c r="R2572" s="6" t="str">
        <f t="shared" si="726"/>
        <v>19001</v>
      </c>
      <c r="S2572" s="6">
        <f t="shared" si="727"/>
        <v>1900</v>
      </c>
      <c r="T2572" s="6">
        <f t="shared" si="728"/>
        <v>1</v>
      </c>
      <c r="Z2572" s="6" t="str">
        <f t="shared" ca="1" si="729"/>
        <v>20253</v>
      </c>
      <c r="AA2572" s="6">
        <f t="shared" ca="1" si="730"/>
        <v>2025</v>
      </c>
      <c r="AB2572" s="6">
        <f t="shared" ca="1" si="731"/>
        <v>3</v>
      </c>
      <c r="AC2572" s="68">
        <f ca="1">IFERROR(__xludf.DUMMYFUNCTION("""COMPUTED_VALUE"""),45725.9986111111)</f>
        <v>45725.998611111099</v>
      </c>
      <c r="AD2572" s="6">
        <f ca="1">IFERROR(__xludf.DUMMYFUNCTION("""COMPUTED_VALUE"""),1446.26)</f>
        <v>1446.26</v>
      </c>
      <c r="AH2572" s="6" t="str">
        <f t="shared" ca="1" si="732"/>
        <v>20251</v>
      </c>
      <c r="AI2572" s="6">
        <f t="shared" ca="1" si="733"/>
        <v>2025</v>
      </c>
      <c r="AJ2572" s="6">
        <f t="shared" ca="1" si="734"/>
        <v>1</v>
      </c>
      <c r="AK2572" s="68">
        <f ca="1">IFERROR(__xludf.DUMMYFUNCTION("""COMPUTED_VALUE"""),45666.9986111111)</f>
        <v>45666.998611111099</v>
      </c>
      <c r="AL2572" s="6">
        <f ca="1">IFERROR(__xludf.DUMMYFUNCTION("""COMPUTED_VALUE"""),94409.58)</f>
        <v>94409.58</v>
      </c>
      <c r="AP2572" s="6" t="str">
        <f t="shared" si="735"/>
        <v>19001</v>
      </c>
      <c r="AQ2572" s="6">
        <f t="shared" si="736"/>
        <v>1900</v>
      </c>
      <c r="AR2572" s="6">
        <f t="shared" si="737"/>
        <v>1</v>
      </c>
    </row>
    <row r="2573" spans="2:44" x14ac:dyDescent="0.35">
      <c r="B2573" s="6" t="str">
        <f t="shared" si="720"/>
        <v>19001</v>
      </c>
      <c r="C2573" s="6">
        <f t="shared" si="721"/>
        <v>1900</v>
      </c>
      <c r="D2573" s="6">
        <f t="shared" si="722"/>
        <v>1</v>
      </c>
      <c r="J2573" s="6" t="str">
        <f t="shared" si="723"/>
        <v>19001</v>
      </c>
      <c r="K2573" s="6">
        <f t="shared" si="724"/>
        <v>1900</v>
      </c>
      <c r="L2573" s="6">
        <f t="shared" si="725"/>
        <v>1</v>
      </c>
      <c r="R2573" s="6" t="str">
        <f t="shared" si="726"/>
        <v>19001</v>
      </c>
      <c r="S2573" s="6">
        <f t="shared" si="727"/>
        <v>1900</v>
      </c>
      <c r="T2573" s="6">
        <f t="shared" si="728"/>
        <v>1</v>
      </c>
      <c r="Z2573" s="6" t="str">
        <f t="shared" ca="1" si="729"/>
        <v>20253</v>
      </c>
      <c r="AA2573" s="6">
        <f t="shared" ca="1" si="730"/>
        <v>2025</v>
      </c>
      <c r="AB2573" s="6">
        <f t="shared" ca="1" si="731"/>
        <v>3</v>
      </c>
      <c r="AC2573" s="68">
        <f ca="1">IFERROR(__xludf.DUMMYFUNCTION("""COMPUTED_VALUE"""),45726.9986111111)</f>
        <v>45726.998611111099</v>
      </c>
      <c r="AD2573" s="6">
        <f ca="1">IFERROR(__xludf.DUMMYFUNCTION("""COMPUTED_VALUE"""),1457.03)</f>
        <v>1457.03</v>
      </c>
      <c r="AH2573" s="6" t="str">
        <f t="shared" ca="1" si="732"/>
        <v>20251</v>
      </c>
      <c r="AI2573" s="6">
        <f t="shared" ca="1" si="733"/>
        <v>2025</v>
      </c>
      <c r="AJ2573" s="6">
        <f t="shared" ca="1" si="734"/>
        <v>1</v>
      </c>
      <c r="AK2573" s="68">
        <f ca="1">IFERROR(__xludf.DUMMYFUNCTION("""COMPUTED_VALUE"""),45667.9986111111)</f>
        <v>45667.998611111099</v>
      </c>
      <c r="AL2573" s="6">
        <f ca="1">IFERROR(__xludf.DUMMYFUNCTION("""COMPUTED_VALUE"""),93850.97)</f>
        <v>93850.97</v>
      </c>
      <c r="AP2573" s="6" t="str">
        <f t="shared" si="735"/>
        <v>19001</v>
      </c>
      <c r="AQ2573" s="6">
        <f t="shared" si="736"/>
        <v>1900</v>
      </c>
      <c r="AR2573" s="6">
        <f t="shared" si="737"/>
        <v>1</v>
      </c>
    </row>
    <row r="2574" spans="2:44" x14ac:dyDescent="0.35">
      <c r="B2574" s="6" t="str">
        <f t="shared" si="720"/>
        <v>19001</v>
      </c>
      <c r="C2574" s="6">
        <f t="shared" si="721"/>
        <v>1900</v>
      </c>
      <c r="D2574" s="6">
        <f t="shared" si="722"/>
        <v>1</v>
      </c>
      <c r="J2574" s="6" t="str">
        <f t="shared" si="723"/>
        <v>19001</v>
      </c>
      <c r="K2574" s="6">
        <f t="shared" si="724"/>
        <v>1900</v>
      </c>
      <c r="L2574" s="6">
        <f t="shared" si="725"/>
        <v>1</v>
      </c>
      <c r="R2574" s="6" t="str">
        <f t="shared" si="726"/>
        <v>19001</v>
      </c>
      <c r="S2574" s="6">
        <f t="shared" si="727"/>
        <v>1900</v>
      </c>
      <c r="T2574" s="6">
        <f t="shared" si="728"/>
        <v>1</v>
      </c>
      <c r="Z2574" s="6" t="str">
        <f t="shared" ca="1" si="729"/>
        <v>20253</v>
      </c>
      <c r="AA2574" s="6">
        <f t="shared" ca="1" si="730"/>
        <v>2025</v>
      </c>
      <c r="AB2574" s="6">
        <f t="shared" ca="1" si="731"/>
        <v>3</v>
      </c>
      <c r="AC2574" s="68">
        <f ca="1">IFERROR(__xludf.DUMMYFUNCTION("""COMPUTED_VALUE"""),45727.9986111111)</f>
        <v>45727.998611111099</v>
      </c>
      <c r="AD2574" s="6">
        <f ca="1">IFERROR(__xludf.DUMMYFUNCTION("""COMPUTED_VALUE"""),1451.02)</f>
        <v>1451.02</v>
      </c>
      <c r="AH2574" s="6" t="str">
        <f t="shared" ca="1" si="732"/>
        <v>20251</v>
      </c>
      <c r="AI2574" s="6">
        <f t="shared" ca="1" si="733"/>
        <v>2025</v>
      </c>
      <c r="AJ2574" s="6">
        <f t="shared" ca="1" si="734"/>
        <v>1</v>
      </c>
      <c r="AK2574" s="68">
        <f ca="1">IFERROR(__xludf.DUMMYFUNCTION("""COMPUTED_VALUE"""),45668.9986111111)</f>
        <v>45668.998611111099</v>
      </c>
      <c r="AL2574" s="6">
        <f ca="1">IFERROR(__xludf.DUMMYFUNCTION("""COMPUTED_VALUE"""),94033.5)</f>
        <v>94033.5</v>
      </c>
      <c r="AP2574" s="6" t="str">
        <f t="shared" si="735"/>
        <v>19001</v>
      </c>
      <c r="AQ2574" s="6">
        <f t="shared" si="736"/>
        <v>1900</v>
      </c>
      <c r="AR2574" s="6">
        <f t="shared" si="737"/>
        <v>1</v>
      </c>
    </row>
    <row r="2575" spans="2:44" x14ac:dyDescent="0.35">
      <c r="B2575" s="6" t="str">
        <f t="shared" si="720"/>
        <v>19001</v>
      </c>
      <c r="C2575" s="6">
        <f t="shared" si="721"/>
        <v>1900</v>
      </c>
      <c r="D2575" s="6">
        <f t="shared" si="722"/>
        <v>1</v>
      </c>
      <c r="J2575" s="6" t="str">
        <f t="shared" si="723"/>
        <v>19001</v>
      </c>
      <c r="K2575" s="6">
        <f t="shared" si="724"/>
        <v>1900</v>
      </c>
      <c r="L2575" s="6">
        <f t="shared" si="725"/>
        <v>1</v>
      </c>
      <c r="R2575" s="6" t="str">
        <f t="shared" si="726"/>
        <v>19001</v>
      </c>
      <c r="S2575" s="6">
        <f t="shared" si="727"/>
        <v>1900</v>
      </c>
      <c r="T2575" s="6">
        <f t="shared" si="728"/>
        <v>1</v>
      </c>
      <c r="Z2575" s="6" t="str">
        <f t="shared" ca="1" si="729"/>
        <v>20253</v>
      </c>
      <c r="AA2575" s="6">
        <f t="shared" ca="1" si="730"/>
        <v>2025</v>
      </c>
      <c r="AB2575" s="6">
        <f t="shared" ca="1" si="731"/>
        <v>3</v>
      </c>
      <c r="AC2575" s="68">
        <f ca="1">IFERROR(__xludf.DUMMYFUNCTION("""COMPUTED_VALUE"""),45728.9986111111)</f>
        <v>45728.998611111099</v>
      </c>
      <c r="AD2575" s="6">
        <f ca="1">IFERROR(__xludf.DUMMYFUNCTION("""COMPUTED_VALUE"""),1448.75)</f>
        <v>1448.75</v>
      </c>
      <c r="AH2575" s="6" t="str">
        <f t="shared" ca="1" si="732"/>
        <v>20251</v>
      </c>
      <c r="AI2575" s="6">
        <f t="shared" ca="1" si="733"/>
        <v>2025</v>
      </c>
      <c r="AJ2575" s="6">
        <f t="shared" ca="1" si="734"/>
        <v>1</v>
      </c>
      <c r="AK2575" s="68">
        <f ca="1">IFERROR(__xludf.DUMMYFUNCTION("""COMPUTED_VALUE"""),45669.9986111111)</f>
        <v>45669.998611111099</v>
      </c>
      <c r="AL2575" s="6">
        <f ca="1">IFERROR(__xludf.DUMMYFUNCTION("""COMPUTED_VALUE"""),94575.31)</f>
        <v>94575.31</v>
      </c>
      <c r="AP2575" s="6" t="str">
        <f t="shared" si="735"/>
        <v>19001</v>
      </c>
      <c r="AQ2575" s="6">
        <f t="shared" si="736"/>
        <v>1900</v>
      </c>
      <c r="AR2575" s="6">
        <f t="shared" si="737"/>
        <v>1</v>
      </c>
    </row>
    <row r="2576" spans="2:44" x14ac:dyDescent="0.35">
      <c r="B2576" s="6" t="str">
        <f t="shared" si="720"/>
        <v>19001</v>
      </c>
      <c r="C2576" s="6">
        <f t="shared" si="721"/>
        <v>1900</v>
      </c>
      <c r="D2576" s="6">
        <f t="shared" si="722"/>
        <v>1</v>
      </c>
      <c r="J2576" s="6" t="str">
        <f t="shared" si="723"/>
        <v>19001</v>
      </c>
      <c r="K2576" s="6">
        <f t="shared" si="724"/>
        <v>1900</v>
      </c>
      <c r="L2576" s="6">
        <f t="shared" si="725"/>
        <v>1</v>
      </c>
      <c r="R2576" s="6" t="str">
        <f t="shared" si="726"/>
        <v>19001</v>
      </c>
      <c r="S2576" s="6">
        <f t="shared" si="727"/>
        <v>1900</v>
      </c>
      <c r="T2576" s="6">
        <f t="shared" si="728"/>
        <v>1</v>
      </c>
      <c r="Z2576" s="6" t="str">
        <f t="shared" ca="1" si="729"/>
        <v>20253</v>
      </c>
      <c r="AA2576" s="6">
        <f t="shared" ca="1" si="730"/>
        <v>2025</v>
      </c>
      <c r="AB2576" s="6">
        <f t="shared" ca="1" si="731"/>
        <v>3</v>
      </c>
      <c r="AC2576" s="68">
        <f ca="1">IFERROR(__xludf.DUMMYFUNCTION("""COMPUTED_VALUE"""),45729.9986111111)</f>
        <v>45729.998611111099</v>
      </c>
      <c r="AD2576" s="6">
        <f ca="1">IFERROR(__xludf.DUMMYFUNCTION("""COMPUTED_VALUE"""),1452.58)</f>
        <v>1452.58</v>
      </c>
      <c r="AH2576" s="6" t="str">
        <f t="shared" ca="1" si="732"/>
        <v>20251</v>
      </c>
      <c r="AI2576" s="6">
        <f t="shared" ca="1" si="733"/>
        <v>2025</v>
      </c>
      <c r="AJ2576" s="6">
        <f t="shared" ca="1" si="734"/>
        <v>1</v>
      </c>
      <c r="AK2576" s="68">
        <f ca="1">IFERROR(__xludf.DUMMYFUNCTION("""COMPUTED_VALUE"""),45670.9986111111)</f>
        <v>45670.998611111099</v>
      </c>
      <c r="AL2576" s="6">
        <f ca="1">IFERROR(__xludf.DUMMYFUNCTION("""COMPUTED_VALUE"""),94559.12)</f>
        <v>94559.12</v>
      </c>
      <c r="AP2576" s="6" t="str">
        <f t="shared" si="735"/>
        <v>19001</v>
      </c>
      <c r="AQ2576" s="6">
        <f t="shared" si="736"/>
        <v>1900</v>
      </c>
      <c r="AR2576" s="6">
        <f t="shared" si="737"/>
        <v>1</v>
      </c>
    </row>
    <row r="2577" spans="2:44" x14ac:dyDescent="0.35">
      <c r="B2577" s="6" t="str">
        <f t="shared" si="720"/>
        <v>19001</v>
      </c>
      <c r="C2577" s="6">
        <f t="shared" si="721"/>
        <v>1900</v>
      </c>
      <c r="D2577" s="6">
        <f t="shared" si="722"/>
        <v>1</v>
      </c>
      <c r="J2577" s="6" t="str">
        <f t="shared" si="723"/>
        <v>19001</v>
      </c>
      <c r="K2577" s="6">
        <f t="shared" si="724"/>
        <v>1900</v>
      </c>
      <c r="L2577" s="6">
        <f t="shared" si="725"/>
        <v>1</v>
      </c>
      <c r="R2577" s="6" t="str">
        <f t="shared" si="726"/>
        <v>19001</v>
      </c>
      <c r="S2577" s="6">
        <f t="shared" si="727"/>
        <v>1900</v>
      </c>
      <c r="T2577" s="6">
        <f t="shared" si="728"/>
        <v>1</v>
      </c>
      <c r="Z2577" s="6" t="str">
        <f t="shared" ca="1" si="729"/>
        <v>20253</v>
      </c>
      <c r="AA2577" s="6">
        <f t="shared" ca="1" si="730"/>
        <v>2025</v>
      </c>
      <c r="AB2577" s="6">
        <f t="shared" ca="1" si="731"/>
        <v>3</v>
      </c>
      <c r="AC2577" s="68">
        <f ca="1">IFERROR(__xludf.DUMMYFUNCTION("""COMPUTED_VALUE"""),45730.9986111111)</f>
        <v>45730.998611111099</v>
      </c>
      <c r="AD2577" s="6">
        <f ca="1">IFERROR(__xludf.DUMMYFUNCTION("""COMPUTED_VALUE"""),1450.09)</f>
        <v>1450.09</v>
      </c>
      <c r="AH2577" s="6" t="str">
        <f t="shared" ca="1" si="732"/>
        <v>20251</v>
      </c>
      <c r="AI2577" s="6">
        <f t="shared" ca="1" si="733"/>
        <v>2025</v>
      </c>
      <c r="AJ2577" s="6">
        <f t="shared" ca="1" si="734"/>
        <v>1</v>
      </c>
      <c r="AK2577" s="68">
        <f ca="1">IFERROR(__xludf.DUMMYFUNCTION("""COMPUTED_VALUE"""),45671.9986111111)</f>
        <v>45671.998611111099</v>
      </c>
      <c r="AL2577" s="6">
        <f ca="1">IFERROR(__xludf.DUMMYFUNCTION("""COMPUTED_VALUE"""),95099.77)</f>
        <v>95099.77</v>
      </c>
      <c r="AP2577" s="6" t="str">
        <f t="shared" si="735"/>
        <v>19001</v>
      </c>
      <c r="AQ2577" s="6">
        <f t="shared" si="736"/>
        <v>1900</v>
      </c>
      <c r="AR2577" s="6">
        <f t="shared" si="737"/>
        <v>1</v>
      </c>
    </row>
    <row r="2578" spans="2:44" x14ac:dyDescent="0.35">
      <c r="B2578" s="6" t="str">
        <f t="shared" si="720"/>
        <v>19001</v>
      </c>
      <c r="C2578" s="6">
        <f t="shared" si="721"/>
        <v>1900</v>
      </c>
      <c r="D2578" s="6">
        <f t="shared" si="722"/>
        <v>1</v>
      </c>
      <c r="J2578" s="6" t="str">
        <f t="shared" si="723"/>
        <v>19001</v>
      </c>
      <c r="K2578" s="6">
        <f t="shared" si="724"/>
        <v>1900</v>
      </c>
      <c r="L2578" s="6">
        <f t="shared" si="725"/>
        <v>1</v>
      </c>
      <c r="R2578" s="6" t="str">
        <f t="shared" si="726"/>
        <v>19001</v>
      </c>
      <c r="S2578" s="6">
        <f t="shared" si="727"/>
        <v>1900</v>
      </c>
      <c r="T2578" s="6">
        <f t="shared" si="728"/>
        <v>1</v>
      </c>
      <c r="Z2578" s="6" t="str">
        <f t="shared" ca="1" si="729"/>
        <v>20253</v>
      </c>
      <c r="AA2578" s="6">
        <f t="shared" ca="1" si="730"/>
        <v>2025</v>
      </c>
      <c r="AB2578" s="6">
        <f t="shared" ca="1" si="731"/>
        <v>3</v>
      </c>
      <c r="AC2578" s="68">
        <f ca="1">IFERROR(__xludf.DUMMYFUNCTION("""COMPUTED_VALUE"""),45731.9986111111)</f>
        <v>45731.998611111099</v>
      </c>
      <c r="AD2578" s="6">
        <f ca="1">IFERROR(__xludf.DUMMYFUNCTION("""COMPUTED_VALUE"""),1449.05)</f>
        <v>1449.05</v>
      </c>
      <c r="AH2578" s="6" t="str">
        <f t="shared" ca="1" si="732"/>
        <v>20251</v>
      </c>
      <c r="AI2578" s="6">
        <f t="shared" ca="1" si="733"/>
        <v>2025</v>
      </c>
      <c r="AJ2578" s="6">
        <f t="shared" ca="1" si="734"/>
        <v>1</v>
      </c>
      <c r="AK2578" s="68">
        <f ca="1">IFERROR(__xludf.DUMMYFUNCTION("""COMPUTED_VALUE"""),45672.9986111111)</f>
        <v>45672.998611111099</v>
      </c>
      <c r="AL2578" s="6">
        <f ca="1">IFERROR(__xludf.DUMMYFUNCTION("""COMPUTED_VALUE"""),97176.71)</f>
        <v>97176.71</v>
      </c>
      <c r="AP2578" s="6" t="str">
        <f t="shared" si="735"/>
        <v>19001</v>
      </c>
      <c r="AQ2578" s="6">
        <f t="shared" si="736"/>
        <v>1900</v>
      </c>
      <c r="AR2578" s="6">
        <f t="shared" si="737"/>
        <v>1</v>
      </c>
    </row>
    <row r="2579" spans="2:44" x14ac:dyDescent="0.35">
      <c r="B2579" s="6" t="str">
        <f t="shared" si="720"/>
        <v>19001</v>
      </c>
      <c r="C2579" s="6">
        <f t="shared" si="721"/>
        <v>1900</v>
      </c>
      <c r="D2579" s="6">
        <f t="shared" si="722"/>
        <v>1</v>
      </c>
      <c r="J2579" s="6" t="str">
        <f t="shared" si="723"/>
        <v>19001</v>
      </c>
      <c r="K2579" s="6">
        <f t="shared" si="724"/>
        <v>1900</v>
      </c>
      <c r="L2579" s="6">
        <f t="shared" si="725"/>
        <v>1</v>
      </c>
      <c r="R2579" s="6" t="str">
        <f t="shared" si="726"/>
        <v>19001</v>
      </c>
      <c r="S2579" s="6">
        <f t="shared" si="727"/>
        <v>1900</v>
      </c>
      <c r="T2579" s="6">
        <f t="shared" si="728"/>
        <v>1</v>
      </c>
      <c r="Z2579" s="6" t="str">
        <f t="shared" ca="1" si="729"/>
        <v>20253</v>
      </c>
      <c r="AA2579" s="6">
        <f t="shared" ca="1" si="730"/>
        <v>2025</v>
      </c>
      <c r="AB2579" s="6">
        <f t="shared" ca="1" si="731"/>
        <v>3</v>
      </c>
      <c r="AC2579" s="68">
        <f ca="1">IFERROR(__xludf.DUMMYFUNCTION("""COMPUTED_VALUE"""),45732.9986111111)</f>
        <v>45732.998611111099</v>
      </c>
      <c r="AD2579" s="6">
        <f ca="1">IFERROR(__xludf.DUMMYFUNCTION("""COMPUTED_VALUE"""),1449.05)</f>
        <v>1449.05</v>
      </c>
      <c r="AH2579" s="6" t="str">
        <f t="shared" ca="1" si="732"/>
        <v>20251</v>
      </c>
      <c r="AI2579" s="6">
        <f t="shared" ca="1" si="733"/>
        <v>2025</v>
      </c>
      <c r="AJ2579" s="6">
        <f t="shared" ca="1" si="734"/>
        <v>1</v>
      </c>
      <c r="AK2579" s="68">
        <f ca="1">IFERROR(__xludf.DUMMYFUNCTION("""COMPUTED_VALUE"""),45673.9986111111)</f>
        <v>45673.998611111099</v>
      </c>
      <c r="AL2579" s="6">
        <f ca="1">IFERROR(__xludf.DUMMYFUNCTION("""COMPUTED_VALUE"""),99576.98)</f>
        <v>99576.98</v>
      </c>
      <c r="AP2579" s="6" t="str">
        <f t="shared" si="735"/>
        <v>19001</v>
      </c>
      <c r="AQ2579" s="6">
        <f t="shared" si="736"/>
        <v>1900</v>
      </c>
      <c r="AR2579" s="6">
        <f t="shared" si="737"/>
        <v>1</v>
      </c>
    </row>
    <row r="2580" spans="2:44" x14ac:dyDescent="0.35">
      <c r="B2580" s="6" t="str">
        <f t="shared" si="720"/>
        <v>19001</v>
      </c>
      <c r="C2580" s="6">
        <f t="shared" si="721"/>
        <v>1900</v>
      </c>
      <c r="D2580" s="6">
        <f t="shared" si="722"/>
        <v>1</v>
      </c>
      <c r="J2580" s="6" t="str">
        <f t="shared" si="723"/>
        <v>19001</v>
      </c>
      <c r="K2580" s="6">
        <f t="shared" si="724"/>
        <v>1900</v>
      </c>
      <c r="L2580" s="6">
        <f t="shared" si="725"/>
        <v>1</v>
      </c>
      <c r="R2580" s="6" t="str">
        <f t="shared" si="726"/>
        <v>19001</v>
      </c>
      <c r="S2580" s="6">
        <f t="shared" si="727"/>
        <v>1900</v>
      </c>
      <c r="T2580" s="6">
        <f t="shared" si="728"/>
        <v>1</v>
      </c>
      <c r="Z2580" s="6" t="str">
        <f t="shared" ca="1" si="729"/>
        <v>20253</v>
      </c>
      <c r="AA2580" s="6">
        <f t="shared" ca="1" si="730"/>
        <v>2025</v>
      </c>
      <c r="AB2580" s="6">
        <f t="shared" ca="1" si="731"/>
        <v>3</v>
      </c>
      <c r="AC2580" s="68">
        <f ca="1">IFERROR(__xludf.DUMMYFUNCTION("""COMPUTED_VALUE"""),45733.9986111111)</f>
        <v>45733.998611111099</v>
      </c>
      <c r="AD2580" s="6">
        <f ca="1">IFERROR(__xludf.DUMMYFUNCTION("""COMPUTED_VALUE"""),1442.49)</f>
        <v>1442.49</v>
      </c>
      <c r="AH2580" s="6" t="str">
        <f t="shared" ca="1" si="732"/>
        <v>20251</v>
      </c>
      <c r="AI2580" s="6">
        <f t="shared" ca="1" si="733"/>
        <v>2025</v>
      </c>
      <c r="AJ2580" s="6">
        <f t="shared" ca="1" si="734"/>
        <v>1</v>
      </c>
      <c r="AK2580" s="68">
        <f ca="1">IFERROR(__xludf.DUMMYFUNCTION("""COMPUTED_VALUE"""),45674.9986111111)</f>
        <v>45674.998611111099</v>
      </c>
      <c r="AL2580" s="6">
        <f ca="1">IFERROR(__xludf.DUMMYFUNCTION("""COMPUTED_VALUE"""),101413.4)</f>
        <v>101413.4</v>
      </c>
      <c r="AP2580" s="6" t="str">
        <f t="shared" si="735"/>
        <v>19001</v>
      </c>
      <c r="AQ2580" s="6">
        <f t="shared" si="736"/>
        <v>1900</v>
      </c>
      <c r="AR2580" s="6">
        <f t="shared" si="737"/>
        <v>1</v>
      </c>
    </row>
    <row r="2581" spans="2:44" x14ac:dyDescent="0.35">
      <c r="B2581" s="6" t="str">
        <f t="shared" si="720"/>
        <v>19001</v>
      </c>
      <c r="C2581" s="6">
        <f t="shared" si="721"/>
        <v>1900</v>
      </c>
      <c r="D2581" s="6">
        <f t="shared" si="722"/>
        <v>1</v>
      </c>
      <c r="J2581" s="6" t="str">
        <f t="shared" si="723"/>
        <v>19001</v>
      </c>
      <c r="K2581" s="6">
        <f t="shared" si="724"/>
        <v>1900</v>
      </c>
      <c r="L2581" s="6">
        <f t="shared" si="725"/>
        <v>1</v>
      </c>
      <c r="R2581" s="6" t="str">
        <f t="shared" si="726"/>
        <v>19001</v>
      </c>
      <c r="S2581" s="6">
        <f t="shared" si="727"/>
        <v>1900</v>
      </c>
      <c r="T2581" s="6">
        <f t="shared" si="728"/>
        <v>1</v>
      </c>
      <c r="Z2581" s="6" t="str">
        <f t="shared" ca="1" si="729"/>
        <v>20253</v>
      </c>
      <c r="AA2581" s="6">
        <f t="shared" ca="1" si="730"/>
        <v>2025</v>
      </c>
      <c r="AB2581" s="6">
        <f t="shared" ca="1" si="731"/>
        <v>3</v>
      </c>
      <c r="AC2581" s="68">
        <f ca="1">IFERROR(__xludf.DUMMYFUNCTION("""COMPUTED_VALUE"""),45734.9986111111)</f>
        <v>45734.998611111099</v>
      </c>
      <c r="AD2581" s="6">
        <f ca="1">IFERROR(__xludf.DUMMYFUNCTION("""COMPUTED_VALUE"""),1448.94)</f>
        <v>1448.94</v>
      </c>
      <c r="AH2581" s="6" t="str">
        <f t="shared" ca="1" si="732"/>
        <v>20251</v>
      </c>
      <c r="AI2581" s="6">
        <f t="shared" ca="1" si="733"/>
        <v>2025</v>
      </c>
      <c r="AJ2581" s="6">
        <f t="shared" ca="1" si="734"/>
        <v>1</v>
      </c>
      <c r="AK2581" s="68">
        <f ca="1">IFERROR(__xludf.DUMMYFUNCTION("""COMPUTED_VALUE"""),45675.9986111111)</f>
        <v>45675.998611111099</v>
      </c>
      <c r="AL2581" s="6">
        <f ca="1">IFERROR(__xludf.DUMMYFUNCTION("""COMPUTED_VALUE"""),103545.4)</f>
        <v>103545.4</v>
      </c>
      <c r="AP2581" s="6" t="str">
        <f t="shared" si="735"/>
        <v>19001</v>
      </c>
      <c r="AQ2581" s="6">
        <f t="shared" si="736"/>
        <v>1900</v>
      </c>
      <c r="AR2581" s="6">
        <f t="shared" si="737"/>
        <v>1</v>
      </c>
    </row>
    <row r="2582" spans="2:44" x14ac:dyDescent="0.35">
      <c r="B2582" s="6" t="str">
        <f t="shared" si="720"/>
        <v>19001</v>
      </c>
      <c r="C2582" s="6">
        <f t="shared" si="721"/>
        <v>1900</v>
      </c>
      <c r="D2582" s="6">
        <f t="shared" si="722"/>
        <v>1</v>
      </c>
      <c r="J2582" s="6" t="str">
        <f t="shared" si="723"/>
        <v>19001</v>
      </c>
      <c r="K2582" s="6">
        <f t="shared" si="724"/>
        <v>1900</v>
      </c>
      <c r="L2582" s="6">
        <f t="shared" si="725"/>
        <v>1</v>
      </c>
      <c r="R2582" s="6" t="str">
        <f t="shared" si="726"/>
        <v>19001</v>
      </c>
      <c r="S2582" s="6">
        <f t="shared" si="727"/>
        <v>1900</v>
      </c>
      <c r="T2582" s="6">
        <f t="shared" si="728"/>
        <v>1</v>
      </c>
      <c r="Z2582" s="6" t="str">
        <f t="shared" ca="1" si="729"/>
        <v>20253</v>
      </c>
      <c r="AA2582" s="6">
        <f t="shared" ca="1" si="730"/>
        <v>2025</v>
      </c>
      <c r="AB2582" s="6">
        <f t="shared" ca="1" si="731"/>
        <v>3</v>
      </c>
      <c r="AC2582" s="68">
        <f ca="1">IFERROR(__xludf.DUMMYFUNCTION("""COMPUTED_VALUE"""),45735.9986111111)</f>
        <v>45735.998611111099</v>
      </c>
      <c r="AD2582" s="6">
        <f ca="1">IFERROR(__xludf.DUMMYFUNCTION("""COMPUTED_VALUE"""),1443.39)</f>
        <v>1443.39</v>
      </c>
      <c r="AH2582" s="6" t="str">
        <f t="shared" ca="1" si="732"/>
        <v>20251</v>
      </c>
      <c r="AI2582" s="6">
        <f t="shared" ca="1" si="733"/>
        <v>2025</v>
      </c>
      <c r="AJ2582" s="6">
        <f t="shared" ca="1" si="734"/>
        <v>1</v>
      </c>
      <c r="AK2582" s="68">
        <f ca="1">IFERROR(__xludf.DUMMYFUNCTION("""COMPUTED_VALUE"""),45676.9986111111)</f>
        <v>45676.998611111099</v>
      </c>
      <c r="AL2582" s="6">
        <f ca="1">IFERROR(__xludf.DUMMYFUNCTION("""COMPUTED_VALUE"""),104841)</f>
        <v>104841</v>
      </c>
      <c r="AP2582" s="6" t="str">
        <f t="shared" si="735"/>
        <v>19001</v>
      </c>
      <c r="AQ2582" s="6">
        <f t="shared" si="736"/>
        <v>1900</v>
      </c>
      <c r="AR2582" s="6">
        <f t="shared" si="737"/>
        <v>1</v>
      </c>
    </row>
    <row r="2583" spans="2:44" x14ac:dyDescent="0.35">
      <c r="B2583" s="6" t="str">
        <f t="shared" si="720"/>
        <v>19001</v>
      </c>
      <c r="C2583" s="6">
        <f t="shared" si="721"/>
        <v>1900</v>
      </c>
      <c r="D2583" s="6">
        <f t="shared" si="722"/>
        <v>1</v>
      </c>
      <c r="J2583" s="6" t="str">
        <f t="shared" si="723"/>
        <v>19001</v>
      </c>
      <c r="K2583" s="6">
        <f t="shared" si="724"/>
        <v>1900</v>
      </c>
      <c r="L2583" s="6">
        <f t="shared" si="725"/>
        <v>1</v>
      </c>
      <c r="R2583" s="6" t="str">
        <f t="shared" si="726"/>
        <v>19001</v>
      </c>
      <c r="S2583" s="6">
        <f t="shared" si="727"/>
        <v>1900</v>
      </c>
      <c r="T2583" s="6">
        <f t="shared" si="728"/>
        <v>1</v>
      </c>
      <c r="Z2583" s="6" t="str">
        <f t="shared" ca="1" si="729"/>
        <v>20253</v>
      </c>
      <c r="AA2583" s="6">
        <f t="shared" ca="1" si="730"/>
        <v>2025</v>
      </c>
      <c r="AB2583" s="6">
        <f t="shared" ca="1" si="731"/>
        <v>3</v>
      </c>
      <c r="AC2583" s="68">
        <f ca="1">IFERROR(__xludf.DUMMYFUNCTION("""COMPUTED_VALUE"""),45736.9986111111)</f>
        <v>45736.998611111099</v>
      </c>
      <c r="AD2583" s="6">
        <f ca="1">IFERROR(__xludf.DUMMYFUNCTION("""COMPUTED_VALUE"""),1465.82)</f>
        <v>1465.82</v>
      </c>
      <c r="AH2583" s="6" t="str">
        <f t="shared" ca="1" si="732"/>
        <v>20251</v>
      </c>
      <c r="AI2583" s="6">
        <f t="shared" ca="1" si="733"/>
        <v>2025</v>
      </c>
      <c r="AJ2583" s="6">
        <f t="shared" ca="1" si="734"/>
        <v>1</v>
      </c>
      <c r="AK2583" s="68">
        <f ca="1">IFERROR(__xludf.DUMMYFUNCTION("""COMPUTED_VALUE"""),45677.9986111111)</f>
        <v>45677.998611111099</v>
      </c>
      <c r="AL2583" s="6">
        <f ca="1">IFERROR(__xludf.DUMMYFUNCTION("""COMPUTED_VALUE"""),102194.9)</f>
        <v>102194.9</v>
      </c>
      <c r="AP2583" s="6" t="str">
        <f t="shared" si="735"/>
        <v>19001</v>
      </c>
      <c r="AQ2583" s="6">
        <f t="shared" si="736"/>
        <v>1900</v>
      </c>
      <c r="AR2583" s="6">
        <f t="shared" si="737"/>
        <v>1</v>
      </c>
    </row>
    <row r="2584" spans="2:44" x14ac:dyDescent="0.35">
      <c r="B2584" s="6" t="str">
        <f t="shared" si="720"/>
        <v>19001</v>
      </c>
      <c r="C2584" s="6">
        <f t="shared" si="721"/>
        <v>1900</v>
      </c>
      <c r="D2584" s="6">
        <f t="shared" si="722"/>
        <v>1</v>
      </c>
      <c r="J2584" s="6" t="str">
        <f t="shared" si="723"/>
        <v>19001</v>
      </c>
      <c r="K2584" s="6">
        <f t="shared" si="724"/>
        <v>1900</v>
      </c>
      <c r="L2584" s="6">
        <f t="shared" si="725"/>
        <v>1</v>
      </c>
      <c r="R2584" s="6" t="str">
        <f t="shared" si="726"/>
        <v>19001</v>
      </c>
      <c r="S2584" s="6">
        <f t="shared" si="727"/>
        <v>1900</v>
      </c>
      <c r="T2584" s="6">
        <f t="shared" si="728"/>
        <v>1</v>
      </c>
      <c r="Z2584" s="6" t="str">
        <f t="shared" ca="1" si="729"/>
        <v>20253</v>
      </c>
      <c r="AA2584" s="6">
        <f t="shared" ca="1" si="730"/>
        <v>2025</v>
      </c>
      <c r="AB2584" s="6">
        <f t="shared" ca="1" si="731"/>
        <v>3</v>
      </c>
      <c r="AC2584" s="68">
        <f ca="1">IFERROR(__xludf.DUMMYFUNCTION("""COMPUTED_VALUE"""),45737.9986111111)</f>
        <v>45737.998611111099</v>
      </c>
      <c r="AD2584" s="6">
        <f ca="1">IFERROR(__xludf.DUMMYFUNCTION("""COMPUTED_VALUE"""),1464.88)</f>
        <v>1464.88</v>
      </c>
      <c r="AH2584" s="6" t="str">
        <f t="shared" ca="1" si="732"/>
        <v>20251</v>
      </c>
      <c r="AI2584" s="6">
        <f t="shared" ca="1" si="733"/>
        <v>2025</v>
      </c>
      <c r="AJ2584" s="6">
        <f t="shared" ca="1" si="734"/>
        <v>1</v>
      </c>
      <c r="AK2584" s="68">
        <f ca="1">IFERROR(__xludf.DUMMYFUNCTION("""COMPUTED_VALUE"""),45678.9986111111)</f>
        <v>45678.998611111099</v>
      </c>
      <c r="AL2584" s="6">
        <f ca="1">IFERROR(__xludf.DUMMYFUNCTION("""COMPUTED_VALUE"""),102204.3)</f>
        <v>102204.3</v>
      </c>
      <c r="AP2584" s="6" t="str">
        <f t="shared" si="735"/>
        <v>19001</v>
      </c>
      <c r="AQ2584" s="6">
        <f t="shared" si="736"/>
        <v>1900</v>
      </c>
      <c r="AR2584" s="6">
        <f t="shared" si="737"/>
        <v>1</v>
      </c>
    </row>
    <row r="2585" spans="2:44" x14ac:dyDescent="0.35">
      <c r="B2585" s="6" t="str">
        <f t="shared" si="720"/>
        <v>19001</v>
      </c>
      <c r="C2585" s="6">
        <f t="shared" si="721"/>
        <v>1900</v>
      </c>
      <c r="D2585" s="6">
        <f t="shared" si="722"/>
        <v>1</v>
      </c>
      <c r="J2585" s="6" t="str">
        <f t="shared" si="723"/>
        <v>19001</v>
      </c>
      <c r="K2585" s="6">
        <f t="shared" si="724"/>
        <v>1900</v>
      </c>
      <c r="L2585" s="6">
        <f t="shared" si="725"/>
        <v>1</v>
      </c>
      <c r="R2585" s="6" t="str">
        <f t="shared" si="726"/>
        <v>19001</v>
      </c>
      <c r="S2585" s="6">
        <f t="shared" si="727"/>
        <v>1900</v>
      </c>
      <c r="T2585" s="6">
        <f t="shared" si="728"/>
        <v>1</v>
      </c>
      <c r="Z2585" s="6" t="str">
        <f t="shared" ca="1" si="729"/>
        <v>20253</v>
      </c>
      <c r="AA2585" s="6">
        <f t="shared" ca="1" si="730"/>
        <v>2025</v>
      </c>
      <c r="AB2585" s="6">
        <f t="shared" ca="1" si="731"/>
        <v>3</v>
      </c>
      <c r="AC2585" s="68">
        <f ca="1">IFERROR(__xludf.DUMMYFUNCTION("""COMPUTED_VALUE"""),45738.9986111111)</f>
        <v>45738.998611111099</v>
      </c>
      <c r="AD2585" s="6">
        <f ca="1">IFERROR(__xludf.DUMMYFUNCTION("""COMPUTED_VALUE"""),1461.8)</f>
        <v>1461.8</v>
      </c>
      <c r="AH2585" s="6" t="str">
        <f t="shared" ca="1" si="732"/>
        <v>20251</v>
      </c>
      <c r="AI2585" s="6">
        <f t="shared" ca="1" si="733"/>
        <v>2025</v>
      </c>
      <c r="AJ2585" s="6">
        <f t="shared" ca="1" si="734"/>
        <v>1</v>
      </c>
      <c r="AK2585" s="68">
        <f ca="1">IFERROR(__xludf.DUMMYFUNCTION("""COMPUTED_VALUE"""),45679.9986111111)</f>
        <v>45679.998611111099</v>
      </c>
      <c r="AL2585" s="6">
        <f ca="1">IFERROR(__xludf.DUMMYFUNCTION("""COMPUTED_VALUE"""),105559.4)</f>
        <v>105559.4</v>
      </c>
      <c r="AP2585" s="6" t="str">
        <f t="shared" si="735"/>
        <v>19001</v>
      </c>
      <c r="AQ2585" s="6">
        <f t="shared" si="736"/>
        <v>1900</v>
      </c>
      <c r="AR2585" s="6">
        <f t="shared" si="737"/>
        <v>1</v>
      </c>
    </row>
    <row r="2586" spans="2:44" x14ac:dyDescent="0.35">
      <c r="B2586" s="6" t="str">
        <f t="shared" si="720"/>
        <v>19001</v>
      </c>
      <c r="C2586" s="6">
        <f t="shared" si="721"/>
        <v>1900</v>
      </c>
      <c r="D2586" s="6">
        <f t="shared" si="722"/>
        <v>1</v>
      </c>
      <c r="J2586" s="6" t="str">
        <f t="shared" si="723"/>
        <v>19001</v>
      </c>
      <c r="K2586" s="6">
        <f t="shared" si="724"/>
        <v>1900</v>
      </c>
      <c r="L2586" s="6">
        <f t="shared" si="725"/>
        <v>1</v>
      </c>
      <c r="R2586" s="6" t="str">
        <f t="shared" si="726"/>
        <v>19001</v>
      </c>
      <c r="S2586" s="6">
        <f t="shared" si="727"/>
        <v>1900</v>
      </c>
      <c r="T2586" s="6">
        <f t="shared" si="728"/>
        <v>1</v>
      </c>
      <c r="Z2586" s="6" t="str">
        <f t="shared" ca="1" si="729"/>
        <v>20253</v>
      </c>
      <c r="AA2586" s="6">
        <f t="shared" ca="1" si="730"/>
        <v>2025</v>
      </c>
      <c r="AB2586" s="6">
        <f t="shared" ca="1" si="731"/>
        <v>3</v>
      </c>
      <c r="AC2586" s="68">
        <f ca="1">IFERROR(__xludf.DUMMYFUNCTION("""COMPUTED_VALUE"""),45739.9986111111)</f>
        <v>45739.998611111099</v>
      </c>
      <c r="AD2586" s="6">
        <f ca="1">IFERROR(__xludf.DUMMYFUNCTION("""COMPUTED_VALUE"""),1464.78)</f>
        <v>1464.78</v>
      </c>
      <c r="AH2586" s="6" t="str">
        <f t="shared" ca="1" si="732"/>
        <v>20251</v>
      </c>
      <c r="AI2586" s="6">
        <f t="shared" ca="1" si="733"/>
        <v>2025</v>
      </c>
      <c r="AJ2586" s="6">
        <f t="shared" ca="1" si="734"/>
        <v>1</v>
      </c>
      <c r="AK2586" s="68">
        <f ca="1">IFERROR(__xludf.DUMMYFUNCTION("""COMPUTED_VALUE"""),45680.9986111111)</f>
        <v>45680.998611111099</v>
      </c>
      <c r="AL2586" s="6">
        <f ca="1">IFERROR(__xludf.DUMMYFUNCTION("""COMPUTED_VALUE"""),101964.6)</f>
        <v>101964.6</v>
      </c>
      <c r="AP2586" s="6" t="str">
        <f t="shared" si="735"/>
        <v>19001</v>
      </c>
      <c r="AQ2586" s="6">
        <f t="shared" si="736"/>
        <v>1900</v>
      </c>
      <c r="AR2586" s="6">
        <f t="shared" si="737"/>
        <v>1</v>
      </c>
    </row>
    <row r="2587" spans="2:44" x14ac:dyDescent="0.35">
      <c r="B2587" s="6" t="str">
        <f t="shared" si="720"/>
        <v>19001</v>
      </c>
      <c r="C2587" s="6">
        <f t="shared" si="721"/>
        <v>1900</v>
      </c>
      <c r="D2587" s="6">
        <f t="shared" si="722"/>
        <v>1</v>
      </c>
      <c r="J2587" s="6" t="str">
        <f t="shared" si="723"/>
        <v>19001</v>
      </c>
      <c r="K2587" s="6">
        <f t="shared" si="724"/>
        <v>1900</v>
      </c>
      <c r="L2587" s="6">
        <f t="shared" si="725"/>
        <v>1</v>
      </c>
      <c r="R2587" s="6" t="str">
        <f t="shared" si="726"/>
        <v>19001</v>
      </c>
      <c r="S2587" s="6">
        <f t="shared" si="727"/>
        <v>1900</v>
      </c>
      <c r="T2587" s="6">
        <f t="shared" si="728"/>
        <v>1</v>
      </c>
      <c r="Z2587" s="6" t="str">
        <f t="shared" ca="1" si="729"/>
        <v>20253</v>
      </c>
      <c r="AA2587" s="6">
        <f t="shared" ca="1" si="730"/>
        <v>2025</v>
      </c>
      <c r="AB2587" s="6">
        <f t="shared" ca="1" si="731"/>
        <v>3</v>
      </c>
      <c r="AC2587" s="68">
        <f ca="1">IFERROR(__xludf.DUMMYFUNCTION("""COMPUTED_VALUE"""),45740.9986111111)</f>
        <v>45740.998611111099</v>
      </c>
      <c r="AD2587" s="6">
        <f ca="1">IFERROR(__xludf.DUMMYFUNCTION("""COMPUTED_VALUE"""),1466.27)</f>
        <v>1466.27</v>
      </c>
      <c r="AH2587" s="6" t="str">
        <f t="shared" ca="1" si="732"/>
        <v>20251</v>
      </c>
      <c r="AI2587" s="6">
        <f t="shared" ca="1" si="733"/>
        <v>2025</v>
      </c>
      <c r="AJ2587" s="6">
        <f t="shared" ca="1" si="734"/>
        <v>1</v>
      </c>
      <c r="AK2587" s="68">
        <f ca="1">IFERROR(__xludf.DUMMYFUNCTION("""COMPUTED_VALUE"""),45681.9986111111)</f>
        <v>45681.998611111099</v>
      </c>
      <c r="AL2587" s="6">
        <f ca="1">IFERROR(__xludf.DUMMYFUNCTION("""COMPUTED_VALUE"""),104563)</f>
        <v>104563</v>
      </c>
      <c r="AP2587" s="6" t="str">
        <f t="shared" si="735"/>
        <v>19001</v>
      </c>
      <c r="AQ2587" s="6">
        <f t="shared" si="736"/>
        <v>1900</v>
      </c>
      <c r="AR2587" s="6">
        <f t="shared" si="737"/>
        <v>1</v>
      </c>
    </row>
    <row r="2588" spans="2:44" x14ac:dyDescent="0.35">
      <c r="B2588" s="6" t="str">
        <f t="shared" si="720"/>
        <v>19001</v>
      </c>
      <c r="C2588" s="6">
        <f t="shared" si="721"/>
        <v>1900</v>
      </c>
      <c r="D2588" s="6">
        <f t="shared" si="722"/>
        <v>1</v>
      </c>
      <c r="J2588" s="6" t="str">
        <f t="shared" si="723"/>
        <v>19001</v>
      </c>
      <c r="K2588" s="6">
        <f t="shared" si="724"/>
        <v>1900</v>
      </c>
      <c r="L2588" s="6">
        <f t="shared" si="725"/>
        <v>1</v>
      </c>
      <c r="R2588" s="6" t="str">
        <f t="shared" si="726"/>
        <v>19001</v>
      </c>
      <c r="S2588" s="6">
        <f t="shared" si="727"/>
        <v>1900</v>
      </c>
      <c r="T2588" s="6">
        <f t="shared" si="728"/>
        <v>1</v>
      </c>
      <c r="Z2588" s="6" t="str">
        <f t="shared" ca="1" si="729"/>
        <v>20253</v>
      </c>
      <c r="AA2588" s="6">
        <f t="shared" ca="1" si="730"/>
        <v>2025</v>
      </c>
      <c r="AB2588" s="6">
        <f t="shared" ca="1" si="731"/>
        <v>3</v>
      </c>
      <c r="AC2588" s="68">
        <f ca="1">IFERROR(__xludf.DUMMYFUNCTION("""COMPUTED_VALUE"""),45741.9986111111)</f>
        <v>45741.998611111099</v>
      </c>
      <c r="AD2588" s="6">
        <f ca="1">IFERROR(__xludf.DUMMYFUNCTION("""COMPUTED_VALUE"""),1462.09)</f>
        <v>1462.09</v>
      </c>
      <c r="AH2588" s="6" t="str">
        <f t="shared" ca="1" si="732"/>
        <v>20251</v>
      </c>
      <c r="AI2588" s="6">
        <f t="shared" ca="1" si="733"/>
        <v>2025</v>
      </c>
      <c r="AJ2588" s="6">
        <f t="shared" ca="1" si="734"/>
        <v>1</v>
      </c>
      <c r="AK2588" s="68">
        <f ca="1">IFERROR(__xludf.DUMMYFUNCTION("""COMPUTED_VALUE"""),45682.9986111111)</f>
        <v>45682.998611111099</v>
      </c>
      <c r="AL2588" s="6">
        <f ca="1">IFERROR(__xludf.DUMMYFUNCTION("""COMPUTED_VALUE"""),104669.3)</f>
        <v>104669.3</v>
      </c>
      <c r="AP2588" s="6" t="str">
        <f t="shared" si="735"/>
        <v>19001</v>
      </c>
      <c r="AQ2588" s="6">
        <f t="shared" si="736"/>
        <v>1900</v>
      </c>
      <c r="AR2588" s="6">
        <f t="shared" si="737"/>
        <v>1</v>
      </c>
    </row>
    <row r="2589" spans="2:44" x14ac:dyDescent="0.35">
      <c r="B2589" s="6" t="str">
        <f t="shared" si="720"/>
        <v>19001</v>
      </c>
      <c r="C2589" s="6">
        <f t="shared" si="721"/>
        <v>1900</v>
      </c>
      <c r="D2589" s="6">
        <f t="shared" si="722"/>
        <v>1</v>
      </c>
      <c r="J2589" s="6" t="str">
        <f t="shared" si="723"/>
        <v>19001</v>
      </c>
      <c r="K2589" s="6">
        <f t="shared" si="724"/>
        <v>1900</v>
      </c>
      <c r="L2589" s="6">
        <f t="shared" si="725"/>
        <v>1</v>
      </c>
      <c r="R2589" s="6" t="str">
        <f t="shared" si="726"/>
        <v>19001</v>
      </c>
      <c r="S2589" s="6">
        <f t="shared" si="727"/>
        <v>1900</v>
      </c>
      <c r="T2589" s="6">
        <f t="shared" si="728"/>
        <v>1</v>
      </c>
      <c r="Z2589" s="6" t="str">
        <f t="shared" ca="1" si="729"/>
        <v>20253</v>
      </c>
      <c r="AA2589" s="6">
        <f t="shared" ca="1" si="730"/>
        <v>2025</v>
      </c>
      <c r="AB2589" s="6">
        <f t="shared" ca="1" si="731"/>
        <v>3</v>
      </c>
      <c r="AC2589" s="68">
        <f ca="1">IFERROR(__xludf.DUMMYFUNCTION("""COMPUTED_VALUE"""),45742.9986111111)</f>
        <v>45742.998611111099</v>
      </c>
      <c r="AD2589" s="6">
        <f ca="1">IFERROR(__xludf.DUMMYFUNCTION("""COMPUTED_VALUE"""),1465.68)</f>
        <v>1465.68</v>
      </c>
      <c r="AH2589" s="6" t="str">
        <f t="shared" ca="1" si="732"/>
        <v>20251</v>
      </c>
      <c r="AI2589" s="6">
        <f t="shared" ca="1" si="733"/>
        <v>2025</v>
      </c>
      <c r="AJ2589" s="6">
        <f t="shared" ca="1" si="734"/>
        <v>1</v>
      </c>
      <c r="AK2589" s="68">
        <f ca="1">IFERROR(__xludf.DUMMYFUNCTION("""COMPUTED_VALUE"""),45683.9986111111)</f>
        <v>45683.998611111099</v>
      </c>
      <c r="AL2589" s="6">
        <f ca="1">IFERROR(__xludf.DUMMYFUNCTION("""COMPUTED_VALUE"""),105193.9)</f>
        <v>105193.9</v>
      </c>
      <c r="AP2589" s="6" t="str">
        <f t="shared" si="735"/>
        <v>19001</v>
      </c>
      <c r="AQ2589" s="6">
        <f t="shared" si="736"/>
        <v>1900</v>
      </c>
      <c r="AR2589" s="6">
        <f t="shared" si="737"/>
        <v>1</v>
      </c>
    </row>
    <row r="2590" spans="2:44" x14ac:dyDescent="0.35">
      <c r="B2590" s="6" t="str">
        <f t="shared" si="720"/>
        <v>19001</v>
      </c>
      <c r="C2590" s="6">
        <f t="shared" si="721"/>
        <v>1900</v>
      </c>
      <c r="D2590" s="6">
        <f t="shared" si="722"/>
        <v>1</v>
      </c>
      <c r="J2590" s="6" t="str">
        <f t="shared" si="723"/>
        <v>19001</v>
      </c>
      <c r="K2590" s="6">
        <f t="shared" si="724"/>
        <v>1900</v>
      </c>
      <c r="L2590" s="6">
        <f t="shared" si="725"/>
        <v>1</v>
      </c>
      <c r="R2590" s="6" t="str">
        <f t="shared" si="726"/>
        <v>19001</v>
      </c>
      <c r="S2590" s="6">
        <f t="shared" si="727"/>
        <v>1900</v>
      </c>
      <c r="T2590" s="6">
        <f t="shared" si="728"/>
        <v>1</v>
      </c>
      <c r="Z2590" s="6" t="str">
        <f t="shared" ca="1" si="729"/>
        <v>20253</v>
      </c>
      <c r="AA2590" s="6">
        <f t="shared" ca="1" si="730"/>
        <v>2025</v>
      </c>
      <c r="AB2590" s="6">
        <f t="shared" ca="1" si="731"/>
        <v>3</v>
      </c>
      <c r="AC2590" s="68">
        <f ca="1">IFERROR(__xludf.DUMMYFUNCTION("""COMPUTED_VALUE"""),45743.9986111111)</f>
        <v>45743.998611111099</v>
      </c>
      <c r="AD2590" s="6">
        <f ca="1">IFERROR(__xludf.DUMMYFUNCTION("""COMPUTED_VALUE"""),1461.89)</f>
        <v>1461.89</v>
      </c>
      <c r="AH2590" s="6" t="str">
        <f t="shared" ca="1" si="732"/>
        <v>20251</v>
      </c>
      <c r="AI2590" s="6">
        <f t="shared" ca="1" si="733"/>
        <v>2025</v>
      </c>
      <c r="AJ2590" s="6">
        <f t="shared" ca="1" si="734"/>
        <v>1</v>
      </c>
      <c r="AK2590" s="68">
        <f ca="1">IFERROR(__xludf.DUMMYFUNCTION("""COMPUTED_VALUE"""),45684.9986111111)</f>
        <v>45684.998611111099</v>
      </c>
      <c r="AL2590" s="6">
        <f ca="1">IFERROR(__xludf.DUMMYFUNCTION("""COMPUTED_VALUE"""),100414.1)</f>
        <v>100414.1</v>
      </c>
      <c r="AP2590" s="6" t="str">
        <f t="shared" si="735"/>
        <v>19001</v>
      </c>
      <c r="AQ2590" s="6">
        <f t="shared" si="736"/>
        <v>1900</v>
      </c>
      <c r="AR2590" s="6">
        <f t="shared" si="737"/>
        <v>1</v>
      </c>
    </row>
    <row r="2591" spans="2:44" x14ac:dyDescent="0.35">
      <c r="B2591" s="6" t="str">
        <f t="shared" si="720"/>
        <v>19001</v>
      </c>
      <c r="C2591" s="6">
        <f t="shared" si="721"/>
        <v>1900</v>
      </c>
      <c r="D2591" s="6">
        <f t="shared" si="722"/>
        <v>1</v>
      </c>
      <c r="J2591" s="6" t="str">
        <f t="shared" si="723"/>
        <v>19001</v>
      </c>
      <c r="K2591" s="6">
        <f t="shared" si="724"/>
        <v>1900</v>
      </c>
      <c r="L2591" s="6">
        <f t="shared" si="725"/>
        <v>1</v>
      </c>
      <c r="R2591" s="6" t="str">
        <f t="shared" si="726"/>
        <v>19001</v>
      </c>
      <c r="S2591" s="6">
        <f t="shared" si="727"/>
        <v>1900</v>
      </c>
      <c r="T2591" s="6">
        <f t="shared" si="728"/>
        <v>1</v>
      </c>
      <c r="Z2591" s="6" t="str">
        <f t="shared" ca="1" si="729"/>
        <v>20253</v>
      </c>
      <c r="AA2591" s="6">
        <f t="shared" ca="1" si="730"/>
        <v>2025</v>
      </c>
      <c r="AB2591" s="6">
        <f t="shared" ca="1" si="731"/>
        <v>3</v>
      </c>
      <c r="AC2591" s="68">
        <f ca="1">IFERROR(__xludf.DUMMYFUNCTION("""COMPUTED_VALUE"""),45744.9986111111)</f>
        <v>45744.998611111099</v>
      </c>
      <c r="AD2591" s="6">
        <f ca="1">IFERROR(__xludf.DUMMYFUNCTION("""COMPUTED_VALUE"""),1469.4)</f>
        <v>1469.4</v>
      </c>
      <c r="AH2591" s="6" t="str">
        <f t="shared" ca="1" si="732"/>
        <v>20251</v>
      </c>
      <c r="AI2591" s="6">
        <f t="shared" ca="1" si="733"/>
        <v>2025</v>
      </c>
      <c r="AJ2591" s="6">
        <f t="shared" ca="1" si="734"/>
        <v>1</v>
      </c>
      <c r="AK2591" s="68">
        <f ca="1">IFERROR(__xludf.DUMMYFUNCTION("""COMPUTED_VALUE"""),45685.9986111111)</f>
        <v>45685.998611111099</v>
      </c>
      <c r="AL2591" s="6">
        <f ca="1">IFERROR(__xludf.DUMMYFUNCTION("""COMPUTED_VALUE"""),102938)</f>
        <v>102938</v>
      </c>
      <c r="AP2591" s="6" t="str">
        <f t="shared" si="735"/>
        <v>19001</v>
      </c>
      <c r="AQ2591" s="6">
        <f t="shared" si="736"/>
        <v>1900</v>
      </c>
      <c r="AR2591" s="6">
        <f t="shared" si="737"/>
        <v>1</v>
      </c>
    </row>
    <row r="2592" spans="2:44" x14ac:dyDescent="0.35">
      <c r="B2592" s="6" t="str">
        <f t="shared" si="720"/>
        <v>19001</v>
      </c>
      <c r="C2592" s="6">
        <f t="shared" si="721"/>
        <v>1900</v>
      </c>
      <c r="D2592" s="6">
        <f t="shared" si="722"/>
        <v>1</v>
      </c>
      <c r="J2592" s="6" t="str">
        <f t="shared" si="723"/>
        <v>19001</v>
      </c>
      <c r="K2592" s="6">
        <f t="shared" si="724"/>
        <v>1900</v>
      </c>
      <c r="L2592" s="6">
        <f t="shared" si="725"/>
        <v>1</v>
      </c>
      <c r="R2592" s="6" t="str">
        <f t="shared" si="726"/>
        <v>19001</v>
      </c>
      <c r="S2592" s="6">
        <f t="shared" si="727"/>
        <v>1900</v>
      </c>
      <c r="T2592" s="6">
        <f t="shared" si="728"/>
        <v>1</v>
      </c>
      <c r="Z2592" s="6" t="str">
        <f t="shared" ca="1" si="729"/>
        <v>20253</v>
      </c>
      <c r="AA2592" s="6">
        <f t="shared" ca="1" si="730"/>
        <v>2025</v>
      </c>
      <c r="AB2592" s="6">
        <f t="shared" ca="1" si="731"/>
        <v>3</v>
      </c>
      <c r="AC2592" s="68">
        <f ca="1">IFERROR(__xludf.DUMMYFUNCTION("""COMPUTED_VALUE"""),45745.9986111111)</f>
        <v>45745.998611111099</v>
      </c>
      <c r="AD2592" s="6">
        <f ca="1">IFERROR(__xludf.DUMMYFUNCTION("""COMPUTED_VALUE"""),1468.4)</f>
        <v>1468.4</v>
      </c>
      <c r="AH2592" s="6" t="str">
        <f t="shared" ca="1" si="732"/>
        <v>20251</v>
      </c>
      <c r="AI2592" s="6">
        <f t="shared" ca="1" si="733"/>
        <v>2025</v>
      </c>
      <c r="AJ2592" s="6">
        <f t="shared" ca="1" si="734"/>
        <v>1</v>
      </c>
      <c r="AK2592" s="68">
        <f ca="1">IFERROR(__xludf.DUMMYFUNCTION("""COMPUTED_VALUE"""),45686.9986111111)</f>
        <v>45686.998611111099</v>
      </c>
      <c r="AL2592" s="6">
        <f ca="1">IFERROR(__xludf.DUMMYFUNCTION("""COMPUTED_VALUE"""),101995.6)</f>
        <v>101995.6</v>
      </c>
      <c r="AP2592" s="6" t="str">
        <f t="shared" si="735"/>
        <v>19001</v>
      </c>
      <c r="AQ2592" s="6">
        <f t="shared" si="736"/>
        <v>1900</v>
      </c>
      <c r="AR2592" s="6">
        <f t="shared" si="737"/>
        <v>1</v>
      </c>
    </row>
    <row r="2593" spans="2:44" x14ac:dyDescent="0.35">
      <c r="B2593" s="6" t="str">
        <f t="shared" si="720"/>
        <v>19001</v>
      </c>
      <c r="C2593" s="6">
        <f t="shared" si="721"/>
        <v>1900</v>
      </c>
      <c r="D2593" s="6">
        <f t="shared" si="722"/>
        <v>1</v>
      </c>
      <c r="J2593" s="6" t="str">
        <f t="shared" si="723"/>
        <v>19001</v>
      </c>
      <c r="K2593" s="6">
        <f t="shared" si="724"/>
        <v>1900</v>
      </c>
      <c r="L2593" s="6">
        <f t="shared" si="725"/>
        <v>1</v>
      </c>
      <c r="R2593" s="6" t="str">
        <f t="shared" si="726"/>
        <v>19001</v>
      </c>
      <c r="S2593" s="6">
        <f t="shared" si="727"/>
        <v>1900</v>
      </c>
      <c r="T2593" s="6">
        <f t="shared" si="728"/>
        <v>1</v>
      </c>
      <c r="Z2593" s="6" t="str">
        <f t="shared" ca="1" si="729"/>
        <v>20253</v>
      </c>
      <c r="AA2593" s="6">
        <f t="shared" ca="1" si="730"/>
        <v>2025</v>
      </c>
      <c r="AB2593" s="6">
        <f t="shared" ca="1" si="731"/>
        <v>3</v>
      </c>
      <c r="AC2593" s="68">
        <f ca="1">IFERROR(__xludf.DUMMYFUNCTION("""COMPUTED_VALUE"""),45746.9986111111)</f>
        <v>45746.998611111099</v>
      </c>
      <c r="AD2593" s="6">
        <f ca="1">IFERROR(__xludf.DUMMYFUNCTION("""COMPUTED_VALUE"""),1469.41)</f>
        <v>1469.41</v>
      </c>
      <c r="AH2593" s="6" t="str">
        <f t="shared" ca="1" si="732"/>
        <v>20251</v>
      </c>
      <c r="AI2593" s="6">
        <f t="shared" ca="1" si="733"/>
        <v>2025</v>
      </c>
      <c r="AJ2593" s="6">
        <f t="shared" ca="1" si="734"/>
        <v>1</v>
      </c>
      <c r="AK2593" s="68">
        <f ca="1">IFERROR(__xludf.DUMMYFUNCTION("""COMPUTED_VALUE"""),45687.9986111111)</f>
        <v>45687.998611111099</v>
      </c>
      <c r="AL2593" s="6">
        <f ca="1">IFERROR(__xludf.DUMMYFUNCTION("""COMPUTED_VALUE"""),105403.1)</f>
        <v>105403.1</v>
      </c>
      <c r="AP2593" s="6" t="str">
        <f t="shared" si="735"/>
        <v>19001</v>
      </c>
      <c r="AQ2593" s="6">
        <f t="shared" si="736"/>
        <v>1900</v>
      </c>
      <c r="AR2593" s="6">
        <f t="shared" si="737"/>
        <v>1</v>
      </c>
    </row>
    <row r="2594" spans="2:44" x14ac:dyDescent="0.35">
      <c r="B2594" s="6" t="str">
        <f t="shared" si="720"/>
        <v>19001</v>
      </c>
      <c r="C2594" s="6">
        <f t="shared" si="721"/>
        <v>1900</v>
      </c>
      <c r="D2594" s="6">
        <f t="shared" si="722"/>
        <v>1</v>
      </c>
      <c r="J2594" s="6" t="str">
        <f t="shared" si="723"/>
        <v>19001</v>
      </c>
      <c r="K2594" s="6">
        <f t="shared" si="724"/>
        <v>1900</v>
      </c>
      <c r="L2594" s="6">
        <f t="shared" si="725"/>
        <v>1</v>
      </c>
      <c r="R2594" s="6" t="str">
        <f t="shared" si="726"/>
        <v>19001</v>
      </c>
      <c r="S2594" s="6">
        <f t="shared" si="727"/>
        <v>1900</v>
      </c>
      <c r="T2594" s="6">
        <f t="shared" si="728"/>
        <v>1</v>
      </c>
      <c r="Z2594" s="6" t="str">
        <f t="shared" ca="1" si="729"/>
        <v>20253</v>
      </c>
      <c r="AA2594" s="6">
        <f t="shared" ca="1" si="730"/>
        <v>2025</v>
      </c>
      <c r="AB2594" s="6">
        <f t="shared" ca="1" si="731"/>
        <v>3</v>
      </c>
      <c r="AC2594" s="68">
        <f ca="1">IFERROR(__xludf.DUMMYFUNCTION("""COMPUTED_VALUE"""),45747.9986111111)</f>
        <v>45747.998611111099</v>
      </c>
      <c r="AD2594" s="6">
        <f ca="1">IFERROR(__xludf.DUMMYFUNCTION("""COMPUTED_VALUE"""),1471.96)</f>
        <v>1471.96</v>
      </c>
      <c r="AH2594" s="6" t="str">
        <f t="shared" ca="1" si="732"/>
        <v>20251</v>
      </c>
      <c r="AI2594" s="6">
        <f t="shared" ca="1" si="733"/>
        <v>2025</v>
      </c>
      <c r="AJ2594" s="6">
        <f t="shared" ca="1" si="734"/>
        <v>1</v>
      </c>
      <c r="AK2594" s="68">
        <f ca="1">IFERROR(__xludf.DUMMYFUNCTION("""COMPUTED_VALUE"""),45688.9986111111)</f>
        <v>45688.998611111099</v>
      </c>
      <c r="AL2594" s="6">
        <f ca="1">IFERROR(__xludf.DUMMYFUNCTION("""COMPUTED_VALUE"""),104008.8)</f>
        <v>104008.8</v>
      </c>
      <c r="AP2594" s="6" t="str">
        <f t="shared" si="735"/>
        <v>19001</v>
      </c>
      <c r="AQ2594" s="6">
        <f t="shared" si="736"/>
        <v>1900</v>
      </c>
      <c r="AR2594" s="6">
        <f t="shared" si="737"/>
        <v>1</v>
      </c>
    </row>
    <row r="2595" spans="2:44" x14ac:dyDescent="0.35">
      <c r="B2595" s="6" t="str">
        <f t="shared" si="720"/>
        <v>19001</v>
      </c>
      <c r="C2595" s="6">
        <f t="shared" si="721"/>
        <v>1900</v>
      </c>
      <c r="D2595" s="6">
        <f t="shared" si="722"/>
        <v>1</v>
      </c>
      <c r="J2595" s="6" t="str">
        <f t="shared" si="723"/>
        <v>19001</v>
      </c>
      <c r="K2595" s="6">
        <f t="shared" si="724"/>
        <v>1900</v>
      </c>
      <c r="L2595" s="6">
        <f t="shared" si="725"/>
        <v>1</v>
      </c>
      <c r="R2595" s="6" t="str">
        <f t="shared" si="726"/>
        <v>19001</v>
      </c>
      <c r="S2595" s="6">
        <f t="shared" si="727"/>
        <v>1900</v>
      </c>
      <c r="T2595" s="6">
        <f t="shared" si="728"/>
        <v>1</v>
      </c>
      <c r="Z2595" s="6" t="str">
        <f t="shared" ca="1" si="729"/>
        <v>20254</v>
      </c>
      <c r="AA2595" s="6">
        <f t="shared" ca="1" si="730"/>
        <v>2025</v>
      </c>
      <c r="AB2595" s="6">
        <f t="shared" ca="1" si="731"/>
        <v>4</v>
      </c>
      <c r="AC2595" s="68">
        <f ca="1">IFERROR(__xludf.DUMMYFUNCTION("""COMPUTED_VALUE"""),45748.9986111111)</f>
        <v>45748.998611111099</v>
      </c>
      <c r="AD2595" s="6">
        <f ca="1">IFERROR(__xludf.DUMMYFUNCTION("""COMPUTED_VALUE"""),1469.97)</f>
        <v>1469.97</v>
      </c>
      <c r="AH2595" s="6" t="str">
        <f t="shared" ca="1" si="732"/>
        <v>20252</v>
      </c>
      <c r="AI2595" s="6">
        <f t="shared" ca="1" si="733"/>
        <v>2025</v>
      </c>
      <c r="AJ2595" s="6">
        <f t="shared" ca="1" si="734"/>
        <v>2</v>
      </c>
      <c r="AK2595" s="68">
        <f ca="1">IFERROR(__xludf.DUMMYFUNCTION("""COMPUTED_VALUE"""),45689.9986111111)</f>
        <v>45689.998611111099</v>
      </c>
      <c r="AL2595" s="6">
        <f ca="1">IFERROR(__xludf.DUMMYFUNCTION("""COMPUTED_VALUE"""),102345.6)</f>
        <v>102345.60000000001</v>
      </c>
      <c r="AP2595" s="6" t="str">
        <f t="shared" si="735"/>
        <v>19001</v>
      </c>
      <c r="AQ2595" s="6">
        <f t="shared" si="736"/>
        <v>1900</v>
      </c>
      <c r="AR2595" s="6">
        <f t="shared" si="737"/>
        <v>1</v>
      </c>
    </row>
    <row r="2596" spans="2:44" x14ac:dyDescent="0.35">
      <c r="B2596" s="6" t="str">
        <f t="shared" si="720"/>
        <v>19001</v>
      </c>
      <c r="C2596" s="6">
        <f t="shared" si="721"/>
        <v>1900</v>
      </c>
      <c r="D2596" s="6">
        <f t="shared" si="722"/>
        <v>1</v>
      </c>
      <c r="J2596" s="6" t="str">
        <f t="shared" si="723"/>
        <v>19001</v>
      </c>
      <c r="K2596" s="6">
        <f t="shared" si="724"/>
        <v>1900</v>
      </c>
      <c r="L2596" s="6">
        <f t="shared" si="725"/>
        <v>1</v>
      </c>
      <c r="R2596" s="6" t="str">
        <f t="shared" si="726"/>
        <v>19001</v>
      </c>
      <c r="S2596" s="6">
        <f t="shared" si="727"/>
        <v>1900</v>
      </c>
      <c r="T2596" s="6">
        <f t="shared" si="728"/>
        <v>1</v>
      </c>
      <c r="Z2596" s="6" t="str">
        <f t="shared" ca="1" si="729"/>
        <v>20254</v>
      </c>
      <c r="AA2596" s="6">
        <f t="shared" ca="1" si="730"/>
        <v>2025</v>
      </c>
      <c r="AB2596" s="6">
        <f t="shared" ca="1" si="731"/>
        <v>4</v>
      </c>
      <c r="AC2596" s="68">
        <f ca="1">IFERROR(__xludf.DUMMYFUNCTION("""COMPUTED_VALUE"""),45749.9986111111)</f>
        <v>45749.998611111099</v>
      </c>
      <c r="AD2596" s="6">
        <f ca="1">IFERROR(__xludf.DUMMYFUNCTION("""COMPUTED_VALUE"""),1466.04)</f>
        <v>1466.04</v>
      </c>
      <c r="AH2596" s="6" t="str">
        <f t="shared" ca="1" si="732"/>
        <v>20252</v>
      </c>
      <c r="AI2596" s="6">
        <f t="shared" ca="1" si="733"/>
        <v>2025</v>
      </c>
      <c r="AJ2596" s="6">
        <f t="shared" ca="1" si="734"/>
        <v>2</v>
      </c>
      <c r="AK2596" s="68">
        <f ca="1">IFERROR(__xludf.DUMMYFUNCTION("""COMPUTED_VALUE"""),45690.9986111111)</f>
        <v>45690.998611111099</v>
      </c>
      <c r="AL2596" s="6">
        <f ca="1">IFERROR(__xludf.DUMMYFUNCTION("""COMPUTED_VALUE"""),99655.54)</f>
        <v>99655.54</v>
      </c>
      <c r="AP2596" s="6" t="str">
        <f t="shared" si="735"/>
        <v>19001</v>
      </c>
      <c r="AQ2596" s="6">
        <f t="shared" si="736"/>
        <v>1900</v>
      </c>
      <c r="AR2596" s="6">
        <f t="shared" si="737"/>
        <v>1</v>
      </c>
    </row>
    <row r="2597" spans="2:44" x14ac:dyDescent="0.35">
      <c r="B2597" s="6" t="str">
        <f t="shared" si="720"/>
        <v>19001</v>
      </c>
      <c r="C2597" s="6">
        <f t="shared" si="721"/>
        <v>1900</v>
      </c>
      <c r="D2597" s="6">
        <f t="shared" si="722"/>
        <v>1</v>
      </c>
      <c r="J2597" s="6" t="str">
        <f t="shared" si="723"/>
        <v>19001</v>
      </c>
      <c r="K2597" s="6">
        <f t="shared" si="724"/>
        <v>1900</v>
      </c>
      <c r="L2597" s="6">
        <f t="shared" si="725"/>
        <v>1</v>
      </c>
      <c r="R2597" s="6" t="str">
        <f t="shared" si="726"/>
        <v>19001</v>
      </c>
      <c r="S2597" s="6">
        <f t="shared" si="727"/>
        <v>1900</v>
      </c>
      <c r="T2597" s="6">
        <f t="shared" si="728"/>
        <v>1</v>
      </c>
      <c r="Z2597" s="6" t="str">
        <f t="shared" ca="1" si="729"/>
        <v>20254</v>
      </c>
      <c r="AA2597" s="6">
        <f t="shared" ca="1" si="730"/>
        <v>2025</v>
      </c>
      <c r="AB2597" s="6">
        <f t="shared" ca="1" si="731"/>
        <v>4</v>
      </c>
      <c r="AC2597" s="68">
        <f ca="1">IFERROR(__xludf.DUMMYFUNCTION("""COMPUTED_VALUE"""),45750.9986111111)</f>
        <v>45750.998611111099</v>
      </c>
      <c r="AD2597" s="6">
        <f ca="1">IFERROR(__xludf.DUMMYFUNCTION("""COMPUTED_VALUE"""),1450.68)</f>
        <v>1450.68</v>
      </c>
      <c r="AH2597" s="6" t="str">
        <f t="shared" ca="1" si="732"/>
        <v>20252</v>
      </c>
      <c r="AI2597" s="6">
        <f t="shared" ca="1" si="733"/>
        <v>2025</v>
      </c>
      <c r="AJ2597" s="6">
        <f t="shared" ca="1" si="734"/>
        <v>2</v>
      </c>
      <c r="AK2597" s="68">
        <f ca="1">IFERROR(__xludf.DUMMYFUNCTION("""COMPUTED_VALUE"""),45691.9986111111)</f>
        <v>45691.998611111099</v>
      </c>
      <c r="AL2597" s="6">
        <f ca="1">IFERROR(__xludf.DUMMYFUNCTION("""COMPUTED_VALUE"""),92883.21)</f>
        <v>92883.21</v>
      </c>
      <c r="AP2597" s="6" t="str">
        <f t="shared" si="735"/>
        <v>19001</v>
      </c>
      <c r="AQ2597" s="6">
        <f t="shared" si="736"/>
        <v>1900</v>
      </c>
      <c r="AR2597" s="6">
        <f t="shared" si="737"/>
        <v>1</v>
      </c>
    </row>
    <row r="2598" spans="2:44" x14ac:dyDescent="0.35">
      <c r="B2598" s="6" t="str">
        <f t="shared" si="720"/>
        <v>19001</v>
      </c>
      <c r="C2598" s="6">
        <f t="shared" si="721"/>
        <v>1900</v>
      </c>
      <c r="D2598" s="6">
        <f t="shared" si="722"/>
        <v>1</v>
      </c>
      <c r="J2598" s="6" t="str">
        <f t="shared" si="723"/>
        <v>19001</v>
      </c>
      <c r="K2598" s="6">
        <f t="shared" si="724"/>
        <v>1900</v>
      </c>
      <c r="L2598" s="6">
        <f t="shared" si="725"/>
        <v>1</v>
      </c>
      <c r="R2598" s="6" t="str">
        <f t="shared" si="726"/>
        <v>19001</v>
      </c>
      <c r="S2598" s="6">
        <f t="shared" si="727"/>
        <v>1900</v>
      </c>
      <c r="T2598" s="6">
        <f t="shared" si="728"/>
        <v>1</v>
      </c>
      <c r="Z2598" s="6" t="str">
        <f t="shared" ca="1" si="729"/>
        <v>20254</v>
      </c>
      <c r="AA2598" s="6">
        <f t="shared" ca="1" si="730"/>
        <v>2025</v>
      </c>
      <c r="AB2598" s="6">
        <f t="shared" ca="1" si="731"/>
        <v>4</v>
      </c>
      <c r="AC2598" s="68">
        <f ca="1">IFERROR(__xludf.DUMMYFUNCTION("""COMPUTED_VALUE"""),45751.9986111111)</f>
        <v>45751.998611111099</v>
      </c>
      <c r="AD2598" s="6">
        <f ca="1">IFERROR(__xludf.DUMMYFUNCTION("""COMPUTED_VALUE"""),1458.51)</f>
        <v>1458.51</v>
      </c>
      <c r="AH2598" s="6" t="str">
        <f t="shared" ca="1" si="732"/>
        <v>20252</v>
      </c>
      <c r="AI2598" s="6">
        <f t="shared" ca="1" si="733"/>
        <v>2025</v>
      </c>
      <c r="AJ2598" s="6">
        <f t="shared" ca="1" si="734"/>
        <v>2</v>
      </c>
      <c r="AK2598" s="68">
        <f ca="1">IFERROR(__xludf.DUMMYFUNCTION("""COMPUTED_VALUE"""),45692.9986111111)</f>
        <v>45692.998611111099</v>
      </c>
      <c r="AL2598" s="6">
        <f ca="1">IFERROR(__xludf.DUMMYFUNCTION("""COMPUTED_VALUE"""),100156.4)</f>
        <v>100156.4</v>
      </c>
      <c r="AP2598" s="6" t="str">
        <f t="shared" si="735"/>
        <v>19001</v>
      </c>
      <c r="AQ2598" s="6">
        <f t="shared" si="736"/>
        <v>1900</v>
      </c>
      <c r="AR2598" s="6">
        <f t="shared" si="737"/>
        <v>1</v>
      </c>
    </row>
    <row r="2599" spans="2:44" x14ac:dyDescent="0.35">
      <c r="B2599" s="6" t="str">
        <f t="shared" si="720"/>
        <v>19001</v>
      </c>
      <c r="C2599" s="6">
        <f t="shared" si="721"/>
        <v>1900</v>
      </c>
      <c r="D2599" s="6">
        <f t="shared" si="722"/>
        <v>1</v>
      </c>
      <c r="J2599" s="6" t="str">
        <f t="shared" si="723"/>
        <v>19001</v>
      </c>
      <c r="K2599" s="6">
        <f t="shared" si="724"/>
        <v>1900</v>
      </c>
      <c r="L2599" s="6">
        <f t="shared" si="725"/>
        <v>1</v>
      </c>
      <c r="R2599" s="6" t="str">
        <f t="shared" si="726"/>
        <v>19001</v>
      </c>
      <c r="S2599" s="6">
        <f t="shared" si="727"/>
        <v>1900</v>
      </c>
      <c r="T2599" s="6">
        <f t="shared" si="728"/>
        <v>1</v>
      </c>
      <c r="Z2599" s="6" t="str">
        <f t="shared" ca="1" si="729"/>
        <v>20254</v>
      </c>
      <c r="AA2599" s="6">
        <f t="shared" ca="1" si="730"/>
        <v>2025</v>
      </c>
      <c r="AB2599" s="6">
        <f t="shared" ca="1" si="731"/>
        <v>4</v>
      </c>
      <c r="AC2599" s="68">
        <f ca="1">IFERROR(__xludf.DUMMYFUNCTION("""COMPUTED_VALUE"""),45752.9986111111)</f>
        <v>45752.998611111099</v>
      </c>
      <c r="AD2599" s="6">
        <f ca="1">IFERROR(__xludf.DUMMYFUNCTION("""COMPUTED_VALUE"""),1458.41)</f>
        <v>1458.41</v>
      </c>
      <c r="AH2599" s="6" t="str">
        <f t="shared" ca="1" si="732"/>
        <v>20252</v>
      </c>
      <c r="AI2599" s="6">
        <f t="shared" ca="1" si="733"/>
        <v>2025</v>
      </c>
      <c r="AJ2599" s="6">
        <f t="shared" ca="1" si="734"/>
        <v>2</v>
      </c>
      <c r="AK2599" s="68">
        <f ca="1">IFERROR(__xludf.DUMMYFUNCTION("""COMPUTED_VALUE"""),45693.9986111111)</f>
        <v>45693.998611111099</v>
      </c>
      <c r="AL2599" s="6">
        <f ca="1">IFERROR(__xludf.DUMMYFUNCTION("""COMPUTED_VALUE"""),98136.17)</f>
        <v>98136.17</v>
      </c>
      <c r="AP2599" s="6" t="str">
        <f t="shared" si="735"/>
        <v>19001</v>
      </c>
      <c r="AQ2599" s="6">
        <f t="shared" si="736"/>
        <v>1900</v>
      </c>
      <c r="AR2599" s="6">
        <f t="shared" si="737"/>
        <v>1</v>
      </c>
    </row>
    <row r="2600" spans="2:44" x14ac:dyDescent="0.35">
      <c r="B2600" s="6" t="str">
        <f t="shared" si="720"/>
        <v>19001</v>
      </c>
      <c r="C2600" s="6">
        <f t="shared" si="721"/>
        <v>1900</v>
      </c>
      <c r="D2600" s="6">
        <f t="shared" si="722"/>
        <v>1</v>
      </c>
      <c r="J2600" s="6" t="str">
        <f t="shared" si="723"/>
        <v>19001</v>
      </c>
      <c r="K2600" s="6">
        <f t="shared" si="724"/>
        <v>1900</v>
      </c>
      <c r="L2600" s="6">
        <f t="shared" si="725"/>
        <v>1</v>
      </c>
      <c r="R2600" s="6" t="str">
        <f t="shared" si="726"/>
        <v>19001</v>
      </c>
      <c r="S2600" s="6">
        <f t="shared" si="727"/>
        <v>1900</v>
      </c>
      <c r="T2600" s="6">
        <f t="shared" si="728"/>
        <v>1</v>
      </c>
      <c r="Z2600" s="6" t="str">
        <f t="shared" ca="1" si="729"/>
        <v>20254</v>
      </c>
      <c r="AA2600" s="6">
        <f t="shared" ca="1" si="730"/>
        <v>2025</v>
      </c>
      <c r="AB2600" s="6">
        <f t="shared" ca="1" si="731"/>
        <v>4</v>
      </c>
      <c r="AC2600" s="68">
        <f ca="1">IFERROR(__xludf.DUMMYFUNCTION("""COMPUTED_VALUE"""),45753.9986111111)</f>
        <v>45753.998611111099</v>
      </c>
      <c r="AD2600" s="6">
        <f ca="1">IFERROR(__xludf.DUMMYFUNCTION("""COMPUTED_VALUE"""),1458.52)</f>
        <v>1458.52</v>
      </c>
      <c r="AH2600" s="6" t="str">
        <f t="shared" ca="1" si="732"/>
        <v>20252</v>
      </c>
      <c r="AI2600" s="6">
        <f t="shared" ca="1" si="733"/>
        <v>2025</v>
      </c>
      <c r="AJ2600" s="6">
        <f t="shared" ca="1" si="734"/>
        <v>2</v>
      </c>
      <c r="AK2600" s="68">
        <f ca="1">IFERROR(__xludf.DUMMYFUNCTION("""COMPUTED_VALUE"""),45694.9986111111)</f>
        <v>45694.998611111099</v>
      </c>
      <c r="AL2600" s="6">
        <f ca="1">IFERROR(__xludf.DUMMYFUNCTION("""COMPUTED_VALUE"""),97649.43)</f>
        <v>97649.43</v>
      </c>
      <c r="AP2600" s="6" t="str">
        <f t="shared" si="735"/>
        <v>19001</v>
      </c>
      <c r="AQ2600" s="6">
        <f t="shared" si="736"/>
        <v>1900</v>
      </c>
      <c r="AR2600" s="6">
        <f t="shared" si="737"/>
        <v>1</v>
      </c>
    </row>
    <row r="2601" spans="2:44" x14ac:dyDescent="0.35">
      <c r="B2601" s="6" t="str">
        <f t="shared" si="720"/>
        <v>19001</v>
      </c>
      <c r="C2601" s="6">
        <f t="shared" si="721"/>
        <v>1900</v>
      </c>
      <c r="D2601" s="6">
        <f t="shared" si="722"/>
        <v>1</v>
      </c>
      <c r="J2601" s="6" t="str">
        <f t="shared" si="723"/>
        <v>19001</v>
      </c>
      <c r="K2601" s="6">
        <f t="shared" si="724"/>
        <v>1900</v>
      </c>
      <c r="L2601" s="6">
        <f t="shared" si="725"/>
        <v>1</v>
      </c>
      <c r="R2601" s="6" t="str">
        <f t="shared" si="726"/>
        <v>19001</v>
      </c>
      <c r="S2601" s="6">
        <f t="shared" si="727"/>
        <v>1900</v>
      </c>
      <c r="T2601" s="6">
        <f t="shared" si="728"/>
        <v>1</v>
      </c>
      <c r="Z2601" s="6" t="str">
        <f t="shared" ca="1" si="729"/>
        <v>20254</v>
      </c>
      <c r="AA2601" s="6">
        <f t="shared" ca="1" si="730"/>
        <v>2025</v>
      </c>
      <c r="AB2601" s="6">
        <f t="shared" ca="1" si="731"/>
        <v>4</v>
      </c>
      <c r="AC2601" s="68">
        <f ca="1">IFERROR(__xludf.DUMMYFUNCTION("""COMPUTED_VALUE"""),45754.9986111111)</f>
        <v>45754.998611111099</v>
      </c>
      <c r="AD2601" s="6">
        <f ca="1">IFERROR(__xludf.DUMMYFUNCTION("""COMPUTED_VALUE"""),1469.95)</f>
        <v>1469.95</v>
      </c>
      <c r="AH2601" s="6" t="str">
        <f t="shared" ca="1" si="732"/>
        <v>20252</v>
      </c>
      <c r="AI2601" s="6">
        <f t="shared" ca="1" si="733"/>
        <v>2025</v>
      </c>
      <c r="AJ2601" s="6">
        <f t="shared" ca="1" si="734"/>
        <v>2</v>
      </c>
      <c r="AK2601" s="68">
        <f ca="1">IFERROR(__xludf.DUMMYFUNCTION("""COMPUTED_VALUE"""),45695.9986111111)</f>
        <v>45695.998611111099</v>
      </c>
      <c r="AL2601" s="6">
        <f ca="1">IFERROR(__xludf.DUMMYFUNCTION("""COMPUTED_VALUE"""),97519.86)</f>
        <v>97519.86</v>
      </c>
      <c r="AP2601" s="6" t="str">
        <f t="shared" si="735"/>
        <v>19001</v>
      </c>
      <c r="AQ2601" s="6">
        <f t="shared" si="736"/>
        <v>1900</v>
      </c>
      <c r="AR2601" s="6">
        <f t="shared" si="737"/>
        <v>1</v>
      </c>
    </row>
    <row r="2602" spans="2:44" x14ac:dyDescent="0.35">
      <c r="B2602" s="6" t="str">
        <f t="shared" si="720"/>
        <v>19001</v>
      </c>
      <c r="C2602" s="6">
        <f t="shared" si="721"/>
        <v>1900</v>
      </c>
      <c r="D2602" s="6">
        <f t="shared" si="722"/>
        <v>1</v>
      </c>
      <c r="J2602" s="6" t="str">
        <f t="shared" si="723"/>
        <v>19001</v>
      </c>
      <c r="K2602" s="6">
        <f t="shared" si="724"/>
        <v>1900</v>
      </c>
      <c r="L2602" s="6">
        <f t="shared" si="725"/>
        <v>1</v>
      </c>
      <c r="R2602" s="6" t="str">
        <f t="shared" si="726"/>
        <v>19001</v>
      </c>
      <c r="S2602" s="6">
        <f t="shared" si="727"/>
        <v>1900</v>
      </c>
      <c r="T2602" s="6">
        <f t="shared" si="728"/>
        <v>1</v>
      </c>
      <c r="Z2602" s="6" t="str">
        <f t="shared" ca="1" si="729"/>
        <v>20254</v>
      </c>
      <c r="AA2602" s="6">
        <f t="shared" ca="1" si="730"/>
        <v>2025</v>
      </c>
      <c r="AB2602" s="6">
        <f t="shared" ca="1" si="731"/>
        <v>4</v>
      </c>
      <c r="AC2602" s="68">
        <f ca="1">IFERROR(__xludf.DUMMYFUNCTION("""COMPUTED_VALUE"""),45755.9986111111)</f>
        <v>45755.998611111099</v>
      </c>
      <c r="AD2602" s="6">
        <f ca="1">IFERROR(__xludf.DUMMYFUNCTION("""COMPUTED_VALUE"""),1486.13)</f>
        <v>1486.13</v>
      </c>
      <c r="AH2602" s="6" t="str">
        <f t="shared" ca="1" si="732"/>
        <v>20252</v>
      </c>
      <c r="AI2602" s="6">
        <f t="shared" ca="1" si="733"/>
        <v>2025</v>
      </c>
      <c r="AJ2602" s="6">
        <f t="shared" ca="1" si="734"/>
        <v>2</v>
      </c>
      <c r="AK2602" s="68">
        <f ca="1">IFERROR(__xludf.DUMMYFUNCTION("""COMPUTED_VALUE"""),45696.9986111111)</f>
        <v>45696.998611111099</v>
      </c>
      <c r="AL2602" s="6">
        <f ca="1">IFERROR(__xludf.DUMMYFUNCTION("""COMPUTED_VALUE"""),96362.31)</f>
        <v>96362.31</v>
      </c>
      <c r="AP2602" s="6" t="str">
        <f t="shared" si="735"/>
        <v>19001</v>
      </c>
      <c r="AQ2602" s="6">
        <f t="shared" si="736"/>
        <v>1900</v>
      </c>
      <c r="AR2602" s="6">
        <f t="shared" si="737"/>
        <v>1</v>
      </c>
    </row>
    <row r="2603" spans="2:44" x14ac:dyDescent="0.35">
      <c r="B2603" s="6" t="str">
        <f t="shared" si="720"/>
        <v>19001</v>
      </c>
      <c r="C2603" s="6">
        <f t="shared" si="721"/>
        <v>1900</v>
      </c>
      <c r="D2603" s="6">
        <f t="shared" si="722"/>
        <v>1</v>
      </c>
      <c r="J2603" s="6" t="str">
        <f t="shared" si="723"/>
        <v>19001</v>
      </c>
      <c r="K2603" s="6">
        <f t="shared" si="724"/>
        <v>1900</v>
      </c>
      <c r="L2603" s="6">
        <f t="shared" si="725"/>
        <v>1</v>
      </c>
      <c r="R2603" s="6" t="str">
        <f t="shared" si="726"/>
        <v>19001</v>
      </c>
      <c r="S2603" s="6">
        <f t="shared" si="727"/>
        <v>1900</v>
      </c>
      <c r="T2603" s="6">
        <f t="shared" si="728"/>
        <v>1</v>
      </c>
      <c r="Z2603" s="6" t="str">
        <f t="shared" ca="1" si="729"/>
        <v>20254</v>
      </c>
      <c r="AA2603" s="6">
        <f t="shared" ca="1" si="730"/>
        <v>2025</v>
      </c>
      <c r="AB2603" s="6">
        <f t="shared" ca="1" si="731"/>
        <v>4</v>
      </c>
      <c r="AC2603" s="68">
        <f ca="1">IFERROR(__xludf.DUMMYFUNCTION("""COMPUTED_VALUE"""),45756.9986111111)</f>
        <v>45756.998611111099</v>
      </c>
      <c r="AD2603" s="6">
        <f ca="1">IFERROR(__xludf.DUMMYFUNCTION("""COMPUTED_VALUE"""),1443.95)</f>
        <v>1443.95</v>
      </c>
      <c r="AH2603" s="6" t="str">
        <f t="shared" ca="1" si="732"/>
        <v>20252</v>
      </c>
      <c r="AI2603" s="6">
        <f t="shared" ca="1" si="733"/>
        <v>2025</v>
      </c>
      <c r="AJ2603" s="6">
        <f t="shared" ca="1" si="734"/>
        <v>2</v>
      </c>
      <c r="AK2603" s="68">
        <f ca="1">IFERROR(__xludf.DUMMYFUNCTION("""COMPUTED_VALUE"""),45697.9986111111)</f>
        <v>45697.998611111099</v>
      </c>
      <c r="AL2603" s="6">
        <f ca="1">IFERROR(__xludf.DUMMYFUNCTION("""COMPUTED_VALUE"""),97281.8)</f>
        <v>97281.8</v>
      </c>
      <c r="AP2603" s="6" t="str">
        <f t="shared" si="735"/>
        <v>19001</v>
      </c>
      <c r="AQ2603" s="6">
        <f t="shared" si="736"/>
        <v>1900</v>
      </c>
      <c r="AR2603" s="6">
        <f t="shared" si="737"/>
        <v>1</v>
      </c>
    </row>
    <row r="2604" spans="2:44" x14ac:dyDescent="0.35">
      <c r="B2604" s="6" t="str">
        <f t="shared" si="720"/>
        <v>19001</v>
      </c>
      <c r="C2604" s="6">
        <f t="shared" si="721"/>
        <v>1900</v>
      </c>
      <c r="D2604" s="6">
        <f t="shared" si="722"/>
        <v>1</v>
      </c>
      <c r="J2604" s="6" t="str">
        <f t="shared" si="723"/>
        <v>19001</v>
      </c>
      <c r="K2604" s="6">
        <f t="shared" si="724"/>
        <v>1900</v>
      </c>
      <c r="L2604" s="6">
        <f t="shared" si="725"/>
        <v>1</v>
      </c>
      <c r="R2604" s="6" t="str">
        <f t="shared" si="726"/>
        <v>19001</v>
      </c>
      <c r="S2604" s="6">
        <f t="shared" si="727"/>
        <v>1900</v>
      </c>
      <c r="T2604" s="6">
        <f t="shared" si="728"/>
        <v>1</v>
      </c>
      <c r="Z2604" s="6" t="str">
        <f t="shared" ca="1" si="729"/>
        <v>20254</v>
      </c>
      <c r="AA2604" s="6">
        <f t="shared" ca="1" si="730"/>
        <v>2025</v>
      </c>
      <c r="AB2604" s="6">
        <f t="shared" ca="1" si="731"/>
        <v>4</v>
      </c>
      <c r="AC2604" s="68">
        <f ca="1">IFERROR(__xludf.DUMMYFUNCTION("""COMPUTED_VALUE"""),45757.9986111111)</f>
        <v>45757.998611111099</v>
      </c>
      <c r="AD2604" s="6">
        <f ca="1">IFERROR(__xludf.DUMMYFUNCTION("""COMPUTED_VALUE"""),1452.04)</f>
        <v>1452.04</v>
      </c>
      <c r="AH2604" s="6" t="str">
        <f t="shared" ca="1" si="732"/>
        <v>20252</v>
      </c>
      <c r="AI2604" s="6">
        <f t="shared" ca="1" si="733"/>
        <v>2025</v>
      </c>
      <c r="AJ2604" s="6">
        <f t="shared" ca="1" si="734"/>
        <v>2</v>
      </c>
      <c r="AK2604" s="68">
        <f ca="1">IFERROR(__xludf.DUMMYFUNCTION("""COMPUTED_VALUE"""),45698.9986111111)</f>
        <v>45698.998611111099</v>
      </c>
      <c r="AL2604" s="6">
        <f ca="1">IFERROR(__xludf.DUMMYFUNCTION("""COMPUTED_VALUE"""),96932.82)</f>
        <v>96932.82</v>
      </c>
      <c r="AP2604" s="6" t="str">
        <f t="shared" si="735"/>
        <v>19001</v>
      </c>
      <c r="AQ2604" s="6">
        <f t="shared" si="736"/>
        <v>1900</v>
      </c>
      <c r="AR2604" s="6">
        <f t="shared" si="737"/>
        <v>1</v>
      </c>
    </row>
    <row r="2605" spans="2:44" x14ac:dyDescent="0.35">
      <c r="B2605" s="6" t="str">
        <f t="shared" si="720"/>
        <v>19001</v>
      </c>
      <c r="C2605" s="6">
        <f t="shared" si="721"/>
        <v>1900</v>
      </c>
      <c r="D2605" s="6">
        <f t="shared" si="722"/>
        <v>1</v>
      </c>
      <c r="J2605" s="6" t="str">
        <f t="shared" si="723"/>
        <v>19001</v>
      </c>
      <c r="K2605" s="6">
        <f t="shared" si="724"/>
        <v>1900</v>
      </c>
      <c r="L2605" s="6">
        <f t="shared" si="725"/>
        <v>1</v>
      </c>
      <c r="R2605" s="6" t="str">
        <f t="shared" si="726"/>
        <v>19001</v>
      </c>
      <c r="S2605" s="6">
        <f t="shared" si="727"/>
        <v>1900</v>
      </c>
      <c r="T2605" s="6">
        <f t="shared" si="728"/>
        <v>1</v>
      </c>
      <c r="Z2605" s="6" t="str">
        <f t="shared" ca="1" si="729"/>
        <v>20254</v>
      </c>
      <c r="AA2605" s="6">
        <f t="shared" ca="1" si="730"/>
        <v>2025</v>
      </c>
      <c r="AB2605" s="6">
        <f t="shared" ca="1" si="731"/>
        <v>4</v>
      </c>
      <c r="AC2605" s="68">
        <f ca="1">IFERROR(__xludf.DUMMYFUNCTION("""COMPUTED_VALUE"""),45758.9986111111)</f>
        <v>45758.998611111099</v>
      </c>
      <c r="AD2605" s="6">
        <f ca="1">IFERROR(__xludf.DUMMYFUNCTION("""COMPUTED_VALUE"""),1420.22)</f>
        <v>1420.22</v>
      </c>
      <c r="AH2605" s="6" t="str">
        <f t="shared" ca="1" si="732"/>
        <v>20252</v>
      </c>
      <c r="AI2605" s="6">
        <f t="shared" ca="1" si="733"/>
        <v>2025</v>
      </c>
      <c r="AJ2605" s="6">
        <f t="shared" ca="1" si="734"/>
        <v>2</v>
      </c>
      <c r="AK2605" s="68">
        <f ca="1">IFERROR(__xludf.DUMMYFUNCTION("""COMPUTED_VALUE"""),45699.9986111111)</f>
        <v>45699.998611111099</v>
      </c>
      <c r="AL2605" s="6">
        <f ca="1">IFERROR(__xludf.DUMMYFUNCTION("""COMPUTED_VALUE"""),98077.13)</f>
        <v>98077.13</v>
      </c>
      <c r="AP2605" s="6" t="str">
        <f t="shared" si="735"/>
        <v>19001</v>
      </c>
      <c r="AQ2605" s="6">
        <f t="shared" si="736"/>
        <v>1900</v>
      </c>
      <c r="AR2605" s="6">
        <f t="shared" si="737"/>
        <v>1</v>
      </c>
    </row>
    <row r="2606" spans="2:44" x14ac:dyDescent="0.35">
      <c r="B2606" s="6" t="str">
        <f t="shared" si="720"/>
        <v>19001</v>
      </c>
      <c r="C2606" s="6">
        <f t="shared" si="721"/>
        <v>1900</v>
      </c>
      <c r="D2606" s="6">
        <f t="shared" si="722"/>
        <v>1</v>
      </c>
      <c r="J2606" s="6" t="str">
        <f t="shared" si="723"/>
        <v>19001</v>
      </c>
      <c r="K2606" s="6">
        <f t="shared" si="724"/>
        <v>1900</v>
      </c>
      <c r="L2606" s="6">
        <f t="shared" si="725"/>
        <v>1</v>
      </c>
      <c r="R2606" s="6" t="str">
        <f t="shared" si="726"/>
        <v>19001</v>
      </c>
      <c r="S2606" s="6">
        <f t="shared" si="727"/>
        <v>1900</v>
      </c>
      <c r="T2606" s="6">
        <f t="shared" si="728"/>
        <v>1</v>
      </c>
      <c r="Z2606" s="6" t="str">
        <f t="shared" ca="1" si="729"/>
        <v>20254</v>
      </c>
      <c r="AA2606" s="6">
        <f t="shared" ca="1" si="730"/>
        <v>2025</v>
      </c>
      <c r="AB2606" s="6">
        <f t="shared" ca="1" si="731"/>
        <v>4</v>
      </c>
      <c r="AC2606" s="68">
        <f ca="1">IFERROR(__xludf.DUMMYFUNCTION("""COMPUTED_VALUE"""),45759.9986111111)</f>
        <v>45759.998611111099</v>
      </c>
      <c r="AD2606" s="6">
        <f ca="1">IFERROR(__xludf.DUMMYFUNCTION("""COMPUTED_VALUE"""),1420.12)</f>
        <v>1420.12</v>
      </c>
      <c r="AH2606" s="6" t="str">
        <f t="shared" ca="1" si="732"/>
        <v>20252</v>
      </c>
      <c r="AI2606" s="6">
        <f t="shared" ca="1" si="733"/>
        <v>2025</v>
      </c>
      <c r="AJ2606" s="6">
        <f t="shared" ca="1" si="734"/>
        <v>2</v>
      </c>
      <c r="AK2606" s="68">
        <f ca="1">IFERROR(__xludf.DUMMYFUNCTION("""COMPUTED_VALUE"""),45700.9986111111)</f>
        <v>45700.998611111099</v>
      </c>
      <c r="AL2606" s="6">
        <f ca="1">IFERROR(__xludf.DUMMYFUNCTION("""COMPUTED_VALUE"""),95573.3)</f>
        <v>95573.3</v>
      </c>
      <c r="AP2606" s="6" t="str">
        <f t="shared" si="735"/>
        <v>19001</v>
      </c>
      <c r="AQ2606" s="6">
        <f t="shared" si="736"/>
        <v>1900</v>
      </c>
      <c r="AR2606" s="6">
        <f t="shared" si="737"/>
        <v>1</v>
      </c>
    </row>
    <row r="2607" spans="2:44" x14ac:dyDescent="0.35">
      <c r="B2607" s="6" t="str">
        <f t="shared" si="720"/>
        <v>19001</v>
      </c>
      <c r="C2607" s="6">
        <f t="shared" si="721"/>
        <v>1900</v>
      </c>
      <c r="D2607" s="6">
        <f t="shared" si="722"/>
        <v>1</v>
      </c>
      <c r="J2607" s="6" t="str">
        <f t="shared" si="723"/>
        <v>19001</v>
      </c>
      <c r="K2607" s="6">
        <f t="shared" si="724"/>
        <v>1900</v>
      </c>
      <c r="L2607" s="6">
        <f t="shared" si="725"/>
        <v>1</v>
      </c>
      <c r="R2607" s="6" t="str">
        <f t="shared" si="726"/>
        <v>19001</v>
      </c>
      <c r="S2607" s="6">
        <f t="shared" si="727"/>
        <v>1900</v>
      </c>
      <c r="T2607" s="6">
        <f t="shared" si="728"/>
        <v>1</v>
      </c>
      <c r="Z2607" s="6" t="str">
        <f t="shared" ca="1" si="729"/>
        <v>20254</v>
      </c>
      <c r="AA2607" s="6">
        <f t="shared" ca="1" si="730"/>
        <v>2025</v>
      </c>
      <c r="AB2607" s="6">
        <f t="shared" ca="1" si="731"/>
        <v>4</v>
      </c>
      <c r="AC2607" s="68">
        <f ca="1">IFERROR(__xludf.DUMMYFUNCTION("""COMPUTED_VALUE"""),45760.9986111111)</f>
        <v>45760.998611111099</v>
      </c>
      <c r="AD2607" s="6">
        <f ca="1">IFERROR(__xludf.DUMMYFUNCTION("""COMPUTED_VALUE"""),1419.05)</f>
        <v>1419.05</v>
      </c>
      <c r="AH2607" s="6" t="str">
        <f t="shared" ca="1" si="732"/>
        <v>20252</v>
      </c>
      <c r="AI2607" s="6">
        <f t="shared" ca="1" si="733"/>
        <v>2025</v>
      </c>
      <c r="AJ2607" s="6">
        <f t="shared" ca="1" si="734"/>
        <v>2</v>
      </c>
      <c r="AK2607" s="68">
        <f ca="1">IFERROR(__xludf.DUMMYFUNCTION("""COMPUTED_VALUE"""),45701.9986111111)</f>
        <v>45701.998611111099</v>
      </c>
      <c r="AL2607" s="6">
        <f ca="1">IFERROR(__xludf.DUMMYFUNCTION("""COMPUTED_VALUE"""),96900.99)</f>
        <v>96900.99</v>
      </c>
      <c r="AP2607" s="6" t="str">
        <f t="shared" si="735"/>
        <v>19001</v>
      </c>
      <c r="AQ2607" s="6">
        <f t="shared" si="736"/>
        <v>1900</v>
      </c>
      <c r="AR2607" s="6">
        <f t="shared" si="737"/>
        <v>1</v>
      </c>
    </row>
    <row r="2608" spans="2:44" x14ac:dyDescent="0.35">
      <c r="B2608" s="6" t="str">
        <f t="shared" si="720"/>
        <v>19001</v>
      </c>
      <c r="C2608" s="6">
        <f t="shared" si="721"/>
        <v>1900</v>
      </c>
      <c r="D2608" s="6">
        <f t="shared" si="722"/>
        <v>1</v>
      </c>
      <c r="J2608" s="6" t="str">
        <f t="shared" si="723"/>
        <v>19001</v>
      </c>
      <c r="K2608" s="6">
        <f t="shared" si="724"/>
        <v>1900</v>
      </c>
      <c r="L2608" s="6">
        <f t="shared" si="725"/>
        <v>1</v>
      </c>
      <c r="R2608" s="6" t="str">
        <f t="shared" si="726"/>
        <v>19001</v>
      </c>
      <c r="S2608" s="6">
        <f t="shared" si="727"/>
        <v>1900</v>
      </c>
      <c r="T2608" s="6">
        <f t="shared" si="728"/>
        <v>1</v>
      </c>
      <c r="Z2608" s="6" t="str">
        <f t="shared" ca="1" si="729"/>
        <v>20254</v>
      </c>
      <c r="AA2608" s="6">
        <f t="shared" ca="1" si="730"/>
        <v>2025</v>
      </c>
      <c r="AB2608" s="6">
        <f t="shared" ca="1" si="731"/>
        <v>4</v>
      </c>
      <c r="AC2608" s="68">
        <f ca="1">IFERROR(__xludf.DUMMYFUNCTION("""COMPUTED_VALUE"""),45761.9986111111)</f>
        <v>45761.998611111099</v>
      </c>
      <c r="AD2608" s="6">
        <f ca="1">IFERROR(__xludf.DUMMYFUNCTION("""COMPUTED_VALUE"""),1419.42)</f>
        <v>1419.42</v>
      </c>
      <c r="AH2608" s="6" t="str">
        <f t="shared" ca="1" si="732"/>
        <v>20252</v>
      </c>
      <c r="AI2608" s="6">
        <f t="shared" ca="1" si="733"/>
        <v>2025</v>
      </c>
      <c r="AJ2608" s="6">
        <f t="shared" ca="1" si="734"/>
        <v>2</v>
      </c>
      <c r="AK2608" s="68">
        <f ca="1">IFERROR(__xludf.DUMMYFUNCTION("""COMPUTED_VALUE"""),45702.9986111111)</f>
        <v>45702.998611111099</v>
      </c>
      <c r="AL2608" s="6">
        <f ca="1">IFERROR(__xludf.DUMMYFUNCTION("""COMPUTED_VALUE"""),96796.01)</f>
        <v>96796.01</v>
      </c>
      <c r="AP2608" s="6" t="str">
        <f t="shared" si="735"/>
        <v>19001</v>
      </c>
      <c r="AQ2608" s="6">
        <f t="shared" si="736"/>
        <v>1900</v>
      </c>
      <c r="AR2608" s="6">
        <f t="shared" si="737"/>
        <v>1</v>
      </c>
    </row>
    <row r="2609" spans="2:44" x14ac:dyDescent="0.35">
      <c r="B2609" s="6" t="str">
        <f t="shared" si="720"/>
        <v>19001</v>
      </c>
      <c r="C2609" s="6">
        <f t="shared" si="721"/>
        <v>1900</v>
      </c>
      <c r="D2609" s="6">
        <f t="shared" si="722"/>
        <v>1</v>
      </c>
      <c r="J2609" s="6" t="str">
        <f t="shared" si="723"/>
        <v>19001</v>
      </c>
      <c r="K2609" s="6">
        <f t="shared" si="724"/>
        <v>1900</v>
      </c>
      <c r="L2609" s="6">
        <f t="shared" si="725"/>
        <v>1</v>
      </c>
      <c r="R2609" s="6" t="str">
        <f t="shared" si="726"/>
        <v>19001</v>
      </c>
      <c r="S2609" s="6">
        <f t="shared" si="727"/>
        <v>1900</v>
      </c>
      <c r="T2609" s="6">
        <f t="shared" si="728"/>
        <v>1</v>
      </c>
      <c r="Z2609" s="6" t="str">
        <f t="shared" ca="1" si="729"/>
        <v>20254</v>
      </c>
      <c r="AA2609" s="6">
        <f t="shared" ca="1" si="730"/>
        <v>2025</v>
      </c>
      <c r="AB2609" s="6">
        <f t="shared" ca="1" si="731"/>
        <v>4</v>
      </c>
      <c r="AC2609" s="68">
        <f ca="1">IFERROR(__xludf.DUMMYFUNCTION("""COMPUTED_VALUE"""),45762.9986111111)</f>
        <v>45762.998611111099</v>
      </c>
      <c r="AD2609" s="6">
        <f ca="1">IFERROR(__xludf.DUMMYFUNCTION("""COMPUTED_VALUE"""),1427.02)</f>
        <v>1427.02</v>
      </c>
      <c r="AH2609" s="6" t="str">
        <f t="shared" ca="1" si="732"/>
        <v>20252</v>
      </c>
      <c r="AI2609" s="6">
        <f t="shared" ca="1" si="733"/>
        <v>2025</v>
      </c>
      <c r="AJ2609" s="6">
        <f t="shared" ca="1" si="734"/>
        <v>2</v>
      </c>
      <c r="AK2609" s="68">
        <f ca="1">IFERROR(__xludf.DUMMYFUNCTION("""COMPUTED_VALUE"""),45703.9986111111)</f>
        <v>45703.998611111099</v>
      </c>
      <c r="AL2609" s="6">
        <f ca="1">IFERROR(__xludf.DUMMYFUNCTION("""COMPUTED_VALUE"""),97544.53)</f>
        <v>97544.53</v>
      </c>
      <c r="AP2609" s="6" t="str">
        <f t="shared" si="735"/>
        <v>19001</v>
      </c>
      <c r="AQ2609" s="6">
        <f t="shared" si="736"/>
        <v>1900</v>
      </c>
      <c r="AR2609" s="6">
        <f t="shared" si="737"/>
        <v>1</v>
      </c>
    </row>
    <row r="2610" spans="2:44" x14ac:dyDescent="0.35">
      <c r="B2610" s="6" t="str">
        <f t="shared" si="720"/>
        <v>19001</v>
      </c>
      <c r="C2610" s="6">
        <f t="shared" si="721"/>
        <v>1900</v>
      </c>
      <c r="D2610" s="6">
        <f t="shared" si="722"/>
        <v>1</v>
      </c>
      <c r="J2610" s="6" t="str">
        <f t="shared" si="723"/>
        <v>19001</v>
      </c>
      <c r="K2610" s="6">
        <f t="shared" si="724"/>
        <v>1900</v>
      </c>
      <c r="L2610" s="6">
        <f t="shared" si="725"/>
        <v>1</v>
      </c>
      <c r="R2610" s="6" t="str">
        <f t="shared" si="726"/>
        <v>19001</v>
      </c>
      <c r="S2610" s="6">
        <f t="shared" si="727"/>
        <v>1900</v>
      </c>
      <c r="T2610" s="6">
        <f t="shared" si="728"/>
        <v>1</v>
      </c>
      <c r="Z2610" s="6" t="str">
        <f t="shared" ca="1" si="729"/>
        <v>20254</v>
      </c>
      <c r="AA2610" s="6">
        <f t="shared" ca="1" si="730"/>
        <v>2025</v>
      </c>
      <c r="AB2610" s="6">
        <f t="shared" ca="1" si="731"/>
        <v>4</v>
      </c>
      <c r="AC2610" s="68">
        <f ca="1">IFERROR(__xludf.DUMMYFUNCTION("""COMPUTED_VALUE"""),45763.9986111111)</f>
        <v>45763.998611111099</v>
      </c>
      <c r="AD2610" s="6">
        <f ca="1">IFERROR(__xludf.DUMMYFUNCTION("""COMPUTED_VALUE"""),1414.23)</f>
        <v>1414.23</v>
      </c>
      <c r="AH2610" s="6" t="str">
        <f t="shared" ca="1" si="732"/>
        <v>20252</v>
      </c>
      <c r="AI2610" s="6">
        <f t="shared" ca="1" si="733"/>
        <v>2025</v>
      </c>
      <c r="AJ2610" s="6">
        <f t="shared" ca="1" si="734"/>
        <v>2</v>
      </c>
      <c r="AK2610" s="68">
        <f ca="1">IFERROR(__xludf.DUMMYFUNCTION("""COMPUTED_VALUE"""),45704.9986111111)</f>
        <v>45704.998611111099</v>
      </c>
      <c r="AL2610" s="6">
        <f ca="1">IFERROR(__xludf.DUMMYFUNCTION("""COMPUTED_VALUE"""),97580.92)</f>
        <v>97580.92</v>
      </c>
      <c r="AP2610" s="6" t="str">
        <f t="shared" si="735"/>
        <v>19001</v>
      </c>
      <c r="AQ2610" s="6">
        <f t="shared" si="736"/>
        <v>1900</v>
      </c>
      <c r="AR2610" s="6">
        <f t="shared" si="737"/>
        <v>1</v>
      </c>
    </row>
    <row r="2611" spans="2:44" x14ac:dyDescent="0.35">
      <c r="B2611" s="6" t="str">
        <f t="shared" si="720"/>
        <v>19001</v>
      </c>
      <c r="C2611" s="6">
        <f t="shared" si="721"/>
        <v>1900</v>
      </c>
      <c r="D2611" s="6">
        <f t="shared" si="722"/>
        <v>1</v>
      </c>
      <c r="J2611" s="6" t="str">
        <f t="shared" si="723"/>
        <v>19001</v>
      </c>
      <c r="K2611" s="6">
        <f t="shared" si="724"/>
        <v>1900</v>
      </c>
      <c r="L2611" s="6">
        <f t="shared" si="725"/>
        <v>1</v>
      </c>
      <c r="R2611" s="6" t="str">
        <f t="shared" si="726"/>
        <v>19001</v>
      </c>
      <c r="S2611" s="6">
        <f t="shared" si="727"/>
        <v>1900</v>
      </c>
      <c r="T2611" s="6">
        <f t="shared" si="728"/>
        <v>1</v>
      </c>
      <c r="Z2611" s="6" t="str">
        <f t="shared" ca="1" si="729"/>
        <v>20254</v>
      </c>
      <c r="AA2611" s="6">
        <f t="shared" ca="1" si="730"/>
        <v>2025</v>
      </c>
      <c r="AB2611" s="6">
        <f t="shared" ca="1" si="731"/>
        <v>4</v>
      </c>
      <c r="AC2611" s="68">
        <f ca="1">IFERROR(__xludf.DUMMYFUNCTION("""COMPUTED_VALUE"""),45764.9986111111)</f>
        <v>45764.998611111099</v>
      </c>
      <c r="AD2611" s="6">
        <f ca="1">IFERROR(__xludf.DUMMYFUNCTION("""COMPUTED_VALUE"""),1417.41)</f>
        <v>1417.41</v>
      </c>
      <c r="AH2611" s="6" t="str">
        <f t="shared" ca="1" si="732"/>
        <v>20252</v>
      </c>
      <c r="AI2611" s="6">
        <f t="shared" ca="1" si="733"/>
        <v>2025</v>
      </c>
      <c r="AJ2611" s="6">
        <f t="shared" ca="1" si="734"/>
        <v>2</v>
      </c>
      <c r="AK2611" s="68">
        <f ca="1">IFERROR(__xludf.DUMMYFUNCTION("""COMPUTED_VALUE"""),45705.9986111111)</f>
        <v>45705.998611111099</v>
      </c>
      <c r="AL2611" s="6">
        <f ca="1">IFERROR(__xludf.DUMMYFUNCTION("""COMPUTED_VALUE"""),96127.14)</f>
        <v>96127.14</v>
      </c>
      <c r="AP2611" s="6" t="str">
        <f t="shared" si="735"/>
        <v>19001</v>
      </c>
      <c r="AQ2611" s="6">
        <f t="shared" si="736"/>
        <v>1900</v>
      </c>
      <c r="AR2611" s="6">
        <f t="shared" si="737"/>
        <v>1</v>
      </c>
    </row>
    <row r="2612" spans="2:44" x14ac:dyDescent="0.35">
      <c r="B2612" s="6" t="str">
        <f t="shared" si="720"/>
        <v>19001</v>
      </c>
      <c r="C2612" s="6">
        <f t="shared" si="721"/>
        <v>1900</v>
      </c>
      <c r="D2612" s="6">
        <f t="shared" si="722"/>
        <v>1</v>
      </c>
      <c r="J2612" s="6" t="str">
        <f t="shared" si="723"/>
        <v>19001</v>
      </c>
      <c r="K2612" s="6">
        <f t="shared" si="724"/>
        <v>1900</v>
      </c>
      <c r="L2612" s="6">
        <f t="shared" si="725"/>
        <v>1</v>
      </c>
      <c r="R2612" s="6" t="str">
        <f t="shared" si="726"/>
        <v>19001</v>
      </c>
      <c r="S2612" s="6">
        <f t="shared" si="727"/>
        <v>1900</v>
      </c>
      <c r="T2612" s="6">
        <f t="shared" si="728"/>
        <v>1</v>
      </c>
      <c r="Z2612" s="6" t="str">
        <f t="shared" ca="1" si="729"/>
        <v>20254</v>
      </c>
      <c r="AA2612" s="6">
        <f t="shared" ca="1" si="730"/>
        <v>2025</v>
      </c>
      <c r="AB2612" s="6">
        <f t="shared" ca="1" si="731"/>
        <v>4</v>
      </c>
      <c r="AC2612" s="68">
        <f ca="1">IFERROR(__xludf.DUMMYFUNCTION("""COMPUTED_VALUE"""),45768.9986111111)</f>
        <v>45768.998611111099</v>
      </c>
      <c r="AD2612" s="6">
        <f ca="1">IFERROR(__xludf.DUMMYFUNCTION("""COMPUTED_VALUE"""),1421.64)</f>
        <v>1421.64</v>
      </c>
      <c r="AH2612" s="6" t="str">
        <f t="shared" ca="1" si="732"/>
        <v>20252</v>
      </c>
      <c r="AI2612" s="6">
        <f t="shared" ca="1" si="733"/>
        <v>2025</v>
      </c>
      <c r="AJ2612" s="6">
        <f t="shared" ca="1" si="734"/>
        <v>2</v>
      </c>
      <c r="AK2612" s="68">
        <f ca="1">IFERROR(__xludf.DUMMYFUNCTION("""COMPUTED_VALUE"""),45706.9986111111)</f>
        <v>45706.998611111099</v>
      </c>
      <c r="AL2612" s="6">
        <f ca="1">IFERROR(__xludf.DUMMYFUNCTION("""COMPUTED_VALUE"""),96096.47)</f>
        <v>96096.47</v>
      </c>
      <c r="AP2612" s="6" t="str">
        <f t="shared" si="735"/>
        <v>19001</v>
      </c>
      <c r="AQ2612" s="6">
        <f t="shared" si="736"/>
        <v>1900</v>
      </c>
      <c r="AR2612" s="6">
        <f t="shared" si="737"/>
        <v>1</v>
      </c>
    </row>
    <row r="2613" spans="2:44" x14ac:dyDescent="0.35">
      <c r="B2613" s="6" t="str">
        <f t="shared" si="720"/>
        <v>19001</v>
      </c>
      <c r="C2613" s="6">
        <f t="shared" si="721"/>
        <v>1900</v>
      </c>
      <c r="D2613" s="6">
        <f t="shared" si="722"/>
        <v>1</v>
      </c>
      <c r="J2613" s="6" t="str">
        <f t="shared" si="723"/>
        <v>19001</v>
      </c>
      <c r="K2613" s="6">
        <f t="shared" si="724"/>
        <v>1900</v>
      </c>
      <c r="L2613" s="6">
        <f t="shared" si="725"/>
        <v>1</v>
      </c>
      <c r="R2613" s="6" t="str">
        <f t="shared" si="726"/>
        <v>19001</v>
      </c>
      <c r="S2613" s="6">
        <f t="shared" si="727"/>
        <v>1900</v>
      </c>
      <c r="T2613" s="6">
        <f t="shared" si="728"/>
        <v>1</v>
      </c>
      <c r="Z2613" s="6" t="str">
        <f t="shared" ca="1" si="729"/>
        <v>20254</v>
      </c>
      <c r="AA2613" s="6">
        <f t="shared" ca="1" si="730"/>
        <v>2025</v>
      </c>
      <c r="AB2613" s="6">
        <f t="shared" ca="1" si="731"/>
        <v>4</v>
      </c>
      <c r="AC2613" s="68">
        <f ca="1">IFERROR(__xludf.DUMMYFUNCTION("""COMPUTED_VALUE"""),45769.9986111111)</f>
        <v>45769.998611111099</v>
      </c>
      <c r="AD2613" s="6">
        <f ca="1">IFERROR(__xludf.DUMMYFUNCTION("""COMPUTED_VALUE"""),1429.22)</f>
        <v>1429.22</v>
      </c>
      <c r="AH2613" s="6" t="str">
        <f t="shared" ca="1" si="732"/>
        <v>20252</v>
      </c>
      <c r="AI2613" s="6">
        <f t="shared" ca="1" si="733"/>
        <v>2025</v>
      </c>
      <c r="AJ2613" s="6">
        <f t="shared" ca="1" si="734"/>
        <v>2</v>
      </c>
      <c r="AK2613" s="68">
        <f ca="1">IFERROR(__xludf.DUMMYFUNCTION("""COMPUTED_VALUE"""),45707.9986111111)</f>
        <v>45707.998611111099</v>
      </c>
      <c r="AL2613" s="6">
        <f ca="1">IFERROR(__xludf.DUMMYFUNCTION("""COMPUTED_VALUE"""),95307.54)</f>
        <v>95307.54</v>
      </c>
      <c r="AP2613" s="6" t="str">
        <f t="shared" si="735"/>
        <v>19001</v>
      </c>
      <c r="AQ2613" s="6">
        <f t="shared" si="736"/>
        <v>1900</v>
      </c>
      <c r="AR2613" s="6">
        <f t="shared" si="737"/>
        <v>1</v>
      </c>
    </row>
    <row r="2614" spans="2:44" x14ac:dyDescent="0.35">
      <c r="B2614" s="6" t="str">
        <f t="shared" si="720"/>
        <v>19001</v>
      </c>
      <c r="C2614" s="6">
        <f t="shared" si="721"/>
        <v>1900</v>
      </c>
      <c r="D2614" s="6">
        <f t="shared" si="722"/>
        <v>1</v>
      </c>
      <c r="J2614" s="6" t="str">
        <f t="shared" si="723"/>
        <v>19001</v>
      </c>
      <c r="K2614" s="6">
        <f t="shared" si="724"/>
        <v>1900</v>
      </c>
      <c r="L2614" s="6">
        <f t="shared" si="725"/>
        <v>1</v>
      </c>
      <c r="R2614" s="6" t="str">
        <f t="shared" si="726"/>
        <v>19001</v>
      </c>
      <c r="S2614" s="6">
        <f t="shared" si="727"/>
        <v>1900</v>
      </c>
      <c r="T2614" s="6">
        <f t="shared" si="728"/>
        <v>1</v>
      </c>
      <c r="Z2614" s="6" t="str">
        <f t="shared" ca="1" si="729"/>
        <v>20254</v>
      </c>
      <c r="AA2614" s="6">
        <f t="shared" ca="1" si="730"/>
        <v>2025</v>
      </c>
      <c r="AB2614" s="6">
        <f t="shared" ca="1" si="731"/>
        <v>4</v>
      </c>
      <c r="AC2614" s="68">
        <f ca="1">IFERROR(__xludf.DUMMYFUNCTION("""COMPUTED_VALUE"""),45770.9986111111)</f>
        <v>45770.998611111099</v>
      </c>
      <c r="AD2614" s="6">
        <f ca="1">IFERROR(__xludf.DUMMYFUNCTION("""COMPUTED_VALUE"""),1426.45)</f>
        <v>1426.45</v>
      </c>
      <c r="AH2614" s="6" t="str">
        <f t="shared" ca="1" si="732"/>
        <v>20252</v>
      </c>
      <c r="AI2614" s="6">
        <f t="shared" ca="1" si="733"/>
        <v>2025</v>
      </c>
      <c r="AJ2614" s="6">
        <f t="shared" ca="1" si="734"/>
        <v>2</v>
      </c>
      <c r="AK2614" s="68">
        <f ca="1">IFERROR(__xludf.DUMMYFUNCTION("""COMPUTED_VALUE"""),45708.9986111111)</f>
        <v>45708.998611111099</v>
      </c>
      <c r="AL2614" s="6">
        <f ca="1">IFERROR(__xludf.DUMMYFUNCTION("""COMPUTED_VALUE"""),97243.08)</f>
        <v>97243.08</v>
      </c>
      <c r="AP2614" s="6" t="str">
        <f t="shared" si="735"/>
        <v>19001</v>
      </c>
      <c r="AQ2614" s="6">
        <f t="shared" si="736"/>
        <v>1900</v>
      </c>
      <c r="AR2614" s="6">
        <f t="shared" si="737"/>
        <v>1</v>
      </c>
    </row>
    <row r="2615" spans="2:44" x14ac:dyDescent="0.35">
      <c r="B2615" s="6" t="str">
        <f t="shared" si="720"/>
        <v>19001</v>
      </c>
      <c r="C2615" s="6">
        <f t="shared" si="721"/>
        <v>1900</v>
      </c>
      <c r="D2615" s="6">
        <f t="shared" si="722"/>
        <v>1</v>
      </c>
      <c r="J2615" s="6" t="str">
        <f t="shared" si="723"/>
        <v>19001</v>
      </c>
      <c r="K2615" s="6">
        <f t="shared" si="724"/>
        <v>1900</v>
      </c>
      <c r="L2615" s="6">
        <f t="shared" si="725"/>
        <v>1</v>
      </c>
      <c r="R2615" s="6" t="str">
        <f t="shared" si="726"/>
        <v>19001</v>
      </c>
      <c r="S2615" s="6">
        <f t="shared" si="727"/>
        <v>1900</v>
      </c>
      <c r="T2615" s="6">
        <f t="shared" si="728"/>
        <v>1</v>
      </c>
      <c r="Z2615" s="6" t="str">
        <f t="shared" ca="1" si="729"/>
        <v>20254</v>
      </c>
      <c r="AA2615" s="6">
        <f t="shared" ca="1" si="730"/>
        <v>2025</v>
      </c>
      <c r="AB2615" s="6">
        <f t="shared" ca="1" si="731"/>
        <v>4</v>
      </c>
      <c r="AC2615" s="68">
        <f ca="1">IFERROR(__xludf.DUMMYFUNCTION("""COMPUTED_VALUE"""),45771.9986111111)</f>
        <v>45771.998611111099</v>
      </c>
      <c r="AD2615" s="6">
        <f ca="1">IFERROR(__xludf.DUMMYFUNCTION("""COMPUTED_VALUE"""),1430.06)</f>
        <v>1430.06</v>
      </c>
      <c r="AH2615" s="6" t="str">
        <f t="shared" ca="1" si="732"/>
        <v>20252</v>
      </c>
      <c r="AI2615" s="6">
        <f t="shared" ca="1" si="733"/>
        <v>2025</v>
      </c>
      <c r="AJ2615" s="6">
        <f t="shared" ca="1" si="734"/>
        <v>2</v>
      </c>
      <c r="AK2615" s="68">
        <f ca="1">IFERROR(__xludf.DUMMYFUNCTION("""COMPUTED_VALUE"""),45709.9986111111)</f>
        <v>45709.998611111099</v>
      </c>
      <c r="AL2615" s="6">
        <f ca="1">IFERROR(__xludf.DUMMYFUNCTION("""COMPUTED_VALUE"""),98249.46)</f>
        <v>98249.46</v>
      </c>
      <c r="AP2615" s="6" t="str">
        <f t="shared" si="735"/>
        <v>19001</v>
      </c>
      <c r="AQ2615" s="6">
        <f t="shared" si="736"/>
        <v>1900</v>
      </c>
      <c r="AR2615" s="6">
        <f t="shared" si="737"/>
        <v>1</v>
      </c>
    </row>
    <row r="2616" spans="2:44" x14ac:dyDescent="0.35">
      <c r="B2616" s="6" t="str">
        <f t="shared" si="720"/>
        <v>19001</v>
      </c>
      <c r="C2616" s="6">
        <f t="shared" si="721"/>
        <v>1900</v>
      </c>
      <c r="D2616" s="6">
        <f t="shared" si="722"/>
        <v>1</v>
      </c>
      <c r="J2616" s="6" t="str">
        <f t="shared" si="723"/>
        <v>19001</v>
      </c>
      <c r="K2616" s="6">
        <f t="shared" si="724"/>
        <v>1900</v>
      </c>
      <c r="L2616" s="6">
        <f t="shared" si="725"/>
        <v>1</v>
      </c>
      <c r="R2616" s="6" t="str">
        <f t="shared" si="726"/>
        <v>19001</v>
      </c>
      <c r="S2616" s="6">
        <f t="shared" si="727"/>
        <v>1900</v>
      </c>
      <c r="T2616" s="6">
        <f t="shared" si="728"/>
        <v>1</v>
      </c>
      <c r="Z2616" s="6" t="str">
        <f t="shared" ca="1" si="729"/>
        <v>20254</v>
      </c>
      <c r="AA2616" s="6">
        <f t="shared" ca="1" si="730"/>
        <v>2025</v>
      </c>
      <c r="AB2616" s="6">
        <f t="shared" ca="1" si="731"/>
        <v>4</v>
      </c>
      <c r="AC2616" s="68">
        <f ca="1">IFERROR(__xludf.DUMMYFUNCTION("""COMPUTED_VALUE"""),45772.9986111111)</f>
        <v>45772.998611111099</v>
      </c>
      <c r="AD2616" s="6">
        <f ca="1">IFERROR(__xludf.DUMMYFUNCTION("""COMPUTED_VALUE"""),1437.37)</f>
        <v>1437.37</v>
      </c>
      <c r="AH2616" s="6" t="str">
        <f t="shared" ca="1" si="732"/>
        <v>20252</v>
      </c>
      <c r="AI2616" s="6">
        <f t="shared" ca="1" si="733"/>
        <v>2025</v>
      </c>
      <c r="AJ2616" s="6">
        <f t="shared" ca="1" si="734"/>
        <v>2</v>
      </c>
      <c r="AK2616" s="68">
        <f ca="1">IFERROR(__xludf.DUMMYFUNCTION("""COMPUTED_VALUE"""),45710.9986111111)</f>
        <v>45710.998611111099</v>
      </c>
      <c r="AL2616" s="6">
        <f ca="1">IFERROR(__xludf.DUMMYFUNCTION("""COMPUTED_VALUE"""),96436.56)</f>
        <v>96436.56</v>
      </c>
      <c r="AP2616" s="6" t="str">
        <f t="shared" si="735"/>
        <v>19001</v>
      </c>
      <c r="AQ2616" s="6">
        <f t="shared" si="736"/>
        <v>1900</v>
      </c>
      <c r="AR2616" s="6">
        <f t="shared" si="737"/>
        <v>1</v>
      </c>
    </row>
    <row r="2617" spans="2:44" x14ac:dyDescent="0.35">
      <c r="B2617" s="6" t="str">
        <f t="shared" si="720"/>
        <v>19001</v>
      </c>
      <c r="C2617" s="6">
        <f t="shared" si="721"/>
        <v>1900</v>
      </c>
      <c r="D2617" s="6">
        <f t="shared" si="722"/>
        <v>1</v>
      </c>
      <c r="J2617" s="6" t="str">
        <f t="shared" si="723"/>
        <v>19001</v>
      </c>
      <c r="K2617" s="6">
        <f t="shared" si="724"/>
        <v>1900</v>
      </c>
      <c r="L2617" s="6">
        <f t="shared" si="725"/>
        <v>1</v>
      </c>
      <c r="R2617" s="6" t="str">
        <f t="shared" si="726"/>
        <v>19001</v>
      </c>
      <c r="S2617" s="6">
        <f t="shared" si="727"/>
        <v>1900</v>
      </c>
      <c r="T2617" s="6">
        <f t="shared" si="728"/>
        <v>1</v>
      </c>
      <c r="Z2617" s="6" t="str">
        <f t="shared" ca="1" si="729"/>
        <v>20254</v>
      </c>
      <c r="AA2617" s="6">
        <f t="shared" ca="1" si="730"/>
        <v>2025</v>
      </c>
      <c r="AB2617" s="6">
        <f t="shared" ca="1" si="731"/>
        <v>4</v>
      </c>
      <c r="AC2617" s="68">
        <f ca="1">IFERROR(__xludf.DUMMYFUNCTION("""COMPUTED_VALUE"""),45773.9986111111)</f>
        <v>45773.998611111099</v>
      </c>
      <c r="AD2617" s="6">
        <f ca="1">IFERROR(__xludf.DUMMYFUNCTION("""COMPUTED_VALUE"""),1437.37)</f>
        <v>1437.37</v>
      </c>
      <c r="AH2617" s="6" t="str">
        <f t="shared" ca="1" si="732"/>
        <v>20252</v>
      </c>
      <c r="AI2617" s="6">
        <f t="shared" ca="1" si="733"/>
        <v>2025</v>
      </c>
      <c r="AJ2617" s="6">
        <f t="shared" ca="1" si="734"/>
        <v>2</v>
      </c>
      <c r="AK2617" s="68">
        <f ca="1">IFERROR(__xludf.DUMMYFUNCTION("""COMPUTED_VALUE"""),45711.9986111111)</f>
        <v>45711.998611111099</v>
      </c>
      <c r="AL2617" s="6">
        <f ca="1">IFERROR(__xludf.DUMMYFUNCTION("""COMPUTED_VALUE"""),96443.38)</f>
        <v>96443.38</v>
      </c>
      <c r="AP2617" s="6" t="str">
        <f t="shared" si="735"/>
        <v>19001</v>
      </c>
      <c r="AQ2617" s="6">
        <f t="shared" si="736"/>
        <v>1900</v>
      </c>
      <c r="AR2617" s="6">
        <f t="shared" si="737"/>
        <v>1</v>
      </c>
    </row>
    <row r="2618" spans="2:44" x14ac:dyDescent="0.35">
      <c r="B2618" s="6" t="str">
        <f t="shared" si="720"/>
        <v>19001</v>
      </c>
      <c r="C2618" s="6">
        <f t="shared" si="721"/>
        <v>1900</v>
      </c>
      <c r="D2618" s="6">
        <f t="shared" si="722"/>
        <v>1</v>
      </c>
      <c r="J2618" s="6" t="str">
        <f t="shared" si="723"/>
        <v>19001</v>
      </c>
      <c r="K2618" s="6">
        <f t="shared" si="724"/>
        <v>1900</v>
      </c>
      <c r="L2618" s="6">
        <f t="shared" si="725"/>
        <v>1</v>
      </c>
      <c r="R2618" s="6" t="str">
        <f t="shared" si="726"/>
        <v>19001</v>
      </c>
      <c r="S2618" s="6">
        <f t="shared" si="727"/>
        <v>1900</v>
      </c>
      <c r="T2618" s="6">
        <f t="shared" si="728"/>
        <v>1</v>
      </c>
      <c r="Z2618" s="6" t="str">
        <f t="shared" ca="1" si="729"/>
        <v>20254</v>
      </c>
      <c r="AA2618" s="6">
        <f t="shared" ca="1" si="730"/>
        <v>2025</v>
      </c>
      <c r="AB2618" s="6">
        <f t="shared" ca="1" si="731"/>
        <v>4</v>
      </c>
      <c r="AC2618" s="68">
        <f ca="1">IFERROR(__xludf.DUMMYFUNCTION("""COMPUTED_VALUE"""),45774.9986111111)</f>
        <v>45774.998611111099</v>
      </c>
      <c r="AD2618" s="6">
        <f ca="1">IFERROR(__xludf.DUMMYFUNCTION("""COMPUTED_VALUE"""),1437.36)</f>
        <v>1437.36</v>
      </c>
      <c r="AH2618" s="6" t="str">
        <f t="shared" ca="1" si="732"/>
        <v>20252</v>
      </c>
      <c r="AI2618" s="6">
        <f t="shared" ca="1" si="733"/>
        <v>2025</v>
      </c>
      <c r="AJ2618" s="6">
        <f t="shared" ca="1" si="734"/>
        <v>2</v>
      </c>
      <c r="AK2618" s="68">
        <f ca="1">IFERROR(__xludf.DUMMYFUNCTION("""COMPUTED_VALUE"""),45712.9986111111)</f>
        <v>45712.998611111099</v>
      </c>
      <c r="AL2618" s="6">
        <f ca="1">IFERROR(__xludf.DUMMYFUNCTION("""COMPUTED_VALUE"""),95278.63)</f>
        <v>95278.63</v>
      </c>
      <c r="AP2618" s="6" t="str">
        <f t="shared" si="735"/>
        <v>19001</v>
      </c>
      <c r="AQ2618" s="6">
        <f t="shared" si="736"/>
        <v>1900</v>
      </c>
      <c r="AR2618" s="6">
        <f t="shared" si="737"/>
        <v>1</v>
      </c>
    </row>
    <row r="2619" spans="2:44" x14ac:dyDescent="0.35">
      <c r="B2619" s="6" t="str">
        <f t="shared" si="720"/>
        <v>19001</v>
      </c>
      <c r="C2619" s="6">
        <f t="shared" si="721"/>
        <v>1900</v>
      </c>
      <c r="D2619" s="6">
        <f t="shared" si="722"/>
        <v>1</v>
      </c>
      <c r="J2619" s="6" t="str">
        <f t="shared" si="723"/>
        <v>19001</v>
      </c>
      <c r="K2619" s="6">
        <f t="shared" si="724"/>
        <v>1900</v>
      </c>
      <c r="L2619" s="6">
        <f t="shared" si="725"/>
        <v>1</v>
      </c>
      <c r="R2619" s="6" t="str">
        <f t="shared" si="726"/>
        <v>19001</v>
      </c>
      <c r="S2619" s="6">
        <f t="shared" si="727"/>
        <v>1900</v>
      </c>
      <c r="T2619" s="6">
        <f t="shared" si="728"/>
        <v>1</v>
      </c>
      <c r="Z2619" s="6" t="str">
        <f t="shared" ca="1" si="729"/>
        <v>20254</v>
      </c>
      <c r="AA2619" s="6">
        <f t="shared" ca="1" si="730"/>
        <v>2025</v>
      </c>
      <c r="AB2619" s="6">
        <f t="shared" ca="1" si="731"/>
        <v>4</v>
      </c>
      <c r="AC2619" s="68">
        <f ca="1">IFERROR(__xludf.DUMMYFUNCTION("""COMPUTED_VALUE"""),45775.9986111111)</f>
        <v>45775.998611111099</v>
      </c>
      <c r="AD2619" s="6">
        <f ca="1">IFERROR(__xludf.DUMMYFUNCTION("""COMPUTED_VALUE"""),1435.88)</f>
        <v>1435.88</v>
      </c>
      <c r="AH2619" s="6" t="str">
        <f t="shared" ca="1" si="732"/>
        <v>20252</v>
      </c>
      <c r="AI2619" s="6">
        <f t="shared" ca="1" si="733"/>
        <v>2025</v>
      </c>
      <c r="AJ2619" s="6">
        <f t="shared" ca="1" si="734"/>
        <v>2</v>
      </c>
      <c r="AK2619" s="68">
        <f ca="1">IFERROR(__xludf.DUMMYFUNCTION("""COMPUTED_VALUE"""),45713.9986111111)</f>
        <v>45713.998611111099</v>
      </c>
      <c r="AL2619" s="6">
        <f ca="1">IFERROR(__xludf.DUMMYFUNCTION("""COMPUTED_VALUE"""),92066.2)</f>
        <v>92066.2</v>
      </c>
      <c r="AP2619" s="6" t="str">
        <f t="shared" si="735"/>
        <v>19001</v>
      </c>
      <c r="AQ2619" s="6">
        <f t="shared" si="736"/>
        <v>1900</v>
      </c>
      <c r="AR2619" s="6">
        <f t="shared" si="737"/>
        <v>1</v>
      </c>
    </row>
    <row r="2620" spans="2:44" x14ac:dyDescent="0.35">
      <c r="B2620" s="6" t="str">
        <f t="shared" si="720"/>
        <v>19001</v>
      </c>
      <c r="C2620" s="6">
        <f t="shared" si="721"/>
        <v>1900</v>
      </c>
      <c r="D2620" s="6">
        <f t="shared" si="722"/>
        <v>1</v>
      </c>
      <c r="J2620" s="6" t="str">
        <f t="shared" si="723"/>
        <v>19001</v>
      </c>
      <c r="K2620" s="6">
        <f t="shared" si="724"/>
        <v>1900</v>
      </c>
      <c r="L2620" s="6">
        <f t="shared" si="725"/>
        <v>1</v>
      </c>
      <c r="R2620" s="6" t="str">
        <f t="shared" si="726"/>
        <v>19001</v>
      </c>
      <c r="S2620" s="6">
        <f t="shared" si="727"/>
        <v>1900</v>
      </c>
      <c r="T2620" s="6">
        <f t="shared" si="728"/>
        <v>1</v>
      </c>
      <c r="Z2620" s="6" t="str">
        <f t="shared" ca="1" si="729"/>
        <v>20254</v>
      </c>
      <c r="AA2620" s="6">
        <f t="shared" ca="1" si="730"/>
        <v>2025</v>
      </c>
      <c r="AB2620" s="6">
        <f t="shared" ca="1" si="731"/>
        <v>4</v>
      </c>
      <c r="AC2620" s="68">
        <f ca="1">IFERROR(__xludf.DUMMYFUNCTION("""COMPUTED_VALUE"""),45776.9986111111)</f>
        <v>45776.998611111099</v>
      </c>
      <c r="AD2620" s="6">
        <f ca="1">IFERROR(__xludf.DUMMYFUNCTION("""COMPUTED_VALUE"""),1431.16)</f>
        <v>1431.16</v>
      </c>
      <c r="AH2620" s="6" t="str">
        <f t="shared" ca="1" si="732"/>
        <v>20252</v>
      </c>
      <c r="AI2620" s="6">
        <f t="shared" ca="1" si="733"/>
        <v>2025</v>
      </c>
      <c r="AJ2620" s="6">
        <f t="shared" ca="1" si="734"/>
        <v>2</v>
      </c>
      <c r="AK2620" s="68">
        <f ca="1">IFERROR(__xludf.DUMMYFUNCTION("""COMPUTED_VALUE"""),45714.9986111111)</f>
        <v>45714.998611111099</v>
      </c>
      <c r="AL2620" s="6">
        <f ca="1">IFERROR(__xludf.DUMMYFUNCTION("""COMPUTED_VALUE"""),88801.82)</f>
        <v>88801.82</v>
      </c>
      <c r="AP2620" s="6" t="str">
        <f t="shared" si="735"/>
        <v>19001</v>
      </c>
      <c r="AQ2620" s="6">
        <f t="shared" si="736"/>
        <v>1900</v>
      </c>
      <c r="AR2620" s="6">
        <f t="shared" si="737"/>
        <v>1</v>
      </c>
    </row>
    <row r="2621" spans="2:44" x14ac:dyDescent="0.35">
      <c r="B2621" s="6" t="str">
        <f t="shared" si="720"/>
        <v>19001</v>
      </c>
      <c r="C2621" s="6">
        <f t="shared" si="721"/>
        <v>1900</v>
      </c>
      <c r="D2621" s="6">
        <f t="shared" si="722"/>
        <v>1</v>
      </c>
      <c r="J2621" s="6" t="str">
        <f t="shared" si="723"/>
        <v>19001</v>
      </c>
      <c r="K2621" s="6">
        <f t="shared" si="724"/>
        <v>1900</v>
      </c>
      <c r="L2621" s="6">
        <f t="shared" si="725"/>
        <v>1</v>
      </c>
      <c r="R2621" s="6" t="str">
        <f t="shared" si="726"/>
        <v>19001</v>
      </c>
      <c r="S2621" s="6">
        <f t="shared" si="727"/>
        <v>1900</v>
      </c>
      <c r="T2621" s="6">
        <f t="shared" si="728"/>
        <v>1</v>
      </c>
      <c r="Z2621" s="6" t="str">
        <f t="shared" ca="1" si="729"/>
        <v>20254</v>
      </c>
      <c r="AA2621" s="6">
        <f t="shared" ca="1" si="730"/>
        <v>2025</v>
      </c>
      <c r="AB2621" s="6">
        <f t="shared" ca="1" si="731"/>
        <v>4</v>
      </c>
      <c r="AC2621" s="68">
        <f ca="1">IFERROR(__xludf.DUMMYFUNCTION("""COMPUTED_VALUE"""),45777.9986111111)</f>
        <v>45777.998611111099</v>
      </c>
      <c r="AD2621" s="6">
        <f ca="1">IFERROR(__xludf.DUMMYFUNCTION("""COMPUTED_VALUE"""),1423.75)</f>
        <v>1423.75</v>
      </c>
      <c r="AH2621" s="6" t="str">
        <f t="shared" ca="1" si="732"/>
        <v>20252</v>
      </c>
      <c r="AI2621" s="6">
        <f t="shared" ca="1" si="733"/>
        <v>2025</v>
      </c>
      <c r="AJ2621" s="6">
        <f t="shared" ca="1" si="734"/>
        <v>2</v>
      </c>
      <c r="AK2621" s="68">
        <f ca="1">IFERROR(__xludf.DUMMYFUNCTION("""COMPUTED_VALUE"""),45715.9986111111)</f>
        <v>45715.998611111099</v>
      </c>
      <c r="AL2621" s="6">
        <f ca="1">IFERROR(__xludf.DUMMYFUNCTION("""COMPUTED_VALUE"""),85090.99)</f>
        <v>85090.99</v>
      </c>
      <c r="AP2621" s="6" t="str">
        <f t="shared" si="735"/>
        <v>19001</v>
      </c>
      <c r="AQ2621" s="6">
        <f t="shared" si="736"/>
        <v>1900</v>
      </c>
      <c r="AR2621" s="6">
        <f t="shared" si="737"/>
        <v>1</v>
      </c>
    </row>
    <row r="2622" spans="2:44" x14ac:dyDescent="0.35">
      <c r="B2622" s="6" t="str">
        <f t="shared" si="720"/>
        <v>19001</v>
      </c>
      <c r="C2622" s="6">
        <f t="shared" si="721"/>
        <v>1900</v>
      </c>
      <c r="D2622" s="6">
        <f t="shared" si="722"/>
        <v>1</v>
      </c>
      <c r="J2622" s="6" t="str">
        <f t="shared" si="723"/>
        <v>19001</v>
      </c>
      <c r="K2622" s="6">
        <f t="shared" si="724"/>
        <v>1900</v>
      </c>
      <c r="L2622" s="6">
        <f t="shared" si="725"/>
        <v>1</v>
      </c>
      <c r="R2622" s="6" t="str">
        <f t="shared" si="726"/>
        <v>19001</v>
      </c>
      <c r="S2622" s="6">
        <f t="shared" si="727"/>
        <v>1900</v>
      </c>
      <c r="T2622" s="6">
        <f t="shared" si="728"/>
        <v>1</v>
      </c>
      <c r="Z2622" s="6" t="str">
        <f t="shared" ca="1" si="729"/>
        <v>20255</v>
      </c>
      <c r="AA2622" s="6">
        <f t="shared" ca="1" si="730"/>
        <v>2025</v>
      </c>
      <c r="AB2622" s="6">
        <f t="shared" ca="1" si="731"/>
        <v>5</v>
      </c>
      <c r="AC2622" s="68">
        <f ca="1">IFERROR(__xludf.DUMMYFUNCTION("""COMPUTED_VALUE"""),45778.9986111111)</f>
        <v>45778.998611111099</v>
      </c>
      <c r="AD2622" s="6">
        <f ca="1">IFERROR(__xludf.DUMMYFUNCTION("""COMPUTED_VALUE"""),1435.1)</f>
        <v>1435.1</v>
      </c>
      <c r="AH2622" s="6" t="str">
        <f t="shared" ca="1" si="732"/>
        <v>20252</v>
      </c>
      <c r="AI2622" s="6">
        <f t="shared" ca="1" si="733"/>
        <v>2025</v>
      </c>
      <c r="AJ2622" s="6">
        <f t="shared" ca="1" si="734"/>
        <v>2</v>
      </c>
      <c r="AK2622" s="68">
        <f ca="1">IFERROR(__xludf.DUMMYFUNCTION("""COMPUTED_VALUE"""),45716.9986111111)</f>
        <v>45716.998611111099</v>
      </c>
      <c r="AL2622" s="6">
        <f ca="1">IFERROR(__xludf.DUMMYFUNCTION("""COMPUTED_VALUE"""),80376.5)</f>
        <v>80376.5</v>
      </c>
      <c r="AP2622" s="6" t="str">
        <f t="shared" si="735"/>
        <v>19001</v>
      </c>
      <c r="AQ2622" s="6">
        <f t="shared" si="736"/>
        <v>1900</v>
      </c>
      <c r="AR2622" s="6">
        <f t="shared" si="737"/>
        <v>1</v>
      </c>
    </row>
    <row r="2623" spans="2:44" x14ac:dyDescent="0.35">
      <c r="B2623" s="6" t="str">
        <f t="shared" si="720"/>
        <v>19001</v>
      </c>
      <c r="C2623" s="6">
        <f t="shared" si="721"/>
        <v>1900</v>
      </c>
      <c r="D2623" s="6">
        <f t="shared" si="722"/>
        <v>1</v>
      </c>
      <c r="J2623" s="6" t="str">
        <f t="shared" si="723"/>
        <v>19001</v>
      </c>
      <c r="K2623" s="6">
        <f t="shared" si="724"/>
        <v>1900</v>
      </c>
      <c r="L2623" s="6">
        <f t="shared" si="725"/>
        <v>1</v>
      </c>
      <c r="R2623" s="6" t="str">
        <f t="shared" si="726"/>
        <v>19001</v>
      </c>
      <c r="S2623" s="6">
        <f t="shared" si="727"/>
        <v>1900</v>
      </c>
      <c r="T2623" s="6">
        <f t="shared" si="728"/>
        <v>1</v>
      </c>
      <c r="Z2623" s="6" t="str">
        <f t="shared" ca="1" si="729"/>
        <v>20255</v>
      </c>
      <c r="AA2623" s="6">
        <f t="shared" ca="1" si="730"/>
        <v>2025</v>
      </c>
      <c r="AB2623" s="6">
        <f t="shared" ca="1" si="731"/>
        <v>5</v>
      </c>
      <c r="AC2623" s="68">
        <f ca="1">IFERROR(__xludf.DUMMYFUNCTION("""COMPUTED_VALUE"""),45779.9986111111)</f>
        <v>45779.998611111099</v>
      </c>
      <c r="AD2623" s="6">
        <f ca="1">IFERROR(__xludf.DUMMYFUNCTION("""COMPUTED_VALUE"""),1398.38)</f>
        <v>1398.38</v>
      </c>
      <c r="AH2623" s="6" t="str">
        <f t="shared" ca="1" si="732"/>
        <v>20253</v>
      </c>
      <c r="AI2623" s="6">
        <f t="shared" ca="1" si="733"/>
        <v>2025</v>
      </c>
      <c r="AJ2623" s="6">
        <f t="shared" ca="1" si="734"/>
        <v>3</v>
      </c>
      <c r="AK2623" s="68">
        <f ca="1">IFERROR(__xludf.DUMMYFUNCTION("""COMPUTED_VALUE"""),45717.9986111111)</f>
        <v>45717.998611111099</v>
      </c>
      <c r="AL2623" s="6">
        <f ca="1">IFERROR(__xludf.DUMMYFUNCTION("""COMPUTED_VALUE"""),86273.05)</f>
        <v>86273.05</v>
      </c>
      <c r="AP2623" s="6" t="str">
        <f t="shared" si="735"/>
        <v>19001</v>
      </c>
      <c r="AQ2623" s="6">
        <f t="shared" si="736"/>
        <v>1900</v>
      </c>
      <c r="AR2623" s="6">
        <f t="shared" si="737"/>
        <v>1</v>
      </c>
    </row>
    <row r="2624" spans="2:44" x14ac:dyDescent="0.35">
      <c r="B2624" s="6" t="str">
        <f t="shared" si="720"/>
        <v>19001</v>
      </c>
      <c r="C2624" s="6">
        <f t="shared" si="721"/>
        <v>1900</v>
      </c>
      <c r="D2624" s="6">
        <f t="shared" si="722"/>
        <v>1</v>
      </c>
      <c r="J2624" s="6" t="str">
        <f t="shared" si="723"/>
        <v>19001</v>
      </c>
      <c r="K2624" s="6">
        <f t="shared" si="724"/>
        <v>1900</v>
      </c>
      <c r="L2624" s="6">
        <f t="shared" si="725"/>
        <v>1</v>
      </c>
      <c r="R2624" s="6" t="str">
        <f t="shared" si="726"/>
        <v>19001</v>
      </c>
      <c r="S2624" s="6">
        <f t="shared" si="727"/>
        <v>1900</v>
      </c>
      <c r="T2624" s="6">
        <f t="shared" si="728"/>
        <v>1</v>
      </c>
      <c r="Z2624" s="6" t="str">
        <f t="shared" ca="1" si="729"/>
        <v>20255</v>
      </c>
      <c r="AA2624" s="6">
        <f t="shared" ca="1" si="730"/>
        <v>2025</v>
      </c>
      <c r="AB2624" s="6">
        <f t="shared" ca="1" si="731"/>
        <v>5</v>
      </c>
      <c r="AC2624" s="68">
        <f ca="1">IFERROR(__xludf.DUMMYFUNCTION("""COMPUTED_VALUE"""),45780.9986111111)</f>
        <v>45780.998611111099</v>
      </c>
      <c r="AD2624" s="6">
        <f ca="1">IFERROR(__xludf.DUMMYFUNCTION("""COMPUTED_VALUE"""),1397.9)</f>
        <v>1397.9</v>
      </c>
      <c r="AH2624" s="6" t="str">
        <f t="shared" ca="1" si="732"/>
        <v>20253</v>
      </c>
      <c r="AI2624" s="6">
        <f t="shared" ca="1" si="733"/>
        <v>2025</v>
      </c>
      <c r="AJ2624" s="6">
        <f t="shared" ca="1" si="734"/>
        <v>3</v>
      </c>
      <c r="AK2624" s="68">
        <f ca="1">IFERROR(__xludf.DUMMYFUNCTION("""COMPUTED_VALUE"""),45718.9986111111)</f>
        <v>45718.998611111099</v>
      </c>
      <c r="AL2624" s="6">
        <f ca="1">IFERROR(__xludf.DUMMYFUNCTION("""COMPUTED_VALUE"""),85812.15)</f>
        <v>85812.15</v>
      </c>
      <c r="AP2624" s="6" t="str">
        <f t="shared" si="735"/>
        <v>19001</v>
      </c>
      <c r="AQ2624" s="6">
        <f t="shared" si="736"/>
        <v>1900</v>
      </c>
      <c r="AR2624" s="6">
        <f t="shared" si="737"/>
        <v>1</v>
      </c>
    </row>
    <row r="2625" spans="2:44" x14ac:dyDescent="0.35">
      <c r="B2625" s="6" t="str">
        <f t="shared" si="720"/>
        <v>19001</v>
      </c>
      <c r="C2625" s="6">
        <f t="shared" si="721"/>
        <v>1900</v>
      </c>
      <c r="D2625" s="6">
        <f t="shared" si="722"/>
        <v>1</v>
      </c>
      <c r="J2625" s="6" t="str">
        <f t="shared" si="723"/>
        <v>19001</v>
      </c>
      <c r="K2625" s="6">
        <f t="shared" si="724"/>
        <v>1900</v>
      </c>
      <c r="L2625" s="6">
        <f t="shared" si="725"/>
        <v>1</v>
      </c>
      <c r="R2625" s="6" t="str">
        <f t="shared" si="726"/>
        <v>19001</v>
      </c>
      <c r="S2625" s="6">
        <f t="shared" si="727"/>
        <v>1900</v>
      </c>
      <c r="T2625" s="6">
        <f t="shared" si="728"/>
        <v>1</v>
      </c>
      <c r="Z2625" s="6" t="str">
        <f t="shared" ca="1" si="729"/>
        <v>20255</v>
      </c>
      <c r="AA2625" s="6">
        <f t="shared" ca="1" si="730"/>
        <v>2025</v>
      </c>
      <c r="AB2625" s="6">
        <f t="shared" ca="1" si="731"/>
        <v>5</v>
      </c>
      <c r="AC2625" s="68">
        <f ca="1">IFERROR(__xludf.DUMMYFUNCTION("""COMPUTED_VALUE"""),45781.9986111111)</f>
        <v>45781.998611111099</v>
      </c>
      <c r="AD2625" s="6">
        <f ca="1">IFERROR(__xludf.DUMMYFUNCTION("""COMPUTED_VALUE"""),1398.9)</f>
        <v>1398.9</v>
      </c>
      <c r="AH2625" s="6" t="str">
        <f t="shared" ca="1" si="732"/>
        <v>20253</v>
      </c>
      <c r="AI2625" s="6">
        <f t="shared" ca="1" si="733"/>
        <v>2025</v>
      </c>
      <c r="AJ2625" s="6">
        <f t="shared" ca="1" si="734"/>
        <v>3</v>
      </c>
      <c r="AK2625" s="68">
        <f ca="1">IFERROR(__xludf.DUMMYFUNCTION("""COMPUTED_VALUE"""),45719.9986111111)</f>
        <v>45719.998611111099</v>
      </c>
      <c r="AL2625" s="6">
        <f ca="1">IFERROR(__xludf.DUMMYFUNCTION("""COMPUTED_VALUE"""),92841.09)</f>
        <v>92841.09</v>
      </c>
      <c r="AP2625" s="6" t="str">
        <f t="shared" si="735"/>
        <v>19001</v>
      </c>
      <c r="AQ2625" s="6">
        <f t="shared" si="736"/>
        <v>1900</v>
      </c>
      <c r="AR2625" s="6">
        <f t="shared" si="737"/>
        <v>1</v>
      </c>
    </row>
    <row r="2626" spans="2:44" x14ac:dyDescent="0.35">
      <c r="B2626" s="6" t="str">
        <f t="shared" si="720"/>
        <v>19001</v>
      </c>
      <c r="C2626" s="6">
        <f t="shared" si="721"/>
        <v>1900</v>
      </c>
      <c r="D2626" s="6">
        <f t="shared" si="722"/>
        <v>1</v>
      </c>
      <c r="J2626" s="6" t="str">
        <f t="shared" si="723"/>
        <v>19001</v>
      </c>
      <c r="K2626" s="6">
        <f t="shared" si="724"/>
        <v>1900</v>
      </c>
      <c r="L2626" s="6">
        <f t="shared" si="725"/>
        <v>1</v>
      </c>
      <c r="R2626" s="6" t="str">
        <f t="shared" si="726"/>
        <v>19001</v>
      </c>
      <c r="S2626" s="6">
        <f t="shared" si="727"/>
        <v>1900</v>
      </c>
      <c r="T2626" s="6">
        <f t="shared" si="728"/>
        <v>1</v>
      </c>
      <c r="Z2626" s="6" t="str">
        <f t="shared" ca="1" si="729"/>
        <v>20255</v>
      </c>
      <c r="AA2626" s="6">
        <f t="shared" ca="1" si="730"/>
        <v>2025</v>
      </c>
      <c r="AB2626" s="6">
        <f t="shared" ca="1" si="731"/>
        <v>5</v>
      </c>
      <c r="AC2626" s="68">
        <f ca="1">IFERROR(__xludf.DUMMYFUNCTION("""COMPUTED_VALUE"""),45782.9986111111)</f>
        <v>45782.998611111099</v>
      </c>
      <c r="AD2626" s="6">
        <f ca="1">IFERROR(__xludf.DUMMYFUNCTION("""COMPUTED_VALUE"""),1374.37)</f>
        <v>1374.37</v>
      </c>
      <c r="AH2626" s="6" t="str">
        <f t="shared" ca="1" si="732"/>
        <v>20253</v>
      </c>
      <c r="AI2626" s="6">
        <f t="shared" ca="1" si="733"/>
        <v>2025</v>
      </c>
      <c r="AJ2626" s="6">
        <f t="shared" ca="1" si="734"/>
        <v>3</v>
      </c>
      <c r="AK2626" s="68">
        <f ca="1">IFERROR(__xludf.DUMMYFUNCTION("""COMPUTED_VALUE"""),45720.9986111111)</f>
        <v>45720.998611111099</v>
      </c>
      <c r="AL2626" s="6">
        <f ca="1">IFERROR(__xludf.DUMMYFUNCTION("""COMPUTED_VALUE"""),83518.82)</f>
        <v>83518.820000000007</v>
      </c>
      <c r="AP2626" s="6" t="str">
        <f t="shared" si="735"/>
        <v>19001</v>
      </c>
      <c r="AQ2626" s="6">
        <f t="shared" si="736"/>
        <v>1900</v>
      </c>
      <c r="AR2626" s="6">
        <f t="shared" si="737"/>
        <v>1</v>
      </c>
    </row>
    <row r="2627" spans="2:44" x14ac:dyDescent="0.35">
      <c r="B2627" s="6" t="str">
        <f t="shared" si="720"/>
        <v>19001</v>
      </c>
      <c r="C2627" s="6">
        <f t="shared" si="721"/>
        <v>1900</v>
      </c>
      <c r="D2627" s="6">
        <f t="shared" si="722"/>
        <v>1</v>
      </c>
      <c r="J2627" s="6" t="str">
        <f t="shared" si="723"/>
        <v>19001</v>
      </c>
      <c r="K2627" s="6">
        <f t="shared" si="724"/>
        <v>1900</v>
      </c>
      <c r="L2627" s="6">
        <f t="shared" si="725"/>
        <v>1</v>
      </c>
      <c r="R2627" s="6" t="str">
        <f t="shared" si="726"/>
        <v>19001</v>
      </c>
      <c r="S2627" s="6">
        <f t="shared" si="727"/>
        <v>1900</v>
      </c>
      <c r="T2627" s="6">
        <f t="shared" si="728"/>
        <v>1</v>
      </c>
      <c r="Z2627" s="6" t="str">
        <f t="shared" ca="1" si="729"/>
        <v>20255</v>
      </c>
      <c r="AA2627" s="6">
        <f t="shared" ca="1" si="730"/>
        <v>2025</v>
      </c>
      <c r="AB2627" s="6">
        <f t="shared" ca="1" si="731"/>
        <v>5</v>
      </c>
      <c r="AC2627" s="68">
        <f ca="1">IFERROR(__xludf.DUMMYFUNCTION("""COMPUTED_VALUE"""),45783.9986111111)</f>
        <v>45783.998611111099</v>
      </c>
      <c r="AD2627" s="6">
        <f ca="1">IFERROR(__xludf.DUMMYFUNCTION("""COMPUTED_VALUE"""),1374.77)</f>
        <v>1374.77</v>
      </c>
      <c r="AH2627" s="6" t="str">
        <f t="shared" ca="1" si="732"/>
        <v>20253</v>
      </c>
      <c r="AI2627" s="6">
        <f t="shared" ca="1" si="733"/>
        <v>2025</v>
      </c>
      <c r="AJ2627" s="6">
        <f t="shared" ca="1" si="734"/>
        <v>3</v>
      </c>
      <c r="AK2627" s="68">
        <f ca="1">IFERROR(__xludf.DUMMYFUNCTION("""COMPUTED_VALUE"""),45721.9986111111)</f>
        <v>45721.998611111099</v>
      </c>
      <c r="AL2627" s="6">
        <f ca="1">IFERROR(__xludf.DUMMYFUNCTION("""COMPUTED_VALUE"""),86951.6)</f>
        <v>86951.6</v>
      </c>
      <c r="AP2627" s="6" t="str">
        <f t="shared" si="735"/>
        <v>19001</v>
      </c>
      <c r="AQ2627" s="6">
        <f t="shared" si="736"/>
        <v>1900</v>
      </c>
      <c r="AR2627" s="6">
        <f t="shared" si="737"/>
        <v>1</v>
      </c>
    </row>
    <row r="2628" spans="2:44" x14ac:dyDescent="0.35">
      <c r="B2628" s="6" t="str">
        <f t="shared" si="720"/>
        <v>19001</v>
      </c>
      <c r="C2628" s="6">
        <f t="shared" si="721"/>
        <v>1900</v>
      </c>
      <c r="D2628" s="6">
        <f t="shared" si="722"/>
        <v>1</v>
      </c>
      <c r="J2628" s="6" t="str">
        <f t="shared" si="723"/>
        <v>19001</v>
      </c>
      <c r="K2628" s="6">
        <f t="shared" si="724"/>
        <v>1900</v>
      </c>
      <c r="L2628" s="6">
        <f t="shared" si="725"/>
        <v>1</v>
      </c>
      <c r="R2628" s="6" t="str">
        <f t="shared" si="726"/>
        <v>19001</v>
      </c>
      <c r="S2628" s="6">
        <f t="shared" si="727"/>
        <v>1900</v>
      </c>
      <c r="T2628" s="6">
        <f t="shared" si="728"/>
        <v>1</v>
      </c>
      <c r="Z2628" s="6" t="str">
        <f t="shared" ca="1" si="729"/>
        <v>20255</v>
      </c>
      <c r="AA2628" s="6">
        <f t="shared" ca="1" si="730"/>
        <v>2025</v>
      </c>
      <c r="AB2628" s="6">
        <f t="shared" ca="1" si="731"/>
        <v>5</v>
      </c>
      <c r="AC2628" s="68">
        <f ca="1">IFERROR(__xludf.DUMMYFUNCTION("""COMPUTED_VALUE"""),45784.9986111111)</f>
        <v>45784.998611111099</v>
      </c>
      <c r="AD2628" s="6">
        <f ca="1">IFERROR(__xludf.DUMMYFUNCTION("""COMPUTED_VALUE"""),1397.29)</f>
        <v>1397.29</v>
      </c>
      <c r="AH2628" s="6" t="str">
        <f t="shared" ca="1" si="732"/>
        <v>20253</v>
      </c>
      <c r="AI2628" s="6">
        <f t="shared" ca="1" si="733"/>
        <v>2025</v>
      </c>
      <c r="AJ2628" s="6">
        <f t="shared" ca="1" si="734"/>
        <v>3</v>
      </c>
      <c r="AK2628" s="68">
        <f ca="1">IFERROR(__xludf.DUMMYFUNCTION("""COMPUTED_VALUE"""),45722.9986111111)</f>
        <v>45722.998611111099</v>
      </c>
      <c r="AL2628" s="6">
        <f ca="1">IFERROR(__xludf.DUMMYFUNCTION("""COMPUTED_VALUE"""),92272.38)</f>
        <v>92272.38</v>
      </c>
      <c r="AP2628" s="6" t="str">
        <f t="shared" si="735"/>
        <v>19001</v>
      </c>
      <c r="AQ2628" s="6">
        <f t="shared" si="736"/>
        <v>1900</v>
      </c>
      <c r="AR2628" s="6">
        <f t="shared" si="737"/>
        <v>1</v>
      </c>
    </row>
    <row r="2629" spans="2:44" x14ac:dyDescent="0.35">
      <c r="B2629" s="6" t="str">
        <f t="shared" si="720"/>
        <v>19001</v>
      </c>
      <c r="C2629" s="6">
        <f t="shared" si="721"/>
        <v>1900</v>
      </c>
      <c r="D2629" s="6">
        <f t="shared" si="722"/>
        <v>1</v>
      </c>
      <c r="J2629" s="6" t="str">
        <f t="shared" si="723"/>
        <v>19001</v>
      </c>
      <c r="K2629" s="6">
        <f t="shared" si="724"/>
        <v>1900</v>
      </c>
      <c r="L2629" s="6">
        <f t="shared" si="725"/>
        <v>1</v>
      </c>
      <c r="R2629" s="6" t="str">
        <f t="shared" si="726"/>
        <v>19001</v>
      </c>
      <c r="S2629" s="6">
        <f t="shared" si="727"/>
        <v>1900</v>
      </c>
      <c r="T2629" s="6">
        <f t="shared" si="728"/>
        <v>1</v>
      </c>
      <c r="Z2629" s="6" t="str">
        <f t="shared" ca="1" si="729"/>
        <v>20255</v>
      </c>
      <c r="AA2629" s="6">
        <f t="shared" ca="1" si="730"/>
        <v>2025</v>
      </c>
      <c r="AB2629" s="6">
        <f t="shared" ca="1" si="731"/>
        <v>5</v>
      </c>
      <c r="AC2629" s="68">
        <f ca="1">IFERROR(__xludf.DUMMYFUNCTION("""COMPUTED_VALUE"""),45785.9986111111)</f>
        <v>45785.998611111099</v>
      </c>
      <c r="AD2629" s="6">
        <f ca="1">IFERROR(__xludf.DUMMYFUNCTION("""COMPUTED_VALUE"""),1403.85)</f>
        <v>1403.85</v>
      </c>
      <c r="AH2629" s="6" t="str">
        <f t="shared" ca="1" si="732"/>
        <v>20253</v>
      </c>
      <c r="AI2629" s="6">
        <f t="shared" ca="1" si="733"/>
        <v>2025</v>
      </c>
      <c r="AJ2629" s="6">
        <f t="shared" ca="1" si="734"/>
        <v>3</v>
      </c>
      <c r="AK2629" s="68">
        <f ca="1">IFERROR(__xludf.DUMMYFUNCTION("""COMPUTED_VALUE"""),45723.9986111111)</f>
        <v>45723.998611111099</v>
      </c>
      <c r="AL2629" s="6">
        <f ca="1">IFERROR(__xludf.DUMMYFUNCTION("""COMPUTED_VALUE"""),87701.4)</f>
        <v>87701.4</v>
      </c>
      <c r="AP2629" s="6" t="str">
        <f t="shared" si="735"/>
        <v>19001</v>
      </c>
      <c r="AQ2629" s="6">
        <f t="shared" si="736"/>
        <v>1900</v>
      </c>
      <c r="AR2629" s="6">
        <f t="shared" si="737"/>
        <v>1</v>
      </c>
    </row>
    <row r="2630" spans="2:44" x14ac:dyDescent="0.35">
      <c r="B2630" s="6" t="str">
        <f t="shared" si="720"/>
        <v>19001</v>
      </c>
      <c r="C2630" s="6">
        <f t="shared" si="721"/>
        <v>1900</v>
      </c>
      <c r="D2630" s="6">
        <f t="shared" si="722"/>
        <v>1</v>
      </c>
      <c r="J2630" s="6" t="str">
        <f t="shared" si="723"/>
        <v>19001</v>
      </c>
      <c r="K2630" s="6">
        <f t="shared" si="724"/>
        <v>1900</v>
      </c>
      <c r="L2630" s="6">
        <f t="shared" si="725"/>
        <v>1</v>
      </c>
      <c r="R2630" s="6" t="str">
        <f t="shared" si="726"/>
        <v>19001</v>
      </c>
      <c r="S2630" s="6">
        <f t="shared" si="727"/>
        <v>1900</v>
      </c>
      <c r="T2630" s="6">
        <f t="shared" si="728"/>
        <v>1</v>
      </c>
      <c r="Z2630" s="6" t="str">
        <f t="shared" ca="1" si="729"/>
        <v>20255</v>
      </c>
      <c r="AA2630" s="6">
        <f t="shared" ca="1" si="730"/>
        <v>2025</v>
      </c>
      <c r="AB2630" s="6">
        <f t="shared" ca="1" si="731"/>
        <v>5</v>
      </c>
      <c r="AC2630" s="68">
        <f ca="1">IFERROR(__xludf.DUMMYFUNCTION("""COMPUTED_VALUE"""),45786.9986111111)</f>
        <v>45786.998611111099</v>
      </c>
      <c r="AD2630" s="6">
        <f ca="1">IFERROR(__xludf.DUMMYFUNCTION("""COMPUTED_VALUE"""),1395.05)</f>
        <v>1395.05</v>
      </c>
      <c r="AH2630" s="6" t="str">
        <f t="shared" ca="1" si="732"/>
        <v>20253</v>
      </c>
      <c r="AI2630" s="6">
        <f t="shared" ca="1" si="733"/>
        <v>2025</v>
      </c>
      <c r="AJ2630" s="6">
        <f t="shared" ca="1" si="734"/>
        <v>3</v>
      </c>
      <c r="AK2630" s="68">
        <f ca="1">IFERROR(__xludf.DUMMYFUNCTION("""COMPUTED_VALUE"""),45724.9986111111)</f>
        <v>45724.998611111099</v>
      </c>
      <c r="AL2630" s="6">
        <f ca="1">IFERROR(__xludf.DUMMYFUNCTION("""COMPUTED_VALUE"""),86468.85)</f>
        <v>86468.85</v>
      </c>
      <c r="AP2630" s="6" t="str">
        <f t="shared" si="735"/>
        <v>19001</v>
      </c>
      <c r="AQ2630" s="6">
        <f t="shared" si="736"/>
        <v>1900</v>
      </c>
      <c r="AR2630" s="6">
        <f t="shared" si="737"/>
        <v>1</v>
      </c>
    </row>
    <row r="2631" spans="2:44" x14ac:dyDescent="0.35">
      <c r="B2631" s="6" t="str">
        <f t="shared" ref="B2631:B2694" si="738">C2631&amp;D2631</f>
        <v>19001</v>
      </c>
      <c r="C2631" s="6">
        <f t="shared" ref="C2631:C2694" si="739">YEAR(E2631)</f>
        <v>1900</v>
      </c>
      <c r="D2631" s="6">
        <f t="shared" ref="D2631:D2694" si="740">MONTH(E2631)</f>
        <v>1</v>
      </c>
      <c r="J2631" s="6" t="str">
        <f t="shared" ref="J2631:J2694" si="741">K2631&amp;L2631</f>
        <v>19001</v>
      </c>
      <c r="K2631" s="6">
        <f t="shared" ref="K2631:K2694" si="742">YEAR(M2631)</f>
        <v>1900</v>
      </c>
      <c r="L2631" s="6">
        <f t="shared" ref="L2631:L2694" si="743">MONTH(M2631)</f>
        <v>1</v>
      </c>
      <c r="R2631" s="6" t="str">
        <f t="shared" ref="R2631:R2694" si="744">S2631&amp;T2631</f>
        <v>19001</v>
      </c>
      <c r="S2631" s="6">
        <f t="shared" ref="S2631:S2694" si="745">YEAR(U2631)</f>
        <v>1900</v>
      </c>
      <c r="T2631" s="6">
        <f t="shared" ref="T2631:T2694" si="746">MONTH(U2631)</f>
        <v>1</v>
      </c>
      <c r="Z2631" s="6" t="str">
        <f t="shared" ref="Z2631:Z2694" ca="1" si="747">AA2631&amp;AB2631</f>
        <v>20255</v>
      </c>
      <c r="AA2631" s="6">
        <f t="shared" ref="AA2631:AA2694" ca="1" si="748">YEAR(AC2631)</f>
        <v>2025</v>
      </c>
      <c r="AB2631" s="6">
        <f t="shared" ref="AB2631:AB2694" ca="1" si="749">MONTH(AC2631)</f>
        <v>5</v>
      </c>
      <c r="AC2631" s="68">
        <f ca="1">IFERROR(__xludf.DUMMYFUNCTION("""COMPUTED_VALUE"""),45787.9986111111)</f>
        <v>45787.998611111099</v>
      </c>
      <c r="AD2631" s="6">
        <f ca="1">IFERROR(__xludf.DUMMYFUNCTION("""COMPUTED_VALUE"""),1395.05)</f>
        <v>1395.05</v>
      </c>
      <c r="AH2631" s="6" t="str">
        <f t="shared" ref="AH2631:AH2694" ca="1" si="750">AI2631&amp;AJ2631</f>
        <v>20253</v>
      </c>
      <c r="AI2631" s="6">
        <f t="shared" ref="AI2631:AI2694" ca="1" si="751">YEAR(AK2631)</f>
        <v>2025</v>
      </c>
      <c r="AJ2631" s="6">
        <f t="shared" ref="AJ2631:AJ2694" ca="1" si="752">MONTH(AK2631)</f>
        <v>3</v>
      </c>
      <c r="AK2631" s="68">
        <f ca="1">IFERROR(__xludf.DUMMYFUNCTION("""COMPUTED_VALUE"""),45725.9986111111)</f>
        <v>45725.998611111099</v>
      </c>
      <c r="AL2631" s="6">
        <f ca="1">IFERROR(__xludf.DUMMYFUNCTION("""COMPUTED_VALUE"""),86143.01)</f>
        <v>86143.01</v>
      </c>
      <c r="AP2631" s="6" t="str">
        <f t="shared" ref="AP2631:AP2694" si="753">AQ2631&amp;AR2631</f>
        <v>19001</v>
      </c>
      <c r="AQ2631" s="6">
        <f t="shared" ref="AQ2631:AQ2694" si="754">YEAR(AS2631)</f>
        <v>1900</v>
      </c>
      <c r="AR2631" s="6">
        <f t="shared" ref="AR2631:AR2694" si="755">MONTH(AS2631)</f>
        <v>1</v>
      </c>
    </row>
    <row r="2632" spans="2:44" x14ac:dyDescent="0.35">
      <c r="B2632" s="6" t="str">
        <f t="shared" si="738"/>
        <v>19001</v>
      </c>
      <c r="C2632" s="6">
        <f t="shared" si="739"/>
        <v>1900</v>
      </c>
      <c r="D2632" s="6">
        <f t="shared" si="740"/>
        <v>1</v>
      </c>
      <c r="J2632" s="6" t="str">
        <f t="shared" si="741"/>
        <v>19001</v>
      </c>
      <c r="K2632" s="6">
        <f t="shared" si="742"/>
        <v>1900</v>
      </c>
      <c r="L2632" s="6">
        <f t="shared" si="743"/>
        <v>1</v>
      </c>
      <c r="R2632" s="6" t="str">
        <f t="shared" si="744"/>
        <v>19001</v>
      </c>
      <c r="S2632" s="6">
        <f t="shared" si="745"/>
        <v>1900</v>
      </c>
      <c r="T2632" s="6">
        <f t="shared" si="746"/>
        <v>1</v>
      </c>
      <c r="Z2632" s="6" t="str">
        <f t="shared" ca="1" si="747"/>
        <v>20255</v>
      </c>
      <c r="AA2632" s="6">
        <f t="shared" ca="1" si="748"/>
        <v>2025</v>
      </c>
      <c r="AB2632" s="6">
        <f t="shared" ca="1" si="749"/>
        <v>5</v>
      </c>
      <c r="AC2632" s="68">
        <f ca="1">IFERROR(__xludf.DUMMYFUNCTION("""COMPUTED_VALUE"""),45788.9986111111)</f>
        <v>45788.998611111099</v>
      </c>
      <c r="AD2632" s="6">
        <f ca="1">IFERROR(__xludf.DUMMYFUNCTION("""COMPUTED_VALUE"""),1395.17)</f>
        <v>1395.17</v>
      </c>
      <c r="AH2632" s="6" t="str">
        <f t="shared" ca="1" si="750"/>
        <v>20253</v>
      </c>
      <c r="AI2632" s="6">
        <f t="shared" ca="1" si="751"/>
        <v>2025</v>
      </c>
      <c r="AJ2632" s="6">
        <f t="shared" ca="1" si="752"/>
        <v>3</v>
      </c>
      <c r="AK2632" s="68">
        <f ca="1">IFERROR(__xludf.DUMMYFUNCTION("""COMPUTED_VALUE"""),45726.9986111111)</f>
        <v>45726.998611111099</v>
      </c>
      <c r="AL2632" s="6">
        <f ca="1">IFERROR(__xludf.DUMMYFUNCTION("""COMPUTED_VALUE"""),82106.8)</f>
        <v>82106.8</v>
      </c>
      <c r="AP2632" s="6" t="str">
        <f t="shared" si="753"/>
        <v>19001</v>
      </c>
      <c r="AQ2632" s="6">
        <f t="shared" si="754"/>
        <v>1900</v>
      </c>
      <c r="AR2632" s="6">
        <f t="shared" si="755"/>
        <v>1</v>
      </c>
    </row>
    <row r="2633" spans="2:44" x14ac:dyDescent="0.35">
      <c r="B2633" s="6" t="str">
        <f t="shared" si="738"/>
        <v>19001</v>
      </c>
      <c r="C2633" s="6">
        <f t="shared" si="739"/>
        <v>1900</v>
      </c>
      <c r="D2633" s="6">
        <f t="shared" si="740"/>
        <v>1</v>
      </c>
      <c r="J2633" s="6" t="str">
        <f t="shared" si="741"/>
        <v>19001</v>
      </c>
      <c r="K2633" s="6">
        <f t="shared" si="742"/>
        <v>1900</v>
      </c>
      <c r="L2633" s="6">
        <f t="shared" si="743"/>
        <v>1</v>
      </c>
      <c r="R2633" s="6" t="str">
        <f t="shared" si="744"/>
        <v>19001</v>
      </c>
      <c r="S2633" s="6">
        <f t="shared" si="745"/>
        <v>1900</v>
      </c>
      <c r="T2633" s="6">
        <f t="shared" si="746"/>
        <v>1</v>
      </c>
      <c r="Z2633" s="6" t="str">
        <f t="shared" ca="1" si="747"/>
        <v>20255</v>
      </c>
      <c r="AA2633" s="6">
        <f t="shared" ca="1" si="748"/>
        <v>2025</v>
      </c>
      <c r="AB2633" s="6">
        <f t="shared" ca="1" si="749"/>
        <v>5</v>
      </c>
      <c r="AC2633" s="68">
        <f ca="1">IFERROR(__xludf.DUMMYFUNCTION("""COMPUTED_VALUE"""),45789.9986111111)</f>
        <v>45789.998611111099</v>
      </c>
      <c r="AD2633" s="6">
        <f ca="1">IFERROR(__xludf.DUMMYFUNCTION("""COMPUTED_VALUE"""),1416.03)</f>
        <v>1416.03</v>
      </c>
      <c r="AH2633" s="6" t="str">
        <f t="shared" ca="1" si="750"/>
        <v>20253</v>
      </c>
      <c r="AI2633" s="6">
        <f t="shared" ca="1" si="751"/>
        <v>2025</v>
      </c>
      <c r="AJ2633" s="6">
        <f t="shared" ca="1" si="752"/>
        <v>3</v>
      </c>
      <c r="AK2633" s="68">
        <f ca="1">IFERROR(__xludf.DUMMYFUNCTION("""COMPUTED_VALUE"""),45727.9986111111)</f>
        <v>45727.998611111099</v>
      </c>
      <c r="AL2633" s="6">
        <f ca="1">IFERROR(__xludf.DUMMYFUNCTION("""COMPUTED_VALUE"""),79506.47)</f>
        <v>79506.47</v>
      </c>
      <c r="AP2633" s="6" t="str">
        <f t="shared" si="753"/>
        <v>19001</v>
      </c>
      <c r="AQ2633" s="6">
        <f t="shared" si="754"/>
        <v>1900</v>
      </c>
      <c r="AR2633" s="6">
        <f t="shared" si="755"/>
        <v>1</v>
      </c>
    </row>
    <row r="2634" spans="2:44" x14ac:dyDescent="0.35">
      <c r="B2634" s="6" t="str">
        <f t="shared" si="738"/>
        <v>19001</v>
      </c>
      <c r="C2634" s="6">
        <f t="shared" si="739"/>
        <v>1900</v>
      </c>
      <c r="D2634" s="6">
        <f t="shared" si="740"/>
        <v>1</v>
      </c>
      <c r="J2634" s="6" t="str">
        <f t="shared" si="741"/>
        <v>19001</v>
      </c>
      <c r="K2634" s="6">
        <f t="shared" si="742"/>
        <v>1900</v>
      </c>
      <c r="L2634" s="6">
        <f t="shared" si="743"/>
        <v>1</v>
      </c>
      <c r="R2634" s="6" t="str">
        <f t="shared" si="744"/>
        <v>19001</v>
      </c>
      <c r="S2634" s="6">
        <f t="shared" si="745"/>
        <v>1900</v>
      </c>
      <c r="T2634" s="6">
        <f t="shared" si="746"/>
        <v>1</v>
      </c>
      <c r="Z2634" s="6" t="str">
        <f t="shared" ca="1" si="747"/>
        <v>20255</v>
      </c>
      <c r="AA2634" s="6">
        <f t="shared" ca="1" si="748"/>
        <v>2025</v>
      </c>
      <c r="AB2634" s="6">
        <f t="shared" ca="1" si="749"/>
        <v>5</v>
      </c>
      <c r="AC2634" s="68">
        <f ca="1">IFERROR(__xludf.DUMMYFUNCTION("""COMPUTED_VALUE"""),45790.9986111111)</f>
        <v>45790.998611111099</v>
      </c>
      <c r="AD2634" s="6">
        <f ca="1">IFERROR(__xludf.DUMMYFUNCTION("""COMPUTED_VALUE"""),1416)</f>
        <v>1416</v>
      </c>
      <c r="AH2634" s="6" t="str">
        <f t="shared" ca="1" si="750"/>
        <v>20253</v>
      </c>
      <c r="AI2634" s="6">
        <f t="shared" ca="1" si="751"/>
        <v>2025</v>
      </c>
      <c r="AJ2634" s="6">
        <f t="shared" ca="1" si="752"/>
        <v>3</v>
      </c>
      <c r="AK2634" s="68">
        <f ca="1">IFERROR(__xludf.DUMMYFUNCTION("""COMPUTED_VALUE"""),45728.9986111111)</f>
        <v>45728.998611111099</v>
      </c>
      <c r="AL2634" s="6">
        <f ca="1">IFERROR(__xludf.DUMMYFUNCTION("""COMPUTED_VALUE"""),82201.03)</f>
        <v>82201.03</v>
      </c>
      <c r="AP2634" s="6" t="str">
        <f t="shared" si="753"/>
        <v>19001</v>
      </c>
      <c r="AQ2634" s="6">
        <f t="shared" si="754"/>
        <v>1900</v>
      </c>
      <c r="AR2634" s="6">
        <f t="shared" si="755"/>
        <v>1</v>
      </c>
    </row>
    <row r="2635" spans="2:44" x14ac:dyDescent="0.35">
      <c r="B2635" s="6" t="str">
        <f t="shared" si="738"/>
        <v>19001</v>
      </c>
      <c r="C2635" s="6">
        <f t="shared" si="739"/>
        <v>1900</v>
      </c>
      <c r="D2635" s="6">
        <f t="shared" si="740"/>
        <v>1</v>
      </c>
      <c r="J2635" s="6" t="str">
        <f t="shared" si="741"/>
        <v>19001</v>
      </c>
      <c r="K2635" s="6">
        <f t="shared" si="742"/>
        <v>1900</v>
      </c>
      <c r="L2635" s="6">
        <f t="shared" si="743"/>
        <v>1</v>
      </c>
      <c r="R2635" s="6" t="str">
        <f t="shared" si="744"/>
        <v>19001</v>
      </c>
      <c r="S2635" s="6">
        <f t="shared" si="745"/>
        <v>1900</v>
      </c>
      <c r="T2635" s="6">
        <f t="shared" si="746"/>
        <v>1</v>
      </c>
      <c r="Z2635" s="6" t="str">
        <f t="shared" ca="1" si="747"/>
        <v>20255</v>
      </c>
      <c r="AA2635" s="6">
        <f t="shared" ca="1" si="748"/>
        <v>2025</v>
      </c>
      <c r="AB2635" s="6">
        <f t="shared" ca="1" si="749"/>
        <v>5</v>
      </c>
      <c r="AC2635" s="68">
        <f ca="1">IFERROR(__xludf.DUMMYFUNCTION("""COMPUTED_VALUE"""),45791.9986111111)</f>
        <v>45791.998611111099</v>
      </c>
      <c r="AD2635" s="6">
        <f ca="1">IFERROR(__xludf.DUMMYFUNCTION("""COMPUTED_VALUE"""),1407.33)</f>
        <v>1407.33</v>
      </c>
      <c r="AH2635" s="6" t="str">
        <f t="shared" ca="1" si="750"/>
        <v>20253</v>
      </c>
      <c r="AI2635" s="6">
        <f t="shared" ca="1" si="751"/>
        <v>2025</v>
      </c>
      <c r="AJ2635" s="6">
        <f t="shared" ca="1" si="752"/>
        <v>3</v>
      </c>
      <c r="AK2635" s="68">
        <f ca="1">IFERROR(__xludf.DUMMYFUNCTION("""COMPUTED_VALUE"""),45729.9986111111)</f>
        <v>45729.998611111099</v>
      </c>
      <c r="AL2635" s="6">
        <f ca="1">IFERROR(__xludf.DUMMYFUNCTION("""COMPUTED_VALUE"""),83605.95)</f>
        <v>83605.95</v>
      </c>
      <c r="AP2635" s="6" t="str">
        <f t="shared" si="753"/>
        <v>19001</v>
      </c>
      <c r="AQ2635" s="6">
        <f t="shared" si="754"/>
        <v>1900</v>
      </c>
      <c r="AR2635" s="6">
        <f t="shared" si="755"/>
        <v>1</v>
      </c>
    </row>
    <row r="2636" spans="2:44" x14ac:dyDescent="0.35">
      <c r="B2636" s="6" t="str">
        <f t="shared" si="738"/>
        <v>19001</v>
      </c>
      <c r="C2636" s="6">
        <f t="shared" si="739"/>
        <v>1900</v>
      </c>
      <c r="D2636" s="6">
        <f t="shared" si="740"/>
        <v>1</v>
      </c>
      <c r="J2636" s="6" t="str">
        <f t="shared" si="741"/>
        <v>19001</v>
      </c>
      <c r="K2636" s="6">
        <f t="shared" si="742"/>
        <v>1900</v>
      </c>
      <c r="L2636" s="6">
        <f t="shared" si="743"/>
        <v>1</v>
      </c>
      <c r="R2636" s="6" t="str">
        <f t="shared" si="744"/>
        <v>19001</v>
      </c>
      <c r="S2636" s="6">
        <f t="shared" si="745"/>
        <v>1900</v>
      </c>
      <c r="T2636" s="6">
        <f t="shared" si="746"/>
        <v>1</v>
      </c>
      <c r="Z2636" s="6" t="str">
        <f t="shared" ca="1" si="747"/>
        <v>20255</v>
      </c>
      <c r="AA2636" s="6">
        <f t="shared" ca="1" si="748"/>
        <v>2025</v>
      </c>
      <c r="AB2636" s="6">
        <f t="shared" ca="1" si="749"/>
        <v>5</v>
      </c>
      <c r="AC2636" s="68">
        <f ca="1">IFERROR(__xludf.DUMMYFUNCTION("""COMPUTED_VALUE"""),45792.9986111111)</f>
        <v>45792.998611111099</v>
      </c>
      <c r="AD2636" s="6">
        <f ca="1">IFERROR(__xludf.DUMMYFUNCTION("""COMPUTED_VALUE"""),1397.02)</f>
        <v>1397.02</v>
      </c>
      <c r="AH2636" s="6" t="str">
        <f t="shared" ca="1" si="750"/>
        <v>20253</v>
      </c>
      <c r="AI2636" s="6">
        <f t="shared" ca="1" si="751"/>
        <v>2025</v>
      </c>
      <c r="AJ2636" s="6">
        <f t="shared" ca="1" si="752"/>
        <v>3</v>
      </c>
      <c r="AK2636" s="68">
        <f ca="1">IFERROR(__xludf.DUMMYFUNCTION("""COMPUTED_VALUE"""),45730.9986111111)</f>
        <v>45730.998611111099</v>
      </c>
      <c r="AL2636" s="6">
        <f ca="1">IFERROR(__xludf.DUMMYFUNCTION("""COMPUTED_VALUE"""),81877.78)</f>
        <v>81877.78</v>
      </c>
      <c r="AP2636" s="6" t="str">
        <f t="shared" si="753"/>
        <v>19001</v>
      </c>
      <c r="AQ2636" s="6">
        <f t="shared" si="754"/>
        <v>1900</v>
      </c>
      <c r="AR2636" s="6">
        <f t="shared" si="755"/>
        <v>1</v>
      </c>
    </row>
    <row r="2637" spans="2:44" x14ac:dyDescent="0.35">
      <c r="B2637" s="6" t="str">
        <f t="shared" si="738"/>
        <v>19001</v>
      </c>
      <c r="C2637" s="6">
        <f t="shared" si="739"/>
        <v>1900</v>
      </c>
      <c r="D2637" s="6">
        <f t="shared" si="740"/>
        <v>1</v>
      </c>
      <c r="J2637" s="6" t="str">
        <f t="shared" si="741"/>
        <v>19001</v>
      </c>
      <c r="K2637" s="6">
        <f t="shared" si="742"/>
        <v>1900</v>
      </c>
      <c r="L2637" s="6">
        <f t="shared" si="743"/>
        <v>1</v>
      </c>
      <c r="R2637" s="6" t="str">
        <f t="shared" si="744"/>
        <v>19001</v>
      </c>
      <c r="S2637" s="6">
        <f t="shared" si="745"/>
        <v>1900</v>
      </c>
      <c r="T2637" s="6">
        <f t="shared" si="746"/>
        <v>1</v>
      </c>
      <c r="Z2637" s="6" t="str">
        <f t="shared" ca="1" si="747"/>
        <v>20255</v>
      </c>
      <c r="AA2637" s="6">
        <f t="shared" ca="1" si="748"/>
        <v>2025</v>
      </c>
      <c r="AB2637" s="6">
        <f t="shared" ca="1" si="749"/>
        <v>5</v>
      </c>
      <c r="AC2637" s="68">
        <f ca="1">IFERROR(__xludf.DUMMYFUNCTION("""COMPUTED_VALUE"""),45793.9986111111)</f>
        <v>45793.998611111099</v>
      </c>
      <c r="AD2637" s="6">
        <f ca="1">IFERROR(__xludf.DUMMYFUNCTION("""COMPUTED_VALUE"""),1397.62)</f>
        <v>1397.62</v>
      </c>
      <c r="AH2637" s="6" t="str">
        <f t="shared" ca="1" si="750"/>
        <v>20253</v>
      </c>
      <c r="AI2637" s="6">
        <f t="shared" ca="1" si="751"/>
        <v>2025</v>
      </c>
      <c r="AJ2637" s="6">
        <f t="shared" ca="1" si="752"/>
        <v>3</v>
      </c>
      <c r="AK2637" s="68">
        <f ca="1">IFERROR(__xludf.DUMMYFUNCTION("""COMPUTED_VALUE"""),45731.9986111111)</f>
        <v>45731.998611111099</v>
      </c>
      <c r="AL2637" s="6">
        <f ca="1">IFERROR(__xludf.DUMMYFUNCTION("""COMPUTED_VALUE"""),84582.41)</f>
        <v>84582.41</v>
      </c>
      <c r="AP2637" s="6" t="str">
        <f t="shared" si="753"/>
        <v>19001</v>
      </c>
      <c r="AQ2637" s="6">
        <f t="shared" si="754"/>
        <v>1900</v>
      </c>
      <c r="AR2637" s="6">
        <f t="shared" si="755"/>
        <v>1</v>
      </c>
    </row>
    <row r="2638" spans="2:44" x14ac:dyDescent="0.35">
      <c r="B2638" s="6" t="str">
        <f t="shared" si="738"/>
        <v>19001</v>
      </c>
      <c r="C2638" s="6">
        <f t="shared" si="739"/>
        <v>1900</v>
      </c>
      <c r="D2638" s="6">
        <f t="shared" si="740"/>
        <v>1</v>
      </c>
      <c r="J2638" s="6" t="str">
        <f t="shared" si="741"/>
        <v>19001</v>
      </c>
      <c r="K2638" s="6">
        <f t="shared" si="742"/>
        <v>1900</v>
      </c>
      <c r="L2638" s="6">
        <f t="shared" si="743"/>
        <v>1</v>
      </c>
      <c r="R2638" s="6" t="str">
        <f t="shared" si="744"/>
        <v>19001</v>
      </c>
      <c r="S2638" s="6">
        <f t="shared" si="745"/>
        <v>1900</v>
      </c>
      <c r="T2638" s="6">
        <f t="shared" si="746"/>
        <v>1</v>
      </c>
      <c r="Z2638" s="6" t="str">
        <f t="shared" ca="1" si="747"/>
        <v>20255</v>
      </c>
      <c r="AA2638" s="6">
        <f t="shared" ca="1" si="748"/>
        <v>2025</v>
      </c>
      <c r="AB2638" s="6">
        <f t="shared" ca="1" si="749"/>
        <v>5</v>
      </c>
      <c r="AC2638" s="68">
        <f ca="1">IFERROR(__xludf.DUMMYFUNCTION("""COMPUTED_VALUE"""),45794.9986111111)</f>
        <v>45794.998611111099</v>
      </c>
      <c r="AD2638" s="6">
        <f ca="1">IFERROR(__xludf.DUMMYFUNCTION("""COMPUTED_VALUE"""),1397.62)</f>
        <v>1397.62</v>
      </c>
      <c r="AH2638" s="6" t="str">
        <f t="shared" ca="1" si="750"/>
        <v>20253</v>
      </c>
      <c r="AI2638" s="6">
        <f t="shared" ca="1" si="751"/>
        <v>2025</v>
      </c>
      <c r="AJ2638" s="6">
        <f t="shared" ca="1" si="752"/>
        <v>3</v>
      </c>
      <c r="AK2638" s="68">
        <f ca="1">IFERROR(__xludf.DUMMYFUNCTION("""COMPUTED_VALUE"""),45732.9986111111)</f>
        <v>45732.998611111099</v>
      </c>
      <c r="AL2638" s="6">
        <f ca="1">IFERROR(__xludf.DUMMYFUNCTION("""COMPUTED_VALUE"""),84410.52)</f>
        <v>84410.52</v>
      </c>
      <c r="AP2638" s="6" t="str">
        <f t="shared" si="753"/>
        <v>19001</v>
      </c>
      <c r="AQ2638" s="6">
        <f t="shared" si="754"/>
        <v>1900</v>
      </c>
      <c r="AR2638" s="6">
        <f t="shared" si="755"/>
        <v>1</v>
      </c>
    </row>
    <row r="2639" spans="2:44" x14ac:dyDescent="0.35">
      <c r="B2639" s="6" t="str">
        <f t="shared" si="738"/>
        <v>19001</v>
      </c>
      <c r="C2639" s="6">
        <f t="shared" si="739"/>
        <v>1900</v>
      </c>
      <c r="D2639" s="6">
        <f t="shared" si="740"/>
        <v>1</v>
      </c>
      <c r="J2639" s="6" t="str">
        <f t="shared" si="741"/>
        <v>19001</v>
      </c>
      <c r="K2639" s="6">
        <f t="shared" si="742"/>
        <v>1900</v>
      </c>
      <c r="L2639" s="6">
        <f t="shared" si="743"/>
        <v>1</v>
      </c>
      <c r="R2639" s="6" t="str">
        <f t="shared" si="744"/>
        <v>19001</v>
      </c>
      <c r="S2639" s="6">
        <f t="shared" si="745"/>
        <v>1900</v>
      </c>
      <c r="T2639" s="6">
        <f t="shared" si="746"/>
        <v>1</v>
      </c>
      <c r="Z2639" s="6" t="str">
        <f t="shared" ca="1" si="747"/>
        <v>20255</v>
      </c>
      <c r="AA2639" s="6">
        <f t="shared" ca="1" si="748"/>
        <v>2025</v>
      </c>
      <c r="AB2639" s="6">
        <f t="shared" ca="1" si="749"/>
        <v>5</v>
      </c>
      <c r="AC2639" s="68">
        <f ca="1">IFERROR(__xludf.DUMMYFUNCTION("""COMPUTED_VALUE"""),45795.9986111111)</f>
        <v>45795.998611111099</v>
      </c>
      <c r="AD2639" s="6">
        <f ca="1">IFERROR(__xludf.DUMMYFUNCTION("""COMPUTED_VALUE"""),1398.13)</f>
        <v>1398.13</v>
      </c>
      <c r="AH2639" s="6" t="str">
        <f t="shared" ca="1" si="750"/>
        <v>20253</v>
      </c>
      <c r="AI2639" s="6">
        <f t="shared" ca="1" si="751"/>
        <v>2025</v>
      </c>
      <c r="AJ2639" s="6">
        <f t="shared" ca="1" si="752"/>
        <v>3</v>
      </c>
      <c r="AK2639" s="68">
        <f ca="1">IFERROR(__xludf.DUMMYFUNCTION("""COMPUTED_VALUE"""),45733.9986111111)</f>
        <v>45733.998611111099</v>
      </c>
      <c r="AL2639" s="6">
        <f ca="1">IFERROR(__xludf.DUMMYFUNCTION("""COMPUTED_VALUE"""),83702.25)</f>
        <v>83702.25</v>
      </c>
      <c r="AP2639" s="6" t="str">
        <f t="shared" si="753"/>
        <v>19001</v>
      </c>
      <c r="AQ2639" s="6">
        <f t="shared" si="754"/>
        <v>1900</v>
      </c>
      <c r="AR2639" s="6">
        <f t="shared" si="755"/>
        <v>1</v>
      </c>
    </row>
    <row r="2640" spans="2:44" x14ac:dyDescent="0.35">
      <c r="B2640" s="6" t="str">
        <f t="shared" si="738"/>
        <v>19001</v>
      </c>
      <c r="C2640" s="6">
        <f t="shared" si="739"/>
        <v>1900</v>
      </c>
      <c r="D2640" s="6">
        <f t="shared" si="740"/>
        <v>1</v>
      </c>
      <c r="J2640" s="6" t="str">
        <f t="shared" si="741"/>
        <v>19001</v>
      </c>
      <c r="K2640" s="6">
        <f t="shared" si="742"/>
        <v>1900</v>
      </c>
      <c r="L2640" s="6">
        <f t="shared" si="743"/>
        <v>1</v>
      </c>
      <c r="R2640" s="6" t="str">
        <f t="shared" si="744"/>
        <v>19001</v>
      </c>
      <c r="S2640" s="6">
        <f t="shared" si="745"/>
        <v>1900</v>
      </c>
      <c r="T2640" s="6">
        <f t="shared" si="746"/>
        <v>1</v>
      </c>
      <c r="Z2640" s="6" t="str">
        <f t="shared" ca="1" si="747"/>
        <v>20255</v>
      </c>
      <c r="AA2640" s="6">
        <f t="shared" ca="1" si="748"/>
        <v>2025</v>
      </c>
      <c r="AB2640" s="6">
        <f t="shared" ca="1" si="749"/>
        <v>5</v>
      </c>
      <c r="AC2640" s="68">
        <f ca="1">IFERROR(__xludf.DUMMYFUNCTION("""COMPUTED_VALUE"""),45796.9986111111)</f>
        <v>45796.998611111099</v>
      </c>
      <c r="AD2640" s="6">
        <f ca="1">IFERROR(__xludf.DUMMYFUNCTION("""COMPUTED_VALUE"""),1388.55)</f>
        <v>1388.55</v>
      </c>
      <c r="AH2640" s="6" t="str">
        <f t="shared" ca="1" si="750"/>
        <v>20253</v>
      </c>
      <c r="AI2640" s="6">
        <f t="shared" ca="1" si="751"/>
        <v>2025</v>
      </c>
      <c r="AJ2640" s="6">
        <f t="shared" ca="1" si="752"/>
        <v>3</v>
      </c>
      <c r="AK2640" s="68">
        <f ca="1">IFERROR(__xludf.DUMMYFUNCTION("""COMPUTED_VALUE"""),45734.9986111111)</f>
        <v>45734.998611111099</v>
      </c>
      <c r="AL2640" s="6">
        <f ca="1">IFERROR(__xludf.DUMMYFUNCTION("""COMPUTED_VALUE"""),83152.52)</f>
        <v>83152.52</v>
      </c>
      <c r="AP2640" s="6" t="str">
        <f t="shared" si="753"/>
        <v>19001</v>
      </c>
      <c r="AQ2640" s="6">
        <f t="shared" si="754"/>
        <v>1900</v>
      </c>
      <c r="AR2640" s="6">
        <f t="shared" si="755"/>
        <v>1</v>
      </c>
    </row>
    <row r="2641" spans="2:44" x14ac:dyDescent="0.35">
      <c r="B2641" s="6" t="str">
        <f t="shared" si="738"/>
        <v>19001</v>
      </c>
      <c r="C2641" s="6">
        <f t="shared" si="739"/>
        <v>1900</v>
      </c>
      <c r="D2641" s="6">
        <f t="shared" si="740"/>
        <v>1</v>
      </c>
      <c r="J2641" s="6" t="str">
        <f t="shared" si="741"/>
        <v>19001</v>
      </c>
      <c r="K2641" s="6">
        <f t="shared" si="742"/>
        <v>1900</v>
      </c>
      <c r="L2641" s="6">
        <f t="shared" si="743"/>
        <v>1</v>
      </c>
      <c r="R2641" s="6" t="str">
        <f t="shared" si="744"/>
        <v>19001</v>
      </c>
      <c r="S2641" s="6">
        <f t="shared" si="745"/>
        <v>1900</v>
      </c>
      <c r="T2641" s="6">
        <f t="shared" si="746"/>
        <v>1</v>
      </c>
      <c r="Z2641" s="6" t="str">
        <f t="shared" ca="1" si="747"/>
        <v>20255</v>
      </c>
      <c r="AA2641" s="6">
        <f t="shared" ca="1" si="748"/>
        <v>2025</v>
      </c>
      <c r="AB2641" s="6">
        <f t="shared" ca="1" si="749"/>
        <v>5</v>
      </c>
      <c r="AC2641" s="68">
        <f ca="1">IFERROR(__xludf.DUMMYFUNCTION("""COMPUTED_VALUE"""),45797.9986111111)</f>
        <v>45797.998611111099</v>
      </c>
      <c r="AD2641" s="6">
        <f ca="1">IFERROR(__xludf.DUMMYFUNCTION("""COMPUTED_VALUE"""),1392.73)</f>
        <v>1392.73</v>
      </c>
      <c r="AH2641" s="6" t="str">
        <f t="shared" ca="1" si="750"/>
        <v>20253</v>
      </c>
      <c r="AI2641" s="6">
        <f t="shared" ca="1" si="751"/>
        <v>2025</v>
      </c>
      <c r="AJ2641" s="6">
        <f t="shared" ca="1" si="752"/>
        <v>3</v>
      </c>
      <c r="AK2641" s="68">
        <f ca="1">IFERROR(__xludf.DUMMYFUNCTION("""COMPUTED_VALUE"""),45735.9986111111)</f>
        <v>45735.998611111099</v>
      </c>
      <c r="AL2641" s="6">
        <f ca="1">IFERROR(__xludf.DUMMYFUNCTION("""COMPUTED_VALUE"""),83076.51)</f>
        <v>83076.509999999995</v>
      </c>
      <c r="AP2641" s="6" t="str">
        <f t="shared" si="753"/>
        <v>19001</v>
      </c>
      <c r="AQ2641" s="6">
        <f t="shared" si="754"/>
        <v>1900</v>
      </c>
      <c r="AR2641" s="6">
        <f t="shared" si="755"/>
        <v>1</v>
      </c>
    </row>
    <row r="2642" spans="2:44" x14ac:dyDescent="0.35">
      <c r="B2642" s="6" t="str">
        <f t="shared" si="738"/>
        <v>19001</v>
      </c>
      <c r="C2642" s="6">
        <f t="shared" si="739"/>
        <v>1900</v>
      </c>
      <c r="D2642" s="6">
        <f t="shared" si="740"/>
        <v>1</v>
      </c>
      <c r="J2642" s="6" t="str">
        <f t="shared" si="741"/>
        <v>19001</v>
      </c>
      <c r="K2642" s="6">
        <f t="shared" si="742"/>
        <v>1900</v>
      </c>
      <c r="L2642" s="6">
        <f t="shared" si="743"/>
        <v>1</v>
      </c>
      <c r="R2642" s="6" t="str">
        <f t="shared" si="744"/>
        <v>19001</v>
      </c>
      <c r="S2642" s="6">
        <f t="shared" si="745"/>
        <v>1900</v>
      </c>
      <c r="T2642" s="6">
        <f t="shared" si="746"/>
        <v>1</v>
      </c>
      <c r="Z2642" s="6" t="str">
        <f t="shared" ca="1" si="747"/>
        <v>20255</v>
      </c>
      <c r="AA2642" s="6">
        <f t="shared" ca="1" si="748"/>
        <v>2025</v>
      </c>
      <c r="AB2642" s="6">
        <f t="shared" ca="1" si="749"/>
        <v>5</v>
      </c>
      <c r="AC2642" s="68">
        <f ca="1">IFERROR(__xludf.DUMMYFUNCTION("""COMPUTED_VALUE"""),45798.9986111111)</f>
        <v>45798.998611111099</v>
      </c>
      <c r="AD2642" s="6">
        <f ca="1">IFERROR(__xludf.DUMMYFUNCTION("""COMPUTED_VALUE"""),1373.86)</f>
        <v>1373.86</v>
      </c>
      <c r="AH2642" s="6" t="str">
        <f t="shared" ca="1" si="750"/>
        <v>20253</v>
      </c>
      <c r="AI2642" s="6">
        <f t="shared" ca="1" si="751"/>
        <v>2025</v>
      </c>
      <c r="AJ2642" s="6">
        <f t="shared" ca="1" si="752"/>
        <v>3</v>
      </c>
      <c r="AK2642" s="68">
        <f ca="1">IFERROR(__xludf.DUMMYFUNCTION("""COMPUTED_VALUE"""),45736.9986111111)</f>
        <v>45736.998611111099</v>
      </c>
      <c r="AL2642" s="6">
        <f ca="1">IFERROR(__xludf.DUMMYFUNCTION("""COMPUTED_VALUE"""),85919.08)</f>
        <v>85919.08</v>
      </c>
      <c r="AP2642" s="6" t="str">
        <f t="shared" si="753"/>
        <v>19001</v>
      </c>
      <c r="AQ2642" s="6">
        <f t="shared" si="754"/>
        <v>1900</v>
      </c>
      <c r="AR2642" s="6">
        <f t="shared" si="755"/>
        <v>1</v>
      </c>
    </row>
    <row r="2643" spans="2:44" x14ac:dyDescent="0.35">
      <c r="B2643" s="6" t="str">
        <f t="shared" si="738"/>
        <v>19001</v>
      </c>
      <c r="C2643" s="6">
        <f t="shared" si="739"/>
        <v>1900</v>
      </c>
      <c r="D2643" s="6">
        <f t="shared" si="740"/>
        <v>1</v>
      </c>
      <c r="J2643" s="6" t="str">
        <f t="shared" si="741"/>
        <v>19001</v>
      </c>
      <c r="K2643" s="6">
        <f t="shared" si="742"/>
        <v>1900</v>
      </c>
      <c r="L2643" s="6">
        <f t="shared" si="743"/>
        <v>1</v>
      </c>
      <c r="R2643" s="6" t="str">
        <f t="shared" si="744"/>
        <v>19001</v>
      </c>
      <c r="S2643" s="6">
        <f t="shared" si="745"/>
        <v>1900</v>
      </c>
      <c r="T2643" s="6">
        <f t="shared" si="746"/>
        <v>1</v>
      </c>
      <c r="Z2643" s="6" t="str">
        <f t="shared" ca="1" si="747"/>
        <v>20255</v>
      </c>
      <c r="AA2643" s="6">
        <f t="shared" ca="1" si="748"/>
        <v>2025</v>
      </c>
      <c r="AB2643" s="6">
        <f t="shared" ca="1" si="749"/>
        <v>5</v>
      </c>
      <c r="AC2643" s="68">
        <f ca="1">IFERROR(__xludf.DUMMYFUNCTION("""COMPUTED_VALUE"""),45799.9986111111)</f>
        <v>45799.998611111099</v>
      </c>
      <c r="AD2643" s="6">
        <f ca="1">IFERROR(__xludf.DUMMYFUNCTION("""COMPUTED_VALUE"""),1381.34)</f>
        <v>1381.34</v>
      </c>
      <c r="AH2643" s="6" t="str">
        <f t="shared" ca="1" si="750"/>
        <v>20253</v>
      </c>
      <c r="AI2643" s="6">
        <f t="shared" ca="1" si="751"/>
        <v>2025</v>
      </c>
      <c r="AJ2643" s="6">
        <f t="shared" ca="1" si="752"/>
        <v>3</v>
      </c>
      <c r="AK2643" s="68">
        <f ca="1">IFERROR(__xludf.DUMMYFUNCTION("""COMPUTED_VALUE"""),45737.9986111111)</f>
        <v>45737.998611111099</v>
      </c>
      <c r="AL2643" s="6">
        <f ca="1">IFERROR(__xludf.DUMMYFUNCTION("""COMPUTED_VALUE"""),84434.41)</f>
        <v>84434.41</v>
      </c>
      <c r="AP2643" s="6" t="str">
        <f t="shared" si="753"/>
        <v>19001</v>
      </c>
      <c r="AQ2643" s="6">
        <f t="shared" si="754"/>
        <v>1900</v>
      </c>
      <c r="AR2643" s="6">
        <f t="shared" si="755"/>
        <v>1</v>
      </c>
    </row>
    <row r="2644" spans="2:44" x14ac:dyDescent="0.35">
      <c r="B2644" s="6" t="str">
        <f t="shared" si="738"/>
        <v>19001</v>
      </c>
      <c r="C2644" s="6">
        <f t="shared" si="739"/>
        <v>1900</v>
      </c>
      <c r="D2644" s="6">
        <f t="shared" si="740"/>
        <v>1</v>
      </c>
      <c r="J2644" s="6" t="str">
        <f t="shared" si="741"/>
        <v>19001</v>
      </c>
      <c r="K2644" s="6">
        <f t="shared" si="742"/>
        <v>1900</v>
      </c>
      <c r="L2644" s="6">
        <f t="shared" si="743"/>
        <v>1</v>
      </c>
      <c r="R2644" s="6" t="str">
        <f t="shared" si="744"/>
        <v>19001</v>
      </c>
      <c r="S2644" s="6">
        <f t="shared" si="745"/>
        <v>1900</v>
      </c>
      <c r="T2644" s="6">
        <f t="shared" si="746"/>
        <v>1</v>
      </c>
      <c r="Z2644" s="6" t="str">
        <f t="shared" ca="1" si="747"/>
        <v>20255</v>
      </c>
      <c r="AA2644" s="6">
        <f t="shared" ca="1" si="748"/>
        <v>2025</v>
      </c>
      <c r="AB2644" s="6">
        <f t="shared" ca="1" si="749"/>
        <v>5</v>
      </c>
      <c r="AC2644" s="68">
        <f ca="1">IFERROR(__xludf.DUMMYFUNCTION("""COMPUTED_VALUE"""),45800.9986111111)</f>
        <v>45800.998611111099</v>
      </c>
      <c r="AD2644" s="6">
        <f ca="1">IFERROR(__xludf.DUMMYFUNCTION("""COMPUTED_VALUE"""),1364.23)</f>
        <v>1364.23</v>
      </c>
      <c r="AH2644" s="6" t="str">
        <f t="shared" ca="1" si="750"/>
        <v>20253</v>
      </c>
      <c r="AI2644" s="6">
        <f t="shared" ca="1" si="751"/>
        <v>2025</v>
      </c>
      <c r="AJ2644" s="6">
        <f t="shared" ca="1" si="752"/>
        <v>3</v>
      </c>
      <c r="AK2644" s="68">
        <f ca="1">IFERROR(__xludf.DUMMYFUNCTION("""COMPUTED_VALUE"""),45738.9986111111)</f>
        <v>45738.998611111099</v>
      </c>
      <c r="AL2644" s="6">
        <f ca="1">IFERROR(__xludf.DUMMYFUNCTION("""COMPUTED_VALUE"""),84345.25)</f>
        <v>84345.25</v>
      </c>
      <c r="AP2644" s="6" t="str">
        <f t="shared" si="753"/>
        <v>19001</v>
      </c>
      <c r="AQ2644" s="6">
        <f t="shared" si="754"/>
        <v>1900</v>
      </c>
      <c r="AR2644" s="6">
        <f t="shared" si="755"/>
        <v>1</v>
      </c>
    </row>
    <row r="2645" spans="2:44" x14ac:dyDescent="0.35">
      <c r="B2645" s="6" t="str">
        <f t="shared" si="738"/>
        <v>19001</v>
      </c>
      <c r="C2645" s="6">
        <f t="shared" si="739"/>
        <v>1900</v>
      </c>
      <c r="D2645" s="6">
        <f t="shared" si="740"/>
        <v>1</v>
      </c>
      <c r="J2645" s="6" t="str">
        <f t="shared" si="741"/>
        <v>19001</v>
      </c>
      <c r="K2645" s="6">
        <f t="shared" si="742"/>
        <v>1900</v>
      </c>
      <c r="L2645" s="6">
        <f t="shared" si="743"/>
        <v>1</v>
      </c>
      <c r="R2645" s="6" t="str">
        <f t="shared" si="744"/>
        <v>19001</v>
      </c>
      <c r="S2645" s="6">
        <f t="shared" si="745"/>
        <v>1900</v>
      </c>
      <c r="T2645" s="6">
        <f t="shared" si="746"/>
        <v>1</v>
      </c>
      <c r="Z2645" s="6" t="str">
        <f t="shared" ca="1" si="747"/>
        <v>20255</v>
      </c>
      <c r="AA2645" s="6">
        <f t="shared" ca="1" si="748"/>
        <v>2025</v>
      </c>
      <c r="AB2645" s="6">
        <f t="shared" ca="1" si="749"/>
        <v>5</v>
      </c>
      <c r="AC2645" s="68">
        <f ca="1">IFERROR(__xludf.DUMMYFUNCTION("""COMPUTED_VALUE"""),45801.9986111111)</f>
        <v>45801.998611111099</v>
      </c>
      <c r="AD2645" s="6">
        <f ca="1">IFERROR(__xludf.DUMMYFUNCTION("""COMPUTED_VALUE"""),1364.23)</f>
        <v>1364.23</v>
      </c>
      <c r="AH2645" s="6" t="str">
        <f t="shared" ca="1" si="750"/>
        <v>20253</v>
      </c>
      <c r="AI2645" s="6">
        <f t="shared" ca="1" si="751"/>
        <v>2025</v>
      </c>
      <c r="AJ2645" s="6">
        <f t="shared" ca="1" si="752"/>
        <v>3</v>
      </c>
      <c r="AK2645" s="68">
        <f ca="1">IFERROR(__xludf.DUMMYFUNCTION("""COMPUTED_VALUE"""),45739.9986111111)</f>
        <v>45739.998611111099</v>
      </c>
      <c r="AL2645" s="6">
        <f ca="1">IFERROR(__xludf.DUMMYFUNCTION("""COMPUTED_VALUE"""),84294.35)</f>
        <v>84294.35</v>
      </c>
      <c r="AP2645" s="6" t="str">
        <f t="shared" si="753"/>
        <v>19001</v>
      </c>
      <c r="AQ2645" s="6">
        <f t="shared" si="754"/>
        <v>1900</v>
      </c>
      <c r="AR2645" s="6">
        <f t="shared" si="755"/>
        <v>1</v>
      </c>
    </row>
    <row r="2646" spans="2:44" x14ac:dyDescent="0.35">
      <c r="B2646" s="6" t="str">
        <f t="shared" si="738"/>
        <v>19001</v>
      </c>
      <c r="C2646" s="6">
        <f t="shared" si="739"/>
        <v>1900</v>
      </c>
      <c r="D2646" s="6">
        <f t="shared" si="740"/>
        <v>1</v>
      </c>
      <c r="J2646" s="6" t="str">
        <f t="shared" si="741"/>
        <v>19001</v>
      </c>
      <c r="K2646" s="6">
        <f t="shared" si="742"/>
        <v>1900</v>
      </c>
      <c r="L2646" s="6">
        <f t="shared" si="743"/>
        <v>1</v>
      </c>
      <c r="R2646" s="6" t="str">
        <f t="shared" si="744"/>
        <v>19001</v>
      </c>
      <c r="S2646" s="6">
        <f t="shared" si="745"/>
        <v>1900</v>
      </c>
      <c r="T2646" s="6">
        <f t="shared" si="746"/>
        <v>1</v>
      </c>
      <c r="Z2646" s="6" t="str">
        <f t="shared" ca="1" si="747"/>
        <v>20255</v>
      </c>
      <c r="AA2646" s="6">
        <f t="shared" ca="1" si="748"/>
        <v>2025</v>
      </c>
      <c r="AB2646" s="6">
        <f t="shared" ca="1" si="749"/>
        <v>5</v>
      </c>
      <c r="AC2646" s="68">
        <f ca="1">IFERROR(__xludf.DUMMYFUNCTION("""COMPUTED_VALUE"""),45802.9986111111)</f>
        <v>45802.998611111099</v>
      </c>
      <c r="AD2646" s="6">
        <f ca="1">IFERROR(__xludf.DUMMYFUNCTION("""COMPUTED_VALUE"""),1364.73)</f>
        <v>1364.73</v>
      </c>
      <c r="AH2646" s="6" t="str">
        <f t="shared" ca="1" si="750"/>
        <v>20253</v>
      </c>
      <c r="AI2646" s="6">
        <f t="shared" ca="1" si="751"/>
        <v>2025</v>
      </c>
      <c r="AJ2646" s="6">
        <f t="shared" ca="1" si="752"/>
        <v>3</v>
      </c>
      <c r="AK2646" s="68">
        <f ca="1">IFERROR(__xludf.DUMMYFUNCTION("""COMPUTED_VALUE"""),45740.9986111111)</f>
        <v>45740.998611111099</v>
      </c>
      <c r="AL2646" s="6">
        <f ca="1">IFERROR(__xludf.DUMMYFUNCTION("""COMPUTED_VALUE"""),86531.37)</f>
        <v>86531.37</v>
      </c>
      <c r="AP2646" s="6" t="str">
        <f t="shared" si="753"/>
        <v>19001</v>
      </c>
      <c r="AQ2646" s="6">
        <f t="shared" si="754"/>
        <v>1900</v>
      </c>
      <c r="AR2646" s="6">
        <f t="shared" si="755"/>
        <v>1</v>
      </c>
    </row>
    <row r="2647" spans="2:44" x14ac:dyDescent="0.35">
      <c r="B2647" s="6" t="str">
        <f t="shared" si="738"/>
        <v>19001</v>
      </c>
      <c r="C2647" s="6">
        <f t="shared" si="739"/>
        <v>1900</v>
      </c>
      <c r="D2647" s="6">
        <f t="shared" si="740"/>
        <v>1</v>
      </c>
      <c r="J2647" s="6" t="str">
        <f t="shared" si="741"/>
        <v>19001</v>
      </c>
      <c r="K2647" s="6">
        <f t="shared" si="742"/>
        <v>1900</v>
      </c>
      <c r="L2647" s="6">
        <f t="shared" si="743"/>
        <v>1</v>
      </c>
      <c r="R2647" s="6" t="str">
        <f t="shared" si="744"/>
        <v>19001</v>
      </c>
      <c r="S2647" s="6">
        <f t="shared" si="745"/>
        <v>1900</v>
      </c>
      <c r="T2647" s="6">
        <f t="shared" si="746"/>
        <v>1</v>
      </c>
      <c r="Z2647" s="6" t="str">
        <f t="shared" ca="1" si="747"/>
        <v>20255</v>
      </c>
      <c r="AA2647" s="6">
        <f t="shared" ca="1" si="748"/>
        <v>2025</v>
      </c>
      <c r="AB2647" s="6">
        <f t="shared" ca="1" si="749"/>
        <v>5</v>
      </c>
      <c r="AC2647" s="68">
        <f ca="1">IFERROR(__xludf.DUMMYFUNCTION("""COMPUTED_VALUE"""),45803.9986111111)</f>
        <v>45803.998611111099</v>
      </c>
      <c r="AD2647" s="6">
        <f ca="1">IFERROR(__xludf.DUMMYFUNCTION("""COMPUTED_VALUE"""),1368.1)</f>
        <v>1368.1</v>
      </c>
      <c r="AH2647" s="6" t="str">
        <f t="shared" ca="1" si="750"/>
        <v>20253</v>
      </c>
      <c r="AI2647" s="6">
        <f t="shared" ca="1" si="751"/>
        <v>2025</v>
      </c>
      <c r="AJ2647" s="6">
        <f t="shared" ca="1" si="752"/>
        <v>3</v>
      </c>
      <c r="AK2647" s="68">
        <f ca="1">IFERROR(__xludf.DUMMYFUNCTION("""COMPUTED_VALUE"""),45741.9986111111)</f>
        <v>45741.998611111099</v>
      </c>
      <c r="AL2647" s="6">
        <f ca="1">IFERROR(__xludf.DUMMYFUNCTION("""COMPUTED_VALUE"""),86496.49)</f>
        <v>86496.49</v>
      </c>
      <c r="AP2647" s="6" t="str">
        <f t="shared" si="753"/>
        <v>19001</v>
      </c>
      <c r="AQ2647" s="6">
        <f t="shared" si="754"/>
        <v>1900</v>
      </c>
      <c r="AR2647" s="6">
        <f t="shared" si="755"/>
        <v>1</v>
      </c>
    </row>
    <row r="2648" spans="2:44" x14ac:dyDescent="0.35">
      <c r="B2648" s="6" t="str">
        <f t="shared" si="738"/>
        <v>19001</v>
      </c>
      <c r="C2648" s="6">
        <f t="shared" si="739"/>
        <v>1900</v>
      </c>
      <c r="D2648" s="6">
        <f t="shared" si="740"/>
        <v>1</v>
      </c>
      <c r="J2648" s="6" t="str">
        <f t="shared" si="741"/>
        <v>19001</v>
      </c>
      <c r="K2648" s="6">
        <f t="shared" si="742"/>
        <v>1900</v>
      </c>
      <c r="L2648" s="6">
        <f t="shared" si="743"/>
        <v>1</v>
      </c>
      <c r="R2648" s="6" t="str">
        <f t="shared" si="744"/>
        <v>19001</v>
      </c>
      <c r="S2648" s="6">
        <f t="shared" si="745"/>
        <v>1900</v>
      </c>
      <c r="T2648" s="6">
        <f t="shared" si="746"/>
        <v>1</v>
      </c>
      <c r="Z2648" s="6" t="str">
        <f t="shared" ca="1" si="747"/>
        <v>20255</v>
      </c>
      <c r="AA2648" s="6">
        <f t="shared" ca="1" si="748"/>
        <v>2025</v>
      </c>
      <c r="AB2648" s="6">
        <f t="shared" ca="1" si="749"/>
        <v>5</v>
      </c>
      <c r="AC2648" s="68">
        <f ca="1">IFERROR(__xludf.DUMMYFUNCTION("""COMPUTED_VALUE"""),45804.9986111111)</f>
        <v>45804.998611111099</v>
      </c>
      <c r="AD2648" s="6">
        <f ca="1">IFERROR(__xludf.DUMMYFUNCTION("""COMPUTED_VALUE"""),1374.8)</f>
        <v>1374.8</v>
      </c>
      <c r="AH2648" s="6" t="str">
        <f t="shared" ca="1" si="750"/>
        <v>20253</v>
      </c>
      <c r="AI2648" s="6">
        <f t="shared" ca="1" si="751"/>
        <v>2025</v>
      </c>
      <c r="AJ2648" s="6">
        <f t="shared" ca="1" si="752"/>
        <v>3</v>
      </c>
      <c r="AK2648" s="68">
        <f ca="1">IFERROR(__xludf.DUMMYFUNCTION("""COMPUTED_VALUE"""),45742.9986111111)</f>
        <v>45742.998611111099</v>
      </c>
      <c r="AL2648" s="6">
        <f ca="1">IFERROR(__xludf.DUMMYFUNCTION("""COMPUTED_VALUE"""),87186.84)</f>
        <v>87186.84</v>
      </c>
      <c r="AP2648" s="6" t="str">
        <f t="shared" si="753"/>
        <v>19001</v>
      </c>
      <c r="AQ2648" s="6">
        <f t="shared" si="754"/>
        <v>1900</v>
      </c>
      <c r="AR2648" s="6">
        <f t="shared" si="755"/>
        <v>1</v>
      </c>
    </row>
    <row r="2649" spans="2:44" x14ac:dyDescent="0.35">
      <c r="B2649" s="6" t="str">
        <f t="shared" si="738"/>
        <v>19001</v>
      </c>
      <c r="C2649" s="6">
        <f t="shared" si="739"/>
        <v>1900</v>
      </c>
      <c r="D2649" s="6">
        <f t="shared" si="740"/>
        <v>1</v>
      </c>
      <c r="J2649" s="6" t="str">
        <f t="shared" si="741"/>
        <v>19001</v>
      </c>
      <c r="K2649" s="6">
        <f t="shared" si="742"/>
        <v>1900</v>
      </c>
      <c r="L2649" s="6">
        <f t="shared" si="743"/>
        <v>1</v>
      </c>
      <c r="R2649" s="6" t="str">
        <f t="shared" si="744"/>
        <v>19001</v>
      </c>
      <c r="S2649" s="6">
        <f t="shared" si="745"/>
        <v>1900</v>
      </c>
      <c r="T2649" s="6">
        <f t="shared" si="746"/>
        <v>1</v>
      </c>
      <c r="Z2649" s="6" t="str">
        <f t="shared" ca="1" si="747"/>
        <v>20255</v>
      </c>
      <c r="AA2649" s="6">
        <f t="shared" ca="1" si="748"/>
        <v>2025</v>
      </c>
      <c r="AB2649" s="6">
        <f t="shared" ca="1" si="749"/>
        <v>5</v>
      </c>
      <c r="AC2649" s="68">
        <f ca="1">IFERROR(__xludf.DUMMYFUNCTION("""COMPUTED_VALUE"""),45805.9986111111)</f>
        <v>45805.998611111099</v>
      </c>
      <c r="AD2649" s="6">
        <f ca="1">IFERROR(__xludf.DUMMYFUNCTION("""COMPUTED_VALUE"""),1373.6)</f>
        <v>1373.6</v>
      </c>
      <c r="AH2649" s="6" t="str">
        <f t="shared" ca="1" si="750"/>
        <v>20253</v>
      </c>
      <c r="AI2649" s="6">
        <f t="shared" ca="1" si="751"/>
        <v>2025</v>
      </c>
      <c r="AJ2649" s="6">
        <f t="shared" ca="1" si="752"/>
        <v>3</v>
      </c>
      <c r="AK2649" s="68">
        <f ca="1">IFERROR(__xludf.DUMMYFUNCTION("""COMPUTED_VALUE"""),45743.9986111111)</f>
        <v>45743.998611111099</v>
      </c>
      <c r="AL2649" s="6">
        <f ca="1">IFERROR(__xludf.DUMMYFUNCTION("""COMPUTED_VALUE"""),87692.71)</f>
        <v>87692.71</v>
      </c>
      <c r="AP2649" s="6" t="str">
        <f t="shared" si="753"/>
        <v>19001</v>
      </c>
      <c r="AQ2649" s="6">
        <f t="shared" si="754"/>
        <v>1900</v>
      </c>
      <c r="AR2649" s="6">
        <f t="shared" si="755"/>
        <v>1</v>
      </c>
    </row>
    <row r="2650" spans="2:44" x14ac:dyDescent="0.35">
      <c r="B2650" s="6" t="str">
        <f t="shared" si="738"/>
        <v>19001</v>
      </c>
      <c r="C2650" s="6">
        <f t="shared" si="739"/>
        <v>1900</v>
      </c>
      <c r="D2650" s="6">
        <f t="shared" si="740"/>
        <v>1</v>
      </c>
      <c r="J2650" s="6" t="str">
        <f t="shared" si="741"/>
        <v>19001</v>
      </c>
      <c r="K2650" s="6">
        <f t="shared" si="742"/>
        <v>1900</v>
      </c>
      <c r="L2650" s="6">
        <f t="shared" si="743"/>
        <v>1</v>
      </c>
      <c r="R2650" s="6" t="str">
        <f t="shared" si="744"/>
        <v>19001</v>
      </c>
      <c r="S2650" s="6">
        <f t="shared" si="745"/>
        <v>1900</v>
      </c>
      <c r="T2650" s="6">
        <f t="shared" si="746"/>
        <v>1</v>
      </c>
      <c r="Z2650" s="6" t="str">
        <f t="shared" ca="1" si="747"/>
        <v>20255</v>
      </c>
      <c r="AA2650" s="6">
        <f t="shared" ca="1" si="748"/>
        <v>2025</v>
      </c>
      <c r="AB2650" s="6">
        <f t="shared" ca="1" si="749"/>
        <v>5</v>
      </c>
      <c r="AC2650" s="68">
        <f ca="1">IFERROR(__xludf.DUMMYFUNCTION("""COMPUTED_VALUE"""),45806.9986111111)</f>
        <v>45806.998611111099</v>
      </c>
      <c r="AD2650" s="6">
        <f ca="1">IFERROR(__xludf.DUMMYFUNCTION("""COMPUTED_VALUE"""),1370.41)</f>
        <v>1370.41</v>
      </c>
      <c r="AH2650" s="6" t="str">
        <f t="shared" ca="1" si="750"/>
        <v>20253</v>
      </c>
      <c r="AI2650" s="6">
        <f t="shared" ca="1" si="751"/>
        <v>2025</v>
      </c>
      <c r="AJ2650" s="6">
        <f t="shared" ca="1" si="752"/>
        <v>3</v>
      </c>
      <c r="AK2650" s="68">
        <f ca="1">IFERROR(__xludf.DUMMYFUNCTION("""COMPUTED_VALUE"""),45744.9986111111)</f>
        <v>45744.998611111099</v>
      </c>
      <c r="AL2650" s="6">
        <f ca="1">IFERROR(__xludf.DUMMYFUNCTION("""COMPUTED_VALUE"""),86810.84)</f>
        <v>86810.84</v>
      </c>
      <c r="AP2650" s="6" t="str">
        <f t="shared" si="753"/>
        <v>19001</v>
      </c>
      <c r="AQ2650" s="6">
        <f t="shared" si="754"/>
        <v>1900</v>
      </c>
      <c r="AR2650" s="6">
        <f t="shared" si="755"/>
        <v>1</v>
      </c>
    </row>
    <row r="2651" spans="2:44" x14ac:dyDescent="0.35">
      <c r="B2651" s="6" t="str">
        <f t="shared" si="738"/>
        <v>19001</v>
      </c>
      <c r="C2651" s="6">
        <f t="shared" si="739"/>
        <v>1900</v>
      </c>
      <c r="D2651" s="6">
        <f t="shared" si="740"/>
        <v>1</v>
      </c>
      <c r="J2651" s="6" t="str">
        <f t="shared" si="741"/>
        <v>19001</v>
      </c>
      <c r="K2651" s="6">
        <f t="shared" si="742"/>
        <v>1900</v>
      </c>
      <c r="L2651" s="6">
        <f t="shared" si="743"/>
        <v>1</v>
      </c>
      <c r="R2651" s="6" t="str">
        <f t="shared" si="744"/>
        <v>19001</v>
      </c>
      <c r="S2651" s="6">
        <f t="shared" si="745"/>
        <v>1900</v>
      </c>
      <c r="T2651" s="6">
        <f t="shared" si="746"/>
        <v>1</v>
      </c>
      <c r="Z2651" s="6" t="str">
        <f t="shared" ca="1" si="747"/>
        <v>20255</v>
      </c>
      <c r="AA2651" s="6">
        <f t="shared" ca="1" si="748"/>
        <v>2025</v>
      </c>
      <c r="AB2651" s="6">
        <f t="shared" ca="1" si="749"/>
        <v>5</v>
      </c>
      <c r="AC2651" s="68">
        <f ca="1">IFERROR(__xludf.DUMMYFUNCTION("""COMPUTED_VALUE"""),45807.9986111111)</f>
        <v>45807.998611111099</v>
      </c>
      <c r="AD2651" s="6">
        <f ca="1">IFERROR(__xludf.DUMMYFUNCTION("""COMPUTED_VALUE"""),1381.98)</f>
        <v>1381.98</v>
      </c>
      <c r="AH2651" s="6" t="str">
        <f t="shared" ca="1" si="750"/>
        <v>20253</v>
      </c>
      <c r="AI2651" s="6">
        <f t="shared" ca="1" si="751"/>
        <v>2025</v>
      </c>
      <c r="AJ2651" s="6">
        <f t="shared" ca="1" si="752"/>
        <v>3</v>
      </c>
      <c r="AK2651" s="68">
        <f ca="1">IFERROR(__xludf.DUMMYFUNCTION("""COMPUTED_VALUE"""),45745.9986111111)</f>
        <v>45745.998611111099</v>
      </c>
      <c r="AL2651" s="6">
        <f ca="1">IFERROR(__xludf.DUMMYFUNCTION("""COMPUTED_VALUE"""),84261.42)</f>
        <v>84261.42</v>
      </c>
      <c r="AP2651" s="6" t="str">
        <f t="shared" si="753"/>
        <v>19001</v>
      </c>
      <c r="AQ2651" s="6">
        <f t="shared" si="754"/>
        <v>1900</v>
      </c>
      <c r="AR2651" s="6">
        <f t="shared" si="755"/>
        <v>1</v>
      </c>
    </row>
    <row r="2652" spans="2:44" x14ac:dyDescent="0.35">
      <c r="B2652" s="6" t="str">
        <f t="shared" si="738"/>
        <v>19001</v>
      </c>
      <c r="C2652" s="6">
        <f t="shared" si="739"/>
        <v>1900</v>
      </c>
      <c r="D2652" s="6">
        <f t="shared" si="740"/>
        <v>1</v>
      </c>
      <c r="J2652" s="6" t="str">
        <f t="shared" si="741"/>
        <v>19001</v>
      </c>
      <c r="K2652" s="6">
        <f t="shared" si="742"/>
        <v>1900</v>
      </c>
      <c r="L2652" s="6">
        <f t="shared" si="743"/>
        <v>1</v>
      </c>
      <c r="R2652" s="6" t="str">
        <f t="shared" si="744"/>
        <v>19001</v>
      </c>
      <c r="S2652" s="6">
        <f t="shared" si="745"/>
        <v>1900</v>
      </c>
      <c r="T2652" s="6">
        <f t="shared" si="746"/>
        <v>1</v>
      </c>
      <c r="Z2652" s="6" t="str">
        <f t="shared" ca="1" si="747"/>
        <v>20255</v>
      </c>
      <c r="AA2652" s="6">
        <f t="shared" ca="1" si="748"/>
        <v>2025</v>
      </c>
      <c r="AB2652" s="6">
        <f t="shared" ca="1" si="749"/>
        <v>5</v>
      </c>
      <c r="AC2652" s="68">
        <f ca="1">IFERROR(__xludf.DUMMYFUNCTION("""COMPUTED_VALUE"""),45808.9986111111)</f>
        <v>45808.998611111099</v>
      </c>
      <c r="AD2652" s="6">
        <f ca="1">IFERROR(__xludf.DUMMYFUNCTION("""COMPUTED_VALUE"""),1381.98)</f>
        <v>1381.98</v>
      </c>
      <c r="AH2652" s="6" t="str">
        <f t="shared" ca="1" si="750"/>
        <v>20253</v>
      </c>
      <c r="AI2652" s="6">
        <f t="shared" ca="1" si="751"/>
        <v>2025</v>
      </c>
      <c r="AJ2652" s="6">
        <f t="shared" ca="1" si="752"/>
        <v>3</v>
      </c>
      <c r="AK2652" s="68">
        <f ca="1">IFERROR(__xludf.DUMMYFUNCTION("""COMPUTED_VALUE"""),45746.9986111111)</f>
        <v>45746.998611111099</v>
      </c>
      <c r="AL2652" s="6">
        <f ca="1">IFERROR(__xludf.DUMMYFUNCTION("""COMPUTED_VALUE"""),83184.34)</f>
        <v>83184.34</v>
      </c>
      <c r="AP2652" s="6" t="str">
        <f t="shared" si="753"/>
        <v>19001</v>
      </c>
      <c r="AQ2652" s="6">
        <f t="shared" si="754"/>
        <v>1900</v>
      </c>
      <c r="AR2652" s="6">
        <f t="shared" si="755"/>
        <v>1</v>
      </c>
    </row>
    <row r="2653" spans="2:44" x14ac:dyDescent="0.35">
      <c r="B2653" s="6" t="str">
        <f t="shared" si="738"/>
        <v>19001</v>
      </c>
      <c r="C2653" s="6">
        <f t="shared" si="739"/>
        <v>1900</v>
      </c>
      <c r="D2653" s="6">
        <f t="shared" si="740"/>
        <v>1</v>
      </c>
      <c r="J2653" s="6" t="str">
        <f t="shared" si="741"/>
        <v>19001</v>
      </c>
      <c r="K2653" s="6">
        <f t="shared" si="742"/>
        <v>1900</v>
      </c>
      <c r="L2653" s="6">
        <f t="shared" si="743"/>
        <v>1</v>
      </c>
      <c r="R2653" s="6" t="str">
        <f t="shared" si="744"/>
        <v>19001</v>
      </c>
      <c r="S2653" s="6">
        <f t="shared" si="745"/>
        <v>1900</v>
      </c>
      <c r="T2653" s="6">
        <f t="shared" si="746"/>
        <v>1</v>
      </c>
      <c r="Z2653" s="6" t="str">
        <f t="shared" ca="1" si="747"/>
        <v>20256</v>
      </c>
      <c r="AA2653" s="6">
        <f t="shared" ca="1" si="748"/>
        <v>2025</v>
      </c>
      <c r="AB2653" s="6">
        <f t="shared" ca="1" si="749"/>
        <v>6</v>
      </c>
      <c r="AC2653" s="68">
        <f ca="1">IFERROR(__xludf.DUMMYFUNCTION("""COMPUTED_VALUE"""),45809.9986111111)</f>
        <v>45809.998611111099</v>
      </c>
      <c r="AD2653" s="6">
        <f ca="1">IFERROR(__xludf.DUMMYFUNCTION("""COMPUTED_VALUE"""),1381.99)</f>
        <v>1381.99</v>
      </c>
      <c r="AH2653" s="6" t="str">
        <f t="shared" ca="1" si="750"/>
        <v>20253</v>
      </c>
      <c r="AI2653" s="6">
        <f t="shared" ca="1" si="751"/>
        <v>2025</v>
      </c>
      <c r="AJ2653" s="6">
        <f t="shared" ca="1" si="752"/>
        <v>3</v>
      </c>
      <c r="AK2653" s="68">
        <f ca="1">IFERROR(__xludf.DUMMYFUNCTION("""COMPUTED_VALUE"""),45747.9986111111)</f>
        <v>45747.998611111099</v>
      </c>
      <c r="AL2653" s="6">
        <f ca="1">IFERROR(__xludf.DUMMYFUNCTION("""COMPUTED_VALUE"""),81559.22)</f>
        <v>81559.22</v>
      </c>
      <c r="AP2653" s="6" t="str">
        <f t="shared" si="753"/>
        <v>19001</v>
      </c>
      <c r="AQ2653" s="6">
        <f t="shared" si="754"/>
        <v>1900</v>
      </c>
      <c r="AR2653" s="6">
        <f t="shared" si="755"/>
        <v>1</v>
      </c>
    </row>
    <row r="2654" spans="2:44" x14ac:dyDescent="0.35">
      <c r="B2654" s="6" t="str">
        <f t="shared" si="738"/>
        <v>19001</v>
      </c>
      <c r="C2654" s="6">
        <f t="shared" si="739"/>
        <v>1900</v>
      </c>
      <c r="D2654" s="6">
        <f t="shared" si="740"/>
        <v>1</v>
      </c>
      <c r="J2654" s="6" t="str">
        <f t="shared" si="741"/>
        <v>19001</v>
      </c>
      <c r="K2654" s="6">
        <f t="shared" si="742"/>
        <v>1900</v>
      </c>
      <c r="L2654" s="6">
        <f t="shared" si="743"/>
        <v>1</v>
      </c>
      <c r="R2654" s="6" t="str">
        <f t="shared" si="744"/>
        <v>19001</v>
      </c>
      <c r="S2654" s="6">
        <f t="shared" si="745"/>
        <v>1900</v>
      </c>
      <c r="T2654" s="6">
        <f t="shared" si="746"/>
        <v>1</v>
      </c>
      <c r="Z2654" s="6" t="str">
        <f t="shared" ca="1" si="747"/>
        <v>20256</v>
      </c>
      <c r="AA2654" s="6">
        <f t="shared" ca="1" si="748"/>
        <v>2025</v>
      </c>
      <c r="AB2654" s="6">
        <f t="shared" ca="1" si="749"/>
        <v>6</v>
      </c>
      <c r="AC2654" s="68">
        <f ca="1">IFERROR(__xludf.DUMMYFUNCTION("""COMPUTED_VALUE"""),45810.9986111111)</f>
        <v>45810.998611111099</v>
      </c>
      <c r="AD2654" s="6">
        <f ca="1">IFERROR(__xludf.DUMMYFUNCTION("""COMPUTED_VALUE"""),1376.07)</f>
        <v>1376.07</v>
      </c>
      <c r="AH2654" s="6" t="str">
        <f t="shared" ca="1" si="750"/>
        <v>20254</v>
      </c>
      <c r="AI2654" s="6">
        <f t="shared" ca="1" si="751"/>
        <v>2025</v>
      </c>
      <c r="AJ2654" s="6">
        <f t="shared" ca="1" si="752"/>
        <v>4</v>
      </c>
      <c r="AK2654" s="68">
        <f ca="1">IFERROR(__xludf.DUMMYFUNCTION("""COMPUTED_VALUE"""),45748.9986111111)</f>
        <v>45748.998611111099</v>
      </c>
      <c r="AL2654" s="6">
        <f ca="1">IFERROR(__xludf.DUMMYFUNCTION("""COMPUTED_VALUE"""),82963.95)</f>
        <v>82963.95</v>
      </c>
      <c r="AP2654" s="6" t="str">
        <f t="shared" si="753"/>
        <v>19001</v>
      </c>
      <c r="AQ2654" s="6">
        <f t="shared" si="754"/>
        <v>1900</v>
      </c>
      <c r="AR2654" s="6">
        <f t="shared" si="755"/>
        <v>1</v>
      </c>
    </row>
    <row r="2655" spans="2:44" x14ac:dyDescent="0.35">
      <c r="B2655" s="6" t="str">
        <f t="shared" si="738"/>
        <v>19001</v>
      </c>
      <c r="C2655" s="6">
        <f t="shared" si="739"/>
        <v>1900</v>
      </c>
      <c r="D2655" s="6">
        <f t="shared" si="740"/>
        <v>1</v>
      </c>
      <c r="J2655" s="6" t="str">
        <f t="shared" si="741"/>
        <v>19001</v>
      </c>
      <c r="K2655" s="6">
        <f t="shared" si="742"/>
        <v>1900</v>
      </c>
      <c r="L2655" s="6">
        <f t="shared" si="743"/>
        <v>1</v>
      </c>
      <c r="R2655" s="6" t="str">
        <f t="shared" si="744"/>
        <v>19001</v>
      </c>
      <c r="S2655" s="6">
        <f t="shared" si="745"/>
        <v>1900</v>
      </c>
      <c r="T2655" s="6">
        <f t="shared" si="746"/>
        <v>1</v>
      </c>
      <c r="Z2655" s="6" t="str">
        <f t="shared" ca="1" si="747"/>
        <v>20256</v>
      </c>
      <c r="AA2655" s="6">
        <f t="shared" ca="1" si="748"/>
        <v>2025</v>
      </c>
      <c r="AB2655" s="6">
        <f t="shared" ca="1" si="749"/>
        <v>6</v>
      </c>
      <c r="AC2655" s="68">
        <f ca="1">IFERROR(__xludf.DUMMYFUNCTION("""COMPUTED_VALUE"""),45811.9986111111)</f>
        <v>45811.998611111099</v>
      </c>
      <c r="AD2655" s="6">
        <f ca="1">IFERROR(__xludf.DUMMYFUNCTION("""COMPUTED_VALUE"""),1377.72)</f>
        <v>1377.72</v>
      </c>
      <c r="AH2655" s="6" t="str">
        <f t="shared" ca="1" si="750"/>
        <v>20254</v>
      </c>
      <c r="AI2655" s="6">
        <f t="shared" ca="1" si="751"/>
        <v>2025</v>
      </c>
      <c r="AJ2655" s="6">
        <f t="shared" ca="1" si="752"/>
        <v>4</v>
      </c>
      <c r="AK2655" s="68">
        <f ca="1">IFERROR(__xludf.DUMMYFUNCTION("""COMPUTED_VALUE"""),45749.9986111111)</f>
        <v>45749.998611111099</v>
      </c>
      <c r="AL2655" s="6">
        <f ca="1">IFERROR(__xludf.DUMMYFUNCTION("""COMPUTED_VALUE"""),84598.74)</f>
        <v>84598.74</v>
      </c>
      <c r="AP2655" s="6" t="str">
        <f t="shared" si="753"/>
        <v>19001</v>
      </c>
      <c r="AQ2655" s="6">
        <f t="shared" si="754"/>
        <v>1900</v>
      </c>
      <c r="AR2655" s="6">
        <f t="shared" si="755"/>
        <v>1</v>
      </c>
    </row>
    <row r="2656" spans="2:44" x14ac:dyDescent="0.35">
      <c r="B2656" s="6" t="str">
        <f t="shared" si="738"/>
        <v>19001</v>
      </c>
      <c r="C2656" s="6">
        <f t="shared" si="739"/>
        <v>1900</v>
      </c>
      <c r="D2656" s="6">
        <f t="shared" si="740"/>
        <v>1</v>
      </c>
      <c r="J2656" s="6" t="str">
        <f t="shared" si="741"/>
        <v>19001</v>
      </c>
      <c r="K2656" s="6">
        <f t="shared" si="742"/>
        <v>1900</v>
      </c>
      <c r="L2656" s="6">
        <f t="shared" si="743"/>
        <v>1</v>
      </c>
      <c r="R2656" s="6" t="str">
        <f t="shared" si="744"/>
        <v>19001</v>
      </c>
      <c r="S2656" s="6">
        <f t="shared" si="745"/>
        <v>1900</v>
      </c>
      <c r="T2656" s="6">
        <f t="shared" si="746"/>
        <v>1</v>
      </c>
      <c r="Z2656" s="6" t="str">
        <f t="shared" ca="1" si="747"/>
        <v>20256</v>
      </c>
      <c r="AA2656" s="6">
        <f t="shared" ca="1" si="748"/>
        <v>2025</v>
      </c>
      <c r="AB2656" s="6">
        <f t="shared" ca="1" si="749"/>
        <v>6</v>
      </c>
      <c r="AC2656" s="68">
        <f ca="1">IFERROR(__xludf.DUMMYFUNCTION("""COMPUTED_VALUE"""),45812.9986111111)</f>
        <v>45812.998611111099</v>
      </c>
      <c r="AD2656" s="6">
        <f ca="1">IFERROR(__xludf.DUMMYFUNCTION("""COMPUTED_VALUE"""),1361.09)</f>
        <v>1361.09</v>
      </c>
      <c r="AH2656" s="6" t="str">
        <f t="shared" ca="1" si="750"/>
        <v>20254</v>
      </c>
      <c r="AI2656" s="6">
        <f t="shared" ca="1" si="751"/>
        <v>2025</v>
      </c>
      <c r="AJ2656" s="6">
        <f t="shared" ca="1" si="752"/>
        <v>4</v>
      </c>
      <c r="AK2656" s="68">
        <f ca="1">IFERROR(__xludf.DUMMYFUNCTION("""COMPUTED_VALUE"""),45750.9986111111)</f>
        <v>45750.998611111099</v>
      </c>
      <c r="AL2656" s="6">
        <f ca="1">IFERROR(__xludf.DUMMYFUNCTION("""COMPUTED_VALUE"""),83479.15)</f>
        <v>83479.149999999994</v>
      </c>
      <c r="AP2656" s="6" t="str">
        <f t="shared" si="753"/>
        <v>19001</v>
      </c>
      <c r="AQ2656" s="6">
        <f t="shared" si="754"/>
        <v>1900</v>
      </c>
      <c r="AR2656" s="6">
        <f t="shared" si="755"/>
        <v>1</v>
      </c>
    </row>
    <row r="2657" spans="2:44" x14ac:dyDescent="0.35">
      <c r="B2657" s="6" t="str">
        <f t="shared" si="738"/>
        <v>19001</v>
      </c>
      <c r="C2657" s="6">
        <f t="shared" si="739"/>
        <v>1900</v>
      </c>
      <c r="D2657" s="6">
        <f t="shared" si="740"/>
        <v>1</v>
      </c>
      <c r="J2657" s="6" t="str">
        <f t="shared" si="741"/>
        <v>19001</v>
      </c>
      <c r="K2657" s="6">
        <f t="shared" si="742"/>
        <v>1900</v>
      </c>
      <c r="L2657" s="6">
        <f t="shared" si="743"/>
        <v>1</v>
      </c>
      <c r="R2657" s="6" t="str">
        <f t="shared" si="744"/>
        <v>19001</v>
      </c>
      <c r="S2657" s="6">
        <f t="shared" si="745"/>
        <v>1900</v>
      </c>
      <c r="T2657" s="6">
        <f t="shared" si="746"/>
        <v>1</v>
      </c>
      <c r="Z2657" s="6" t="str">
        <f t="shared" ca="1" si="747"/>
        <v>20256</v>
      </c>
      <c r="AA2657" s="6">
        <f t="shared" ca="1" si="748"/>
        <v>2025</v>
      </c>
      <c r="AB2657" s="6">
        <f t="shared" ca="1" si="749"/>
        <v>6</v>
      </c>
      <c r="AC2657" s="68">
        <f ca="1">IFERROR(__xludf.DUMMYFUNCTION("""COMPUTED_VALUE"""),45813.9986111111)</f>
        <v>45813.998611111099</v>
      </c>
      <c r="AD2657" s="6">
        <f ca="1">IFERROR(__xludf.DUMMYFUNCTION("""COMPUTED_VALUE"""),1354.55)</f>
        <v>1354.55</v>
      </c>
      <c r="AH2657" s="6" t="str">
        <f t="shared" ca="1" si="750"/>
        <v>20254</v>
      </c>
      <c r="AI2657" s="6">
        <f t="shared" ca="1" si="751"/>
        <v>2025</v>
      </c>
      <c r="AJ2657" s="6">
        <f t="shared" ca="1" si="752"/>
        <v>4</v>
      </c>
      <c r="AK2657" s="68">
        <f ca="1">IFERROR(__xludf.DUMMYFUNCTION("""COMPUTED_VALUE"""),45751.9986111111)</f>
        <v>45751.998611111099</v>
      </c>
      <c r="AL2657" s="6">
        <f ca="1">IFERROR(__xludf.DUMMYFUNCTION("""COMPUTED_VALUE"""),82740.93)</f>
        <v>82740.929999999993</v>
      </c>
      <c r="AP2657" s="6" t="str">
        <f t="shared" si="753"/>
        <v>19001</v>
      </c>
      <c r="AQ2657" s="6">
        <f t="shared" si="754"/>
        <v>1900</v>
      </c>
      <c r="AR2657" s="6">
        <f t="shared" si="755"/>
        <v>1</v>
      </c>
    </row>
    <row r="2658" spans="2:44" x14ac:dyDescent="0.35">
      <c r="B2658" s="6" t="str">
        <f t="shared" si="738"/>
        <v>19001</v>
      </c>
      <c r="C2658" s="6">
        <f t="shared" si="739"/>
        <v>1900</v>
      </c>
      <c r="D2658" s="6">
        <f t="shared" si="740"/>
        <v>1</v>
      </c>
      <c r="J2658" s="6" t="str">
        <f t="shared" si="741"/>
        <v>19001</v>
      </c>
      <c r="K2658" s="6">
        <f t="shared" si="742"/>
        <v>1900</v>
      </c>
      <c r="L2658" s="6">
        <f t="shared" si="743"/>
        <v>1</v>
      </c>
      <c r="R2658" s="6" t="str">
        <f t="shared" si="744"/>
        <v>19001</v>
      </c>
      <c r="S2658" s="6">
        <f t="shared" si="745"/>
        <v>1900</v>
      </c>
      <c r="T2658" s="6">
        <f t="shared" si="746"/>
        <v>1</v>
      </c>
      <c r="Z2658" s="6" t="str">
        <f t="shared" ca="1" si="747"/>
        <v>20256</v>
      </c>
      <c r="AA2658" s="6">
        <f t="shared" ca="1" si="748"/>
        <v>2025</v>
      </c>
      <c r="AB2658" s="6">
        <f t="shared" ca="1" si="749"/>
        <v>6</v>
      </c>
      <c r="AC2658" s="68">
        <f ca="1">IFERROR(__xludf.DUMMYFUNCTION("""COMPUTED_VALUE"""),45814.9986111111)</f>
        <v>45814.998611111099</v>
      </c>
      <c r="AD2658" s="6">
        <f ca="1">IFERROR(__xludf.DUMMYFUNCTION("""COMPUTED_VALUE"""),1359.08)</f>
        <v>1359.08</v>
      </c>
      <c r="AH2658" s="6" t="str">
        <f t="shared" ca="1" si="750"/>
        <v>20254</v>
      </c>
      <c r="AI2658" s="6">
        <f t="shared" ca="1" si="751"/>
        <v>2025</v>
      </c>
      <c r="AJ2658" s="6">
        <f t="shared" ca="1" si="752"/>
        <v>4</v>
      </c>
      <c r="AK2658" s="68">
        <f ca="1">IFERROR(__xludf.DUMMYFUNCTION("""COMPUTED_VALUE"""),45752.9986111111)</f>
        <v>45752.998611111099</v>
      </c>
      <c r="AL2658" s="6">
        <f ca="1">IFERROR(__xludf.DUMMYFUNCTION("""COMPUTED_VALUE"""),83624.02)</f>
        <v>83624.02</v>
      </c>
      <c r="AP2658" s="6" t="str">
        <f t="shared" si="753"/>
        <v>19001</v>
      </c>
      <c r="AQ2658" s="6">
        <f t="shared" si="754"/>
        <v>1900</v>
      </c>
      <c r="AR2658" s="6">
        <f t="shared" si="755"/>
        <v>1</v>
      </c>
    </row>
    <row r="2659" spans="2:44" x14ac:dyDescent="0.35">
      <c r="B2659" s="6" t="str">
        <f t="shared" si="738"/>
        <v>19001</v>
      </c>
      <c r="C2659" s="6">
        <f t="shared" si="739"/>
        <v>1900</v>
      </c>
      <c r="D2659" s="6">
        <f t="shared" si="740"/>
        <v>1</v>
      </c>
      <c r="J2659" s="6" t="str">
        <f t="shared" si="741"/>
        <v>19001</v>
      </c>
      <c r="K2659" s="6">
        <f t="shared" si="742"/>
        <v>1900</v>
      </c>
      <c r="L2659" s="6">
        <f t="shared" si="743"/>
        <v>1</v>
      </c>
      <c r="R2659" s="6" t="str">
        <f t="shared" si="744"/>
        <v>19001</v>
      </c>
      <c r="S2659" s="6">
        <f t="shared" si="745"/>
        <v>1900</v>
      </c>
      <c r="T2659" s="6">
        <f t="shared" si="746"/>
        <v>1</v>
      </c>
      <c r="Z2659" s="6" t="str">
        <f t="shared" ca="1" si="747"/>
        <v>20256</v>
      </c>
      <c r="AA2659" s="6">
        <f t="shared" ca="1" si="748"/>
        <v>2025</v>
      </c>
      <c r="AB2659" s="6">
        <f t="shared" ca="1" si="749"/>
        <v>6</v>
      </c>
      <c r="AC2659" s="68">
        <f ca="1">IFERROR(__xludf.DUMMYFUNCTION("""COMPUTED_VALUE"""),45815.9986111111)</f>
        <v>45815.998611111099</v>
      </c>
      <c r="AD2659" s="6">
        <f ca="1">IFERROR(__xludf.DUMMYFUNCTION("""COMPUTED_VALUE"""),1358.18)</f>
        <v>1358.18</v>
      </c>
      <c r="AH2659" s="6" t="str">
        <f t="shared" ca="1" si="750"/>
        <v>20254</v>
      </c>
      <c r="AI2659" s="6">
        <f t="shared" ca="1" si="751"/>
        <v>2025</v>
      </c>
      <c r="AJ2659" s="6">
        <f t="shared" ca="1" si="752"/>
        <v>4</v>
      </c>
      <c r="AK2659" s="68">
        <f ca="1">IFERROR(__xludf.DUMMYFUNCTION("""COMPUTED_VALUE"""),45753.9986111111)</f>
        <v>45753.998611111099</v>
      </c>
      <c r="AL2659" s="6">
        <f ca="1">IFERROR(__xludf.DUMMYFUNCTION("""COMPUTED_VALUE"""),83332.85)</f>
        <v>83332.850000000006</v>
      </c>
      <c r="AP2659" s="6" t="str">
        <f t="shared" si="753"/>
        <v>19001</v>
      </c>
      <c r="AQ2659" s="6">
        <f t="shared" si="754"/>
        <v>1900</v>
      </c>
      <c r="AR2659" s="6">
        <f t="shared" si="755"/>
        <v>1</v>
      </c>
    </row>
    <row r="2660" spans="2:44" x14ac:dyDescent="0.35">
      <c r="B2660" s="6" t="str">
        <f t="shared" si="738"/>
        <v>19001</v>
      </c>
      <c r="C2660" s="6">
        <f t="shared" si="739"/>
        <v>1900</v>
      </c>
      <c r="D2660" s="6">
        <f t="shared" si="740"/>
        <v>1</v>
      </c>
      <c r="J2660" s="6" t="str">
        <f t="shared" si="741"/>
        <v>19001</v>
      </c>
      <c r="K2660" s="6">
        <f t="shared" si="742"/>
        <v>1900</v>
      </c>
      <c r="L2660" s="6">
        <f t="shared" si="743"/>
        <v>1</v>
      </c>
      <c r="R2660" s="6" t="str">
        <f t="shared" si="744"/>
        <v>19001</v>
      </c>
      <c r="S2660" s="6">
        <f t="shared" si="745"/>
        <v>1900</v>
      </c>
      <c r="T2660" s="6">
        <f t="shared" si="746"/>
        <v>1</v>
      </c>
      <c r="Z2660" s="6" t="str">
        <f t="shared" ca="1" si="747"/>
        <v>20256</v>
      </c>
      <c r="AA2660" s="6">
        <f t="shared" ca="1" si="748"/>
        <v>2025</v>
      </c>
      <c r="AB2660" s="6">
        <f t="shared" ca="1" si="749"/>
        <v>6</v>
      </c>
      <c r="AC2660" s="68">
        <f ca="1">IFERROR(__xludf.DUMMYFUNCTION("""COMPUTED_VALUE"""),45816.9986111111)</f>
        <v>45816.998611111099</v>
      </c>
      <c r="AD2660" s="6">
        <f ca="1">IFERROR(__xludf.DUMMYFUNCTION("""COMPUTED_VALUE"""),1359.19)</f>
        <v>1359.19</v>
      </c>
      <c r="AH2660" s="6" t="str">
        <f t="shared" ca="1" si="750"/>
        <v>20254</v>
      </c>
      <c r="AI2660" s="6">
        <f t="shared" ca="1" si="751"/>
        <v>2025</v>
      </c>
      <c r="AJ2660" s="6">
        <f t="shared" ca="1" si="752"/>
        <v>4</v>
      </c>
      <c r="AK2660" s="68">
        <f ca="1">IFERROR(__xludf.DUMMYFUNCTION("""COMPUTED_VALUE"""),45754.9986111111)</f>
        <v>45754.998611111099</v>
      </c>
      <c r="AL2660" s="6">
        <f ca="1">IFERROR(__xludf.DUMMYFUNCTION("""COMPUTED_VALUE"""),77555.34)</f>
        <v>77555.34</v>
      </c>
      <c r="AP2660" s="6" t="str">
        <f t="shared" si="753"/>
        <v>19001</v>
      </c>
      <c r="AQ2660" s="6">
        <f t="shared" si="754"/>
        <v>1900</v>
      </c>
      <c r="AR2660" s="6">
        <f t="shared" si="755"/>
        <v>1</v>
      </c>
    </row>
    <row r="2661" spans="2:44" x14ac:dyDescent="0.35">
      <c r="B2661" s="6" t="str">
        <f t="shared" si="738"/>
        <v>19001</v>
      </c>
      <c r="C2661" s="6">
        <f t="shared" si="739"/>
        <v>1900</v>
      </c>
      <c r="D2661" s="6">
        <f t="shared" si="740"/>
        <v>1</v>
      </c>
      <c r="J2661" s="6" t="str">
        <f t="shared" si="741"/>
        <v>19001</v>
      </c>
      <c r="K2661" s="6">
        <f t="shared" si="742"/>
        <v>1900</v>
      </c>
      <c r="L2661" s="6">
        <f t="shared" si="743"/>
        <v>1</v>
      </c>
      <c r="R2661" s="6" t="str">
        <f t="shared" si="744"/>
        <v>19001</v>
      </c>
      <c r="S2661" s="6">
        <f t="shared" si="745"/>
        <v>1900</v>
      </c>
      <c r="T2661" s="6">
        <f t="shared" si="746"/>
        <v>1</v>
      </c>
      <c r="Z2661" s="6" t="str">
        <f t="shared" ca="1" si="747"/>
        <v>20256</v>
      </c>
      <c r="AA2661" s="6">
        <f t="shared" ca="1" si="748"/>
        <v>2025</v>
      </c>
      <c r="AB2661" s="6">
        <f t="shared" ca="1" si="749"/>
        <v>6</v>
      </c>
      <c r="AC2661" s="68">
        <f ca="1">IFERROR(__xludf.DUMMYFUNCTION("""COMPUTED_VALUE"""),45817.9986111111)</f>
        <v>45817.998611111099</v>
      </c>
      <c r="AD2661" s="6">
        <f ca="1">IFERROR(__xludf.DUMMYFUNCTION("""COMPUTED_VALUE"""),1353.85)</f>
        <v>1353.85</v>
      </c>
      <c r="AH2661" s="6" t="str">
        <f t="shared" ca="1" si="750"/>
        <v>20254</v>
      </c>
      <c r="AI2661" s="6">
        <f t="shared" ca="1" si="751"/>
        <v>2025</v>
      </c>
      <c r="AJ2661" s="6">
        <f t="shared" ca="1" si="752"/>
        <v>4</v>
      </c>
      <c r="AK2661" s="68">
        <f ca="1">IFERROR(__xludf.DUMMYFUNCTION("""COMPUTED_VALUE"""),45756.9986111111)</f>
        <v>45756.998611111099</v>
      </c>
      <c r="AL2661" s="6">
        <f ca="1">IFERROR(__xludf.DUMMYFUNCTION("""COMPUTED_VALUE"""),75004.68)</f>
        <v>75004.679999999993</v>
      </c>
      <c r="AP2661" s="6" t="str">
        <f t="shared" si="753"/>
        <v>19001</v>
      </c>
      <c r="AQ2661" s="6">
        <f t="shared" si="754"/>
        <v>1900</v>
      </c>
      <c r="AR2661" s="6">
        <f t="shared" si="755"/>
        <v>1</v>
      </c>
    </row>
    <row r="2662" spans="2:44" x14ac:dyDescent="0.35">
      <c r="B2662" s="6" t="str">
        <f t="shared" si="738"/>
        <v>19001</v>
      </c>
      <c r="C2662" s="6">
        <f t="shared" si="739"/>
        <v>1900</v>
      </c>
      <c r="D2662" s="6">
        <f t="shared" si="740"/>
        <v>1</v>
      </c>
      <c r="J2662" s="6" t="str">
        <f t="shared" si="741"/>
        <v>19001</v>
      </c>
      <c r="K2662" s="6">
        <f t="shared" si="742"/>
        <v>1900</v>
      </c>
      <c r="L2662" s="6">
        <f t="shared" si="743"/>
        <v>1</v>
      </c>
      <c r="R2662" s="6" t="str">
        <f t="shared" si="744"/>
        <v>19001</v>
      </c>
      <c r="S2662" s="6">
        <f t="shared" si="745"/>
        <v>1900</v>
      </c>
      <c r="T2662" s="6">
        <f t="shared" si="746"/>
        <v>1</v>
      </c>
      <c r="Z2662" s="6" t="str">
        <f t="shared" ca="1" si="747"/>
        <v>20256</v>
      </c>
      <c r="AA2662" s="6">
        <f t="shared" ca="1" si="748"/>
        <v>2025</v>
      </c>
      <c r="AB2662" s="6">
        <f t="shared" ca="1" si="749"/>
        <v>6</v>
      </c>
      <c r="AC2662" s="68">
        <f ca="1">IFERROR(__xludf.DUMMYFUNCTION("""COMPUTED_VALUE"""),45818.9986111111)</f>
        <v>45818.998611111099</v>
      </c>
      <c r="AD2662" s="6">
        <f ca="1">IFERROR(__xludf.DUMMYFUNCTION("""COMPUTED_VALUE"""),1363.88)</f>
        <v>1363.88</v>
      </c>
      <c r="AH2662" s="6" t="str">
        <f t="shared" ca="1" si="750"/>
        <v>20254</v>
      </c>
      <c r="AI2662" s="6">
        <f t="shared" ca="1" si="751"/>
        <v>2025</v>
      </c>
      <c r="AJ2662" s="6">
        <f t="shared" ca="1" si="752"/>
        <v>4</v>
      </c>
      <c r="AK2662" s="68">
        <f ca="1">IFERROR(__xludf.DUMMYFUNCTION("""COMPUTED_VALUE"""),45757.9986111111)</f>
        <v>45757.998611111099</v>
      </c>
      <c r="AL2662" s="6">
        <f ca="1">IFERROR(__xludf.DUMMYFUNCTION("""COMPUTED_VALUE"""),81681)</f>
        <v>81681</v>
      </c>
      <c r="AP2662" s="6" t="str">
        <f t="shared" si="753"/>
        <v>19001</v>
      </c>
      <c r="AQ2662" s="6">
        <f t="shared" si="754"/>
        <v>1900</v>
      </c>
      <c r="AR2662" s="6">
        <f t="shared" si="755"/>
        <v>1</v>
      </c>
    </row>
    <row r="2663" spans="2:44" x14ac:dyDescent="0.35">
      <c r="B2663" s="6" t="str">
        <f t="shared" si="738"/>
        <v>19001</v>
      </c>
      <c r="C2663" s="6">
        <f t="shared" si="739"/>
        <v>1900</v>
      </c>
      <c r="D2663" s="6">
        <f t="shared" si="740"/>
        <v>1</v>
      </c>
      <c r="J2663" s="6" t="str">
        <f t="shared" si="741"/>
        <v>19001</v>
      </c>
      <c r="K2663" s="6">
        <f t="shared" si="742"/>
        <v>1900</v>
      </c>
      <c r="L2663" s="6">
        <f t="shared" si="743"/>
        <v>1</v>
      </c>
      <c r="R2663" s="6" t="str">
        <f t="shared" si="744"/>
        <v>19001</v>
      </c>
      <c r="S2663" s="6">
        <f t="shared" si="745"/>
        <v>1900</v>
      </c>
      <c r="T2663" s="6">
        <f t="shared" si="746"/>
        <v>1</v>
      </c>
      <c r="Z2663" s="6" t="str">
        <f t="shared" ca="1" si="747"/>
        <v>20256</v>
      </c>
      <c r="AA2663" s="6">
        <f t="shared" ca="1" si="748"/>
        <v>2025</v>
      </c>
      <c r="AB2663" s="6">
        <f t="shared" ca="1" si="749"/>
        <v>6</v>
      </c>
      <c r="AC2663" s="68">
        <f ca="1">IFERROR(__xludf.DUMMYFUNCTION("""COMPUTED_VALUE"""),45819.9986111111)</f>
        <v>45819.998611111099</v>
      </c>
      <c r="AD2663" s="6">
        <f ca="1">IFERROR(__xludf.DUMMYFUNCTION("""COMPUTED_VALUE"""),1365.69)</f>
        <v>1365.69</v>
      </c>
      <c r="AH2663" s="6" t="str">
        <f t="shared" ca="1" si="750"/>
        <v>20254</v>
      </c>
      <c r="AI2663" s="6">
        <f t="shared" ca="1" si="751"/>
        <v>2025</v>
      </c>
      <c r="AJ2663" s="6">
        <f t="shared" ca="1" si="752"/>
        <v>4</v>
      </c>
      <c r="AK2663" s="68">
        <f ca="1">IFERROR(__xludf.DUMMYFUNCTION("""COMPUTED_VALUE"""),45758.9986111111)</f>
        <v>45758.998611111099</v>
      </c>
      <c r="AL2663" s="6">
        <f ca="1">IFERROR(__xludf.DUMMYFUNCTION("""COMPUTED_VALUE"""),80721.91)</f>
        <v>80721.91</v>
      </c>
      <c r="AP2663" s="6" t="str">
        <f t="shared" si="753"/>
        <v>19001</v>
      </c>
      <c r="AQ2663" s="6">
        <f t="shared" si="754"/>
        <v>1900</v>
      </c>
      <c r="AR2663" s="6">
        <f t="shared" si="755"/>
        <v>1</v>
      </c>
    </row>
    <row r="2664" spans="2:44" x14ac:dyDescent="0.35">
      <c r="B2664" s="6" t="str">
        <f t="shared" si="738"/>
        <v>19001</v>
      </c>
      <c r="C2664" s="6">
        <f t="shared" si="739"/>
        <v>1900</v>
      </c>
      <c r="D2664" s="6">
        <f t="shared" si="740"/>
        <v>1</v>
      </c>
      <c r="J2664" s="6" t="str">
        <f t="shared" si="741"/>
        <v>19001</v>
      </c>
      <c r="K2664" s="6">
        <f t="shared" si="742"/>
        <v>1900</v>
      </c>
      <c r="L2664" s="6">
        <f t="shared" si="743"/>
        <v>1</v>
      </c>
      <c r="R2664" s="6" t="str">
        <f t="shared" si="744"/>
        <v>19001</v>
      </c>
      <c r="S2664" s="6">
        <f t="shared" si="745"/>
        <v>1900</v>
      </c>
      <c r="T2664" s="6">
        <f t="shared" si="746"/>
        <v>1</v>
      </c>
      <c r="Z2664" s="6" t="str">
        <f t="shared" ca="1" si="747"/>
        <v>20256</v>
      </c>
      <c r="AA2664" s="6">
        <f t="shared" ca="1" si="748"/>
        <v>2025</v>
      </c>
      <c r="AB2664" s="6">
        <f t="shared" ca="1" si="749"/>
        <v>6</v>
      </c>
      <c r="AC2664" s="68">
        <f ca="1">IFERROR(__xludf.DUMMYFUNCTION("""COMPUTED_VALUE"""),45820.9986111111)</f>
        <v>45820.998611111099</v>
      </c>
      <c r="AD2664" s="6">
        <f ca="1">IFERROR(__xludf.DUMMYFUNCTION("""COMPUTED_VALUE"""),1349.79)</f>
        <v>1349.79</v>
      </c>
      <c r="AH2664" s="6" t="str">
        <f t="shared" ca="1" si="750"/>
        <v>20254</v>
      </c>
      <c r="AI2664" s="6">
        <f t="shared" ca="1" si="751"/>
        <v>2025</v>
      </c>
      <c r="AJ2664" s="6">
        <f t="shared" ca="1" si="752"/>
        <v>4</v>
      </c>
      <c r="AK2664" s="68">
        <f ca="1">IFERROR(__xludf.DUMMYFUNCTION("""COMPUTED_VALUE"""),45759.9986111111)</f>
        <v>45759.998611111099</v>
      </c>
      <c r="AL2664" s="6">
        <f ca="1">IFERROR(__xludf.DUMMYFUNCTION("""COMPUTED_VALUE"""),82944.43)</f>
        <v>82944.429999999993</v>
      </c>
      <c r="AP2664" s="6" t="str">
        <f t="shared" si="753"/>
        <v>19001</v>
      </c>
      <c r="AQ2664" s="6">
        <f t="shared" si="754"/>
        <v>1900</v>
      </c>
      <c r="AR2664" s="6">
        <f t="shared" si="755"/>
        <v>1</v>
      </c>
    </row>
    <row r="2665" spans="2:44" x14ac:dyDescent="0.35">
      <c r="B2665" s="6" t="str">
        <f t="shared" si="738"/>
        <v>19001</v>
      </c>
      <c r="C2665" s="6">
        <f t="shared" si="739"/>
        <v>1900</v>
      </c>
      <c r="D2665" s="6">
        <f t="shared" si="740"/>
        <v>1</v>
      </c>
      <c r="J2665" s="6" t="str">
        <f t="shared" si="741"/>
        <v>19001</v>
      </c>
      <c r="K2665" s="6">
        <f t="shared" si="742"/>
        <v>1900</v>
      </c>
      <c r="L2665" s="6">
        <f t="shared" si="743"/>
        <v>1</v>
      </c>
      <c r="R2665" s="6" t="str">
        <f t="shared" si="744"/>
        <v>19001</v>
      </c>
      <c r="S2665" s="6">
        <f t="shared" si="745"/>
        <v>1900</v>
      </c>
      <c r="T2665" s="6">
        <f t="shared" si="746"/>
        <v>1</v>
      </c>
      <c r="Z2665" s="6" t="str">
        <f t="shared" ca="1" si="747"/>
        <v>20256</v>
      </c>
      <c r="AA2665" s="6">
        <f t="shared" ca="1" si="748"/>
        <v>2025</v>
      </c>
      <c r="AB2665" s="6">
        <f t="shared" ca="1" si="749"/>
        <v>6</v>
      </c>
      <c r="AC2665" s="68">
        <f ca="1">IFERROR(__xludf.DUMMYFUNCTION("""COMPUTED_VALUE"""),45821.9986111111)</f>
        <v>45821.998611111099</v>
      </c>
      <c r="AD2665" s="6">
        <f ca="1">IFERROR(__xludf.DUMMYFUNCTION("""COMPUTED_VALUE"""),1365.14)</f>
        <v>1365.14</v>
      </c>
      <c r="AH2665" s="6" t="str">
        <f t="shared" ca="1" si="750"/>
        <v>20254</v>
      </c>
      <c r="AI2665" s="6">
        <f t="shared" ca="1" si="751"/>
        <v>2025</v>
      </c>
      <c r="AJ2665" s="6">
        <f t="shared" ca="1" si="752"/>
        <v>4</v>
      </c>
      <c r="AK2665" s="68">
        <f ca="1">IFERROR(__xludf.DUMMYFUNCTION("""COMPUTED_VALUE"""),45760.9986111111)</f>
        <v>45760.998611111099</v>
      </c>
      <c r="AL2665" s="6">
        <f ca="1">IFERROR(__xludf.DUMMYFUNCTION("""COMPUTED_VALUE"""),85434.14)</f>
        <v>85434.14</v>
      </c>
      <c r="AP2665" s="6" t="str">
        <f t="shared" si="753"/>
        <v>19001</v>
      </c>
      <c r="AQ2665" s="6">
        <f t="shared" si="754"/>
        <v>1900</v>
      </c>
      <c r="AR2665" s="6">
        <f t="shared" si="755"/>
        <v>1</v>
      </c>
    </row>
    <row r="2666" spans="2:44" x14ac:dyDescent="0.35">
      <c r="B2666" s="6" t="str">
        <f t="shared" si="738"/>
        <v>19001</v>
      </c>
      <c r="C2666" s="6">
        <f t="shared" si="739"/>
        <v>1900</v>
      </c>
      <c r="D2666" s="6">
        <f t="shared" si="740"/>
        <v>1</v>
      </c>
      <c r="J2666" s="6" t="str">
        <f t="shared" si="741"/>
        <v>19001</v>
      </c>
      <c r="K2666" s="6">
        <f t="shared" si="742"/>
        <v>1900</v>
      </c>
      <c r="L2666" s="6">
        <f t="shared" si="743"/>
        <v>1</v>
      </c>
      <c r="R2666" s="6" t="str">
        <f t="shared" si="744"/>
        <v>19001</v>
      </c>
      <c r="S2666" s="6">
        <f t="shared" si="745"/>
        <v>1900</v>
      </c>
      <c r="T2666" s="6">
        <f t="shared" si="746"/>
        <v>1</v>
      </c>
      <c r="Z2666" s="6" t="str">
        <f t="shared" ca="1" si="747"/>
        <v>20256</v>
      </c>
      <c r="AA2666" s="6">
        <f t="shared" ca="1" si="748"/>
        <v>2025</v>
      </c>
      <c r="AB2666" s="6">
        <f t="shared" ca="1" si="749"/>
        <v>6</v>
      </c>
      <c r="AC2666" s="68">
        <f ca="1">IFERROR(__xludf.DUMMYFUNCTION("""COMPUTED_VALUE"""),45822.9986111111)</f>
        <v>45822.998611111099</v>
      </c>
      <c r="AD2666" s="6">
        <f ca="1">IFERROR(__xludf.DUMMYFUNCTION("""COMPUTED_VALUE"""),1365.14)</f>
        <v>1365.14</v>
      </c>
      <c r="AH2666" s="6" t="str">
        <f t="shared" ca="1" si="750"/>
        <v>20254</v>
      </c>
      <c r="AI2666" s="6">
        <f t="shared" ca="1" si="751"/>
        <v>2025</v>
      </c>
      <c r="AJ2666" s="6">
        <f t="shared" ca="1" si="752"/>
        <v>4</v>
      </c>
      <c r="AK2666" s="68">
        <f ca="1">IFERROR(__xludf.DUMMYFUNCTION("""COMPUTED_VALUE"""),45761.9986111111)</f>
        <v>45761.998611111099</v>
      </c>
      <c r="AL2666" s="6">
        <f ca="1">IFERROR(__xludf.DUMMYFUNCTION("""COMPUTED_VALUE"""),84549.55)</f>
        <v>84549.55</v>
      </c>
      <c r="AP2666" s="6" t="str">
        <f t="shared" si="753"/>
        <v>19001</v>
      </c>
      <c r="AQ2666" s="6">
        <f t="shared" si="754"/>
        <v>1900</v>
      </c>
      <c r="AR2666" s="6">
        <f t="shared" si="755"/>
        <v>1</v>
      </c>
    </row>
    <row r="2667" spans="2:44" x14ac:dyDescent="0.35">
      <c r="B2667" s="6" t="str">
        <f t="shared" si="738"/>
        <v>19001</v>
      </c>
      <c r="C2667" s="6">
        <f t="shared" si="739"/>
        <v>1900</v>
      </c>
      <c r="D2667" s="6">
        <f t="shared" si="740"/>
        <v>1</v>
      </c>
      <c r="J2667" s="6" t="str">
        <f t="shared" si="741"/>
        <v>19001</v>
      </c>
      <c r="K2667" s="6">
        <f t="shared" si="742"/>
        <v>1900</v>
      </c>
      <c r="L2667" s="6">
        <f t="shared" si="743"/>
        <v>1</v>
      </c>
      <c r="R2667" s="6" t="str">
        <f t="shared" si="744"/>
        <v>19001</v>
      </c>
      <c r="S2667" s="6">
        <f t="shared" si="745"/>
        <v>1900</v>
      </c>
      <c r="T2667" s="6">
        <f t="shared" si="746"/>
        <v>1</v>
      </c>
      <c r="Z2667" s="6" t="str">
        <f t="shared" ca="1" si="747"/>
        <v>20256</v>
      </c>
      <c r="AA2667" s="6">
        <f t="shared" ca="1" si="748"/>
        <v>2025</v>
      </c>
      <c r="AB2667" s="6">
        <f t="shared" ca="1" si="749"/>
        <v>6</v>
      </c>
      <c r="AC2667" s="68">
        <f ca="1">IFERROR(__xludf.DUMMYFUNCTION("""COMPUTED_VALUE"""),45824.9986111111)</f>
        <v>45824.998611111099</v>
      </c>
      <c r="AD2667" s="6">
        <f ca="1">IFERROR(__xludf.DUMMYFUNCTION("""COMPUTED_VALUE"""),1357.78)</f>
        <v>1357.78</v>
      </c>
      <c r="AH2667" s="6" t="str">
        <f t="shared" ca="1" si="750"/>
        <v>20254</v>
      </c>
      <c r="AI2667" s="6">
        <f t="shared" ca="1" si="751"/>
        <v>2025</v>
      </c>
      <c r="AJ2667" s="6">
        <f t="shared" ca="1" si="752"/>
        <v>4</v>
      </c>
      <c r="AK2667" s="68">
        <f ca="1">IFERROR(__xludf.DUMMYFUNCTION("""COMPUTED_VALUE"""),45762.9986111111)</f>
        <v>45762.998611111099</v>
      </c>
      <c r="AL2667" s="6">
        <f ca="1">IFERROR(__xludf.DUMMYFUNCTION("""COMPUTED_VALUE"""),85358.06)</f>
        <v>85358.06</v>
      </c>
      <c r="AP2667" s="6" t="str">
        <f t="shared" si="753"/>
        <v>19001</v>
      </c>
      <c r="AQ2667" s="6">
        <f t="shared" si="754"/>
        <v>1900</v>
      </c>
      <c r="AR2667" s="6">
        <f t="shared" si="755"/>
        <v>1</v>
      </c>
    </row>
    <row r="2668" spans="2:44" x14ac:dyDescent="0.35">
      <c r="B2668" s="6" t="str">
        <f t="shared" si="738"/>
        <v>19001</v>
      </c>
      <c r="C2668" s="6">
        <f t="shared" si="739"/>
        <v>1900</v>
      </c>
      <c r="D2668" s="6">
        <f t="shared" si="740"/>
        <v>1</v>
      </c>
      <c r="J2668" s="6" t="str">
        <f t="shared" si="741"/>
        <v>19001</v>
      </c>
      <c r="K2668" s="6">
        <f t="shared" si="742"/>
        <v>1900</v>
      </c>
      <c r="L2668" s="6">
        <f t="shared" si="743"/>
        <v>1</v>
      </c>
      <c r="R2668" s="6" t="str">
        <f t="shared" si="744"/>
        <v>19001</v>
      </c>
      <c r="S2668" s="6">
        <f t="shared" si="745"/>
        <v>1900</v>
      </c>
      <c r="T2668" s="6">
        <f t="shared" si="746"/>
        <v>1</v>
      </c>
      <c r="Z2668" s="6" t="str">
        <f t="shared" ca="1" si="747"/>
        <v>20256</v>
      </c>
      <c r="AA2668" s="6">
        <f t="shared" ca="1" si="748"/>
        <v>2025</v>
      </c>
      <c r="AB2668" s="6">
        <f t="shared" ca="1" si="749"/>
        <v>6</v>
      </c>
      <c r="AC2668" s="68">
        <f ca="1">IFERROR(__xludf.DUMMYFUNCTION("""COMPUTED_VALUE"""),45825.9986111111)</f>
        <v>45825.998611111099</v>
      </c>
      <c r="AD2668" s="6">
        <f ca="1">IFERROR(__xludf.DUMMYFUNCTION("""COMPUTED_VALUE"""),1380.5)</f>
        <v>1380.5</v>
      </c>
      <c r="AH2668" s="6" t="str">
        <f t="shared" ca="1" si="750"/>
        <v>20254</v>
      </c>
      <c r="AI2668" s="6">
        <f t="shared" ca="1" si="751"/>
        <v>2025</v>
      </c>
      <c r="AJ2668" s="6">
        <f t="shared" ca="1" si="752"/>
        <v>4</v>
      </c>
      <c r="AK2668" s="68">
        <f ca="1">IFERROR(__xludf.DUMMYFUNCTION("""COMPUTED_VALUE"""),45763.9986111111)</f>
        <v>45763.998611111099</v>
      </c>
      <c r="AL2668" s="6">
        <f ca="1">IFERROR(__xludf.DUMMYFUNCTION("""COMPUTED_VALUE"""),83726.81)</f>
        <v>83726.81</v>
      </c>
      <c r="AP2668" s="6" t="str">
        <f t="shared" si="753"/>
        <v>19001</v>
      </c>
      <c r="AQ2668" s="6">
        <f t="shared" si="754"/>
        <v>1900</v>
      </c>
      <c r="AR2668" s="6">
        <f t="shared" si="755"/>
        <v>1</v>
      </c>
    </row>
    <row r="2669" spans="2:44" x14ac:dyDescent="0.35">
      <c r="B2669" s="6" t="str">
        <f t="shared" si="738"/>
        <v>19001</v>
      </c>
      <c r="C2669" s="6">
        <f t="shared" si="739"/>
        <v>1900</v>
      </c>
      <c r="D2669" s="6">
        <f t="shared" si="740"/>
        <v>1</v>
      </c>
      <c r="J2669" s="6" t="str">
        <f t="shared" si="741"/>
        <v>19001</v>
      </c>
      <c r="K2669" s="6">
        <f t="shared" si="742"/>
        <v>1900</v>
      </c>
      <c r="L2669" s="6">
        <f t="shared" si="743"/>
        <v>1</v>
      </c>
      <c r="R2669" s="6" t="str">
        <f t="shared" si="744"/>
        <v>19001</v>
      </c>
      <c r="S2669" s="6">
        <f t="shared" si="745"/>
        <v>1900</v>
      </c>
      <c r="T2669" s="6">
        <f t="shared" si="746"/>
        <v>1</v>
      </c>
      <c r="Z2669" s="6" t="str">
        <f t="shared" ca="1" si="747"/>
        <v>20256</v>
      </c>
      <c r="AA2669" s="6">
        <f t="shared" ca="1" si="748"/>
        <v>2025</v>
      </c>
      <c r="AB2669" s="6">
        <f t="shared" ca="1" si="749"/>
        <v>6</v>
      </c>
      <c r="AC2669" s="68">
        <f ca="1">IFERROR(__xludf.DUMMYFUNCTION("""COMPUTED_VALUE"""),45826.9986111111)</f>
        <v>45826.998611111099</v>
      </c>
      <c r="AD2669" s="6">
        <f ca="1">IFERROR(__xludf.DUMMYFUNCTION("""COMPUTED_VALUE"""),1370.75)</f>
        <v>1370.75</v>
      </c>
      <c r="AH2669" s="6" t="str">
        <f t="shared" ca="1" si="750"/>
        <v>20254</v>
      </c>
      <c r="AI2669" s="6">
        <f t="shared" ca="1" si="751"/>
        <v>2025</v>
      </c>
      <c r="AJ2669" s="6">
        <f t="shared" ca="1" si="752"/>
        <v>4</v>
      </c>
      <c r="AK2669" s="68">
        <f ca="1">IFERROR(__xludf.DUMMYFUNCTION("""COMPUTED_VALUE"""),45764.9986111111)</f>
        <v>45764.998611111099</v>
      </c>
      <c r="AL2669" s="6">
        <f ca="1">IFERROR(__xludf.DUMMYFUNCTION("""COMPUTED_VALUE"""),84030.1)</f>
        <v>84030.1</v>
      </c>
      <c r="AP2669" s="6" t="str">
        <f t="shared" si="753"/>
        <v>19001</v>
      </c>
      <c r="AQ2669" s="6">
        <f t="shared" si="754"/>
        <v>1900</v>
      </c>
      <c r="AR2669" s="6">
        <f t="shared" si="755"/>
        <v>1</v>
      </c>
    </row>
    <row r="2670" spans="2:44" x14ac:dyDescent="0.35">
      <c r="B2670" s="6" t="str">
        <f t="shared" si="738"/>
        <v>19001</v>
      </c>
      <c r="C2670" s="6">
        <f t="shared" si="739"/>
        <v>1900</v>
      </c>
      <c r="D2670" s="6">
        <f t="shared" si="740"/>
        <v>1</v>
      </c>
      <c r="J2670" s="6" t="str">
        <f t="shared" si="741"/>
        <v>19001</v>
      </c>
      <c r="K2670" s="6">
        <f t="shared" si="742"/>
        <v>1900</v>
      </c>
      <c r="L2670" s="6">
        <f t="shared" si="743"/>
        <v>1</v>
      </c>
      <c r="R2670" s="6" t="str">
        <f t="shared" si="744"/>
        <v>19001</v>
      </c>
      <c r="S2670" s="6">
        <f t="shared" si="745"/>
        <v>1900</v>
      </c>
      <c r="T2670" s="6">
        <f t="shared" si="746"/>
        <v>1</v>
      </c>
      <c r="Z2670" s="6" t="str">
        <f t="shared" ca="1" si="747"/>
        <v>20256</v>
      </c>
      <c r="AA2670" s="6">
        <f t="shared" ca="1" si="748"/>
        <v>2025</v>
      </c>
      <c r="AB2670" s="6">
        <f t="shared" ca="1" si="749"/>
        <v>6</v>
      </c>
      <c r="AC2670" s="68">
        <f ca="1">IFERROR(__xludf.DUMMYFUNCTION("""COMPUTED_VALUE"""),45827.9986111111)</f>
        <v>45827.998611111099</v>
      </c>
      <c r="AD2670" s="6">
        <f ca="1">IFERROR(__xludf.DUMMYFUNCTION("""COMPUTED_VALUE"""),1374.89)</f>
        <v>1374.89</v>
      </c>
      <c r="AH2670" s="6" t="str">
        <f t="shared" ca="1" si="750"/>
        <v>20254</v>
      </c>
      <c r="AI2670" s="6">
        <f t="shared" ca="1" si="751"/>
        <v>2025</v>
      </c>
      <c r="AJ2670" s="6">
        <f t="shared" ca="1" si="752"/>
        <v>4</v>
      </c>
      <c r="AK2670" s="68">
        <f ca="1">IFERROR(__xludf.DUMMYFUNCTION("""COMPUTED_VALUE"""),45765.9986111111)</f>
        <v>45765.998611111099</v>
      </c>
      <c r="AL2670" s="6">
        <f ca="1">IFERROR(__xludf.DUMMYFUNCTION("""COMPUTED_VALUE"""),84815.62)</f>
        <v>84815.62</v>
      </c>
      <c r="AP2670" s="6" t="str">
        <f t="shared" si="753"/>
        <v>19001</v>
      </c>
      <c r="AQ2670" s="6">
        <f t="shared" si="754"/>
        <v>1900</v>
      </c>
      <c r="AR2670" s="6">
        <f t="shared" si="755"/>
        <v>1</v>
      </c>
    </row>
    <row r="2671" spans="2:44" x14ac:dyDescent="0.35">
      <c r="B2671" s="6" t="str">
        <f t="shared" si="738"/>
        <v>19001</v>
      </c>
      <c r="C2671" s="6">
        <f t="shared" si="739"/>
        <v>1900</v>
      </c>
      <c r="D2671" s="6">
        <f t="shared" si="740"/>
        <v>1</v>
      </c>
      <c r="J2671" s="6" t="str">
        <f t="shared" si="741"/>
        <v>19001</v>
      </c>
      <c r="K2671" s="6">
        <f t="shared" si="742"/>
        <v>1900</v>
      </c>
      <c r="L2671" s="6">
        <f t="shared" si="743"/>
        <v>1</v>
      </c>
      <c r="R2671" s="6" t="str">
        <f t="shared" si="744"/>
        <v>19001</v>
      </c>
      <c r="S2671" s="6">
        <f t="shared" si="745"/>
        <v>1900</v>
      </c>
      <c r="T2671" s="6">
        <f t="shared" si="746"/>
        <v>1</v>
      </c>
      <c r="Z2671" s="6" t="str">
        <f t="shared" ca="1" si="747"/>
        <v>20256</v>
      </c>
      <c r="AA2671" s="6">
        <f t="shared" ca="1" si="748"/>
        <v>2025</v>
      </c>
      <c r="AB2671" s="6">
        <f t="shared" ca="1" si="749"/>
        <v>6</v>
      </c>
      <c r="AC2671" s="68">
        <f ca="1">IFERROR(__xludf.DUMMYFUNCTION("""COMPUTED_VALUE"""),45828.9986111111)</f>
        <v>45828.998611111099</v>
      </c>
      <c r="AD2671" s="6">
        <f ca="1">IFERROR(__xludf.DUMMYFUNCTION("""COMPUTED_VALUE"""),1370.27)</f>
        <v>1370.27</v>
      </c>
      <c r="AH2671" s="6" t="str">
        <f t="shared" ca="1" si="750"/>
        <v>20254</v>
      </c>
      <c r="AI2671" s="6">
        <f t="shared" ca="1" si="751"/>
        <v>2025</v>
      </c>
      <c r="AJ2671" s="6">
        <f t="shared" ca="1" si="752"/>
        <v>4</v>
      </c>
      <c r="AK2671" s="68">
        <f ca="1">IFERROR(__xludf.DUMMYFUNCTION("""COMPUTED_VALUE"""),45766.9986111111)</f>
        <v>45766.998611111099</v>
      </c>
      <c r="AL2671" s="6">
        <f ca="1">IFERROR(__xludf.DUMMYFUNCTION("""COMPUTED_VALUE"""),84841.2)</f>
        <v>84841.2</v>
      </c>
      <c r="AP2671" s="6" t="str">
        <f t="shared" si="753"/>
        <v>19001</v>
      </c>
      <c r="AQ2671" s="6">
        <f t="shared" si="754"/>
        <v>1900</v>
      </c>
      <c r="AR2671" s="6">
        <f t="shared" si="755"/>
        <v>1</v>
      </c>
    </row>
    <row r="2672" spans="2:44" x14ac:dyDescent="0.35">
      <c r="B2672" s="6" t="str">
        <f t="shared" si="738"/>
        <v>19001</v>
      </c>
      <c r="C2672" s="6">
        <f t="shared" si="739"/>
        <v>1900</v>
      </c>
      <c r="D2672" s="6">
        <f t="shared" si="740"/>
        <v>1</v>
      </c>
      <c r="J2672" s="6" t="str">
        <f t="shared" si="741"/>
        <v>19001</v>
      </c>
      <c r="K2672" s="6">
        <f t="shared" si="742"/>
        <v>1900</v>
      </c>
      <c r="L2672" s="6">
        <f t="shared" si="743"/>
        <v>1</v>
      </c>
      <c r="R2672" s="6" t="str">
        <f t="shared" si="744"/>
        <v>19001</v>
      </c>
      <c r="S2672" s="6">
        <f t="shared" si="745"/>
        <v>1900</v>
      </c>
      <c r="T2672" s="6">
        <f t="shared" si="746"/>
        <v>1</v>
      </c>
      <c r="Z2672" s="6" t="str">
        <f t="shared" ca="1" si="747"/>
        <v>20256</v>
      </c>
      <c r="AA2672" s="6">
        <f t="shared" ca="1" si="748"/>
        <v>2025</v>
      </c>
      <c r="AB2672" s="6">
        <f t="shared" ca="1" si="749"/>
        <v>6</v>
      </c>
      <c r="AC2672" s="68">
        <f ca="1">IFERROR(__xludf.DUMMYFUNCTION("""COMPUTED_VALUE"""),45829.9986111111)</f>
        <v>45829.998611111099</v>
      </c>
      <c r="AD2672" s="6">
        <f ca="1">IFERROR(__xludf.DUMMYFUNCTION("""COMPUTED_VALUE"""),1370.87)</f>
        <v>1370.87</v>
      </c>
      <c r="AH2672" s="6" t="str">
        <f t="shared" ca="1" si="750"/>
        <v>20254</v>
      </c>
      <c r="AI2672" s="6">
        <f t="shared" ca="1" si="751"/>
        <v>2025</v>
      </c>
      <c r="AJ2672" s="6">
        <f t="shared" ca="1" si="752"/>
        <v>4</v>
      </c>
      <c r="AK2672" s="68">
        <f ca="1">IFERROR(__xludf.DUMMYFUNCTION("""COMPUTED_VALUE"""),45767.9986111111)</f>
        <v>45767.998611111099</v>
      </c>
      <c r="AL2672" s="6">
        <f ca="1">IFERROR(__xludf.DUMMYFUNCTION("""COMPUTED_VALUE"""),85115.07)</f>
        <v>85115.07</v>
      </c>
      <c r="AP2672" s="6" t="str">
        <f t="shared" si="753"/>
        <v>19001</v>
      </c>
      <c r="AQ2672" s="6">
        <f t="shared" si="754"/>
        <v>1900</v>
      </c>
      <c r="AR2672" s="6">
        <f t="shared" si="755"/>
        <v>1</v>
      </c>
    </row>
    <row r="2673" spans="2:44" x14ac:dyDescent="0.35">
      <c r="B2673" s="6" t="str">
        <f t="shared" si="738"/>
        <v>19001</v>
      </c>
      <c r="C2673" s="6">
        <f t="shared" si="739"/>
        <v>1900</v>
      </c>
      <c r="D2673" s="6">
        <f t="shared" si="740"/>
        <v>1</v>
      </c>
      <c r="J2673" s="6" t="str">
        <f t="shared" si="741"/>
        <v>19001</v>
      </c>
      <c r="K2673" s="6">
        <f t="shared" si="742"/>
        <v>1900</v>
      </c>
      <c r="L2673" s="6">
        <f t="shared" si="743"/>
        <v>1</v>
      </c>
      <c r="R2673" s="6" t="str">
        <f t="shared" si="744"/>
        <v>19001</v>
      </c>
      <c r="S2673" s="6">
        <f t="shared" si="745"/>
        <v>1900</v>
      </c>
      <c r="T2673" s="6">
        <f t="shared" si="746"/>
        <v>1</v>
      </c>
      <c r="Z2673" s="6" t="str">
        <f t="shared" ca="1" si="747"/>
        <v>20256</v>
      </c>
      <c r="AA2673" s="6">
        <f t="shared" ca="1" si="748"/>
        <v>2025</v>
      </c>
      <c r="AB2673" s="6">
        <f t="shared" ca="1" si="749"/>
        <v>6</v>
      </c>
      <c r="AC2673" s="68">
        <f ca="1">IFERROR(__xludf.DUMMYFUNCTION("""COMPUTED_VALUE"""),45830.9986111111)</f>
        <v>45830.998611111099</v>
      </c>
      <c r="AD2673" s="6">
        <f ca="1">IFERROR(__xludf.DUMMYFUNCTION("""COMPUTED_VALUE"""),1369.47)</f>
        <v>1369.47</v>
      </c>
      <c r="AH2673" s="6" t="str">
        <f t="shared" ca="1" si="750"/>
        <v>20254</v>
      </c>
      <c r="AI2673" s="6">
        <f t="shared" ca="1" si="751"/>
        <v>2025</v>
      </c>
      <c r="AJ2673" s="6">
        <f t="shared" ca="1" si="752"/>
        <v>4</v>
      </c>
      <c r="AK2673" s="68">
        <f ca="1">IFERROR(__xludf.DUMMYFUNCTION("""COMPUTED_VALUE"""),45768.9986111111)</f>
        <v>45768.998611111099</v>
      </c>
      <c r="AL2673" s="6">
        <f ca="1">IFERROR(__xludf.DUMMYFUNCTION("""COMPUTED_VALUE"""),87152.38)</f>
        <v>87152.38</v>
      </c>
      <c r="AP2673" s="6" t="str">
        <f t="shared" si="753"/>
        <v>19001</v>
      </c>
      <c r="AQ2673" s="6">
        <f t="shared" si="754"/>
        <v>1900</v>
      </c>
      <c r="AR2673" s="6">
        <f t="shared" si="755"/>
        <v>1</v>
      </c>
    </row>
    <row r="2674" spans="2:44" x14ac:dyDescent="0.35">
      <c r="B2674" s="6" t="str">
        <f t="shared" si="738"/>
        <v>19001</v>
      </c>
      <c r="C2674" s="6">
        <f t="shared" si="739"/>
        <v>1900</v>
      </c>
      <c r="D2674" s="6">
        <f t="shared" si="740"/>
        <v>1</v>
      </c>
      <c r="J2674" s="6" t="str">
        <f t="shared" si="741"/>
        <v>19001</v>
      </c>
      <c r="K2674" s="6">
        <f t="shared" si="742"/>
        <v>1900</v>
      </c>
      <c r="L2674" s="6">
        <f t="shared" si="743"/>
        <v>1</v>
      </c>
      <c r="R2674" s="6" t="str">
        <f t="shared" si="744"/>
        <v>19001</v>
      </c>
      <c r="S2674" s="6">
        <f t="shared" si="745"/>
        <v>1900</v>
      </c>
      <c r="T2674" s="6">
        <f t="shared" si="746"/>
        <v>1</v>
      </c>
      <c r="Z2674" s="6" t="str">
        <f t="shared" ca="1" si="747"/>
        <v>20256</v>
      </c>
      <c r="AA2674" s="6">
        <f t="shared" ca="1" si="748"/>
        <v>2025</v>
      </c>
      <c r="AB2674" s="6">
        <f t="shared" ca="1" si="749"/>
        <v>6</v>
      </c>
      <c r="AC2674" s="68">
        <f ca="1">IFERROR(__xludf.DUMMYFUNCTION("""COMPUTED_VALUE"""),45831.9986111111)</f>
        <v>45831.998611111099</v>
      </c>
      <c r="AD2674" s="6">
        <f ca="1">IFERROR(__xludf.DUMMYFUNCTION("""COMPUTED_VALUE"""),1361.94)</f>
        <v>1361.94</v>
      </c>
      <c r="AH2674" s="6" t="str">
        <f t="shared" ca="1" si="750"/>
        <v>20254</v>
      </c>
      <c r="AI2674" s="6">
        <f t="shared" ca="1" si="751"/>
        <v>2025</v>
      </c>
      <c r="AJ2674" s="6">
        <f t="shared" ca="1" si="752"/>
        <v>4</v>
      </c>
      <c r="AK2674" s="68">
        <f ca="1">IFERROR(__xludf.DUMMYFUNCTION("""COMPUTED_VALUE"""),45769.9986111111)</f>
        <v>45769.998611111099</v>
      </c>
      <c r="AL2674" s="6">
        <f ca="1">IFERROR(__xludf.DUMMYFUNCTION("""COMPUTED_VALUE"""),88107.6)</f>
        <v>88107.6</v>
      </c>
      <c r="AP2674" s="6" t="str">
        <f t="shared" si="753"/>
        <v>19001</v>
      </c>
      <c r="AQ2674" s="6">
        <f t="shared" si="754"/>
        <v>1900</v>
      </c>
      <c r="AR2674" s="6">
        <f t="shared" si="755"/>
        <v>1</v>
      </c>
    </row>
    <row r="2675" spans="2:44" x14ac:dyDescent="0.35">
      <c r="B2675" s="6" t="str">
        <f t="shared" si="738"/>
        <v>19001</v>
      </c>
      <c r="C2675" s="6">
        <f t="shared" si="739"/>
        <v>1900</v>
      </c>
      <c r="D2675" s="6">
        <f t="shared" si="740"/>
        <v>1</v>
      </c>
      <c r="J2675" s="6" t="str">
        <f t="shared" si="741"/>
        <v>19001</v>
      </c>
      <c r="K2675" s="6">
        <f t="shared" si="742"/>
        <v>1900</v>
      </c>
      <c r="L2675" s="6">
        <f t="shared" si="743"/>
        <v>1</v>
      </c>
      <c r="R2675" s="6" t="str">
        <f t="shared" si="744"/>
        <v>19001</v>
      </c>
      <c r="S2675" s="6">
        <f t="shared" si="745"/>
        <v>1900</v>
      </c>
      <c r="T2675" s="6">
        <f t="shared" si="746"/>
        <v>1</v>
      </c>
      <c r="Z2675" s="6" t="str">
        <f t="shared" ca="1" si="747"/>
        <v>20256</v>
      </c>
      <c r="AA2675" s="6">
        <f t="shared" ca="1" si="748"/>
        <v>2025</v>
      </c>
      <c r="AB2675" s="6">
        <f t="shared" ca="1" si="749"/>
        <v>6</v>
      </c>
      <c r="AC2675" s="68">
        <f ca="1">IFERROR(__xludf.DUMMYFUNCTION("""COMPUTED_VALUE"""),45832.9986111111)</f>
        <v>45832.998611111099</v>
      </c>
      <c r="AD2675" s="6">
        <f ca="1">IFERROR(__xludf.DUMMYFUNCTION("""COMPUTED_VALUE"""),1353.78)</f>
        <v>1353.78</v>
      </c>
      <c r="AH2675" s="6" t="str">
        <f t="shared" ca="1" si="750"/>
        <v>20254</v>
      </c>
      <c r="AI2675" s="6">
        <f t="shared" ca="1" si="751"/>
        <v>2025</v>
      </c>
      <c r="AJ2675" s="6">
        <f t="shared" ca="1" si="752"/>
        <v>4</v>
      </c>
      <c r="AK2675" s="68">
        <f ca="1">IFERROR(__xludf.DUMMYFUNCTION("""COMPUTED_VALUE"""),45770.9986111111)</f>
        <v>45770.998611111099</v>
      </c>
      <c r="AL2675" s="6">
        <f ca="1">IFERROR(__xludf.DUMMYFUNCTION("""COMPUTED_VALUE"""),93210.55)</f>
        <v>93210.55</v>
      </c>
      <c r="AP2675" s="6" t="str">
        <f t="shared" si="753"/>
        <v>19001</v>
      </c>
      <c r="AQ2675" s="6">
        <f t="shared" si="754"/>
        <v>1900</v>
      </c>
      <c r="AR2675" s="6">
        <f t="shared" si="755"/>
        <v>1</v>
      </c>
    </row>
    <row r="2676" spans="2:44" x14ac:dyDescent="0.35">
      <c r="B2676" s="6" t="str">
        <f t="shared" si="738"/>
        <v>19001</v>
      </c>
      <c r="C2676" s="6">
        <f t="shared" si="739"/>
        <v>1900</v>
      </c>
      <c r="D2676" s="6">
        <f t="shared" si="740"/>
        <v>1</v>
      </c>
      <c r="J2676" s="6" t="str">
        <f t="shared" si="741"/>
        <v>19001</v>
      </c>
      <c r="K2676" s="6">
        <f t="shared" si="742"/>
        <v>1900</v>
      </c>
      <c r="L2676" s="6">
        <f t="shared" si="743"/>
        <v>1</v>
      </c>
      <c r="R2676" s="6" t="str">
        <f t="shared" si="744"/>
        <v>19001</v>
      </c>
      <c r="S2676" s="6">
        <f t="shared" si="745"/>
        <v>1900</v>
      </c>
      <c r="T2676" s="6">
        <f t="shared" si="746"/>
        <v>1</v>
      </c>
      <c r="Z2676" s="6" t="str">
        <f t="shared" ca="1" si="747"/>
        <v>20256</v>
      </c>
      <c r="AA2676" s="6">
        <f t="shared" ca="1" si="748"/>
        <v>2025</v>
      </c>
      <c r="AB2676" s="6">
        <f t="shared" ca="1" si="749"/>
        <v>6</v>
      </c>
      <c r="AC2676" s="68">
        <f ca="1">IFERROR(__xludf.DUMMYFUNCTION("""COMPUTED_VALUE"""),45833.9986111111)</f>
        <v>45833.998611111099</v>
      </c>
      <c r="AD2676" s="6">
        <f ca="1">IFERROR(__xludf.DUMMYFUNCTION("""COMPUTED_VALUE"""),1357.03)</f>
        <v>1357.03</v>
      </c>
      <c r="AH2676" s="6" t="str">
        <f t="shared" ca="1" si="750"/>
        <v>20254</v>
      </c>
      <c r="AI2676" s="6">
        <f t="shared" ca="1" si="751"/>
        <v>2025</v>
      </c>
      <c r="AJ2676" s="6">
        <f t="shared" ca="1" si="752"/>
        <v>4</v>
      </c>
      <c r="AK2676" s="68">
        <f ca="1">IFERROR(__xludf.DUMMYFUNCTION("""COMPUTED_VALUE"""),45771.9986111111)</f>
        <v>45771.998611111099</v>
      </c>
      <c r="AL2676" s="6">
        <f ca="1">IFERROR(__xludf.DUMMYFUNCTION("""COMPUTED_VALUE"""),92733.36)</f>
        <v>92733.36</v>
      </c>
      <c r="AP2676" s="6" t="str">
        <f t="shared" si="753"/>
        <v>19001</v>
      </c>
      <c r="AQ2676" s="6">
        <f t="shared" si="754"/>
        <v>1900</v>
      </c>
      <c r="AR2676" s="6">
        <f t="shared" si="755"/>
        <v>1</v>
      </c>
    </row>
    <row r="2677" spans="2:44" x14ac:dyDescent="0.35">
      <c r="B2677" s="6" t="str">
        <f t="shared" si="738"/>
        <v>19001</v>
      </c>
      <c r="C2677" s="6">
        <f t="shared" si="739"/>
        <v>1900</v>
      </c>
      <c r="D2677" s="6">
        <f t="shared" si="740"/>
        <v>1</v>
      </c>
      <c r="J2677" s="6" t="str">
        <f t="shared" si="741"/>
        <v>19001</v>
      </c>
      <c r="K2677" s="6">
        <f t="shared" si="742"/>
        <v>1900</v>
      </c>
      <c r="L2677" s="6">
        <f t="shared" si="743"/>
        <v>1</v>
      </c>
      <c r="R2677" s="6" t="str">
        <f t="shared" si="744"/>
        <v>19001</v>
      </c>
      <c r="S2677" s="6">
        <f t="shared" si="745"/>
        <v>1900</v>
      </c>
      <c r="T2677" s="6">
        <f t="shared" si="746"/>
        <v>1</v>
      </c>
      <c r="Z2677" s="6" t="str">
        <f t="shared" ca="1" si="747"/>
        <v>20256</v>
      </c>
      <c r="AA2677" s="6">
        <f t="shared" ca="1" si="748"/>
        <v>2025</v>
      </c>
      <c r="AB2677" s="6">
        <f t="shared" ca="1" si="749"/>
        <v>6</v>
      </c>
      <c r="AC2677" s="68">
        <f ca="1">IFERROR(__xludf.DUMMYFUNCTION("""COMPUTED_VALUE"""),45834.9986111111)</f>
        <v>45834.998611111099</v>
      </c>
      <c r="AD2677" s="6">
        <f ca="1">IFERROR(__xludf.DUMMYFUNCTION("""COMPUTED_VALUE"""),1352.76)</f>
        <v>1352.76</v>
      </c>
      <c r="AH2677" s="6" t="str">
        <f t="shared" ca="1" si="750"/>
        <v>20254</v>
      </c>
      <c r="AI2677" s="6">
        <f t="shared" ca="1" si="751"/>
        <v>2025</v>
      </c>
      <c r="AJ2677" s="6">
        <f t="shared" ca="1" si="752"/>
        <v>4</v>
      </c>
      <c r="AK2677" s="68">
        <f ca="1">IFERROR(__xludf.DUMMYFUNCTION("""COMPUTED_VALUE"""),45772.9986111111)</f>
        <v>45772.998611111099</v>
      </c>
      <c r="AL2677" s="6">
        <f ca="1">IFERROR(__xludf.DUMMYFUNCTION("""COMPUTED_VALUE"""),93348.03)</f>
        <v>93348.03</v>
      </c>
      <c r="AP2677" s="6" t="str">
        <f t="shared" si="753"/>
        <v>19001</v>
      </c>
      <c r="AQ2677" s="6">
        <f t="shared" si="754"/>
        <v>1900</v>
      </c>
      <c r="AR2677" s="6">
        <f t="shared" si="755"/>
        <v>1</v>
      </c>
    </row>
    <row r="2678" spans="2:44" x14ac:dyDescent="0.35">
      <c r="B2678" s="6" t="str">
        <f t="shared" si="738"/>
        <v>19001</v>
      </c>
      <c r="C2678" s="6">
        <f t="shared" si="739"/>
        <v>1900</v>
      </c>
      <c r="D2678" s="6">
        <f t="shared" si="740"/>
        <v>1</v>
      </c>
      <c r="J2678" s="6" t="str">
        <f t="shared" si="741"/>
        <v>19001</v>
      </c>
      <c r="K2678" s="6">
        <f t="shared" si="742"/>
        <v>1900</v>
      </c>
      <c r="L2678" s="6">
        <f t="shared" si="743"/>
        <v>1</v>
      </c>
      <c r="R2678" s="6" t="str">
        <f t="shared" si="744"/>
        <v>19001</v>
      </c>
      <c r="S2678" s="6">
        <f t="shared" si="745"/>
        <v>1900</v>
      </c>
      <c r="T2678" s="6">
        <f t="shared" si="746"/>
        <v>1</v>
      </c>
      <c r="Z2678" s="6" t="str">
        <f t="shared" ca="1" si="747"/>
        <v>20256</v>
      </c>
      <c r="AA2678" s="6">
        <f t="shared" ca="1" si="748"/>
        <v>2025</v>
      </c>
      <c r="AB2678" s="6">
        <f t="shared" ca="1" si="749"/>
        <v>6</v>
      </c>
      <c r="AC2678" s="68">
        <f ca="1">IFERROR(__xludf.DUMMYFUNCTION("""COMPUTED_VALUE"""),45835.9986111111)</f>
        <v>45835.998611111099</v>
      </c>
      <c r="AD2678" s="6">
        <f ca="1">IFERROR(__xludf.DUMMYFUNCTION("""COMPUTED_VALUE"""),1362.39)</f>
        <v>1362.39</v>
      </c>
      <c r="AH2678" s="6" t="str">
        <f t="shared" ca="1" si="750"/>
        <v>20254</v>
      </c>
      <c r="AI2678" s="6">
        <f t="shared" ca="1" si="751"/>
        <v>2025</v>
      </c>
      <c r="AJ2678" s="6">
        <f t="shared" ca="1" si="752"/>
        <v>4</v>
      </c>
      <c r="AK2678" s="68">
        <f ca="1">IFERROR(__xludf.DUMMYFUNCTION("""COMPUTED_VALUE"""),45773.9986111111)</f>
        <v>45773.998611111099</v>
      </c>
      <c r="AL2678" s="6">
        <f ca="1">IFERROR(__xludf.DUMMYFUNCTION("""COMPUTED_VALUE"""),94847.29)</f>
        <v>94847.29</v>
      </c>
      <c r="AP2678" s="6" t="str">
        <f t="shared" si="753"/>
        <v>19001</v>
      </c>
      <c r="AQ2678" s="6">
        <f t="shared" si="754"/>
        <v>1900</v>
      </c>
      <c r="AR2678" s="6">
        <f t="shared" si="755"/>
        <v>1</v>
      </c>
    </row>
    <row r="2679" spans="2:44" x14ac:dyDescent="0.35">
      <c r="B2679" s="6" t="str">
        <f t="shared" si="738"/>
        <v>19001</v>
      </c>
      <c r="C2679" s="6">
        <f t="shared" si="739"/>
        <v>1900</v>
      </c>
      <c r="D2679" s="6">
        <f t="shared" si="740"/>
        <v>1</v>
      </c>
      <c r="J2679" s="6" t="str">
        <f t="shared" si="741"/>
        <v>19001</v>
      </c>
      <c r="K2679" s="6">
        <f t="shared" si="742"/>
        <v>1900</v>
      </c>
      <c r="L2679" s="6">
        <f t="shared" si="743"/>
        <v>1</v>
      </c>
      <c r="R2679" s="6" t="str">
        <f t="shared" si="744"/>
        <v>19001</v>
      </c>
      <c r="S2679" s="6">
        <f t="shared" si="745"/>
        <v>1900</v>
      </c>
      <c r="T2679" s="6">
        <f t="shared" si="746"/>
        <v>1</v>
      </c>
      <c r="Z2679" s="6" t="str">
        <f t="shared" ca="1" si="747"/>
        <v>20256</v>
      </c>
      <c r="AA2679" s="6">
        <f t="shared" ca="1" si="748"/>
        <v>2025</v>
      </c>
      <c r="AB2679" s="6">
        <f t="shared" ca="1" si="749"/>
        <v>6</v>
      </c>
      <c r="AC2679" s="68">
        <f ca="1">IFERROR(__xludf.DUMMYFUNCTION("""COMPUTED_VALUE"""),45836.9986111111)</f>
        <v>45836.998611111099</v>
      </c>
      <c r="AD2679" s="6">
        <f ca="1">IFERROR(__xludf.DUMMYFUNCTION("""COMPUTED_VALUE"""),1362.62)</f>
        <v>1362.62</v>
      </c>
      <c r="AH2679" s="6" t="str">
        <f t="shared" ca="1" si="750"/>
        <v>20254</v>
      </c>
      <c r="AI2679" s="6">
        <f t="shared" ca="1" si="751"/>
        <v>2025</v>
      </c>
      <c r="AJ2679" s="6">
        <f t="shared" ca="1" si="752"/>
        <v>4</v>
      </c>
      <c r="AK2679" s="68">
        <f ca="1">IFERROR(__xludf.DUMMYFUNCTION("""COMPUTED_VALUE"""),45774.9986111111)</f>
        <v>45774.998611111099</v>
      </c>
      <c r="AL2679" s="6">
        <f ca="1">IFERROR(__xludf.DUMMYFUNCTION("""COMPUTED_VALUE"""),94225.3)</f>
        <v>94225.3</v>
      </c>
      <c r="AP2679" s="6" t="str">
        <f t="shared" si="753"/>
        <v>19001</v>
      </c>
      <c r="AQ2679" s="6">
        <f t="shared" si="754"/>
        <v>1900</v>
      </c>
      <c r="AR2679" s="6">
        <f t="shared" si="755"/>
        <v>1</v>
      </c>
    </row>
    <row r="2680" spans="2:44" x14ac:dyDescent="0.35">
      <c r="B2680" s="6" t="str">
        <f t="shared" si="738"/>
        <v>19001</v>
      </c>
      <c r="C2680" s="6">
        <f t="shared" si="739"/>
        <v>1900</v>
      </c>
      <c r="D2680" s="6">
        <f t="shared" si="740"/>
        <v>1</v>
      </c>
      <c r="J2680" s="6" t="str">
        <f t="shared" si="741"/>
        <v>19001</v>
      </c>
      <c r="K2680" s="6">
        <f t="shared" si="742"/>
        <v>1900</v>
      </c>
      <c r="L2680" s="6">
        <f t="shared" si="743"/>
        <v>1</v>
      </c>
      <c r="R2680" s="6" t="str">
        <f t="shared" si="744"/>
        <v>19001</v>
      </c>
      <c r="S2680" s="6">
        <f t="shared" si="745"/>
        <v>1900</v>
      </c>
      <c r="T2680" s="6">
        <f t="shared" si="746"/>
        <v>1</v>
      </c>
      <c r="Z2680" s="6" t="str">
        <f t="shared" ca="1" si="747"/>
        <v>20256</v>
      </c>
      <c r="AA2680" s="6">
        <f t="shared" ca="1" si="748"/>
        <v>2025</v>
      </c>
      <c r="AB2680" s="6">
        <f t="shared" ca="1" si="749"/>
        <v>6</v>
      </c>
      <c r="AC2680" s="68">
        <f ca="1">IFERROR(__xludf.DUMMYFUNCTION("""COMPUTED_VALUE"""),45837.9986111111)</f>
        <v>45837.998611111099</v>
      </c>
      <c r="AD2680" s="6">
        <f ca="1">IFERROR(__xludf.DUMMYFUNCTION("""COMPUTED_VALUE"""),1363.59)</f>
        <v>1363.59</v>
      </c>
      <c r="AH2680" s="6" t="str">
        <f t="shared" ca="1" si="750"/>
        <v>20254</v>
      </c>
      <c r="AI2680" s="6">
        <f t="shared" ca="1" si="751"/>
        <v>2025</v>
      </c>
      <c r="AJ2680" s="6">
        <f t="shared" ca="1" si="752"/>
        <v>4</v>
      </c>
      <c r="AK2680" s="68">
        <f ca="1">IFERROR(__xludf.DUMMYFUNCTION("""COMPUTED_VALUE"""),45775.9986111111)</f>
        <v>45775.998611111099</v>
      </c>
      <c r="AL2680" s="6">
        <f ca="1">IFERROR(__xludf.DUMMYFUNCTION("""COMPUTED_VALUE"""),93911.89)</f>
        <v>93911.89</v>
      </c>
      <c r="AP2680" s="6" t="str">
        <f t="shared" si="753"/>
        <v>19001</v>
      </c>
      <c r="AQ2680" s="6">
        <f t="shared" si="754"/>
        <v>1900</v>
      </c>
      <c r="AR2680" s="6">
        <f t="shared" si="755"/>
        <v>1</v>
      </c>
    </row>
    <row r="2681" spans="2:44" x14ac:dyDescent="0.35">
      <c r="B2681" s="6" t="str">
        <f t="shared" si="738"/>
        <v>19001</v>
      </c>
      <c r="C2681" s="6">
        <f t="shared" si="739"/>
        <v>1900</v>
      </c>
      <c r="D2681" s="6">
        <f t="shared" si="740"/>
        <v>1</v>
      </c>
      <c r="J2681" s="6" t="str">
        <f t="shared" si="741"/>
        <v>19001</v>
      </c>
      <c r="K2681" s="6">
        <f t="shared" si="742"/>
        <v>1900</v>
      </c>
      <c r="L2681" s="6">
        <f t="shared" si="743"/>
        <v>1</v>
      </c>
      <c r="R2681" s="6" t="str">
        <f t="shared" si="744"/>
        <v>19001</v>
      </c>
      <c r="S2681" s="6">
        <f t="shared" si="745"/>
        <v>1900</v>
      </c>
      <c r="T2681" s="6">
        <f t="shared" si="746"/>
        <v>1</v>
      </c>
      <c r="Z2681" s="6" t="str">
        <f t="shared" ca="1" si="747"/>
        <v>20256</v>
      </c>
      <c r="AA2681" s="6">
        <f t="shared" ca="1" si="748"/>
        <v>2025</v>
      </c>
      <c r="AB2681" s="6">
        <f t="shared" ca="1" si="749"/>
        <v>6</v>
      </c>
      <c r="AC2681" s="68">
        <f ca="1">IFERROR(__xludf.DUMMYFUNCTION("""COMPUTED_VALUE"""),45838.9986111111)</f>
        <v>45838.998611111099</v>
      </c>
      <c r="AD2681" s="6">
        <f ca="1">IFERROR(__xludf.DUMMYFUNCTION("""COMPUTED_VALUE"""),1348.5)</f>
        <v>1348.5</v>
      </c>
      <c r="AH2681" s="6" t="str">
        <f t="shared" ca="1" si="750"/>
        <v>20254</v>
      </c>
      <c r="AI2681" s="6">
        <f t="shared" ca="1" si="751"/>
        <v>2025</v>
      </c>
      <c r="AJ2681" s="6">
        <f t="shared" ca="1" si="752"/>
        <v>4</v>
      </c>
      <c r="AK2681" s="68">
        <f ca="1">IFERROR(__xludf.DUMMYFUNCTION("""COMPUTED_VALUE"""),45776.9986111111)</f>
        <v>45776.998611111099</v>
      </c>
      <c r="AL2681" s="6">
        <f ca="1">IFERROR(__xludf.DUMMYFUNCTION("""COMPUTED_VALUE"""),94717.11)</f>
        <v>94717.11</v>
      </c>
      <c r="AP2681" s="6" t="str">
        <f t="shared" si="753"/>
        <v>19001</v>
      </c>
      <c r="AQ2681" s="6">
        <f t="shared" si="754"/>
        <v>1900</v>
      </c>
      <c r="AR2681" s="6">
        <f t="shared" si="755"/>
        <v>1</v>
      </c>
    </row>
    <row r="2682" spans="2:44" x14ac:dyDescent="0.35">
      <c r="B2682" s="6" t="str">
        <f t="shared" si="738"/>
        <v>19001</v>
      </c>
      <c r="C2682" s="6">
        <f t="shared" si="739"/>
        <v>1900</v>
      </c>
      <c r="D2682" s="6">
        <f t="shared" si="740"/>
        <v>1</v>
      </c>
      <c r="J2682" s="6" t="str">
        <f t="shared" si="741"/>
        <v>19001</v>
      </c>
      <c r="K2682" s="6">
        <f t="shared" si="742"/>
        <v>1900</v>
      </c>
      <c r="L2682" s="6">
        <f t="shared" si="743"/>
        <v>1</v>
      </c>
      <c r="R2682" s="6" t="str">
        <f t="shared" si="744"/>
        <v>19001</v>
      </c>
      <c r="S2682" s="6">
        <f t="shared" si="745"/>
        <v>1900</v>
      </c>
      <c r="T2682" s="6">
        <f t="shared" si="746"/>
        <v>1</v>
      </c>
      <c r="Z2682" s="6" t="str">
        <f t="shared" ca="1" si="747"/>
        <v>20257</v>
      </c>
      <c r="AA2682" s="6">
        <f t="shared" ca="1" si="748"/>
        <v>2025</v>
      </c>
      <c r="AB2682" s="6">
        <f t="shared" ca="1" si="749"/>
        <v>7</v>
      </c>
      <c r="AC2682" s="68">
        <f ca="1">IFERROR(__xludf.DUMMYFUNCTION("""COMPUTED_VALUE"""),45839.9986111111)</f>
        <v>45839.998611111099</v>
      </c>
      <c r="AD2682" s="6">
        <f ca="1">IFERROR(__xludf.DUMMYFUNCTION("""COMPUTED_VALUE"""),1355.59)</f>
        <v>1355.59</v>
      </c>
      <c r="AH2682" s="6" t="str">
        <f t="shared" ca="1" si="750"/>
        <v>20254</v>
      </c>
      <c r="AI2682" s="6">
        <f t="shared" ca="1" si="751"/>
        <v>2025</v>
      </c>
      <c r="AJ2682" s="6">
        <f t="shared" ca="1" si="752"/>
        <v>4</v>
      </c>
      <c r="AK2682" s="68">
        <f ca="1">IFERROR(__xludf.DUMMYFUNCTION("""COMPUTED_VALUE"""),45777.9986111111)</f>
        <v>45777.998611111099</v>
      </c>
      <c r="AL2682" s="6">
        <f ca="1">IFERROR(__xludf.DUMMYFUNCTION("""COMPUTED_VALUE"""),95041.93)</f>
        <v>95041.93</v>
      </c>
      <c r="AP2682" s="6" t="str">
        <f t="shared" si="753"/>
        <v>19001</v>
      </c>
      <c r="AQ2682" s="6">
        <f t="shared" si="754"/>
        <v>1900</v>
      </c>
      <c r="AR2682" s="6">
        <f t="shared" si="755"/>
        <v>1</v>
      </c>
    </row>
    <row r="2683" spans="2:44" x14ac:dyDescent="0.35">
      <c r="B2683" s="6" t="str">
        <f t="shared" si="738"/>
        <v>19001</v>
      </c>
      <c r="C2683" s="6">
        <f t="shared" si="739"/>
        <v>1900</v>
      </c>
      <c r="D2683" s="6">
        <f t="shared" si="740"/>
        <v>1</v>
      </c>
      <c r="J2683" s="6" t="str">
        <f t="shared" si="741"/>
        <v>19001</v>
      </c>
      <c r="K2683" s="6">
        <f t="shared" si="742"/>
        <v>1900</v>
      </c>
      <c r="L2683" s="6">
        <f t="shared" si="743"/>
        <v>1</v>
      </c>
      <c r="R2683" s="6" t="str">
        <f t="shared" si="744"/>
        <v>19001</v>
      </c>
      <c r="S2683" s="6">
        <f t="shared" si="745"/>
        <v>1900</v>
      </c>
      <c r="T2683" s="6">
        <f t="shared" si="746"/>
        <v>1</v>
      </c>
      <c r="Z2683" s="6" t="str">
        <f t="shared" ca="1" si="747"/>
        <v>20257</v>
      </c>
      <c r="AA2683" s="6">
        <f t="shared" ca="1" si="748"/>
        <v>2025</v>
      </c>
      <c r="AB2683" s="6">
        <f t="shared" ca="1" si="749"/>
        <v>7</v>
      </c>
      <c r="AC2683" s="68">
        <f ca="1">IFERROR(__xludf.DUMMYFUNCTION("""COMPUTED_VALUE"""),45840.9986111111)</f>
        <v>45840.998611111099</v>
      </c>
      <c r="AD2683" s="6">
        <f ca="1">IFERROR(__xludf.DUMMYFUNCTION("""COMPUTED_VALUE"""),1354.75)</f>
        <v>1354.75</v>
      </c>
      <c r="AH2683" s="6" t="str">
        <f t="shared" ca="1" si="750"/>
        <v>20255</v>
      </c>
      <c r="AI2683" s="6">
        <f t="shared" ca="1" si="751"/>
        <v>2025</v>
      </c>
      <c r="AJ2683" s="6">
        <f t="shared" ca="1" si="752"/>
        <v>5</v>
      </c>
      <c r="AK2683" s="68">
        <f ca="1">IFERROR(__xludf.DUMMYFUNCTION("""COMPUTED_VALUE"""),45778.9986111111)</f>
        <v>45778.998611111099</v>
      </c>
      <c r="AL2683" s="6">
        <f ca="1">IFERROR(__xludf.DUMMYFUNCTION("""COMPUTED_VALUE"""),94808.49)</f>
        <v>94808.49</v>
      </c>
      <c r="AP2683" s="6" t="str">
        <f t="shared" si="753"/>
        <v>19001</v>
      </c>
      <c r="AQ2683" s="6">
        <f t="shared" si="754"/>
        <v>1900</v>
      </c>
      <c r="AR2683" s="6">
        <f t="shared" si="755"/>
        <v>1</v>
      </c>
    </row>
    <row r="2684" spans="2:44" x14ac:dyDescent="0.35">
      <c r="B2684" s="6" t="str">
        <f t="shared" si="738"/>
        <v>19001</v>
      </c>
      <c r="C2684" s="6">
        <f t="shared" si="739"/>
        <v>1900</v>
      </c>
      <c r="D2684" s="6">
        <f t="shared" si="740"/>
        <v>1</v>
      </c>
      <c r="J2684" s="6" t="str">
        <f t="shared" si="741"/>
        <v>19001</v>
      </c>
      <c r="K2684" s="6">
        <f t="shared" si="742"/>
        <v>1900</v>
      </c>
      <c r="L2684" s="6">
        <f t="shared" si="743"/>
        <v>1</v>
      </c>
      <c r="R2684" s="6" t="str">
        <f t="shared" si="744"/>
        <v>19001</v>
      </c>
      <c r="S2684" s="6">
        <f t="shared" si="745"/>
        <v>1900</v>
      </c>
      <c r="T2684" s="6">
        <f t="shared" si="746"/>
        <v>1</v>
      </c>
      <c r="Z2684" s="6" t="str">
        <f t="shared" ca="1" si="747"/>
        <v>20257</v>
      </c>
      <c r="AA2684" s="6">
        <f t="shared" ca="1" si="748"/>
        <v>2025</v>
      </c>
      <c r="AB2684" s="6">
        <f t="shared" ca="1" si="749"/>
        <v>7</v>
      </c>
      <c r="AC2684" s="68">
        <f ca="1">IFERROR(__xludf.DUMMYFUNCTION("""COMPUTED_VALUE"""),45841.9986111111)</f>
        <v>45841.998611111099</v>
      </c>
      <c r="AD2684" s="6">
        <f ca="1">IFERROR(__xludf.DUMMYFUNCTION("""COMPUTED_VALUE"""),1357.1)</f>
        <v>1357.1</v>
      </c>
      <c r="AH2684" s="6" t="str">
        <f t="shared" ca="1" si="750"/>
        <v>20255</v>
      </c>
      <c r="AI2684" s="6">
        <f t="shared" ca="1" si="751"/>
        <v>2025</v>
      </c>
      <c r="AJ2684" s="6">
        <f t="shared" ca="1" si="752"/>
        <v>5</v>
      </c>
      <c r="AK2684" s="68">
        <f ca="1">IFERROR(__xludf.DUMMYFUNCTION("""COMPUTED_VALUE"""),45779.9986111111)</f>
        <v>45779.998611111099</v>
      </c>
      <c r="AL2684" s="6">
        <f ca="1">IFERROR(__xludf.DUMMYFUNCTION("""COMPUTED_VALUE"""),97111.77)</f>
        <v>97111.77</v>
      </c>
      <c r="AP2684" s="6" t="str">
        <f t="shared" si="753"/>
        <v>19001</v>
      </c>
      <c r="AQ2684" s="6">
        <f t="shared" si="754"/>
        <v>1900</v>
      </c>
      <c r="AR2684" s="6">
        <f t="shared" si="755"/>
        <v>1</v>
      </c>
    </row>
    <row r="2685" spans="2:44" x14ac:dyDescent="0.35">
      <c r="B2685" s="6" t="str">
        <f t="shared" si="738"/>
        <v>19001</v>
      </c>
      <c r="C2685" s="6">
        <f t="shared" si="739"/>
        <v>1900</v>
      </c>
      <c r="D2685" s="6">
        <f t="shared" si="740"/>
        <v>1</v>
      </c>
      <c r="J2685" s="6" t="str">
        <f t="shared" si="741"/>
        <v>19001</v>
      </c>
      <c r="K2685" s="6">
        <f t="shared" si="742"/>
        <v>1900</v>
      </c>
      <c r="L2685" s="6">
        <f t="shared" si="743"/>
        <v>1</v>
      </c>
      <c r="R2685" s="6" t="str">
        <f t="shared" si="744"/>
        <v>19001</v>
      </c>
      <c r="S2685" s="6">
        <f t="shared" si="745"/>
        <v>1900</v>
      </c>
      <c r="T2685" s="6">
        <f t="shared" si="746"/>
        <v>1</v>
      </c>
      <c r="Z2685" s="6" t="str">
        <f t="shared" ca="1" si="747"/>
        <v>20257</v>
      </c>
      <c r="AA2685" s="6">
        <f t="shared" ca="1" si="748"/>
        <v>2025</v>
      </c>
      <c r="AB2685" s="6">
        <f t="shared" ca="1" si="749"/>
        <v>7</v>
      </c>
      <c r="AC2685" s="68">
        <f ca="1">IFERROR(__xludf.DUMMYFUNCTION("""COMPUTED_VALUE"""),45842.9986111111)</f>
        <v>45842.998611111099</v>
      </c>
      <c r="AD2685" s="6">
        <f ca="1">IFERROR(__xludf.DUMMYFUNCTION("""COMPUTED_VALUE"""),1360.73)</f>
        <v>1360.73</v>
      </c>
      <c r="AH2685" s="6" t="str">
        <f t="shared" ca="1" si="750"/>
        <v>20255</v>
      </c>
      <c r="AI2685" s="6">
        <f t="shared" ca="1" si="751"/>
        <v>2025</v>
      </c>
      <c r="AJ2685" s="6">
        <f t="shared" ca="1" si="752"/>
        <v>5</v>
      </c>
      <c r="AK2685" s="68">
        <f ca="1">IFERROR(__xludf.DUMMYFUNCTION("""COMPUTED_VALUE"""),45780.9986111111)</f>
        <v>45780.998611111099</v>
      </c>
      <c r="AL2685" s="6">
        <f ca="1">IFERROR(__xludf.DUMMYFUNCTION("""COMPUTED_VALUE"""),96432.45)</f>
        <v>96432.45</v>
      </c>
      <c r="AP2685" s="6" t="str">
        <f t="shared" si="753"/>
        <v>19001</v>
      </c>
      <c r="AQ2685" s="6">
        <f t="shared" si="754"/>
        <v>1900</v>
      </c>
      <c r="AR2685" s="6">
        <f t="shared" si="755"/>
        <v>1</v>
      </c>
    </row>
    <row r="2686" spans="2:44" x14ac:dyDescent="0.35">
      <c r="B2686" s="6" t="str">
        <f t="shared" si="738"/>
        <v>19001</v>
      </c>
      <c r="C2686" s="6">
        <f t="shared" si="739"/>
        <v>1900</v>
      </c>
      <c r="D2686" s="6">
        <f t="shared" si="740"/>
        <v>1</v>
      </c>
      <c r="J2686" s="6" t="str">
        <f t="shared" si="741"/>
        <v>19001</v>
      </c>
      <c r="K2686" s="6">
        <f t="shared" si="742"/>
        <v>1900</v>
      </c>
      <c r="L2686" s="6">
        <f t="shared" si="743"/>
        <v>1</v>
      </c>
      <c r="R2686" s="6" t="str">
        <f t="shared" si="744"/>
        <v>19001</v>
      </c>
      <c r="S2686" s="6">
        <f t="shared" si="745"/>
        <v>1900</v>
      </c>
      <c r="T2686" s="6">
        <f t="shared" si="746"/>
        <v>1</v>
      </c>
      <c r="Z2686" s="6" t="str">
        <f t="shared" ca="1" si="747"/>
        <v>20257</v>
      </c>
      <c r="AA2686" s="6">
        <f t="shared" ca="1" si="748"/>
        <v>2025</v>
      </c>
      <c r="AB2686" s="6">
        <f t="shared" ca="1" si="749"/>
        <v>7</v>
      </c>
      <c r="AC2686" s="68">
        <f ca="1">IFERROR(__xludf.DUMMYFUNCTION("""COMPUTED_VALUE"""),45843.9986111111)</f>
        <v>45843.998611111099</v>
      </c>
      <c r="AD2686" s="6">
        <f ca="1">IFERROR(__xludf.DUMMYFUNCTION("""COMPUTED_VALUE"""),1360.65)</f>
        <v>1360.65</v>
      </c>
      <c r="AH2686" s="6" t="str">
        <f t="shared" ca="1" si="750"/>
        <v>20255</v>
      </c>
      <c r="AI2686" s="6">
        <f t="shared" ca="1" si="751"/>
        <v>2025</v>
      </c>
      <c r="AJ2686" s="6">
        <f t="shared" ca="1" si="752"/>
        <v>5</v>
      </c>
      <c r="AK2686" s="68">
        <f ca="1">IFERROR(__xludf.DUMMYFUNCTION("""COMPUTED_VALUE"""),45781.9986111111)</f>
        <v>45781.998611111099</v>
      </c>
      <c r="AL2686" s="6">
        <f ca="1">IFERROR(__xludf.DUMMYFUNCTION("""COMPUTED_VALUE"""),95856.14)</f>
        <v>95856.14</v>
      </c>
      <c r="AP2686" s="6" t="str">
        <f t="shared" si="753"/>
        <v>19001</v>
      </c>
      <c r="AQ2686" s="6">
        <f t="shared" si="754"/>
        <v>1900</v>
      </c>
      <c r="AR2686" s="6">
        <f t="shared" si="755"/>
        <v>1</v>
      </c>
    </row>
    <row r="2687" spans="2:44" x14ac:dyDescent="0.35">
      <c r="B2687" s="6" t="str">
        <f t="shared" si="738"/>
        <v>19001</v>
      </c>
      <c r="C2687" s="6">
        <f t="shared" si="739"/>
        <v>1900</v>
      </c>
      <c r="D2687" s="6">
        <f t="shared" si="740"/>
        <v>1</v>
      </c>
      <c r="J2687" s="6" t="str">
        <f t="shared" si="741"/>
        <v>19001</v>
      </c>
      <c r="K2687" s="6">
        <f t="shared" si="742"/>
        <v>1900</v>
      </c>
      <c r="L2687" s="6">
        <f t="shared" si="743"/>
        <v>1</v>
      </c>
      <c r="R2687" s="6" t="str">
        <f t="shared" si="744"/>
        <v>19001</v>
      </c>
      <c r="S2687" s="6">
        <f t="shared" si="745"/>
        <v>1900</v>
      </c>
      <c r="T2687" s="6">
        <f t="shared" si="746"/>
        <v>1</v>
      </c>
      <c r="Z2687" s="6" t="str">
        <f t="shared" ca="1" si="747"/>
        <v>20257</v>
      </c>
      <c r="AA2687" s="6">
        <f t="shared" ca="1" si="748"/>
        <v>2025</v>
      </c>
      <c r="AB2687" s="6">
        <f t="shared" ca="1" si="749"/>
        <v>7</v>
      </c>
      <c r="AC2687" s="68">
        <f ca="1">IFERROR(__xludf.DUMMYFUNCTION("""COMPUTED_VALUE"""),45844.9986111111)</f>
        <v>45844.998611111099</v>
      </c>
      <c r="AD2687" s="6">
        <f ca="1">IFERROR(__xludf.DUMMYFUNCTION("""COMPUTED_VALUE"""),1362.2)</f>
        <v>1362.2</v>
      </c>
      <c r="AH2687" s="6" t="str">
        <f t="shared" ca="1" si="750"/>
        <v>20255</v>
      </c>
      <c r="AI2687" s="6">
        <f t="shared" ca="1" si="751"/>
        <v>2025</v>
      </c>
      <c r="AJ2687" s="6">
        <f t="shared" ca="1" si="752"/>
        <v>5</v>
      </c>
      <c r="AK2687" s="68">
        <f ca="1">IFERROR(__xludf.DUMMYFUNCTION("""COMPUTED_VALUE"""),45782.9986111111)</f>
        <v>45782.998611111099</v>
      </c>
      <c r="AL2687" s="6">
        <f ca="1">IFERROR(__xludf.DUMMYFUNCTION("""COMPUTED_VALUE"""),94255.16)</f>
        <v>94255.16</v>
      </c>
      <c r="AP2687" s="6" t="str">
        <f t="shared" si="753"/>
        <v>19001</v>
      </c>
      <c r="AQ2687" s="6">
        <f t="shared" si="754"/>
        <v>1900</v>
      </c>
      <c r="AR2687" s="6">
        <f t="shared" si="755"/>
        <v>1</v>
      </c>
    </row>
    <row r="2688" spans="2:44" x14ac:dyDescent="0.35">
      <c r="B2688" s="6" t="str">
        <f t="shared" si="738"/>
        <v>19001</v>
      </c>
      <c r="C2688" s="6">
        <f t="shared" si="739"/>
        <v>1900</v>
      </c>
      <c r="D2688" s="6">
        <f t="shared" si="740"/>
        <v>1</v>
      </c>
      <c r="J2688" s="6" t="str">
        <f t="shared" si="741"/>
        <v>19001</v>
      </c>
      <c r="K2688" s="6">
        <f t="shared" si="742"/>
        <v>1900</v>
      </c>
      <c r="L2688" s="6">
        <f t="shared" si="743"/>
        <v>1</v>
      </c>
      <c r="R2688" s="6" t="str">
        <f t="shared" si="744"/>
        <v>19001</v>
      </c>
      <c r="S2688" s="6">
        <f t="shared" si="745"/>
        <v>1900</v>
      </c>
      <c r="T2688" s="6">
        <f t="shared" si="746"/>
        <v>1</v>
      </c>
      <c r="Z2688" s="6" t="str">
        <f t="shared" ca="1" si="747"/>
        <v>20257</v>
      </c>
      <c r="AA2688" s="6">
        <f t="shared" ca="1" si="748"/>
        <v>2025</v>
      </c>
      <c r="AB2688" s="6">
        <f t="shared" ca="1" si="749"/>
        <v>7</v>
      </c>
      <c r="AC2688" s="68">
        <f ca="1">IFERROR(__xludf.DUMMYFUNCTION("""COMPUTED_VALUE"""),45845.9986111111)</f>
        <v>45845.998611111099</v>
      </c>
      <c r="AD2688" s="6">
        <f ca="1">IFERROR(__xludf.DUMMYFUNCTION("""COMPUTED_VALUE"""),1374.64)</f>
        <v>1374.64</v>
      </c>
      <c r="AH2688" s="6" t="str">
        <f t="shared" ca="1" si="750"/>
        <v>20255</v>
      </c>
      <c r="AI2688" s="6">
        <f t="shared" ca="1" si="751"/>
        <v>2025</v>
      </c>
      <c r="AJ2688" s="6">
        <f t="shared" ca="1" si="752"/>
        <v>5</v>
      </c>
      <c r="AK2688" s="68">
        <f ca="1">IFERROR(__xludf.DUMMYFUNCTION("""COMPUTED_VALUE"""),45783.9986111111)</f>
        <v>45783.998611111099</v>
      </c>
      <c r="AL2688" s="6">
        <f ca="1">IFERROR(__xludf.DUMMYFUNCTION("""COMPUTED_VALUE"""),94489.1)</f>
        <v>94489.1</v>
      </c>
      <c r="AP2688" s="6" t="str">
        <f t="shared" si="753"/>
        <v>19001</v>
      </c>
      <c r="AQ2688" s="6">
        <f t="shared" si="754"/>
        <v>1900</v>
      </c>
      <c r="AR2688" s="6">
        <f t="shared" si="755"/>
        <v>1</v>
      </c>
    </row>
    <row r="2689" spans="2:44" x14ac:dyDescent="0.35">
      <c r="B2689" s="6" t="str">
        <f t="shared" si="738"/>
        <v>19001</v>
      </c>
      <c r="C2689" s="6">
        <f t="shared" si="739"/>
        <v>1900</v>
      </c>
      <c r="D2689" s="6">
        <f t="shared" si="740"/>
        <v>1</v>
      </c>
      <c r="J2689" s="6" t="str">
        <f t="shared" si="741"/>
        <v>19001</v>
      </c>
      <c r="K2689" s="6">
        <f t="shared" si="742"/>
        <v>1900</v>
      </c>
      <c r="L2689" s="6">
        <f t="shared" si="743"/>
        <v>1</v>
      </c>
      <c r="R2689" s="6" t="str">
        <f t="shared" si="744"/>
        <v>19001</v>
      </c>
      <c r="S2689" s="6">
        <f t="shared" si="745"/>
        <v>1900</v>
      </c>
      <c r="T2689" s="6">
        <f t="shared" si="746"/>
        <v>1</v>
      </c>
      <c r="Z2689" s="6" t="str">
        <f t="shared" ca="1" si="747"/>
        <v>20257</v>
      </c>
      <c r="AA2689" s="6">
        <f t="shared" ca="1" si="748"/>
        <v>2025</v>
      </c>
      <c r="AB2689" s="6">
        <f t="shared" ca="1" si="749"/>
        <v>7</v>
      </c>
      <c r="AC2689" s="68">
        <f ca="1">IFERROR(__xludf.DUMMYFUNCTION("""COMPUTED_VALUE"""),45846.9986111111)</f>
        <v>45846.998611111099</v>
      </c>
      <c r="AD2689" s="6">
        <f ca="1">IFERROR(__xludf.DUMMYFUNCTION("""COMPUTED_VALUE"""),1370.3)</f>
        <v>1370.3</v>
      </c>
      <c r="AH2689" s="6" t="str">
        <f t="shared" ca="1" si="750"/>
        <v>20255</v>
      </c>
      <c r="AI2689" s="6">
        <f t="shared" ca="1" si="751"/>
        <v>2025</v>
      </c>
      <c r="AJ2689" s="6">
        <f t="shared" ca="1" si="752"/>
        <v>5</v>
      </c>
      <c r="AK2689" s="68">
        <f ca="1">IFERROR(__xludf.DUMMYFUNCTION("""COMPUTED_VALUE"""),45784.9986111111)</f>
        <v>45784.998611111099</v>
      </c>
      <c r="AL2689" s="6">
        <f ca="1">IFERROR(__xludf.DUMMYFUNCTION("""COMPUTED_VALUE"""),96515.11)</f>
        <v>96515.11</v>
      </c>
      <c r="AP2689" s="6" t="str">
        <f t="shared" si="753"/>
        <v>19001</v>
      </c>
      <c r="AQ2689" s="6">
        <f t="shared" si="754"/>
        <v>1900</v>
      </c>
      <c r="AR2689" s="6">
        <f t="shared" si="755"/>
        <v>1</v>
      </c>
    </row>
    <row r="2690" spans="2:44" x14ac:dyDescent="0.35">
      <c r="B2690" s="6" t="str">
        <f t="shared" si="738"/>
        <v>19001</v>
      </c>
      <c r="C2690" s="6">
        <f t="shared" si="739"/>
        <v>1900</v>
      </c>
      <c r="D2690" s="6">
        <f t="shared" si="740"/>
        <v>1</v>
      </c>
      <c r="J2690" s="6" t="str">
        <f t="shared" si="741"/>
        <v>19001</v>
      </c>
      <c r="K2690" s="6">
        <f t="shared" si="742"/>
        <v>1900</v>
      </c>
      <c r="L2690" s="6">
        <f t="shared" si="743"/>
        <v>1</v>
      </c>
      <c r="R2690" s="6" t="str">
        <f t="shared" si="744"/>
        <v>19001</v>
      </c>
      <c r="S2690" s="6">
        <f t="shared" si="745"/>
        <v>1900</v>
      </c>
      <c r="T2690" s="6">
        <f t="shared" si="746"/>
        <v>1</v>
      </c>
      <c r="Z2690" s="6" t="str">
        <f t="shared" ca="1" si="747"/>
        <v>20257</v>
      </c>
      <c r="AA2690" s="6">
        <f t="shared" ca="1" si="748"/>
        <v>2025</v>
      </c>
      <c r="AB2690" s="6">
        <f t="shared" ca="1" si="749"/>
        <v>7</v>
      </c>
      <c r="AC2690" s="68">
        <f ca="1">IFERROR(__xludf.DUMMYFUNCTION("""COMPUTED_VALUE"""),45847.9986111111)</f>
        <v>45847.998611111099</v>
      </c>
      <c r="AD2690" s="6">
        <f ca="1">IFERROR(__xludf.DUMMYFUNCTION("""COMPUTED_VALUE"""),1373)</f>
        <v>1373</v>
      </c>
      <c r="AH2690" s="6" t="str">
        <f t="shared" ca="1" si="750"/>
        <v>20255</v>
      </c>
      <c r="AI2690" s="6">
        <f t="shared" ca="1" si="751"/>
        <v>2025</v>
      </c>
      <c r="AJ2690" s="6">
        <f t="shared" ca="1" si="752"/>
        <v>5</v>
      </c>
      <c r="AK2690" s="68">
        <f ca="1">IFERROR(__xludf.DUMMYFUNCTION("""COMPUTED_VALUE"""),45785.9986111111)</f>
        <v>45785.998611111099</v>
      </c>
      <c r="AL2690" s="6">
        <f ca="1">IFERROR(__xludf.DUMMYFUNCTION("""COMPUTED_VALUE"""),99109.44)</f>
        <v>99109.440000000002</v>
      </c>
      <c r="AP2690" s="6" t="str">
        <f t="shared" si="753"/>
        <v>19001</v>
      </c>
      <c r="AQ2690" s="6">
        <f t="shared" si="754"/>
        <v>1900</v>
      </c>
      <c r="AR2690" s="6">
        <f t="shared" si="755"/>
        <v>1</v>
      </c>
    </row>
    <row r="2691" spans="2:44" x14ac:dyDescent="0.35">
      <c r="B2691" s="6" t="str">
        <f t="shared" si="738"/>
        <v>19001</v>
      </c>
      <c r="C2691" s="6">
        <f t="shared" si="739"/>
        <v>1900</v>
      </c>
      <c r="D2691" s="6">
        <f t="shared" si="740"/>
        <v>1</v>
      </c>
      <c r="J2691" s="6" t="str">
        <f t="shared" si="741"/>
        <v>19001</v>
      </c>
      <c r="K2691" s="6">
        <f t="shared" si="742"/>
        <v>1900</v>
      </c>
      <c r="L2691" s="6">
        <f t="shared" si="743"/>
        <v>1</v>
      </c>
      <c r="R2691" s="6" t="str">
        <f t="shared" si="744"/>
        <v>19001</v>
      </c>
      <c r="S2691" s="6">
        <f t="shared" si="745"/>
        <v>1900</v>
      </c>
      <c r="T2691" s="6">
        <f t="shared" si="746"/>
        <v>1</v>
      </c>
      <c r="Z2691" s="6" t="str">
        <f t="shared" ca="1" si="747"/>
        <v>20257</v>
      </c>
      <c r="AA2691" s="6">
        <f t="shared" ca="1" si="748"/>
        <v>2025</v>
      </c>
      <c r="AB2691" s="6">
        <f t="shared" ca="1" si="749"/>
        <v>7</v>
      </c>
      <c r="AC2691" s="68">
        <f ca="1">IFERROR(__xludf.DUMMYFUNCTION("""COMPUTED_VALUE"""),45848.9986111111)</f>
        <v>45848.998611111099</v>
      </c>
      <c r="AD2691" s="6">
        <f ca="1">IFERROR(__xludf.DUMMYFUNCTION("""COMPUTED_VALUE"""),1372.64)</f>
        <v>1372.64</v>
      </c>
      <c r="AH2691" s="6" t="str">
        <f t="shared" ca="1" si="750"/>
        <v>20255</v>
      </c>
      <c r="AI2691" s="6">
        <f t="shared" ca="1" si="751"/>
        <v>2025</v>
      </c>
      <c r="AJ2691" s="6">
        <f t="shared" ca="1" si="752"/>
        <v>5</v>
      </c>
      <c r="AK2691" s="68">
        <f ca="1">IFERROR(__xludf.DUMMYFUNCTION("""COMPUTED_VALUE"""),45786.9986111111)</f>
        <v>45786.998611111099</v>
      </c>
      <c r="AL2691" s="6">
        <f ca="1">IFERROR(__xludf.DUMMYFUNCTION("""COMPUTED_VALUE"""),102384.2)</f>
        <v>102384.2</v>
      </c>
      <c r="AP2691" s="6" t="str">
        <f t="shared" si="753"/>
        <v>19001</v>
      </c>
      <c r="AQ2691" s="6">
        <f t="shared" si="754"/>
        <v>1900</v>
      </c>
      <c r="AR2691" s="6">
        <f t="shared" si="755"/>
        <v>1</v>
      </c>
    </row>
    <row r="2692" spans="2:44" x14ac:dyDescent="0.35">
      <c r="B2692" s="6" t="str">
        <f t="shared" si="738"/>
        <v>19001</v>
      </c>
      <c r="C2692" s="6">
        <f t="shared" si="739"/>
        <v>1900</v>
      </c>
      <c r="D2692" s="6">
        <f t="shared" si="740"/>
        <v>1</v>
      </c>
      <c r="J2692" s="6" t="str">
        <f t="shared" si="741"/>
        <v>19001</v>
      </c>
      <c r="K2692" s="6">
        <f t="shared" si="742"/>
        <v>1900</v>
      </c>
      <c r="L2692" s="6">
        <f t="shared" si="743"/>
        <v>1</v>
      </c>
      <c r="R2692" s="6" t="str">
        <f t="shared" si="744"/>
        <v>19001</v>
      </c>
      <c r="S2692" s="6">
        <f t="shared" si="745"/>
        <v>1900</v>
      </c>
      <c r="T2692" s="6">
        <f t="shared" si="746"/>
        <v>1</v>
      </c>
      <c r="Z2692" s="6" t="str">
        <f t="shared" ca="1" si="747"/>
        <v>20257</v>
      </c>
      <c r="AA2692" s="6">
        <f t="shared" ca="1" si="748"/>
        <v>2025</v>
      </c>
      <c r="AB2692" s="6">
        <f t="shared" ca="1" si="749"/>
        <v>7</v>
      </c>
      <c r="AC2692" s="68">
        <f ca="1">IFERROR(__xludf.DUMMYFUNCTION("""COMPUTED_VALUE"""),45849.9986111111)</f>
        <v>45849.998611111099</v>
      </c>
      <c r="AD2692" s="6">
        <f ca="1">IFERROR(__xludf.DUMMYFUNCTION("""COMPUTED_VALUE"""),1378.06)</f>
        <v>1378.06</v>
      </c>
      <c r="AH2692" s="6" t="str">
        <f t="shared" ca="1" si="750"/>
        <v>20255</v>
      </c>
      <c r="AI2692" s="6">
        <f t="shared" ca="1" si="751"/>
        <v>2025</v>
      </c>
      <c r="AJ2692" s="6">
        <f t="shared" ca="1" si="752"/>
        <v>5</v>
      </c>
      <c r="AK2692" s="68">
        <f ca="1">IFERROR(__xludf.DUMMYFUNCTION("""COMPUTED_VALUE"""),45787.9986111111)</f>
        <v>45787.998611111099</v>
      </c>
      <c r="AL2692" s="6">
        <f ca="1">IFERROR(__xludf.DUMMYFUNCTION("""COMPUTED_VALUE"""),103161.7)</f>
        <v>103161.7</v>
      </c>
      <c r="AP2692" s="6" t="str">
        <f t="shared" si="753"/>
        <v>19001</v>
      </c>
      <c r="AQ2692" s="6">
        <f t="shared" si="754"/>
        <v>1900</v>
      </c>
      <c r="AR2692" s="6">
        <f t="shared" si="755"/>
        <v>1</v>
      </c>
    </row>
    <row r="2693" spans="2:44" x14ac:dyDescent="0.35">
      <c r="B2693" s="6" t="str">
        <f t="shared" si="738"/>
        <v>19001</v>
      </c>
      <c r="C2693" s="6">
        <f t="shared" si="739"/>
        <v>1900</v>
      </c>
      <c r="D2693" s="6">
        <f t="shared" si="740"/>
        <v>1</v>
      </c>
      <c r="J2693" s="6" t="str">
        <f t="shared" si="741"/>
        <v>19001</v>
      </c>
      <c r="K2693" s="6">
        <f t="shared" si="742"/>
        <v>1900</v>
      </c>
      <c r="L2693" s="6">
        <f t="shared" si="743"/>
        <v>1</v>
      </c>
      <c r="R2693" s="6" t="str">
        <f t="shared" si="744"/>
        <v>19001</v>
      </c>
      <c r="S2693" s="6">
        <f t="shared" si="745"/>
        <v>1900</v>
      </c>
      <c r="T2693" s="6">
        <f t="shared" si="746"/>
        <v>1</v>
      </c>
      <c r="Z2693" s="6" t="str">
        <f t="shared" ca="1" si="747"/>
        <v>20257</v>
      </c>
      <c r="AA2693" s="6">
        <f t="shared" ca="1" si="748"/>
        <v>2025</v>
      </c>
      <c r="AB2693" s="6">
        <f t="shared" ca="1" si="749"/>
        <v>7</v>
      </c>
      <c r="AC2693" s="68">
        <f ca="1">IFERROR(__xludf.DUMMYFUNCTION("""COMPUTED_VALUE"""),45850.9986111111)</f>
        <v>45850.998611111099</v>
      </c>
      <c r="AD2693" s="6">
        <f ca="1">IFERROR(__xludf.DUMMYFUNCTION("""COMPUTED_VALUE"""),1377.16)</f>
        <v>1377.16</v>
      </c>
      <c r="AH2693" s="6" t="str">
        <f t="shared" ca="1" si="750"/>
        <v>20255</v>
      </c>
      <c r="AI2693" s="6">
        <f t="shared" ca="1" si="751"/>
        <v>2025</v>
      </c>
      <c r="AJ2693" s="6">
        <f t="shared" ca="1" si="752"/>
        <v>5</v>
      </c>
      <c r="AK2693" s="68">
        <f ca="1">IFERROR(__xludf.DUMMYFUNCTION("""COMPUTED_VALUE"""),45788.9986111111)</f>
        <v>45788.998611111099</v>
      </c>
      <c r="AL2693" s="6">
        <f ca="1">IFERROR(__xludf.DUMMYFUNCTION("""COMPUTED_VALUE"""),103995.7)</f>
        <v>103995.7</v>
      </c>
      <c r="AP2693" s="6" t="str">
        <f t="shared" si="753"/>
        <v>19001</v>
      </c>
      <c r="AQ2693" s="6">
        <f t="shared" si="754"/>
        <v>1900</v>
      </c>
      <c r="AR2693" s="6">
        <f t="shared" si="755"/>
        <v>1</v>
      </c>
    </row>
    <row r="2694" spans="2:44" x14ac:dyDescent="0.35">
      <c r="B2694" s="6" t="str">
        <f t="shared" si="738"/>
        <v>19001</v>
      </c>
      <c r="C2694" s="6">
        <f t="shared" si="739"/>
        <v>1900</v>
      </c>
      <c r="D2694" s="6">
        <f t="shared" si="740"/>
        <v>1</v>
      </c>
      <c r="J2694" s="6" t="str">
        <f t="shared" si="741"/>
        <v>19001</v>
      </c>
      <c r="K2694" s="6">
        <f t="shared" si="742"/>
        <v>1900</v>
      </c>
      <c r="L2694" s="6">
        <f t="shared" si="743"/>
        <v>1</v>
      </c>
      <c r="R2694" s="6" t="str">
        <f t="shared" si="744"/>
        <v>19001</v>
      </c>
      <c r="S2694" s="6">
        <f t="shared" si="745"/>
        <v>1900</v>
      </c>
      <c r="T2694" s="6">
        <f t="shared" si="746"/>
        <v>1</v>
      </c>
      <c r="Z2694" s="6" t="str">
        <f t="shared" ca="1" si="747"/>
        <v>20257</v>
      </c>
      <c r="AA2694" s="6">
        <f t="shared" ca="1" si="748"/>
        <v>2025</v>
      </c>
      <c r="AB2694" s="6">
        <f t="shared" ca="1" si="749"/>
        <v>7</v>
      </c>
      <c r="AC2694" s="68">
        <f ca="1">IFERROR(__xludf.DUMMYFUNCTION("""COMPUTED_VALUE"""),45851.9986111111)</f>
        <v>45851.998611111099</v>
      </c>
      <c r="AD2694" s="6">
        <f ca="1">IFERROR(__xludf.DUMMYFUNCTION("""COMPUTED_VALUE"""),1378.17)</f>
        <v>1378.17</v>
      </c>
      <c r="AH2694" s="6" t="str">
        <f t="shared" ca="1" si="750"/>
        <v>20255</v>
      </c>
      <c r="AI2694" s="6">
        <f t="shared" ca="1" si="751"/>
        <v>2025</v>
      </c>
      <c r="AJ2694" s="6">
        <f t="shared" ca="1" si="752"/>
        <v>5</v>
      </c>
      <c r="AK2694" s="68">
        <f ca="1">IFERROR(__xludf.DUMMYFUNCTION("""COMPUTED_VALUE"""),45789.9986111111)</f>
        <v>45789.998611111099</v>
      </c>
      <c r="AL2694" s="6">
        <f ca="1">IFERROR(__xludf.DUMMYFUNCTION("""COMPUTED_VALUE"""),104013.1)</f>
        <v>104013.1</v>
      </c>
      <c r="AP2694" s="6" t="str">
        <f t="shared" si="753"/>
        <v>19001</v>
      </c>
      <c r="AQ2694" s="6">
        <f t="shared" si="754"/>
        <v>1900</v>
      </c>
      <c r="AR2694" s="6">
        <f t="shared" si="755"/>
        <v>1</v>
      </c>
    </row>
    <row r="2695" spans="2:44" x14ac:dyDescent="0.35">
      <c r="B2695" s="6" t="str">
        <f t="shared" ref="B2695:B2758" si="756">C2695&amp;D2695</f>
        <v>19001</v>
      </c>
      <c r="C2695" s="6">
        <f t="shared" ref="C2695:C2758" si="757">YEAR(E2695)</f>
        <v>1900</v>
      </c>
      <c r="D2695" s="6">
        <f t="shared" ref="D2695:D2758" si="758">MONTH(E2695)</f>
        <v>1</v>
      </c>
      <c r="J2695" s="6" t="str">
        <f t="shared" ref="J2695:J2758" si="759">K2695&amp;L2695</f>
        <v>19001</v>
      </c>
      <c r="K2695" s="6">
        <f t="shared" ref="K2695:K2758" si="760">YEAR(M2695)</f>
        <v>1900</v>
      </c>
      <c r="L2695" s="6">
        <f t="shared" ref="L2695:L2758" si="761">MONTH(M2695)</f>
        <v>1</v>
      </c>
      <c r="R2695" s="6" t="str">
        <f t="shared" ref="R2695:R2758" si="762">S2695&amp;T2695</f>
        <v>19001</v>
      </c>
      <c r="S2695" s="6">
        <f t="shared" ref="S2695:S2758" si="763">YEAR(U2695)</f>
        <v>1900</v>
      </c>
      <c r="T2695" s="6">
        <f t="shared" ref="T2695:T2758" si="764">MONTH(U2695)</f>
        <v>1</v>
      </c>
      <c r="Z2695" s="6" t="str">
        <f t="shared" ref="Z2695:Z2758" ca="1" si="765">AA2695&amp;AB2695</f>
        <v>20257</v>
      </c>
      <c r="AA2695" s="6">
        <f t="shared" ref="AA2695:AA2758" ca="1" si="766">YEAR(AC2695)</f>
        <v>2025</v>
      </c>
      <c r="AB2695" s="6">
        <f t="shared" ref="AB2695:AB2758" ca="1" si="767">MONTH(AC2695)</f>
        <v>7</v>
      </c>
      <c r="AC2695" s="68">
        <f ca="1">IFERROR(__xludf.DUMMYFUNCTION("""COMPUTED_VALUE"""),45852.9986111111)</f>
        <v>45852.998611111099</v>
      </c>
      <c r="AD2695" s="6">
        <f ca="1">IFERROR(__xludf.DUMMYFUNCTION("""COMPUTED_VALUE"""),1382.01)</f>
        <v>1382.01</v>
      </c>
      <c r="AH2695" s="6" t="str">
        <f t="shared" ref="AH2695:AH2758" ca="1" si="768">AI2695&amp;AJ2695</f>
        <v>20255</v>
      </c>
      <c r="AI2695" s="6">
        <f t="shared" ref="AI2695:AI2758" ca="1" si="769">YEAR(AK2695)</f>
        <v>2025</v>
      </c>
      <c r="AJ2695" s="6">
        <f t="shared" ref="AJ2695:AJ2758" ca="1" si="770">MONTH(AK2695)</f>
        <v>5</v>
      </c>
      <c r="AK2695" s="68">
        <f ca="1">IFERROR(__xludf.DUMMYFUNCTION("""COMPUTED_VALUE"""),45790.9986111111)</f>
        <v>45790.998611111099</v>
      </c>
      <c r="AL2695" s="6">
        <f ca="1">IFERROR(__xludf.DUMMYFUNCTION("""COMPUTED_VALUE"""),101727)</f>
        <v>101727</v>
      </c>
      <c r="AP2695" s="6" t="str">
        <f t="shared" ref="AP2695:AP2758" si="771">AQ2695&amp;AR2695</f>
        <v>19001</v>
      </c>
      <c r="AQ2695" s="6">
        <f t="shared" ref="AQ2695:AQ2758" si="772">YEAR(AS2695)</f>
        <v>1900</v>
      </c>
      <c r="AR2695" s="6">
        <f t="shared" ref="AR2695:AR2758" si="773">MONTH(AS2695)</f>
        <v>1</v>
      </c>
    </row>
    <row r="2696" spans="2:44" x14ac:dyDescent="0.35">
      <c r="B2696" s="6" t="str">
        <f t="shared" si="756"/>
        <v>19001</v>
      </c>
      <c r="C2696" s="6">
        <f t="shared" si="757"/>
        <v>1900</v>
      </c>
      <c r="D2696" s="6">
        <f t="shared" si="758"/>
        <v>1</v>
      </c>
      <c r="J2696" s="6" t="str">
        <f t="shared" si="759"/>
        <v>19001</v>
      </c>
      <c r="K2696" s="6">
        <f t="shared" si="760"/>
        <v>1900</v>
      </c>
      <c r="L2696" s="6">
        <f t="shared" si="761"/>
        <v>1</v>
      </c>
      <c r="R2696" s="6" t="str">
        <f t="shared" si="762"/>
        <v>19001</v>
      </c>
      <c r="S2696" s="6">
        <f t="shared" si="763"/>
        <v>1900</v>
      </c>
      <c r="T2696" s="6">
        <f t="shared" si="764"/>
        <v>1</v>
      </c>
      <c r="Z2696" s="6" t="str">
        <f t="shared" ca="1" si="765"/>
        <v>20257</v>
      </c>
      <c r="AA2696" s="6">
        <f t="shared" ca="1" si="766"/>
        <v>2025</v>
      </c>
      <c r="AB2696" s="6">
        <f t="shared" ca="1" si="767"/>
        <v>7</v>
      </c>
      <c r="AC2696" s="68">
        <f ca="1">IFERROR(__xludf.DUMMYFUNCTION("""COMPUTED_VALUE"""),45853.9986111111)</f>
        <v>45853.998611111099</v>
      </c>
      <c r="AD2696" s="6">
        <f ca="1">IFERROR(__xludf.DUMMYFUNCTION("""COMPUTED_VALUE"""),1386.45)</f>
        <v>1386.45</v>
      </c>
      <c r="AH2696" s="6" t="str">
        <f t="shared" ca="1" si="768"/>
        <v>20255</v>
      </c>
      <c r="AI2696" s="6">
        <f t="shared" ca="1" si="769"/>
        <v>2025</v>
      </c>
      <c r="AJ2696" s="6">
        <f t="shared" ca="1" si="770"/>
        <v>5</v>
      </c>
      <c r="AK2696" s="68">
        <f ca="1">IFERROR(__xludf.DUMMYFUNCTION("""COMPUTED_VALUE"""),45791.9986111111)</f>
        <v>45791.998611111099</v>
      </c>
      <c r="AL2696" s="6">
        <f ca="1">IFERROR(__xludf.DUMMYFUNCTION("""COMPUTED_VALUE"""),103560.3)</f>
        <v>103560.3</v>
      </c>
      <c r="AP2696" s="6" t="str">
        <f t="shared" si="771"/>
        <v>19001</v>
      </c>
      <c r="AQ2696" s="6">
        <f t="shared" si="772"/>
        <v>1900</v>
      </c>
      <c r="AR2696" s="6">
        <f t="shared" si="773"/>
        <v>1</v>
      </c>
    </row>
    <row r="2697" spans="2:44" x14ac:dyDescent="0.35">
      <c r="B2697" s="6" t="str">
        <f t="shared" si="756"/>
        <v>19001</v>
      </c>
      <c r="C2697" s="6">
        <f t="shared" si="757"/>
        <v>1900</v>
      </c>
      <c r="D2697" s="6">
        <f t="shared" si="758"/>
        <v>1</v>
      </c>
      <c r="J2697" s="6" t="str">
        <f t="shared" si="759"/>
        <v>19001</v>
      </c>
      <c r="K2697" s="6">
        <f t="shared" si="760"/>
        <v>1900</v>
      </c>
      <c r="L2697" s="6">
        <f t="shared" si="761"/>
        <v>1</v>
      </c>
      <c r="R2697" s="6" t="str">
        <f t="shared" si="762"/>
        <v>19001</v>
      </c>
      <c r="S2697" s="6">
        <f t="shared" si="763"/>
        <v>1900</v>
      </c>
      <c r="T2697" s="6">
        <f t="shared" si="764"/>
        <v>1</v>
      </c>
      <c r="Z2697" s="6" t="str">
        <f t="shared" ca="1" si="765"/>
        <v>20257</v>
      </c>
      <c r="AA2697" s="6">
        <f t="shared" ca="1" si="766"/>
        <v>2025</v>
      </c>
      <c r="AB2697" s="6">
        <f t="shared" ca="1" si="767"/>
        <v>7</v>
      </c>
      <c r="AC2697" s="68">
        <f ca="1">IFERROR(__xludf.DUMMYFUNCTION("""COMPUTED_VALUE"""),45854.9986111111)</f>
        <v>45854.998611111099</v>
      </c>
      <c r="AD2697" s="6">
        <f ca="1">IFERROR(__xludf.DUMMYFUNCTION("""COMPUTED_VALUE"""),1384.92)</f>
        <v>1384.92</v>
      </c>
      <c r="AH2697" s="6" t="str">
        <f t="shared" ca="1" si="768"/>
        <v>20255</v>
      </c>
      <c r="AI2697" s="6">
        <f t="shared" ca="1" si="769"/>
        <v>2025</v>
      </c>
      <c r="AJ2697" s="6">
        <f t="shared" ca="1" si="770"/>
        <v>5</v>
      </c>
      <c r="AK2697" s="68">
        <f ca="1">IFERROR(__xludf.DUMMYFUNCTION("""COMPUTED_VALUE"""),45792.9986111111)</f>
        <v>45792.998611111099</v>
      </c>
      <c r="AL2697" s="6">
        <f ca="1">IFERROR(__xludf.DUMMYFUNCTION("""COMPUTED_VALUE"""),102821.2)</f>
        <v>102821.2</v>
      </c>
      <c r="AP2697" s="6" t="str">
        <f t="shared" si="771"/>
        <v>19001</v>
      </c>
      <c r="AQ2697" s="6">
        <f t="shared" si="772"/>
        <v>1900</v>
      </c>
      <c r="AR2697" s="6">
        <f t="shared" si="773"/>
        <v>1</v>
      </c>
    </row>
    <row r="2698" spans="2:44" x14ac:dyDescent="0.35">
      <c r="B2698" s="6" t="str">
        <f t="shared" si="756"/>
        <v>19001</v>
      </c>
      <c r="C2698" s="6">
        <f t="shared" si="757"/>
        <v>1900</v>
      </c>
      <c r="D2698" s="6">
        <f t="shared" si="758"/>
        <v>1</v>
      </c>
      <c r="J2698" s="6" t="str">
        <f t="shared" si="759"/>
        <v>19001</v>
      </c>
      <c r="K2698" s="6">
        <f t="shared" si="760"/>
        <v>1900</v>
      </c>
      <c r="L2698" s="6">
        <f t="shared" si="761"/>
        <v>1</v>
      </c>
      <c r="R2698" s="6" t="str">
        <f t="shared" si="762"/>
        <v>19001</v>
      </c>
      <c r="S2698" s="6">
        <f t="shared" si="763"/>
        <v>1900</v>
      </c>
      <c r="T2698" s="6">
        <f t="shared" si="764"/>
        <v>1</v>
      </c>
      <c r="Z2698" s="6" t="str">
        <f t="shared" ca="1" si="765"/>
        <v>20257</v>
      </c>
      <c r="AA2698" s="6">
        <f t="shared" ca="1" si="766"/>
        <v>2025</v>
      </c>
      <c r="AB2698" s="6">
        <f t="shared" ca="1" si="767"/>
        <v>7</v>
      </c>
      <c r="AC2698" s="68">
        <f ca="1">IFERROR(__xludf.DUMMYFUNCTION("""COMPUTED_VALUE"""),45855.9986111111)</f>
        <v>45855.998611111099</v>
      </c>
      <c r="AD2698" s="6">
        <f ca="1">IFERROR(__xludf.DUMMYFUNCTION("""COMPUTED_VALUE"""),1391.58)</f>
        <v>1391.58</v>
      </c>
      <c r="AH2698" s="6" t="str">
        <f t="shared" ca="1" si="768"/>
        <v>20255</v>
      </c>
      <c r="AI2698" s="6">
        <f t="shared" ca="1" si="769"/>
        <v>2025</v>
      </c>
      <c r="AJ2698" s="6">
        <f t="shared" ca="1" si="770"/>
        <v>5</v>
      </c>
      <c r="AK2698" s="68">
        <f ca="1">IFERROR(__xludf.DUMMYFUNCTION("""COMPUTED_VALUE"""),45793.9986111111)</f>
        <v>45793.998611111099</v>
      </c>
      <c r="AL2698" s="6">
        <f ca="1">IFERROR(__xludf.DUMMYFUNCTION("""COMPUTED_VALUE"""),104050.1)</f>
        <v>104050.1</v>
      </c>
      <c r="AP2698" s="6" t="str">
        <f t="shared" si="771"/>
        <v>19001</v>
      </c>
      <c r="AQ2698" s="6">
        <f t="shared" si="772"/>
        <v>1900</v>
      </c>
      <c r="AR2698" s="6">
        <f t="shared" si="773"/>
        <v>1</v>
      </c>
    </row>
    <row r="2699" spans="2:44" x14ac:dyDescent="0.35">
      <c r="B2699" s="6" t="str">
        <f t="shared" si="756"/>
        <v>19001</v>
      </c>
      <c r="C2699" s="6">
        <f t="shared" si="757"/>
        <v>1900</v>
      </c>
      <c r="D2699" s="6">
        <f t="shared" si="758"/>
        <v>1</v>
      </c>
      <c r="J2699" s="6" t="str">
        <f t="shared" si="759"/>
        <v>19001</v>
      </c>
      <c r="K2699" s="6">
        <f t="shared" si="760"/>
        <v>1900</v>
      </c>
      <c r="L2699" s="6">
        <f t="shared" si="761"/>
        <v>1</v>
      </c>
      <c r="R2699" s="6" t="str">
        <f t="shared" si="762"/>
        <v>19001</v>
      </c>
      <c r="S2699" s="6">
        <f t="shared" si="763"/>
        <v>1900</v>
      </c>
      <c r="T2699" s="6">
        <f t="shared" si="764"/>
        <v>1</v>
      </c>
      <c r="Z2699" s="6" t="str">
        <f t="shared" ca="1" si="765"/>
        <v>20257</v>
      </c>
      <c r="AA2699" s="6">
        <f t="shared" ca="1" si="766"/>
        <v>2025</v>
      </c>
      <c r="AB2699" s="6">
        <f t="shared" ca="1" si="767"/>
        <v>7</v>
      </c>
      <c r="AC2699" s="68">
        <f ca="1">IFERROR(__xludf.DUMMYFUNCTION("""COMPUTED_VALUE"""),45856.9986111111)</f>
        <v>45856.998611111099</v>
      </c>
      <c r="AD2699" s="6">
        <f ca="1">IFERROR(__xludf.DUMMYFUNCTION("""COMPUTED_VALUE"""),1390.2)</f>
        <v>1390.2</v>
      </c>
      <c r="AH2699" s="6" t="str">
        <f t="shared" ca="1" si="768"/>
        <v>20255</v>
      </c>
      <c r="AI2699" s="6">
        <f t="shared" ca="1" si="769"/>
        <v>2025</v>
      </c>
      <c r="AJ2699" s="6">
        <f t="shared" ca="1" si="770"/>
        <v>5</v>
      </c>
      <c r="AK2699" s="68">
        <f ca="1">IFERROR(__xludf.DUMMYFUNCTION("""COMPUTED_VALUE"""),45794.9986111111)</f>
        <v>45794.998611111099</v>
      </c>
      <c r="AL2699" s="6">
        <f ca="1">IFERROR(__xludf.DUMMYFUNCTION("""COMPUTED_VALUE"""),103536.5)</f>
        <v>103536.5</v>
      </c>
      <c r="AP2699" s="6" t="str">
        <f t="shared" si="771"/>
        <v>19001</v>
      </c>
      <c r="AQ2699" s="6">
        <f t="shared" si="772"/>
        <v>1900</v>
      </c>
      <c r="AR2699" s="6">
        <f t="shared" si="773"/>
        <v>1</v>
      </c>
    </row>
    <row r="2700" spans="2:44" x14ac:dyDescent="0.35">
      <c r="B2700" s="6" t="str">
        <f t="shared" si="756"/>
        <v>19001</v>
      </c>
      <c r="C2700" s="6">
        <f t="shared" si="757"/>
        <v>1900</v>
      </c>
      <c r="D2700" s="6">
        <f t="shared" si="758"/>
        <v>1</v>
      </c>
      <c r="J2700" s="6" t="str">
        <f t="shared" si="759"/>
        <v>19001</v>
      </c>
      <c r="K2700" s="6">
        <f t="shared" si="760"/>
        <v>1900</v>
      </c>
      <c r="L2700" s="6">
        <f t="shared" si="761"/>
        <v>1</v>
      </c>
      <c r="R2700" s="6" t="str">
        <f t="shared" si="762"/>
        <v>19001</v>
      </c>
      <c r="S2700" s="6">
        <f t="shared" si="763"/>
        <v>1900</v>
      </c>
      <c r="T2700" s="6">
        <f t="shared" si="764"/>
        <v>1</v>
      </c>
      <c r="Z2700" s="6" t="str">
        <f t="shared" ca="1" si="765"/>
        <v>20257</v>
      </c>
      <c r="AA2700" s="6">
        <f t="shared" ca="1" si="766"/>
        <v>2025</v>
      </c>
      <c r="AB2700" s="6">
        <f t="shared" ca="1" si="767"/>
        <v>7</v>
      </c>
      <c r="AC2700" s="68">
        <f ca="1">IFERROR(__xludf.DUMMYFUNCTION("""COMPUTED_VALUE"""),45857.9986111111)</f>
        <v>45857.998611111099</v>
      </c>
      <c r="AD2700" s="6">
        <f ca="1">IFERROR(__xludf.DUMMYFUNCTION("""COMPUTED_VALUE"""),1390.1)</f>
        <v>1390.1</v>
      </c>
      <c r="AH2700" s="6" t="str">
        <f t="shared" ca="1" si="768"/>
        <v>20255</v>
      </c>
      <c r="AI2700" s="6">
        <f t="shared" ca="1" si="769"/>
        <v>2025</v>
      </c>
      <c r="AJ2700" s="6">
        <f t="shared" ca="1" si="770"/>
        <v>5</v>
      </c>
      <c r="AK2700" s="68">
        <f ca="1">IFERROR(__xludf.DUMMYFUNCTION("""COMPUTED_VALUE"""),45795.9986111111)</f>
        <v>45795.998611111099</v>
      </c>
      <c r="AL2700" s="6">
        <f ca="1">IFERROR(__xludf.DUMMYFUNCTION("""COMPUTED_VALUE"""),103298)</f>
        <v>103298</v>
      </c>
      <c r="AP2700" s="6" t="str">
        <f t="shared" si="771"/>
        <v>19001</v>
      </c>
      <c r="AQ2700" s="6">
        <f t="shared" si="772"/>
        <v>1900</v>
      </c>
      <c r="AR2700" s="6">
        <f t="shared" si="773"/>
        <v>1</v>
      </c>
    </row>
    <row r="2701" spans="2:44" x14ac:dyDescent="0.35">
      <c r="B2701" s="6" t="str">
        <f t="shared" si="756"/>
        <v>19001</v>
      </c>
      <c r="C2701" s="6">
        <f t="shared" si="757"/>
        <v>1900</v>
      </c>
      <c r="D2701" s="6">
        <f t="shared" si="758"/>
        <v>1</v>
      </c>
      <c r="J2701" s="6" t="str">
        <f t="shared" si="759"/>
        <v>19001</v>
      </c>
      <c r="K2701" s="6">
        <f t="shared" si="760"/>
        <v>1900</v>
      </c>
      <c r="L2701" s="6">
        <f t="shared" si="761"/>
        <v>1</v>
      </c>
      <c r="R2701" s="6" t="str">
        <f t="shared" si="762"/>
        <v>19001</v>
      </c>
      <c r="S2701" s="6">
        <f t="shared" si="763"/>
        <v>1900</v>
      </c>
      <c r="T2701" s="6">
        <f t="shared" si="764"/>
        <v>1</v>
      </c>
      <c r="Z2701" s="6" t="str">
        <f t="shared" ca="1" si="765"/>
        <v>20257</v>
      </c>
      <c r="AA2701" s="6">
        <f t="shared" ca="1" si="766"/>
        <v>2025</v>
      </c>
      <c r="AB2701" s="6">
        <f t="shared" ca="1" si="767"/>
        <v>7</v>
      </c>
      <c r="AC2701" s="68">
        <f ca="1">IFERROR(__xludf.DUMMYFUNCTION("""COMPUTED_VALUE"""),45858.9986111111)</f>
        <v>45858.998611111099</v>
      </c>
      <c r="AD2701" s="6">
        <f ca="1">IFERROR(__xludf.DUMMYFUNCTION("""COMPUTED_VALUE"""),1390.57)</f>
        <v>1390.57</v>
      </c>
      <c r="AH2701" s="6" t="str">
        <f t="shared" ca="1" si="768"/>
        <v>20255</v>
      </c>
      <c r="AI2701" s="6">
        <f t="shared" ca="1" si="769"/>
        <v>2025</v>
      </c>
      <c r="AJ2701" s="6">
        <f t="shared" ca="1" si="770"/>
        <v>5</v>
      </c>
      <c r="AK2701" s="68">
        <f ca="1">IFERROR(__xludf.DUMMYFUNCTION("""COMPUTED_VALUE"""),45796.9986111111)</f>
        <v>45796.998611111099</v>
      </c>
      <c r="AL2701" s="6">
        <f ca="1">IFERROR(__xludf.DUMMYFUNCTION("""COMPUTED_VALUE"""),103640.2)</f>
        <v>103640.2</v>
      </c>
      <c r="AP2701" s="6" t="str">
        <f t="shared" si="771"/>
        <v>19001</v>
      </c>
      <c r="AQ2701" s="6">
        <f t="shared" si="772"/>
        <v>1900</v>
      </c>
      <c r="AR2701" s="6">
        <f t="shared" si="773"/>
        <v>1</v>
      </c>
    </row>
    <row r="2702" spans="2:44" x14ac:dyDescent="0.35">
      <c r="B2702" s="6" t="str">
        <f t="shared" si="756"/>
        <v>19001</v>
      </c>
      <c r="C2702" s="6">
        <f t="shared" si="757"/>
        <v>1900</v>
      </c>
      <c r="D2702" s="6">
        <f t="shared" si="758"/>
        <v>1</v>
      </c>
      <c r="J2702" s="6" t="str">
        <f t="shared" si="759"/>
        <v>19001</v>
      </c>
      <c r="K2702" s="6">
        <f t="shared" si="760"/>
        <v>1900</v>
      </c>
      <c r="L2702" s="6">
        <f t="shared" si="761"/>
        <v>1</v>
      </c>
      <c r="R2702" s="6" t="str">
        <f t="shared" si="762"/>
        <v>19001</v>
      </c>
      <c r="S2702" s="6">
        <f t="shared" si="763"/>
        <v>1900</v>
      </c>
      <c r="T2702" s="6">
        <f t="shared" si="764"/>
        <v>1</v>
      </c>
      <c r="Z2702" s="6" t="str">
        <f t="shared" ca="1" si="765"/>
        <v>20257</v>
      </c>
      <c r="AA2702" s="6">
        <f t="shared" ca="1" si="766"/>
        <v>2025</v>
      </c>
      <c r="AB2702" s="6">
        <f t="shared" ca="1" si="767"/>
        <v>7</v>
      </c>
      <c r="AC2702" s="68">
        <f ca="1">IFERROR(__xludf.DUMMYFUNCTION("""COMPUTED_VALUE"""),45859.9986111111)</f>
        <v>45859.998611111099</v>
      </c>
      <c r="AD2702" s="6">
        <f ca="1">IFERROR(__xludf.DUMMYFUNCTION("""COMPUTED_VALUE"""),1381.82)</f>
        <v>1381.82</v>
      </c>
      <c r="AH2702" s="6" t="str">
        <f t="shared" ca="1" si="768"/>
        <v>20255</v>
      </c>
      <c r="AI2702" s="6">
        <f t="shared" ca="1" si="769"/>
        <v>2025</v>
      </c>
      <c r="AJ2702" s="6">
        <f t="shared" ca="1" si="770"/>
        <v>5</v>
      </c>
      <c r="AK2702" s="68">
        <f ca="1">IFERROR(__xludf.DUMMYFUNCTION("""COMPUTED_VALUE"""),45797.9986111111)</f>
        <v>45797.998611111099</v>
      </c>
      <c r="AL2702" s="6">
        <f ca="1">IFERROR(__xludf.DUMMYFUNCTION("""COMPUTED_VALUE"""),105707.1)</f>
        <v>105707.1</v>
      </c>
      <c r="AP2702" s="6" t="str">
        <f t="shared" si="771"/>
        <v>19001</v>
      </c>
      <c r="AQ2702" s="6">
        <f t="shared" si="772"/>
        <v>1900</v>
      </c>
      <c r="AR2702" s="6">
        <f t="shared" si="773"/>
        <v>1</v>
      </c>
    </row>
    <row r="2703" spans="2:44" x14ac:dyDescent="0.35">
      <c r="B2703" s="6" t="str">
        <f t="shared" si="756"/>
        <v>19001</v>
      </c>
      <c r="C2703" s="6">
        <f t="shared" si="757"/>
        <v>1900</v>
      </c>
      <c r="D2703" s="6">
        <f t="shared" si="758"/>
        <v>1</v>
      </c>
      <c r="J2703" s="6" t="str">
        <f t="shared" si="759"/>
        <v>19001</v>
      </c>
      <c r="K2703" s="6">
        <f t="shared" si="760"/>
        <v>1900</v>
      </c>
      <c r="L2703" s="6">
        <f t="shared" si="761"/>
        <v>1</v>
      </c>
      <c r="R2703" s="6" t="str">
        <f t="shared" si="762"/>
        <v>19001</v>
      </c>
      <c r="S2703" s="6">
        <f t="shared" si="763"/>
        <v>1900</v>
      </c>
      <c r="T2703" s="6">
        <f t="shared" si="764"/>
        <v>1</v>
      </c>
      <c r="Z2703" s="6" t="str">
        <f t="shared" ca="1" si="765"/>
        <v>20257</v>
      </c>
      <c r="AA2703" s="6">
        <f t="shared" ca="1" si="766"/>
        <v>2025</v>
      </c>
      <c r="AB2703" s="6">
        <f t="shared" ca="1" si="767"/>
        <v>7</v>
      </c>
      <c r="AC2703" s="68">
        <f ca="1">IFERROR(__xludf.DUMMYFUNCTION("""COMPUTED_VALUE"""),45860.9986111111)</f>
        <v>45860.998611111099</v>
      </c>
      <c r="AD2703" s="6">
        <f ca="1">IFERROR(__xludf.DUMMYFUNCTION("""COMPUTED_VALUE"""),1379.78)</f>
        <v>1379.78</v>
      </c>
      <c r="AH2703" s="6" t="str">
        <f t="shared" ca="1" si="768"/>
        <v>20255</v>
      </c>
      <c r="AI2703" s="6">
        <f t="shared" ca="1" si="769"/>
        <v>2025</v>
      </c>
      <c r="AJ2703" s="6">
        <f t="shared" ca="1" si="770"/>
        <v>5</v>
      </c>
      <c r="AK2703" s="68">
        <f ca="1">IFERROR(__xludf.DUMMYFUNCTION("""COMPUTED_VALUE"""),45798.9986111111)</f>
        <v>45798.998611111099</v>
      </c>
      <c r="AL2703" s="6">
        <f ca="1">IFERROR(__xludf.DUMMYFUNCTION("""COMPUTED_VALUE"""),106859.6)</f>
        <v>106859.6</v>
      </c>
      <c r="AP2703" s="6" t="str">
        <f t="shared" si="771"/>
        <v>19001</v>
      </c>
      <c r="AQ2703" s="6">
        <f t="shared" si="772"/>
        <v>1900</v>
      </c>
      <c r="AR2703" s="6">
        <f t="shared" si="773"/>
        <v>1</v>
      </c>
    </row>
    <row r="2704" spans="2:44" x14ac:dyDescent="0.35">
      <c r="B2704" s="6" t="str">
        <f t="shared" si="756"/>
        <v>19001</v>
      </c>
      <c r="C2704" s="6">
        <f t="shared" si="757"/>
        <v>1900</v>
      </c>
      <c r="D2704" s="6">
        <f t="shared" si="758"/>
        <v>1</v>
      </c>
      <c r="J2704" s="6" t="str">
        <f t="shared" si="759"/>
        <v>19001</v>
      </c>
      <c r="K2704" s="6">
        <f t="shared" si="760"/>
        <v>1900</v>
      </c>
      <c r="L2704" s="6">
        <f t="shared" si="761"/>
        <v>1</v>
      </c>
      <c r="R2704" s="6" t="str">
        <f t="shared" si="762"/>
        <v>19001</v>
      </c>
      <c r="S2704" s="6">
        <f t="shared" si="763"/>
        <v>1900</v>
      </c>
      <c r="T2704" s="6">
        <f t="shared" si="764"/>
        <v>1</v>
      </c>
      <c r="Z2704" s="6" t="str">
        <f t="shared" ca="1" si="765"/>
        <v>20257</v>
      </c>
      <c r="AA2704" s="6">
        <f t="shared" ca="1" si="766"/>
        <v>2025</v>
      </c>
      <c r="AB2704" s="6">
        <f t="shared" ca="1" si="767"/>
        <v>7</v>
      </c>
      <c r="AC2704" s="68">
        <f ca="1">IFERROR(__xludf.DUMMYFUNCTION("""COMPUTED_VALUE"""),45861.9986111111)</f>
        <v>45861.998611111099</v>
      </c>
      <c r="AD2704" s="6">
        <f ca="1">IFERROR(__xludf.DUMMYFUNCTION("""COMPUTED_VALUE"""),1373.72)</f>
        <v>1373.72</v>
      </c>
      <c r="AH2704" s="6" t="str">
        <f t="shared" ca="1" si="768"/>
        <v>20255</v>
      </c>
      <c r="AI2704" s="6">
        <f t="shared" ca="1" si="769"/>
        <v>2025</v>
      </c>
      <c r="AJ2704" s="6">
        <f t="shared" ca="1" si="770"/>
        <v>5</v>
      </c>
      <c r="AK2704" s="68">
        <f ca="1">IFERROR(__xludf.DUMMYFUNCTION("""COMPUTED_VALUE"""),45799.9986111111)</f>
        <v>45799.998611111099</v>
      </c>
      <c r="AL2704" s="6">
        <f ca="1">IFERROR(__xludf.DUMMYFUNCTION("""COMPUTED_VALUE"""),111681.7)</f>
        <v>111681.7</v>
      </c>
      <c r="AP2704" s="6" t="str">
        <f t="shared" si="771"/>
        <v>19001</v>
      </c>
      <c r="AQ2704" s="6">
        <f t="shared" si="772"/>
        <v>1900</v>
      </c>
      <c r="AR2704" s="6">
        <f t="shared" si="773"/>
        <v>1</v>
      </c>
    </row>
    <row r="2705" spans="2:44" x14ac:dyDescent="0.35">
      <c r="B2705" s="6" t="str">
        <f t="shared" si="756"/>
        <v>19001</v>
      </c>
      <c r="C2705" s="6">
        <f t="shared" si="757"/>
        <v>1900</v>
      </c>
      <c r="D2705" s="6">
        <f t="shared" si="758"/>
        <v>1</v>
      </c>
      <c r="J2705" s="6" t="str">
        <f t="shared" si="759"/>
        <v>19001</v>
      </c>
      <c r="K2705" s="6">
        <f t="shared" si="760"/>
        <v>1900</v>
      </c>
      <c r="L2705" s="6">
        <f t="shared" si="761"/>
        <v>1</v>
      </c>
      <c r="R2705" s="6" t="str">
        <f t="shared" si="762"/>
        <v>19001</v>
      </c>
      <c r="S2705" s="6">
        <f t="shared" si="763"/>
        <v>1900</v>
      </c>
      <c r="T2705" s="6">
        <f t="shared" si="764"/>
        <v>1</v>
      </c>
      <c r="Z2705" s="6" t="str">
        <f t="shared" ca="1" si="765"/>
        <v>20257</v>
      </c>
      <c r="AA2705" s="6">
        <f t="shared" ca="1" si="766"/>
        <v>2025</v>
      </c>
      <c r="AB2705" s="6">
        <f t="shared" ca="1" si="767"/>
        <v>7</v>
      </c>
      <c r="AC2705" s="68">
        <f ca="1">IFERROR(__xludf.DUMMYFUNCTION("""COMPUTED_VALUE"""),45862.9986111111)</f>
        <v>45862.998611111099</v>
      </c>
      <c r="AD2705" s="6">
        <f ca="1">IFERROR(__xludf.DUMMYFUNCTION("""COMPUTED_VALUE"""),1372)</f>
        <v>1372</v>
      </c>
      <c r="AH2705" s="6" t="str">
        <f t="shared" ca="1" si="768"/>
        <v>20255</v>
      </c>
      <c r="AI2705" s="6">
        <f t="shared" ca="1" si="769"/>
        <v>2025</v>
      </c>
      <c r="AJ2705" s="6">
        <f t="shared" ca="1" si="770"/>
        <v>5</v>
      </c>
      <c r="AK2705" s="68">
        <f ca="1">IFERROR(__xludf.DUMMYFUNCTION("""COMPUTED_VALUE"""),45800.9986111111)</f>
        <v>45800.998611111099</v>
      </c>
      <c r="AL2705" s="6">
        <f ca="1">IFERROR(__xludf.DUMMYFUNCTION("""COMPUTED_VALUE"""),111088.5)</f>
        <v>111088.5</v>
      </c>
      <c r="AP2705" s="6" t="str">
        <f t="shared" si="771"/>
        <v>19001</v>
      </c>
      <c r="AQ2705" s="6">
        <f t="shared" si="772"/>
        <v>1900</v>
      </c>
      <c r="AR2705" s="6">
        <f t="shared" si="773"/>
        <v>1</v>
      </c>
    </row>
    <row r="2706" spans="2:44" x14ac:dyDescent="0.35">
      <c r="B2706" s="6" t="str">
        <f t="shared" si="756"/>
        <v>19001</v>
      </c>
      <c r="C2706" s="6">
        <f t="shared" si="757"/>
        <v>1900</v>
      </c>
      <c r="D2706" s="6">
        <f t="shared" si="758"/>
        <v>1</v>
      </c>
      <c r="J2706" s="6" t="str">
        <f t="shared" si="759"/>
        <v>19001</v>
      </c>
      <c r="K2706" s="6">
        <f t="shared" si="760"/>
        <v>1900</v>
      </c>
      <c r="L2706" s="6">
        <f t="shared" si="761"/>
        <v>1</v>
      </c>
      <c r="R2706" s="6" t="str">
        <f t="shared" si="762"/>
        <v>19001</v>
      </c>
      <c r="S2706" s="6">
        <f t="shared" si="763"/>
        <v>1900</v>
      </c>
      <c r="T2706" s="6">
        <f t="shared" si="764"/>
        <v>1</v>
      </c>
      <c r="Z2706" s="6" t="str">
        <f t="shared" ca="1" si="765"/>
        <v>20257</v>
      </c>
      <c r="AA2706" s="6">
        <f t="shared" ca="1" si="766"/>
        <v>2025</v>
      </c>
      <c r="AB2706" s="6">
        <f t="shared" ca="1" si="767"/>
        <v>7</v>
      </c>
      <c r="AC2706" s="68">
        <f ca="1">IFERROR(__xludf.DUMMYFUNCTION("""COMPUTED_VALUE"""),45863.9986111111)</f>
        <v>45863.998611111099</v>
      </c>
      <c r="AD2706" s="6">
        <f ca="1">IFERROR(__xludf.DUMMYFUNCTION("""COMPUTED_VALUE"""),1382.12)</f>
        <v>1382.12</v>
      </c>
      <c r="AH2706" s="6" t="str">
        <f t="shared" ca="1" si="768"/>
        <v>20255</v>
      </c>
      <c r="AI2706" s="6">
        <f t="shared" ca="1" si="769"/>
        <v>2025</v>
      </c>
      <c r="AJ2706" s="6">
        <f t="shared" ca="1" si="770"/>
        <v>5</v>
      </c>
      <c r="AK2706" s="68">
        <f ca="1">IFERROR(__xludf.DUMMYFUNCTION("""COMPUTED_VALUE"""),45801.9986111111)</f>
        <v>45801.998611111099</v>
      </c>
      <c r="AL2706" s="6">
        <f ca="1">IFERROR(__xludf.DUMMYFUNCTION("""COMPUTED_VALUE"""),108333.4)</f>
        <v>108333.4</v>
      </c>
      <c r="AP2706" s="6" t="str">
        <f t="shared" si="771"/>
        <v>19001</v>
      </c>
      <c r="AQ2706" s="6">
        <f t="shared" si="772"/>
        <v>1900</v>
      </c>
      <c r="AR2706" s="6">
        <f t="shared" si="773"/>
        <v>1</v>
      </c>
    </row>
    <row r="2707" spans="2:44" x14ac:dyDescent="0.35">
      <c r="B2707" s="6" t="str">
        <f t="shared" si="756"/>
        <v>19001</v>
      </c>
      <c r="C2707" s="6">
        <f t="shared" si="757"/>
        <v>1900</v>
      </c>
      <c r="D2707" s="6">
        <f t="shared" si="758"/>
        <v>1</v>
      </c>
      <c r="J2707" s="6" t="str">
        <f t="shared" si="759"/>
        <v>19001</v>
      </c>
      <c r="K2707" s="6">
        <f t="shared" si="760"/>
        <v>1900</v>
      </c>
      <c r="L2707" s="6">
        <f t="shared" si="761"/>
        <v>1</v>
      </c>
      <c r="R2707" s="6" t="str">
        <f t="shared" si="762"/>
        <v>19001</v>
      </c>
      <c r="S2707" s="6">
        <f t="shared" si="763"/>
        <v>1900</v>
      </c>
      <c r="T2707" s="6">
        <f t="shared" si="764"/>
        <v>1</v>
      </c>
      <c r="Z2707" s="6" t="str">
        <f t="shared" ca="1" si="765"/>
        <v>20257</v>
      </c>
      <c r="AA2707" s="6">
        <f t="shared" ca="1" si="766"/>
        <v>2025</v>
      </c>
      <c r="AB2707" s="6">
        <f t="shared" ca="1" si="767"/>
        <v>7</v>
      </c>
      <c r="AC2707" s="68">
        <f ca="1">IFERROR(__xludf.DUMMYFUNCTION("""COMPUTED_VALUE"""),45864.9986111111)</f>
        <v>45864.998611111099</v>
      </c>
      <c r="AD2707" s="6">
        <f ca="1">IFERROR(__xludf.DUMMYFUNCTION("""COMPUTED_VALUE"""),1381.64)</f>
        <v>1381.64</v>
      </c>
      <c r="AH2707" s="6" t="str">
        <f t="shared" ca="1" si="768"/>
        <v>20255</v>
      </c>
      <c r="AI2707" s="6">
        <f t="shared" ca="1" si="769"/>
        <v>2025</v>
      </c>
      <c r="AJ2707" s="6">
        <f t="shared" ca="1" si="770"/>
        <v>5</v>
      </c>
      <c r="AK2707" s="68">
        <f ca="1">IFERROR(__xludf.DUMMYFUNCTION("""COMPUTED_VALUE"""),45802.9986111111)</f>
        <v>45802.998611111099</v>
      </c>
      <c r="AL2707" s="6">
        <f ca="1">IFERROR(__xludf.DUMMYFUNCTION("""COMPUTED_VALUE"""),108096.5)</f>
        <v>108096.5</v>
      </c>
      <c r="AP2707" s="6" t="str">
        <f t="shared" si="771"/>
        <v>19001</v>
      </c>
      <c r="AQ2707" s="6">
        <f t="shared" si="772"/>
        <v>1900</v>
      </c>
      <c r="AR2707" s="6">
        <f t="shared" si="773"/>
        <v>1</v>
      </c>
    </row>
    <row r="2708" spans="2:44" x14ac:dyDescent="0.35">
      <c r="B2708" s="6" t="str">
        <f t="shared" si="756"/>
        <v>19001</v>
      </c>
      <c r="C2708" s="6">
        <f t="shared" si="757"/>
        <v>1900</v>
      </c>
      <c r="D2708" s="6">
        <f t="shared" si="758"/>
        <v>1</v>
      </c>
      <c r="J2708" s="6" t="str">
        <f t="shared" si="759"/>
        <v>19001</v>
      </c>
      <c r="K2708" s="6">
        <f t="shared" si="760"/>
        <v>1900</v>
      </c>
      <c r="L2708" s="6">
        <f t="shared" si="761"/>
        <v>1</v>
      </c>
      <c r="R2708" s="6" t="str">
        <f t="shared" si="762"/>
        <v>19001</v>
      </c>
      <c r="S2708" s="6">
        <f t="shared" si="763"/>
        <v>1900</v>
      </c>
      <c r="T2708" s="6">
        <f t="shared" si="764"/>
        <v>1</v>
      </c>
      <c r="Z2708" s="6" t="str">
        <f t="shared" ca="1" si="765"/>
        <v>20257</v>
      </c>
      <c r="AA2708" s="6">
        <f t="shared" ca="1" si="766"/>
        <v>2025</v>
      </c>
      <c r="AB2708" s="6">
        <f t="shared" ca="1" si="767"/>
        <v>7</v>
      </c>
      <c r="AC2708" s="68">
        <f ca="1">IFERROR(__xludf.DUMMYFUNCTION("""COMPUTED_VALUE"""),45865.9986111111)</f>
        <v>45865.998611111099</v>
      </c>
      <c r="AD2708" s="6">
        <f ca="1">IFERROR(__xludf.DUMMYFUNCTION("""COMPUTED_VALUE"""),1382.78)</f>
        <v>1382.78</v>
      </c>
      <c r="AH2708" s="6" t="str">
        <f t="shared" ca="1" si="768"/>
        <v>20255</v>
      </c>
      <c r="AI2708" s="6">
        <f t="shared" ca="1" si="769"/>
        <v>2025</v>
      </c>
      <c r="AJ2708" s="6">
        <f t="shared" ca="1" si="770"/>
        <v>5</v>
      </c>
      <c r="AK2708" s="68">
        <f ca="1">IFERROR(__xludf.DUMMYFUNCTION("""COMPUTED_VALUE"""),45803.9986111111)</f>
        <v>45803.998611111099</v>
      </c>
      <c r="AL2708" s="6">
        <f ca="1">IFERROR(__xludf.DUMMYFUNCTION("""COMPUTED_VALUE"""),109641.5)</f>
        <v>109641.5</v>
      </c>
      <c r="AP2708" s="6" t="str">
        <f t="shared" si="771"/>
        <v>19001</v>
      </c>
      <c r="AQ2708" s="6">
        <f t="shared" si="772"/>
        <v>1900</v>
      </c>
      <c r="AR2708" s="6">
        <f t="shared" si="773"/>
        <v>1</v>
      </c>
    </row>
    <row r="2709" spans="2:44" x14ac:dyDescent="0.35">
      <c r="B2709" s="6" t="str">
        <f t="shared" si="756"/>
        <v>19001</v>
      </c>
      <c r="C2709" s="6">
        <f t="shared" si="757"/>
        <v>1900</v>
      </c>
      <c r="D2709" s="6">
        <f t="shared" si="758"/>
        <v>1</v>
      </c>
      <c r="J2709" s="6" t="str">
        <f t="shared" si="759"/>
        <v>19001</v>
      </c>
      <c r="K2709" s="6">
        <f t="shared" si="760"/>
        <v>1900</v>
      </c>
      <c r="L2709" s="6">
        <f t="shared" si="761"/>
        <v>1</v>
      </c>
      <c r="R2709" s="6" t="str">
        <f t="shared" si="762"/>
        <v>19001</v>
      </c>
      <c r="S2709" s="6">
        <f t="shared" si="763"/>
        <v>1900</v>
      </c>
      <c r="T2709" s="6">
        <f t="shared" si="764"/>
        <v>1</v>
      </c>
      <c r="Z2709" s="6" t="str">
        <f t="shared" ca="1" si="765"/>
        <v>20257</v>
      </c>
      <c r="AA2709" s="6">
        <f t="shared" ca="1" si="766"/>
        <v>2025</v>
      </c>
      <c r="AB2709" s="6">
        <f t="shared" ca="1" si="767"/>
        <v>7</v>
      </c>
      <c r="AC2709" s="68">
        <f ca="1">IFERROR(__xludf.DUMMYFUNCTION("""COMPUTED_VALUE"""),45866.9986111111)</f>
        <v>45866.998611111099</v>
      </c>
      <c r="AD2709" s="6">
        <f ca="1">IFERROR(__xludf.DUMMYFUNCTION("""COMPUTED_VALUE"""),1388.29)</f>
        <v>1388.29</v>
      </c>
      <c r="AH2709" s="6" t="str">
        <f t="shared" ca="1" si="768"/>
        <v>20255</v>
      </c>
      <c r="AI2709" s="6">
        <f t="shared" ca="1" si="769"/>
        <v>2025</v>
      </c>
      <c r="AJ2709" s="6">
        <f t="shared" ca="1" si="770"/>
        <v>5</v>
      </c>
      <c r="AK2709" s="68">
        <f ca="1">IFERROR(__xludf.DUMMYFUNCTION("""COMPUTED_VALUE"""),45804.9986111111)</f>
        <v>45804.998611111099</v>
      </c>
      <c r="AL2709" s="6">
        <f ca="1">IFERROR(__xludf.DUMMYFUNCTION("""COMPUTED_VALUE"""),108927.6)</f>
        <v>108927.6</v>
      </c>
      <c r="AP2709" s="6" t="str">
        <f t="shared" si="771"/>
        <v>19001</v>
      </c>
      <c r="AQ2709" s="6">
        <f t="shared" si="772"/>
        <v>1900</v>
      </c>
      <c r="AR2709" s="6">
        <f t="shared" si="773"/>
        <v>1</v>
      </c>
    </row>
    <row r="2710" spans="2:44" x14ac:dyDescent="0.35">
      <c r="B2710" s="6" t="str">
        <f t="shared" si="756"/>
        <v>19001</v>
      </c>
      <c r="C2710" s="6">
        <f t="shared" si="757"/>
        <v>1900</v>
      </c>
      <c r="D2710" s="6">
        <f t="shared" si="758"/>
        <v>1</v>
      </c>
      <c r="J2710" s="6" t="str">
        <f t="shared" si="759"/>
        <v>19001</v>
      </c>
      <c r="K2710" s="6">
        <f t="shared" si="760"/>
        <v>1900</v>
      </c>
      <c r="L2710" s="6">
        <f t="shared" si="761"/>
        <v>1</v>
      </c>
      <c r="R2710" s="6" t="str">
        <f t="shared" si="762"/>
        <v>19001</v>
      </c>
      <c r="S2710" s="6">
        <f t="shared" si="763"/>
        <v>1900</v>
      </c>
      <c r="T2710" s="6">
        <f t="shared" si="764"/>
        <v>1</v>
      </c>
      <c r="Z2710" s="6" t="str">
        <f t="shared" ca="1" si="765"/>
        <v>20257</v>
      </c>
      <c r="AA2710" s="6">
        <f t="shared" ca="1" si="766"/>
        <v>2025</v>
      </c>
      <c r="AB2710" s="6">
        <f t="shared" ca="1" si="767"/>
        <v>7</v>
      </c>
      <c r="AC2710" s="68">
        <f ca="1">IFERROR(__xludf.DUMMYFUNCTION("""COMPUTED_VALUE"""),45867.9986111111)</f>
        <v>45867.998611111099</v>
      </c>
      <c r="AD2710" s="6">
        <f ca="1">IFERROR(__xludf.DUMMYFUNCTION("""COMPUTED_VALUE"""),1388.86)</f>
        <v>1388.86</v>
      </c>
      <c r="AH2710" s="6" t="str">
        <f t="shared" ca="1" si="768"/>
        <v>20255</v>
      </c>
      <c r="AI2710" s="6">
        <f t="shared" ca="1" si="769"/>
        <v>2025</v>
      </c>
      <c r="AJ2710" s="6">
        <f t="shared" ca="1" si="770"/>
        <v>5</v>
      </c>
      <c r="AK2710" s="68">
        <f ca="1">IFERROR(__xludf.DUMMYFUNCTION("""COMPUTED_VALUE"""),45805.9986111111)</f>
        <v>45805.998611111099</v>
      </c>
      <c r="AL2710" s="6">
        <f ca="1">IFERROR(__xludf.DUMMYFUNCTION("""COMPUTED_VALUE"""),108877.1)</f>
        <v>108877.1</v>
      </c>
      <c r="AP2710" s="6" t="str">
        <f t="shared" si="771"/>
        <v>19001</v>
      </c>
      <c r="AQ2710" s="6">
        <f t="shared" si="772"/>
        <v>1900</v>
      </c>
      <c r="AR2710" s="6">
        <f t="shared" si="773"/>
        <v>1</v>
      </c>
    </row>
    <row r="2711" spans="2:44" x14ac:dyDescent="0.35">
      <c r="B2711" s="6" t="str">
        <f t="shared" si="756"/>
        <v>19001</v>
      </c>
      <c r="C2711" s="6">
        <f t="shared" si="757"/>
        <v>1900</v>
      </c>
      <c r="D2711" s="6">
        <f t="shared" si="758"/>
        <v>1</v>
      </c>
      <c r="J2711" s="6" t="str">
        <f t="shared" si="759"/>
        <v>19001</v>
      </c>
      <c r="K2711" s="6">
        <f t="shared" si="760"/>
        <v>1900</v>
      </c>
      <c r="L2711" s="6">
        <f t="shared" si="761"/>
        <v>1</v>
      </c>
      <c r="R2711" s="6" t="str">
        <f t="shared" si="762"/>
        <v>19001</v>
      </c>
      <c r="S2711" s="6">
        <f t="shared" si="763"/>
        <v>1900</v>
      </c>
      <c r="T2711" s="6">
        <f t="shared" si="764"/>
        <v>1</v>
      </c>
      <c r="Z2711" s="6" t="str">
        <f t="shared" ca="1" si="765"/>
        <v>20257</v>
      </c>
      <c r="AA2711" s="6">
        <f t="shared" ca="1" si="766"/>
        <v>2025</v>
      </c>
      <c r="AB2711" s="6">
        <f t="shared" ca="1" si="767"/>
        <v>7</v>
      </c>
      <c r="AC2711" s="68">
        <f ca="1">IFERROR(__xludf.DUMMYFUNCTION("""COMPUTED_VALUE"""),45868.9986111111)</f>
        <v>45868.998611111099</v>
      </c>
      <c r="AD2711" s="6">
        <f ca="1">IFERROR(__xludf.DUMMYFUNCTION("""COMPUTED_VALUE"""),1392.52)</f>
        <v>1392.52</v>
      </c>
      <c r="AH2711" s="6" t="str">
        <f t="shared" ca="1" si="768"/>
        <v>20255</v>
      </c>
      <c r="AI2711" s="6">
        <f t="shared" ca="1" si="769"/>
        <v>2025</v>
      </c>
      <c r="AJ2711" s="6">
        <f t="shared" ca="1" si="770"/>
        <v>5</v>
      </c>
      <c r="AK2711" s="68">
        <f ca="1">IFERROR(__xludf.DUMMYFUNCTION("""COMPUTED_VALUE"""),45806.9986111111)</f>
        <v>45806.998611111099</v>
      </c>
      <c r="AL2711" s="6">
        <f ca="1">IFERROR(__xludf.DUMMYFUNCTION("""COMPUTED_VALUE"""),108043.4)</f>
        <v>108043.4</v>
      </c>
      <c r="AP2711" s="6" t="str">
        <f t="shared" si="771"/>
        <v>19001</v>
      </c>
      <c r="AQ2711" s="6">
        <f t="shared" si="772"/>
        <v>1900</v>
      </c>
      <c r="AR2711" s="6">
        <f t="shared" si="773"/>
        <v>1</v>
      </c>
    </row>
    <row r="2712" spans="2:44" x14ac:dyDescent="0.35">
      <c r="B2712" s="6" t="str">
        <f t="shared" si="756"/>
        <v>19001</v>
      </c>
      <c r="C2712" s="6">
        <f t="shared" si="757"/>
        <v>1900</v>
      </c>
      <c r="D2712" s="6">
        <f t="shared" si="758"/>
        <v>1</v>
      </c>
      <c r="J2712" s="6" t="str">
        <f t="shared" si="759"/>
        <v>19001</v>
      </c>
      <c r="K2712" s="6">
        <f t="shared" si="760"/>
        <v>1900</v>
      </c>
      <c r="L2712" s="6">
        <f t="shared" si="761"/>
        <v>1</v>
      </c>
      <c r="R2712" s="6" t="str">
        <f t="shared" si="762"/>
        <v>19001</v>
      </c>
      <c r="S2712" s="6">
        <f t="shared" si="763"/>
        <v>1900</v>
      </c>
      <c r="T2712" s="6">
        <f t="shared" si="764"/>
        <v>1</v>
      </c>
      <c r="Z2712" s="6" t="str">
        <f t="shared" ca="1" si="765"/>
        <v>20257</v>
      </c>
      <c r="AA2712" s="6">
        <f t="shared" ca="1" si="766"/>
        <v>2025</v>
      </c>
      <c r="AB2712" s="6">
        <f t="shared" ca="1" si="767"/>
        <v>7</v>
      </c>
      <c r="AC2712" s="68">
        <f ca="1">IFERROR(__xludf.DUMMYFUNCTION("""COMPUTED_VALUE"""),45869.9986111111)</f>
        <v>45869.998611111099</v>
      </c>
      <c r="AD2712" s="6">
        <f ca="1">IFERROR(__xludf.DUMMYFUNCTION("""COMPUTED_VALUE"""),1391.51)</f>
        <v>1391.51</v>
      </c>
      <c r="AH2712" s="6" t="str">
        <f t="shared" ca="1" si="768"/>
        <v>20255</v>
      </c>
      <c r="AI2712" s="6">
        <f t="shared" ca="1" si="769"/>
        <v>2025</v>
      </c>
      <c r="AJ2712" s="6">
        <f t="shared" ca="1" si="770"/>
        <v>5</v>
      </c>
      <c r="AK2712" s="68">
        <f ca="1">IFERROR(__xludf.DUMMYFUNCTION("""COMPUTED_VALUE"""),45807.9986111111)</f>
        <v>45807.998611111099</v>
      </c>
      <c r="AL2712" s="6">
        <f ca="1">IFERROR(__xludf.DUMMYFUNCTION("""COMPUTED_VALUE"""),106021.6)</f>
        <v>106021.6</v>
      </c>
      <c r="AP2712" s="6" t="str">
        <f t="shared" si="771"/>
        <v>19001</v>
      </c>
      <c r="AQ2712" s="6">
        <f t="shared" si="772"/>
        <v>1900</v>
      </c>
      <c r="AR2712" s="6">
        <f t="shared" si="773"/>
        <v>1</v>
      </c>
    </row>
    <row r="2713" spans="2:44" x14ac:dyDescent="0.35">
      <c r="B2713" s="6" t="str">
        <f t="shared" si="756"/>
        <v>19001</v>
      </c>
      <c r="C2713" s="6">
        <f t="shared" si="757"/>
        <v>1900</v>
      </c>
      <c r="D2713" s="6">
        <f t="shared" si="758"/>
        <v>1</v>
      </c>
      <c r="J2713" s="6" t="str">
        <f t="shared" si="759"/>
        <v>19001</v>
      </c>
      <c r="K2713" s="6">
        <f t="shared" si="760"/>
        <v>1900</v>
      </c>
      <c r="L2713" s="6">
        <f t="shared" si="761"/>
        <v>1</v>
      </c>
      <c r="R2713" s="6" t="str">
        <f t="shared" si="762"/>
        <v>19001</v>
      </c>
      <c r="S2713" s="6">
        <f t="shared" si="763"/>
        <v>1900</v>
      </c>
      <c r="T2713" s="6">
        <f t="shared" si="764"/>
        <v>1</v>
      </c>
      <c r="Z2713" s="6" t="str">
        <f t="shared" ca="1" si="765"/>
        <v>20258</v>
      </c>
      <c r="AA2713" s="6">
        <f t="shared" ca="1" si="766"/>
        <v>2025</v>
      </c>
      <c r="AB2713" s="6">
        <f t="shared" ca="1" si="767"/>
        <v>8</v>
      </c>
      <c r="AC2713" s="68">
        <f ca="1">IFERROR(__xludf.DUMMYFUNCTION("""COMPUTED_VALUE"""),45870.9986111111)</f>
        <v>45870.998611111099</v>
      </c>
      <c r="AD2713" s="6">
        <f ca="1">IFERROR(__xludf.DUMMYFUNCTION("""COMPUTED_VALUE"""),1388.03)</f>
        <v>1388.03</v>
      </c>
      <c r="AH2713" s="6" t="str">
        <f t="shared" ca="1" si="768"/>
        <v>20255</v>
      </c>
      <c r="AI2713" s="6">
        <f t="shared" ca="1" si="769"/>
        <v>2025</v>
      </c>
      <c r="AJ2713" s="6">
        <f t="shared" ca="1" si="770"/>
        <v>5</v>
      </c>
      <c r="AK2713" s="68">
        <f ca="1">IFERROR(__xludf.DUMMYFUNCTION("""COMPUTED_VALUE"""),45808.9986111111)</f>
        <v>45808.998611111099</v>
      </c>
      <c r="AL2713" s="6">
        <f ca="1">IFERROR(__xludf.DUMMYFUNCTION("""COMPUTED_VALUE"""),103735.2)</f>
        <v>103735.2</v>
      </c>
      <c r="AP2713" s="6" t="str">
        <f t="shared" si="771"/>
        <v>19001</v>
      </c>
      <c r="AQ2713" s="6">
        <f t="shared" si="772"/>
        <v>1900</v>
      </c>
      <c r="AR2713" s="6">
        <f t="shared" si="773"/>
        <v>1</v>
      </c>
    </row>
    <row r="2714" spans="2:44" x14ac:dyDescent="0.35">
      <c r="B2714" s="6" t="str">
        <f t="shared" si="756"/>
        <v>19001</v>
      </c>
      <c r="C2714" s="6">
        <f t="shared" si="757"/>
        <v>1900</v>
      </c>
      <c r="D2714" s="6">
        <f t="shared" si="758"/>
        <v>1</v>
      </c>
      <c r="J2714" s="6" t="str">
        <f t="shared" si="759"/>
        <v>19001</v>
      </c>
      <c r="K2714" s="6">
        <f t="shared" si="760"/>
        <v>1900</v>
      </c>
      <c r="L2714" s="6">
        <f t="shared" si="761"/>
        <v>1</v>
      </c>
      <c r="R2714" s="6" t="str">
        <f t="shared" si="762"/>
        <v>19001</v>
      </c>
      <c r="S2714" s="6">
        <f t="shared" si="763"/>
        <v>1900</v>
      </c>
      <c r="T2714" s="6">
        <f t="shared" si="764"/>
        <v>1</v>
      </c>
      <c r="Z2714" s="6" t="str">
        <f t="shared" ca="1" si="765"/>
        <v>20258</v>
      </c>
      <c r="AA2714" s="6">
        <f t="shared" ca="1" si="766"/>
        <v>2025</v>
      </c>
      <c r="AB2714" s="6">
        <f t="shared" ca="1" si="767"/>
        <v>8</v>
      </c>
      <c r="AC2714" s="68">
        <f ca="1">IFERROR(__xludf.DUMMYFUNCTION("""COMPUTED_VALUE"""),45871.9986111111)</f>
        <v>45871.998611111099</v>
      </c>
      <c r="AD2714" s="6">
        <f ca="1">IFERROR(__xludf.DUMMYFUNCTION("""COMPUTED_VALUE"""),1387.93)</f>
        <v>1387.93</v>
      </c>
      <c r="AH2714" s="6" t="str">
        <f t="shared" ca="1" si="768"/>
        <v>20256</v>
      </c>
      <c r="AI2714" s="6">
        <f t="shared" ca="1" si="769"/>
        <v>2025</v>
      </c>
      <c r="AJ2714" s="6">
        <f t="shared" ca="1" si="770"/>
        <v>6</v>
      </c>
      <c r="AK2714" s="68">
        <f ca="1">IFERROR(__xludf.DUMMYFUNCTION("""COMPUTED_VALUE"""),45809.9986111111)</f>
        <v>45809.998611111099</v>
      </c>
      <c r="AL2714" s="6">
        <f ca="1">IFERROR(__xludf.DUMMYFUNCTION("""COMPUTED_VALUE"""),104494.5)</f>
        <v>104494.5</v>
      </c>
      <c r="AP2714" s="6" t="str">
        <f t="shared" si="771"/>
        <v>19001</v>
      </c>
      <c r="AQ2714" s="6">
        <f t="shared" si="772"/>
        <v>1900</v>
      </c>
      <c r="AR2714" s="6">
        <f t="shared" si="773"/>
        <v>1</v>
      </c>
    </row>
    <row r="2715" spans="2:44" x14ac:dyDescent="0.35">
      <c r="B2715" s="6" t="str">
        <f t="shared" si="756"/>
        <v>19001</v>
      </c>
      <c r="C2715" s="6">
        <f t="shared" si="757"/>
        <v>1900</v>
      </c>
      <c r="D2715" s="6">
        <f t="shared" si="758"/>
        <v>1</v>
      </c>
      <c r="J2715" s="6" t="str">
        <f t="shared" si="759"/>
        <v>19001</v>
      </c>
      <c r="K2715" s="6">
        <f t="shared" si="760"/>
        <v>1900</v>
      </c>
      <c r="L2715" s="6">
        <f t="shared" si="761"/>
        <v>1</v>
      </c>
      <c r="R2715" s="6" t="str">
        <f t="shared" si="762"/>
        <v>19001</v>
      </c>
      <c r="S2715" s="6">
        <f t="shared" si="763"/>
        <v>1900</v>
      </c>
      <c r="T2715" s="6">
        <f t="shared" si="764"/>
        <v>1</v>
      </c>
      <c r="Z2715" s="6" t="str">
        <f t="shared" ca="1" si="765"/>
        <v>20258</v>
      </c>
      <c r="AA2715" s="6">
        <f t="shared" ca="1" si="766"/>
        <v>2025</v>
      </c>
      <c r="AB2715" s="6">
        <f t="shared" ca="1" si="767"/>
        <v>8</v>
      </c>
      <c r="AC2715" s="68">
        <f ca="1">IFERROR(__xludf.DUMMYFUNCTION("""COMPUTED_VALUE"""),45872.9986111111)</f>
        <v>45872.998611111099</v>
      </c>
      <c r="AD2715" s="6">
        <f ca="1">IFERROR(__xludf.DUMMYFUNCTION("""COMPUTED_VALUE"""),1390.18)</f>
        <v>1390.18</v>
      </c>
      <c r="AH2715" s="6" t="str">
        <f t="shared" ca="1" si="768"/>
        <v>20256</v>
      </c>
      <c r="AI2715" s="6">
        <f t="shared" ca="1" si="769"/>
        <v>2025</v>
      </c>
      <c r="AJ2715" s="6">
        <f t="shared" ca="1" si="770"/>
        <v>6</v>
      </c>
      <c r="AK2715" s="68">
        <f ca="1">IFERROR(__xludf.DUMMYFUNCTION("""COMPUTED_VALUE"""),45810.9986111111)</f>
        <v>45810.998611111099</v>
      </c>
      <c r="AL2715" s="6">
        <f ca="1">IFERROR(__xludf.DUMMYFUNCTION("""COMPUTED_VALUE"""),104914.5)</f>
        <v>104914.5</v>
      </c>
      <c r="AP2715" s="6" t="str">
        <f t="shared" si="771"/>
        <v>19001</v>
      </c>
      <c r="AQ2715" s="6">
        <f t="shared" si="772"/>
        <v>1900</v>
      </c>
      <c r="AR2715" s="6">
        <f t="shared" si="773"/>
        <v>1</v>
      </c>
    </row>
    <row r="2716" spans="2:44" x14ac:dyDescent="0.35">
      <c r="B2716" s="6" t="str">
        <f t="shared" si="756"/>
        <v>19001</v>
      </c>
      <c r="C2716" s="6">
        <f t="shared" si="757"/>
        <v>1900</v>
      </c>
      <c r="D2716" s="6">
        <f t="shared" si="758"/>
        <v>1</v>
      </c>
      <c r="J2716" s="6" t="str">
        <f t="shared" si="759"/>
        <v>19001</v>
      </c>
      <c r="K2716" s="6">
        <f t="shared" si="760"/>
        <v>1900</v>
      </c>
      <c r="L2716" s="6">
        <f t="shared" si="761"/>
        <v>1</v>
      </c>
      <c r="R2716" s="6" t="str">
        <f t="shared" si="762"/>
        <v>19001</v>
      </c>
      <c r="S2716" s="6">
        <f t="shared" si="763"/>
        <v>1900</v>
      </c>
      <c r="T2716" s="6">
        <f t="shared" si="764"/>
        <v>1</v>
      </c>
      <c r="Z2716" s="6" t="str">
        <f t="shared" ca="1" si="765"/>
        <v>20258</v>
      </c>
      <c r="AA2716" s="6">
        <f t="shared" ca="1" si="766"/>
        <v>2025</v>
      </c>
      <c r="AB2716" s="6">
        <f t="shared" ca="1" si="767"/>
        <v>8</v>
      </c>
      <c r="AC2716" s="68">
        <f ca="1">IFERROR(__xludf.DUMMYFUNCTION("""COMPUTED_VALUE"""),45873.9986111111)</f>
        <v>45873.998611111099</v>
      </c>
      <c r="AD2716" s="6">
        <f ca="1">IFERROR(__xludf.DUMMYFUNCTION("""COMPUTED_VALUE"""),1383.59)</f>
        <v>1383.59</v>
      </c>
      <c r="AH2716" s="6" t="str">
        <f t="shared" ca="1" si="768"/>
        <v>20256</v>
      </c>
      <c r="AI2716" s="6">
        <f t="shared" ca="1" si="769"/>
        <v>2025</v>
      </c>
      <c r="AJ2716" s="6">
        <f t="shared" ca="1" si="770"/>
        <v>6</v>
      </c>
      <c r="AK2716" s="68">
        <f ca="1">IFERROR(__xludf.DUMMYFUNCTION("""COMPUTED_VALUE"""),45811.9986111111)</f>
        <v>45811.998611111099</v>
      </c>
      <c r="AL2716" s="6">
        <f ca="1">IFERROR(__xludf.DUMMYFUNCTION("""COMPUTED_VALUE"""),105551.6)</f>
        <v>105551.6</v>
      </c>
      <c r="AP2716" s="6" t="str">
        <f t="shared" si="771"/>
        <v>19001</v>
      </c>
      <c r="AQ2716" s="6">
        <f t="shared" si="772"/>
        <v>1900</v>
      </c>
      <c r="AR2716" s="6">
        <f t="shared" si="773"/>
        <v>1</v>
      </c>
    </row>
    <row r="2717" spans="2:44" x14ac:dyDescent="0.35">
      <c r="B2717" s="6" t="str">
        <f t="shared" si="756"/>
        <v>19001</v>
      </c>
      <c r="C2717" s="6">
        <f t="shared" si="757"/>
        <v>1900</v>
      </c>
      <c r="D2717" s="6">
        <f t="shared" si="758"/>
        <v>1</v>
      </c>
      <c r="J2717" s="6" t="str">
        <f t="shared" si="759"/>
        <v>19001</v>
      </c>
      <c r="K2717" s="6">
        <f t="shared" si="760"/>
        <v>1900</v>
      </c>
      <c r="L2717" s="6">
        <f t="shared" si="761"/>
        <v>1</v>
      </c>
      <c r="R2717" s="6" t="str">
        <f t="shared" si="762"/>
        <v>19001</v>
      </c>
      <c r="S2717" s="6">
        <f t="shared" si="763"/>
        <v>1900</v>
      </c>
      <c r="T2717" s="6">
        <f t="shared" si="764"/>
        <v>1</v>
      </c>
      <c r="Z2717" s="6" t="str">
        <f t="shared" ca="1" si="765"/>
        <v>20258</v>
      </c>
      <c r="AA2717" s="6">
        <f t="shared" ca="1" si="766"/>
        <v>2025</v>
      </c>
      <c r="AB2717" s="6">
        <f t="shared" ca="1" si="767"/>
        <v>8</v>
      </c>
      <c r="AC2717" s="68">
        <f ca="1">IFERROR(__xludf.DUMMYFUNCTION("""COMPUTED_VALUE"""),45874.9986111111)</f>
        <v>45874.998611111099</v>
      </c>
      <c r="AD2717" s="6">
        <f ca="1">IFERROR(__xludf.DUMMYFUNCTION("""COMPUTED_VALUE"""),1386.58)</f>
        <v>1386.58</v>
      </c>
      <c r="AH2717" s="6" t="str">
        <f t="shared" ca="1" si="768"/>
        <v>20256</v>
      </c>
      <c r="AI2717" s="6">
        <f t="shared" ca="1" si="769"/>
        <v>2025</v>
      </c>
      <c r="AJ2717" s="6">
        <f t="shared" ca="1" si="770"/>
        <v>6</v>
      </c>
      <c r="AK2717" s="68">
        <f ca="1">IFERROR(__xludf.DUMMYFUNCTION("""COMPUTED_VALUE"""),45812.9986111111)</f>
        <v>45812.998611111099</v>
      </c>
      <c r="AL2717" s="6">
        <f ca="1">IFERROR(__xludf.DUMMYFUNCTION("""COMPUTED_VALUE"""),105625.9)</f>
        <v>105625.9</v>
      </c>
      <c r="AP2717" s="6" t="str">
        <f t="shared" si="771"/>
        <v>19001</v>
      </c>
      <c r="AQ2717" s="6">
        <f t="shared" si="772"/>
        <v>1900</v>
      </c>
      <c r="AR2717" s="6">
        <f t="shared" si="773"/>
        <v>1</v>
      </c>
    </row>
    <row r="2718" spans="2:44" x14ac:dyDescent="0.35">
      <c r="B2718" s="6" t="str">
        <f t="shared" si="756"/>
        <v>19001</v>
      </c>
      <c r="C2718" s="6">
        <f t="shared" si="757"/>
        <v>1900</v>
      </c>
      <c r="D2718" s="6">
        <f t="shared" si="758"/>
        <v>1</v>
      </c>
      <c r="J2718" s="6" t="str">
        <f t="shared" si="759"/>
        <v>19001</v>
      </c>
      <c r="K2718" s="6">
        <f t="shared" si="760"/>
        <v>1900</v>
      </c>
      <c r="L2718" s="6">
        <f t="shared" si="761"/>
        <v>1</v>
      </c>
      <c r="R2718" s="6" t="str">
        <f t="shared" si="762"/>
        <v>19001</v>
      </c>
      <c r="S2718" s="6">
        <f t="shared" si="763"/>
        <v>1900</v>
      </c>
      <c r="T2718" s="6">
        <f t="shared" si="764"/>
        <v>1</v>
      </c>
      <c r="Z2718" s="6" t="str">
        <f t="shared" ca="1" si="765"/>
        <v>20258</v>
      </c>
      <c r="AA2718" s="6">
        <f t="shared" ca="1" si="766"/>
        <v>2025</v>
      </c>
      <c r="AB2718" s="6">
        <f t="shared" ca="1" si="767"/>
        <v>8</v>
      </c>
      <c r="AC2718" s="68">
        <f ca="1">IFERROR(__xludf.DUMMYFUNCTION("""COMPUTED_VALUE"""),45875.9986111111)</f>
        <v>45875.998611111099</v>
      </c>
      <c r="AD2718" s="6">
        <f ca="1">IFERROR(__xludf.DUMMYFUNCTION("""COMPUTED_VALUE"""),1384.39)</f>
        <v>1384.39</v>
      </c>
      <c r="AH2718" s="6" t="str">
        <f t="shared" ca="1" si="768"/>
        <v>20256</v>
      </c>
      <c r="AI2718" s="6">
        <f t="shared" ca="1" si="769"/>
        <v>2025</v>
      </c>
      <c r="AJ2718" s="6">
        <f t="shared" ca="1" si="770"/>
        <v>6</v>
      </c>
      <c r="AK2718" s="68">
        <f ca="1">IFERROR(__xludf.DUMMYFUNCTION("""COMPUTED_VALUE"""),45813.9986111111)</f>
        <v>45813.998611111099</v>
      </c>
      <c r="AL2718" s="6">
        <f ca="1">IFERROR(__xludf.DUMMYFUNCTION("""COMPUTED_VALUE"""),105084.4)</f>
        <v>105084.4</v>
      </c>
      <c r="AP2718" s="6" t="str">
        <f t="shared" si="771"/>
        <v>19001</v>
      </c>
      <c r="AQ2718" s="6">
        <f t="shared" si="772"/>
        <v>1900</v>
      </c>
      <c r="AR2718" s="6">
        <f t="shared" si="773"/>
        <v>1</v>
      </c>
    </row>
    <row r="2719" spans="2:44" x14ac:dyDescent="0.35">
      <c r="B2719" s="6" t="str">
        <f t="shared" si="756"/>
        <v>19001</v>
      </c>
      <c r="C2719" s="6">
        <f t="shared" si="757"/>
        <v>1900</v>
      </c>
      <c r="D2719" s="6">
        <f t="shared" si="758"/>
        <v>1</v>
      </c>
      <c r="J2719" s="6" t="str">
        <f t="shared" si="759"/>
        <v>19001</v>
      </c>
      <c r="K2719" s="6">
        <f t="shared" si="760"/>
        <v>1900</v>
      </c>
      <c r="L2719" s="6">
        <f t="shared" si="761"/>
        <v>1</v>
      </c>
      <c r="R2719" s="6" t="str">
        <f t="shared" si="762"/>
        <v>19001</v>
      </c>
      <c r="S2719" s="6">
        <f t="shared" si="763"/>
        <v>1900</v>
      </c>
      <c r="T2719" s="6">
        <f t="shared" si="764"/>
        <v>1</v>
      </c>
      <c r="Z2719" s="6" t="str">
        <f t="shared" ca="1" si="765"/>
        <v>20258</v>
      </c>
      <c r="AA2719" s="6">
        <f t="shared" ca="1" si="766"/>
        <v>2025</v>
      </c>
      <c r="AB2719" s="6">
        <f t="shared" ca="1" si="767"/>
        <v>8</v>
      </c>
      <c r="AC2719" s="68">
        <f ca="1">IFERROR(__xludf.DUMMYFUNCTION("""COMPUTED_VALUE"""),45876.9986111111)</f>
        <v>45876.998611111099</v>
      </c>
      <c r="AD2719" s="6">
        <f ca="1">IFERROR(__xludf.DUMMYFUNCTION("""COMPUTED_VALUE"""),1384.97)</f>
        <v>1384.97</v>
      </c>
      <c r="AH2719" s="6" t="str">
        <f t="shared" ca="1" si="768"/>
        <v>20256</v>
      </c>
      <c r="AI2719" s="6">
        <f t="shared" ca="1" si="769"/>
        <v>2025</v>
      </c>
      <c r="AJ2719" s="6">
        <f t="shared" ca="1" si="770"/>
        <v>6</v>
      </c>
      <c r="AK2719" s="68">
        <f ca="1">IFERROR(__xludf.DUMMYFUNCTION("""COMPUTED_VALUE"""),45814.9986111111)</f>
        <v>45814.998611111099</v>
      </c>
      <c r="AL2719" s="6">
        <f ca="1">IFERROR(__xludf.DUMMYFUNCTION("""COMPUTED_VALUE"""),102549.2)</f>
        <v>102549.2</v>
      </c>
      <c r="AP2719" s="6" t="str">
        <f t="shared" si="771"/>
        <v>19001</v>
      </c>
      <c r="AQ2719" s="6">
        <f t="shared" si="772"/>
        <v>1900</v>
      </c>
      <c r="AR2719" s="6">
        <f t="shared" si="773"/>
        <v>1</v>
      </c>
    </row>
    <row r="2720" spans="2:44" x14ac:dyDescent="0.35">
      <c r="B2720" s="6" t="str">
        <f t="shared" si="756"/>
        <v>19001</v>
      </c>
      <c r="C2720" s="6">
        <f t="shared" si="757"/>
        <v>1900</v>
      </c>
      <c r="D2720" s="6">
        <f t="shared" si="758"/>
        <v>1</v>
      </c>
      <c r="J2720" s="6" t="str">
        <f t="shared" si="759"/>
        <v>19001</v>
      </c>
      <c r="K2720" s="6">
        <f t="shared" si="760"/>
        <v>1900</v>
      </c>
      <c r="L2720" s="6">
        <f t="shared" si="761"/>
        <v>1</v>
      </c>
      <c r="R2720" s="6" t="str">
        <f t="shared" si="762"/>
        <v>19001</v>
      </c>
      <c r="S2720" s="6">
        <f t="shared" si="763"/>
        <v>1900</v>
      </c>
      <c r="T2720" s="6">
        <f t="shared" si="764"/>
        <v>1</v>
      </c>
      <c r="Z2720" s="6" t="str">
        <f t="shared" ca="1" si="765"/>
        <v>20258</v>
      </c>
      <c r="AA2720" s="6">
        <f t="shared" ca="1" si="766"/>
        <v>2025</v>
      </c>
      <c r="AB2720" s="6">
        <f t="shared" ca="1" si="767"/>
        <v>8</v>
      </c>
      <c r="AC2720" s="68">
        <f ca="1">IFERROR(__xludf.DUMMYFUNCTION("""COMPUTED_VALUE"""),45877.9986111111)</f>
        <v>45877.998611111099</v>
      </c>
      <c r="AD2720" s="6">
        <f ca="1">IFERROR(__xludf.DUMMYFUNCTION("""COMPUTED_VALUE"""),1387.77)</f>
        <v>1387.77</v>
      </c>
      <c r="AH2720" s="6" t="str">
        <f t="shared" ca="1" si="768"/>
        <v>20256</v>
      </c>
      <c r="AI2720" s="6">
        <f t="shared" ca="1" si="769"/>
        <v>2025</v>
      </c>
      <c r="AJ2720" s="6">
        <f t="shared" ca="1" si="770"/>
        <v>6</v>
      </c>
      <c r="AK2720" s="68">
        <f ca="1">IFERROR(__xludf.DUMMYFUNCTION("""COMPUTED_VALUE"""),45815.9986111111)</f>
        <v>45815.998611111099</v>
      </c>
      <c r="AL2720" s="6">
        <f ca="1">IFERROR(__xludf.DUMMYFUNCTION("""COMPUTED_VALUE"""),104951.3)</f>
        <v>104951.3</v>
      </c>
      <c r="AP2720" s="6" t="str">
        <f t="shared" si="771"/>
        <v>19001</v>
      </c>
      <c r="AQ2720" s="6">
        <f t="shared" si="772"/>
        <v>1900</v>
      </c>
      <c r="AR2720" s="6">
        <f t="shared" si="773"/>
        <v>1</v>
      </c>
    </row>
    <row r="2721" spans="2:44" x14ac:dyDescent="0.35">
      <c r="B2721" s="6" t="str">
        <f t="shared" si="756"/>
        <v>19001</v>
      </c>
      <c r="C2721" s="6">
        <f t="shared" si="757"/>
        <v>1900</v>
      </c>
      <c r="D2721" s="6">
        <f t="shared" si="758"/>
        <v>1</v>
      </c>
      <c r="J2721" s="6" t="str">
        <f t="shared" si="759"/>
        <v>19001</v>
      </c>
      <c r="K2721" s="6">
        <f t="shared" si="760"/>
        <v>1900</v>
      </c>
      <c r="L2721" s="6">
        <f t="shared" si="761"/>
        <v>1</v>
      </c>
      <c r="R2721" s="6" t="str">
        <f t="shared" si="762"/>
        <v>19001</v>
      </c>
      <c r="S2721" s="6">
        <f t="shared" si="763"/>
        <v>1900</v>
      </c>
      <c r="T2721" s="6">
        <f t="shared" si="764"/>
        <v>1</v>
      </c>
      <c r="Z2721" s="6" t="str">
        <f t="shared" ca="1" si="765"/>
        <v>20258</v>
      </c>
      <c r="AA2721" s="6">
        <f t="shared" ca="1" si="766"/>
        <v>2025</v>
      </c>
      <c r="AB2721" s="6">
        <f t="shared" ca="1" si="767"/>
        <v>8</v>
      </c>
      <c r="AC2721" s="68">
        <f ca="1">IFERROR(__xludf.DUMMYFUNCTION("""COMPUTED_VALUE"""),45878.9986111111)</f>
        <v>45878.998611111099</v>
      </c>
      <c r="AD2721" s="6">
        <f ca="1">IFERROR(__xludf.DUMMYFUNCTION("""COMPUTED_VALUE"""),1387.67)</f>
        <v>1387.67</v>
      </c>
      <c r="AH2721" s="6" t="str">
        <f t="shared" ca="1" si="768"/>
        <v>20256</v>
      </c>
      <c r="AI2721" s="6">
        <f t="shared" ca="1" si="769"/>
        <v>2025</v>
      </c>
      <c r="AJ2721" s="6">
        <f t="shared" ca="1" si="770"/>
        <v>6</v>
      </c>
      <c r="AK2721" s="68">
        <f ca="1">IFERROR(__xludf.DUMMYFUNCTION("""COMPUTED_VALUE"""),45816.9986111111)</f>
        <v>45816.998611111099</v>
      </c>
      <c r="AL2721" s="6">
        <f ca="1">IFERROR(__xludf.DUMMYFUNCTION("""COMPUTED_VALUE"""),105525.3)</f>
        <v>105525.3</v>
      </c>
      <c r="AP2721" s="6" t="str">
        <f t="shared" si="771"/>
        <v>19001</v>
      </c>
      <c r="AQ2721" s="6">
        <f t="shared" si="772"/>
        <v>1900</v>
      </c>
      <c r="AR2721" s="6">
        <f t="shared" si="773"/>
        <v>1</v>
      </c>
    </row>
    <row r="2722" spans="2:44" x14ac:dyDescent="0.35">
      <c r="B2722" s="6" t="str">
        <f t="shared" si="756"/>
        <v>19001</v>
      </c>
      <c r="C2722" s="6">
        <f t="shared" si="757"/>
        <v>1900</v>
      </c>
      <c r="D2722" s="6">
        <f t="shared" si="758"/>
        <v>1</v>
      </c>
      <c r="J2722" s="6" t="str">
        <f t="shared" si="759"/>
        <v>19001</v>
      </c>
      <c r="K2722" s="6">
        <f t="shared" si="760"/>
        <v>1900</v>
      </c>
      <c r="L2722" s="6">
        <f t="shared" si="761"/>
        <v>1</v>
      </c>
      <c r="R2722" s="6" t="str">
        <f t="shared" si="762"/>
        <v>19001</v>
      </c>
      <c r="S2722" s="6">
        <f t="shared" si="763"/>
        <v>1900</v>
      </c>
      <c r="T2722" s="6">
        <f t="shared" si="764"/>
        <v>1</v>
      </c>
      <c r="Z2722" s="6" t="str">
        <f t="shared" ca="1" si="765"/>
        <v>20258</v>
      </c>
      <c r="AA2722" s="6">
        <f t="shared" ca="1" si="766"/>
        <v>2025</v>
      </c>
      <c r="AB2722" s="6">
        <f t="shared" ca="1" si="767"/>
        <v>8</v>
      </c>
      <c r="AC2722" s="68">
        <f ca="1">IFERROR(__xludf.DUMMYFUNCTION("""COMPUTED_VALUE"""),45879.9986111111)</f>
        <v>45879.998611111099</v>
      </c>
      <c r="AD2722" s="6">
        <f ca="1">IFERROR(__xludf.DUMMYFUNCTION("""COMPUTED_VALUE"""),1387.81)</f>
        <v>1387.81</v>
      </c>
      <c r="AH2722" s="6" t="str">
        <f t="shared" ca="1" si="768"/>
        <v>20256</v>
      </c>
      <c r="AI2722" s="6">
        <f t="shared" ca="1" si="769"/>
        <v>2025</v>
      </c>
      <c r="AJ2722" s="6">
        <f t="shared" ca="1" si="770"/>
        <v>6</v>
      </c>
      <c r="AK2722" s="68">
        <f ca="1">IFERROR(__xludf.DUMMYFUNCTION("""COMPUTED_VALUE"""),45817.9986111111)</f>
        <v>45817.998611111099</v>
      </c>
      <c r="AL2722" s="6">
        <f ca="1">IFERROR(__xludf.DUMMYFUNCTION("""COMPUTED_VALUE"""),105687.6)</f>
        <v>105687.6</v>
      </c>
      <c r="AP2722" s="6" t="str">
        <f t="shared" si="771"/>
        <v>19001</v>
      </c>
      <c r="AQ2722" s="6">
        <f t="shared" si="772"/>
        <v>1900</v>
      </c>
      <c r="AR2722" s="6">
        <f t="shared" si="773"/>
        <v>1</v>
      </c>
    </row>
    <row r="2723" spans="2:44" x14ac:dyDescent="0.35">
      <c r="B2723" s="6" t="str">
        <f t="shared" si="756"/>
        <v>19001</v>
      </c>
      <c r="C2723" s="6">
        <f t="shared" si="757"/>
        <v>1900</v>
      </c>
      <c r="D2723" s="6">
        <f t="shared" si="758"/>
        <v>1</v>
      </c>
      <c r="J2723" s="6" t="str">
        <f t="shared" si="759"/>
        <v>19001</v>
      </c>
      <c r="K2723" s="6">
        <f t="shared" si="760"/>
        <v>1900</v>
      </c>
      <c r="L2723" s="6">
        <f t="shared" si="761"/>
        <v>1</v>
      </c>
      <c r="R2723" s="6" t="str">
        <f t="shared" si="762"/>
        <v>19001</v>
      </c>
      <c r="S2723" s="6">
        <f t="shared" si="763"/>
        <v>1900</v>
      </c>
      <c r="T2723" s="6">
        <f t="shared" si="764"/>
        <v>1</v>
      </c>
      <c r="Z2723" s="6" t="str">
        <f t="shared" ca="1" si="765"/>
        <v>20258</v>
      </c>
      <c r="AA2723" s="6">
        <f t="shared" ca="1" si="766"/>
        <v>2025</v>
      </c>
      <c r="AB2723" s="6">
        <f t="shared" ca="1" si="767"/>
        <v>8</v>
      </c>
      <c r="AC2723" s="68">
        <f ca="1">IFERROR(__xludf.DUMMYFUNCTION("""COMPUTED_VALUE"""),45880.9986111111)</f>
        <v>45880.998611111099</v>
      </c>
      <c r="AD2723" s="6">
        <f ca="1">IFERROR(__xludf.DUMMYFUNCTION("""COMPUTED_VALUE"""),1389.79)</f>
        <v>1389.79</v>
      </c>
      <c r="AH2723" s="6" t="str">
        <f t="shared" ca="1" si="768"/>
        <v>20256</v>
      </c>
      <c r="AI2723" s="6">
        <f t="shared" ca="1" si="769"/>
        <v>2025</v>
      </c>
      <c r="AJ2723" s="6">
        <f t="shared" ca="1" si="770"/>
        <v>6</v>
      </c>
      <c r="AK2723" s="68">
        <f ca="1">IFERROR(__xludf.DUMMYFUNCTION("""COMPUTED_VALUE"""),45818.9986111111)</f>
        <v>45818.998611111099</v>
      </c>
      <c r="AL2723" s="6">
        <f ca="1">IFERROR(__xludf.DUMMYFUNCTION("""COMPUTED_VALUE"""),109549)</f>
        <v>109549</v>
      </c>
      <c r="AP2723" s="6" t="str">
        <f t="shared" si="771"/>
        <v>19001</v>
      </c>
      <c r="AQ2723" s="6">
        <f t="shared" si="772"/>
        <v>1900</v>
      </c>
      <c r="AR2723" s="6">
        <f t="shared" si="773"/>
        <v>1</v>
      </c>
    </row>
    <row r="2724" spans="2:44" x14ac:dyDescent="0.35">
      <c r="B2724" s="6" t="str">
        <f t="shared" si="756"/>
        <v>19001</v>
      </c>
      <c r="C2724" s="6">
        <f t="shared" si="757"/>
        <v>1900</v>
      </c>
      <c r="D2724" s="6">
        <f t="shared" si="758"/>
        <v>1</v>
      </c>
      <c r="J2724" s="6" t="str">
        <f t="shared" si="759"/>
        <v>19001</v>
      </c>
      <c r="K2724" s="6">
        <f t="shared" si="760"/>
        <v>1900</v>
      </c>
      <c r="L2724" s="6">
        <f t="shared" si="761"/>
        <v>1</v>
      </c>
      <c r="R2724" s="6" t="str">
        <f t="shared" si="762"/>
        <v>19001</v>
      </c>
      <c r="S2724" s="6">
        <f t="shared" si="763"/>
        <v>1900</v>
      </c>
      <c r="T2724" s="6">
        <f t="shared" si="764"/>
        <v>1</v>
      </c>
      <c r="Z2724" s="6" t="str">
        <f t="shared" ca="1" si="765"/>
        <v>20258</v>
      </c>
      <c r="AA2724" s="6">
        <f t="shared" ca="1" si="766"/>
        <v>2025</v>
      </c>
      <c r="AB2724" s="6">
        <f t="shared" ca="1" si="767"/>
        <v>8</v>
      </c>
      <c r="AC2724" s="68">
        <f ca="1">IFERROR(__xludf.DUMMYFUNCTION("""COMPUTED_VALUE"""),45881.9986111111)</f>
        <v>45881.998611111099</v>
      </c>
      <c r="AD2724" s="6">
        <f ca="1">IFERROR(__xludf.DUMMYFUNCTION("""COMPUTED_VALUE"""),1383.09)</f>
        <v>1383.09</v>
      </c>
      <c r="AH2724" s="6" t="str">
        <f t="shared" ca="1" si="768"/>
        <v>20256</v>
      </c>
      <c r="AI2724" s="6">
        <f t="shared" ca="1" si="769"/>
        <v>2025</v>
      </c>
      <c r="AJ2724" s="6">
        <f t="shared" ca="1" si="770"/>
        <v>6</v>
      </c>
      <c r="AK2724" s="68">
        <f ca="1">IFERROR(__xludf.DUMMYFUNCTION("""COMPUTED_VALUE"""),45819.9986111111)</f>
        <v>45819.998611111099</v>
      </c>
      <c r="AL2724" s="6">
        <f ca="1">IFERROR(__xludf.DUMMYFUNCTION("""COMPUTED_VALUE"""),109722.3)</f>
        <v>109722.3</v>
      </c>
      <c r="AP2724" s="6" t="str">
        <f t="shared" si="771"/>
        <v>19001</v>
      </c>
      <c r="AQ2724" s="6">
        <f t="shared" si="772"/>
        <v>1900</v>
      </c>
      <c r="AR2724" s="6">
        <f t="shared" si="773"/>
        <v>1</v>
      </c>
    </row>
    <row r="2725" spans="2:44" x14ac:dyDescent="0.35">
      <c r="B2725" s="6" t="str">
        <f t="shared" si="756"/>
        <v>19001</v>
      </c>
      <c r="C2725" s="6">
        <f t="shared" si="757"/>
        <v>1900</v>
      </c>
      <c r="D2725" s="6">
        <f t="shared" si="758"/>
        <v>1</v>
      </c>
      <c r="J2725" s="6" t="str">
        <f t="shared" si="759"/>
        <v>19001</v>
      </c>
      <c r="K2725" s="6">
        <f t="shared" si="760"/>
        <v>1900</v>
      </c>
      <c r="L2725" s="6">
        <f t="shared" si="761"/>
        <v>1</v>
      </c>
      <c r="R2725" s="6" t="str">
        <f t="shared" si="762"/>
        <v>19001</v>
      </c>
      <c r="S2725" s="6">
        <f t="shared" si="763"/>
        <v>1900</v>
      </c>
      <c r="T2725" s="6">
        <f t="shared" si="764"/>
        <v>1</v>
      </c>
      <c r="Z2725" s="6" t="str">
        <f t="shared" ca="1" si="765"/>
        <v>20258</v>
      </c>
      <c r="AA2725" s="6">
        <f t="shared" ca="1" si="766"/>
        <v>2025</v>
      </c>
      <c r="AB2725" s="6">
        <f t="shared" ca="1" si="767"/>
        <v>8</v>
      </c>
      <c r="AC2725" s="68">
        <f ca="1">IFERROR(__xludf.DUMMYFUNCTION("""COMPUTED_VALUE"""),45882.9986111111)</f>
        <v>45882.998611111099</v>
      </c>
      <c r="AD2725" s="6">
        <f ca="1">IFERROR(__xludf.DUMMYFUNCTION("""COMPUTED_VALUE"""),1378.78)</f>
        <v>1378.78</v>
      </c>
      <c r="AH2725" s="6" t="str">
        <f t="shared" ca="1" si="768"/>
        <v>20256</v>
      </c>
      <c r="AI2725" s="6">
        <f t="shared" ca="1" si="769"/>
        <v>2025</v>
      </c>
      <c r="AJ2725" s="6">
        <f t="shared" ca="1" si="770"/>
        <v>6</v>
      </c>
      <c r="AK2725" s="68">
        <f ca="1">IFERROR(__xludf.DUMMYFUNCTION("""COMPUTED_VALUE"""),45820.9986111111)</f>
        <v>45820.998611111099</v>
      </c>
      <c r="AL2725" s="6">
        <f ca="1">IFERROR(__xludf.DUMMYFUNCTION("""COMPUTED_VALUE"""),107845.6)</f>
        <v>107845.6</v>
      </c>
      <c r="AP2725" s="6" t="str">
        <f t="shared" si="771"/>
        <v>19001</v>
      </c>
      <c r="AQ2725" s="6">
        <f t="shared" si="772"/>
        <v>1900</v>
      </c>
      <c r="AR2725" s="6">
        <f t="shared" si="773"/>
        <v>1</v>
      </c>
    </row>
    <row r="2726" spans="2:44" x14ac:dyDescent="0.35">
      <c r="B2726" s="6" t="str">
        <f t="shared" si="756"/>
        <v>19001</v>
      </c>
      <c r="C2726" s="6">
        <f t="shared" si="757"/>
        <v>1900</v>
      </c>
      <c r="D2726" s="6">
        <f t="shared" si="758"/>
        <v>1</v>
      </c>
      <c r="J2726" s="6" t="str">
        <f t="shared" si="759"/>
        <v>19001</v>
      </c>
      <c r="K2726" s="6">
        <f t="shared" si="760"/>
        <v>1900</v>
      </c>
      <c r="L2726" s="6">
        <f t="shared" si="761"/>
        <v>1</v>
      </c>
      <c r="R2726" s="6" t="str">
        <f t="shared" si="762"/>
        <v>19001</v>
      </c>
      <c r="S2726" s="6">
        <f t="shared" si="763"/>
        <v>1900</v>
      </c>
      <c r="T2726" s="6">
        <f t="shared" si="764"/>
        <v>1</v>
      </c>
      <c r="Z2726" s="6" t="str">
        <f t="shared" ca="1" si="765"/>
        <v>20258</v>
      </c>
      <c r="AA2726" s="6">
        <f t="shared" ca="1" si="766"/>
        <v>2025</v>
      </c>
      <c r="AB2726" s="6">
        <f t="shared" ca="1" si="767"/>
        <v>8</v>
      </c>
      <c r="AC2726" s="68">
        <f ca="1">IFERROR(__xludf.DUMMYFUNCTION("""COMPUTED_VALUE"""),45883.9986111111)</f>
        <v>45883.998611111099</v>
      </c>
      <c r="AD2726" s="6">
        <f ca="1">IFERROR(__xludf.DUMMYFUNCTION("""COMPUTED_VALUE"""),1387.87)</f>
        <v>1387.87</v>
      </c>
      <c r="AH2726" s="6" t="str">
        <f t="shared" ca="1" si="768"/>
        <v>20256</v>
      </c>
      <c r="AI2726" s="6">
        <f t="shared" ca="1" si="769"/>
        <v>2025</v>
      </c>
      <c r="AJ2726" s="6">
        <f t="shared" ca="1" si="770"/>
        <v>6</v>
      </c>
      <c r="AK2726" s="68">
        <f ca="1">IFERROR(__xludf.DUMMYFUNCTION("""COMPUTED_VALUE"""),45821.9986111111)</f>
        <v>45821.998611111099</v>
      </c>
      <c r="AL2726" s="6">
        <f ca="1">IFERROR(__xludf.DUMMYFUNCTION("""COMPUTED_VALUE"""),104498.1)</f>
        <v>104498.1</v>
      </c>
      <c r="AP2726" s="6" t="str">
        <f t="shared" si="771"/>
        <v>19001</v>
      </c>
      <c r="AQ2726" s="6">
        <f t="shared" si="772"/>
        <v>1900</v>
      </c>
      <c r="AR2726" s="6">
        <f t="shared" si="773"/>
        <v>1</v>
      </c>
    </row>
    <row r="2727" spans="2:44" x14ac:dyDescent="0.35">
      <c r="B2727" s="6" t="str">
        <f t="shared" si="756"/>
        <v>19001</v>
      </c>
      <c r="C2727" s="6">
        <f t="shared" si="757"/>
        <v>1900</v>
      </c>
      <c r="D2727" s="6">
        <f t="shared" si="758"/>
        <v>1</v>
      </c>
      <c r="J2727" s="6" t="str">
        <f t="shared" si="759"/>
        <v>19001</v>
      </c>
      <c r="K2727" s="6">
        <f t="shared" si="760"/>
        <v>1900</v>
      </c>
      <c r="L2727" s="6">
        <f t="shared" si="761"/>
        <v>1</v>
      </c>
      <c r="R2727" s="6" t="str">
        <f t="shared" si="762"/>
        <v>19001</v>
      </c>
      <c r="S2727" s="6">
        <f t="shared" si="763"/>
        <v>1900</v>
      </c>
      <c r="T2727" s="6">
        <f t="shared" si="764"/>
        <v>1</v>
      </c>
      <c r="Z2727" s="6" t="str">
        <f t="shared" ca="1" si="765"/>
        <v>20258</v>
      </c>
      <c r="AA2727" s="6">
        <f t="shared" ca="1" si="766"/>
        <v>2025</v>
      </c>
      <c r="AB2727" s="6">
        <f t="shared" ca="1" si="767"/>
        <v>8</v>
      </c>
      <c r="AC2727" s="68">
        <f ca="1">IFERROR(__xludf.DUMMYFUNCTION("""COMPUTED_VALUE"""),45884.9986111111)</f>
        <v>45884.998611111099</v>
      </c>
      <c r="AD2727" s="6">
        <f ca="1">IFERROR(__xludf.DUMMYFUNCTION("""COMPUTED_VALUE"""),1387.87)</f>
        <v>1387.87</v>
      </c>
      <c r="AH2727" s="6" t="str">
        <f t="shared" ca="1" si="768"/>
        <v>20256</v>
      </c>
      <c r="AI2727" s="6">
        <f t="shared" ca="1" si="769"/>
        <v>2025</v>
      </c>
      <c r="AJ2727" s="6">
        <f t="shared" ca="1" si="770"/>
        <v>6</v>
      </c>
      <c r="AK2727" s="68">
        <f ca="1">IFERROR(__xludf.DUMMYFUNCTION("""COMPUTED_VALUE"""),45822.9986111111)</f>
        <v>45822.998611111099</v>
      </c>
      <c r="AL2727" s="6">
        <f ca="1">IFERROR(__xludf.DUMMYFUNCTION("""COMPUTED_VALUE"""),105312.9)</f>
        <v>105312.9</v>
      </c>
      <c r="AP2727" s="6" t="str">
        <f t="shared" si="771"/>
        <v>19001</v>
      </c>
      <c r="AQ2727" s="6">
        <f t="shared" si="772"/>
        <v>1900</v>
      </c>
      <c r="AR2727" s="6">
        <f t="shared" si="773"/>
        <v>1</v>
      </c>
    </row>
    <row r="2728" spans="2:44" x14ac:dyDescent="0.35">
      <c r="B2728" s="6" t="str">
        <f t="shared" si="756"/>
        <v>19001</v>
      </c>
      <c r="C2728" s="6">
        <f t="shared" si="757"/>
        <v>1900</v>
      </c>
      <c r="D2728" s="6">
        <f t="shared" si="758"/>
        <v>1</v>
      </c>
      <c r="J2728" s="6" t="str">
        <f t="shared" si="759"/>
        <v>19001</v>
      </c>
      <c r="K2728" s="6">
        <f t="shared" si="760"/>
        <v>1900</v>
      </c>
      <c r="L2728" s="6">
        <f t="shared" si="761"/>
        <v>1</v>
      </c>
      <c r="R2728" s="6" t="str">
        <f t="shared" si="762"/>
        <v>19001</v>
      </c>
      <c r="S2728" s="6">
        <f t="shared" si="763"/>
        <v>1900</v>
      </c>
      <c r="T2728" s="6">
        <f t="shared" si="764"/>
        <v>1</v>
      </c>
      <c r="Z2728" s="6" t="str">
        <f t="shared" ca="1" si="765"/>
        <v>20258</v>
      </c>
      <c r="AA2728" s="6">
        <f t="shared" ca="1" si="766"/>
        <v>2025</v>
      </c>
      <c r="AB2728" s="6">
        <f t="shared" ca="1" si="767"/>
        <v>8</v>
      </c>
      <c r="AC2728" s="68">
        <f ca="1">IFERROR(__xludf.DUMMYFUNCTION("""COMPUTED_VALUE"""),45885.9986111111)</f>
        <v>45885.998611111099</v>
      </c>
      <c r="AD2728" s="6">
        <f ca="1">IFERROR(__xludf.DUMMYFUNCTION("""COMPUTED_VALUE"""),1387.87)</f>
        <v>1387.87</v>
      </c>
      <c r="AH2728" s="6" t="str">
        <f t="shared" ca="1" si="768"/>
        <v>20256</v>
      </c>
      <c r="AI2728" s="6">
        <f t="shared" ca="1" si="769"/>
        <v>2025</v>
      </c>
      <c r="AJ2728" s="6">
        <f t="shared" ca="1" si="770"/>
        <v>6</v>
      </c>
      <c r="AK2728" s="68">
        <f ca="1">IFERROR(__xludf.DUMMYFUNCTION("""COMPUTED_VALUE"""),45823.9986111111)</f>
        <v>45823.998611111099</v>
      </c>
      <c r="AL2728" s="6">
        <f ca="1">IFERROR(__xludf.DUMMYFUNCTION("""COMPUTED_VALUE"""),105562.5)</f>
        <v>105562.5</v>
      </c>
      <c r="AP2728" s="6" t="str">
        <f t="shared" si="771"/>
        <v>19001</v>
      </c>
      <c r="AQ2728" s="6">
        <f t="shared" si="772"/>
        <v>1900</v>
      </c>
      <c r="AR2728" s="6">
        <f t="shared" si="773"/>
        <v>1</v>
      </c>
    </row>
    <row r="2729" spans="2:44" x14ac:dyDescent="0.35">
      <c r="B2729" s="6" t="str">
        <f t="shared" si="756"/>
        <v>19001</v>
      </c>
      <c r="C2729" s="6">
        <f t="shared" si="757"/>
        <v>1900</v>
      </c>
      <c r="D2729" s="6">
        <f t="shared" si="758"/>
        <v>1</v>
      </c>
      <c r="J2729" s="6" t="str">
        <f t="shared" si="759"/>
        <v>19001</v>
      </c>
      <c r="K2729" s="6">
        <f t="shared" si="760"/>
        <v>1900</v>
      </c>
      <c r="L2729" s="6">
        <f t="shared" si="761"/>
        <v>1</v>
      </c>
      <c r="R2729" s="6" t="str">
        <f t="shared" si="762"/>
        <v>19001</v>
      </c>
      <c r="S2729" s="6">
        <f t="shared" si="763"/>
        <v>1900</v>
      </c>
      <c r="T2729" s="6">
        <f t="shared" si="764"/>
        <v>1</v>
      </c>
      <c r="Z2729" s="6" t="str">
        <f t="shared" ca="1" si="765"/>
        <v>20258</v>
      </c>
      <c r="AA2729" s="6">
        <f t="shared" ca="1" si="766"/>
        <v>2025</v>
      </c>
      <c r="AB2729" s="6">
        <f t="shared" ca="1" si="767"/>
        <v>8</v>
      </c>
      <c r="AC2729" s="68">
        <f ca="1">IFERROR(__xludf.DUMMYFUNCTION("""COMPUTED_VALUE"""),45886.9986111111)</f>
        <v>45886.998611111099</v>
      </c>
      <c r="AD2729" s="6">
        <f ca="1">IFERROR(__xludf.DUMMYFUNCTION("""COMPUTED_VALUE"""),1387.98)</f>
        <v>1387.98</v>
      </c>
      <c r="AH2729" s="6" t="str">
        <f t="shared" ca="1" si="768"/>
        <v>20256</v>
      </c>
      <c r="AI2729" s="6">
        <f t="shared" ca="1" si="769"/>
        <v>2025</v>
      </c>
      <c r="AJ2729" s="6">
        <f t="shared" ca="1" si="770"/>
        <v>6</v>
      </c>
      <c r="AK2729" s="68">
        <f ca="1">IFERROR(__xludf.DUMMYFUNCTION("""COMPUTED_VALUE"""),45824.9986111111)</f>
        <v>45824.998611111099</v>
      </c>
      <c r="AL2729" s="6">
        <f ca="1">IFERROR(__xludf.DUMMYFUNCTION("""COMPUTED_VALUE"""),105950.6)</f>
        <v>105950.6</v>
      </c>
      <c r="AP2729" s="6" t="str">
        <f t="shared" si="771"/>
        <v>19001</v>
      </c>
      <c r="AQ2729" s="6">
        <f t="shared" si="772"/>
        <v>1900</v>
      </c>
      <c r="AR2729" s="6">
        <f t="shared" si="773"/>
        <v>1</v>
      </c>
    </row>
    <row r="2730" spans="2:44" x14ac:dyDescent="0.35">
      <c r="B2730" s="6" t="str">
        <f t="shared" si="756"/>
        <v>19001</v>
      </c>
      <c r="C2730" s="6">
        <f t="shared" si="757"/>
        <v>1900</v>
      </c>
      <c r="D2730" s="6">
        <f t="shared" si="758"/>
        <v>1</v>
      </c>
      <c r="J2730" s="6" t="str">
        <f t="shared" si="759"/>
        <v>19001</v>
      </c>
      <c r="K2730" s="6">
        <f t="shared" si="760"/>
        <v>1900</v>
      </c>
      <c r="L2730" s="6">
        <f t="shared" si="761"/>
        <v>1</v>
      </c>
      <c r="R2730" s="6" t="str">
        <f t="shared" si="762"/>
        <v>19001</v>
      </c>
      <c r="S2730" s="6">
        <f t="shared" si="763"/>
        <v>1900</v>
      </c>
      <c r="T2730" s="6">
        <f t="shared" si="764"/>
        <v>1</v>
      </c>
      <c r="Z2730" s="6" t="str">
        <f t="shared" ca="1" si="765"/>
        <v>20258</v>
      </c>
      <c r="AA2730" s="6">
        <f t="shared" ca="1" si="766"/>
        <v>2025</v>
      </c>
      <c r="AB2730" s="6">
        <f t="shared" ca="1" si="767"/>
        <v>8</v>
      </c>
      <c r="AC2730" s="68">
        <f ca="1">IFERROR(__xludf.DUMMYFUNCTION("""COMPUTED_VALUE"""),45887.9986111111)</f>
        <v>45887.998611111099</v>
      </c>
      <c r="AD2730" s="6">
        <f ca="1">IFERROR(__xludf.DUMMYFUNCTION("""COMPUTED_VALUE"""),1386.91)</f>
        <v>1386.91</v>
      </c>
      <c r="AH2730" s="6" t="str">
        <f t="shared" ca="1" si="768"/>
        <v>20256</v>
      </c>
      <c r="AI2730" s="6">
        <f t="shared" ca="1" si="769"/>
        <v>2025</v>
      </c>
      <c r="AJ2730" s="6">
        <f t="shared" ca="1" si="770"/>
        <v>6</v>
      </c>
      <c r="AK2730" s="68">
        <f ca="1">IFERROR(__xludf.DUMMYFUNCTION("""COMPUTED_VALUE"""),45825.9986111111)</f>
        <v>45825.998611111099</v>
      </c>
      <c r="AL2730" s="6">
        <f ca="1">IFERROR(__xludf.DUMMYFUNCTION("""COMPUTED_VALUE"""),107598.5)</f>
        <v>107598.5</v>
      </c>
      <c r="AP2730" s="6" t="str">
        <f t="shared" si="771"/>
        <v>19001</v>
      </c>
      <c r="AQ2730" s="6">
        <f t="shared" si="772"/>
        <v>1900</v>
      </c>
      <c r="AR2730" s="6">
        <f t="shared" si="773"/>
        <v>1</v>
      </c>
    </row>
    <row r="2731" spans="2:44" x14ac:dyDescent="0.35">
      <c r="B2731" s="6" t="str">
        <f t="shared" si="756"/>
        <v>19001</v>
      </c>
      <c r="C2731" s="6">
        <f t="shared" si="757"/>
        <v>1900</v>
      </c>
      <c r="D2731" s="6">
        <f t="shared" si="758"/>
        <v>1</v>
      </c>
      <c r="J2731" s="6" t="str">
        <f t="shared" si="759"/>
        <v>19001</v>
      </c>
      <c r="K2731" s="6">
        <f t="shared" si="760"/>
        <v>1900</v>
      </c>
      <c r="L2731" s="6">
        <f t="shared" si="761"/>
        <v>1</v>
      </c>
      <c r="R2731" s="6" t="str">
        <f t="shared" si="762"/>
        <v>19001</v>
      </c>
      <c r="S2731" s="6">
        <f t="shared" si="763"/>
        <v>1900</v>
      </c>
      <c r="T2731" s="6">
        <f t="shared" si="764"/>
        <v>1</v>
      </c>
      <c r="Z2731" s="6" t="str">
        <f t="shared" ca="1" si="765"/>
        <v>20258</v>
      </c>
      <c r="AA2731" s="6">
        <f t="shared" ca="1" si="766"/>
        <v>2025</v>
      </c>
      <c r="AB2731" s="6">
        <f t="shared" ca="1" si="767"/>
        <v>8</v>
      </c>
      <c r="AC2731" s="68">
        <f ca="1">IFERROR(__xludf.DUMMYFUNCTION("""COMPUTED_VALUE"""),45888.9986111111)</f>
        <v>45888.998611111099</v>
      </c>
      <c r="AD2731" s="6">
        <f ca="1">IFERROR(__xludf.DUMMYFUNCTION("""COMPUTED_VALUE"""),1391.34)</f>
        <v>1391.34</v>
      </c>
      <c r="AH2731" s="6" t="str">
        <f t="shared" ca="1" si="768"/>
        <v>20256</v>
      </c>
      <c r="AI2731" s="6">
        <f t="shared" ca="1" si="769"/>
        <v>2025</v>
      </c>
      <c r="AJ2731" s="6">
        <f t="shared" ca="1" si="770"/>
        <v>6</v>
      </c>
      <c r="AK2731" s="68">
        <f ca="1">IFERROR(__xludf.DUMMYFUNCTION("""COMPUTED_VALUE"""),45826.9986111111)</f>
        <v>45826.998611111099</v>
      </c>
      <c r="AL2731" s="6">
        <f ca="1">IFERROR(__xludf.DUMMYFUNCTION("""COMPUTED_VALUE"""),105191.3)</f>
        <v>105191.3</v>
      </c>
      <c r="AP2731" s="6" t="str">
        <f t="shared" si="771"/>
        <v>19001</v>
      </c>
      <c r="AQ2731" s="6">
        <f t="shared" si="772"/>
        <v>1900</v>
      </c>
      <c r="AR2731" s="6">
        <f t="shared" si="773"/>
        <v>1</v>
      </c>
    </row>
    <row r="2732" spans="2:44" x14ac:dyDescent="0.35">
      <c r="B2732" s="6" t="str">
        <f t="shared" si="756"/>
        <v>19001</v>
      </c>
      <c r="C2732" s="6">
        <f t="shared" si="757"/>
        <v>1900</v>
      </c>
      <c r="D2732" s="6">
        <f t="shared" si="758"/>
        <v>1</v>
      </c>
      <c r="J2732" s="6" t="str">
        <f t="shared" si="759"/>
        <v>19001</v>
      </c>
      <c r="K2732" s="6">
        <f t="shared" si="760"/>
        <v>1900</v>
      </c>
      <c r="L2732" s="6">
        <f t="shared" si="761"/>
        <v>1</v>
      </c>
      <c r="R2732" s="6" t="str">
        <f t="shared" si="762"/>
        <v>19001</v>
      </c>
      <c r="S2732" s="6">
        <f t="shared" si="763"/>
        <v>1900</v>
      </c>
      <c r="T2732" s="6">
        <f t="shared" si="764"/>
        <v>1</v>
      </c>
      <c r="Z2732" s="6" t="str">
        <f t="shared" ca="1" si="765"/>
        <v>20258</v>
      </c>
      <c r="AA2732" s="6">
        <f t="shared" ca="1" si="766"/>
        <v>2025</v>
      </c>
      <c r="AB2732" s="6">
        <f t="shared" ca="1" si="767"/>
        <v>8</v>
      </c>
      <c r="AC2732" s="68">
        <f ca="1">IFERROR(__xludf.DUMMYFUNCTION("""COMPUTED_VALUE"""),45889.9986111111)</f>
        <v>45889.998611111099</v>
      </c>
      <c r="AD2732" s="6">
        <f ca="1">IFERROR(__xludf.DUMMYFUNCTION("""COMPUTED_VALUE"""),1396.91)</f>
        <v>1396.91</v>
      </c>
      <c r="AH2732" s="6" t="str">
        <f t="shared" ca="1" si="768"/>
        <v>20256</v>
      </c>
      <c r="AI2732" s="6">
        <f t="shared" ca="1" si="769"/>
        <v>2025</v>
      </c>
      <c r="AJ2732" s="6">
        <f t="shared" ca="1" si="770"/>
        <v>6</v>
      </c>
      <c r="AK2732" s="68">
        <f ca="1">IFERROR(__xludf.DUMMYFUNCTION("""COMPUTED_VALUE"""),45827.9986111111)</f>
        <v>45827.998611111099</v>
      </c>
      <c r="AL2732" s="6">
        <f ca="1">IFERROR(__xludf.DUMMYFUNCTION("""COMPUTED_VALUE"""),105075.2)</f>
        <v>105075.2</v>
      </c>
      <c r="AP2732" s="6" t="str">
        <f t="shared" si="771"/>
        <v>19001</v>
      </c>
      <c r="AQ2732" s="6">
        <f t="shared" si="772"/>
        <v>1900</v>
      </c>
      <c r="AR2732" s="6">
        <f t="shared" si="773"/>
        <v>1</v>
      </c>
    </row>
    <row r="2733" spans="2:44" x14ac:dyDescent="0.35">
      <c r="B2733" s="6" t="str">
        <f t="shared" si="756"/>
        <v>19001</v>
      </c>
      <c r="C2733" s="6">
        <f t="shared" si="757"/>
        <v>1900</v>
      </c>
      <c r="D2733" s="6">
        <f t="shared" si="758"/>
        <v>1</v>
      </c>
      <c r="J2733" s="6" t="str">
        <f t="shared" si="759"/>
        <v>19001</v>
      </c>
      <c r="K2733" s="6">
        <f t="shared" si="760"/>
        <v>1900</v>
      </c>
      <c r="L2733" s="6">
        <f t="shared" si="761"/>
        <v>1</v>
      </c>
      <c r="R2733" s="6" t="str">
        <f t="shared" si="762"/>
        <v>19001</v>
      </c>
      <c r="S2733" s="6">
        <f t="shared" si="763"/>
        <v>1900</v>
      </c>
      <c r="T2733" s="6">
        <f t="shared" si="764"/>
        <v>1</v>
      </c>
      <c r="Z2733" s="6" t="str">
        <f t="shared" ca="1" si="765"/>
        <v>20258</v>
      </c>
      <c r="AA2733" s="6">
        <f t="shared" ca="1" si="766"/>
        <v>2025</v>
      </c>
      <c r="AB2733" s="6">
        <f t="shared" ca="1" si="767"/>
        <v>8</v>
      </c>
      <c r="AC2733" s="68">
        <f ca="1">IFERROR(__xludf.DUMMYFUNCTION("""COMPUTED_VALUE"""),45890.9986111111)</f>
        <v>45890.998611111099</v>
      </c>
      <c r="AD2733" s="6">
        <f ca="1">IFERROR(__xludf.DUMMYFUNCTION("""COMPUTED_VALUE"""),1399.61)</f>
        <v>1399.61</v>
      </c>
      <c r="AH2733" s="6" t="str">
        <f t="shared" ca="1" si="768"/>
        <v>20256</v>
      </c>
      <c r="AI2733" s="6">
        <f t="shared" ca="1" si="769"/>
        <v>2025</v>
      </c>
      <c r="AJ2733" s="6">
        <f t="shared" ca="1" si="770"/>
        <v>6</v>
      </c>
      <c r="AK2733" s="68">
        <f ca="1">IFERROR(__xludf.DUMMYFUNCTION("""COMPUTED_VALUE"""),45828.9986111111)</f>
        <v>45828.998611111099</v>
      </c>
      <c r="AL2733" s="6">
        <f ca="1">IFERROR(__xludf.DUMMYFUNCTION("""COMPUTED_VALUE"""),104637)</f>
        <v>104637</v>
      </c>
      <c r="AP2733" s="6" t="str">
        <f t="shared" si="771"/>
        <v>19001</v>
      </c>
      <c r="AQ2733" s="6">
        <f t="shared" si="772"/>
        <v>1900</v>
      </c>
      <c r="AR2733" s="6">
        <f t="shared" si="773"/>
        <v>1</v>
      </c>
    </row>
    <row r="2734" spans="2:44" x14ac:dyDescent="0.35">
      <c r="B2734" s="6" t="str">
        <f t="shared" si="756"/>
        <v>19001</v>
      </c>
      <c r="C2734" s="6">
        <f t="shared" si="757"/>
        <v>1900</v>
      </c>
      <c r="D2734" s="6">
        <f t="shared" si="758"/>
        <v>1</v>
      </c>
      <c r="J2734" s="6" t="str">
        <f t="shared" si="759"/>
        <v>19001</v>
      </c>
      <c r="K2734" s="6">
        <f t="shared" si="760"/>
        <v>1900</v>
      </c>
      <c r="L2734" s="6">
        <f t="shared" si="761"/>
        <v>1</v>
      </c>
      <c r="R2734" s="6" t="str">
        <f t="shared" si="762"/>
        <v>19001</v>
      </c>
      <c r="S2734" s="6">
        <f t="shared" si="763"/>
        <v>1900</v>
      </c>
      <c r="T2734" s="6">
        <f t="shared" si="764"/>
        <v>1</v>
      </c>
      <c r="Z2734" s="6" t="str">
        <f t="shared" ca="1" si="765"/>
        <v>20258</v>
      </c>
      <c r="AA2734" s="6">
        <f t="shared" ca="1" si="766"/>
        <v>2025</v>
      </c>
      <c r="AB2734" s="6">
        <f t="shared" ca="1" si="767"/>
        <v>8</v>
      </c>
      <c r="AC2734" s="68">
        <f ca="1">IFERROR(__xludf.DUMMYFUNCTION("""COMPUTED_VALUE"""),45891.9986111111)</f>
        <v>45891.998611111099</v>
      </c>
      <c r="AD2734" s="6">
        <f ca="1">IFERROR(__xludf.DUMMYFUNCTION("""COMPUTED_VALUE"""),1383.2)</f>
        <v>1383.2</v>
      </c>
      <c r="AH2734" s="6" t="str">
        <f t="shared" ca="1" si="768"/>
        <v>20256</v>
      </c>
      <c r="AI2734" s="6">
        <f t="shared" ca="1" si="769"/>
        <v>2025</v>
      </c>
      <c r="AJ2734" s="6">
        <f t="shared" ca="1" si="770"/>
        <v>6</v>
      </c>
      <c r="AK2734" s="68">
        <f ca="1">IFERROR(__xludf.DUMMYFUNCTION("""COMPUTED_VALUE"""),45829.9986111111)</f>
        <v>45829.998611111099</v>
      </c>
      <c r="AL2734" s="6">
        <f ca="1">IFERROR(__xludf.DUMMYFUNCTION("""COMPUTED_VALUE"""),103589.5)</f>
        <v>103589.5</v>
      </c>
      <c r="AP2734" s="6" t="str">
        <f t="shared" si="771"/>
        <v>19001</v>
      </c>
      <c r="AQ2734" s="6">
        <f t="shared" si="772"/>
        <v>1900</v>
      </c>
      <c r="AR2734" s="6">
        <f t="shared" si="773"/>
        <v>1</v>
      </c>
    </row>
    <row r="2735" spans="2:44" x14ac:dyDescent="0.35">
      <c r="B2735" s="6" t="str">
        <f t="shared" si="756"/>
        <v>19001</v>
      </c>
      <c r="C2735" s="6">
        <f t="shared" si="757"/>
        <v>1900</v>
      </c>
      <c r="D2735" s="6">
        <f t="shared" si="758"/>
        <v>1</v>
      </c>
      <c r="J2735" s="6" t="str">
        <f t="shared" si="759"/>
        <v>19001</v>
      </c>
      <c r="K2735" s="6">
        <f t="shared" si="760"/>
        <v>1900</v>
      </c>
      <c r="L2735" s="6">
        <f t="shared" si="761"/>
        <v>1</v>
      </c>
      <c r="R2735" s="6" t="str">
        <f t="shared" si="762"/>
        <v>19001</v>
      </c>
      <c r="S2735" s="6">
        <f t="shared" si="763"/>
        <v>1900</v>
      </c>
      <c r="T2735" s="6">
        <f t="shared" si="764"/>
        <v>1</v>
      </c>
      <c r="Z2735" s="6" t="str">
        <f t="shared" ca="1" si="765"/>
        <v>20258</v>
      </c>
      <c r="AA2735" s="6">
        <f t="shared" ca="1" si="766"/>
        <v>2025</v>
      </c>
      <c r="AB2735" s="6">
        <f t="shared" ca="1" si="767"/>
        <v>8</v>
      </c>
      <c r="AC2735" s="68">
        <f ca="1">IFERROR(__xludf.DUMMYFUNCTION("""COMPUTED_VALUE"""),45893.9986111111)</f>
        <v>45893.998611111099</v>
      </c>
      <c r="AD2735" s="6">
        <f ca="1">IFERROR(__xludf.DUMMYFUNCTION("""COMPUTED_VALUE"""),1382.89)</f>
        <v>1382.89</v>
      </c>
      <c r="AH2735" s="6" t="str">
        <f t="shared" ca="1" si="768"/>
        <v>20256</v>
      </c>
      <c r="AI2735" s="6">
        <f t="shared" ca="1" si="769"/>
        <v>2025</v>
      </c>
      <c r="AJ2735" s="6">
        <f t="shared" ca="1" si="770"/>
        <v>6</v>
      </c>
      <c r="AK2735" s="68">
        <f ca="1">IFERROR(__xludf.DUMMYFUNCTION("""COMPUTED_VALUE"""),45830.9986111111)</f>
        <v>45830.998611111099</v>
      </c>
      <c r="AL2735" s="6">
        <f ca="1">IFERROR(__xludf.DUMMYFUNCTION("""COMPUTED_VALUE"""),102394.4)</f>
        <v>102394.4</v>
      </c>
      <c r="AP2735" s="6" t="str">
        <f t="shared" si="771"/>
        <v>19001</v>
      </c>
      <c r="AQ2735" s="6">
        <f t="shared" si="772"/>
        <v>1900</v>
      </c>
      <c r="AR2735" s="6">
        <f t="shared" si="773"/>
        <v>1</v>
      </c>
    </row>
    <row r="2736" spans="2:44" x14ac:dyDescent="0.35">
      <c r="B2736" s="6" t="str">
        <f t="shared" si="756"/>
        <v>19001</v>
      </c>
      <c r="C2736" s="6">
        <f t="shared" si="757"/>
        <v>1900</v>
      </c>
      <c r="D2736" s="6">
        <f t="shared" si="758"/>
        <v>1</v>
      </c>
      <c r="J2736" s="6" t="str">
        <f t="shared" si="759"/>
        <v>19001</v>
      </c>
      <c r="K2736" s="6">
        <f t="shared" si="760"/>
        <v>1900</v>
      </c>
      <c r="L2736" s="6">
        <f t="shared" si="761"/>
        <v>1</v>
      </c>
      <c r="R2736" s="6" t="str">
        <f t="shared" si="762"/>
        <v>19001</v>
      </c>
      <c r="S2736" s="6">
        <f t="shared" si="763"/>
        <v>1900</v>
      </c>
      <c r="T2736" s="6">
        <f t="shared" si="764"/>
        <v>1</v>
      </c>
      <c r="Z2736" s="6" t="str">
        <f t="shared" ca="1" si="765"/>
        <v>20258</v>
      </c>
      <c r="AA2736" s="6">
        <f t="shared" ca="1" si="766"/>
        <v>2025</v>
      </c>
      <c r="AB2736" s="6">
        <f t="shared" ca="1" si="767"/>
        <v>8</v>
      </c>
      <c r="AC2736" s="68">
        <f ca="1">IFERROR(__xludf.DUMMYFUNCTION("""COMPUTED_VALUE"""),45894.9986111111)</f>
        <v>45894.998611111099</v>
      </c>
      <c r="AD2736" s="6">
        <f ca="1">IFERROR(__xludf.DUMMYFUNCTION("""COMPUTED_VALUE"""),1389.05)</f>
        <v>1389.05</v>
      </c>
      <c r="AH2736" s="6" t="str">
        <f t="shared" ca="1" si="768"/>
        <v>20256</v>
      </c>
      <c r="AI2736" s="6">
        <f t="shared" ca="1" si="769"/>
        <v>2025</v>
      </c>
      <c r="AJ2736" s="6">
        <f t="shared" ca="1" si="770"/>
        <v>6</v>
      </c>
      <c r="AK2736" s="68">
        <f ca="1">IFERROR(__xludf.DUMMYFUNCTION("""COMPUTED_VALUE"""),45831.9986111111)</f>
        <v>45831.998611111099</v>
      </c>
      <c r="AL2736" s="6">
        <f ca="1">IFERROR(__xludf.DUMMYFUNCTION("""COMPUTED_VALUE"""),101220)</f>
        <v>101220</v>
      </c>
      <c r="AP2736" s="6" t="str">
        <f t="shared" si="771"/>
        <v>19001</v>
      </c>
      <c r="AQ2736" s="6">
        <f t="shared" si="772"/>
        <v>1900</v>
      </c>
      <c r="AR2736" s="6">
        <f t="shared" si="773"/>
        <v>1</v>
      </c>
    </row>
    <row r="2737" spans="2:44" x14ac:dyDescent="0.35">
      <c r="B2737" s="6" t="str">
        <f t="shared" si="756"/>
        <v>19001</v>
      </c>
      <c r="C2737" s="6">
        <f t="shared" si="757"/>
        <v>1900</v>
      </c>
      <c r="D2737" s="6">
        <f t="shared" si="758"/>
        <v>1</v>
      </c>
      <c r="J2737" s="6" t="str">
        <f t="shared" si="759"/>
        <v>19001</v>
      </c>
      <c r="K2737" s="6">
        <f t="shared" si="760"/>
        <v>1900</v>
      </c>
      <c r="L2737" s="6">
        <f t="shared" si="761"/>
        <v>1</v>
      </c>
      <c r="R2737" s="6" t="str">
        <f t="shared" si="762"/>
        <v>19001</v>
      </c>
      <c r="S2737" s="6">
        <f t="shared" si="763"/>
        <v>1900</v>
      </c>
      <c r="T2737" s="6">
        <f t="shared" si="764"/>
        <v>1</v>
      </c>
      <c r="Z2737" s="6" t="str">
        <f t="shared" ca="1" si="765"/>
        <v>20258</v>
      </c>
      <c r="AA2737" s="6">
        <f t="shared" ca="1" si="766"/>
        <v>2025</v>
      </c>
      <c r="AB2737" s="6">
        <f t="shared" ca="1" si="767"/>
        <v>8</v>
      </c>
      <c r="AC2737" s="68">
        <f ca="1">IFERROR(__xludf.DUMMYFUNCTION("""COMPUTED_VALUE"""),45895.9986111111)</f>
        <v>45895.998611111099</v>
      </c>
      <c r="AD2737" s="6">
        <f ca="1">IFERROR(__xludf.DUMMYFUNCTION("""COMPUTED_VALUE"""),1393.95)</f>
        <v>1393.95</v>
      </c>
      <c r="AH2737" s="6" t="str">
        <f t="shared" ca="1" si="768"/>
        <v>20256</v>
      </c>
      <c r="AI2737" s="6">
        <f t="shared" ca="1" si="769"/>
        <v>2025</v>
      </c>
      <c r="AJ2737" s="6">
        <f t="shared" ca="1" si="770"/>
        <v>6</v>
      </c>
      <c r="AK2737" s="68">
        <f ca="1">IFERROR(__xludf.DUMMYFUNCTION("""COMPUTED_VALUE"""),45832.9986111111)</f>
        <v>45832.998611111099</v>
      </c>
      <c r="AL2737" s="6">
        <f ca="1">IFERROR(__xludf.DUMMYFUNCTION("""COMPUTED_VALUE"""),105019)</f>
        <v>105019</v>
      </c>
      <c r="AP2737" s="6" t="str">
        <f t="shared" si="771"/>
        <v>19001</v>
      </c>
      <c r="AQ2737" s="6">
        <f t="shared" si="772"/>
        <v>1900</v>
      </c>
      <c r="AR2737" s="6">
        <f t="shared" si="773"/>
        <v>1</v>
      </c>
    </row>
    <row r="2738" spans="2:44" x14ac:dyDescent="0.35">
      <c r="B2738" s="6" t="str">
        <f t="shared" si="756"/>
        <v>19001</v>
      </c>
      <c r="C2738" s="6">
        <f t="shared" si="757"/>
        <v>1900</v>
      </c>
      <c r="D2738" s="6">
        <f t="shared" si="758"/>
        <v>1</v>
      </c>
      <c r="J2738" s="6" t="str">
        <f t="shared" si="759"/>
        <v>19001</v>
      </c>
      <c r="K2738" s="6">
        <f t="shared" si="760"/>
        <v>1900</v>
      </c>
      <c r="L2738" s="6">
        <f t="shared" si="761"/>
        <v>1</v>
      </c>
      <c r="R2738" s="6" t="str">
        <f t="shared" si="762"/>
        <v>19001</v>
      </c>
      <c r="S2738" s="6">
        <f t="shared" si="763"/>
        <v>1900</v>
      </c>
      <c r="T2738" s="6">
        <f t="shared" si="764"/>
        <v>1</v>
      </c>
      <c r="Z2738" s="6" t="str">
        <f t="shared" ca="1" si="765"/>
        <v>20258</v>
      </c>
      <c r="AA2738" s="6">
        <f t="shared" ca="1" si="766"/>
        <v>2025</v>
      </c>
      <c r="AB2738" s="6">
        <f t="shared" ca="1" si="767"/>
        <v>8</v>
      </c>
      <c r="AC2738" s="68">
        <f ca="1">IFERROR(__xludf.DUMMYFUNCTION("""COMPUTED_VALUE"""),45896.9986111111)</f>
        <v>45896.998611111099</v>
      </c>
      <c r="AD2738" s="6">
        <f ca="1">IFERROR(__xludf.DUMMYFUNCTION("""COMPUTED_VALUE"""),1392.75)</f>
        <v>1392.75</v>
      </c>
      <c r="AH2738" s="6" t="str">
        <f t="shared" ca="1" si="768"/>
        <v>20256</v>
      </c>
      <c r="AI2738" s="6">
        <f t="shared" ca="1" si="769"/>
        <v>2025</v>
      </c>
      <c r="AJ2738" s="6">
        <f t="shared" ca="1" si="770"/>
        <v>6</v>
      </c>
      <c r="AK2738" s="68">
        <f ca="1">IFERROR(__xludf.DUMMYFUNCTION("""COMPUTED_VALUE"""),45833.9986111111)</f>
        <v>45833.998611111099</v>
      </c>
      <c r="AL2738" s="6">
        <f ca="1">IFERROR(__xludf.DUMMYFUNCTION("""COMPUTED_VALUE"""),106311.5)</f>
        <v>106311.5</v>
      </c>
      <c r="AP2738" s="6" t="str">
        <f t="shared" si="771"/>
        <v>19001</v>
      </c>
      <c r="AQ2738" s="6">
        <f t="shared" si="772"/>
        <v>1900</v>
      </c>
      <c r="AR2738" s="6">
        <f t="shared" si="773"/>
        <v>1</v>
      </c>
    </row>
    <row r="2739" spans="2:44" x14ac:dyDescent="0.35">
      <c r="B2739" s="6" t="str">
        <f t="shared" si="756"/>
        <v>19001</v>
      </c>
      <c r="C2739" s="6">
        <f t="shared" si="757"/>
        <v>1900</v>
      </c>
      <c r="D2739" s="6">
        <f t="shared" si="758"/>
        <v>1</v>
      </c>
      <c r="J2739" s="6" t="str">
        <f t="shared" si="759"/>
        <v>19001</v>
      </c>
      <c r="K2739" s="6">
        <f t="shared" si="760"/>
        <v>1900</v>
      </c>
      <c r="L2739" s="6">
        <f t="shared" si="761"/>
        <v>1</v>
      </c>
      <c r="R2739" s="6" t="str">
        <f t="shared" si="762"/>
        <v>19001</v>
      </c>
      <c r="S2739" s="6">
        <f t="shared" si="763"/>
        <v>1900</v>
      </c>
      <c r="T2739" s="6">
        <f t="shared" si="764"/>
        <v>1</v>
      </c>
      <c r="Z2739" s="6" t="str">
        <f t="shared" ca="1" si="765"/>
        <v>20258</v>
      </c>
      <c r="AA2739" s="6">
        <f t="shared" ca="1" si="766"/>
        <v>2025</v>
      </c>
      <c r="AB2739" s="6">
        <f t="shared" ca="1" si="767"/>
        <v>8</v>
      </c>
      <c r="AC2739" s="68">
        <f ca="1">IFERROR(__xludf.DUMMYFUNCTION("""COMPUTED_VALUE"""),45897.9986111111)</f>
        <v>45897.998611111099</v>
      </c>
      <c r="AD2739" s="6">
        <f ca="1">IFERROR(__xludf.DUMMYFUNCTION("""COMPUTED_VALUE"""),1384.41)</f>
        <v>1384.41</v>
      </c>
      <c r="AH2739" s="6" t="str">
        <f t="shared" ca="1" si="768"/>
        <v>20256</v>
      </c>
      <c r="AI2739" s="6">
        <f t="shared" ca="1" si="769"/>
        <v>2025</v>
      </c>
      <c r="AJ2739" s="6">
        <f t="shared" ca="1" si="770"/>
        <v>6</v>
      </c>
      <c r="AK2739" s="68">
        <f ca="1">IFERROR(__xludf.DUMMYFUNCTION("""COMPUTED_VALUE"""),45834.9986111111)</f>
        <v>45834.998611111099</v>
      </c>
      <c r="AL2739" s="6">
        <f ca="1">IFERROR(__xludf.DUMMYFUNCTION("""COMPUTED_VALUE"""),107899.3)</f>
        <v>107899.3</v>
      </c>
      <c r="AP2739" s="6" t="str">
        <f t="shared" si="771"/>
        <v>19001</v>
      </c>
      <c r="AQ2739" s="6">
        <f t="shared" si="772"/>
        <v>1900</v>
      </c>
      <c r="AR2739" s="6">
        <f t="shared" si="773"/>
        <v>1</v>
      </c>
    </row>
    <row r="2740" spans="2:44" x14ac:dyDescent="0.35">
      <c r="B2740" s="6" t="str">
        <f t="shared" si="756"/>
        <v>19001</v>
      </c>
      <c r="C2740" s="6">
        <f t="shared" si="757"/>
        <v>1900</v>
      </c>
      <c r="D2740" s="6">
        <f t="shared" si="758"/>
        <v>1</v>
      </c>
      <c r="J2740" s="6" t="str">
        <f t="shared" si="759"/>
        <v>19001</v>
      </c>
      <c r="K2740" s="6">
        <f t="shared" si="760"/>
        <v>1900</v>
      </c>
      <c r="L2740" s="6">
        <f t="shared" si="761"/>
        <v>1</v>
      </c>
      <c r="R2740" s="6" t="str">
        <f t="shared" si="762"/>
        <v>19001</v>
      </c>
      <c r="S2740" s="6">
        <f t="shared" si="763"/>
        <v>1900</v>
      </c>
      <c r="T2740" s="6">
        <f t="shared" si="764"/>
        <v>1</v>
      </c>
      <c r="Z2740" s="6" t="str">
        <f t="shared" ca="1" si="765"/>
        <v>20258</v>
      </c>
      <c r="AA2740" s="6">
        <f t="shared" ca="1" si="766"/>
        <v>2025</v>
      </c>
      <c r="AB2740" s="6">
        <f t="shared" ca="1" si="767"/>
        <v>8</v>
      </c>
      <c r="AC2740" s="68">
        <f ca="1">IFERROR(__xludf.DUMMYFUNCTION("""COMPUTED_VALUE"""),45898.9986111111)</f>
        <v>45898.998611111099</v>
      </c>
      <c r="AD2740" s="6">
        <f ca="1">IFERROR(__xludf.DUMMYFUNCTION("""COMPUTED_VALUE"""),1387.87)</f>
        <v>1387.87</v>
      </c>
      <c r="AH2740" s="6" t="str">
        <f t="shared" ca="1" si="768"/>
        <v>20256</v>
      </c>
      <c r="AI2740" s="6">
        <f t="shared" ca="1" si="769"/>
        <v>2025</v>
      </c>
      <c r="AJ2740" s="6">
        <f t="shared" ca="1" si="770"/>
        <v>6</v>
      </c>
      <c r="AK2740" s="68">
        <f ca="1">IFERROR(__xludf.DUMMYFUNCTION("""COMPUTED_VALUE"""),45835.9986111111)</f>
        <v>45835.998611111099</v>
      </c>
      <c r="AL2740" s="6">
        <f ca="1">IFERROR(__xludf.DUMMYFUNCTION("""COMPUTED_VALUE"""),107523.7)</f>
        <v>107523.7</v>
      </c>
      <c r="AP2740" s="6" t="str">
        <f t="shared" si="771"/>
        <v>19001</v>
      </c>
      <c r="AQ2740" s="6">
        <f t="shared" si="772"/>
        <v>1900</v>
      </c>
      <c r="AR2740" s="6">
        <f t="shared" si="773"/>
        <v>1</v>
      </c>
    </row>
    <row r="2741" spans="2:44" x14ac:dyDescent="0.35">
      <c r="B2741" s="6" t="str">
        <f t="shared" si="756"/>
        <v>19001</v>
      </c>
      <c r="C2741" s="6">
        <f t="shared" si="757"/>
        <v>1900</v>
      </c>
      <c r="D2741" s="6">
        <f t="shared" si="758"/>
        <v>1</v>
      </c>
      <c r="J2741" s="6" t="str">
        <f t="shared" si="759"/>
        <v>19001</v>
      </c>
      <c r="K2741" s="6">
        <f t="shared" si="760"/>
        <v>1900</v>
      </c>
      <c r="L2741" s="6">
        <f t="shared" si="761"/>
        <v>1</v>
      </c>
      <c r="R2741" s="6" t="str">
        <f t="shared" si="762"/>
        <v>19001</v>
      </c>
      <c r="S2741" s="6">
        <f t="shared" si="763"/>
        <v>1900</v>
      </c>
      <c r="T2741" s="6">
        <f t="shared" si="764"/>
        <v>1</v>
      </c>
      <c r="Z2741" s="6" t="str">
        <f t="shared" ca="1" si="765"/>
        <v>20258</v>
      </c>
      <c r="AA2741" s="6">
        <f t="shared" ca="1" si="766"/>
        <v>2025</v>
      </c>
      <c r="AB2741" s="6">
        <f t="shared" ca="1" si="767"/>
        <v>8</v>
      </c>
      <c r="AC2741" s="68">
        <f ca="1">IFERROR(__xludf.DUMMYFUNCTION("""COMPUTED_VALUE"""),45899.9986111111)</f>
        <v>45899.998611111099</v>
      </c>
      <c r="AD2741" s="6">
        <f ca="1">IFERROR(__xludf.DUMMYFUNCTION("""COMPUTED_VALUE"""),1386.97)</f>
        <v>1386.97</v>
      </c>
      <c r="AH2741" s="6" t="str">
        <f t="shared" ca="1" si="768"/>
        <v>20256</v>
      </c>
      <c r="AI2741" s="6">
        <f t="shared" ca="1" si="769"/>
        <v>2025</v>
      </c>
      <c r="AJ2741" s="6">
        <f t="shared" ca="1" si="770"/>
        <v>6</v>
      </c>
      <c r="AK2741" s="68">
        <f ca="1">IFERROR(__xludf.DUMMYFUNCTION("""COMPUTED_VALUE"""),45836.9986111111)</f>
        <v>45836.998611111099</v>
      </c>
      <c r="AL2741" s="6">
        <f ca="1">IFERROR(__xludf.DUMMYFUNCTION("""COMPUTED_VALUE"""),107342.2)</f>
        <v>107342.2</v>
      </c>
      <c r="AP2741" s="6" t="str">
        <f t="shared" si="771"/>
        <v>19001</v>
      </c>
      <c r="AQ2741" s="6">
        <f t="shared" si="772"/>
        <v>1900</v>
      </c>
      <c r="AR2741" s="6">
        <f t="shared" si="773"/>
        <v>1</v>
      </c>
    </row>
    <row r="2742" spans="2:44" x14ac:dyDescent="0.35">
      <c r="B2742" s="6" t="str">
        <f t="shared" si="756"/>
        <v>19001</v>
      </c>
      <c r="C2742" s="6">
        <f t="shared" si="757"/>
        <v>1900</v>
      </c>
      <c r="D2742" s="6">
        <f t="shared" si="758"/>
        <v>1</v>
      </c>
      <c r="J2742" s="6" t="str">
        <f t="shared" si="759"/>
        <v>19001</v>
      </c>
      <c r="K2742" s="6">
        <f t="shared" si="760"/>
        <v>1900</v>
      </c>
      <c r="L2742" s="6">
        <f t="shared" si="761"/>
        <v>1</v>
      </c>
      <c r="R2742" s="6" t="str">
        <f t="shared" si="762"/>
        <v>19001</v>
      </c>
      <c r="S2742" s="6">
        <f t="shared" si="763"/>
        <v>1900</v>
      </c>
      <c r="T2742" s="6">
        <f t="shared" si="764"/>
        <v>1</v>
      </c>
      <c r="Z2742" s="6" t="str">
        <f t="shared" ca="1" si="765"/>
        <v>20258</v>
      </c>
      <c r="AA2742" s="6">
        <f t="shared" ca="1" si="766"/>
        <v>2025</v>
      </c>
      <c r="AB2742" s="6">
        <f t="shared" ca="1" si="767"/>
        <v>8</v>
      </c>
      <c r="AC2742" s="68">
        <f ca="1">IFERROR(__xludf.DUMMYFUNCTION("""COMPUTED_VALUE"""),45900.9986111111)</f>
        <v>45900.998611111099</v>
      </c>
      <c r="AD2742" s="6">
        <f ca="1">IFERROR(__xludf.DUMMYFUNCTION("""COMPUTED_VALUE"""),1388.84)</f>
        <v>1388.84</v>
      </c>
      <c r="AH2742" s="6" t="str">
        <f t="shared" ca="1" si="768"/>
        <v>20256</v>
      </c>
      <c r="AI2742" s="6">
        <f t="shared" ca="1" si="769"/>
        <v>2025</v>
      </c>
      <c r="AJ2742" s="6">
        <f t="shared" ca="1" si="770"/>
        <v>6</v>
      </c>
      <c r="AK2742" s="68">
        <f ca="1">IFERROR(__xludf.DUMMYFUNCTION("""COMPUTED_VALUE"""),45837.9986111111)</f>
        <v>45837.998611111099</v>
      </c>
      <c r="AL2742" s="6">
        <f ca="1">IFERROR(__xludf.DUMMYFUNCTION("""COMPUTED_VALUE"""),107249.3)</f>
        <v>107249.3</v>
      </c>
      <c r="AP2742" s="6" t="str">
        <f t="shared" si="771"/>
        <v>19001</v>
      </c>
      <c r="AQ2742" s="6">
        <f t="shared" si="772"/>
        <v>1900</v>
      </c>
      <c r="AR2742" s="6">
        <f t="shared" si="773"/>
        <v>1</v>
      </c>
    </row>
    <row r="2743" spans="2:44" x14ac:dyDescent="0.35">
      <c r="B2743" s="6" t="str">
        <f t="shared" si="756"/>
        <v>19001</v>
      </c>
      <c r="C2743" s="6">
        <f t="shared" si="757"/>
        <v>1900</v>
      </c>
      <c r="D2743" s="6">
        <f t="shared" si="758"/>
        <v>1</v>
      </c>
      <c r="J2743" s="6" t="str">
        <f t="shared" si="759"/>
        <v>19001</v>
      </c>
      <c r="K2743" s="6">
        <f t="shared" si="760"/>
        <v>1900</v>
      </c>
      <c r="L2743" s="6">
        <f t="shared" si="761"/>
        <v>1</v>
      </c>
      <c r="R2743" s="6" t="str">
        <f t="shared" si="762"/>
        <v>19001</v>
      </c>
      <c r="S2743" s="6">
        <f t="shared" si="763"/>
        <v>1900</v>
      </c>
      <c r="T2743" s="6">
        <f t="shared" si="764"/>
        <v>1</v>
      </c>
      <c r="Z2743" s="6" t="str">
        <f t="shared" ca="1" si="765"/>
        <v>20259</v>
      </c>
      <c r="AA2743" s="6">
        <f t="shared" ca="1" si="766"/>
        <v>2025</v>
      </c>
      <c r="AB2743" s="6">
        <f t="shared" ca="1" si="767"/>
        <v>9</v>
      </c>
      <c r="AC2743" s="68">
        <f ca="1">IFERROR(__xludf.DUMMYFUNCTION("""COMPUTED_VALUE"""),45901.9986111111)</f>
        <v>45901.998611111099</v>
      </c>
      <c r="AD2743" s="6">
        <f ca="1">IFERROR(__xludf.DUMMYFUNCTION("""COMPUTED_VALUE"""),1392.94)</f>
        <v>1392.94</v>
      </c>
      <c r="AH2743" s="6" t="str">
        <f t="shared" ca="1" si="768"/>
        <v>20256</v>
      </c>
      <c r="AI2743" s="6">
        <f t="shared" ca="1" si="769"/>
        <v>2025</v>
      </c>
      <c r="AJ2743" s="6">
        <f t="shared" ca="1" si="770"/>
        <v>6</v>
      </c>
      <c r="AK2743" s="68">
        <f ca="1">IFERROR(__xludf.DUMMYFUNCTION("""COMPUTED_VALUE"""),45838.9986111111)</f>
        <v>45838.998611111099</v>
      </c>
      <c r="AL2743" s="6">
        <f ca="1">IFERROR(__xludf.DUMMYFUNCTION("""COMPUTED_VALUE"""),108527.5)</f>
        <v>108527.5</v>
      </c>
      <c r="AP2743" s="6" t="str">
        <f t="shared" si="771"/>
        <v>19001</v>
      </c>
      <c r="AQ2743" s="6">
        <f t="shared" si="772"/>
        <v>1900</v>
      </c>
      <c r="AR2743" s="6">
        <f t="shared" si="773"/>
        <v>1</v>
      </c>
    </row>
    <row r="2744" spans="2:44" x14ac:dyDescent="0.35">
      <c r="B2744" s="6" t="str">
        <f t="shared" si="756"/>
        <v>19001</v>
      </c>
      <c r="C2744" s="6">
        <f t="shared" si="757"/>
        <v>1900</v>
      </c>
      <c r="D2744" s="6">
        <f t="shared" si="758"/>
        <v>1</v>
      </c>
      <c r="J2744" s="6" t="str">
        <f t="shared" si="759"/>
        <v>19001</v>
      </c>
      <c r="K2744" s="6">
        <f t="shared" si="760"/>
        <v>1900</v>
      </c>
      <c r="L2744" s="6">
        <f t="shared" si="761"/>
        <v>1</v>
      </c>
      <c r="R2744" s="6" t="str">
        <f t="shared" si="762"/>
        <v>19001</v>
      </c>
      <c r="S2744" s="6">
        <f t="shared" si="763"/>
        <v>1900</v>
      </c>
      <c r="T2744" s="6">
        <f t="shared" si="764"/>
        <v>1</v>
      </c>
      <c r="Z2744" s="6" t="str">
        <f t="shared" ca="1" si="765"/>
        <v>20259</v>
      </c>
      <c r="AA2744" s="6">
        <f t="shared" ca="1" si="766"/>
        <v>2025</v>
      </c>
      <c r="AB2744" s="6">
        <f t="shared" ca="1" si="767"/>
        <v>9</v>
      </c>
      <c r="AC2744" s="68">
        <f ca="1">IFERROR(__xludf.DUMMYFUNCTION("""COMPUTED_VALUE"""),45902.9986111111)</f>
        <v>45902.998611111099</v>
      </c>
      <c r="AD2744" s="6">
        <f ca="1">IFERROR(__xludf.DUMMYFUNCTION("""COMPUTED_VALUE"""),1394.57)</f>
        <v>1394.57</v>
      </c>
      <c r="AH2744" s="6" t="str">
        <f t="shared" ca="1" si="768"/>
        <v>20257</v>
      </c>
      <c r="AI2744" s="6">
        <f t="shared" ca="1" si="769"/>
        <v>2025</v>
      </c>
      <c r="AJ2744" s="6">
        <f t="shared" ca="1" si="770"/>
        <v>7</v>
      </c>
      <c r="AK2744" s="68">
        <f ca="1">IFERROR(__xludf.DUMMYFUNCTION("""COMPUTED_VALUE"""),45839.9986111111)</f>
        <v>45839.998611111099</v>
      </c>
      <c r="AL2744" s="6">
        <f ca="1">IFERROR(__xludf.DUMMYFUNCTION("""COMPUTED_VALUE"""),107217.4)</f>
        <v>107217.4</v>
      </c>
      <c r="AP2744" s="6" t="str">
        <f t="shared" si="771"/>
        <v>19001</v>
      </c>
      <c r="AQ2744" s="6">
        <f t="shared" si="772"/>
        <v>1900</v>
      </c>
      <c r="AR2744" s="6">
        <f t="shared" si="773"/>
        <v>1</v>
      </c>
    </row>
    <row r="2745" spans="2:44" x14ac:dyDescent="0.35">
      <c r="B2745" s="6" t="str">
        <f t="shared" si="756"/>
        <v>19001</v>
      </c>
      <c r="C2745" s="6">
        <f t="shared" si="757"/>
        <v>1900</v>
      </c>
      <c r="D2745" s="6">
        <f t="shared" si="758"/>
        <v>1</v>
      </c>
      <c r="J2745" s="6" t="str">
        <f t="shared" si="759"/>
        <v>19001</v>
      </c>
      <c r="K2745" s="6">
        <f t="shared" si="760"/>
        <v>1900</v>
      </c>
      <c r="L2745" s="6">
        <f t="shared" si="761"/>
        <v>1</v>
      </c>
      <c r="R2745" s="6" t="str">
        <f t="shared" si="762"/>
        <v>19001</v>
      </c>
      <c r="S2745" s="6">
        <f t="shared" si="763"/>
        <v>1900</v>
      </c>
      <c r="T2745" s="6">
        <f t="shared" si="764"/>
        <v>1</v>
      </c>
      <c r="Z2745" s="6" t="str">
        <f t="shared" ca="1" si="765"/>
        <v>20259</v>
      </c>
      <c r="AA2745" s="6">
        <f t="shared" ca="1" si="766"/>
        <v>2025</v>
      </c>
      <c r="AB2745" s="6">
        <f t="shared" ca="1" si="767"/>
        <v>9</v>
      </c>
      <c r="AC2745" s="68">
        <f ca="1">IFERROR(__xludf.DUMMYFUNCTION("""COMPUTED_VALUE"""),45903.9986111111)</f>
        <v>45903.998611111099</v>
      </c>
      <c r="AD2745" s="6">
        <f ca="1">IFERROR(__xludf.DUMMYFUNCTION("""COMPUTED_VALUE"""),1389.63)</f>
        <v>1389.63</v>
      </c>
      <c r="AH2745" s="6" t="str">
        <f t="shared" ca="1" si="768"/>
        <v>20257</v>
      </c>
      <c r="AI2745" s="6">
        <f t="shared" ca="1" si="769"/>
        <v>2025</v>
      </c>
      <c r="AJ2745" s="6">
        <f t="shared" ca="1" si="770"/>
        <v>7</v>
      </c>
      <c r="AK2745" s="68">
        <f ca="1">IFERROR(__xludf.DUMMYFUNCTION("""COMPUTED_VALUE"""),45840.9986111111)</f>
        <v>45840.998611111099</v>
      </c>
      <c r="AL2745" s="6">
        <f ca="1">IFERROR(__xludf.DUMMYFUNCTION("""COMPUTED_VALUE"""),106255.1)</f>
        <v>106255.1</v>
      </c>
      <c r="AP2745" s="6" t="str">
        <f t="shared" si="771"/>
        <v>19001</v>
      </c>
      <c r="AQ2745" s="6">
        <f t="shared" si="772"/>
        <v>1900</v>
      </c>
      <c r="AR2745" s="6">
        <f t="shared" si="773"/>
        <v>1</v>
      </c>
    </row>
    <row r="2746" spans="2:44" x14ac:dyDescent="0.35">
      <c r="B2746" s="6" t="str">
        <f t="shared" si="756"/>
        <v>19001</v>
      </c>
      <c r="C2746" s="6">
        <f t="shared" si="757"/>
        <v>1900</v>
      </c>
      <c r="D2746" s="6">
        <f t="shared" si="758"/>
        <v>1</v>
      </c>
      <c r="J2746" s="6" t="str">
        <f t="shared" si="759"/>
        <v>19001</v>
      </c>
      <c r="K2746" s="6">
        <f t="shared" si="760"/>
        <v>1900</v>
      </c>
      <c r="L2746" s="6">
        <f t="shared" si="761"/>
        <v>1</v>
      </c>
      <c r="R2746" s="6" t="str">
        <f t="shared" si="762"/>
        <v>19001</v>
      </c>
      <c r="S2746" s="6">
        <f t="shared" si="763"/>
        <v>1900</v>
      </c>
      <c r="T2746" s="6">
        <f t="shared" si="764"/>
        <v>1</v>
      </c>
      <c r="Z2746" s="6" t="str">
        <f t="shared" ca="1" si="765"/>
        <v>20259</v>
      </c>
      <c r="AA2746" s="6">
        <f t="shared" ca="1" si="766"/>
        <v>2025</v>
      </c>
      <c r="AB2746" s="6">
        <f t="shared" ca="1" si="767"/>
        <v>9</v>
      </c>
      <c r="AC2746" s="68">
        <f ca="1">IFERROR(__xludf.DUMMYFUNCTION("""COMPUTED_VALUE"""),45904.9986111111)</f>
        <v>45904.998611111099</v>
      </c>
      <c r="AD2746" s="6">
        <f ca="1">IFERROR(__xludf.DUMMYFUNCTION("""COMPUTED_VALUE"""),1392.06)</f>
        <v>1392.06</v>
      </c>
      <c r="AH2746" s="6" t="str">
        <f t="shared" ca="1" si="768"/>
        <v>20257</v>
      </c>
      <c r="AI2746" s="6">
        <f t="shared" ca="1" si="769"/>
        <v>2025</v>
      </c>
      <c r="AJ2746" s="6">
        <f t="shared" ca="1" si="770"/>
        <v>7</v>
      </c>
      <c r="AK2746" s="68">
        <f ca="1">IFERROR(__xludf.DUMMYFUNCTION("""COMPUTED_VALUE"""),45841.9986111111)</f>
        <v>45841.998611111099</v>
      </c>
      <c r="AL2746" s="6">
        <f ca="1">IFERROR(__xludf.DUMMYFUNCTION("""COMPUTED_VALUE"""),108696.5)</f>
        <v>108696.5</v>
      </c>
      <c r="AP2746" s="6" t="str">
        <f t="shared" si="771"/>
        <v>19001</v>
      </c>
      <c r="AQ2746" s="6">
        <f t="shared" si="772"/>
        <v>1900</v>
      </c>
      <c r="AR2746" s="6">
        <f t="shared" si="773"/>
        <v>1</v>
      </c>
    </row>
    <row r="2747" spans="2:44" x14ac:dyDescent="0.35">
      <c r="B2747" s="6" t="str">
        <f t="shared" si="756"/>
        <v>19001</v>
      </c>
      <c r="C2747" s="6">
        <f t="shared" si="757"/>
        <v>1900</v>
      </c>
      <c r="D2747" s="6">
        <f t="shared" si="758"/>
        <v>1</v>
      </c>
      <c r="J2747" s="6" t="str">
        <f t="shared" si="759"/>
        <v>19001</v>
      </c>
      <c r="K2747" s="6">
        <f t="shared" si="760"/>
        <v>1900</v>
      </c>
      <c r="L2747" s="6">
        <f t="shared" si="761"/>
        <v>1</v>
      </c>
      <c r="R2747" s="6" t="str">
        <f t="shared" si="762"/>
        <v>19001</v>
      </c>
      <c r="S2747" s="6">
        <f t="shared" si="763"/>
        <v>1900</v>
      </c>
      <c r="T2747" s="6">
        <f t="shared" si="764"/>
        <v>1</v>
      </c>
      <c r="Z2747" s="6" t="str">
        <f t="shared" ca="1" si="765"/>
        <v>20259</v>
      </c>
      <c r="AA2747" s="6">
        <f t="shared" ca="1" si="766"/>
        <v>2025</v>
      </c>
      <c r="AB2747" s="6">
        <f t="shared" ca="1" si="767"/>
        <v>9</v>
      </c>
      <c r="AC2747" s="68">
        <f ca="1">IFERROR(__xludf.DUMMYFUNCTION("""COMPUTED_VALUE"""),45905.9986111111)</f>
        <v>45905.998611111099</v>
      </c>
      <c r="AD2747" s="6">
        <f ca="1">IFERROR(__xludf.DUMMYFUNCTION("""COMPUTED_VALUE"""),1385.42)</f>
        <v>1385.42</v>
      </c>
      <c r="AH2747" s="6" t="str">
        <f t="shared" ca="1" si="768"/>
        <v>20257</v>
      </c>
      <c r="AI2747" s="6">
        <f t="shared" ca="1" si="769"/>
        <v>2025</v>
      </c>
      <c r="AJ2747" s="6">
        <f t="shared" ca="1" si="770"/>
        <v>7</v>
      </c>
      <c r="AK2747" s="68">
        <f ca="1">IFERROR(__xludf.DUMMYFUNCTION("""COMPUTED_VALUE"""),45842.9986111111)</f>
        <v>45842.998611111099</v>
      </c>
      <c r="AL2747" s="6">
        <f ca="1">IFERROR(__xludf.DUMMYFUNCTION("""COMPUTED_VALUE"""),109273.1)</f>
        <v>109273.1</v>
      </c>
      <c r="AP2747" s="6" t="str">
        <f t="shared" si="771"/>
        <v>19001</v>
      </c>
      <c r="AQ2747" s="6">
        <f t="shared" si="772"/>
        <v>1900</v>
      </c>
      <c r="AR2747" s="6">
        <f t="shared" si="773"/>
        <v>1</v>
      </c>
    </row>
    <row r="2748" spans="2:44" x14ac:dyDescent="0.35">
      <c r="B2748" s="6" t="str">
        <f t="shared" si="756"/>
        <v>19001</v>
      </c>
      <c r="C2748" s="6">
        <f t="shared" si="757"/>
        <v>1900</v>
      </c>
      <c r="D2748" s="6">
        <f t="shared" si="758"/>
        <v>1</v>
      </c>
      <c r="J2748" s="6" t="str">
        <f t="shared" si="759"/>
        <v>19001</v>
      </c>
      <c r="K2748" s="6">
        <f t="shared" si="760"/>
        <v>1900</v>
      </c>
      <c r="L2748" s="6">
        <f t="shared" si="761"/>
        <v>1</v>
      </c>
      <c r="R2748" s="6" t="str">
        <f t="shared" si="762"/>
        <v>19001</v>
      </c>
      <c r="S2748" s="6">
        <f t="shared" si="763"/>
        <v>1900</v>
      </c>
      <c r="T2748" s="6">
        <f t="shared" si="764"/>
        <v>1</v>
      </c>
      <c r="Z2748" s="6" t="str">
        <f t="shared" ca="1" si="765"/>
        <v>20259</v>
      </c>
      <c r="AA2748" s="6">
        <f t="shared" ca="1" si="766"/>
        <v>2025</v>
      </c>
      <c r="AB2748" s="6">
        <f t="shared" ca="1" si="767"/>
        <v>9</v>
      </c>
      <c r="AC2748" s="68">
        <f ca="1">IFERROR(__xludf.DUMMYFUNCTION("""COMPUTED_VALUE"""),45906.9986111111)</f>
        <v>45906.998611111099</v>
      </c>
      <c r="AD2748" s="6">
        <f ca="1">IFERROR(__xludf.DUMMYFUNCTION("""COMPUTED_VALUE"""),1385.48)</f>
        <v>1385.48</v>
      </c>
      <c r="AH2748" s="6" t="str">
        <f t="shared" ca="1" si="768"/>
        <v>20257</v>
      </c>
      <c r="AI2748" s="6">
        <f t="shared" ca="1" si="769"/>
        <v>2025</v>
      </c>
      <c r="AJ2748" s="6">
        <f t="shared" ca="1" si="770"/>
        <v>7</v>
      </c>
      <c r="AK2748" s="68">
        <f ca="1">IFERROR(__xludf.DUMMYFUNCTION("""COMPUTED_VALUE"""),45843.9986111111)</f>
        <v>45843.998611111099</v>
      </c>
      <c r="AL2748" s="6">
        <f ca="1">IFERROR(__xludf.DUMMYFUNCTION("""COMPUTED_VALUE"""),108230)</f>
        <v>108230</v>
      </c>
      <c r="AP2748" s="6" t="str">
        <f t="shared" si="771"/>
        <v>19001</v>
      </c>
      <c r="AQ2748" s="6">
        <f t="shared" si="772"/>
        <v>1900</v>
      </c>
      <c r="AR2748" s="6">
        <f t="shared" si="773"/>
        <v>1</v>
      </c>
    </row>
    <row r="2749" spans="2:44" x14ac:dyDescent="0.35">
      <c r="B2749" s="6" t="str">
        <f t="shared" si="756"/>
        <v>19001</v>
      </c>
      <c r="C2749" s="6">
        <f t="shared" si="757"/>
        <v>1900</v>
      </c>
      <c r="D2749" s="6">
        <f t="shared" si="758"/>
        <v>1</v>
      </c>
      <c r="J2749" s="6" t="str">
        <f t="shared" si="759"/>
        <v>19001</v>
      </c>
      <c r="K2749" s="6">
        <f t="shared" si="760"/>
        <v>1900</v>
      </c>
      <c r="L2749" s="6">
        <f t="shared" si="761"/>
        <v>1</v>
      </c>
      <c r="R2749" s="6" t="str">
        <f t="shared" si="762"/>
        <v>19001</v>
      </c>
      <c r="S2749" s="6">
        <f t="shared" si="763"/>
        <v>1900</v>
      </c>
      <c r="T2749" s="6">
        <f t="shared" si="764"/>
        <v>1</v>
      </c>
      <c r="Z2749" s="6" t="str">
        <f t="shared" ca="1" si="765"/>
        <v>20259</v>
      </c>
      <c r="AA2749" s="6">
        <f t="shared" ca="1" si="766"/>
        <v>2025</v>
      </c>
      <c r="AB2749" s="6">
        <f t="shared" ca="1" si="767"/>
        <v>9</v>
      </c>
      <c r="AC2749" s="68">
        <f ca="1">IFERROR(__xludf.DUMMYFUNCTION("""COMPUTED_VALUE"""),45907.9986111111)</f>
        <v>45907.998611111099</v>
      </c>
      <c r="AD2749" s="6">
        <f ca="1">IFERROR(__xludf.DUMMYFUNCTION("""COMPUTED_VALUE"""),1385.51)</f>
        <v>1385.51</v>
      </c>
      <c r="AH2749" s="6" t="str">
        <f t="shared" ca="1" si="768"/>
        <v>20257</v>
      </c>
      <c r="AI2749" s="6">
        <f t="shared" ca="1" si="769"/>
        <v>2025</v>
      </c>
      <c r="AJ2749" s="6">
        <f t="shared" ca="1" si="770"/>
        <v>7</v>
      </c>
      <c r="AK2749" s="68">
        <f ca="1">IFERROR(__xludf.DUMMYFUNCTION("""COMPUTED_VALUE"""),45844.9986111111)</f>
        <v>45844.998611111099</v>
      </c>
      <c r="AL2749" s="6">
        <f ca="1">IFERROR(__xludf.DUMMYFUNCTION("""COMPUTED_VALUE"""),108114)</f>
        <v>108114</v>
      </c>
      <c r="AP2749" s="6" t="str">
        <f t="shared" si="771"/>
        <v>19001</v>
      </c>
      <c r="AQ2749" s="6">
        <f t="shared" si="772"/>
        <v>1900</v>
      </c>
      <c r="AR2749" s="6">
        <f t="shared" si="773"/>
        <v>1</v>
      </c>
    </row>
    <row r="2750" spans="2:44" x14ac:dyDescent="0.35">
      <c r="B2750" s="6" t="str">
        <f t="shared" si="756"/>
        <v>19001</v>
      </c>
      <c r="C2750" s="6">
        <f t="shared" si="757"/>
        <v>1900</v>
      </c>
      <c r="D2750" s="6">
        <f t="shared" si="758"/>
        <v>1</v>
      </c>
      <c r="J2750" s="6" t="str">
        <f t="shared" si="759"/>
        <v>19001</v>
      </c>
      <c r="K2750" s="6">
        <f t="shared" si="760"/>
        <v>1900</v>
      </c>
      <c r="L2750" s="6">
        <f t="shared" si="761"/>
        <v>1</v>
      </c>
      <c r="R2750" s="6" t="str">
        <f t="shared" si="762"/>
        <v>19001</v>
      </c>
      <c r="S2750" s="6">
        <f t="shared" si="763"/>
        <v>1900</v>
      </c>
      <c r="T2750" s="6">
        <f t="shared" si="764"/>
        <v>1</v>
      </c>
      <c r="Z2750" s="6" t="str">
        <f t="shared" ca="1" si="765"/>
        <v>20259</v>
      </c>
      <c r="AA2750" s="6">
        <f t="shared" ca="1" si="766"/>
        <v>2025</v>
      </c>
      <c r="AB2750" s="6">
        <f t="shared" ca="1" si="767"/>
        <v>9</v>
      </c>
      <c r="AC2750" s="68">
        <f ca="1">IFERROR(__xludf.DUMMYFUNCTION("""COMPUTED_VALUE"""),45908.9986111111)</f>
        <v>45908.998611111099</v>
      </c>
      <c r="AD2750" s="6">
        <f ca="1">IFERROR(__xludf.DUMMYFUNCTION("""COMPUTED_VALUE"""),1385.72)</f>
        <v>1385.72</v>
      </c>
      <c r="AH2750" s="6" t="str">
        <f t="shared" ca="1" si="768"/>
        <v>20257</v>
      </c>
      <c r="AI2750" s="6">
        <f t="shared" ca="1" si="769"/>
        <v>2025</v>
      </c>
      <c r="AJ2750" s="6">
        <f t="shared" ca="1" si="770"/>
        <v>7</v>
      </c>
      <c r="AK2750" s="68">
        <f ca="1">IFERROR(__xludf.DUMMYFUNCTION("""COMPUTED_VALUE"""),45845.9986111111)</f>
        <v>45845.998611111099</v>
      </c>
      <c r="AL2750" s="6">
        <f ca="1">IFERROR(__xludf.DUMMYFUNCTION("""COMPUTED_VALUE"""),109395.1)</f>
        <v>109395.1</v>
      </c>
      <c r="AP2750" s="6" t="str">
        <f t="shared" si="771"/>
        <v>19001</v>
      </c>
      <c r="AQ2750" s="6">
        <f t="shared" si="772"/>
        <v>1900</v>
      </c>
      <c r="AR2750" s="6">
        <f t="shared" si="773"/>
        <v>1</v>
      </c>
    </row>
    <row r="2751" spans="2:44" x14ac:dyDescent="0.35">
      <c r="B2751" s="6" t="str">
        <f t="shared" si="756"/>
        <v>19001</v>
      </c>
      <c r="C2751" s="6">
        <f t="shared" si="757"/>
        <v>1900</v>
      </c>
      <c r="D2751" s="6">
        <f t="shared" si="758"/>
        <v>1</v>
      </c>
      <c r="J2751" s="6" t="str">
        <f t="shared" si="759"/>
        <v>19001</v>
      </c>
      <c r="K2751" s="6">
        <f t="shared" si="760"/>
        <v>1900</v>
      </c>
      <c r="L2751" s="6">
        <f t="shared" si="761"/>
        <v>1</v>
      </c>
      <c r="R2751" s="6" t="str">
        <f t="shared" si="762"/>
        <v>19001</v>
      </c>
      <c r="S2751" s="6">
        <f t="shared" si="763"/>
        <v>1900</v>
      </c>
      <c r="T2751" s="6">
        <f t="shared" si="764"/>
        <v>1</v>
      </c>
      <c r="Z2751" s="6" t="str">
        <f t="shared" ca="1" si="765"/>
        <v>20259</v>
      </c>
      <c r="AA2751" s="6">
        <f t="shared" ca="1" si="766"/>
        <v>2025</v>
      </c>
      <c r="AB2751" s="6">
        <f t="shared" ca="1" si="767"/>
        <v>9</v>
      </c>
      <c r="AC2751" s="68">
        <f ca="1">IFERROR(__xludf.DUMMYFUNCTION("""COMPUTED_VALUE"""),45909.9986111111)</f>
        <v>45909.998611111099</v>
      </c>
      <c r="AD2751" s="6">
        <f ca="1">IFERROR(__xludf.DUMMYFUNCTION("""COMPUTED_VALUE"""),1387.25)</f>
        <v>1387.25</v>
      </c>
      <c r="AH2751" s="6" t="str">
        <f t="shared" ca="1" si="768"/>
        <v>20257</v>
      </c>
      <c r="AI2751" s="6">
        <f t="shared" ca="1" si="769"/>
        <v>2025</v>
      </c>
      <c r="AJ2751" s="6">
        <f t="shared" ca="1" si="770"/>
        <v>7</v>
      </c>
      <c r="AK2751" s="68">
        <f ca="1">IFERROR(__xludf.DUMMYFUNCTION("""COMPUTED_VALUE"""),45846.9986111111)</f>
        <v>45846.998611111099</v>
      </c>
      <c r="AL2751" s="6">
        <f ca="1">IFERROR(__xludf.DUMMYFUNCTION("""COMPUTED_VALUE"""),107904.3)</f>
        <v>107904.3</v>
      </c>
      <c r="AP2751" s="6" t="str">
        <f t="shared" si="771"/>
        <v>19001</v>
      </c>
      <c r="AQ2751" s="6">
        <f t="shared" si="772"/>
        <v>1900</v>
      </c>
      <c r="AR2751" s="6">
        <f t="shared" si="773"/>
        <v>1</v>
      </c>
    </row>
    <row r="2752" spans="2:44" x14ac:dyDescent="0.35">
      <c r="B2752" s="6" t="str">
        <f t="shared" si="756"/>
        <v>19001</v>
      </c>
      <c r="C2752" s="6">
        <f t="shared" si="757"/>
        <v>1900</v>
      </c>
      <c r="D2752" s="6">
        <f t="shared" si="758"/>
        <v>1</v>
      </c>
      <c r="J2752" s="6" t="str">
        <f t="shared" si="759"/>
        <v>19001</v>
      </c>
      <c r="K2752" s="6">
        <f t="shared" si="760"/>
        <v>1900</v>
      </c>
      <c r="L2752" s="6">
        <f t="shared" si="761"/>
        <v>1</v>
      </c>
      <c r="R2752" s="6" t="str">
        <f t="shared" si="762"/>
        <v>19001</v>
      </c>
      <c r="S2752" s="6">
        <f t="shared" si="763"/>
        <v>1900</v>
      </c>
      <c r="T2752" s="6">
        <f t="shared" si="764"/>
        <v>1</v>
      </c>
      <c r="Z2752" s="6" t="str">
        <f t="shared" ca="1" si="765"/>
        <v>20259</v>
      </c>
      <c r="AA2752" s="6">
        <f t="shared" ca="1" si="766"/>
        <v>2025</v>
      </c>
      <c r="AB2752" s="6">
        <f t="shared" ca="1" si="767"/>
        <v>9</v>
      </c>
      <c r="AC2752" s="68">
        <f ca="1">IFERROR(__xludf.DUMMYFUNCTION("""COMPUTED_VALUE"""),45910.9986111111)</f>
        <v>45910.998611111099</v>
      </c>
      <c r="AD2752" s="6">
        <f ca="1">IFERROR(__xludf.DUMMYFUNCTION("""COMPUTED_VALUE"""),1387.2)</f>
        <v>1387.2</v>
      </c>
      <c r="AH2752" s="6" t="str">
        <f t="shared" ca="1" si="768"/>
        <v>20257</v>
      </c>
      <c r="AI2752" s="6">
        <f t="shared" ca="1" si="769"/>
        <v>2025</v>
      </c>
      <c r="AJ2752" s="6">
        <f t="shared" ca="1" si="770"/>
        <v>7</v>
      </c>
      <c r="AK2752" s="68">
        <f ca="1">IFERROR(__xludf.DUMMYFUNCTION("""COMPUTED_VALUE"""),45847.9986111111)</f>
        <v>45847.998611111099</v>
      </c>
      <c r="AL2752" s="6">
        <f ca="1">IFERROR(__xludf.DUMMYFUNCTION("""COMPUTED_VALUE"""),108395.8)</f>
        <v>108395.8</v>
      </c>
      <c r="AP2752" s="6" t="str">
        <f t="shared" si="771"/>
        <v>19001</v>
      </c>
      <c r="AQ2752" s="6">
        <f t="shared" si="772"/>
        <v>1900</v>
      </c>
      <c r="AR2752" s="6">
        <f t="shared" si="773"/>
        <v>1</v>
      </c>
    </row>
    <row r="2753" spans="2:44" x14ac:dyDescent="0.35">
      <c r="B2753" s="6" t="str">
        <f t="shared" si="756"/>
        <v>19001</v>
      </c>
      <c r="C2753" s="6">
        <f t="shared" si="757"/>
        <v>1900</v>
      </c>
      <c r="D2753" s="6">
        <f t="shared" si="758"/>
        <v>1</v>
      </c>
      <c r="J2753" s="6" t="str">
        <f t="shared" si="759"/>
        <v>19001</v>
      </c>
      <c r="K2753" s="6">
        <f t="shared" si="760"/>
        <v>1900</v>
      </c>
      <c r="L2753" s="6">
        <f t="shared" si="761"/>
        <v>1</v>
      </c>
      <c r="R2753" s="6" t="str">
        <f t="shared" si="762"/>
        <v>19001</v>
      </c>
      <c r="S2753" s="6">
        <f t="shared" si="763"/>
        <v>1900</v>
      </c>
      <c r="T2753" s="6">
        <f t="shared" si="764"/>
        <v>1</v>
      </c>
      <c r="Z2753" s="6" t="str">
        <f t="shared" ca="1" si="765"/>
        <v>20259</v>
      </c>
      <c r="AA2753" s="6">
        <f t="shared" ca="1" si="766"/>
        <v>2025</v>
      </c>
      <c r="AB2753" s="6">
        <f t="shared" ca="1" si="767"/>
        <v>9</v>
      </c>
      <c r="AC2753" s="68">
        <f ca="1">IFERROR(__xludf.DUMMYFUNCTION("""COMPUTED_VALUE"""),45911.9986111111)</f>
        <v>45911.998611111099</v>
      </c>
      <c r="AD2753" s="6">
        <f ca="1">IFERROR(__xludf.DUMMYFUNCTION("""COMPUTED_VALUE"""),1389.5)</f>
        <v>1389.5</v>
      </c>
      <c r="AH2753" s="6" t="str">
        <f t="shared" ca="1" si="768"/>
        <v>20257</v>
      </c>
      <c r="AI2753" s="6">
        <f t="shared" ca="1" si="769"/>
        <v>2025</v>
      </c>
      <c r="AJ2753" s="6">
        <f t="shared" ca="1" si="770"/>
        <v>7</v>
      </c>
      <c r="AK2753" s="68">
        <f ca="1">IFERROR(__xludf.DUMMYFUNCTION("""COMPUTED_VALUE"""),45848.9986111111)</f>
        <v>45848.998611111099</v>
      </c>
      <c r="AL2753" s="6">
        <f ca="1">IFERROR(__xludf.DUMMYFUNCTION("""COMPUTED_VALUE"""),111090.1)</f>
        <v>111090.1</v>
      </c>
      <c r="AP2753" s="6" t="str">
        <f t="shared" si="771"/>
        <v>19001</v>
      </c>
      <c r="AQ2753" s="6">
        <f t="shared" si="772"/>
        <v>1900</v>
      </c>
      <c r="AR2753" s="6">
        <f t="shared" si="773"/>
        <v>1</v>
      </c>
    </row>
    <row r="2754" spans="2:44" x14ac:dyDescent="0.35">
      <c r="B2754" s="6" t="str">
        <f t="shared" si="756"/>
        <v>19001</v>
      </c>
      <c r="C2754" s="6">
        <f t="shared" si="757"/>
        <v>1900</v>
      </c>
      <c r="D2754" s="6">
        <f t="shared" si="758"/>
        <v>1</v>
      </c>
      <c r="J2754" s="6" t="str">
        <f t="shared" si="759"/>
        <v>19001</v>
      </c>
      <c r="K2754" s="6">
        <f t="shared" si="760"/>
        <v>1900</v>
      </c>
      <c r="L2754" s="6">
        <f t="shared" si="761"/>
        <v>1</v>
      </c>
      <c r="R2754" s="6" t="str">
        <f t="shared" si="762"/>
        <v>19001</v>
      </c>
      <c r="S2754" s="6">
        <f t="shared" si="763"/>
        <v>1900</v>
      </c>
      <c r="T2754" s="6">
        <f t="shared" si="764"/>
        <v>1</v>
      </c>
      <c r="Z2754" s="6" t="str">
        <f t="shared" ca="1" si="765"/>
        <v>20259</v>
      </c>
      <c r="AA2754" s="6">
        <f t="shared" ca="1" si="766"/>
        <v>2025</v>
      </c>
      <c r="AB2754" s="6">
        <f t="shared" ca="1" si="767"/>
        <v>9</v>
      </c>
      <c r="AC2754" s="68">
        <f ca="1">IFERROR(__xludf.DUMMYFUNCTION("""COMPUTED_VALUE"""),45912.9986111111)</f>
        <v>45912.998611111099</v>
      </c>
      <c r="AD2754" s="6">
        <f ca="1">IFERROR(__xludf.DUMMYFUNCTION("""COMPUTED_VALUE"""),1391.93)</f>
        <v>1391.93</v>
      </c>
      <c r="AH2754" s="6" t="str">
        <f t="shared" ca="1" si="768"/>
        <v>20257</v>
      </c>
      <c r="AI2754" s="6">
        <f t="shared" ca="1" si="769"/>
        <v>2025</v>
      </c>
      <c r="AJ2754" s="6">
        <f t="shared" ca="1" si="770"/>
        <v>7</v>
      </c>
      <c r="AK2754" s="68">
        <f ca="1">IFERROR(__xludf.DUMMYFUNCTION("""COMPUTED_VALUE"""),45849.9986111111)</f>
        <v>45849.998611111099</v>
      </c>
      <c r="AL2754" s="6">
        <f ca="1">IFERROR(__xludf.DUMMYFUNCTION("""COMPUTED_VALUE"""),116768.2)</f>
        <v>116768.2</v>
      </c>
      <c r="AP2754" s="6" t="str">
        <f t="shared" si="771"/>
        <v>19001</v>
      </c>
      <c r="AQ2754" s="6">
        <f t="shared" si="772"/>
        <v>1900</v>
      </c>
      <c r="AR2754" s="6">
        <f t="shared" si="773"/>
        <v>1</v>
      </c>
    </row>
    <row r="2755" spans="2:44" x14ac:dyDescent="0.35">
      <c r="B2755" s="6" t="str">
        <f t="shared" si="756"/>
        <v>19001</v>
      </c>
      <c r="C2755" s="6">
        <f t="shared" si="757"/>
        <v>1900</v>
      </c>
      <c r="D2755" s="6">
        <f t="shared" si="758"/>
        <v>1</v>
      </c>
      <c r="J2755" s="6" t="str">
        <f t="shared" si="759"/>
        <v>19001</v>
      </c>
      <c r="K2755" s="6">
        <f t="shared" si="760"/>
        <v>1900</v>
      </c>
      <c r="L2755" s="6">
        <f t="shared" si="761"/>
        <v>1</v>
      </c>
      <c r="R2755" s="6" t="str">
        <f t="shared" si="762"/>
        <v>19001</v>
      </c>
      <c r="S2755" s="6">
        <f t="shared" si="763"/>
        <v>1900</v>
      </c>
      <c r="T2755" s="6">
        <f t="shared" si="764"/>
        <v>1</v>
      </c>
      <c r="Z2755" s="6" t="str">
        <f t="shared" ca="1" si="765"/>
        <v>20259</v>
      </c>
      <c r="AA2755" s="6">
        <f t="shared" ca="1" si="766"/>
        <v>2025</v>
      </c>
      <c r="AB2755" s="6">
        <f t="shared" ca="1" si="767"/>
        <v>9</v>
      </c>
      <c r="AC2755" s="68">
        <f ca="1">IFERROR(__xludf.DUMMYFUNCTION("""COMPUTED_VALUE"""),45913.9986111111)</f>
        <v>45913.998611111099</v>
      </c>
      <c r="AD2755" s="6">
        <f ca="1">IFERROR(__xludf.DUMMYFUNCTION("""COMPUTED_VALUE"""),1391.03)</f>
        <v>1391.03</v>
      </c>
      <c r="AH2755" s="6" t="str">
        <f t="shared" ca="1" si="768"/>
        <v>20257</v>
      </c>
      <c r="AI2755" s="6">
        <f t="shared" ca="1" si="769"/>
        <v>2025</v>
      </c>
      <c r="AJ2755" s="6">
        <f t="shared" ca="1" si="770"/>
        <v>7</v>
      </c>
      <c r="AK2755" s="68">
        <f ca="1">IFERROR(__xludf.DUMMYFUNCTION("""COMPUTED_VALUE"""),45850.9986111111)</f>
        <v>45850.998611111099</v>
      </c>
      <c r="AL2755" s="6">
        <f ca="1">IFERROR(__xludf.DUMMYFUNCTION("""COMPUTED_VALUE"""),117568.8)</f>
        <v>117568.8</v>
      </c>
      <c r="AP2755" s="6" t="str">
        <f t="shared" si="771"/>
        <v>19001</v>
      </c>
      <c r="AQ2755" s="6">
        <f t="shared" si="772"/>
        <v>1900</v>
      </c>
      <c r="AR2755" s="6">
        <f t="shared" si="773"/>
        <v>1</v>
      </c>
    </row>
    <row r="2756" spans="2:44" x14ac:dyDescent="0.35">
      <c r="B2756" s="6" t="str">
        <f t="shared" si="756"/>
        <v>19001</v>
      </c>
      <c r="C2756" s="6">
        <f t="shared" si="757"/>
        <v>1900</v>
      </c>
      <c r="D2756" s="6">
        <f t="shared" si="758"/>
        <v>1</v>
      </c>
      <c r="J2756" s="6" t="str">
        <f t="shared" si="759"/>
        <v>19001</v>
      </c>
      <c r="K2756" s="6">
        <f t="shared" si="760"/>
        <v>1900</v>
      </c>
      <c r="L2756" s="6">
        <f t="shared" si="761"/>
        <v>1</v>
      </c>
      <c r="R2756" s="6" t="str">
        <f t="shared" si="762"/>
        <v>19001</v>
      </c>
      <c r="S2756" s="6">
        <f t="shared" si="763"/>
        <v>1900</v>
      </c>
      <c r="T2756" s="6">
        <f t="shared" si="764"/>
        <v>1</v>
      </c>
      <c r="Z2756" s="6" t="str">
        <f t="shared" ca="1" si="765"/>
        <v>20259</v>
      </c>
      <c r="AA2756" s="6">
        <f t="shared" ca="1" si="766"/>
        <v>2025</v>
      </c>
      <c r="AB2756" s="6">
        <f t="shared" ca="1" si="767"/>
        <v>9</v>
      </c>
      <c r="AC2756" s="68">
        <f ca="1">IFERROR(__xludf.DUMMYFUNCTION("""COMPUTED_VALUE"""),45914.9986111111)</f>
        <v>45914.998611111099</v>
      </c>
      <c r="AD2756" s="6">
        <f ca="1">IFERROR(__xludf.DUMMYFUNCTION("""COMPUTED_VALUE"""),1393.7)</f>
        <v>1393.7</v>
      </c>
      <c r="AH2756" s="6" t="str">
        <f t="shared" ca="1" si="768"/>
        <v>20257</v>
      </c>
      <c r="AI2756" s="6">
        <f t="shared" ca="1" si="769"/>
        <v>2025</v>
      </c>
      <c r="AJ2756" s="6">
        <f t="shared" ca="1" si="770"/>
        <v>7</v>
      </c>
      <c r="AK2756" s="68">
        <f ca="1">IFERROR(__xludf.DUMMYFUNCTION("""COMPUTED_VALUE"""),45851.9986111111)</f>
        <v>45851.998611111099</v>
      </c>
      <c r="AL2756" s="6">
        <f ca="1">IFERROR(__xludf.DUMMYFUNCTION("""COMPUTED_VALUE"""),117603.5)</f>
        <v>117603.5</v>
      </c>
      <c r="AP2756" s="6" t="str">
        <f t="shared" si="771"/>
        <v>19001</v>
      </c>
      <c r="AQ2756" s="6">
        <f t="shared" si="772"/>
        <v>1900</v>
      </c>
      <c r="AR2756" s="6">
        <f t="shared" si="773"/>
        <v>1</v>
      </c>
    </row>
    <row r="2757" spans="2:44" x14ac:dyDescent="0.35">
      <c r="B2757" s="6" t="str">
        <f t="shared" si="756"/>
        <v>19001</v>
      </c>
      <c r="C2757" s="6">
        <f t="shared" si="757"/>
        <v>1900</v>
      </c>
      <c r="D2757" s="6">
        <f t="shared" si="758"/>
        <v>1</v>
      </c>
      <c r="J2757" s="6" t="str">
        <f t="shared" si="759"/>
        <v>19001</v>
      </c>
      <c r="K2757" s="6">
        <f t="shared" si="760"/>
        <v>1900</v>
      </c>
      <c r="L2757" s="6">
        <f t="shared" si="761"/>
        <v>1</v>
      </c>
      <c r="R2757" s="6" t="str">
        <f t="shared" si="762"/>
        <v>19001</v>
      </c>
      <c r="S2757" s="6">
        <f t="shared" si="763"/>
        <v>1900</v>
      </c>
      <c r="T2757" s="6">
        <f t="shared" si="764"/>
        <v>1</v>
      </c>
      <c r="Z2757" s="6" t="str">
        <f t="shared" ca="1" si="765"/>
        <v>20259</v>
      </c>
      <c r="AA2757" s="6">
        <f t="shared" ca="1" si="766"/>
        <v>2025</v>
      </c>
      <c r="AB2757" s="6">
        <f t="shared" ca="1" si="767"/>
        <v>9</v>
      </c>
      <c r="AC2757" s="68">
        <f ca="1">IFERROR(__xludf.DUMMYFUNCTION("""COMPUTED_VALUE"""),45915.9986111111)</f>
        <v>45915.998611111099</v>
      </c>
      <c r="AD2757" s="6">
        <f ca="1">IFERROR(__xludf.DUMMYFUNCTION("""COMPUTED_VALUE"""),1385.01)</f>
        <v>1385.01</v>
      </c>
      <c r="AH2757" s="6" t="str">
        <f t="shared" ca="1" si="768"/>
        <v>20257</v>
      </c>
      <c r="AI2757" s="6">
        <f t="shared" ca="1" si="769"/>
        <v>2025</v>
      </c>
      <c r="AJ2757" s="6">
        <f t="shared" ca="1" si="770"/>
        <v>7</v>
      </c>
      <c r="AK2757" s="68">
        <f ca="1">IFERROR(__xludf.DUMMYFUNCTION("""COMPUTED_VALUE"""),45852.9986111111)</f>
        <v>45852.998611111099</v>
      </c>
      <c r="AL2757" s="6">
        <f ca="1">IFERROR(__xludf.DUMMYFUNCTION("""COMPUTED_VALUE"""),120551.9)</f>
        <v>120551.9</v>
      </c>
      <c r="AP2757" s="6" t="str">
        <f t="shared" si="771"/>
        <v>19001</v>
      </c>
      <c r="AQ2757" s="6">
        <f t="shared" si="772"/>
        <v>1900</v>
      </c>
      <c r="AR2757" s="6">
        <f t="shared" si="773"/>
        <v>1</v>
      </c>
    </row>
    <row r="2758" spans="2:44" x14ac:dyDescent="0.35">
      <c r="B2758" s="6" t="str">
        <f t="shared" si="756"/>
        <v>19001</v>
      </c>
      <c r="C2758" s="6">
        <f t="shared" si="757"/>
        <v>1900</v>
      </c>
      <c r="D2758" s="6">
        <f t="shared" si="758"/>
        <v>1</v>
      </c>
      <c r="J2758" s="6" t="str">
        <f t="shared" si="759"/>
        <v>19001</v>
      </c>
      <c r="K2758" s="6">
        <f t="shared" si="760"/>
        <v>1900</v>
      </c>
      <c r="L2758" s="6">
        <f t="shared" si="761"/>
        <v>1</v>
      </c>
      <c r="R2758" s="6" t="str">
        <f t="shared" si="762"/>
        <v>19001</v>
      </c>
      <c r="S2758" s="6">
        <f t="shared" si="763"/>
        <v>1900</v>
      </c>
      <c r="T2758" s="6">
        <f t="shared" si="764"/>
        <v>1</v>
      </c>
      <c r="Z2758" s="6" t="str">
        <f t="shared" ca="1" si="765"/>
        <v>20259</v>
      </c>
      <c r="AA2758" s="6">
        <f t="shared" ca="1" si="766"/>
        <v>2025</v>
      </c>
      <c r="AB2758" s="6">
        <f t="shared" ca="1" si="767"/>
        <v>9</v>
      </c>
      <c r="AC2758" s="68">
        <f ca="1">IFERROR(__xludf.DUMMYFUNCTION("""COMPUTED_VALUE"""),45916.9986111111)</f>
        <v>45916.998611111099</v>
      </c>
      <c r="AD2758" s="6">
        <f ca="1">IFERROR(__xludf.DUMMYFUNCTION("""COMPUTED_VALUE"""),1377.64)</f>
        <v>1377.64</v>
      </c>
      <c r="AH2758" s="6" t="str">
        <f t="shared" ca="1" si="768"/>
        <v>20257</v>
      </c>
      <c r="AI2758" s="6">
        <f t="shared" ca="1" si="769"/>
        <v>2025</v>
      </c>
      <c r="AJ2758" s="6">
        <f t="shared" ca="1" si="770"/>
        <v>7</v>
      </c>
      <c r="AK2758" s="68">
        <f ca="1">IFERROR(__xludf.DUMMYFUNCTION("""COMPUTED_VALUE"""),45853.9986111111)</f>
        <v>45853.998611111099</v>
      </c>
      <c r="AL2758" s="6">
        <f ca="1">IFERROR(__xludf.DUMMYFUNCTION("""COMPUTED_VALUE"""),117226.1)</f>
        <v>117226.1</v>
      </c>
      <c r="AP2758" s="6" t="str">
        <f t="shared" si="771"/>
        <v>19001</v>
      </c>
      <c r="AQ2758" s="6">
        <f t="shared" si="772"/>
        <v>1900</v>
      </c>
      <c r="AR2758" s="6">
        <f t="shared" si="773"/>
        <v>1</v>
      </c>
    </row>
    <row r="2759" spans="2:44" x14ac:dyDescent="0.35">
      <c r="B2759" s="6" t="str">
        <f t="shared" ref="B2759:B2822" si="774">C2759&amp;D2759</f>
        <v>19001</v>
      </c>
      <c r="C2759" s="6">
        <f t="shared" ref="C2759:C2822" si="775">YEAR(E2759)</f>
        <v>1900</v>
      </c>
      <c r="D2759" s="6">
        <f t="shared" ref="D2759:D2822" si="776">MONTH(E2759)</f>
        <v>1</v>
      </c>
      <c r="J2759" s="6" t="str">
        <f t="shared" ref="J2759:J2822" si="777">K2759&amp;L2759</f>
        <v>19001</v>
      </c>
      <c r="K2759" s="6">
        <f t="shared" ref="K2759:K2822" si="778">YEAR(M2759)</f>
        <v>1900</v>
      </c>
      <c r="L2759" s="6">
        <f t="shared" ref="L2759:L2822" si="779">MONTH(M2759)</f>
        <v>1</v>
      </c>
      <c r="R2759" s="6" t="str">
        <f t="shared" ref="R2759:R2822" si="780">S2759&amp;T2759</f>
        <v>19001</v>
      </c>
      <c r="S2759" s="6">
        <f t="shared" ref="S2759:S2822" si="781">YEAR(U2759)</f>
        <v>1900</v>
      </c>
      <c r="T2759" s="6">
        <f t="shared" ref="T2759:T2822" si="782">MONTH(U2759)</f>
        <v>1</v>
      </c>
      <c r="Z2759" s="6" t="str">
        <f t="shared" ref="Z2759:Z2822" ca="1" si="783">AA2759&amp;AB2759</f>
        <v>20259</v>
      </c>
      <c r="AA2759" s="6">
        <f t="shared" ref="AA2759:AA2822" ca="1" si="784">YEAR(AC2759)</f>
        <v>2025</v>
      </c>
      <c r="AB2759" s="6">
        <f t="shared" ref="AB2759:AB2822" ca="1" si="785">MONTH(AC2759)</f>
        <v>9</v>
      </c>
      <c r="AC2759" s="68">
        <f ca="1">IFERROR(__xludf.DUMMYFUNCTION("""COMPUTED_VALUE"""),45917.9986111111)</f>
        <v>45917.998611111099</v>
      </c>
      <c r="AD2759" s="6">
        <f ca="1">IFERROR(__xludf.DUMMYFUNCTION("""COMPUTED_VALUE"""),1378.69)</f>
        <v>1378.69</v>
      </c>
      <c r="AH2759" s="6" t="str">
        <f t="shared" ref="AH2759:AH2822" ca="1" si="786">AI2759&amp;AJ2759</f>
        <v>20257</v>
      </c>
      <c r="AI2759" s="6">
        <f t="shared" ref="AI2759:AI2822" ca="1" si="787">YEAR(AK2759)</f>
        <v>2025</v>
      </c>
      <c r="AJ2759" s="6">
        <f t="shared" ref="AJ2759:AJ2822" ca="1" si="788">MONTH(AK2759)</f>
        <v>7</v>
      </c>
      <c r="AK2759" s="68">
        <f ca="1">IFERROR(__xludf.DUMMYFUNCTION("""COMPUTED_VALUE"""),45854.9986111111)</f>
        <v>45854.998611111099</v>
      </c>
      <c r="AL2759" s="6">
        <f ca="1">IFERROR(__xludf.DUMMYFUNCTION("""COMPUTED_VALUE"""),117489.6)</f>
        <v>117489.60000000001</v>
      </c>
      <c r="AP2759" s="6" t="str">
        <f t="shared" ref="AP2759:AP2822" si="789">AQ2759&amp;AR2759</f>
        <v>19001</v>
      </c>
      <c r="AQ2759" s="6">
        <f t="shared" ref="AQ2759:AQ2822" si="790">YEAR(AS2759)</f>
        <v>1900</v>
      </c>
      <c r="AR2759" s="6">
        <f t="shared" ref="AR2759:AR2822" si="791">MONTH(AS2759)</f>
        <v>1</v>
      </c>
    </row>
    <row r="2760" spans="2:44" x14ac:dyDescent="0.35">
      <c r="B2760" s="6" t="str">
        <f t="shared" si="774"/>
        <v>19001</v>
      </c>
      <c r="C2760" s="6">
        <f t="shared" si="775"/>
        <v>1900</v>
      </c>
      <c r="D2760" s="6">
        <f t="shared" si="776"/>
        <v>1</v>
      </c>
      <c r="J2760" s="6" t="str">
        <f t="shared" si="777"/>
        <v>19001</v>
      </c>
      <c r="K2760" s="6">
        <f t="shared" si="778"/>
        <v>1900</v>
      </c>
      <c r="L2760" s="6">
        <f t="shared" si="779"/>
        <v>1</v>
      </c>
      <c r="R2760" s="6" t="str">
        <f t="shared" si="780"/>
        <v>19001</v>
      </c>
      <c r="S2760" s="6">
        <f t="shared" si="781"/>
        <v>1900</v>
      </c>
      <c r="T2760" s="6">
        <f t="shared" si="782"/>
        <v>1</v>
      </c>
      <c r="Z2760" s="6" t="str">
        <f t="shared" ca="1" si="783"/>
        <v>20259</v>
      </c>
      <c r="AA2760" s="6">
        <f t="shared" ca="1" si="784"/>
        <v>2025</v>
      </c>
      <c r="AB2760" s="6">
        <f t="shared" ca="1" si="785"/>
        <v>9</v>
      </c>
      <c r="AC2760" s="68">
        <f ca="1">IFERROR(__xludf.DUMMYFUNCTION("""COMPUTED_VALUE"""),45918.9986111111)</f>
        <v>45918.998611111099</v>
      </c>
      <c r="AD2760" s="6">
        <f ca="1">IFERROR(__xludf.DUMMYFUNCTION("""COMPUTED_VALUE"""),1386.75)</f>
        <v>1386.75</v>
      </c>
      <c r="AH2760" s="6" t="str">
        <f t="shared" ca="1" si="786"/>
        <v>20257</v>
      </c>
      <c r="AI2760" s="6">
        <f t="shared" ca="1" si="787"/>
        <v>2025</v>
      </c>
      <c r="AJ2760" s="6">
        <f t="shared" ca="1" si="788"/>
        <v>7</v>
      </c>
      <c r="AK2760" s="68">
        <f ca="1">IFERROR(__xludf.DUMMYFUNCTION("""COMPUTED_VALUE"""),45855.9986111111)</f>
        <v>45855.998611111099</v>
      </c>
      <c r="AL2760" s="6">
        <f ca="1">IFERROR(__xludf.DUMMYFUNCTION("""COMPUTED_VALUE"""),118070.4)</f>
        <v>118070.39999999999</v>
      </c>
      <c r="AP2760" s="6" t="str">
        <f t="shared" si="789"/>
        <v>19001</v>
      </c>
      <c r="AQ2760" s="6">
        <f t="shared" si="790"/>
        <v>1900</v>
      </c>
      <c r="AR2760" s="6">
        <f t="shared" si="791"/>
        <v>1</v>
      </c>
    </row>
    <row r="2761" spans="2:44" x14ac:dyDescent="0.35">
      <c r="B2761" s="6" t="str">
        <f t="shared" si="774"/>
        <v>19001</v>
      </c>
      <c r="C2761" s="6">
        <f t="shared" si="775"/>
        <v>1900</v>
      </c>
      <c r="D2761" s="6">
        <f t="shared" si="776"/>
        <v>1</v>
      </c>
      <c r="J2761" s="6" t="str">
        <f t="shared" si="777"/>
        <v>19001</v>
      </c>
      <c r="K2761" s="6">
        <f t="shared" si="778"/>
        <v>1900</v>
      </c>
      <c r="L2761" s="6">
        <f t="shared" si="779"/>
        <v>1</v>
      </c>
      <c r="R2761" s="6" t="str">
        <f t="shared" si="780"/>
        <v>19001</v>
      </c>
      <c r="S2761" s="6">
        <f t="shared" si="781"/>
        <v>1900</v>
      </c>
      <c r="T2761" s="6">
        <f t="shared" si="782"/>
        <v>1</v>
      </c>
      <c r="Z2761" s="6" t="str">
        <f t="shared" ca="1" si="783"/>
        <v>20259</v>
      </c>
      <c r="AA2761" s="6">
        <f t="shared" ca="1" si="784"/>
        <v>2025</v>
      </c>
      <c r="AB2761" s="6">
        <f t="shared" ca="1" si="785"/>
        <v>9</v>
      </c>
      <c r="AC2761" s="68">
        <f ca="1">IFERROR(__xludf.DUMMYFUNCTION("""COMPUTED_VALUE"""),45919.9986111111)</f>
        <v>45919.998611111099</v>
      </c>
      <c r="AD2761" s="6">
        <f ca="1">IFERROR(__xludf.DUMMYFUNCTION("""COMPUTED_VALUE"""),1396.13)</f>
        <v>1396.13</v>
      </c>
      <c r="AH2761" s="6" t="str">
        <f t="shared" ca="1" si="786"/>
        <v>20257</v>
      </c>
      <c r="AI2761" s="6">
        <f t="shared" ca="1" si="787"/>
        <v>2025</v>
      </c>
      <c r="AJ2761" s="6">
        <f t="shared" ca="1" si="788"/>
        <v>7</v>
      </c>
      <c r="AK2761" s="68">
        <f ca="1">IFERROR(__xludf.DUMMYFUNCTION("""COMPUTED_VALUE"""),45856.9986111111)</f>
        <v>45856.998611111099</v>
      </c>
      <c r="AL2761" s="6">
        <f ca="1">IFERROR(__xludf.DUMMYFUNCTION("""COMPUTED_VALUE"""),120280.7)</f>
        <v>120280.7</v>
      </c>
      <c r="AP2761" s="6" t="str">
        <f t="shared" si="789"/>
        <v>19001</v>
      </c>
      <c r="AQ2761" s="6">
        <f t="shared" si="790"/>
        <v>1900</v>
      </c>
      <c r="AR2761" s="6">
        <f t="shared" si="791"/>
        <v>1</v>
      </c>
    </row>
    <row r="2762" spans="2:44" x14ac:dyDescent="0.35">
      <c r="B2762" s="6" t="str">
        <f t="shared" si="774"/>
        <v>19001</v>
      </c>
      <c r="C2762" s="6">
        <f t="shared" si="775"/>
        <v>1900</v>
      </c>
      <c r="D2762" s="6">
        <f t="shared" si="776"/>
        <v>1</v>
      </c>
      <c r="J2762" s="6" t="str">
        <f t="shared" si="777"/>
        <v>19001</v>
      </c>
      <c r="K2762" s="6">
        <f t="shared" si="778"/>
        <v>1900</v>
      </c>
      <c r="L2762" s="6">
        <f t="shared" si="779"/>
        <v>1</v>
      </c>
      <c r="R2762" s="6" t="str">
        <f t="shared" si="780"/>
        <v>19001</v>
      </c>
      <c r="S2762" s="6">
        <f t="shared" si="781"/>
        <v>1900</v>
      </c>
      <c r="T2762" s="6">
        <f t="shared" si="782"/>
        <v>1</v>
      </c>
      <c r="Z2762" s="6" t="str">
        <f t="shared" ca="1" si="783"/>
        <v>20259</v>
      </c>
      <c r="AA2762" s="6">
        <f t="shared" ca="1" si="784"/>
        <v>2025</v>
      </c>
      <c r="AB2762" s="6">
        <f t="shared" ca="1" si="785"/>
        <v>9</v>
      </c>
      <c r="AC2762" s="68">
        <f ca="1">IFERROR(__xludf.DUMMYFUNCTION("""COMPUTED_VALUE"""),45920.9986111111)</f>
        <v>45920.998611111099</v>
      </c>
      <c r="AD2762" s="6">
        <f ca="1">IFERROR(__xludf.DUMMYFUNCTION("""COMPUTED_VALUE"""),1395.21)</f>
        <v>1395.21</v>
      </c>
      <c r="AH2762" s="6" t="str">
        <f t="shared" ca="1" si="786"/>
        <v>20257</v>
      </c>
      <c r="AI2762" s="6">
        <f t="shared" ca="1" si="787"/>
        <v>2025</v>
      </c>
      <c r="AJ2762" s="6">
        <f t="shared" ca="1" si="788"/>
        <v>7</v>
      </c>
      <c r="AK2762" s="68">
        <f ca="1">IFERROR(__xludf.DUMMYFUNCTION("""COMPUTED_VALUE"""),45857.9986111111)</f>
        <v>45857.998611111099</v>
      </c>
      <c r="AL2762" s="6">
        <f ca="1">IFERROR(__xludf.DUMMYFUNCTION("""COMPUTED_VALUE"""),118353.3)</f>
        <v>118353.3</v>
      </c>
      <c r="AP2762" s="6" t="str">
        <f t="shared" si="789"/>
        <v>19001</v>
      </c>
      <c r="AQ2762" s="6">
        <f t="shared" si="790"/>
        <v>1900</v>
      </c>
      <c r="AR2762" s="6">
        <f t="shared" si="791"/>
        <v>1</v>
      </c>
    </row>
    <row r="2763" spans="2:44" x14ac:dyDescent="0.35">
      <c r="B2763" s="6" t="str">
        <f t="shared" si="774"/>
        <v>19001</v>
      </c>
      <c r="C2763" s="6">
        <f t="shared" si="775"/>
        <v>1900</v>
      </c>
      <c r="D2763" s="6">
        <f t="shared" si="776"/>
        <v>1</v>
      </c>
      <c r="J2763" s="6" t="str">
        <f t="shared" si="777"/>
        <v>19001</v>
      </c>
      <c r="K2763" s="6">
        <f t="shared" si="778"/>
        <v>1900</v>
      </c>
      <c r="L2763" s="6">
        <f t="shared" si="779"/>
        <v>1</v>
      </c>
      <c r="R2763" s="6" t="str">
        <f t="shared" si="780"/>
        <v>19001</v>
      </c>
      <c r="S2763" s="6">
        <f t="shared" si="781"/>
        <v>1900</v>
      </c>
      <c r="T2763" s="6">
        <f t="shared" si="782"/>
        <v>1</v>
      </c>
      <c r="Z2763" s="6" t="str">
        <f t="shared" ca="1" si="783"/>
        <v>20259</v>
      </c>
      <c r="AA2763" s="6">
        <f t="shared" ca="1" si="784"/>
        <v>2025</v>
      </c>
      <c r="AB2763" s="6">
        <f t="shared" ca="1" si="785"/>
        <v>9</v>
      </c>
      <c r="AC2763" s="68">
        <f ca="1">IFERROR(__xludf.DUMMYFUNCTION("""COMPUTED_VALUE"""),45921.9986111111)</f>
        <v>45921.998611111099</v>
      </c>
      <c r="AD2763" s="6">
        <f ca="1">IFERROR(__xludf.DUMMYFUNCTION("""COMPUTED_VALUE"""),1396.23)</f>
        <v>1396.23</v>
      </c>
      <c r="AH2763" s="6" t="str">
        <f t="shared" ca="1" si="786"/>
        <v>20257</v>
      </c>
      <c r="AI2763" s="6">
        <f t="shared" ca="1" si="787"/>
        <v>2025</v>
      </c>
      <c r="AJ2763" s="6">
        <f t="shared" ca="1" si="788"/>
        <v>7</v>
      </c>
      <c r="AK2763" s="68">
        <f ca="1">IFERROR(__xludf.DUMMYFUNCTION("""COMPUTED_VALUE"""),45858.9986111111)</f>
        <v>45858.998611111099</v>
      </c>
      <c r="AL2763" s="6">
        <f ca="1">IFERROR(__xludf.DUMMYFUNCTION("""COMPUTED_VALUE"""),117985.7)</f>
        <v>117985.7</v>
      </c>
      <c r="AP2763" s="6" t="str">
        <f t="shared" si="789"/>
        <v>19001</v>
      </c>
      <c r="AQ2763" s="6">
        <f t="shared" si="790"/>
        <v>1900</v>
      </c>
      <c r="AR2763" s="6">
        <f t="shared" si="791"/>
        <v>1</v>
      </c>
    </row>
    <row r="2764" spans="2:44" x14ac:dyDescent="0.35">
      <c r="B2764" s="6" t="str">
        <f t="shared" si="774"/>
        <v>19001</v>
      </c>
      <c r="C2764" s="6">
        <f t="shared" si="775"/>
        <v>1900</v>
      </c>
      <c r="D2764" s="6">
        <f t="shared" si="776"/>
        <v>1</v>
      </c>
      <c r="J2764" s="6" t="str">
        <f t="shared" si="777"/>
        <v>19001</v>
      </c>
      <c r="K2764" s="6">
        <f t="shared" si="778"/>
        <v>1900</v>
      </c>
      <c r="L2764" s="6">
        <f t="shared" si="779"/>
        <v>1</v>
      </c>
      <c r="R2764" s="6" t="str">
        <f t="shared" si="780"/>
        <v>19001</v>
      </c>
      <c r="S2764" s="6">
        <f t="shared" si="781"/>
        <v>1900</v>
      </c>
      <c r="T2764" s="6">
        <f t="shared" si="782"/>
        <v>1</v>
      </c>
      <c r="Z2764" s="6" t="str">
        <f t="shared" ca="1" si="783"/>
        <v>20259</v>
      </c>
      <c r="AA2764" s="6">
        <f t="shared" ca="1" si="784"/>
        <v>2025</v>
      </c>
      <c r="AB2764" s="6">
        <f t="shared" ca="1" si="785"/>
        <v>9</v>
      </c>
      <c r="AC2764" s="68">
        <f ca="1">IFERROR(__xludf.DUMMYFUNCTION("""COMPUTED_VALUE"""),45922.9986111111)</f>
        <v>45922.998611111099</v>
      </c>
      <c r="AD2764" s="6">
        <f ca="1">IFERROR(__xludf.DUMMYFUNCTION("""COMPUTED_VALUE"""),1389.39)</f>
        <v>1389.39</v>
      </c>
      <c r="AH2764" s="6" t="str">
        <f t="shared" ca="1" si="786"/>
        <v>20257</v>
      </c>
      <c r="AI2764" s="6">
        <f t="shared" ca="1" si="787"/>
        <v>2025</v>
      </c>
      <c r="AJ2764" s="6">
        <f t="shared" ca="1" si="788"/>
        <v>7</v>
      </c>
      <c r="AK2764" s="68">
        <f ca="1">IFERROR(__xludf.DUMMYFUNCTION("""COMPUTED_VALUE"""),45859.9986111111)</f>
        <v>45859.998611111099</v>
      </c>
      <c r="AL2764" s="6">
        <f ca="1">IFERROR(__xludf.DUMMYFUNCTION("""COMPUTED_VALUE"""),118429.2)</f>
        <v>118429.2</v>
      </c>
      <c r="AP2764" s="6" t="str">
        <f t="shared" si="789"/>
        <v>19001</v>
      </c>
      <c r="AQ2764" s="6">
        <f t="shared" si="790"/>
        <v>1900</v>
      </c>
      <c r="AR2764" s="6">
        <f t="shared" si="791"/>
        <v>1</v>
      </c>
    </row>
    <row r="2765" spans="2:44" x14ac:dyDescent="0.35">
      <c r="B2765" s="6" t="str">
        <f t="shared" si="774"/>
        <v>19001</v>
      </c>
      <c r="C2765" s="6">
        <f t="shared" si="775"/>
        <v>1900</v>
      </c>
      <c r="D2765" s="6">
        <f t="shared" si="776"/>
        <v>1</v>
      </c>
      <c r="J2765" s="6" t="str">
        <f t="shared" si="777"/>
        <v>19001</v>
      </c>
      <c r="K2765" s="6">
        <f t="shared" si="778"/>
        <v>1900</v>
      </c>
      <c r="L2765" s="6">
        <f t="shared" si="779"/>
        <v>1</v>
      </c>
      <c r="R2765" s="6" t="str">
        <f t="shared" si="780"/>
        <v>19001</v>
      </c>
      <c r="S2765" s="6">
        <f t="shared" si="781"/>
        <v>1900</v>
      </c>
      <c r="T2765" s="6">
        <f t="shared" si="782"/>
        <v>1</v>
      </c>
      <c r="Z2765" s="6" t="str">
        <f t="shared" ca="1" si="783"/>
        <v>20259</v>
      </c>
      <c r="AA2765" s="6">
        <f t="shared" ca="1" si="784"/>
        <v>2025</v>
      </c>
      <c r="AB2765" s="6">
        <f t="shared" ca="1" si="785"/>
        <v>9</v>
      </c>
      <c r="AC2765" s="68">
        <f ca="1">IFERROR(__xludf.DUMMYFUNCTION("""COMPUTED_VALUE"""),45923.9986111111)</f>
        <v>45923.998611111099</v>
      </c>
      <c r="AD2765" s="6">
        <f ca="1">IFERROR(__xludf.DUMMYFUNCTION("""COMPUTED_VALUE"""),1391.85)</f>
        <v>1391.85</v>
      </c>
      <c r="AH2765" s="6" t="str">
        <f t="shared" ca="1" si="786"/>
        <v>20257</v>
      </c>
      <c r="AI2765" s="6">
        <f t="shared" ca="1" si="787"/>
        <v>2025</v>
      </c>
      <c r="AJ2765" s="6">
        <f t="shared" ca="1" si="788"/>
        <v>7</v>
      </c>
      <c r="AK2765" s="68">
        <f ca="1">IFERROR(__xludf.DUMMYFUNCTION("""COMPUTED_VALUE"""),45860.9986111111)</f>
        <v>45860.998611111099</v>
      </c>
      <c r="AL2765" s="6">
        <f ca="1">IFERROR(__xludf.DUMMYFUNCTION("""COMPUTED_VALUE"""),117213.8)</f>
        <v>117213.8</v>
      </c>
      <c r="AP2765" s="6" t="str">
        <f t="shared" si="789"/>
        <v>19001</v>
      </c>
      <c r="AQ2765" s="6">
        <f t="shared" si="790"/>
        <v>1900</v>
      </c>
      <c r="AR2765" s="6">
        <f t="shared" si="791"/>
        <v>1</v>
      </c>
    </row>
    <row r="2766" spans="2:44" x14ac:dyDescent="0.35">
      <c r="B2766" s="6" t="str">
        <f t="shared" si="774"/>
        <v>19001</v>
      </c>
      <c r="C2766" s="6">
        <f t="shared" si="775"/>
        <v>1900</v>
      </c>
      <c r="D2766" s="6">
        <f t="shared" si="776"/>
        <v>1</v>
      </c>
      <c r="J2766" s="6" t="str">
        <f t="shared" si="777"/>
        <v>19001</v>
      </c>
      <c r="K2766" s="6">
        <f t="shared" si="778"/>
        <v>1900</v>
      </c>
      <c r="L2766" s="6">
        <f t="shared" si="779"/>
        <v>1</v>
      </c>
      <c r="R2766" s="6" t="str">
        <f t="shared" si="780"/>
        <v>19001</v>
      </c>
      <c r="S2766" s="6">
        <f t="shared" si="781"/>
        <v>1900</v>
      </c>
      <c r="T2766" s="6">
        <f t="shared" si="782"/>
        <v>1</v>
      </c>
      <c r="Z2766" s="6" t="str">
        <f t="shared" ca="1" si="783"/>
        <v>20259</v>
      </c>
      <c r="AA2766" s="6">
        <f t="shared" ca="1" si="784"/>
        <v>2025</v>
      </c>
      <c r="AB2766" s="6">
        <f t="shared" ca="1" si="785"/>
        <v>9</v>
      </c>
      <c r="AC2766" s="68">
        <f ca="1">IFERROR(__xludf.DUMMYFUNCTION("""COMPUTED_VALUE"""),45924.9986111111)</f>
        <v>45924.998611111099</v>
      </c>
      <c r="AD2766" s="6">
        <f ca="1">IFERROR(__xludf.DUMMYFUNCTION("""COMPUTED_VALUE"""),1403.65)</f>
        <v>1403.65</v>
      </c>
      <c r="AH2766" s="6" t="str">
        <f t="shared" ca="1" si="786"/>
        <v>20257</v>
      </c>
      <c r="AI2766" s="6">
        <f t="shared" ca="1" si="787"/>
        <v>2025</v>
      </c>
      <c r="AJ2766" s="6">
        <f t="shared" ca="1" si="788"/>
        <v>7</v>
      </c>
      <c r="AK2766" s="68">
        <f ca="1">IFERROR(__xludf.DUMMYFUNCTION("""COMPUTED_VALUE"""),45861.9986111111)</f>
        <v>45861.998611111099</v>
      </c>
      <c r="AL2766" s="6">
        <f ca="1">IFERROR(__xludf.DUMMYFUNCTION("""COMPUTED_VALUE"""),118637.6)</f>
        <v>118637.6</v>
      </c>
      <c r="AP2766" s="6" t="str">
        <f t="shared" si="789"/>
        <v>19001</v>
      </c>
      <c r="AQ2766" s="6">
        <f t="shared" si="790"/>
        <v>1900</v>
      </c>
      <c r="AR2766" s="6">
        <f t="shared" si="791"/>
        <v>1</v>
      </c>
    </row>
    <row r="2767" spans="2:44" x14ac:dyDescent="0.35">
      <c r="B2767" s="6" t="str">
        <f t="shared" si="774"/>
        <v>19001</v>
      </c>
      <c r="C2767" s="6">
        <f t="shared" si="775"/>
        <v>1900</v>
      </c>
      <c r="D2767" s="6">
        <f t="shared" si="776"/>
        <v>1</v>
      </c>
      <c r="J2767" s="6" t="str">
        <f t="shared" si="777"/>
        <v>19001</v>
      </c>
      <c r="K2767" s="6">
        <f t="shared" si="778"/>
        <v>1900</v>
      </c>
      <c r="L2767" s="6">
        <f t="shared" si="779"/>
        <v>1</v>
      </c>
      <c r="R2767" s="6" t="str">
        <f t="shared" si="780"/>
        <v>19001</v>
      </c>
      <c r="S2767" s="6">
        <f t="shared" si="781"/>
        <v>1900</v>
      </c>
      <c r="T2767" s="6">
        <f t="shared" si="782"/>
        <v>1</v>
      </c>
      <c r="Z2767" s="6" t="str">
        <f t="shared" ca="1" si="783"/>
        <v>20259</v>
      </c>
      <c r="AA2767" s="6">
        <f t="shared" ca="1" si="784"/>
        <v>2025</v>
      </c>
      <c r="AB2767" s="6">
        <f t="shared" ca="1" si="785"/>
        <v>9</v>
      </c>
      <c r="AC2767" s="68">
        <f ca="1">IFERROR(__xludf.DUMMYFUNCTION("""COMPUTED_VALUE"""),45926.9986111111)</f>
        <v>45926.998611111099</v>
      </c>
      <c r="AD2767" s="6">
        <f ca="1">IFERROR(__xludf.DUMMYFUNCTION("""COMPUTED_VALUE"""),1408.6)</f>
        <v>1408.6</v>
      </c>
      <c r="AH2767" s="6" t="str">
        <f t="shared" ca="1" si="786"/>
        <v>20257</v>
      </c>
      <c r="AI2767" s="6">
        <f t="shared" ca="1" si="787"/>
        <v>2025</v>
      </c>
      <c r="AJ2767" s="6">
        <f t="shared" ca="1" si="788"/>
        <v>7</v>
      </c>
      <c r="AK2767" s="68">
        <f ca="1">IFERROR(__xludf.DUMMYFUNCTION("""COMPUTED_VALUE"""),45862.9986111111)</f>
        <v>45862.998611111099</v>
      </c>
      <c r="AL2767" s="6">
        <f ca="1">IFERROR(__xludf.DUMMYFUNCTION("""COMPUTED_VALUE"""),118580.6)</f>
        <v>118580.6</v>
      </c>
      <c r="AP2767" s="6" t="str">
        <f t="shared" si="789"/>
        <v>19001</v>
      </c>
      <c r="AQ2767" s="6">
        <f t="shared" si="790"/>
        <v>1900</v>
      </c>
      <c r="AR2767" s="6">
        <f t="shared" si="791"/>
        <v>1</v>
      </c>
    </row>
    <row r="2768" spans="2:44" x14ac:dyDescent="0.35">
      <c r="B2768" s="6" t="str">
        <f t="shared" si="774"/>
        <v>19001</v>
      </c>
      <c r="C2768" s="6">
        <f t="shared" si="775"/>
        <v>1900</v>
      </c>
      <c r="D2768" s="6">
        <f t="shared" si="776"/>
        <v>1</v>
      </c>
      <c r="J2768" s="6" t="str">
        <f t="shared" si="777"/>
        <v>19001</v>
      </c>
      <c r="K2768" s="6">
        <f t="shared" si="778"/>
        <v>1900</v>
      </c>
      <c r="L2768" s="6">
        <f t="shared" si="779"/>
        <v>1</v>
      </c>
      <c r="R2768" s="6" t="str">
        <f t="shared" si="780"/>
        <v>19001</v>
      </c>
      <c r="S2768" s="6">
        <f t="shared" si="781"/>
        <v>1900</v>
      </c>
      <c r="T2768" s="6">
        <f t="shared" si="782"/>
        <v>1</v>
      </c>
      <c r="Z2768" s="6" t="str">
        <f t="shared" ca="1" si="783"/>
        <v>20259</v>
      </c>
      <c r="AA2768" s="6">
        <f t="shared" ca="1" si="784"/>
        <v>2025</v>
      </c>
      <c r="AB2768" s="6">
        <f t="shared" ca="1" si="785"/>
        <v>9</v>
      </c>
      <c r="AC2768" s="68">
        <f ca="1">IFERROR(__xludf.DUMMYFUNCTION("""COMPUTED_VALUE"""),45927.9986111111)</f>
        <v>45927.998611111099</v>
      </c>
      <c r="AD2768" s="6">
        <f ca="1">IFERROR(__xludf.DUMMYFUNCTION("""COMPUTED_VALUE"""),1408.2)</f>
        <v>1408.2</v>
      </c>
      <c r="AH2768" s="6" t="str">
        <f t="shared" ca="1" si="786"/>
        <v>20257</v>
      </c>
      <c r="AI2768" s="6">
        <f t="shared" ca="1" si="787"/>
        <v>2025</v>
      </c>
      <c r="AJ2768" s="6">
        <f t="shared" ca="1" si="788"/>
        <v>7</v>
      </c>
      <c r="AK2768" s="68">
        <f ca="1">IFERROR(__xludf.DUMMYFUNCTION("""COMPUTED_VALUE"""),45863.9986111111)</f>
        <v>45863.998611111099</v>
      </c>
      <c r="AL2768" s="6">
        <f ca="1">IFERROR(__xludf.DUMMYFUNCTION("""COMPUTED_VALUE"""),115420.2)</f>
        <v>115420.2</v>
      </c>
      <c r="AP2768" s="6" t="str">
        <f t="shared" si="789"/>
        <v>19001</v>
      </c>
      <c r="AQ2768" s="6">
        <f t="shared" si="790"/>
        <v>1900</v>
      </c>
      <c r="AR2768" s="6">
        <f t="shared" si="791"/>
        <v>1</v>
      </c>
    </row>
    <row r="2769" spans="2:44" x14ac:dyDescent="0.35">
      <c r="B2769" s="6" t="str">
        <f t="shared" si="774"/>
        <v>19001</v>
      </c>
      <c r="C2769" s="6">
        <f t="shared" si="775"/>
        <v>1900</v>
      </c>
      <c r="D2769" s="6">
        <f t="shared" si="776"/>
        <v>1</v>
      </c>
      <c r="J2769" s="6" t="str">
        <f t="shared" si="777"/>
        <v>19001</v>
      </c>
      <c r="K2769" s="6">
        <f t="shared" si="778"/>
        <v>1900</v>
      </c>
      <c r="L2769" s="6">
        <f t="shared" si="779"/>
        <v>1</v>
      </c>
      <c r="R2769" s="6" t="str">
        <f t="shared" si="780"/>
        <v>19001</v>
      </c>
      <c r="S2769" s="6">
        <f t="shared" si="781"/>
        <v>1900</v>
      </c>
      <c r="T2769" s="6">
        <f t="shared" si="782"/>
        <v>1</v>
      </c>
      <c r="Z2769" s="6" t="str">
        <f t="shared" ca="1" si="783"/>
        <v>20259</v>
      </c>
      <c r="AA2769" s="6">
        <f t="shared" ca="1" si="784"/>
        <v>2025</v>
      </c>
      <c r="AB2769" s="6">
        <f t="shared" ca="1" si="785"/>
        <v>9</v>
      </c>
      <c r="AC2769" s="68">
        <f ca="1">IFERROR(__xludf.DUMMYFUNCTION("""COMPUTED_VALUE"""),45928.9986111111)</f>
        <v>45928.998611111099</v>
      </c>
      <c r="AD2769" s="6">
        <f ca="1">IFERROR(__xludf.DUMMYFUNCTION("""COMPUTED_VALUE"""),1408.71)</f>
        <v>1408.71</v>
      </c>
      <c r="AH2769" s="6" t="str">
        <f t="shared" ca="1" si="786"/>
        <v>20257</v>
      </c>
      <c r="AI2769" s="6">
        <f t="shared" ca="1" si="787"/>
        <v>2025</v>
      </c>
      <c r="AJ2769" s="6">
        <f t="shared" ca="1" si="788"/>
        <v>7</v>
      </c>
      <c r="AK2769" s="68">
        <f ca="1">IFERROR(__xludf.DUMMYFUNCTION("""COMPUTED_VALUE"""),45864.9986111111)</f>
        <v>45864.998611111099</v>
      </c>
      <c r="AL2769" s="6">
        <f ca="1">IFERROR(__xludf.DUMMYFUNCTION("""COMPUTED_VALUE"""),117570.6)</f>
        <v>117570.6</v>
      </c>
      <c r="AP2769" s="6" t="str">
        <f t="shared" si="789"/>
        <v>19001</v>
      </c>
      <c r="AQ2769" s="6">
        <f t="shared" si="790"/>
        <v>1900</v>
      </c>
      <c r="AR2769" s="6">
        <f t="shared" si="791"/>
        <v>1</v>
      </c>
    </row>
    <row r="2770" spans="2:44" x14ac:dyDescent="0.35">
      <c r="B2770" s="6" t="str">
        <f t="shared" si="774"/>
        <v>19001</v>
      </c>
      <c r="C2770" s="6">
        <f t="shared" si="775"/>
        <v>1900</v>
      </c>
      <c r="D2770" s="6">
        <f t="shared" si="776"/>
        <v>1</v>
      </c>
      <c r="J2770" s="6" t="str">
        <f t="shared" si="777"/>
        <v>19001</v>
      </c>
      <c r="K2770" s="6">
        <f t="shared" si="778"/>
        <v>1900</v>
      </c>
      <c r="L2770" s="6">
        <f t="shared" si="779"/>
        <v>1</v>
      </c>
      <c r="R2770" s="6" t="str">
        <f t="shared" si="780"/>
        <v>19001</v>
      </c>
      <c r="S2770" s="6">
        <f t="shared" si="781"/>
        <v>1900</v>
      </c>
      <c r="T2770" s="6">
        <f t="shared" si="782"/>
        <v>1</v>
      </c>
      <c r="Z2770" s="6" t="str">
        <f t="shared" ca="1" si="783"/>
        <v>20259</v>
      </c>
      <c r="AA2770" s="6">
        <f t="shared" ca="1" si="784"/>
        <v>2025</v>
      </c>
      <c r="AB2770" s="6">
        <f t="shared" ca="1" si="785"/>
        <v>9</v>
      </c>
      <c r="AC2770" s="68">
        <f ca="1">IFERROR(__xludf.DUMMYFUNCTION("""COMPUTED_VALUE"""),45929.9986111111)</f>
        <v>45929.998611111099</v>
      </c>
      <c r="AD2770" s="6">
        <f ca="1">IFERROR(__xludf.DUMMYFUNCTION("""COMPUTED_VALUE"""),1399.33)</f>
        <v>1399.33</v>
      </c>
      <c r="AH2770" s="6" t="str">
        <f t="shared" ca="1" si="786"/>
        <v>20257</v>
      </c>
      <c r="AI2770" s="6">
        <f t="shared" ca="1" si="787"/>
        <v>2025</v>
      </c>
      <c r="AJ2770" s="6">
        <f t="shared" ca="1" si="788"/>
        <v>7</v>
      </c>
      <c r="AK2770" s="68">
        <f ca="1">IFERROR(__xludf.DUMMYFUNCTION("""COMPUTED_VALUE"""),45865.9986111111)</f>
        <v>45865.998611111099</v>
      </c>
      <c r="AL2770" s="6">
        <f ca="1">IFERROR(__xludf.DUMMYFUNCTION("""COMPUTED_VALUE"""),118208.3)</f>
        <v>118208.3</v>
      </c>
      <c r="AP2770" s="6" t="str">
        <f t="shared" si="789"/>
        <v>19001</v>
      </c>
      <c r="AQ2770" s="6">
        <f t="shared" si="790"/>
        <v>1900</v>
      </c>
      <c r="AR2770" s="6">
        <f t="shared" si="791"/>
        <v>1</v>
      </c>
    </row>
    <row r="2771" spans="2:44" x14ac:dyDescent="0.35">
      <c r="B2771" s="6" t="str">
        <f t="shared" si="774"/>
        <v>19001</v>
      </c>
      <c r="C2771" s="6">
        <f t="shared" si="775"/>
        <v>1900</v>
      </c>
      <c r="D2771" s="6">
        <f t="shared" si="776"/>
        <v>1</v>
      </c>
      <c r="J2771" s="6" t="str">
        <f t="shared" si="777"/>
        <v>19001</v>
      </c>
      <c r="K2771" s="6">
        <f t="shared" si="778"/>
        <v>1900</v>
      </c>
      <c r="L2771" s="6">
        <f t="shared" si="779"/>
        <v>1</v>
      </c>
      <c r="R2771" s="6" t="str">
        <f t="shared" si="780"/>
        <v>19001</v>
      </c>
      <c r="S2771" s="6">
        <f t="shared" si="781"/>
        <v>1900</v>
      </c>
      <c r="T2771" s="6">
        <f t="shared" si="782"/>
        <v>1</v>
      </c>
      <c r="Z2771" s="6" t="str">
        <f t="shared" ca="1" si="783"/>
        <v>20259</v>
      </c>
      <c r="AA2771" s="6">
        <f t="shared" ca="1" si="784"/>
        <v>2025</v>
      </c>
      <c r="AB2771" s="6">
        <f t="shared" ca="1" si="785"/>
        <v>9</v>
      </c>
      <c r="AC2771" s="68">
        <f ca="1">IFERROR(__xludf.DUMMYFUNCTION("""COMPUTED_VALUE"""),45930.9986111111)</f>
        <v>45930.998611111099</v>
      </c>
      <c r="AD2771" s="6">
        <f ca="1">IFERROR(__xludf.DUMMYFUNCTION("""COMPUTED_VALUE"""),1403.15)</f>
        <v>1403.15</v>
      </c>
      <c r="AH2771" s="6" t="str">
        <f t="shared" ca="1" si="786"/>
        <v>20257</v>
      </c>
      <c r="AI2771" s="6">
        <f t="shared" ca="1" si="787"/>
        <v>2025</v>
      </c>
      <c r="AJ2771" s="6">
        <f t="shared" ca="1" si="788"/>
        <v>7</v>
      </c>
      <c r="AK2771" s="68">
        <f ca="1">IFERROR(__xludf.DUMMYFUNCTION("""COMPUTED_VALUE"""),45866.9986111111)</f>
        <v>45866.998611111099</v>
      </c>
      <c r="AL2771" s="6">
        <f ca="1">IFERROR(__xludf.DUMMYFUNCTION("""COMPUTED_VALUE"""),119283.7)</f>
        <v>119283.7</v>
      </c>
      <c r="AP2771" s="6" t="str">
        <f t="shared" si="789"/>
        <v>19001</v>
      </c>
      <c r="AQ2771" s="6">
        <f t="shared" si="790"/>
        <v>1900</v>
      </c>
      <c r="AR2771" s="6">
        <f t="shared" si="791"/>
        <v>1</v>
      </c>
    </row>
    <row r="2772" spans="2:44" x14ac:dyDescent="0.35">
      <c r="B2772" s="6" t="str">
        <f t="shared" si="774"/>
        <v>19001</v>
      </c>
      <c r="C2772" s="6">
        <f t="shared" si="775"/>
        <v>1900</v>
      </c>
      <c r="D2772" s="6">
        <f t="shared" si="776"/>
        <v>1</v>
      </c>
      <c r="J2772" s="6" t="str">
        <f t="shared" si="777"/>
        <v>19001</v>
      </c>
      <c r="K2772" s="6">
        <f t="shared" si="778"/>
        <v>1900</v>
      </c>
      <c r="L2772" s="6">
        <f t="shared" si="779"/>
        <v>1</v>
      </c>
      <c r="R2772" s="6" t="str">
        <f t="shared" si="780"/>
        <v>19001</v>
      </c>
      <c r="S2772" s="6">
        <f t="shared" si="781"/>
        <v>1900</v>
      </c>
      <c r="T2772" s="6">
        <f t="shared" si="782"/>
        <v>1</v>
      </c>
      <c r="Z2772" s="6" t="str">
        <f t="shared" ca="1" si="783"/>
        <v>202510</v>
      </c>
      <c r="AA2772" s="6">
        <f t="shared" ca="1" si="784"/>
        <v>2025</v>
      </c>
      <c r="AB2772" s="6">
        <f t="shared" ca="1" si="785"/>
        <v>10</v>
      </c>
      <c r="AC2772" s="68">
        <f ca="1">IFERROR(__xludf.DUMMYFUNCTION("""COMPUTED_VALUE"""),45931.9986111111)</f>
        <v>45931.998611111099</v>
      </c>
      <c r="AD2772" s="6">
        <f ca="1">IFERROR(__xludf.DUMMYFUNCTION("""COMPUTED_VALUE"""),1401.82)</f>
        <v>1401.82</v>
      </c>
      <c r="AH2772" s="6" t="str">
        <f t="shared" ca="1" si="786"/>
        <v>20257</v>
      </c>
      <c r="AI2772" s="6">
        <f t="shared" ca="1" si="787"/>
        <v>2025</v>
      </c>
      <c r="AJ2772" s="6">
        <f t="shared" ca="1" si="788"/>
        <v>7</v>
      </c>
      <c r="AK2772" s="68">
        <f ca="1">IFERROR(__xludf.DUMMYFUNCTION("""COMPUTED_VALUE"""),45867.9986111111)</f>
        <v>45867.998611111099</v>
      </c>
      <c r="AL2772" s="6">
        <f ca="1">IFERROR(__xludf.DUMMYFUNCTION("""COMPUTED_VALUE"""),118757.1)</f>
        <v>118757.1</v>
      </c>
      <c r="AP2772" s="6" t="str">
        <f t="shared" si="789"/>
        <v>19001</v>
      </c>
      <c r="AQ2772" s="6">
        <f t="shared" si="790"/>
        <v>1900</v>
      </c>
      <c r="AR2772" s="6">
        <f t="shared" si="791"/>
        <v>1</v>
      </c>
    </row>
    <row r="2773" spans="2:44" x14ac:dyDescent="0.35">
      <c r="B2773" s="6" t="str">
        <f t="shared" si="774"/>
        <v>19001</v>
      </c>
      <c r="C2773" s="6">
        <f t="shared" si="775"/>
        <v>1900</v>
      </c>
      <c r="D2773" s="6">
        <f t="shared" si="776"/>
        <v>1</v>
      </c>
      <c r="J2773" s="6" t="str">
        <f t="shared" si="777"/>
        <v>19001</v>
      </c>
      <c r="K2773" s="6">
        <f t="shared" si="778"/>
        <v>1900</v>
      </c>
      <c r="L2773" s="6">
        <f t="shared" si="779"/>
        <v>1</v>
      </c>
      <c r="R2773" s="6" t="str">
        <f t="shared" si="780"/>
        <v>19001</v>
      </c>
      <c r="S2773" s="6">
        <f t="shared" si="781"/>
        <v>1900</v>
      </c>
      <c r="T2773" s="6">
        <f t="shared" si="782"/>
        <v>1</v>
      </c>
      <c r="Z2773" s="6" t="str">
        <f t="shared" ca="1" si="783"/>
        <v>202510</v>
      </c>
      <c r="AA2773" s="6">
        <f t="shared" ca="1" si="784"/>
        <v>2025</v>
      </c>
      <c r="AB2773" s="6">
        <f t="shared" ca="1" si="785"/>
        <v>10</v>
      </c>
      <c r="AC2773" s="68">
        <f ca="1">IFERROR(__xludf.DUMMYFUNCTION("""COMPUTED_VALUE"""),45932.9986111111)</f>
        <v>45932.998611111099</v>
      </c>
      <c r="AD2773" s="6">
        <f ca="1">IFERROR(__xludf.DUMMYFUNCTION("""COMPUTED_VALUE"""),1405.63)</f>
        <v>1405.63</v>
      </c>
      <c r="AH2773" s="6" t="str">
        <f t="shared" ca="1" si="786"/>
        <v>20257</v>
      </c>
      <c r="AI2773" s="6">
        <f t="shared" ca="1" si="787"/>
        <v>2025</v>
      </c>
      <c r="AJ2773" s="6">
        <f t="shared" ca="1" si="788"/>
        <v>7</v>
      </c>
      <c r="AK2773" s="68">
        <f ca="1">IFERROR(__xludf.DUMMYFUNCTION("""COMPUTED_VALUE"""),45868.9986111111)</f>
        <v>45868.998611111099</v>
      </c>
      <c r="AL2773" s="6">
        <f ca="1">IFERROR(__xludf.DUMMYFUNCTION("""COMPUTED_VALUE"""),118176.2)</f>
        <v>118176.2</v>
      </c>
      <c r="AP2773" s="6" t="str">
        <f t="shared" si="789"/>
        <v>19001</v>
      </c>
      <c r="AQ2773" s="6">
        <f t="shared" si="790"/>
        <v>1900</v>
      </c>
      <c r="AR2773" s="6">
        <f t="shared" si="791"/>
        <v>1</v>
      </c>
    </row>
    <row r="2774" spans="2:44" x14ac:dyDescent="0.35">
      <c r="B2774" s="6" t="str">
        <f t="shared" si="774"/>
        <v>19001</v>
      </c>
      <c r="C2774" s="6">
        <f t="shared" si="775"/>
        <v>1900</v>
      </c>
      <c r="D2774" s="6">
        <f t="shared" si="776"/>
        <v>1</v>
      </c>
      <c r="J2774" s="6" t="str">
        <f t="shared" si="777"/>
        <v>19001</v>
      </c>
      <c r="K2774" s="6">
        <f t="shared" si="778"/>
        <v>1900</v>
      </c>
      <c r="L2774" s="6">
        <f t="shared" si="779"/>
        <v>1</v>
      </c>
      <c r="R2774" s="6" t="str">
        <f t="shared" si="780"/>
        <v>19001</v>
      </c>
      <c r="S2774" s="6">
        <f t="shared" si="781"/>
        <v>1900</v>
      </c>
      <c r="T2774" s="6">
        <f t="shared" si="782"/>
        <v>1</v>
      </c>
      <c r="Z2774" s="6" t="str">
        <f t="shared" ca="1" si="783"/>
        <v>202510</v>
      </c>
      <c r="AA2774" s="6">
        <f t="shared" ca="1" si="784"/>
        <v>2025</v>
      </c>
      <c r="AB2774" s="6">
        <f t="shared" ca="1" si="785"/>
        <v>10</v>
      </c>
      <c r="AC2774" s="68">
        <f ca="1">IFERROR(__xludf.DUMMYFUNCTION("""COMPUTED_VALUE"""),45933.9986111111)</f>
        <v>45933.998611111099</v>
      </c>
      <c r="AD2774" s="6">
        <f ca="1">IFERROR(__xludf.DUMMYFUNCTION("""COMPUTED_VALUE"""),1406.47)</f>
        <v>1406.47</v>
      </c>
      <c r="AH2774" s="6" t="str">
        <f t="shared" ca="1" si="786"/>
        <v>20257</v>
      </c>
      <c r="AI2774" s="6">
        <f t="shared" ca="1" si="787"/>
        <v>2025</v>
      </c>
      <c r="AJ2774" s="6">
        <f t="shared" ca="1" si="788"/>
        <v>7</v>
      </c>
      <c r="AK2774" s="68">
        <f ca="1">IFERROR(__xludf.DUMMYFUNCTION("""COMPUTED_VALUE"""),45869.9986111111)</f>
        <v>45869.998611111099</v>
      </c>
      <c r="AL2774" s="6">
        <f ca="1">IFERROR(__xludf.DUMMYFUNCTION("""COMPUTED_VALUE"""),118454.4)</f>
        <v>118454.39999999999</v>
      </c>
      <c r="AP2774" s="6" t="str">
        <f t="shared" si="789"/>
        <v>19001</v>
      </c>
      <c r="AQ2774" s="6">
        <f t="shared" si="790"/>
        <v>1900</v>
      </c>
      <c r="AR2774" s="6">
        <f t="shared" si="791"/>
        <v>1</v>
      </c>
    </row>
    <row r="2775" spans="2:44" x14ac:dyDescent="0.35">
      <c r="B2775" s="6" t="str">
        <f t="shared" si="774"/>
        <v>19001</v>
      </c>
      <c r="C2775" s="6">
        <f t="shared" si="775"/>
        <v>1900</v>
      </c>
      <c r="D2775" s="6">
        <f t="shared" si="776"/>
        <v>1</v>
      </c>
      <c r="J2775" s="6" t="str">
        <f t="shared" si="777"/>
        <v>19001</v>
      </c>
      <c r="K2775" s="6">
        <f t="shared" si="778"/>
        <v>1900</v>
      </c>
      <c r="L2775" s="6">
        <f t="shared" si="779"/>
        <v>1</v>
      </c>
      <c r="R2775" s="6" t="str">
        <f t="shared" si="780"/>
        <v>19001</v>
      </c>
      <c r="S2775" s="6">
        <f t="shared" si="781"/>
        <v>1900</v>
      </c>
      <c r="T2775" s="6">
        <f t="shared" si="782"/>
        <v>1</v>
      </c>
      <c r="Z2775" s="6" t="str">
        <f t="shared" ca="1" si="783"/>
        <v>202510</v>
      </c>
      <c r="AA2775" s="6">
        <f t="shared" ca="1" si="784"/>
        <v>2025</v>
      </c>
      <c r="AB2775" s="6">
        <f t="shared" ca="1" si="785"/>
        <v>10</v>
      </c>
      <c r="AC2775" s="68">
        <f ca="1">IFERROR(__xludf.DUMMYFUNCTION("""COMPUTED_VALUE"""),45934.9986111111)</f>
        <v>45934.998611111099</v>
      </c>
      <c r="AD2775" s="6">
        <f ca="1">IFERROR(__xludf.DUMMYFUNCTION("""COMPUTED_VALUE"""),1405.57)</f>
        <v>1405.57</v>
      </c>
      <c r="AH2775" s="6" t="str">
        <f t="shared" ca="1" si="786"/>
        <v>20258</v>
      </c>
      <c r="AI2775" s="6">
        <f t="shared" ca="1" si="787"/>
        <v>2025</v>
      </c>
      <c r="AJ2775" s="6">
        <f t="shared" ca="1" si="788"/>
        <v>8</v>
      </c>
      <c r="AK2775" s="68">
        <f ca="1">IFERROR(__xludf.DUMMYFUNCTION("""COMPUTED_VALUE"""),45870.9986111111)</f>
        <v>45870.998611111099</v>
      </c>
      <c r="AL2775" s="6">
        <f ca="1">IFERROR(__xludf.DUMMYFUNCTION("""COMPUTED_VALUE"""),115672.4)</f>
        <v>115672.4</v>
      </c>
      <c r="AP2775" s="6" t="str">
        <f t="shared" si="789"/>
        <v>19001</v>
      </c>
      <c r="AQ2775" s="6">
        <f t="shared" si="790"/>
        <v>1900</v>
      </c>
      <c r="AR2775" s="6">
        <f t="shared" si="791"/>
        <v>1</v>
      </c>
    </row>
    <row r="2776" spans="2:44" x14ac:dyDescent="0.35">
      <c r="B2776" s="6" t="str">
        <f t="shared" si="774"/>
        <v>19001</v>
      </c>
      <c r="C2776" s="6">
        <f t="shared" si="775"/>
        <v>1900</v>
      </c>
      <c r="D2776" s="6">
        <f t="shared" si="776"/>
        <v>1</v>
      </c>
      <c r="J2776" s="6" t="str">
        <f t="shared" si="777"/>
        <v>19001</v>
      </c>
      <c r="K2776" s="6">
        <f t="shared" si="778"/>
        <v>1900</v>
      </c>
      <c r="L2776" s="6">
        <f t="shared" si="779"/>
        <v>1</v>
      </c>
      <c r="R2776" s="6" t="str">
        <f t="shared" si="780"/>
        <v>19001</v>
      </c>
      <c r="S2776" s="6">
        <f t="shared" si="781"/>
        <v>1900</v>
      </c>
      <c r="T2776" s="6">
        <f t="shared" si="782"/>
        <v>1</v>
      </c>
      <c r="Z2776" s="6" t="str">
        <f t="shared" ca="1" si="783"/>
        <v>202510</v>
      </c>
      <c r="AA2776" s="6">
        <f t="shared" ca="1" si="784"/>
        <v>2025</v>
      </c>
      <c r="AB2776" s="6">
        <f t="shared" ca="1" si="785"/>
        <v>10</v>
      </c>
      <c r="AC2776" s="68">
        <f ca="1">IFERROR(__xludf.DUMMYFUNCTION("""COMPUTED_VALUE"""),45935.9986111111)</f>
        <v>45935.998611111099</v>
      </c>
      <c r="AD2776" s="6">
        <f ca="1">IFERROR(__xludf.DUMMYFUNCTION("""COMPUTED_VALUE"""),1406.06)</f>
        <v>1406.06</v>
      </c>
      <c r="AH2776" s="6" t="str">
        <f t="shared" ca="1" si="786"/>
        <v>20258</v>
      </c>
      <c r="AI2776" s="6">
        <f t="shared" ca="1" si="787"/>
        <v>2025</v>
      </c>
      <c r="AJ2776" s="6">
        <f t="shared" ca="1" si="788"/>
        <v>8</v>
      </c>
      <c r="AK2776" s="68">
        <f ca="1">IFERROR(__xludf.DUMMYFUNCTION("""COMPUTED_VALUE"""),45871.9986111111)</f>
        <v>45871.998611111099</v>
      </c>
      <c r="AL2776" s="6">
        <f ca="1">IFERROR(__xludf.DUMMYFUNCTION("""COMPUTED_VALUE"""),113941.1)</f>
        <v>113941.1</v>
      </c>
      <c r="AP2776" s="6" t="str">
        <f t="shared" si="789"/>
        <v>19001</v>
      </c>
      <c r="AQ2776" s="6">
        <f t="shared" si="790"/>
        <v>1900</v>
      </c>
      <c r="AR2776" s="6">
        <f t="shared" si="791"/>
        <v>1</v>
      </c>
    </row>
    <row r="2777" spans="2:44" x14ac:dyDescent="0.35">
      <c r="B2777" s="6" t="str">
        <f t="shared" si="774"/>
        <v>19001</v>
      </c>
      <c r="C2777" s="6">
        <f t="shared" si="775"/>
        <v>1900</v>
      </c>
      <c r="D2777" s="6">
        <f t="shared" si="776"/>
        <v>1</v>
      </c>
      <c r="J2777" s="6" t="str">
        <f t="shared" si="777"/>
        <v>19001</v>
      </c>
      <c r="K2777" s="6">
        <f t="shared" si="778"/>
        <v>1900</v>
      </c>
      <c r="L2777" s="6">
        <f t="shared" si="779"/>
        <v>1</v>
      </c>
      <c r="R2777" s="6" t="str">
        <f t="shared" si="780"/>
        <v>19001</v>
      </c>
      <c r="S2777" s="6">
        <f t="shared" si="781"/>
        <v>1900</v>
      </c>
      <c r="T2777" s="6">
        <f t="shared" si="782"/>
        <v>1</v>
      </c>
      <c r="Z2777" s="6" t="str">
        <f t="shared" ca="1" si="783"/>
        <v>202510</v>
      </c>
      <c r="AA2777" s="6">
        <f t="shared" ca="1" si="784"/>
        <v>2025</v>
      </c>
      <c r="AB2777" s="6">
        <f t="shared" ca="1" si="785"/>
        <v>10</v>
      </c>
      <c r="AC2777" s="68">
        <f ca="1">IFERROR(__xludf.DUMMYFUNCTION("""COMPUTED_VALUE"""),45936.9986111111)</f>
        <v>45936.998611111099</v>
      </c>
      <c r="AD2777" s="6">
        <f ca="1">IFERROR(__xludf.DUMMYFUNCTION("""COMPUTED_VALUE"""),1409.92)</f>
        <v>1409.92</v>
      </c>
      <c r="AH2777" s="6" t="str">
        <f t="shared" ca="1" si="786"/>
        <v>20258</v>
      </c>
      <c r="AI2777" s="6">
        <f t="shared" ca="1" si="787"/>
        <v>2025</v>
      </c>
      <c r="AJ2777" s="6">
        <f t="shared" ca="1" si="788"/>
        <v>8</v>
      </c>
      <c r="AK2777" s="68">
        <f ca="1">IFERROR(__xludf.DUMMYFUNCTION("""COMPUTED_VALUE"""),45872.9986111111)</f>
        <v>45872.998611111099</v>
      </c>
      <c r="AL2777" s="6">
        <f ca="1">IFERROR(__xludf.DUMMYFUNCTION("""COMPUTED_VALUE"""),113730.6)</f>
        <v>113730.6</v>
      </c>
      <c r="AP2777" s="6" t="str">
        <f t="shared" si="789"/>
        <v>19001</v>
      </c>
      <c r="AQ2777" s="6">
        <f t="shared" si="790"/>
        <v>1900</v>
      </c>
      <c r="AR2777" s="6">
        <f t="shared" si="791"/>
        <v>1</v>
      </c>
    </row>
    <row r="2778" spans="2:44" x14ac:dyDescent="0.35">
      <c r="B2778" s="6" t="str">
        <f t="shared" si="774"/>
        <v>19001</v>
      </c>
      <c r="C2778" s="6">
        <f t="shared" si="775"/>
        <v>1900</v>
      </c>
      <c r="D2778" s="6">
        <f t="shared" si="776"/>
        <v>1</v>
      </c>
      <c r="J2778" s="6" t="str">
        <f t="shared" si="777"/>
        <v>19001</v>
      </c>
      <c r="K2778" s="6">
        <f t="shared" si="778"/>
        <v>1900</v>
      </c>
      <c r="L2778" s="6">
        <f t="shared" si="779"/>
        <v>1</v>
      </c>
      <c r="R2778" s="6" t="str">
        <f t="shared" si="780"/>
        <v>19001</v>
      </c>
      <c r="S2778" s="6">
        <f t="shared" si="781"/>
        <v>1900</v>
      </c>
      <c r="T2778" s="6">
        <f t="shared" si="782"/>
        <v>1</v>
      </c>
      <c r="Z2778" s="6" t="str">
        <f t="shared" ca="1" si="783"/>
        <v>202510</v>
      </c>
      <c r="AA2778" s="6">
        <f t="shared" ca="1" si="784"/>
        <v>2025</v>
      </c>
      <c r="AB2778" s="6">
        <f t="shared" ca="1" si="785"/>
        <v>10</v>
      </c>
      <c r="AC2778" s="68">
        <f ca="1">IFERROR(__xludf.DUMMYFUNCTION("""COMPUTED_VALUE"""),45937.9986111111)</f>
        <v>45937.998611111099</v>
      </c>
      <c r="AD2778" s="6">
        <f ca="1">IFERROR(__xludf.DUMMYFUNCTION("""COMPUTED_VALUE"""),1414.57)</f>
        <v>1414.57</v>
      </c>
      <c r="AH2778" s="6" t="str">
        <f t="shared" ca="1" si="786"/>
        <v>20258</v>
      </c>
      <c r="AI2778" s="6">
        <f t="shared" ca="1" si="787"/>
        <v>2025</v>
      </c>
      <c r="AJ2778" s="6">
        <f t="shared" ca="1" si="788"/>
        <v>8</v>
      </c>
      <c r="AK2778" s="68">
        <f ca="1">IFERROR(__xludf.DUMMYFUNCTION("""COMPUTED_VALUE"""),45873.9986111111)</f>
        <v>45873.998611111099</v>
      </c>
      <c r="AL2778" s="6">
        <f ca="1">IFERROR(__xludf.DUMMYFUNCTION("""COMPUTED_VALUE"""),114696.1)</f>
        <v>114696.1</v>
      </c>
      <c r="AP2778" s="6" t="str">
        <f t="shared" si="789"/>
        <v>19001</v>
      </c>
      <c r="AQ2778" s="6">
        <f t="shared" si="790"/>
        <v>1900</v>
      </c>
      <c r="AR2778" s="6">
        <f t="shared" si="791"/>
        <v>1</v>
      </c>
    </row>
    <row r="2779" spans="2:44" x14ac:dyDescent="0.35">
      <c r="B2779" s="6" t="str">
        <f t="shared" si="774"/>
        <v>19001</v>
      </c>
      <c r="C2779" s="6">
        <f t="shared" si="775"/>
        <v>1900</v>
      </c>
      <c r="D2779" s="6">
        <f t="shared" si="776"/>
        <v>1</v>
      </c>
      <c r="J2779" s="6" t="str">
        <f t="shared" si="777"/>
        <v>19001</v>
      </c>
      <c r="K2779" s="6">
        <f t="shared" si="778"/>
        <v>1900</v>
      </c>
      <c r="L2779" s="6">
        <f t="shared" si="779"/>
        <v>1</v>
      </c>
      <c r="R2779" s="6" t="str">
        <f t="shared" si="780"/>
        <v>19001</v>
      </c>
      <c r="S2779" s="6">
        <f t="shared" si="781"/>
        <v>1900</v>
      </c>
      <c r="T2779" s="6">
        <f t="shared" si="782"/>
        <v>1</v>
      </c>
      <c r="Z2779" s="6" t="str">
        <f t="shared" ca="1" si="783"/>
        <v>202510</v>
      </c>
      <c r="AA2779" s="6">
        <f t="shared" ca="1" si="784"/>
        <v>2025</v>
      </c>
      <c r="AB2779" s="6">
        <f t="shared" ca="1" si="785"/>
        <v>10</v>
      </c>
      <c r="AC2779" s="68">
        <f ca="1">IFERROR(__xludf.DUMMYFUNCTION("""COMPUTED_VALUE"""),45938.9986111111)</f>
        <v>45938.998611111099</v>
      </c>
      <c r="AD2779" s="6">
        <f ca="1">IFERROR(__xludf.DUMMYFUNCTION("""COMPUTED_VALUE"""),1422.52)</f>
        <v>1422.52</v>
      </c>
      <c r="AH2779" s="6" t="str">
        <f t="shared" ca="1" si="786"/>
        <v>20258</v>
      </c>
      <c r="AI2779" s="6">
        <f t="shared" ca="1" si="787"/>
        <v>2025</v>
      </c>
      <c r="AJ2779" s="6">
        <f t="shared" ca="1" si="788"/>
        <v>8</v>
      </c>
      <c r="AK2779" s="68">
        <f ca="1">IFERROR(__xludf.DUMMYFUNCTION("""COMPUTED_VALUE"""),45874.9986111111)</f>
        <v>45874.998611111099</v>
      </c>
      <c r="AL2779" s="6">
        <f ca="1">IFERROR(__xludf.DUMMYFUNCTION("""COMPUTED_VALUE"""),114348.2)</f>
        <v>114348.2</v>
      </c>
      <c r="AP2779" s="6" t="str">
        <f t="shared" si="789"/>
        <v>19001</v>
      </c>
      <c r="AQ2779" s="6">
        <f t="shared" si="790"/>
        <v>1900</v>
      </c>
      <c r="AR2779" s="6">
        <f t="shared" si="791"/>
        <v>1</v>
      </c>
    </row>
    <row r="2780" spans="2:44" x14ac:dyDescent="0.35">
      <c r="B2780" s="6" t="str">
        <f t="shared" si="774"/>
        <v>19001</v>
      </c>
      <c r="C2780" s="6">
        <f t="shared" si="775"/>
        <v>1900</v>
      </c>
      <c r="D2780" s="6">
        <f t="shared" si="776"/>
        <v>1</v>
      </c>
      <c r="J2780" s="6" t="str">
        <f t="shared" si="777"/>
        <v>19001</v>
      </c>
      <c r="K2780" s="6">
        <f t="shared" si="778"/>
        <v>1900</v>
      </c>
      <c r="L2780" s="6">
        <f t="shared" si="779"/>
        <v>1</v>
      </c>
      <c r="R2780" s="6" t="str">
        <f t="shared" si="780"/>
        <v>19001</v>
      </c>
      <c r="S2780" s="6">
        <f t="shared" si="781"/>
        <v>1900</v>
      </c>
      <c r="T2780" s="6">
        <f t="shared" si="782"/>
        <v>1</v>
      </c>
      <c r="Z2780" s="6" t="str">
        <f t="shared" ca="1" si="783"/>
        <v>202510</v>
      </c>
      <c r="AA2780" s="6">
        <f t="shared" ca="1" si="784"/>
        <v>2025</v>
      </c>
      <c r="AB2780" s="6">
        <f t="shared" ca="1" si="785"/>
        <v>10</v>
      </c>
      <c r="AC2780" s="68">
        <f ca="1">IFERROR(__xludf.DUMMYFUNCTION("""COMPUTED_VALUE"""),45939.9986111111)</f>
        <v>45939.998611111099</v>
      </c>
      <c r="AD2780" s="6">
        <f ca="1">IFERROR(__xludf.DUMMYFUNCTION("""COMPUTED_VALUE"""),1421.51)</f>
        <v>1421.51</v>
      </c>
      <c r="AH2780" s="6" t="str">
        <f t="shared" ca="1" si="786"/>
        <v>20258</v>
      </c>
      <c r="AI2780" s="6">
        <f t="shared" ca="1" si="787"/>
        <v>2025</v>
      </c>
      <c r="AJ2780" s="6">
        <f t="shared" ca="1" si="788"/>
        <v>8</v>
      </c>
      <c r="AK2780" s="68">
        <f ca="1">IFERROR(__xludf.DUMMYFUNCTION("""COMPUTED_VALUE"""),45875.9986111111)</f>
        <v>45875.998611111099</v>
      </c>
      <c r="AL2780" s="6">
        <f ca="1">IFERROR(__xludf.DUMMYFUNCTION("""COMPUTED_VALUE"""),113574.9)</f>
        <v>113574.9</v>
      </c>
      <c r="AP2780" s="6" t="str">
        <f t="shared" si="789"/>
        <v>19001</v>
      </c>
      <c r="AQ2780" s="6">
        <f t="shared" si="790"/>
        <v>1900</v>
      </c>
      <c r="AR2780" s="6">
        <f t="shared" si="791"/>
        <v>1</v>
      </c>
    </row>
    <row r="2781" spans="2:44" x14ac:dyDescent="0.35">
      <c r="B2781" s="6" t="str">
        <f t="shared" si="774"/>
        <v>19001</v>
      </c>
      <c r="C2781" s="6">
        <f t="shared" si="775"/>
        <v>1900</v>
      </c>
      <c r="D2781" s="6">
        <f t="shared" si="776"/>
        <v>1</v>
      </c>
      <c r="J2781" s="6" t="str">
        <f t="shared" si="777"/>
        <v>19001</v>
      </c>
      <c r="K2781" s="6">
        <f t="shared" si="778"/>
        <v>1900</v>
      </c>
      <c r="L2781" s="6">
        <f t="shared" si="779"/>
        <v>1</v>
      </c>
      <c r="R2781" s="6" t="str">
        <f t="shared" si="780"/>
        <v>19001</v>
      </c>
      <c r="S2781" s="6">
        <f t="shared" si="781"/>
        <v>1900</v>
      </c>
      <c r="T2781" s="6">
        <f t="shared" si="782"/>
        <v>1</v>
      </c>
      <c r="Z2781" s="6" t="str">
        <f t="shared" ca="1" si="783"/>
        <v>202510</v>
      </c>
      <c r="AA2781" s="6">
        <f t="shared" ca="1" si="784"/>
        <v>2025</v>
      </c>
      <c r="AB2781" s="6">
        <f t="shared" ca="1" si="785"/>
        <v>10</v>
      </c>
      <c r="AC2781" s="68">
        <f ca="1">IFERROR(__xludf.DUMMYFUNCTION("""COMPUTED_VALUE"""),45940.9986111111)</f>
        <v>45940.998611111099</v>
      </c>
      <c r="AD2781" s="6">
        <f ca="1">IFERROR(__xludf.DUMMYFUNCTION("""COMPUTED_VALUE"""),1428.44)</f>
        <v>1428.44</v>
      </c>
      <c r="AH2781" s="6" t="str">
        <f t="shared" ca="1" si="786"/>
        <v>20258</v>
      </c>
      <c r="AI2781" s="6">
        <f t="shared" ca="1" si="787"/>
        <v>2025</v>
      </c>
      <c r="AJ2781" s="6">
        <f t="shared" ca="1" si="788"/>
        <v>8</v>
      </c>
      <c r="AK2781" s="68">
        <f ca="1">IFERROR(__xludf.DUMMYFUNCTION("""COMPUTED_VALUE"""),45876.9986111111)</f>
        <v>45876.998611111099</v>
      </c>
      <c r="AL2781" s="6">
        <f ca="1">IFERROR(__xludf.DUMMYFUNCTION("""COMPUTED_VALUE"""),114485.2)</f>
        <v>114485.2</v>
      </c>
      <c r="AP2781" s="6" t="str">
        <f t="shared" si="789"/>
        <v>19001</v>
      </c>
      <c r="AQ2781" s="6">
        <f t="shared" si="790"/>
        <v>1900</v>
      </c>
      <c r="AR2781" s="6">
        <f t="shared" si="791"/>
        <v>1</v>
      </c>
    </row>
    <row r="2782" spans="2:44" x14ac:dyDescent="0.35">
      <c r="B2782" s="6" t="str">
        <f t="shared" si="774"/>
        <v>19001</v>
      </c>
      <c r="C2782" s="6">
        <f t="shared" si="775"/>
        <v>1900</v>
      </c>
      <c r="D2782" s="6">
        <f t="shared" si="776"/>
        <v>1</v>
      </c>
      <c r="J2782" s="6" t="str">
        <f t="shared" si="777"/>
        <v>19001</v>
      </c>
      <c r="K2782" s="6">
        <f t="shared" si="778"/>
        <v>1900</v>
      </c>
      <c r="L2782" s="6">
        <f t="shared" si="779"/>
        <v>1</v>
      </c>
      <c r="R2782" s="6" t="str">
        <f t="shared" si="780"/>
        <v>19001</v>
      </c>
      <c r="S2782" s="6">
        <f t="shared" si="781"/>
        <v>1900</v>
      </c>
      <c r="T2782" s="6">
        <f t="shared" si="782"/>
        <v>1</v>
      </c>
      <c r="Z2782" s="6" t="str">
        <f t="shared" ca="1" si="783"/>
        <v>202510</v>
      </c>
      <c r="AA2782" s="6">
        <f t="shared" ca="1" si="784"/>
        <v>2025</v>
      </c>
      <c r="AB2782" s="6">
        <f t="shared" ca="1" si="785"/>
        <v>10</v>
      </c>
      <c r="AC2782" s="68">
        <f ca="1">IFERROR(__xludf.DUMMYFUNCTION("""COMPUTED_VALUE"""),45941.9986111111)</f>
        <v>45941.998611111099</v>
      </c>
      <c r="AD2782" s="6">
        <f ca="1">IFERROR(__xludf.DUMMYFUNCTION("""COMPUTED_VALUE"""),1428.04)</f>
        <v>1428.04</v>
      </c>
      <c r="AH2782" s="6" t="str">
        <f t="shared" ca="1" si="786"/>
        <v>20258</v>
      </c>
      <c r="AI2782" s="6">
        <f t="shared" ca="1" si="787"/>
        <v>2025</v>
      </c>
      <c r="AJ2782" s="6">
        <f t="shared" ca="1" si="788"/>
        <v>8</v>
      </c>
      <c r="AK2782" s="68">
        <f ca="1">IFERROR(__xludf.DUMMYFUNCTION("""COMPUTED_VALUE"""),45877.9986111111)</f>
        <v>45877.998611111099</v>
      </c>
      <c r="AL2782" s="6">
        <f ca="1">IFERROR(__xludf.DUMMYFUNCTION("""COMPUTED_VALUE"""),116770.3)</f>
        <v>116770.3</v>
      </c>
      <c r="AP2782" s="6" t="str">
        <f t="shared" si="789"/>
        <v>19001</v>
      </c>
      <c r="AQ2782" s="6">
        <f t="shared" si="790"/>
        <v>1900</v>
      </c>
      <c r="AR2782" s="6">
        <f t="shared" si="791"/>
        <v>1</v>
      </c>
    </row>
    <row r="2783" spans="2:44" x14ac:dyDescent="0.35">
      <c r="B2783" s="6" t="str">
        <f t="shared" si="774"/>
        <v>19001</v>
      </c>
      <c r="C2783" s="6">
        <f t="shared" si="775"/>
        <v>1900</v>
      </c>
      <c r="D2783" s="6">
        <f t="shared" si="776"/>
        <v>1</v>
      </c>
      <c r="J2783" s="6" t="str">
        <f t="shared" si="777"/>
        <v>19001</v>
      </c>
      <c r="K2783" s="6">
        <f t="shared" si="778"/>
        <v>1900</v>
      </c>
      <c r="L2783" s="6">
        <f t="shared" si="779"/>
        <v>1</v>
      </c>
      <c r="R2783" s="6" t="str">
        <f t="shared" si="780"/>
        <v>19001</v>
      </c>
      <c r="S2783" s="6">
        <f t="shared" si="781"/>
        <v>1900</v>
      </c>
      <c r="T2783" s="6">
        <f t="shared" si="782"/>
        <v>1</v>
      </c>
      <c r="Z2783" s="6" t="str">
        <f t="shared" ca="1" si="783"/>
        <v>202510</v>
      </c>
      <c r="AA2783" s="6">
        <f t="shared" ca="1" si="784"/>
        <v>2025</v>
      </c>
      <c r="AB2783" s="6">
        <f t="shared" ca="1" si="785"/>
        <v>10</v>
      </c>
      <c r="AC2783" s="68">
        <f ca="1">IFERROR(__xludf.DUMMYFUNCTION("""COMPUTED_VALUE"""),45942.9986111111)</f>
        <v>45942.998611111099</v>
      </c>
      <c r="AD2783" s="6">
        <f ca="1">IFERROR(__xludf.DUMMYFUNCTION("""COMPUTED_VALUE"""),1429.03)</f>
        <v>1429.03</v>
      </c>
      <c r="AH2783" s="6" t="str">
        <f t="shared" ca="1" si="786"/>
        <v>20258</v>
      </c>
      <c r="AI2783" s="6">
        <f t="shared" ca="1" si="787"/>
        <v>2025</v>
      </c>
      <c r="AJ2783" s="6">
        <f t="shared" ca="1" si="788"/>
        <v>8</v>
      </c>
      <c r="AK2783" s="68">
        <f ca="1">IFERROR(__xludf.DUMMYFUNCTION("""COMPUTED_VALUE"""),45878.9986111111)</f>
        <v>45878.998611111099</v>
      </c>
      <c r="AL2783" s="6">
        <f ca="1">IFERROR(__xludf.DUMMYFUNCTION("""COMPUTED_VALUE"""),116364.7)</f>
        <v>116364.7</v>
      </c>
      <c r="AP2783" s="6" t="str">
        <f t="shared" si="789"/>
        <v>19001</v>
      </c>
      <c r="AQ2783" s="6">
        <f t="shared" si="790"/>
        <v>1900</v>
      </c>
      <c r="AR2783" s="6">
        <f t="shared" si="791"/>
        <v>1</v>
      </c>
    </row>
    <row r="2784" spans="2:44" x14ac:dyDescent="0.35">
      <c r="B2784" s="6" t="str">
        <f t="shared" si="774"/>
        <v>19001</v>
      </c>
      <c r="C2784" s="6">
        <f t="shared" si="775"/>
        <v>1900</v>
      </c>
      <c r="D2784" s="6">
        <f t="shared" si="776"/>
        <v>1</v>
      </c>
      <c r="J2784" s="6" t="str">
        <f t="shared" si="777"/>
        <v>19001</v>
      </c>
      <c r="K2784" s="6">
        <f t="shared" si="778"/>
        <v>1900</v>
      </c>
      <c r="L2784" s="6">
        <f t="shared" si="779"/>
        <v>1</v>
      </c>
      <c r="R2784" s="6" t="str">
        <f t="shared" si="780"/>
        <v>19001</v>
      </c>
      <c r="S2784" s="6">
        <f t="shared" si="781"/>
        <v>1900</v>
      </c>
      <c r="T2784" s="6">
        <f t="shared" si="782"/>
        <v>1</v>
      </c>
      <c r="Z2784" s="6" t="str">
        <f t="shared" ca="1" si="783"/>
        <v>202510</v>
      </c>
      <c r="AA2784" s="6">
        <f t="shared" ca="1" si="784"/>
        <v>2025</v>
      </c>
      <c r="AB2784" s="6">
        <f t="shared" ca="1" si="785"/>
        <v>10</v>
      </c>
      <c r="AC2784" s="68">
        <f ca="1">IFERROR(__xludf.DUMMYFUNCTION("""COMPUTED_VALUE"""),45943.9986111111)</f>
        <v>45943.998611111099</v>
      </c>
      <c r="AD2784" s="6">
        <f ca="1">IFERROR(__xludf.DUMMYFUNCTION("""COMPUTED_VALUE"""),1426.07)</f>
        <v>1426.07</v>
      </c>
      <c r="AH2784" s="6" t="str">
        <f t="shared" ca="1" si="786"/>
        <v>20258</v>
      </c>
      <c r="AI2784" s="6">
        <f t="shared" ca="1" si="787"/>
        <v>2025</v>
      </c>
      <c r="AJ2784" s="6">
        <f t="shared" ca="1" si="788"/>
        <v>8</v>
      </c>
      <c r="AK2784" s="68">
        <f ca="1">IFERROR(__xludf.DUMMYFUNCTION("""COMPUTED_VALUE"""),45879.9986111111)</f>
        <v>45879.998611111099</v>
      </c>
      <c r="AL2784" s="6">
        <f ca="1">IFERROR(__xludf.DUMMYFUNCTION("""COMPUTED_VALUE"""),118231.9)</f>
        <v>118231.9</v>
      </c>
      <c r="AP2784" s="6" t="str">
        <f t="shared" si="789"/>
        <v>19001</v>
      </c>
      <c r="AQ2784" s="6">
        <f t="shared" si="790"/>
        <v>1900</v>
      </c>
      <c r="AR2784" s="6">
        <f t="shared" si="791"/>
        <v>1</v>
      </c>
    </row>
    <row r="2785" spans="2:44" x14ac:dyDescent="0.35">
      <c r="B2785" s="6" t="str">
        <f t="shared" si="774"/>
        <v>19001</v>
      </c>
      <c r="C2785" s="6">
        <f t="shared" si="775"/>
        <v>1900</v>
      </c>
      <c r="D2785" s="6">
        <f t="shared" si="776"/>
        <v>1</v>
      </c>
      <c r="J2785" s="6" t="str">
        <f t="shared" si="777"/>
        <v>19001</v>
      </c>
      <c r="K2785" s="6">
        <f t="shared" si="778"/>
        <v>1900</v>
      </c>
      <c r="L2785" s="6">
        <f t="shared" si="779"/>
        <v>1</v>
      </c>
      <c r="R2785" s="6" t="str">
        <f t="shared" si="780"/>
        <v>19001</v>
      </c>
      <c r="S2785" s="6">
        <f t="shared" si="781"/>
        <v>1900</v>
      </c>
      <c r="T2785" s="6">
        <f t="shared" si="782"/>
        <v>1</v>
      </c>
      <c r="Z2785" s="6" t="str">
        <f t="shared" ca="1" si="783"/>
        <v>202510</v>
      </c>
      <c r="AA2785" s="6">
        <f t="shared" ca="1" si="784"/>
        <v>2025</v>
      </c>
      <c r="AB2785" s="6">
        <f t="shared" ca="1" si="785"/>
        <v>10</v>
      </c>
      <c r="AC2785" s="68">
        <f ca="1">IFERROR(__xludf.DUMMYFUNCTION("""COMPUTED_VALUE"""),45944.9986111111)</f>
        <v>45944.998611111099</v>
      </c>
      <c r="AD2785" s="6">
        <f ca="1">IFERROR(__xludf.DUMMYFUNCTION("""COMPUTED_VALUE"""),1429.43)</f>
        <v>1429.43</v>
      </c>
      <c r="AH2785" s="6" t="str">
        <f t="shared" ca="1" si="786"/>
        <v>20258</v>
      </c>
      <c r="AI2785" s="6">
        <f t="shared" ca="1" si="787"/>
        <v>2025</v>
      </c>
      <c r="AJ2785" s="6">
        <f t="shared" ca="1" si="788"/>
        <v>8</v>
      </c>
      <c r="AK2785" s="68">
        <f ca="1">IFERROR(__xludf.DUMMYFUNCTION("""COMPUTED_VALUE"""),45880.9986111111)</f>
        <v>45880.998611111099</v>
      </c>
      <c r="AL2785" s="6">
        <f ca="1">IFERROR(__xludf.DUMMYFUNCTION("""COMPUTED_VALUE"""),121660.9)</f>
        <v>121660.9</v>
      </c>
      <c r="AP2785" s="6" t="str">
        <f t="shared" si="789"/>
        <v>19001</v>
      </c>
      <c r="AQ2785" s="6">
        <f t="shared" si="790"/>
        <v>1900</v>
      </c>
      <c r="AR2785" s="6">
        <f t="shared" si="791"/>
        <v>1</v>
      </c>
    </row>
    <row r="2786" spans="2:44" x14ac:dyDescent="0.35">
      <c r="B2786" s="6" t="str">
        <f t="shared" si="774"/>
        <v>19001</v>
      </c>
      <c r="C2786" s="6">
        <f t="shared" si="775"/>
        <v>1900</v>
      </c>
      <c r="D2786" s="6">
        <f t="shared" si="776"/>
        <v>1</v>
      </c>
      <c r="J2786" s="6" t="str">
        <f t="shared" si="777"/>
        <v>19001</v>
      </c>
      <c r="K2786" s="6">
        <f t="shared" si="778"/>
        <v>1900</v>
      </c>
      <c r="L2786" s="6">
        <f t="shared" si="779"/>
        <v>1</v>
      </c>
      <c r="R2786" s="6" t="str">
        <f t="shared" si="780"/>
        <v>19001</v>
      </c>
      <c r="S2786" s="6">
        <f t="shared" si="781"/>
        <v>1900</v>
      </c>
      <c r="T2786" s="6">
        <f t="shared" si="782"/>
        <v>1</v>
      </c>
      <c r="Z2786" s="6" t="str">
        <f t="shared" ca="1" si="783"/>
        <v>202510</v>
      </c>
      <c r="AA2786" s="6">
        <f t="shared" ca="1" si="784"/>
        <v>2025</v>
      </c>
      <c r="AB2786" s="6">
        <f t="shared" ca="1" si="785"/>
        <v>10</v>
      </c>
      <c r="AC2786" s="68">
        <f ca="1">IFERROR(__xludf.DUMMYFUNCTION("""COMPUTED_VALUE"""),45945.9986111111)</f>
        <v>45945.998611111099</v>
      </c>
      <c r="AD2786" s="6">
        <f ca="1">IFERROR(__xludf.DUMMYFUNCTION("""COMPUTED_VALUE"""),1420.09)</f>
        <v>1420.09</v>
      </c>
      <c r="AH2786" s="6" t="str">
        <f t="shared" ca="1" si="786"/>
        <v>20258</v>
      </c>
      <c r="AI2786" s="6">
        <f t="shared" ca="1" si="787"/>
        <v>2025</v>
      </c>
      <c r="AJ2786" s="6">
        <f t="shared" ca="1" si="788"/>
        <v>8</v>
      </c>
      <c r="AK2786" s="68">
        <f ca="1">IFERROR(__xludf.DUMMYFUNCTION("""COMPUTED_VALUE"""),45881.9986111111)</f>
        <v>45881.998611111099</v>
      </c>
      <c r="AL2786" s="6">
        <f ca="1">IFERROR(__xludf.DUMMYFUNCTION("""COMPUTED_VALUE"""),118849)</f>
        <v>118849</v>
      </c>
      <c r="AP2786" s="6" t="str">
        <f t="shared" si="789"/>
        <v>19001</v>
      </c>
      <c r="AQ2786" s="6">
        <f t="shared" si="790"/>
        <v>1900</v>
      </c>
      <c r="AR2786" s="6">
        <f t="shared" si="791"/>
        <v>1</v>
      </c>
    </row>
    <row r="2787" spans="2:44" x14ac:dyDescent="0.35">
      <c r="B2787" s="6" t="str">
        <f t="shared" si="774"/>
        <v>19001</v>
      </c>
      <c r="C2787" s="6">
        <f t="shared" si="775"/>
        <v>1900</v>
      </c>
      <c r="D2787" s="6">
        <f t="shared" si="776"/>
        <v>1</v>
      </c>
      <c r="J2787" s="6" t="str">
        <f t="shared" si="777"/>
        <v>19001</v>
      </c>
      <c r="K2787" s="6">
        <f t="shared" si="778"/>
        <v>1900</v>
      </c>
      <c r="L2787" s="6">
        <f t="shared" si="779"/>
        <v>1</v>
      </c>
      <c r="R2787" s="6" t="str">
        <f t="shared" si="780"/>
        <v>19001</v>
      </c>
      <c r="S2787" s="6">
        <f t="shared" si="781"/>
        <v>1900</v>
      </c>
      <c r="T2787" s="6">
        <f t="shared" si="782"/>
        <v>1</v>
      </c>
      <c r="Z2787" s="6" t="str">
        <f t="shared" ca="1" si="783"/>
        <v>202510</v>
      </c>
      <c r="AA2787" s="6">
        <f t="shared" ca="1" si="784"/>
        <v>2025</v>
      </c>
      <c r="AB2787" s="6">
        <f t="shared" ca="1" si="785"/>
        <v>10</v>
      </c>
      <c r="AC2787" s="68">
        <f ca="1">IFERROR(__xludf.DUMMYFUNCTION("""COMPUTED_VALUE"""),45946.9986111111)</f>
        <v>45946.998611111099</v>
      </c>
      <c r="AD2787" s="6">
        <f ca="1">IFERROR(__xludf.DUMMYFUNCTION("""COMPUTED_VALUE"""),1415.72)</f>
        <v>1415.72</v>
      </c>
      <c r="AH2787" s="6" t="str">
        <f t="shared" ca="1" si="786"/>
        <v>20258</v>
      </c>
      <c r="AI2787" s="6">
        <f t="shared" ca="1" si="787"/>
        <v>2025</v>
      </c>
      <c r="AJ2787" s="6">
        <f t="shared" ca="1" si="788"/>
        <v>8</v>
      </c>
      <c r="AK2787" s="68">
        <f ca="1">IFERROR(__xludf.DUMMYFUNCTION("""COMPUTED_VALUE"""),45882.9986111111)</f>
        <v>45882.998611111099</v>
      </c>
      <c r="AL2787" s="6">
        <f ca="1">IFERROR(__xludf.DUMMYFUNCTION("""COMPUTED_VALUE"""),119442.5)</f>
        <v>119442.5</v>
      </c>
      <c r="AP2787" s="6" t="str">
        <f t="shared" si="789"/>
        <v>19001</v>
      </c>
      <c r="AQ2787" s="6">
        <f t="shared" si="790"/>
        <v>1900</v>
      </c>
      <c r="AR2787" s="6">
        <f t="shared" si="791"/>
        <v>1</v>
      </c>
    </row>
    <row r="2788" spans="2:44" x14ac:dyDescent="0.35">
      <c r="B2788" s="6" t="str">
        <f t="shared" si="774"/>
        <v>19001</v>
      </c>
      <c r="C2788" s="6">
        <f t="shared" si="775"/>
        <v>1900</v>
      </c>
      <c r="D2788" s="6">
        <f t="shared" si="776"/>
        <v>1</v>
      </c>
      <c r="J2788" s="6" t="str">
        <f t="shared" si="777"/>
        <v>19001</v>
      </c>
      <c r="K2788" s="6">
        <f t="shared" si="778"/>
        <v>1900</v>
      </c>
      <c r="L2788" s="6">
        <f t="shared" si="779"/>
        <v>1</v>
      </c>
      <c r="R2788" s="6" t="str">
        <f t="shared" si="780"/>
        <v>19001</v>
      </c>
      <c r="S2788" s="6">
        <f t="shared" si="781"/>
        <v>1900</v>
      </c>
      <c r="T2788" s="6">
        <f t="shared" si="782"/>
        <v>1</v>
      </c>
      <c r="Z2788" s="6" t="str">
        <f t="shared" ca="1" si="783"/>
        <v>202510</v>
      </c>
      <c r="AA2788" s="6">
        <f t="shared" ca="1" si="784"/>
        <v>2025</v>
      </c>
      <c r="AB2788" s="6">
        <f t="shared" ca="1" si="785"/>
        <v>10</v>
      </c>
      <c r="AC2788" s="68">
        <f ca="1">IFERROR(__xludf.DUMMYFUNCTION("""COMPUTED_VALUE"""),45947.9986111111)</f>
        <v>45947.998611111099</v>
      </c>
      <c r="AD2788" s="6">
        <f ca="1">IFERROR(__xludf.DUMMYFUNCTION("""COMPUTED_VALUE"""),1420.64)</f>
        <v>1420.64</v>
      </c>
      <c r="AH2788" s="6" t="str">
        <f t="shared" ca="1" si="786"/>
        <v>20258</v>
      </c>
      <c r="AI2788" s="6">
        <f t="shared" ca="1" si="787"/>
        <v>2025</v>
      </c>
      <c r="AJ2788" s="6">
        <f t="shared" ca="1" si="788"/>
        <v>8</v>
      </c>
      <c r="AK2788" s="68">
        <f ca="1">IFERROR(__xludf.DUMMYFUNCTION("""COMPUTED_VALUE"""),45883.9986111111)</f>
        <v>45883.998611111099</v>
      </c>
      <c r="AL2788" s="6">
        <f ca="1">IFERROR(__xludf.DUMMYFUNCTION("""COMPUTED_VALUE"""),123332)</f>
        <v>123332</v>
      </c>
      <c r="AP2788" s="6" t="str">
        <f t="shared" si="789"/>
        <v>19001</v>
      </c>
      <c r="AQ2788" s="6">
        <f t="shared" si="790"/>
        <v>1900</v>
      </c>
      <c r="AR2788" s="6">
        <f t="shared" si="791"/>
        <v>1</v>
      </c>
    </row>
    <row r="2789" spans="2:44" x14ac:dyDescent="0.35">
      <c r="B2789" s="6" t="str">
        <f t="shared" si="774"/>
        <v>19001</v>
      </c>
      <c r="C2789" s="6">
        <f t="shared" si="775"/>
        <v>1900</v>
      </c>
      <c r="D2789" s="6">
        <f t="shared" si="776"/>
        <v>1</v>
      </c>
      <c r="J2789" s="6" t="str">
        <f t="shared" si="777"/>
        <v>19001</v>
      </c>
      <c r="K2789" s="6">
        <f t="shared" si="778"/>
        <v>1900</v>
      </c>
      <c r="L2789" s="6">
        <f t="shared" si="779"/>
        <v>1</v>
      </c>
      <c r="R2789" s="6" t="str">
        <f t="shared" si="780"/>
        <v>19001</v>
      </c>
      <c r="S2789" s="6">
        <f t="shared" si="781"/>
        <v>1900</v>
      </c>
      <c r="T2789" s="6">
        <f t="shared" si="782"/>
        <v>1</v>
      </c>
      <c r="Z2789" s="6" t="str">
        <f t="shared" ca="1" si="783"/>
        <v>202510</v>
      </c>
      <c r="AA2789" s="6">
        <f t="shared" ca="1" si="784"/>
        <v>2025</v>
      </c>
      <c r="AB2789" s="6">
        <f t="shared" ca="1" si="785"/>
        <v>10</v>
      </c>
      <c r="AC2789" s="68">
        <f ca="1">IFERROR(__xludf.DUMMYFUNCTION("""COMPUTED_VALUE"""),45948.9986111111)</f>
        <v>45948.998611111099</v>
      </c>
      <c r="AD2789" s="6">
        <f ca="1">IFERROR(__xludf.DUMMYFUNCTION("""COMPUTED_VALUE"""),1420.24)</f>
        <v>1420.24</v>
      </c>
      <c r="AH2789" s="6" t="str">
        <f t="shared" ca="1" si="786"/>
        <v>20258</v>
      </c>
      <c r="AI2789" s="6">
        <f t="shared" ca="1" si="787"/>
        <v>2025</v>
      </c>
      <c r="AJ2789" s="6">
        <f t="shared" ca="1" si="788"/>
        <v>8</v>
      </c>
      <c r="AK2789" s="68">
        <f ca="1">IFERROR(__xludf.DUMMYFUNCTION("""COMPUTED_VALUE"""),45884.9986111111)</f>
        <v>45884.998611111099</v>
      </c>
      <c r="AL2789" s="6">
        <f ca="1">IFERROR(__xludf.DUMMYFUNCTION("""COMPUTED_VALUE"""),119074.5)</f>
        <v>119074.5</v>
      </c>
      <c r="AP2789" s="6" t="str">
        <f t="shared" si="789"/>
        <v>19001</v>
      </c>
      <c r="AQ2789" s="6">
        <f t="shared" si="790"/>
        <v>1900</v>
      </c>
      <c r="AR2789" s="6">
        <f t="shared" si="791"/>
        <v>1</v>
      </c>
    </row>
    <row r="2790" spans="2:44" x14ac:dyDescent="0.35">
      <c r="B2790" s="6" t="str">
        <f t="shared" si="774"/>
        <v>19001</v>
      </c>
      <c r="C2790" s="6">
        <f t="shared" si="775"/>
        <v>1900</v>
      </c>
      <c r="D2790" s="6">
        <f t="shared" si="776"/>
        <v>1</v>
      </c>
      <c r="J2790" s="6" t="str">
        <f t="shared" si="777"/>
        <v>19001</v>
      </c>
      <c r="K2790" s="6">
        <f t="shared" si="778"/>
        <v>1900</v>
      </c>
      <c r="L2790" s="6">
        <f t="shared" si="779"/>
        <v>1</v>
      </c>
      <c r="R2790" s="6" t="str">
        <f t="shared" si="780"/>
        <v>19001</v>
      </c>
      <c r="S2790" s="6">
        <f t="shared" si="781"/>
        <v>1900</v>
      </c>
      <c r="T2790" s="6">
        <f t="shared" si="782"/>
        <v>1</v>
      </c>
      <c r="Z2790" s="6" t="str">
        <f t="shared" ca="1" si="783"/>
        <v>202510</v>
      </c>
      <c r="AA2790" s="6">
        <f t="shared" ca="1" si="784"/>
        <v>2025</v>
      </c>
      <c r="AB2790" s="6">
        <f t="shared" ca="1" si="785"/>
        <v>10</v>
      </c>
      <c r="AC2790" s="68">
        <f ca="1">IFERROR(__xludf.DUMMYFUNCTION("""COMPUTED_VALUE"""),45949.9986111111)</f>
        <v>45949.998611111099</v>
      </c>
      <c r="AD2790" s="6">
        <f ca="1">IFERROR(__xludf.DUMMYFUNCTION("""COMPUTED_VALUE"""),1419.74)</f>
        <v>1419.74</v>
      </c>
      <c r="AH2790" s="6" t="str">
        <f t="shared" ca="1" si="786"/>
        <v>20258</v>
      </c>
      <c r="AI2790" s="6">
        <f t="shared" ca="1" si="787"/>
        <v>2025</v>
      </c>
      <c r="AJ2790" s="6">
        <f t="shared" ca="1" si="788"/>
        <v>8</v>
      </c>
      <c r="AK2790" s="68">
        <f ca="1">IFERROR(__xludf.DUMMYFUNCTION("""COMPUTED_VALUE"""),45885.9986111111)</f>
        <v>45885.998611111099</v>
      </c>
      <c r="AL2790" s="6">
        <f ca="1">IFERROR(__xludf.DUMMYFUNCTION("""COMPUTED_VALUE"""),117555.5)</f>
        <v>117555.5</v>
      </c>
      <c r="AP2790" s="6" t="str">
        <f t="shared" si="789"/>
        <v>19001</v>
      </c>
      <c r="AQ2790" s="6">
        <f t="shared" si="790"/>
        <v>1900</v>
      </c>
      <c r="AR2790" s="6">
        <f t="shared" si="791"/>
        <v>1</v>
      </c>
    </row>
    <row r="2791" spans="2:44" x14ac:dyDescent="0.35">
      <c r="B2791" s="6" t="str">
        <f t="shared" si="774"/>
        <v>19001</v>
      </c>
      <c r="C2791" s="6">
        <f t="shared" si="775"/>
        <v>1900</v>
      </c>
      <c r="D2791" s="6">
        <f t="shared" si="776"/>
        <v>1</v>
      </c>
      <c r="J2791" s="6" t="str">
        <f t="shared" si="777"/>
        <v>19001</v>
      </c>
      <c r="K2791" s="6">
        <f t="shared" si="778"/>
        <v>1900</v>
      </c>
      <c r="L2791" s="6">
        <f t="shared" si="779"/>
        <v>1</v>
      </c>
      <c r="R2791" s="6" t="str">
        <f t="shared" si="780"/>
        <v>19001</v>
      </c>
      <c r="S2791" s="6">
        <f t="shared" si="781"/>
        <v>1900</v>
      </c>
      <c r="T2791" s="6">
        <f t="shared" si="782"/>
        <v>1</v>
      </c>
      <c r="Z2791" s="6" t="str">
        <f t="shared" ca="1" si="783"/>
        <v>202510</v>
      </c>
      <c r="AA2791" s="6">
        <f t="shared" ca="1" si="784"/>
        <v>2025</v>
      </c>
      <c r="AB2791" s="6">
        <f t="shared" ca="1" si="785"/>
        <v>10</v>
      </c>
      <c r="AC2791" s="68">
        <f ca="1">IFERROR(__xludf.DUMMYFUNCTION("""COMPUTED_VALUE"""),45950.9986111111)</f>
        <v>45950.998611111099</v>
      </c>
      <c r="AD2791" s="6">
        <f ca="1">IFERROR(__xludf.DUMMYFUNCTION("""COMPUTED_VALUE"""),1419.74)</f>
        <v>1419.74</v>
      </c>
      <c r="AH2791" s="6" t="str">
        <f t="shared" ca="1" si="786"/>
        <v>20258</v>
      </c>
      <c r="AI2791" s="6">
        <f t="shared" ca="1" si="787"/>
        <v>2025</v>
      </c>
      <c r="AJ2791" s="6">
        <f t="shared" ca="1" si="788"/>
        <v>8</v>
      </c>
      <c r="AK2791" s="68">
        <f ca="1">IFERROR(__xludf.DUMMYFUNCTION("""COMPUTED_VALUE"""),45886.9986111111)</f>
        <v>45886.998611111099</v>
      </c>
      <c r="AL2791" s="6">
        <f ca="1">IFERROR(__xludf.DUMMYFUNCTION("""COMPUTED_VALUE"""),117792.9)</f>
        <v>117792.9</v>
      </c>
      <c r="AP2791" s="6" t="str">
        <f t="shared" si="789"/>
        <v>19001</v>
      </c>
      <c r="AQ2791" s="6">
        <f t="shared" si="790"/>
        <v>1900</v>
      </c>
      <c r="AR2791" s="6">
        <f t="shared" si="791"/>
        <v>1</v>
      </c>
    </row>
    <row r="2792" spans="2:44" x14ac:dyDescent="0.35">
      <c r="B2792" s="6" t="str">
        <f t="shared" si="774"/>
        <v>19001</v>
      </c>
      <c r="C2792" s="6">
        <f t="shared" si="775"/>
        <v>1900</v>
      </c>
      <c r="D2792" s="6">
        <f t="shared" si="776"/>
        <v>1</v>
      </c>
      <c r="J2792" s="6" t="str">
        <f t="shared" si="777"/>
        <v>19001</v>
      </c>
      <c r="K2792" s="6">
        <f t="shared" si="778"/>
        <v>1900</v>
      </c>
      <c r="L2792" s="6">
        <f t="shared" si="779"/>
        <v>1</v>
      </c>
      <c r="R2792" s="6" t="str">
        <f t="shared" si="780"/>
        <v>19001</v>
      </c>
      <c r="S2792" s="6">
        <f t="shared" si="781"/>
        <v>1900</v>
      </c>
      <c r="T2792" s="6">
        <f t="shared" si="782"/>
        <v>1</v>
      </c>
      <c r="Z2792" s="6" t="str">
        <f t="shared" ca="1" si="783"/>
        <v>202510</v>
      </c>
      <c r="AA2792" s="6">
        <f t="shared" ca="1" si="784"/>
        <v>2025</v>
      </c>
      <c r="AB2792" s="6">
        <f t="shared" ca="1" si="785"/>
        <v>10</v>
      </c>
      <c r="AC2792" s="68">
        <f ca="1">IFERROR(__xludf.DUMMYFUNCTION("""COMPUTED_VALUE"""),45951.9986111111)</f>
        <v>45951.998611111099</v>
      </c>
      <c r="AD2792" s="6">
        <f ca="1">IFERROR(__xludf.DUMMYFUNCTION("""COMPUTED_VALUE"""),1430.74)</f>
        <v>1430.74</v>
      </c>
      <c r="AH2792" s="6" t="str">
        <f t="shared" ca="1" si="786"/>
        <v>20258</v>
      </c>
      <c r="AI2792" s="6">
        <f t="shared" ca="1" si="787"/>
        <v>2025</v>
      </c>
      <c r="AJ2792" s="6">
        <f t="shared" ca="1" si="788"/>
        <v>8</v>
      </c>
      <c r="AK2792" s="68">
        <f ca="1">IFERROR(__xludf.DUMMYFUNCTION("""COMPUTED_VALUE"""),45887.9986111111)</f>
        <v>45887.998611111099</v>
      </c>
      <c r="AL2792" s="6">
        <f ca="1">IFERROR(__xludf.DUMMYFUNCTION("""COMPUTED_VALUE"""),115416.2)</f>
        <v>115416.2</v>
      </c>
      <c r="AP2792" s="6" t="str">
        <f t="shared" si="789"/>
        <v>19001</v>
      </c>
      <c r="AQ2792" s="6">
        <f t="shared" si="790"/>
        <v>1900</v>
      </c>
      <c r="AR2792" s="6">
        <f t="shared" si="791"/>
        <v>1</v>
      </c>
    </row>
    <row r="2793" spans="2:44" x14ac:dyDescent="0.35">
      <c r="B2793" s="6" t="str">
        <f t="shared" si="774"/>
        <v>19001</v>
      </c>
      <c r="C2793" s="6">
        <f t="shared" si="775"/>
        <v>1900</v>
      </c>
      <c r="D2793" s="6">
        <f t="shared" si="776"/>
        <v>1</v>
      </c>
      <c r="J2793" s="6" t="str">
        <f t="shared" si="777"/>
        <v>19001</v>
      </c>
      <c r="K2793" s="6">
        <f t="shared" si="778"/>
        <v>1900</v>
      </c>
      <c r="L2793" s="6">
        <f t="shared" si="779"/>
        <v>1</v>
      </c>
      <c r="R2793" s="6" t="str">
        <f t="shared" si="780"/>
        <v>19001</v>
      </c>
      <c r="S2793" s="6">
        <f t="shared" si="781"/>
        <v>1900</v>
      </c>
      <c r="T2793" s="6">
        <f t="shared" si="782"/>
        <v>1</v>
      </c>
      <c r="Z2793" s="6" t="str">
        <f t="shared" ca="1" si="783"/>
        <v>202510</v>
      </c>
      <c r="AA2793" s="6">
        <f t="shared" ca="1" si="784"/>
        <v>2025</v>
      </c>
      <c r="AB2793" s="6">
        <f t="shared" ca="1" si="785"/>
        <v>10</v>
      </c>
      <c r="AC2793" s="68">
        <f ca="1">IFERROR(__xludf.DUMMYFUNCTION("""COMPUTED_VALUE"""),45952.9986111111)</f>
        <v>45952.998611111099</v>
      </c>
      <c r="AD2793" s="6">
        <f ca="1">IFERROR(__xludf.DUMMYFUNCTION("""COMPUTED_VALUE"""),1430.4)</f>
        <v>1430.4</v>
      </c>
      <c r="AH2793" s="6" t="str">
        <f t="shared" ca="1" si="786"/>
        <v>20258</v>
      </c>
      <c r="AI2793" s="6">
        <f t="shared" ca="1" si="787"/>
        <v>2025</v>
      </c>
      <c r="AJ2793" s="6">
        <f t="shared" ca="1" si="788"/>
        <v>8</v>
      </c>
      <c r="AK2793" s="68">
        <f ca="1">IFERROR(__xludf.DUMMYFUNCTION("""COMPUTED_VALUE"""),45888.9986111111)</f>
        <v>45888.998611111099</v>
      </c>
      <c r="AL2793" s="6">
        <f ca="1">IFERROR(__xludf.DUMMYFUNCTION("""COMPUTED_VALUE"""),114931.1)</f>
        <v>114931.1</v>
      </c>
      <c r="AP2793" s="6" t="str">
        <f t="shared" si="789"/>
        <v>19001</v>
      </c>
      <c r="AQ2793" s="6">
        <f t="shared" si="790"/>
        <v>1900</v>
      </c>
      <c r="AR2793" s="6">
        <f t="shared" si="791"/>
        <v>1</v>
      </c>
    </row>
    <row r="2794" spans="2:44" x14ac:dyDescent="0.35">
      <c r="B2794" s="6" t="str">
        <f t="shared" si="774"/>
        <v>19001</v>
      </c>
      <c r="C2794" s="6">
        <f t="shared" si="775"/>
        <v>1900</v>
      </c>
      <c r="D2794" s="6">
        <f t="shared" si="776"/>
        <v>1</v>
      </c>
      <c r="J2794" s="6" t="str">
        <f t="shared" si="777"/>
        <v>19001</v>
      </c>
      <c r="K2794" s="6">
        <f t="shared" si="778"/>
        <v>1900</v>
      </c>
      <c r="L2794" s="6">
        <f t="shared" si="779"/>
        <v>1</v>
      </c>
      <c r="R2794" s="6" t="str">
        <f t="shared" si="780"/>
        <v>19001</v>
      </c>
      <c r="S2794" s="6">
        <f t="shared" si="781"/>
        <v>1900</v>
      </c>
      <c r="T2794" s="6">
        <f t="shared" si="782"/>
        <v>1</v>
      </c>
      <c r="Z2794" s="6" t="str">
        <f t="shared" ca="1" si="783"/>
        <v>202510</v>
      </c>
      <c r="AA2794" s="6">
        <f t="shared" ca="1" si="784"/>
        <v>2025</v>
      </c>
      <c r="AB2794" s="6">
        <f t="shared" ca="1" si="785"/>
        <v>10</v>
      </c>
      <c r="AC2794" s="68">
        <f ca="1">IFERROR(__xludf.DUMMYFUNCTION("""COMPUTED_VALUE"""),45953.9986111111)</f>
        <v>45953.998611111099</v>
      </c>
      <c r="AD2794" s="6">
        <f ca="1">IFERROR(__xludf.DUMMYFUNCTION("""COMPUTED_VALUE"""),1435.84)</f>
        <v>1435.84</v>
      </c>
      <c r="AH2794" s="6" t="str">
        <f t="shared" ca="1" si="786"/>
        <v>20258</v>
      </c>
      <c r="AI2794" s="6">
        <f t="shared" ca="1" si="787"/>
        <v>2025</v>
      </c>
      <c r="AJ2794" s="6">
        <f t="shared" ca="1" si="788"/>
        <v>8</v>
      </c>
      <c r="AK2794" s="68">
        <f ca="1">IFERROR(__xludf.DUMMYFUNCTION("""COMPUTED_VALUE"""),45889.9986111111)</f>
        <v>45889.998611111099</v>
      </c>
      <c r="AL2794" s="6">
        <f ca="1">IFERROR(__xludf.DUMMYFUNCTION("""COMPUTED_VALUE"""),113569.7)</f>
        <v>113569.7</v>
      </c>
      <c r="AP2794" s="6" t="str">
        <f t="shared" si="789"/>
        <v>19001</v>
      </c>
      <c r="AQ2794" s="6">
        <f t="shared" si="790"/>
        <v>1900</v>
      </c>
      <c r="AR2794" s="6">
        <f t="shared" si="791"/>
        <v>1</v>
      </c>
    </row>
    <row r="2795" spans="2:44" x14ac:dyDescent="0.35">
      <c r="B2795" s="6" t="str">
        <f t="shared" si="774"/>
        <v>19001</v>
      </c>
      <c r="C2795" s="6">
        <f t="shared" si="775"/>
        <v>1900</v>
      </c>
      <c r="D2795" s="6">
        <f t="shared" si="776"/>
        <v>1</v>
      </c>
      <c r="J2795" s="6" t="str">
        <f t="shared" si="777"/>
        <v>19001</v>
      </c>
      <c r="K2795" s="6">
        <f t="shared" si="778"/>
        <v>1900</v>
      </c>
      <c r="L2795" s="6">
        <f t="shared" si="779"/>
        <v>1</v>
      </c>
      <c r="R2795" s="6" t="str">
        <f t="shared" si="780"/>
        <v>19001</v>
      </c>
      <c r="S2795" s="6">
        <f t="shared" si="781"/>
        <v>1900</v>
      </c>
      <c r="T2795" s="6">
        <f t="shared" si="782"/>
        <v>1</v>
      </c>
      <c r="Z2795" s="6" t="str">
        <f t="shared" ca="1" si="783"/>
        <v>202510</v>
      </c>
      <c r="AA2795" s="6">
        <f t="shared" ca="1" si="784"/>
        <v>2025</v>
      </c>
      <c r="AB2795" s="6">
        <f t="shared" ca="1" si="785"/>
        <v>10</v>
      </c>
      <c r="AC2795" s="68">
        <f ca="1">IFERROR(__xludf.DUMMYFUNCTION("""COMPUTED_VALUE"""),45954.9986111111)</f>
        <v>45954.998611111099</v>
      </c>
      <c r="AD2795" s="6">
        <f ca="1">IFERROR(__xludf.DUMMYFUNCTION("""COMPUTED_VALUE"""),1437.88)</f>
        <v>1437.88</v>
      </c>
      <c r="AH2795" s="6" t="str">
        <f t="shared" ca="1" si="786"/>
        <v>20258</v>
      </c>
      <c r="AI2795" s="6">
        <f t="shared" ca="1" si="787"/>
        <v>2025</v>
      </c>
      <c r="AJ2795" s="6">
        <f t="shared" ca="1" si="788"/>
        <v>8</v>
      </c>
      <c r="AK2795" s="68">
        <f ca="1">IFERROR(__xludf.DUMMYFUNCTION("""COMPUTED_VALUE"""),45890.9986111111)</f>
        <v>45890.998611111099</v>
      </c>
      <c r="AL2795" s="6">
        <f ca="1">IFERROR(__xludf.DUMMYFUNCTION("""COMPUTED_VALUE"""),114004.5)</f>
        <v>114004.5</v>
      </c>
      <c r="AP2795" s="6" t="str">
        <f t="shared" si="789"/>
        <v>19001</v>
      </c>
      <c r="AQ2795" s="6">
        <f t="shared" si="790"/>
        <v>1900</v>
      </c>
      <c r="AR2795" s="6">
        <f t="shared" si="791"/>
        <v>1</v>
      </c>
    </row>
    <row r="2796" spans="2:44" x14ac:dyDescent="0.35">
      <c r="B2796" s="6" t="str">
        <f t="shared" si="774"/>
        <v>19001</v>
      </c>
      <c r="C2796" s="6">
        <f t="shared" si="775"/>
        <v>1900</v>
      </c>
      <c r="D2796" s="6">
        <f t="shared" si="776"/>
        <v>1</v>
      </c>
      <c r="J2796" s="6" t="str">
        <f t="shared" si="777"/>
        <v>19001</v>
      </c>
      <c r="K2796" s="6">
        <f t="shared" si="778"/>
        <v>1900</v>
      </c>
      <c r="L2796" s="6">
        <f t="shared" si="779"/>
        <v>1</v>
      </c>
      <c r="R2796" s="6" t="str">
        <f t="shared" si="780"/>
        <v>19001</v>
      </c>
      <c r="S2796" s="6">
        <f t="shared" si="781"/>
        <v>1900</v>
      </c>
      <c r="T2796" s="6">
        <f t="shared" si="782"/>
        <v>1</v>
      </c>
      <c r="Z2796" s="6" t="str">
        <f t="shared" ca="1" si="783"/>
        <v>202510</v>
      </c>
      <c r="AA2796" s="6">
        <f t="shared" ca="1" si="784"/>
        <v>2025</v>
      </c>
      <c r="AB2796" s="6">
        <f t="shared" ca="1" si="785"/>
        <v>10</v>
      </c>
      <c r="AC2796" s="68">
        <f ca="1">IFERROR(__xludf.DUMMYFUNCTION("""COMPUTED_VALUE"""),45955.9986111111)</f>
        <v>45955.998611111099</v>
      </c>
      <c r="AD2796" s="6">
        <f ca="1">IFERROR(__xludf.DUMMYFUNCTION("""COMPUTED_VALUE"""),1437.88)</f>
        <v>1437.88</v>
      </c>
      <c r="AH2796" s="6" t="str">
        <f t="shared" ca="1" si="786"/>
        <v>20258</v>
      </c>
      <c r="AI2796" s="6">
        <f t="shared" ca="1" si="787"/>
        <v>2025</v>
      </c>
      <c r="AJ2796" s="6">
        <f t="shared" ca="1" si="788"/>
        <v>8</v>
      </c>
      <c r="AK2796" s="68">
        <f ca="1">IFERROR(__xludf.DUMMYFUNCTION("""COMPUTED_VALUE"""),45891.9986111111)</f>
        <v>45891.998611111099</v>
      </c>
      <c r="AL2796" s="6">
        <f ca="1">IFERROR(__xludf.DUMMYFUNCTION("""COMPUTED_VALUE"""),112946.4)</f>
        <v>112946.4</v>
      </c>
      <c r="AP2796" s="6" t="str">
        <f t="shared" si="789"/>
        <v>19001</v>
      </c>
      <c r="AQ2796" s="6">
        <f t="shared" si="790"/>
        <v>1900</v>
      </c>
      <c r="AR2796" s="6">
        <f t="shared" si="791"/>
        <v>1</v>
      </c>
    </row>
    <row r="2797" spans="2:44" x14ac:dyDescent="0.35">
      <c r="B2797" s="6" t="str">
        <f t="shared" si="774"/>
        <v>19001</v>
      </c>
      <c r="C2797" s="6">
        <f t="shared" si="775"/>
        <v>1900</v>
      </c>
      <c r="D2797" s="6">
        <f t="shared" si="776"/>
        <v>1</v>
      </c>
      <c r="J2797" s="6" t="str">
        <f t="shared" si="777"/>
        <v>19001</v>
      </c>
      <c r="K2797" s="6">
        <f t="shared" si="778"/>
        <v>1900</v>
      </c>
      <c r="L2797" s="6">
        <f t="shared" si="779"/>
        <v>1</v>
      </c>
      <c r="R2797" s="6" t="str">
        <f t="shared" si="780"/>
        <v>19001</v>
      </c>
      <c r="S2797" s="6">
        <f t="shared" si="781"/>
        <v>1900</v>
      </c>
      <c r="T2797" s="6">
        <f t="shared" si="782"/>
        <v>1</v>
      </c>
      <c r="Z2797" s="6" t="str">
        <f t="shared" ca="1" si="783"/>
        <v>202510</v>
      </c>
      <c r="AA2797" s="6">
        <f t="shared" ca="1" si="784"/>
        <v>2025</v>
      </c>
      <c r="AB2797" s="6">
        <f t="shared" ca="1" si="785"/>
        <v>10</v>
      </c>
      <c r="AC2797" s="68">
        <f ca="1">IFERROR(__xludf.DUMMYFUNCTION("""COMPUTED_VALUE"""),45956.9986111111)</f>
        <v>45956.998611111099</v>
      </c>
      <c r="AD2797" s="6">
        <f ca="1">IFERROR(__xludf.DUMMYFUNCTION("""COMPUTED_VALUE"""),1436.97)</f>
        <v>1436.97</v>
      </c>
      <c r="AH2797" s="6" t="str">
        <f t="shared" ca="1" si="786"/>
        <v>20258</v>
      </c>
      <c r="AI2797" s="6">
        <f t="shared" ca="1" si="787"/>
        <v>2025</v>
      </c>
      <c r="AJ2797" s="6">
        <f t="shared" ca="1" si="788"/>
        <v>8</v>
      </c>
      <c r="AK2797" s="68">
        <f ca="1">IFERROR(__xludf.DUMMYFUNCTION("""COMPUTED_VALUE"""),45892.9986111111)</f>
        <v>45892.998611111099</v>
      </c>
      <c r="AL2797" s="6">
        <f ca="1">IFERROR(__xludf.DUMMYFUNCTION("""COMPUTED_VALUE"""),115468.4)</f>
        <v>115468.4</v>
      </c>
      <c r="AP2797" s="6" t="str">
        <f t="shared" si="789"/>
        <v>19001</v>
      </c>
      <c r="AQ2797" s="6">
        <f t="shared" si="790"/>
        <v>1900</v>
      </c>
      <c r="AR2797" s="6">
        <f t="shared" si="791"/>
        <v>1</v>
      </c>
    </row>
    <row r="2798" spans="2:44" x14ac:dyDescent="0.35">
      <c r="B2798" s="6" t="str">
        <f t="shared" si="774"/>
        <v>19001</v>
      </c>
      <c r="C2798" s="6">
        <f t="shared" si="775"/>
        <v>1900</v>
      </c>
      <c r="D2798" s="6">
        <f t="shared" si="776"/>
        <v>1</v>
      </c>
      <c r="J2798" s="6" t="str">
        <f t="shared" si="777"/>
        <v>19001</v>
      </c>
      <c r="K2798" s="6">
        <f t="shared" si="778"/>
        <v>1900</v>
      </c>
      <c r="L2798" s="6">
        <f t="shared" si="779"/>
        <v>1</v>
      </c>
      <c r="R2798" s="6" t="str">
        <f t="shared" si="780"/>
        <v>19001</v>
      </c>
      <c r="S2798" s="6">
        <f t="shared" si="781"/>
        <v>1900</v>
      </c>
      <c r="T2798" s="6">
        <f t="shared" si="782"/>
        <v>1</v>
      </c>
      <c r="Z2798" s="6" t="str">
        <f t="shared" ca="1" si="783"/>
        <v>202510</v>
      </c>
      <c r="AA2798" s="6">
        <f t="shared" ca="1" si="784"/>
        <v>2025</v>
      </c>
      <c r="AB2798" s="6">
        <f t="shared" ca="1" si="785"/>
        <v>10</v>
      </c>
      <c r="AC2798" s="68">
        <f ca="1">IFERROR(__xludf.DUMMYFUNCTION("""COMPUTED_VALUE"""),45957.9986111111)</f>
        <v>45957.998611111099</v>
      </c>
      <c r="AD2798" s="6">
        <f ca="1">IFERROR(__xludf.DUMMYFUNCTION("""COMPUTED_VALUE"""),1430.97)</f>
        <v>1430.97</v>
      </c>
      <c r="AH2798" s="6" t="str">
        <f t="shared" ca="1" si="786"/>
        <v>20258</v>
      </c>
      <c r="AI2798" s="6">
        <f t="shared" ca="1" si="787"/>
        <v>2025</v>
      </c>
      <c r="AJ2798" s="6">
        <f t="shared" ca="1" si="788"/>
        <v>8</v>
      </c>
      <c r="AK2798" s="68">
        <f ca="1">IFERROR(__xludf.DUMMYFUNCTION("""COMPUTED_VALUE"""),45893.9986111111)</f>
        <v>45893.998611111099</v>
      </c>
      <c r="AL2798" s="6">
        <f ca="1">IFERROR(__xludf.DUMMYFUNCTION("""COMPUTED_VALUE"""),114920.5)</f>
        <v>114920.5</v>
      </c>
      <c r="AP2798" s="6" t="str">
        <f t="shared" si="789"/>
        <v>19001</v>
      </c>
      <c r="AQ2798" s="6">
        <f t="shared" si="790"/>
        <v>1900</v>
      </c>
      <c r="AR2798" s="6">
        <f t="shared" si="791"/>
        <v>1</v>
      </c>
    </row>
    <row r="2799" spans="2:44" x14ac:dyDescent="0.35">
      <c r="B2799" s="6" t="str">
        <f t="shared" si="774"/>
        <v>19001</v>
      </c>
      <c r="C2799" s="6">
        <f t="shared" si="775"/>
        <v>1900</v>
      </c>
      <c r="D2799" s="6">
        <f t="shared" si="776"/>
        <v>1</v>
      </c>
      <c r="J2799" s="6" t="str">
        <f t="shared" si="777"/>
        <v>19001</v>
      </c>
      <c r="K2799" s="6">
        <f t="shared" si="778"/>
        <v>1900</v>
      </c>
      <c r="L2799" s="6">
        <f t="shared" si="779"/>
        <v>1</v>
      </c>
      <c r="R2799" s="6" t="str">
        <f t="shared" si="780"/>
        <v>19001</v>
      </c>
      <c r="S2799" s="6">
        <f t="shared" si="781"/>
        <v>1900</v>
      </c>
      <c r="T2799" s="6">
        <f t="shared" si="782"/>
        <v>1</v>
      </c>
      <c r="Z2799" s="6" t="str">
        <f t="shared" ca="1" si="783"/>
        <v>202510</v>
      </c>
      <c r="AA2799" s="6">
        <f t="shared" ca="1" si="784"/>
        <v>2025</v>
      </c>
      <c r="AB2799" s="6">
        <f t="shared" ca="1" si="785"/>
        <v>10</v>
      </c>
      <c r="AC2799" s="68">
        <f ca="1">IFERROR(__xludf.DUMMYFUNCTION("""COMPUTED_VALUE"""),45958.9986111111)</f>
        <v>45958.998611111099</v>
      </c>
      <c r="AD2799" s="6">
        <f ca="1">IFERROR(__xludf.DUMMYFUNCTION("""COMPUTED_VALUE"""),1425.97)</f>
        <v>1425.97</v>
      </c>
      <c r="AH2799" s="6" t="str">
        <f t="shared" ca="1" si="786"/>
        <v>20258</v>
      </c>
      <c r="AI2799" s="6">
        <f t="shared" ca="1" si="787"/>
        <v>2025</v>
      </c>
      <c r="AJ2799" s="6">
        <f t="shared" ca="1" si="788"/>
        <v>8</v>
      </c>
      <c r="AK2799" s="68">
        <f ca="1">IFERROR(__xludf.DUMMYFUNCTION("""COMPUTED_VALUE"""),45894.9986111111)</f>
        <v>45894.998611111099</v>
      </c>
      <c r="AL2799" s="6">
        <f ca="1">IFERROR(__xludf.DUMMYFUNCTION("""COMPUTED_VALUE"""),113044.1)</f>
        <v>113044.1</v>
      </c>
      <c r="AP2799" s="6" t="str">
        <f t="shared" si="789"/>
        <v>19001</v>
      </c>
      <c r="AQ2799" s="6">
        <f t="shared" si="790"/>
        <v>1900</v>
      </c>
      <c r="AR2799" s="6">
        <f t="shared" si="791"/>
        <v>1</v>
      </c>
    </row>
    <row r="2800" spans="2:44" x14ac:dyDescent="0.35">
      <c r="B2800" s="6" t="str">
        <f t="shared" si="774"/>
        <v>19001</v>
      </c>
      <c r="C2800" s="6">
        <f t="shared" si="775"/>
        <v>1900</v>
      </c>
      <c r="D2800" s="6">
        <f t="shared" si="776"/>
        <v>1</v>
      </c>
      <c r="J2800" s="6" t="str">
        <f t="shared" si="777"/>
        <v>19001</v>
      </c>
      <c r="K2800" s="6">
        <f t="shared" si="778"/>
        <v>1900</v>
      </c>
      <c r="L2800" s="6">
        <f t="shared" si="779"/>
        <v>1</v>
      </c>
      <c r="R2800" s="6" t="str">
        <f t="shared" si="780"/>
        <v>19001</v>
      </c>
      <c r="S2800" s="6">
        <f t="shared" si="781"/>
        <v>1900</v>
      </c>
      <c r="T2800" s="6">
        <f t="shared" si="782"/>
        <v>1</v>
      </c>
      <c r="Z2800" s="6" t="str">
        <f t="shared" ca="1" si="783"/>
        <v>202510</v>
      </c>
      <c r="AA2800" s="6">
        <f t="shared" ca="1" si="784"/>
        <v>2025</v>
      </c>
      <c r="AB2800" s="6">
        <f t="shared" ca="1" si="785"/>
        <v>10</v>
      </c>
      <c r="AC2800" s="68">
        <f ca="1">IFERROR(__xludf.DUMMYFUNCTION("""COMPUTED_VALUE"""),45959.9986111111)</f>
        <v>45959.998611111099</v>
      </c>
      <c r="AD2800" s="6">
        <f ca="1">IFERROR(__xludf.DUMMYFUNCTION("""COMPUTED_VALUE"""),1424.01)</f>
        <v>1424.01</v>
      </c>
      <c r="AH2800" s="6" t="str">
        <f t="shared" ca="1" si="786"/>
        <v>20258</v>
      </c>
      <c r="AI2800" s="6">
        <f t="shared" ca="1" si="787"/>
        <v>2025</v>
      </c>
      <c r="AJ2800" s="6">
        <f t="shared" ca="1" si="788"/>
        <v>8</v>
      </c>
      <c r="AK2800" s="68">
        <f ca="1">IFERROR(__xludf.DUMMYFUNCTION("""COMPUTED_VALUE"""),45895.9986111111)</f>
        <v>45895.998611111099</v>
      </c>
      <c r="AL2800" s="6">
        <f ca="1">IFERROR(__xludf.DUMMYFUNCTION("""COMPUTED_VALUE"""),109923.5)</f>
        <v>109923.5</v>
      </c>
      <c r="AP2800" s="6" t="str">
        <f t="shared" si="789"/>
        <v>19001</v>
      </c>
      <c r="AQ2800" s="6">
        <f t="shared" si="790"/>
        <v>1900</v>
      </c>
      <c r="AR2800" s="6">
        <f t="shared" si="791"/>
        <v>1</v>
      </c>
    </row>
    <row r="2801" spans="2:44" x14ac:dyDescent="0.35">
      <c r="B2801" s="6" t="str">
        <f t="shared" si="774"/>
        <v>19001</v>
      </c>
      <c r="C2801" s="6">
        <f t="shared" si="775"/>
        <v>1900</v>
      </c>
      <c r="D2801" s="6">
        <f t="shared" si="776"/>
        <v>1</v>
      </c>
      <c r="J2801" s="6" t="str">
        <f t="shared" si="777"/>
        <v>19001</v>
      </c>
      <c r="K2801" s="6">
        <f t="shared" si="778"/>
        <v>1900</v>
      </c>
      <c r="L2801" s="6">
        <f t="shared" si="779"/>
        <v>1</v>
      </c>
      <c r="R2801" s="6" t="str">
        <f t="shared" si="780"/>
        <v>19001</v>
      </c>
      <c r="S2801" s="6">
        <f t="shared" si="781"/>
        <v>1900</v>
      </c>
      <c r="T2801" s="6">
        <f t="shared" si="782"/>
        <v>1</v>
      </c>
      <c r="Z2801" s="6" t="str">
        <f t="shared" ca="1" si="783"/>
        <v>202510</v>
      </c>
      <c r="AA2801" s="6">
        <f t="shared" ca="1" si="784"/>
        <v>2025</v>
      </c>
      <c r="AB2801" s="6">
        <f t="shared" ca="1" si="785"/>
        <v>10</v>
      </c>
      <c r="AC2801" s="68">
        <f ca="1">IFERROR(__xludf.DUMMYFUNCTION("""COMPUTED_VALUE"""),45960.9986111111)</f>
        <v>45960.998611111099</v>
      </c>
      <c r="AD2801" s="6">
        <f ca="1">IFERROR(__xludf.DUMMYFUNCTION("""COMPUTED_VALUE"""),1424.02)</f>
        <v>1424.02</v>
      </c>
      <c r="AH2801" s="6" t="str">
        <f t="shared" ca="1" si="786"/>
        <v>20258</v>
      </c>
      <c r="AI2801" s="6">
        <f t="shared" ca="1" si="787"/>
        <v>2025</v>
      </c>
      <c r="AJ2801" s="6">
        <f t="shared" ca="1" si="788"/>
        <v>8</v>
      </c>
      <c r="AK2801" s="68">
        <f ca="1">IFERROR(__xludf.DUMMYFUNCTION("""COMPUTED_VALUE"""),45896.9986111111)</f>
        <v>45896.998611111099</v>
      </c>
      <c r="AL2801" s="6">
        <f ca="1">IFERROR(__xludf.DUMMYFUNCTION("""COMPUTED_VALUE"""),111478.5)</f>
        <v>111478.5</v>
      </c>
      <c r="AP2801" s="6" t="str">
        <f t="shared" si="789"/>
        <v>19001</v>
      </c>
      <c r="AQ2801" s="6">
        <f t="shared" si="790"/>
        <v>1900</v>
      </c>
      <c r="AR2801" s="6">
        <f t="shared" si="791"/>
        <v>1</v>
      </c>
    </row>
    <row r="2802" spans="2:44" x14ac:dyDescent="0.35">
      <c r="B2802" s="6" t="str">
        <f t="shared" si="774"/>
        <v>19001</v>
      </c>
      <c r="C2802" s="6">
        <f t="shared" si="775"/>
        <v>1900</v>
      </c>
      <c r="D2802" s="6">
        <f t="shared" si="776"/>
        <v>1</v>
      </c>
      <c r="J2802" s="6" t="str">
        <f t="shared" si="777"/>
        <v>19001</v>
      </c>
      <c r="K2802" s="6">
        <f t="shared" si="778"/>
        <v>1900</v>
      </c>
      <c r="L2802" s="6">
        <f t="shared" si="779"/>
        <v>1</v>
      </c>
      <c r="R2802" s="6" t="str">
        <f t="shared" si="780"/>
        <v>19001</v>
      </c>
      <c r="S2802" s="6">
        <f t="shared" si="781"/>
        <v>1900</v>
      </c>
      <c r="T2802" s="6">
        <f t="shared" si="782"/>
        <v>1</v>
      </c>
      <c r="Z2802" s="6" t="str">
        <f t="shared" ca="1" si="783"/>
        <v>202510</v>
      </c>
      <c r="AA2802" s="6">
        <f t="shared" ca="1" si="784"/>
        <v>2025</v>
      </c>
      <c r="AB2802" s="6">
        <f t="shared" ca="1" si="785"/>
        <v>10</v>
      </c>
      <c r="AC2802" s="68">
        <f ca="1">IFERROR(__xludf.DUMMYFUNCTION("""COMPUTED_VALUE"""),45961.9986111111)</f>
        <v>45961.998611111099</v>
      </c>
      <c r="AD2802" s="6">
        <f ca="1">IFERROR(__xludf.DUMMYFUNCTION("""COMPUTED_VALUE"""),1427.77)</f>
        <v>1427.77</v>
      </c>
      <c r="AH2802" s="6" t="str">
        <f t="shared" ca="1" si="786"/>
        <v>20258</v>
      </c>
      <c r="AI2802" s="6">
        <f t="shared" ca="1" si="787"/>
        <v>2025</v>
      </c>
      <c r="AJ2802" s="6">
        <f t="shared" ca="1" si="788"/>
        <v>8</v>
      </c>
      <c r="AK2802" s="68">
        <f ca="1">IFERROR(__xludf.DUMMYFUNCTION("""COMPUTED_VALUE"""),45897.9986111111)</f>
        <v>45897.998611111099</v>
      </c>
      <c r="AL2802" s="6">
        <f ca="1">IFERROR(__xludf.DUMMYFUNCTION("""COMPUTED_VALUE"""),112032)</f>
        <v>112032</v>
      </c>
      <c r="AP2802" s="6" t="str">
        <f t="shared" si="789"/>
        <v>19001</v>
      </c>
      <c r="AQ2802" s="6">
        <f t="shared" si="790"/>
        <v>1900</v>
      </c>
      <c r="AR2802" s="6">
        <f t="shared" si="791"/>
        <v>1</v>
      </c>
    </row>
    <row r="2803" spans="2:44" x14ac:dyDescent="0.35">
      <c r="B2803" s="6" t="str">
        <f t="shared" si="774"/>
        <v>19001</v>
      </c>
      <c r="C2803" s="6">
        <f t="shared" si="775"/>
        <v>1900</v>
      </c>
      <c r="D2803" s="6">
        <f t="shared" si="776"/>
        <v>1</v>
      </c>
      <c r="J2803" s="6" t="str">
        <f t="shared" si="777"/>
        <v>19001</v>
      </c>
      <c r="K2803" s="6">
        <f t="shared" si="778"/>
        <v>1900</v>
      </c>
      <c r="L2803" s="6">
        <f t="shared" si="779"/>
        <v>1</v>
      </c>
      <c r="R2803" s="6" t="str">
        <f t="shared" si="780"/>
        <v>19001</v>
      </c>
      <c r="S2803" s="6">
        <f t="shared" si="781"/>
        <v>1900</v>
      </c>
      <c r="T2803" s="6">
        <f t="shared" si="782"/>
        <v>1</v>
      </c>
      <c r="Z2803" s="6" t="str">
        <f t="shared" ca="1" si="783"/>
        <v>202511</v>
      </c>
      <c r="AA2803" s="6">
        <f t="shared" ca="1" si="784"/>
        <v>2025</v>
      </c>
      <c r="AB2803" s="6">
        <f t="shared" ca="1" si="785"/>
        <v>11</v>
      </c>
      <c r="AC2803" s="68">
        <f ca="1">IFERROR(__xludf.DUMMYFUNCTION("""COMPUTED_VALUE"""),45962.9986111111)</f>
        <v>45962.998611111099</v>
      </c>
      <c r="AD2803" s="6">
        <f ca="1">IFERROR(__xludf.DUMMYFUNCTION("""COMPUTED_VALUE"""),1427.17)</f>
        <v>1427.17</v>
      </c>
      <c r="AH2803" s="6" t="str">
        <f t="shared" ca="1" si="786"/>
        <v>20258</v>
      </c>
      <c r="AI2803" s="6">
        <f t="shared" ca="1" si="787"/>
        <v>2025</v>
      </c>
      <c r="AJ2803" s="6">
        <f t="shared" ca="1" si="788"/>
        <v>8</v>
      </c>
      <c r="AK2803" s="68">
        <f ca="1">IFERROR(__xludf.DUMMYFUNCTION("""COMPUTED_VALUE"""),45898.9986111111)</f>
        <v>45898.998611111099</v>
      </c>
      <c r="AL2803" s="6">
        <f ca="1">IFERROR(__xludf.DUMMYFUNCTION("""COMPUTED_VALUE"""),111769.5)</f>
        <v>111769.5</v>
      </c>
      <c r="AP2803" s="6" t="str">
        <f t="shared" si="789"/>
        <v>19001</v>
      </c>
      <c r="AQ2803" s="6">
        <f t="shared" si="790"/>
        <v>1900</v>
      </c>
      <c r="AR2803" s="6">
        <f t="shared" si="791"/>
        <v>1</v>
      </c>
    </row>
    <row r="2804" spans="2:44" x14ac:dyDescent="0.35">
      <c r="B2804" s="6" t="str">
        <f t="shared" si="774"/>
        <v>19001</v>
      </c>
      <c r="C2804" s="6">
        <f t="shared" si="775"/>
        <v>1900</v>
      </c>
      <c r="D2804" s="6">
        <f t="shared" si="776"/>
        <v>1</v>
      </c>
      <c r="J2804" s="6" t="str">
        <f t="shared" si="777"/>
        <v>19001</v>
      </c>
      <c r="K2804" s="6">
        <f t="shared" si="778"/>
        <v>1900</v>
      </c>
      <c r="L2804" s="6">
        <f t="shared" si="779"/>
        <v>1</v>
      </c>
      <c r="R2804" s="6" t="str">
        <f t="shared" si="780"/>
        <v>19001</v>
      </c>
      <c r="S2804" s="6">
        <f t="shared" si="781"/>
        <v>1900</v>
      </c>
      <c r="T2804" s="6">
        <f t="shared" si="782"/>
        <v>1</v>
      </c>
      <c r="Z2804" s="6" t="str">
        <f t="shared" ca="1" si="783"/>
        <v>202511</v>
      </c>
      <c r="AA2804" s="6">
        <f t="shared" ca="1" si="784"/>
        <v>2025</v>
      </c>
      <c r="AB2804" s="6">
        <f t="shared" ca="1" si="785"/>
        <v>11</v>
      </c>
      <c r="AC2804" s="68">
        <f ca="1">IFERROR(__xludf.DUMMYFUNCTION("""COMPUTED_VALUE"""),45963.9986111111)</f>
        <v>45963.998611111099</v>
      </c>
      <c r="AD2804" s="6">
        <f ca="1">IFERROR(__xludf.DUMMYFUNCTION("""COMPUTED_VALUE"""),1427.17)</f>
        <v>1427.17</v>
      </c>
      <c r="AH2804" s="6" t="str">
        <f t="shared" ca="1" si="786"/>
        <v>20258</v>
      </c>
      <c r="AI2804" s="6">
        <f t="shared" ca="1" si="787"/>
        <v>2025</v>
      </c>
      <c r="AJ2804" s="6">
        <f t="shared" ca="1" si="788"/>
        <v>8</v>
      </c>
      <c r="AK2804" s="68">
        <f ca="1">IFERROR(__xludf.DUMMYFUNCTION("""COMPUTED_VALUE"""),45899.9986111111)</f>
        <v>45899.998611111099</v>
      </c>
      <c r="AL2804" s="6">
        <f ca="1">IFERROR(__xludf.DUMMYFUNCTION("""COMPUTED_VALUE"""),108454.4)</f>
        <v>108454.39999999999</v>
      </c>
      <c r="AP2804" s="6" t="str">
        <f t="shared" si="789"/>
        <v>19001</v>
      </c>
      <c r="AQ2804" s="6">
        <f t="shared" si="790"/>
        <v>1900</v>
      </c>
      <c r="AR2804" s="6">
        <f t="shared" si="791"/>
        <v>1</v>
      </c>
    </row>
    <row r="2805" spans="2:44" x14ac:dyDescent="0.35">
      <c r="B2805" s="6" t="str">
        <f t="shared" si="774"/>
        <v>19001</v>
      </c>
      <c r="C2805" s="6">
        <f t="shared" si="775"/>
        <v>1900</v>
      </c>
      <c r="D2805" s="6">
        <f t="shared" si="776"/>
        <v>1</v>
      </c>
      <c r="J2805" s="6" t="str">
        <f t="shared" si="777"/>
        <v>19001</v>
      </c>
      <c r="K2805" s="6">
        <f t="shared" si="778"/>
        <v>1900</v>
      </c>
      <c r="L2805" s="6">
        <f t="shared" si="779"/>
        <v>1</v>
      </c>
      <c r="R2805" s="6" t="str">
        <f t="shared" si="780"/>
        <v>19001</v>
      </c>
      <c r="S2805" s="6">
        <f t="shared" si="781"/>
        <v>1900</v>
      </c>
      <c r="T2805" s="6">
        <f t="shared" si="782"/>
        <v>1</v>
      </c>
      <c r="Z2805" s="6" t="str">
        <f t="shared" ca="1" si="783"/>
        <v>202511</v>
      </c>
      <c r="AA2805" s="6">
        <f t="shared" ca="1" si="784"/>
        <v>2025</v>
      </c>
      <c r="AB2805" s="6">
        <f t="shared" ca="1" si="785"/>
        <v>11</v>
      </c>
      <c r="AC2805" s="68">
        <f ca="1">IFERROR(__xludf.DUMMYFUNCTION("""COMPUTED_VALUE"""),45964.9986111111)</f>
        <v>45964.998611111099</v>
      </c>
      <c r="AD2805" s="6">
        <f ca="1">IFERROR(__xludf.DUMMYFUNCTION("""COMPUTED_VALUE"""),1428.97)</f>
        <v>1428.97</v>
      </c>
      <c r="AH2805" s="6" t="str">
        <f t="shared" ca="1" si="786"/>
        <v>20258</v>
      </c>
      <c r="AI2805" s="6">
        <f t="shared" ca="1" si="787"/>
        <v>2025</v>
      </c>
      <c r="AJ2805" s="6">
        <f t="shared" ca="1" si="788"/>
        <v>8</v>
      </c>
      <c r="AK2805" s="68">
        <f ca="1">IFERROR(__xludf.DUMMYFUNCTION("""COMPUTED_VALUE"""),45900.9986111111)</f>
        <v>45900.998611111099</v>
      </c>
      <c r="AL2805" s="6">
        <f ca="1">IFERROR(__xludf.DUMMYFUNCTION("""COMPUTED_VALUE"""),109251.6)</f>
        <v>109251.6</v>
      </c>
      <c r="AP2805" s="6" t="str">
        <f t="shared" si="789"/>
        <v>19001</v>
      </c>
      <c r="AQ2805" s="6">
        <f t="shared" si="790"/>
        <v>1900</v>
      </c>
      <c r="AR2805" s="6">
        <f t="shared" si="791"/>
        <v>1</v>
      </c>
    </row>
    <row r="2806" spans="2:44" x14ac:dyDescent="0.35">
      <c r="B2806" s="6" t="str">
        <f t="shared" si="774"/>
        <v>19001</v>
      </c>
      <c r="C2806" s="6">
        <f t="shared" si="775"/>
        <v>1900</v>
      </c>
      <c r="D2806" s="6">
        <f t="shared" si="776"/>
        <v>1</v>
      </c>
      <c r="J2806" s="6" t="str">
        <f t="shared" si="777"/>
        <v>19001</v>
      </c>
      <c r="K2806" s="6">
        <f t="shared" si="778"/>
        <v>1900</v>
      </c>
      <c r="L2806" s="6">
        <f t="shared" si="779"/>
        <v>1</v>
      </c>
      <c r="R2806" s="6" t="str">
        <f t="shared" si="780"/>
        <v>19001</v>
      </c>
      <c r="S2806" s="6">
        <f t="shared" si="781"/>
        <v>1900</v>
      </c>
      <c r="T2806" s="6">
        <f t="shared" si="782"/>
        <v>1</v>
      </c>
      <c r="Z2806" s="6" t="str">
        <f t="shared" ca="1" si="783"/>
        <v>202511</v>
      </c>
      <c r="AA2806" s="6">
        <f t="shared" ca="1" si="784"/>
        <v>2025</v>
      </c>
      <c r="AB2806" s="6">
        <f t="shared" ca="1" si="785"/>
        <v>11</v>
      </c>
      <c r="AC2806" s="68">
        <f ca="1">IFERROR(__xludf.DUMMYFUNCTION("""COMPUTED_VALUE"""),45965.9986111111)</f>
        <v>45965.998611111099</v>
      </c>
      <c r="AD2806" s="6">
        <f ca="1">IFERROR(__xludf.DUMMYFUNCTION("""COMPUTED_VALUE"""),1439.81)</f>
        <v>1439.81</v>
      </c>
      <c r="AH2806" s="6" t="str">
        <f t="shared" ca="1" si="786"/>
        <v>20259</v>
      </c>
      <c r="AI2806" s="6">
        <f t="shared" ca="1" si="787"/>
        <v>2025</v>
      </c>
      <c r="AJ2806" s="6">
        <f t="shared" ca="1" si="788"/>
        <v>9</v>
      </c>
      <c r="AK2806" s="68">
        <f ca="1">IFERROR(__xludf.DUMMYFUNCTION("""COMPUTED_VALUE"""),45901.9986111111)</f>
        <v>45901.998611111099</v>
      </c>
      <c r="AL2806" s="6">
        <f ca="1">IFERROR(__xludf.DUMMYFUNCTION("""COMPUTED_VALUE"""),107694.3)</f>
        <v>107694.3</v>
      </c>
      <c r="AP2806" s="6" t="str">
        <f t="shared" si="789"/>
        <v>19001</v>
      </c>
      <c r="AQ2806" s="6">
        <f t="shared" si="790"/>
        <v>1900</v>
      </c>
      <c r="AR2806" s="6">
        <f t="shared" si="791"/>
        <v>1</v>
      </c>
    </row>
    <row r="2807" spans="2:44" x14ac:dyDescent="0.35">
      <c r="B2807" s="6" t="str">
        <f t="shared" si="774"/>
        <v>19001</v>
      </c>
      <c r="C2807" s="6">
        <f t="shared" si="775"/>
        <v>1900</v>
      </c>
      <c r="D2807" s="6">
        <f t="shared" si="776"/>
        <v>1</v>
      </c>
      <c r="J2807" s="6" t="str">
        <f t="shared" si="777"/>
        <v>19001</v>
      </c>
      <c r="K2807" s="6">
        <f t="shared" si="778"/>
        <v>1900</v>
      </c>
      <c r="L2807" s="6">
        <f t="shared" si="779"/>
        <v>1</v>
      </c>
      <c r="R2807" s="6" t="str">
        <f t="shared" si="780"/>
        <v>19001</v>
      </c>
      <c r="S2807" s="6">
        <f t="shared" si="781"/>
        <v>1900</v>
      </c>
      <c r="T2807" s="6">
        <f t="shared" si="782"/>
        <v>1</v>
      </c>
      <c r="Z2807" s="6" t="str">
        <f t="shared" ca="1" si="783"/>
        <v>202511</v>
      </c>
      <c r="AA2807" s="6">
        <f t="shared" ca="1" si="784"/>
        <v>2025</v>
      </c>
      <c r="AB2807" s="6">
        <f t="shared" ca="1" si="785"/>
        <v>11</v>
      </c>
      <c r="AC2807" s="68">
        <f ca="1">IFERROR(__xludf.DUMMYFUNCTION("""COMPUTED_VALUE"""),45966.9986111111)</f>
        <v>45966.998611111099</v>
      </c>
      <c r="AD2807" s="6">
        <f ca="1">IFERROR(__xludf.DUMMYFUNCTION("""COMPUTED_VALUE"""),1439.74)</f>
        <v>1439.74</v>
      </c>
      <c r="AH2807" s="6" t="str">
        <f t="shared" ca="1" si="786"/>
        <v>20259</v>
      </c>
      <c r="AI2807" s="6">
        <f t="shared" ca="1" si="787"/>
        <v>2025</v>
      </c>
      <c r="AJ2807" s="6">
        <f t="shared" ca="1" si="788"/>
        <v>9</v>
      </c>
      <c r="AK2807" s="68">
        <f ca="1">IFERROR(__xludf.DUMMYFUNCTION("""COMPUTED_VALUE"""),45902.9986111111)</f>
        <v>45902.998611111099</v>
      </c>
      <c r="AL2807" s="6">
        <f ca="1">IFERROR(__xludf.DUMMYFUNCTION("""COMPUTED_VALUE"""),110374.9)</f>
        <v>110374.9</v>
      </c>
      <c r="AP2807" s="6" t="str">
        <f t="shared" si="789"/>
        <v>19001</v>
      </c>
      <c r="AQ2807" s="6">
        <f t="shared" si="790"/>
        <v>1900</v>
      </c>
      <c r="AR2807" s="6">
        <f t="shared" si="791"/>
        <v>1</v>
      </c>
    </row>
    <row r="2808" spans="2:44" x14ac:dyDescent="0.35">
      <c r="B2808" s="6" t="str">
        <f t="shared" si="774"/>
        <v>19001</v>
      </c>
      <c r="C2808" s="6">
        <f t="shared" si="775"/>
        <v>1900</v>
      </c>
      <c r="D2808" s="6">
        <f t="shared" si="776"/>
        <v>1</v>
      </c>
      <c r="J2808" s="6" t="str">
        <f t="shared" si="777"/>
        <v>19001</v>
      </c>
      <c r="K2808" s="6">
        <f t="shared" si="778"/>
        <v>1900</v>
      </c>
      <c r="L2808" s="6">
        <f t="shared" si="779"/>
        <v>1</v>
      </c>
      <c r="R2808" s="6" t="str">
        <f t="shared" si="780"/>
        <v>19001</v>
      </c>
      <c r="S2808" s="6">
        <f t="shared" si="781"/>
        <v>1900</v>
      </c>
      <c r="T2808" s="6">
        <f t="shared" si="782"/>
        <v>1</v>
      </c>
      <c r="Z2808" s="6" t="str">
        <f t="shared" ca="1" si="783"/>
        <v>202511</v>
      </c>
      <c r="AA2808" s="6">
        <f t="shared" ca="1" si="784"/>
        <v>2025</v>
      </c>
      <c r="AB2808" s="6">
        <f t="shared" ca="1" si="785"/>
        <v>11</v>
      </c>
      <c r="AC2808" s="68">
        <f ca="1">IFERROR(__xludf.DUMMYFUNCTION("""COMPUTED_VALUE"""),45967.9986111111)</f>
        <v>45967.998611111099</v>
      </c>
      <c r="AD2808" s="6">
        <f ca="1">IFERROR(__xludf.DUMMYFUNCTION("""COMPUTED_VALUE"""),1447.9)</f>
        <v>1447.9</v>
      </c>
      <c r="AH2808" s="6" t="str">
        <f t="shared" ca="1" si="786"/>
        <v>20259</v>
      </c>
      <c r="AI2808" s="6">
        <f t="shared" ca="1" si="787"/>
        <v>2025</v>
      </c>
      <c r="AJ2808" s="6">
        <f t="shared" ca="1" si="788"/>
        <v>9</v>
      </c>
      <c r="AK2808" s="68">
        <f ca="1">IFERROR(__xludf.DUMMYFUNCTION("""COMPUTED_VALUE"""),45903.9986111111)</f>
        <v>45903.998611111099</v>
      </c>
      <c r="AL2808" s="6">
        <f ca="1">IFERROR(__xludf.DUMMYFUNCTION("""COMPUTED_VALUE"""),111092.6)</f>
        <v>111092.6</v>
      </c>
      <c r="AP2808" s="6" t="str">
        <f t="shared" si="789"/>
        <v>19001</v>
      </c>
      <c r="AQ2808" s="6">
        <f t="shared" si="790"/>
        <v>1900</v>
      </c>
      <c r="AR2808" s="6">
        <f t="shared" si="791"/>
        <v>1</v>
      </c>
    </row>
    <row r="2809" spans="2:44" x14ac:dyDescent="0.35">
      <c r="B2809" s="6" t="str">
        <f t="shared" si="774"/>
        <v>19001</v>
      </c>
      <c r="C2809" s="6">
        <f t="shared" si="775"/>
        <v>1900</v>
      </c>
      <c r="D2809" s="6">
        <f t="shared" si="776"/>
        <v>1</v>
      </c>
      <c r="J2809" s="6" t="str">
        <f t="shared" si="777"/>
        <v>19001</v>
      </c>
      <c r="K2809" s="6">
        <f t="shared" si="778"/>
        <v>1900</v>
      </c>
      <c r="L2809" s="6">
        <f t="shared" si="779"/>
        <v>1</v>
      </c>
      <c r="R2809" s="6" t="str">
        <f t="shared" si="780"/>
        <v>19001</v>
      </c>
      <c r="S2809" s="6">
        <f t="shared" si="781"/>
        <v>1900</v>
      </c>
      <c r="T2809" s="6">
        <f t="shared" si="782"/>
        <v>1</v>
      </c>
      <c r="Z2809" s="6" t="str">
        <f t="shared" ca="1" si="783"/>
        <v>202511</v>
      </c>
      <c r="AA2809" s="6">
        <f t="shared" ca="1" si="784"/>
        <v>2025</v>
      </c>
      <c r="AB2809" s="6">
        <f t="shared" ca="1" si="785"/>
        <v>11</v>
      </c>
      <c r="AC2809" s="68">
        <f ca="1">IFERROR(__xludf.DUMMYFUNCTION("""COMPUTED_VALUE"""),45968.9986111111)</f>
        <v>45968.998611111099</v>
      </c>
      <c r="AD2809" s="6">
        <f ca="1">IFERROR(__xludf.DUMMYFUNCTION("""COMPUTED_VALUE"""),1454.99)</f>
        <v>1454.99</v>
      </c>
      <c r="AH2809" s="6" t="str">
        <f t="shared" ca="1" si="786"/>
        <v>20259</v>
      </c>
      <c r="AI2809" s="6">
        <f t="shared" ca="1" si="787"/>
        <v>2025</v>
      </c>
      <c r="AJ2809" s="6">
        <f t="shared" ca="1" si="788"/>
        <v>9</v>
      </c>
      <c r="AK2809" s="68">
        <f ca="1">IFERROR(__xludf.DUMMYFUNCTION("""COMPUTED_VALUE"""),45904.9986111111)</f>
        <v>45904.998611111099</v>
      </c>
      <c r="AL2809" s="6">
        <f ca="1">IFERROR(__xludf.DUMMYFUNCTION("""COMPUTED_VALUE"""),111195.7)</f>
        <v>111195.7</v>
      </c>
      <c r="AP2809" s="6" t="str">
        <f t="shared" si="789"/>
        <v>19001</v>
      </c>
      <c r="AQ2809" s="6">
        <f t="shared" si="790"/>
        <v>1900</v>
      </c>
      <c r="AR2809" s="6">
        <f t="shared" si="791"/>
        <v>1</v>
      </c>
    </row>
    <row r="2810" spans="2:44" x14ac:dyDescent="0.35">
      <c r="B2810" s="6" t="str">
        <f t="shared" si="774"/>
        <v>19001</v>
      </c>
      <c r="C2810" s="6">
        <f t="shared" si="775"/>
        <v>1900</v>
      </c>
      <c r="D2810" s="6">
        <f t="shared" si="776"/>
        <v>1</v>
      </c>
      <c r="J2810" s="6" t="str">
        <f t="shared" si="777"/>
        <v>19001</v>
      </c>
      <c r="K2810" s="6">
        <f t="shared" si="778"/>
        <v>1900</v>
      </c>
      <c r="L2810" s="6">
        <f t="shared" si="779"/>
        <v>1</v>
      </c>
      <c r="R2810" s="6" t="str">
        <f t="shared" si="780"/>
        <v>19001</v>
      </c>
      <c r="S2810" s="6">
        <f t="shared" si="781"/>
        <v>1900</v>
      </c>
      <c r="T2810" s="6">
        <f t="shared" si="782"/>
        <v>1</v>
      </c>
      <c r="Z2810" s="6" t="str">
        <f t="shared" ca="1" si="783"/>
        <v>202511</v>
      </c>
      <c r="AA2810" s="6">
        <f t="shared" ca="1" si="784"/>
        <v>2025</v>
      </c>
      <c r="AB2810" s="6">
        <f t="shared" ca="1" si="785"/>
        <v>11</v>
      </c>
      <c r="AC2810" s="68">
        <f ca="1">IFERROR(__xludf.DUMMYFUNCTION("""COMPUTED_VALUE"""),45969.9986111111)</f>
        <v>45969.998611111099</v>
      </c>
      <c r="AD2810" s="6">
        <f ca="1">IFERROR(__xludf.DUMMYFUNCTION("""COMPUTED_VALUE"""),1454.99)</f>
        <v>1454.99</v>
      </c>
      <c r="AH2810" s="6" t="str">
        <f t="shared" ca="1" si="786"/>
        <v>20259</v>
      </c>
      <c r="AI2810" s="6">
        <f t="shared" ca="1" si="787"/>
        <v>2025</v>
      </c>
      <c r="AJ2810" s="6">
        <f t="shared" ca="1" si="788"/>
        <v>9</v>
      </c>
      <c r="AK2810" s="68">
        <f ca="1">IFERROR(__xludf.DUMMYFUNCTION("""COMPUTED_VALUE"""),45905.9986111111)</f>
        <v>45905.998611111099</v>
      </c>
      <c r="AL2810" s="6">
        <f ca="1">IFERROR(__xludf.DUMMYFUNCTION("""COMPUTED_VALUE"""),111318.7)</f>
        <v>111318.7</v>
      </c>
      <c r="AP2810" s="6" t="str">
        <f t="shared" si="789"/>
        <v>19001</v>
      </c>
      <c r="AQ2810" s="6">
        <f t="shared" si="790"/>
        <v>1900</v>
      </c>
      <c r="AR2810" s="6">
        <f t="shared" si="791"/>
        <v>1</v>
      </c>
    </row>
    <row r="2811" spans="2:44" x14ac:dyDescent="0.35">
      <c r="B2811" s="6" t="str">
        <f t="shared" si="774"/>
        <v>19001</v>
      </c>
      <c r="C2811" s="6">
        <f t="shared" si="775"/>
        <v>1900</v>
      </c>
      <c r="D2811" s="6">
        <f t="shared" si="776"/>
        <v>1</v>
      </c>
      <c r="J2811" s="6" t="str">
        <f t="shared" si="777"/>
        <v>19001</v>
      </c>
      <c r="K2811" s="6">
        <f t="shared" si="778"/>
        <v>1900</v>
      </c>
      <c r="L2811" s="6">
        <f t="shared" si="779"/>
        <v>1</v>
      </c>
      <c r="R2811" s="6" t="str">
        <f t="shared" si="780"/>
        <v>19001</v>
      </c>
      <c r="S2811" s="6">
        <f t="shared" si="781"/>
        <v>1900</v>
      </c>
      <c r="T2811" s="6">
        <f t="shared" si="782"/>
        <v>1</v>
      </c>
      <c r="Z2811" s="6" t="str">
        <f t="shared" ca="1" si="783"/>
        <v>202511</v>
      </c>
      <c r="AA2811" s="6">
        <f t="shared" ca="1" si="784"/>
        <v>2025</v>
      </c>
      <c r="AB2811" s="6">
        <f t="shared" ca="1" si="785"/>
        <v>11</v>
      </c>
      <c r="AC2811" s="68">
        <f ca="1">IFERROR(__xludf.DUMMYFUNCTION("""COMPUTED_VALUE"""),45970.9986111111)</f>
        <v>45970.998611111099</v>
      </c>
      <c r="AD2811" s="6">
        <f ca="1">IFERROR(__xludf.DUMMYFUNCTION("""COMPUTED_VALUE"""),1454)</f>
        <v>1454</v>
      </c>
      <c r="AH2811" s="6" t="str">
        <f t="shared" ca="1" si="786"/>
        <v>20259</v>
      </c>
      <c r="AI2811" s="6">
        <f t="shared" ca="1" si="787"/>
        <v>2025</v>
      </c>
      <c r="AJ2811" s="6">
        <f t="shared" ca="1" si="788"/>
        <v>9</v>
      </c>
      <c r="AK2811" s="68">
        <f ca="1">IFERROR(__xludf.DUMMYFUNCTION("""COMPUTED_VALUE"""),45906.9986111111)</f>
        <v>45906.998611111099</v>
      </c>
      <c r="AL2811" s="6">
        <f ca="1">IFERROR(__xludf.DUMMYFUNCTION("""COMPUTED_VALUE"""),111097.1)</f>
        <v>111097.1</v>
      </c>
      <c r="AP2811" s="6" t="str">
        <f t="shared" si="789"/>
        <v>19001</v>
      </c>
      <c r="AQ2811" s="6">
        <f t="shared" si="790"/>
        <v>1900</v>
      </c>
      <c r="AR2811" s="6">
        <f t="shared" si="791"/>
        <v>1</v>
      </c>
    </row>
    <row r="2812" spans="2:44" x14ac:dyDescent="0.35">
      <c r="B2812" s="6" t="str">
        <f t="shared" si="774"/>
        <v>19001</v>
      </c>
      <c r="C2812" s="6">
        <f t="shared" si="775"/>
        <v>1900</v>
      </c>
      <c r="D2812" s="6">
        <f t="shared" si="776"/>
        <v>1</v>
      </c>
      <c r="J2812" s="6" t="str">
        <f t="shared" si="777"/>
        <v>19001</v>
      </c>
      <c r="K2812" s="6">
        <f t="shared" si="778"/>
        <v>1900</v>
      </c>
      <c r="L2812" s="6">
        <f t="shared" si="779"/>
        <v>1</v>
      </c>
      <c r="R2812" s="6" t="str">
        <f t="shared" si="780"/>
        <v>19001</v>
      </c>
      <c r="S2812" s="6">
        <f t="shared" si="781"/>
        <v>1900</v>
      </c>
      <c r="T2812" s="6">
        <f t="shared" si="782"/>
        <v>1</v>
      </c>
      <c r="Z2812" s="6" t="str">
        <f t="shared" ca="1" si="783"/>
        <v>202511</v>
      </c>
      <c r="AA2812" s="6">
        <f t="shared" ca="1" si="784"/>
        <v>2025</v>
      </c>
      <c r="AB2812" s="6">
        <f t="shared" ca="1" si="785"/>
        <v>11</v>
      </c>
      <c r="AC2812" s="68">
        <f ca="1">IFERROR(__xludf.DUMMYFUNCTION("""COMPUTED_VALUE"""),45971.9986111111)</f>
        <v>45971.998611111099</v>
      </c>
      <c r="AD2812" s="6">
        <f ca="1">IFERROR(__xludf.DUMMYFUNCTION("""COMPUTED_VALUE"""),1456.09)</f>
        <v>1456.09</v>
      </c>
      <c r="AH2812" s="6" t="str">
        <f t="shared" ca="1" si="786"/>
        <v>20259</v>
      </c>
      <c r="AI2812" s="6">
        <f t="shared" ca="1" si="787"/>
        <v>2025</v>
      </c>
      <c r="AJ2812" s="6">
        <f t="shared" ca="1" si="788"/>
        <v>9</v>
      </c>
      <c r="AK2812" s="68">
        <f ca="1">IFERROR(__xludf.DUMMYFUNCTION("""COMPUTED_VALUE"""),45907.9986111111)</f>
        <v>45907.998611111099</v>
      </c>
      <c r="AL2812" s="6">
        <f ca="1">IFERROR(__xludf.DUMMYFUNCTION("""COMPUTED_VALUE"""),110679.5)</f>
        <v>110679.5</v>
      </c>
      <c r="AP2812" s="6" t="str">
        <f t="shared" si="789"/>
        <v>19001</v>
      </c>
      <c r="AQ2812" s="6">
        <f t="shared" si="790"/>
        <v>1900</v>
      </c>
      <c r="AR2812" s="6">
        <f t="shared" si="791"/>
        <v>1</v>
      </c>
    </row>
    <row r="2813" spans="2:44" x14ac:dyDescent="0.35">
      <c r="B2813" s="6" t="str">
        <f t="shared" si="774"/>
        <v>19001</v>
      </c>
      <c r="C2813" s="6">
        <f t="shared" si="775"/>
        <v>1900</v>
      </c>
      <c r="D2813" s="6">
        <f t="shared" si="776"/>
        <v>1</v>
      </c>
      <c r="J2813" s="6" t="str">
        <f t="shared" si="777"/>
        <v>19001</v>
      </c>
      <c r="K2813" s="6">
        <f t="shared" si="778"/>
        <v>1900</v>
      </c>
      <c r="L2813" s="6">
        <f t="shared" si="779"/>
        <v>1</v>
      </c>
      <c r="R2813" s="6" t="str">
        <f t="shared" si="780"/>
        <v>19001</v>
      </c>
      <c r="S2813" s="6">
        <f t="shared" si="781"/>
        <v>1900</v>
      </c>
      <c r="T2813" s="6">
        <f t="shared" si="782"/>
        <v>1</v>
      </c>
      <c r="Z2813" s="6" t="str">
        <f t="shared" ca="1" si="783"/>
        <v>202511</v>
      </c>
      <c r="AA2813" s="6">
        <f t="shared" ca="1" si="784"/>
        <v>2025</v>
      </c>
      <c r="AB2813" s="6">
        <f t="shared" ca="1" si="785"/>
        <v>11</v>
      </c>
      <c r="AC2813" s="68">
        <f ca="1">IFERROR(__xludf.DUMMYFUNCTION("""COMPUTED_VALUE"""),45972.9986111111)</f>
        <v>45972.998611111099</v>
      </c>
      <c r="AD2813" s="6">
        <f ca="1">IFERROR(__xludf.DUMMYFUNCTION("""COMPUTED_VALUE"""),1459.84)</f>
        <v>1459.84</v>
      </c>
      <c r="AH2813" s="6" t="str">
        <f t="shared" ca="1" si="786"/>
        <v>20259</v>
      </c>
      <c r="AI2813" s="6">
        <f t="shared" ca="1" si="787"/>
        <v>2025</v>
      </c>
      <c r="AJ2813" s="6">
        <f t="shared" ca="1" si="788"/>
        <v>9</v>
      </c>
      <c r="AK2813" s="68">
        <f ca="1">IFERROR(__xludf.DUMMYFUNCTION("""COMPUTED_VALUE"""),45908.9986111111)</f>
        <v>45908.998611111099</v>
      </c>
      <c r="AL2813" s="6">
        <f ca="1">IFERROR(__xludf.DUMMYFUNCTION("""COMPUTED_VALUE"""),111083.6)</f>
        <v>111083.6</v>
      </c>
      <c r="AP2813" s="6" t="str">
        <f t="shared" si="789"/>
        <v>19001</v>
      </c>
      <c r="AQ2813" s="6">
        <f t="shared" si="790"/>
        <v>1900</v>
      </c>
      <c r="AR2813" s="6">
        <f t="shared" si="791"/>
        <v>1</v>
      </c>
    </row>
    <row r="2814" spans="2:44" x14ac:dyDescent="0.35">
      <c r="B2814" s="6" t="str">
        <f t="shared" si="774"/>
        <v>19001</v>
      </c>
      <c r="C2814" s="6">
        <f t="shared" si="775"/>
        <v>1900</v>
      </c>
      <c r="D2814" s="6">
        <f t="shared" si="776"/>
        <v>1</v>
      </c>
      <c r="J2814" s="6" t="str">
        <f t="shared" si="777"/>
        <v>19001</v>
      </c>
      <c r="K2814" s="6">
        <f t="shared" si="778"/>
        <v>1900</v>
      </c>
      <c r="L2814" s="6">
        <f t="shared" si="779"/>
        <v>1</v>
      </c>
      <c r="R2814" s="6" t="str">
        <f t="shared" si="780"/>
        <v>19001</v>
      </c>
      <c r="S2814" s="6">
        <f t="shared" si="781"/>
        <v>1900</v>
      </c>
      <c r="T2814" s="6">
        <f t="shared" si="782"/>
        <v>1</v>
      </c>
      <c r="Z2814" s="6" t="str">
        <f t="shared" ca="1" si="783"/>
        <v>202511</v>
      </c>
      <c r="AA2814" s="6">
        <f t="shared" ca="1" si="784"/>
        <v>2025</v>
      </c>
      <c r="AB2814" s="6">
        <f t="shared" ca="1" si="785"/>
        <v>11</v>
      </c>
      <c r="AC2814" s="68">
        <f ca="1">IFERROR(__xludf.DUMMYFUNCTION("""COMPUTED_VALUE"""),45973.9986111111)</f>
        <v>45973.998611111099</v>
      </c>
      <c r="AD2814" s="6">
        <f ca="1">IFERROR(__xludf.DUMMYFUNCTION("""COMPUTED_VALUE"""),1468.02)</f>
        <v>1468.02</v>
      </c>
      <c r="AH2814" s="6" t="str">
        <f t="shared" ca="1" si="786"/>
        <v>20259</v>
      </c>
      <c r="AI2814" s="6">
        <f t="shared" ca="1" si="787"/>
        <v>2025</v>
      </c>
      <c r="AJ2814" s="6">
        <f t="shared" ca="1" si="788"/>
        <v>9</v>
      </c>
      <c r="AK2814" s="68">
        <f ca="1">IFERROR(__xludf.DUMMYFUNCTION("""COMPUTED_VALUE"""),45909.9986111111)</f>
        <v>45909.998611111099</v>
      </c>
      <c r="AL2814" s="6">
        <f ca="1">IFERROR(__xludf.DUMMYFUNCTION("""COMPUTED_VALUE"""),111718.2)</f>
        <v>111718.2</v>
      </c>
      <c r="AP2814" s="6" t="str">
        <f t="shared" si="789"/>
        <v>19001</v>
      </c>
      <c r="AQ2814" s="6">
        <f t="shared" si="790"/>
        <v>1900</v>
      </c>
      <c r="AR2814" s="6">
        <f t="shared" si="791"/>
        <v>1</v>
      </c>
    </row>
    <row r="2815" spans="2:44" x14ac:dyDescent="0.35">
      <c r="B2815" s="6" t="str">
        <f t="shared" si="774"/>
        <v>19001</v>
      </c>
      <c r="C2815" s="6">
        <f t="shared" si="775"/>
        <v>1900</v>
      </c>
      <c r="D2815" s="6">
        <f t="shared" si="776"/>
        <v>1</v>
      </c>
      <c r="J2815" s="6" t="str">
        <f t="shared" si="777"/>
        <v>19001</v>
      </c>
      <c r="K2815" s="6">
        <f t="shared" si="778"/>
        <v>1900</v>
      </c>
      <c r="L2815" s="6">
        <f t="shared" si="779"/>
        <v>1</v>
      </c>
      <c r="R2815" s="6" t="str">
        <f t="shared" si="780"/>
        <v>19001</v>
      </c>
      <c r="S2815" s="6">
        <f t="shared" si="781"/>
        <v>1900</v>
      </c>
      <c r="T2815" s="6">
        <f t="shared" si="782"/>
        <v>1</v>
      </c>
      <c r="Z2815" s="6" t="str">
        <f t="shared" ca="1" si="783"/>
        <v>202511</v>
      </c>
      <c r="AA2815" s="6">
        <f t="shared" ca="1" si="784"/>
        <v>2025</v>
      </c>
      <c r="AB2815" s="6">
        <f t="shared" ca="1" si="785"/>
        <v>11</v>
      </c>
      <c r="AC2815" s="68">
        <f ca="1">IFERROR(__xludf.DUMMYFUNCTION("""COMPUTED_VALUE"""),45974.9986111111)</f>
        <v>45974.998611111099</v>
      </c>
      <c r="AD2815" s="6">
        <f ca="1">IFERROR(__xludf.DUMMYFUNCTION("""COMPUTED_VALUE"""),1468.71)</f>
        <v>1468.71</v>
      </c>
      <c r="AH2815" s="6" t="str">
        <f t="shared" ca="1" si="786"/>
        <v>20259</v>
      </c>
      <c r="AI2815" s="6">
        <f t="shared" ca="1" si="787"/>
        <v>2025</v>
      </c>
      <c r="AJ2815" s="6">
        <f t="shared" ca="1" si="788"/>
        <v>9</v>
      </c>
      <c r="AK2815" s="68">
        <f ca="1">IFERROR(__xludf.DUMMYFUNCTION("""COMPUTED_VALUE"""),45910.9986111111)</f>
        <v>45910.998611111099</v>
      </c>
      <c r="AL2815" s="6">
        <f ca="1">IFERROR(__xludf.DUMMYFUNCTION("""COMPUTED_VALUE"""),111504.8)</f>
        <v>111504.8</v>
      </c>
      <c r="AP2815" s="6" t="str">
        <f t="shared" si="789"/>
        <v>19001</v>
      </c>
      <c r="AQ2815" s="6">
        <f t="shared" si="790"/>
        <v>1900</v>
      </c>
      <c r="AR2815" s="6">
        <f t="shared" si="791"/>
        <v>1</v>
      </c>
    </row>
    <row r="2816" spans="2:44" x14ac:dyDescent="0.35">
      <c r="B2816" s="6" t="str">
        <f t="shared" si="774"/>
        <v>19001</v>
      </c>
      <c r="C2816" s="6">
        <f t="shared" si="775"/>
        <v>1900</v>
      </c>
      <c r="D2816" s="6">
        <f t="shared" si="776"/>
        <v>1</v>
      </c>
      <c r="J2816" s="6" t="str">
        <f t="shared" si="777"/>
        <v>19001</v>
      </c>
      <c r="K2816" s="6">
        <f t="shared" si="778"/>
        <v>1900</v>
      </c>
      <c r="L2816" s="6">
        <f t="shared" si="779"/>
        <v>1</v>
      </c>
      <c r="R2816" s="6" t="str">
        <f t="shared" si="780"/>
        <v>19001</v>
      </c>
      <c r="S2816" s="6">
        <f t="shared" si="781"/>
        <v>1900</v>
      </c>
      <c r="T2816" s="6">
        <f t="shared" si="782"/>
        <v>1</v>
      </c>
      <c r="Z2816" s="6" t="str">
        <f t="shared" ca="1" si="783"/>
        <v>202511</v>
      </c>
      <c r="AA2816" s="6">
        <f t="shared" ca="1" si="784"/>
        <v>2025</v>
      </c>
      <c r="AB2816" s="6">
        <f t="shared" ca="1" si="785"/>
        <v>11</v>
      </c>
      <c r="AC2816" s="68">
        <f ca="1">IFERROR(__xludf.DUMMYFUNCTION("""COMPUTED_VALUE"""),45975.9986111111)</f>
        <v>45975.998611111099</v>
      </c>
      <c r="AD2816" s="6">
        <f ca="1">IFERROR(__xludf.DUMMYFUNCTION("""COMPUTED_VALUE"""),1448.5)</f>
        <v>1448.5</v>
      </c>
      <c r="AH2816" s="6" t="str">
        <f t="shared" ca="1" si="786"/>
        <v>20259</v>
      </c>
      <c r="AI2816" s="6">
        <f t="shared" ca="1" si="787"/>
        <v>2025</v>
      </c>
      <c r="AJ2816" s="6">
        <f t="shared" ca="1" si="788"/>
        <v>9</v>
      </c>
      <c r="AK2816" s="68">
        <f ca="1">IFERROR(__xludf.DUMMYFUNCTION("""COMPUTED_VALUE"""),45911.9986111111)</f>
        <v>45911.998611111099</v>
      </c>
      <c r="AL2816" s="6">
        <f ca="1">IFERROR(__xludf.DUMMYFUNCTION("""COMPUTED_VALUE"""),114409.8)</f>
        <v>114409.8</v>
      </c>
      <c r="AP2816" s="6" t="str">
        <f t="shared" si="789"/>
        <v>19001</v>
      </c>
      <c r="AQ2816" s="6">
        <f t="shared" si="790"/>
        <v>1900</v>
      </c>
      <c r="AR2816" s="6">
        <f t="shared" si="791"/>
        <v>1</v>
      </c>
    </row>
    <row r="2817" spans="2:44" x14ac:dyDescent="0.35">
      <c r="B2817" s="6" t="str">
        <f t="shared" si="774"/>
        <v>19001</v>
      </c>
      <c r="C2817" s="6">
        <f t="shared" si="775"/>
        <v>1900</v>
      </c>
      <c r="D2817" s="6">
        <f t="shared" si="776"/>
        <v>1</v>
      </c>
      <c r="J2817" s="6" t="str">
        <f t="shared" si="777"/>
        <v>19001</v>
      </c>
      <c r="K2817" s="6">
        <f t="shared" si="778"/>
        <v>1900</v>
      </c>
      <c r="L2817" s="6">
        <f t="shared" si="779"/>
        <v>1</v>
      </c>
      <c r="R2817" s="6" t="str">
        <f t="shared" si="780"/>
        <v>19001</v>
      </c>
      <c r="S2817" s="6">
        <f t="shared" si="781"/>
        <v>1900</v>
      </c>
      <c r="T2817" s="6">
        <f t="shared" si="782"/>
        <v>1</v>
      </c>
      <c r="Z2817" s="6" t="str">
        <f t="shared" ca="1" si="783"/>
        <v>202511</v>
      </c>
      <c r="AA2817" s="6">
        <f t="shared" ca="1" si="784"/>
        <v>2025</v>
      </c>
      <c r="AB2817" s="6">
        <f t="shared" ca="1" si="785"/>
        <v>11</v>
      </c>
      <c r="AC2817" s="68">
        <f ca="1">IFERROR(__xludf.DUMMYFUNCTION("""COMPUTED_VALUE"""),45976.9986111111)</f>
        <v>45976.998611111099</v>
      </c>
      <c r="AD2817" s="6">
        <f ca="1">IFERROR(__xludf.DUMMYFUNCTION("""COMPUTED_VALUE"""),1446.53)</f>
        <v>1446.53</v>
      </c>
      <c r="AH2817" s="6" t="str">
        <f t="shared" ca="1" si="786"/>
        <v>20259</v>
      </c>
      <c r="AI2817" s="6">
        <f t="shared" ca="1" si="787"/>
        <v>2025</v>
      </c>
      <c r="AJ2817" s="6">
        <f t="shared" ca="1" si="788"/>
        <v>9</v>
      </c>
      <c r="AK2817" s="68">
        <f ca="1">IFERROR(__xludf.DUMMYFUNCTION("""COMPUTED_VALUE"""),45912.9986111111)</f>
        <v>45912.998611111099</v>
      </c>
      <c r="AL2817" s="6">
        <f ca="1">IFERROR(__xludf.DUMMYFUNCTION("""COMPUTED_VALUE"""),115269)</f>
        <v>115269</v>
      </c>
      <c r="AP2817" s="6" t="str">
        <f t="shared" si="789"/>
        <v>19001</v>
      </c>
      <c r="AQ2817" s="6">
        <f t="shared" si="790"/>
        <v>1900</v>
      </c>
      <c r="AR2817" s="6">
        <f t="shared" si="791"/>
        <v>1</v>
      </c>
    </row>
    <row r="2818" spans="2:44" x14ac:dyDescent="0.35">
      <c r="B2818" s="6" t="str">
        <f t="shared" si="774"/>
        <v>19001</v>
      </c>
      <c r="C2818" s="6">
        <f t="shared" si="775"/>
        <v>1900</v>
      </c>
      <c r="D2818" s="6">
        <f t="shared" si="776"/>
        <v>1</v>
      </c>
      <c r="J2818" s="6" t="str">
        <f t="shared" si="777"/>
        <v>19001</v>
      </c>
      <c r="K2818" s="6">
        <f t="shared" si="778"/>
        <v>1900</v>
      </c>
      <c r="L2818" s="6">
        <f t="shared" si="779"/>
        <v>1</v>
      </c>
      <c r="R2818" s="6" t="str">
        <f t="shared" si="780"/>
        <v>19001</v>
      </c>
      <c r="S2818" s="6">
        <f t="shared" si="781"/>
        <v>1900</v>
      </c>
      <c r="T2818" s="6">
        <f t="shared" si="782"/>
        <v>1</v>
      </c>
      <c r="Z2818" s="6" t="str">
        <f t="shared" ca="1" si="783"/>
        <v>202511</v>
      </c>
      <c r="AA2818" s="6">
        <f t="shared" ca="1" si="784"/>
        <v>2025</v>
      </c>
      <c r="AB2818" s="6">
        <f t="shared" ca="1" si="785"/>
        <v>11</v>
      </c>
      <c r="AC2818" s="68">
        <f ca="1">IFERROR(__xludf.DUMMYFUNCTION("""COMPUTED_VALUE"""),45978.9986111111)</f>
        <v>45978.998611111099</v>
      </c>
      <c r="AD2818" s="6">
        <f ca="1">IFERROR(__xludf.DUMMYFUNCTION("""COMPUTED_VALUE"""),1461.69)</f>
        <v>1461.69</v>
      </c>
      <c r="AH2818" s="6" t="str">
        <f t="shared" ca="1" si="786"/>
        <v>20259</v>
      </c>
      <c r="AI2818" s="6">
        <f t="shared" ca="1" si="787"/>
        <v>2025</v>
      </c>
      <c r="AJ2818" s="6">
        <f t="shared" ca="1" si="788"/>
        <v>9</v>
      </c>
      <c r="AK2818" s="68">
        <f ca="1">IFERROR(__xludf.DUMMYFUNCTION("""COMPUTED_VALUE"""),45913.9986111111)</f>
        <v>45913.998611111099</v>
      </c>
      <c r="AL2818" s="6">
        <f ca="1">IFERROR(__xludf.DUMMYFUNCTION("""COMPUTED_VALUE"""),115966.3)</f>
        <v>115966.3</v>
      </c>
      <c r="AP2818" s="6" t="str">
        <f t="shared" si="789"/>
        <v>19001</v>
      </c>
      <c r="AQ2818" s="6">
        <f t="shared" si="790"/>
        <v>1900</v>
      </c>
      <c r="AR2818" s="6">
        <f t="shared" si="791"/>
        <v>1</v>
      </c>
    </row>
    <row r="2819" spans="2:44" x14ac:dyDescent="0.35">
      <c r="B2819" s="6" t="str">
        <f t="shared" si="774"/>
        <v>19001</v>
      </c>
      <c r="C2819" s="6">
        <f t="shared" si="775"/>
        <v>1900</v>
      </c>
      <c r="D2819" s="6">
        <f t="shared" si="776"/>
        <v>1</v>
      </c>
      <c r="J2819" s="6" t="str">
        <f t="shared" si="777"/>
        <v>19001</v>
      </c>
      <c r="K2819" s="6">
        <f t="shared" si="778"/>
        <v>1900</v>
      </c>
      <c r="L2819" s="6">
        <f t="shared" si="779"/>
        <v>1</v>
      </c>
      <c r="R2819" s="6" t="str">
        <f t="shared" si="780"/>
        <v>19001</v>
      </c>
      <c r="S2819" s="6">
        <f t="shared" si="781"/>
        <v>1900</v>
      </c>
      <c r="T2819" s="6">
        <f t="shared" si="782"/>
        <v>1</v>
      </c>
      <c r="Z2819" s="6" t="str">
        <f t="shared" ca="1" si="783"/>
        <v>202511</v>
      </c>
      <c r="AA2819" s="6">
        <f t="shared" ca="1" si="784"/>
        <v>2025</v>
      </c>
      <c r="AB2819" s="6">
        <f t="shared" ca="1" si="785"/>
        <v>11</v>
      </c>
      <c r="AC2819" s="68">
        <f ca="1">IFERROR(__xludf.DUMMYFUNCTION("""COMPUTED_VALUE"""),45979.9986111111)</f>
        <v>45979.998611111099</v>
      </c>
      <c r="AD2819" s="6">
        <f ca="1">IFERROR(__xludf.DUMMYFUNCTION("""COMPUTED_VALUE"""),1456.55)</f>
        <v>1456.55</v>
      </c>
      <c r="AH2819" s="6" t="str">
        <f t="shared" ca="1" si="786"/>
        <v>20259</v>
      </c>
      <c r="AI2819" s="6">
        <f t="shared" ca="1" si="787"/>
        <v>2025</v>
      </c>
      <c r="AJ2819" s="6">
        <f t="shared" ca="1" si="788"/>
        <v>9</v>
      </c>
      <c r="AK2819" s="68">
        <f ca="1">IFERROR(__xludf.DUMMYFUNCTION("""COMPUTED_VALUE"""),45914.9986111111)</f>
        <v>45914.998611111099</v>
      </c>
      <c r="AL2819" s="6">
        <f ca="1">IFERROR(__xludf.DUMMYFUNCTION("""COMPUTED_VALUE"""),115717.9)</f>
        <v>115717.9</v>
      </c>
      <c r="AP2819" s="6" t="str">
        <f t="shared" si="789"/>
        <v>19001</v>
      </c>
      <c r="AQ2819" s="6">
        <f t="shared" si="790"/>
        <v>1900</v>
      </c>
      <c r="AR2819" s="6">
        <f t="shared" si="791"/>
        <v>1</v>
      </c>
    </row>
    <row r="2820" spans="2:44" x14ac:dyDescent="0.35">
      <c r="B2820" s="6" t="str">
        <f t="shared" si="774"/>
        <v>19001</v>
      </c>
      <c r="C2820" s="6">
        <f t="shared" si="775"/>
        <v>1900</v>
      </c>
      <c r="D2820" s="6">
        <f t="shared" si="776"/>
        <v>1</v>
      </c>
      <c r="J2820" s="6" t="str">
        <f t="shared" si="777"/>
        <v>19001</v>
      </c>
      <c r="K2820" s="6">
        <f t="shared" si="778"/>
        <v>1900</v>
      </c>
      <c r="L2820" s="6">
        <f t="shared" si="779"/>
        <v>1</v>
      </c>
      <c r="R2820" s="6" t="str">
        <f t="shared" si="780"/>
        <v>19001</v>
      </c>
      <c r="S2820" s="6">
        <f t="shared" si="781"/>
        <v>1900</v>
      </c>
      <c r="T2820" s="6">
        <f t="shared" si="782"/>
        <v>1</v>
      </c>
      <c r="Z2820" s="6" t="str">
        <f t="shared" ca="1" si="783"/>
        <v>202511</v>
      </c>
      <c r="AA2820" s="6">
        <f t="shared" ca="1" si="784"/>
        <v>2025</v>
      </c>
      <c r="AB2820" s="6">
        <f t="shared" ca="1" si="785"/>
        <v>11</v>
      </c>
      <c r="AC2820" s="68">
        <f ca="1">IFERROR(__xludf.DUMMYFUNCTION("""COMPUTED_VALUE"""),45980.9986111111)</f>
        <v>45980.998611111099</v>
      </c>
      <c r="AD2820" s="6">
        <f ca="1">IFERROR(__xludf.DUMMYFUNCTION("""COMPUTED_VALUE"""),1466.13)</f>
        <v>1466.13</v>
      </c>
      <c r="AH2820" s="6" t="str">
        <f t="shared" ca="1" si="786"/>
        <v>20259</v>
      </c>
      <c r="AI2820" s="6">
        <f t="shared" ca="1" si="787"/>
        <v>2025</v>
      </c>
      <c r="AJ2820" s="6">
        <f t="shared" ca="1" si="788"/>
        <v>9</v>
      </c>
      <c r="AK2820" s="68">
        <f ca="1">IFERROR(__xludf.DUMMYFUNCTION("""COMPUTED_VALUE"""),45915.9986111111)</f>
        <v>45915.998611111099</v>
      </c>
      <c r="AL2820" s="6">
        <f ca="1">IFERROR(__xludf.DUMMYFUNCTION("""COMPUTED_VALUE"""),115537.4)</f>
        <v>115537.4</v>
      </c>
      <c r="AP2820" s="6" t="str">
        <f t="shared" si="789"/>
        <v>19001</v>
      </c>
      <c r="AQ2820" s="6">
        <f t="shared" si="790"/>
        <v>1900</v>
      </c>
      <c r="AR2820" s="6">
        <f t="shared" si="791"/>
        <v>1</v>
      </c>
    </row>
    <row r="2821" spans="2:44" x14ac:dyDescent="0.35">
      <c r="B2821" s="6" t="str">
        <f t="shared" si="774"/>
        <v>19001</v>
      </c>
      <c r="C2821" s="6">
        <f t="shared" si="775"/>
        <v>1900</v>
      </c>
      <c r="D2821" s="6">
        <f t="shared" si="776"/>
        <v>1</v>
      </c>
      <c r="J2821" s="6" t="str">
        <f t="shared" si="777"/>
        <v>19001</v>
      </c>
      <c r="K2821" s="6">
        <f t="shared" si="778"/>
        <v>1900</v>
      </c>
      <c r="L2821" s="6">
        <f t="shared" si="779"/>
        <v>1</v>
      </c>
      <c r="R2821" s="6" t="str">
        <f t="shared" si="780"/>
        <v>19001</v>
      </c>
      <c r="S2821" s="6">
        <f t="shared" si="781"/>
        <v>1900</v>
      </c>
      <c r="T2821" s="6">
        <f t="shared" si="782"/>
        <v>1</v>
      </c>
      <c r="Z2821" s="6" t="str">
        <f t="shared" ca="1" si="783"/>
        <v>202511</v>
      </c>
      <c r="AA2821" s="6">
        <f t="shared" ca="1" si="784"/>
        <v>2025</v>
      </c>
      <c r="AB2821" s="6">
        <f t="shared" ca="1" si="785"/>
        <v>11</v>
      </c>
      <c r="AC2821" s="68">
        <f ca="1">IFERROR(__xludf.DUMMYFUNCTION("""COMPUTED_VALUE"""),45981.9986111111)</f>
        <v>45981.998611111099</v>
      </c>
      <c r="AD2821" s="6">
        <f ca="1">IFERROR(__xludf.DUMMYFUNCTION("""COMPUTED_VALUE"""),1473.25)</f>
        <v>1473.25</v>
      </c>
      <c r="AH2821" s="6" t="str">
        <f t="shared" ca="1" si="786"/>
        <v>20259</v>
      </c>
      <c r="AI2821" s="6">
        <f t="shared" ca="1" si="787"/>
        <v>2025</v>
      </c>
      <c r="AJ2821" s="6">
        <f t="shared" ca="1" si="788"/>
        <v>9</v>
      </c>
      <c r="AK2821" s="68">
        <f ca="1">IFERROR(__xludf.DUMMYFUNCTION("""COMPUTED_VALUE"""),45916.9986111111)</f>
        <v>45916.998611111099</v>
      </c>
      <c r="AL2821" s="6">
        <f ca="1">IFERROR(__xludf.DUMMYFUNCTION("""COMPUTED_VALUE"""),115383.4)</f>
        <v>115383.4</v>
      </c>
      <c r="AP2821" s="6" t="str">
        <f t="shared" si="789"/>
        <v>19001</v>
      </c>
      <c r="AQ2821" s="6">
        <f t="shared" si="790"/>
        <v>1900</v>
      </c>
      <c r="AR2821" s="6">
        <f t="shared" si="791"/>
        <v>1</v>
      </c>
    </row>
    <row r="2822" spans="2:44" x14ac:dyDescent="0.35">
      <c r="B2822" s="6" t="str">
        <f t="shared" si="774"/>
        <v>19001</v>
      </c>
      <c r="C2822" s="6">
        <f t="shared" si="775"/>
        <v>1900</v>
      </c>
      <c r="D2822" s="6">
        <f t="shared" si="776"/>
        <v>1</v>
      </c>
      <c r="J2822" s="6" t="str">
        <f t="shared" si="777"/>
        <v>19001</v>
      </c>
      <c r="K2822" s="6">
        <f t="shared" si="778"/>
        <v>1900</v>
      </c>
      <c r="L2822" s="6">
        <f t="shared" si="779"/>
        <v>1</v>
      </c>
      <c r="R2822" s="6" t="str">
        <f t="shared" si="780"/>
        <v>19001</v>
      </c>
      <c r="S2822" s="6">
        <f t="shared" si="781"/>
        <v>1900</v>
      </c>
      <c r="T2822" s="6">
        <f t="shared" si="782"/>
        <v>1</v>
      </c>
      <c r="Z2822" s="6" t="str">
        <f t="shared" ca="1" si="783"/>
        <v>202511</v>
      </c>
      <c r="AA2822" s="6">
        <f t="shared" ca="1" si="784"/>
        <v>2025</v>
      </c>
      <c r="AB2822" s="6">
        <f t="shared" ca="1" si="785"/>
        <v>11</v>
      </c>
      <c r="AC2822" s="68">
        <f ca="1">IFERROR(__xludf.DUMMYFUNCTION("""COMPUTED_VALUE"""),45982.9986111111)</f>
        <v>45982.998611111099</v>
      </c>
      <c r="AD2822" s="6">
        <f ca="1">IFERROR(__xludf.DUMMYFUNCTION("""COMPUTED_VALUE"""),1468.73)</f>
        <v>1468.73</v>
      </c>
      <c r="AH2822" s="6" t="str">
        <f t="shared" ca="1" si="786"/>
        <v>20259</v>
      </c>
      <c r="AI2822" s="6">
        <f t="shared" ca="1" si="787"/>
        <v>2025</v>
      </c>
      <c r="AJ2822" s="6">
        <f t="shared" ca="1" si="788"/>
        <v>9</v>
      </c>
      <c r="AK2822" s="68">
        <f ca="1">IFERROR(__xludf.DUMMYFUNCTION("""COMPUTED_VALUE"""),45917.9986111111)</f>
        <v>45917.998611111099</v>
      </c>
      <c r="AL2822" s="6">
        <f ca="1">IFERROR(__xludf.DUMMYFUNCTION("""COMPUTED_VALUE"""),116474.5)</f>
        <v>116474.5</v>
      </c>
      <c r="AP2822" s="6" t="str">
        <f t="shared" si="789"/>
        <v>19001</v>
      </c>
      <c r="AQ2822" s="6">
        <f t="shared" si="790"/>
        <v>1900</v>
      </c>
      <c r="AR2822" s="6">
        <f t="shared" si="791"/>
        <v>1</v>
      </c>
    </row>
    <row r="2823" spans="2:44" x14ac:dyDescent="0.35">
      <c r="B2823" s="6" t="str">
        <f t="shared" ref="B2823:B2886" si="792">C2823&amp;D2823</f>
        <v>19001</v>
      </c>
      <c r="C2823" s="6">
        <f t="shared" ref="C2823:C2886" si="793">YEAR(E2823)</f>
        <v>1900</v>
      </c>
      <c r="D2823" s="6">
        <f t="shared" ref="D2823:D2886" si="794">MONTH(E2823)</f>
        <v>1</v>
      </c>
      <c r="J2823" s="6" t="str">
        <f t="shared" ref="J2823:J2886" si="795">K2823&amp;L2823</f>
        <v>19001</v>
      </c>
      <c r="K2823" s="6">
        <f t="shared" ref="K2823:K2886" si="796">YEAR(M2823)</f>
        <v>1900</v>
      </c>
      <c r="L2823" s="6">
        <f t="shared" ref="L2823:L2886" si="797">MONTH(M2823)</f>
        <v>1</v>
      </c>
      <c r="R2823" s="6" t="str">
        <f t="shared" ref="R2823:R2886" si="798">S2823&amp;T2823</f>
        <v>19001</v>
      </c>
      <c r="S2823" s="6">
        <f t="shared" ref="S2823:S2886" si="799">YEAR(U2823)</f>
        <v>1900</v>
      </c>
      <c r="T2823" s="6">
        <f t="shared" ref="T2823:T2886" si="800">MONTH(U2823)</f>
        <v>1</v>
      </c>
      <c r="Z2823" s="6" t="str">
        <f t="shared" ref="Z2823:Z2886" ca="1" si="801">AA2823&amp;AB2823</f>
        <v>202511</v>
      </c>
      <c r="AA2823" s="6">
        <f t="shared" ref="AA2823:AA2886" ca="1" si="802">YEAR(AC2823)</f>
        <v>2025</v>
      </c>
      <c r="AB2823" s="6">
        <f t="shared" ref="AB2823:AB2886" ca="1" si="803">MONTH(AC2823)</f>
        <v>11</v>
      </c>
      <c r="AC2823" s="68">
        <f ca="1">IFERROR(__xludf.DUMMYFUNCTION("""COMPUTED_VALUE"""),45983.9986111111)</f>
        <v>45983.998611111099</v>
      </c>
      <c r="AD2823" s="6">
        <f ca="1">IFERROR(__xludf.DUMMYFUNCTION("""COMPUTED_VALUE"""),1468.63)</f>
        <v>1468.63</v>
      </c>
      <c r="AH2823" s="6" t="str">
        <f t="shared" ref="AH2823:AH2886" ca="1" si="804">AI2823&amp;AJ2823</f>
        <v>20259</v>
      </c>
      <c r="AI2823" s="6">
        <f t="shared" ref="AI2823:AI2886" ca="1" si="805">YEAR(AK2823)</f>
        <v>2025</v>
      </c>
      <c r="AJ2823" s="6">
        <f t="shared" ref="AJ2823:AJ2886" ca="1" si="806">MONTH(AK2823)</f>
        <v>9</v>
      </c>
      <c r="AK2823" s="68">
        <f ca="1">IFERROR(__xludf.DUMMYFUNCTION("""COMPUTED_VALUE"""),45918.9986111111)</f>
        <v>45918.998611111099</v>
      </c>
      <c r="AL2823" s="6">
        <f ca="1">IFERROR(__xludf.DUMMYFUNCTION("""COMPUTED_VALUE"""),117656.3)</f>
        <v>117656.3</v>
      </c>
      <c r="AP2823" s="6" t="str">
        <f t="shared" ref="AP2823:AP2886" si="807">AQ2823&amp;AR2823</f>
        <v>19001</v>
      </c>
      <c r="AQ2823" s="6">
        <f t="shared" ref="AQ2823:AQ2886" si="808">YEAR(AS2823)</f>
        <v>1900</v>
      </c>
      <c r="AR2823" s="6">
        <f t="shared" ref="AR2823:AR2886" si="809">MONTH(AS2823)</f>
        <v>1</v>
      </c>
    </row>
    <row r="2824" spans="2:44" x14ac:dyDescent="0.35">
      <c r="B2824" s="6" t="str">
        <f t="shared" si="792"/>
        <v>19001</v>
      </c>
      <c r="C2824" s="6">
        <f t="shared" si="793"/>
        <v>1900</v>
      </c>
      <c r="D2824" s="6">
        <f t="shared" si="794"/>
        <v>1</v>
      </c>
      <c r="J2824" s="6" t="str">
        <f t="shared" si="795"/>
        <v>19001</v>
      </c>
      <c r="K2824" s="6">
        <f t="shared" si="796"/>
        <v>1900</v>
      </c>
      <c r="L2824" s="6">
        <f t="shared" si="797"/>
        <v>1</v>
      </c>
      <c r="R2824" s="6" t="str">
        <f t="shared" si="798"/>
        <v>19001</v>
      </c>
      <c r="S2824" s="6">
        <f t="shared" si="799"/>
        <v>1900</v>
      </c>
      <c r="T2824" s="6">
        <f t="shared" si="800"/>
        <v>1</v>
      </c>
      <c r="Z2824" s="6" t="str">
        <f t="shared" ca="1" si="801"/>
        <v>202511</v>
      </c>
      <c r="AA2824" s="6">
        <f t="shared" ca="1" si="802"/>
        <v>2025</v>
      </c>
      <c r="AB2824" s="6">
        <f t="shared" ca="1" si="803"/>
        <v>11</v>
      </c>
      <c r="AC2824" s="68">
        <f ca="1">IFERROR(__xludf.DUMMYFUNCTION("""COMPUTED_VALUE"""),45984.9986111111)</f>
        <v>45984.998611111099</v>
      </c>
      <c r="AD2824" s="6">
        <f ca="1">IFERROR(__xludf.DUMMYFUNCTION("""COMPUTED_VALUE"""),1467.73)</f>
        <v>1467.73</v>
      </c>
      <c r="AH2824" s="6" t="str">
        <f t="shared" ca="1" si="804"/>
        <v>20259</v>
      </c>
      <c r="AI2824" s="6">
        <f t="shared" ca="1" si="805"/>
        <v>2025</v>
      </c>
      <c r="AJ2824" s="6">
        <f t="shared" ca="1" si="806"/>
        <v>9</v>
      </c>
      <c r="AK2824" s="68">
        <f ca="1">IFERROR(__xludf.DUMMYFUNCTION("""COMPUTED_VALUE"""),45919.9986111111)</f>
        <v>45919.998611111099</v>
      </c>
      <c r="AL2824" s="6">
        <f ca="1">IFERROR(__xludf.DUMMYFUNCTION("""COMPUTED_VALUE"""),117005.3)</f>
        <v>117005.3</v>
      </c>
      <c r="AP2824" s="6" t="str">
        <f t="shared" si="807"/>
        <v>19001</v>
      </c>
      <c r="AQ2824" s="6">
        <f t="shared" si="808"/>
        <v>1900</v>
      </c>
      <c r="AR2824" s="6">
        <f t="shared" si="809"/>
        <v>1</v>
      </c>
    </row>
    <row r="2825" spans="2:44" x14ac:dyDescent="0.35">
      <c r="B2825" s="6" t="str">
        <f t="shared" si="792"/>
        <v>19001</v>
      </c>
      <c r="C2825" s="6">
        <f t="shared" si="793"/>
        <v>1900</v>
      </c>
      <c r="D2825" s="6">
        <f t="shared" si="794"/>
        <v>1</v>
      </c>
      <c r="J2825" s="6" t="str">
        <f t="shared" si="795"/>
        <v>19001</v>
      </c>
      <c r="K2825" s="6">
        <f t="shared" si="796"/>
        <v>1900</v>
      </c>
      <c r="L2825" s="6">
        <f t="shared" si="797"/>
        <v>1</v>
      </c>
      <c r="R2825" s="6" t="str">
        <f t="shared" si="798"/>
        <v>19001</v>
      </c>
      <c r="S2825" s="6">
        <f t="shared" si="799"/>
        <v>1900</v>
      </c>
      <c r="T2825" s="6">
        <f t="shared" si="800"/>
        <v>1</v>
      </c>
      <c r="Z2825" s="6" t="str">
        <f t="shared" ca="1" si="801"/>
        <v>202511</v>
      </c>
      <c r="AA2825" s="6">
        <f t="shared" ca="1" si="802"/>
        <v>2025</v>
      </c>
      <c r="AB2825" s="6">
        <f t="shared" ca="1" si="803"/>
        <v>11</v>
      </c>
      <c r="AC2825" s="68">
        <f ca="1">IFERROR(__xludf.DUMMYFUNCTION("""COMPUTED_VALUE"""),45985.9986111111)</f>
        <v>45985.998611111099</v>
      </c>
      <c r="AD2825" s="6">
        <f ca="1">IFERROR(__xludf.DUMMYFUNCTION("""COMPUTED_VALUE"""),1474.86)</f>
        <v>1474.86</v>
      </c>
      <c r="AH2825" s="6" t="str">
        <f t="shared" ca="1" si="804"/>
        <v>20259</v>
      </c>
      <c r="AI2825" s="6">
        <f t="shared" ca="1" si="805"/>
        <v>2025</v>
      </c>
      <c r="AJ2825" s="6">
        <f t="shared" ca="1" si="806"/>
        <v>9</v>
      </c>
      <c r="AK2825" s="68">
        <f ca="1">IFERROR(__xludf.DUMMYFUNCTION("""COMPUTED_VALUE"""),45920.9986111111)</f>
        <v>45920.998611111099</v>
      </c>
      <c r="AL2825" s="6">
        <f ca="1">IFERROR(__xludf.DUMMYFUNCTION("""COMPUTED_VALUE"""),115543.5)</f>
        <v>115543.5</v>
      </c>
      <c r="AP2825" s="6" t="str">
        <f t="shared" si="807"/>
        <v>19001</v>
      </c>
      <c r="AQ2825" s="6">
        <f t="shared" si="808"/>
        <v>1900</v>
      </c>
      <c r="AR2825" s="6">
        <f t="shared" si="809"/>
        <v>1</v>
      </c>
    </row>
    <row r="2826" spans="2:44" x14ac:dyDescent="0.35">
      <c r="B2826" s="6" t="str">
        <f t="shared" si="792"/>
        <v>19001</v>
      </c>
      <c r="C2826" s="6">
        <f t="shared" si="793"/>
        <v>1900</v>
      </c>
      <c r="D2826" s="6">
        <f t="shared" si="794"/>
        <v>1</v>
      </c>
      <c r="J2826" s="6" t="str">
        <f t="shared" si="795"/>
        <v>19001</v>
      </c>
      <c r="K2826" s="6">
        <f t="shared" si="796"/>
        <v>1900</v>
      </c>
      <c r="L2826" s="6">
        <f t="shared" si="797"/>
        <v>1</v>
      </c>
      <c r="R2826" s="6" t="str">
        <f t="shared" si="798"/>
        <v>19001</v>
      </c>
      <c r="S2826" s="6">
        <f t="shared" si="799"/>
        <v>1900</v>
      </c>
      <c r="T2826" s="6">
        <f t="shared" si="800"/>
        <v>1</v>
      </c>
      <c r="Z2826" s="6" t="str">
        <f t="shared" ca="1" si="801"/>
        <v>202511</v>
      </c>
      <c r="AA2826" s="6">
        <f t="shared" ca="1" si="802"/>
        <v>2025</v>
      </c>
      <c r="AB2826" s="6">
        <f t="shared" ca="1" si="803"/>
        <v>11</v>
      </c>
      <c r="AC2826" s="68">
        <f ca="1">IFERROR(__xludf.DUMMYFUNCTION("""COMPUTED_VALUE"""),45986.9986111111)</f>
        <v>45986.998611111099</v>
      </c>
      <c r="AD2826" s="6">
        <f ca="1">IFERROR(__xludf.DUMMYFUNCTION("""COMPUTED_VALUE"""),1464.92)</f>
        <v>1464.92</v>
      </c>
      <c r="AH2826" s="6" t="str">
        <f t="shared" ca="1" si="804"/>
        <v>20259</v>
      </c>
      <c r="AI2826" s="6">
        <f t="shared" ca="1" si="805"/>
        <v>2025</v>
      </c>
      <c r="AJ2826" s="6">
        <f t="shared" ca="1" si="806"/>
        <v>9</v>
      </c>
      <c r="AK2826" s="68">
        <f ca="1">IFERROR(__xludf.DUMMYFUNCTION("""COMPUTED_VALUE"""),45921.9986111111)</f>
        <v>45921.998611111099</v>
      </c>
      <c r="AL2826" s="6">
        <f ca="1">IFERROR(__xludf.DUMMYFUNCTION("""COMPUTED_VALUE"""),115706.1)</f>
        <v>115706.1</v>
      </c>
      <c r="AP2826" s="6" t="str">
        <f t="shared" si="807"/>
        <v>19001</v>
      </c>
      <c r="AQ2826" s="6">
        <f t="shared" si="808"/>
        <v>1900</v>
      </c>
      <c r="AR2826" s="6">
        <f t="shared" si="809"/>
        <v>1</v>
      </c>
    </row>
    <row r="2827" spans="2:44" x14ac:dyDescent="0.35">
      <c r="B2827" s="6" t="str">
        <f t="shared" si="792"/>
        <v>19001</v>
      </c>
      <c r="C2827" s="6">
        <f t="shared" si="793"/>
        <v>1900</v>
      </c>
      <c r="D2827" s="6">
        <f t="shared" si="794"/>
        <v>1</v>
      </c>
      <c r="J2827" s="6" t="str">
        <f t="shared" si="795"/>
        <v>19001</v>
      </c>
      <c r="K2827" s="6">
        <f t="shared" si="796"/>
        <v>1900</v>
      </c>
      <c r="L2827" s="6">
        <f t="shared" si="797"/>
        <v>1</v>
      </c>
      <c r="R2827" s="6" t="str">
        <f t="shared" si="798"/>
        <v>19001</v>
      </c>
      <c r="S2827" s="6">
        <f t="shared" si="799"/>
        <v>1900</v>
      </c>
      <c r="T2827" s="6">
        <f t="shared" si="800"/>
        <v>1</v>
      </c>
      <c r="Z2827" s="6" t="str">
        <f t="shared" ca="1" si="801"/>
        <v>202511</v>
      </c>
      <c r="AA2827" s="6">
        <f t="shared" ca="1" si="802"/>
        <v>2025</v>
      </c>
      <c r="AB2827" s="6">
        <f t="shared" ca="1" si="803"/>
        <v>11</v>
      </c>
      <c r="AC2827" s="68">
        <f ca="1">IFERROR(__xludf.DUMMYFUNCTION("""COMPUTED_VALUE"""),45987.9986111111)</f>
        <v>45987.998611111099</v>
      </c>
      <c r="AD2827" s="6">
        <f ca="1">IFERROR(__xludf.DUMMYFUNCTION("""COMPUTED_VALUE"""),1470.59)</f>
        <v>1470.59</v>
      </c>
      <c r="AH2827" s="6" t="str">
        <f t="shared" ca="1" si="804"/>
        <v>20259</v>
      </c>
      <c r="AI2827" s="6">
        <f t="shared" ca="1" si="805"/>
        <v>2025</v>
      </c>
      <c r="AJ2827" s="6">
        <f t="shared" ca="1" si="806"/>
        <v>9</v>
      </c>
      <c r="AK2827" s="68">
        <f ca="1">IFERROR(__xludf.DUMMYFUNCTION("""COMPUTED_VALUE"""),45922.9986111111)</f>
        <v>45922.998611111099</v>
      </c>
      <c r="AL2827" s="6">
        <f ca="1">IFERROR(__xludf.DUMMYFUNCTION("""COMPUTED_VALUE"""),114688.9)</f>
        <v>114688.9</v>
      </c>
      <c r="AP2827" s="6" t="str">
        <f t="shared" si="807"/>
        <v>19001</v>
      </c>
      <c r="AQ2827" s="6">
        <f t="shared" si="808"/>
        <v>1900</v>
      </c>
      <c r="AR2827" s="6">
        <f t="shared" si="809"/>
        <v>1</v>
      </c>
    </row>
    <row r="2828" spans="2:44" x14ac:dyDescent="0.35">
      <c r="B2828" s="6" t="str">
        <f t="shared" si="792"/>
        <v>19001</v>
      </c>
      <c r="C2828" s="6">
        <f t="shared" si="793"/>
        <v>1900</v>
      </c>
      <c r="D2828" s="6">
        <f t="shared" si="794"/>
        <v>1</v>
      </c>
      <c r="J2828" s="6" t="str">
        <f t="shared" si="795"/>
        <v>19001</v>
      </c>
      <c r="K2828" s="6">
        <f t="shared" si="796"/>
        <v>1900</v>
      </c>
      <c r="L2828" s="6">
        <f t="shared" si="797"/>
        <v>1</v>
      </c>
      <c r="R2828" s="6" t="str">
        <f t="shared" si="798"/>
        <v>19001</v>
      </c>
      <c r="S2828" s="6">
        <f t="shared" si="799"/>
        <v>1900</v>
      </c>
      <c r="T2828" s="6">
        <f t="shared" si="800"/>
        <v>1</v>
      </c>
      <c r="Z2828" s="6" t="str">
        <f t="shared" ca="1" si="801"/>
        <v>202511</v>
      </c>
      <c r="AA2828" s="6">
        <f t="shared" ca="1" si="802"/>
        <v>2025</v>
      </c>
      <c r="AB2828" s="6">
        <f t="shared" ca="1" si="803"/>
        <v>11</v>
      </c>
      <c r="AC2828" s="68">
        <f ca="1">IFERROR(__xludf.DUMMYFUNCTION("""COMPUTED_VALUE"""),45988.9986111111)</f>
        <v>45988.998611111099</v>
      </c>
      <c r="AD2828" s="6">
        <f ca="1">IFERROR(__xludf.DUMMYFUNCTION("""COMPUTED_VALUE"""),1461.4)</f>
        <v>1461.4</v>
      </c>
      <c r="AH2828" s="6" t="str">
        <f t="shared" ca="1" si="804"/>
        <v>20259</v>
      </c>
      <c r="AI2828" s="6">
        <f t="shared" ca="1" si="805"/>
        <v>2025</v>
      </c>
      <c r="AJ2828" s="6">
        <f t="shared" ca="1" si="806"/>
        <v>9</v>
      </c>
      <c r="AK2828" s="68">
        <f ca="1">IFERROR(__xludf.DUMMYFUNCTION("""COMPUTED_VALUE"""),45923.9986111111)</f>
        <v>45923.998611111099</v>
      </c>
      <c r="AL2828" s="6">
        <f ca="1">IFERROR(__xludf.DUMMYFUNCTION("""COMPUTED_VALUE"""),112387.7)</f>
        <v>112387.7</v>
      </c>
      <c r="AP2828" s="6" t="str">
        <f t="shared" si="807"/>
        <v>19001</v>
      </c>
      <c r="AQ2828" s="6">
        <f t="shared" si="808"/>
        <v>1900</v>
      </c>
      <c r="AR2828" s="6">
        <f t="shared" si="809"/>
        <v>1</v>
      </c>
    </row>
    <row r="2829" spans="2:44" x14ac:dyDescent="0.35">
      <c r="B2829" s="6" t="str">
        <f t="shared" si="792"/>
        <v>19001</v>
      </c>
      <c r="C2829" s="6">
        <f t="shared" si="793"/>
        <v>1900</v>
      </c>
      <c r="D2829" s="6">
        <f t="shared" si="794"/>
        <v>1</v>
      </c>
      <c r="J2829" s="6" t="str">
        <f t="shared" si="795"/>
        <v>19001</v>
      </c>
      <c r="K2829" s="6">
        <f t="shared" si="796"/>
        <v>1900</v>
      </c>
      <c r="L2829" s="6">
        <f t="shared" si="797"/>
        <v>1</v>
      </c>
      <c r="R2829" s="6" t="str">
        <f t="shared" si="798"/>
        <v>19001</v>
      </c>
      <c r="S2829" s="6">
        <f t="shared" si="799"/>
        <v>1900</v>
      </c>
      <c r="T2829" s="6">
        <f t="shared" si="800"/>
        <v>1</v>
      </c>
      <c r="Z2829" s="6" t="str">
        <f t="shared" ca="1" si="801"/>
        <v>202511</v>
      </c>
      <c r="AA2829" s="6">
        <f t="shared" ca="1" si="802"/>
        <v>2025</v>
      </c>
      <c r="AB2829" s="6">
        <f t="shared" ca="1" si="803"/>
        <v>11</v>
      </c>
      <c r="AC2829" s="68">
        <f ca="1">IFERROR(__xludf.DUMMYFUNCTION("""COMPUTED_VALUE"""),45989.9986111111)</f>
        <v>45989.998611111099</v>
      </c>
      <c r="AD2829" s="6">
        <f ca="1">IFERROR(__xludf.DUMMYFUNCTION("""COMPUTED_VALUE"""),1466.13)</f>
        <v>1466.13</v>
      </c>
      <c r="AH2829" s="6" t="str">
        <f t="shared" ca="1" si="804"/>
        <v>20259</v>
      </c>
      <c r="AI2829" s="6">
        <f t="shared" ca="1" si="805"/>
        <v>2025</v>
      </c>
      <c r="AJ2829" s="6">
        <f t="shared" ca="1" si="806"/>
        <v>9</v>
      </c>
      <c r="AK2829" s="68">
        <f ca="1">IFERROR(__xludf.DUMMYFUNCTION("""COMPUTED_VALUE"""),45924.9986111111)</f>
        <v>45924.998611111099</v>
      </c>
      <c r="AL2829" s="6">
        <f ca="1">IFERROR(__xludf.DUMMYFUNCTION("""COMPUTED_VALUE"""),111792)</f>
        <v>111792</v>
      </c>
      <c r="AP2829" s="6" t="str">
        <f t="shared" si="807"/>
        <v>19001</v>
      </c>
      <c r="AQ2829" s="6">
        <f t="shared" si="808"/>
        <v>1900</v>
      </c>
      <c r="AR2829" s="6">
        <f t="shared" si="809"/>
        <v>1</v>
      </c>
    </row>
    <row r="2830" spans="2:44" x14ac:dyDescent="0.35">
      <c r="B2830" s="6" t="str">
        <f t="shared" si="792"/>
        <v>19001</v>
      </c>
      <c r="C2830" s="6">
        <f t="shared" si="793"/>
        <v>1900</v>
      </c>
      <c r="D2830" s="6">
        <f t="shared" si="794"/>
        <v>1</v>
      </c>
      <c r="J2830" s="6" t="str">
        <f t="shared" si="795"/>
        <v>19001</v>
      </c>
      <c r="K2830" s="6">
        <f t="shared" si="796"/>
        <v>1900</v>
      </c>
      <c r="L2830" s="6">
        <f t="shared" si="797"/>
        <v>1</v>
      </c>
      <c r="R2830" s="6" t="str">
        <f t="shared" si="798"/>
        <v>19001</v>
      </c>
      <c r="S2830" s="6">
        <f t="shared" si="799"/>
        <v>1900</v>
      </c>
      <c r="T2830" s="6">
        <f t="shared" si="800"/>
        <v>1</v>
      </c>
      <c r="Z2830" s="6" t="str">
        <f t="shared" ca="1" si="801"/>
        <v>202511</v>
      </c>
      <c r="AA2830" s="6">
        <f t="shared" ca="1" si="802"/>
        <v>2025</v>
      </c>
      <c r="AB2830" s="6">
        <f t="shared" ca="1" si="803"/>
        <v>11</v>
      </c>
      <c r="AC2830" s="68">
        <f ca="1">IFERROR(__xludf.DUMMYFUNCTION("""COMPUTED_VALUE"""),45990.9986111111)</f>
        <v>45990.998611111099</v>
      </c>
      <c r="AD2830" s="6">
        <f ca="1">IFERROR(__xludf.DUMMYFUNCTION("""COMPUTED_VALUE"""),1466.13)</f>
        <v>1466.13</v>
      </c>
      <c r="AH2830" s="6" t="str">
        <f t="shared" ca="1" si="804"/>
        <v>20259</v>
      </c>
      <c r="AI2830" s="6">
        <f t="shared" ca="1" si="805"/>
        <v>2025</v>
      </c>
      <c r="AJ2830" s="6">
        <f t="shared" ca="1" si="806"/>
        <v>9</v>
      </c>
      <c r="AK2830" s="68">
        <f ca="1">IFERROR(__xludf.DUMMYFUNCTION("""COMPUTED_VALUE"""),45925.9986111111)</f>
        <v>45925.998611111099</v>
      </c>
      <c r="AL2830" s="6">
        <f ca="1">IFERROR(__xludf.DUMMYFUNCTION("""COMPUTED_VALUE"""),112605.5)</f>
        <v>112605.5</v>
      </c>
      <c r="AP2830" s="6" t="str">
        <f t="shared" si="807"/>
        <v>19001</v>
      </c>
      <c r="AQ2830" s="6">
        <f t="shared" si="808"/>
        <v>1900</v>
      </c>
      <c r="AR2830" s="6">
        <f t="shared" si="809"/>
        <v>1</v>
      </c>
    </row>
    <row r="2831" spans="2:44" x14ac:dyDescent="0.35">
      <c r="B2831" s="6" t="str">
        <f t="shared" si="792"/>
        <v>19001</v>
      </c>
      <c r="C2831" s="6">
        <f t="shared" si="793"/>
        <v>1900</v>
      </c>
      <c r="D2831" s="6">
        <f t="shared" si="794"/>
        <v>1</v>
      </c>
      <c r="J2831" s="6" t="str">
        <f t="shared" si="795"/>
        <v>19001</v>
      </c>
      <c r="K2831" s="6">
        <f t="shared" si="796"/>
        <v>1900</v>
      </c>
      <c r="L2831" s="6">
        <f t="shared" si="797"/>
        <v>1</v>
      </c>
      <c r="R2831" s="6" t="str">
        <f t="shared" si="798"/>
        <v>19001</v>
      </c>
      <c r="S2831" s="6">
        <f t="shared" si="799"/>
        <v>1900</v>
      </c>
      <c r="T2831" s="6">
        <f t="shared" si="800"/>
        <v>1</v>
      </c>
      <c r="Z2831" s="6" t="str">
        <f t="shared" ca="1" si="801"/>
        <v>202511</v>
      </c>
      <c r="AA2831" s="6">
        <f t="shared" ca="1" si="802"/>
        <v>2025</v>
      </c>
      <c r="AB2831" s="6">
        <f t="shared" ca="1" si="803"/>
        <v>11</v>
      </c>
      <c r="AC2831" s="68">
        <f ca="1">IFERROR(__xludf.DUMMYFUNCTION("""COMPUTED_VALUE"""),45991.9986111111)</f>
        <v>45991.998611111099</v>
      </c>
      <c r="AD2831" s="6">
        <f ca="1">IFERROR(__xludf.DUMMYFUNCTION("""COMPUTED_VALUE"""),1465.62)</f>
        <v>1465.62</v>
      </c>
      <c r="AH2831" s="6" t="str">
        <f t="shared" ca="1" si="804"/>
        <v>20259</v>
      </c>
      <c r="AI2831" s="6">
        <f t="shared" ca="1" si="805"/>
        <v>2025</v>
      </c>
      <c r="AJ2831" s="6">
        <f t="shared" ca="1" si="806"/>
        <v>9</v>
      </c>
      <c r="AK2831" s="68">
        <f ca="1">IFERROR(__xludf.DUMMYFUNCTION("""COMPUTED_VALUE"""),45926.9986111111)</f>
        <v>45926.998611111099</v>
      </c>
      <c r="AL2831" s="6">
        <f ca="1">IFERROR(__xludf.DUMMYFUNCTION("""COMPUTED_VALUE"""),109653.5)</f>
        <v>109653.5</v>
      </c>
      <c r="AP2831" s="6" t="str">
        <f t="shared" si="807"/>
        <v>19001</v>
      </c>
      <c r="AQ2831" s="6">
        <f t="shared" si="808"/>
        <v>1900</v>
      </c>
      <c r="AR2831" s="6">
        <f t="shared" si="809"/>
        <v>1</v>
      </c>
    </row>
    <row r="2832" spans="2:44" x14ac:dyDescent="0.35">
      <c r="B2832" s="6" t="str">
        <f t="shared" si="792"/>
        <v>19001</v>
      </c>
      <c r="C2832" s="6">
        <f t="shared" si="793"/>
        <v>1900</v>
      </c>
      <c r="D2832" s="6">
        <f t="shared" si="794"/>
        <v>1</v>
      </c>
      <c r="J2832" s="6" t="str">
        <f t="shared" si="795"/>
        <v>19001</v>
      </c>
      <c r="K2832" s="6">
        <f t="shared" si="796"/>
        <v>1900</v>
      </c>
      <c r="L2832" s="6">
        <f t="shared" si="797"/>
        <v>1</v>
      </c>
      <c r="R2832" s="6" t="str">
        <f t="shared" si="798"/>
        <v>19001</v>
      </c>
      <c r="S2832" s="6">
        <f t="shared" si="799"/>
        <v>1900</v>
      </c>
      <c r="T2832" s="6">
        <f t="shared" si="800"/>
        <v>1</v>
      </c>
      <c r="Z2832" s="6" t="str">
        <f t="shared" ca="1" si="801"/>
        <v>202512</v>
      </c>
      <c r="AA2832" s="6">
        <f t="shared" ca="1" si="802"/>
        <v>2025</v>
      </c>
      <c r="AB2832" s="6">
        <f t="shared" ca="1" si="803"/>
        <v>12</v>
      </c>
      <c r="AC2832" s="68">
        <f ca="1">IFERROR(__xludf.DUMMYFUNCTION("""COMPUTED_VALUE"""),45992.9986111111)</f>
        <v>45992.998611111099</v>
      </c>
      <c r="AD2832" s="6">
        <f ca="1">IFERROR(__xludf.DUMMYFUNCTION("""COMPUTED_VALUE"""),1470.17)</f>
        <v>1470.17</v>
      </c>
      <c r="AH2832" s="6" t="str">
        <f t="shared" ca="1" si="804"/>
        <v>20259</v>
      </c>
      <c r="AI2832" s="6">
        <f t="shared" ca="1" si="805"/>
        <v>2025</v>
      </c>
      <c r="AJ2832" s="6">
        <f t="shared" ca="1" si="806"/>
        <v>9</v>
      </c>
      <c r="AK2832" s="68">
        <f ca="1">IFERROR(__xludf.DUMMYFUNCTION("""COMPUTED_VALUE"""),45927.9986111111)</f>
        <v>45927.998611111099</v>
      </c>
      <c r="AL2832" s="6">
        <f ca="1">IFERROR(__xludf.DUMMYFUNCTION("""COMPUTED_VALUE"""),109648.7)</f>
        <v>109648.7</v>
      </c>
      <c r="AP2832" s="6" t="str">
        <f t="shared" si="807"/>
        <v>19001</v>
      </c>
      <c r="AQ2832" s="6">
        <f t="shared" si="808"/>
        <v>1900</v>
      </c>
      <c r="AR2832" s="6">
        <f t="shared" si="809"/>
        <v>1</v>
      </c>
    </row>
    <row r="2833" spans="2:44" x14ac:dyDescent="0.35">
      <c r="B2833" s="6" t="str">
        <f t="shared" si="792"/>
        <v>19001</v>
      </c>
      <c r="C2833" s="6">
        <f t="shared" si="793"/>
        <v>1900</v>
      </c>
      <c r="D2833" s="6">
        <f t="shared" si="794"/>
        <v>1</v>
      </c>
      <c r="J2833" s="6" t="str">
        <f t="shared" si="795"/>
        <v>19001</v>
      </c>
      <c r="K2833" s="6">
        <f t="shared" si="796"/>
        <v>1900</v>
      </c>
      <c r="L2833" s="6">
        <f t="shared" si="797"/>
        <v>1</v>
      </c>
      <c r="R2833" s="6" t="str">
        <f t="shared" si="798"/>
        <v>19001</v>
      </c>
      <c r="S2833" s="6">
        <f t="shared" si="799"/>
        <v>1900</v>
      </c>
      <c r="T2833" s="6">
        <f t="shared" si="800"/>
        <v>1</v>
      </c>
      <c r="Z2833" s="6" t="str">
        <f t="shared" ca="1" si="801"/>
        <v>202512</v>
      </c>
      <c r="AA2833" s="6">
        <f t="shared" ca="1" si="802"/>
        <v>2025</v>
      </c>
      <c r="AB2833" s="6">
        <f t="shared" ca="1" si="803"/>
        <v>12</v>
      </c>
      <c r="AC2833" s="68">
        <f ca="1">IFERROR(__xludf.DUMMYFUNCTION("""COMPUTED_VALUE"""),45993.9986111111)</f>
        <v>45993.998611111099</v>
      </c>
      <c r="AD2833" s="6">
        <f ca="1">IFERROR(__xludf.DUMMYFUNCTION("""COMPUTED_VALUE"""),1467.36)</f>
        <v>1467.36</v>
      </c>
      <c r="AH2833" s="6" t="str">
        <f t="shared" ca="1" si="804"/>
        <v>20259</v>
      </c>
      <c r="AI2833" s="6">
        <f t="shared" ca="1" si="805"/>
        <v>2025</v>
      </c>
      <c r="AJ2833" s="6">
        <f t="shared" ca="1" si="806"/>
        <v>9</v>
      </c>
      <c r="AK2833" s="68">
        <f ca="1">IFERROR(__xludf.DUMMYFUNCTION("""COMPUTED_VALUE"""),45928.9986111111)</f>
        <v>45928.998611111099</v>
      </c>
      <c r="AL2833" s="6">
        <f ca="1">IFERROR(__xludf.DUMMYFUNCTION("""COMPUTED_VALUE"""),109587.9)</f>
        <v>109587.9</v>
      </c>
      <c r="AP2833" s="6" t="str">
        <f t="shared" si="807"/>
        <v>19001</v>
      </c>
      <c r="AQ2833" s="6">
        <f t="shared" si="808"/>
        <v>1900</v>
      </c>
      <c r="AR2833" s="6">
        <f t="shared" si="809"/>
        <v>1</v>
      </c>
    </row>
    <row r="2834" spans="2:44" x14ac:dyDescent="0.35">
      <c r="B2834" s="6" t="str">
        <f t="shared" si="792"/>
        <v>19001</v>
      </c>
      <c r="C2834" s="6">
        <f t="shared" si="793"/>
        <v>1900</v>
      </c>
      <c r="D2834" s="6">
        <f t="shared" si="794"/>
        <v>1</v>
      </c>
      <c r="J2834" s="6" t="str">
        <f t="shared" si="795"/>
        <v>19001</v>
      </c>
      <c r="K2834" s="6">
        <f t="shared" si="796"/>
        <v>1900</v>
      </c>
      <c r="L2834" s="6">
        <f t="shared" si="797"/>
        <v>1</v>
      </c>
      <c r="R2834" s="6" t="str">
        <f t="shared" si="798"/>
        <v>19001</v>
      </c>
      <c r="S2834" s="6">
        <f t="shared" si="799"/>
        <v>1900</v>
      </c>
      <c r="T2834" s="6">
        <f t="shared" si="800"/>
        <v>1</v>
      </c>
      <c r="Z2834" s="6" t="str">
        <f t="shared" ca="1" si="801"/>
        <v>202512</v>
      </c>
      <c r="AA2834" s="6">
        <f t="shared" ca="1" si="802"/>
        <v>2025</v>
      </c>
      <c r="AB2834" s="6">
        <f t="shared" ca="1" si="803"/>
        <v>12</v>
      </c>
      <c r="AC2834" s="68">
        <f ca="1">IFERROR(__xludf.DUMMYFUNCTION("""COMPUTED_VALUE"""),45994.9986111111)</f>
        <v>45994.998611111099</v>
      </c>
      <c r="AD2834" s="6">
        <f ca="1">IFERROR(__xludf.DUMMYFUNCTION("""COMPUTED_VALUE"""),1465.03)</f>
        <v>1465.03</v>
      </c>
      <c r="AH2834" s="6" t="str">
        <f t="shared" ca="1" si="804"/>
        <v>20259</v>
      </c>
      <c r="AI2834" s="6">
        <f t="shared" ca="1" si="805"/>
        <v>2025</v>
      </c>
      <c r="AJ2834" s="6">
        <f t="shared" ca="1" si="806"/>
        <v>9</v>
      </c>
      <c r="AK2834" s="68">
        <f ca="1">IFERROR(__xludf.DUMMYFUNCTION("""COMPUTED_VALUE"""),45929.9986111111)</f>
        <v>45929.998611111099</v>
      </c>
      <c r="AL2834" s="6">
        <f ca="1">IFERROR(__xludf.DUMMYFUNCTION("""COMPUTED_VALUE"""),111908.8)</f>
        <v>111908.8</v>
      </c>
      <c r="AP2834" s="6" t="str">
        <f t="shared" si="807"/>
        <v>19001</v>
      </c>
      <c r="AQ2834" s="6">
        <f t="shared" si="808"/>
        <v>1900</v>
      </c>
      <c r="AR2834" s="6">
        <f t="shared" si="809"/>
        <v>1</v>
      </c>
    </row>
    <row r="2835" spans="2:44" x14ac:dyDescent="0.35">
      <c r="B2835" s="6" t="str">
        <f t="shared" si="792"/>
        <v>19001</v>
      </c>
      <c r="C2835" s="6">
        <f t="shared" si="793"/>
        <v>1900</v>
      </c>
      <c r="D2835" s="6">
        <f t="shared" si="794"/>
        <v>1</v>
      </c>
      <c r="J2835" s="6" t="str">
        <f t="shared" si="795"/>
        <v>19001</v>
      </c>
      <c r="K2835" s="6">
        <f t="shared" si="796"/>
        <v>1900</v>
      </c>
      <c r="L2835" s="6">
        <f t="shared" si="797"/>
        <v>1</v>
      </c>
      <c r="R2835" s="6" t="str">
        <f t="shared" si="798"/>
        <v>19001</v>
      </c>
      <c r="S2835" s="6">
        <f t="shared" si="799"/>
        <v>1900</v>
      </c>
      <c r="T2835" s="6">
        <f t="shared" si="800"/>
        <v>1</v>
      </c>
      <c r="Z2835" s="6" t="str">
        <f t="shared" ca="1" si="801"/>
        <v>202512</v>
      </c>
      <c r="AA2835" s="6">
        <f t="shared" ca="1" si="802"/>
        <v>2025</v>
      </c>
      <c r="AB2835" s="6">
        <f t="shared" ca="1" si="803"/>
        <v>12</v>
      </c>
      <c r="AC2835" s="68">
        <f ca="1">IFERROR(__xludf.DUMMYFUNCTION("""COMPUTED_VALUE"""),45995.9986111111)</f>
        <v>45995.998611111099</v>
      </c>
      <c r="AD2835" s="6">
        <f ca="1">IFERROR(__xludf.DUMMYFUNCTION("""COMPUTED_VALUE"""),1472.38)</f>
        <v>1472.38</v>
      </c>
      <c r="AH2835" s="6" t="str">
        <f t="shared" ca="1" si="804"/>
        <v>20259</v>
      </c>
      <c r="AI2835" s="6">
        <f t="shared" ca="1" si="805"/>
        <v>2025</v>
      </c>
      <c r="AJ2835" s="6">
        <f t="shared" ca="1" si="806"/>
        <v>9</v>
      </c>
      <c r="AK2835" s="68">
        <f ca="1">IFERROR(__xludf.DUMMYFUNCTION("""COMPUTED_VALUE"""),45930.9986111111)</f>
        <v>45930.998611111099</v>
      </c>
      <c r="AL2835" s="6">
        <f ca="1">IFERROR(__xludf.DUMMYFUNCTION("""COMPUTED_VALUE"""),114433.1)</f>
        <v>114433.1</v>
      </c>
      <c r="AP2835" s="6" t="str">
        <f t="shared" si="807"/>
        <v>19001</v>
      </c>
      <c r="AQ2835" s="6">
        <f t="shared" si="808"/>
        <v>1900</v>
      </c>
      <c r="AR2835" s="6">
        <f t="shared" si="809"/>
        <v>1</v>
      </c>
    </row>
    <row r="2836" spans="2:44" x14ac:dyDescent="0.35">
      <c r="B2836" s="6" t="str">
        <f t="shared" si="792"/>
        <v>19001</v>
      </c>
      <c r="C2836" s="6">
        <f t="shared" si="793"/>
        <v>1900</v>
      </c>
      <c r="D2836" s="6">
        <f t="shared" si="794"/>
        <v>1</v>
      </c>
      <c r="J2836" s="6" t="str">
        <f t="shared" si="795"/>
        <v>19001</v>
      </c>
      <c r="K2836" s="6">
        <f t="shared" si="796"/>
        <v>1900</v>
      </c>
      <c r="L2836" s="6">
        <f t="shared" si="797"/>
        <v>1</v>
      </c>
      <c r="R2836" s="6" t="str">
        <f t="shared" si="798"/>
        <v>19001</v>
      </c>
      <c r="S2836" s="6">
        <f t="shared" si="799"/>
        <v>1900</v>
      </c>
      <c r="T2836" s="6">
        <f t="shared" si="800"/>
        <v>1</v>
      </c>
      <c r="Z2836" s="6" t="str">
        <f t="shared" ca="1" si="801"/>
        <v>202512</v>
      </c>
      <c r="AA2836" s="6">
        <f t="shared" ca="1" si="802"/>
        <v>2025</v>
      </c>
      <c r="AB2836" s="6">
        <f t="shared" ca="1" si="803"/>
        <v>12</v>
      </c>
      <c r="AC2836" s="68">
        <f ca="1">IFERROR(__xludf.DUMMYFUNCTION("""COMPUTED_VALUE"""),45996.9986111111)</f>
        <v>45996.998611111099</v>
      </c>
      <c r="AD2836" s="6">
        <f ca="1">IFERROR(__xludf.DUMMYFUNCTION("""COMPUTED_VALUE"""),1472.7)</f>
        <v>1472.7</v>
      </c>
      <c r="AH2836" s="6" t="str">
        <f t="shared" ca="1" si="804"/>
        <v>202510</v>
      </c>
      <c r="AI2836" s="6">
        <f t="shared" ca="1" si="805"/>
        <v>2025</v>
      </c>
      <c r="AJ2836" s="6">
        <f t="shared" ca="1" si="806"/>
        <v>10</v>
      </c>
      <c r="AK2836" s="68">
        <f ca="1">IFERROR(__xludf.DUMMYFUNCTION("""COMPUTED_VALUE"""),45931.9986111111)</f>
        <v>45931.998611111099</v>
      </c>
      <c r="AL2836" s="6">
        <f ca="1">IFERROR(__xludf.DUMMYFUNCTION("""COMPUTED_VALUE"""),114193.7)</f>
        <v>114193.7</v>
      </c>
      <c r="AP2836" s="6" t="str">
        <f t="shared" si="807"/>
        <v>19001</v>
      </c>
      <c r="AQ2836" s="6">
        <f t="shared" si="808"/>
        <v>1900</v>
      </c>
      <c r="AR2836" s="6">
        <f t="shared" si="809"/>
        <v>1</v>
      </c>
    </row>
    <row r="2837" spans="2:44" x14ac:dyDescent="0.35">
      <c r="B2837" s="6" t="str">
        <f t="shared" si="792"/>
        <v>19001</v>
      </c>
      <c r="C2837" s="6">
        <f t="shared" si="793"/>
        <v>1900</v>
      </c>
      <c r="D2837" s="6">
        <f t="shared" si="794"/>
        <v>1</v>
      </c>
      <c r="J2837" s="6" t="str">
        <f t="shared" si="795"/>
        <v>19001</v>
      </c>
      <c r="K2837" s="6">
        <f t="shared" si="796"/>
        <v>1900</v>
      </c>
      <c r="L2837" s="6">
        <f t="shared" si="797"/>
        <v>1</v>
      </c>
      <c r="R2837" s="6" t="str">
        <f t="shared" si="798"/>
        <v>19001</v>
      </c>
      <c r="S2837" s="6">
        <f t="shared" si="799"/>
        <v>1900</v>
      </c>
      <c r="T2837" s="6">
        <f t="shared" si="800"/>
        <v>1</v>
      </c>
      <c r="Z2837" s="6" t="str">
        <f t="shared" ca="1" si="801"/>
        <v>202512</v>
      </c>
      <c r="AA2837" s="6">
        <f t="shared" ca="1" si="802"/>
        <v>2025</v>
      </c>
      <c r="AB2837" s="6">
        <f t="shared" ca="1" si="803"/>
        <v>12</v>
      </c>
      <c r="AC2837" s="68">
        <f ca="1">IFERROR(__xludf.DUMMYFUNCTION("""COMPUTED_VALUE"""),45997.9986111111)</f>
        <v>45997.998611111099</v>
      </c>
      <c r="AD2837" s="6">
        <f ca="1">IFERROR(__xludf.DUMMYFUNCTION("""COMPUTED_VALUE"""),1472.3)</f>
        <v>1472.3</v>
      </c>
      <c r="AH2837" s="6" t="str">
        <f t="shared" ca="1" si="804"/>
        <v>202510</v>
      </c>
      <c r="AI2837" s="6">
        <f t="shared" ca="1" si="805"/>
        <v>2025</v>
      </c>
      <c r="AJ2837" s="6">
        <f t="shared" ca="1" si="806"/>
        <v>10</v>
      </c>
      <c r="AK2837" s="68">
        <f ca="1">IFERROR(__xludf.DUMMYFUNCTION("""COMPUTED_VALUE"""),45932.9986111111)</f>
        <v>45932.998611111099</v>
      </c>
      <c r="AL2837" s="6">
        <f ca="1">IFERROR(__xludf.DUMMYFUNCTION("""COMPUTED_VALUE"""),118786.4)</f>
        <v>118786.4</v>
      </c>
      <c r="AP2837" s="6" t="str">
        <f t="shared" si="807"/>
        <v>19001</v>
      </c>
      <c r="AQ2837" s="6">
        <f t="shared" si="808"/>
        <v>1900</v>
      </c>
      <c r="AR2837" s="6">
        <f t="shared" si="809"/>
        <v>1</v>
      </c>
    </row>
    <row r="2838" spans="2:44" x14ac:dyDescent="0.35">
      <c r="B2838" s="6" t="str">
        <f t="shared" si="792"/>
        <v>19001</v>
      </c>
      <c r="C2838" s="6">
        <f t="shared" si="793"/>
        <v>1900</v>
      </c>
      <c r="D2838" s="6">
        <f t="shared" si="794"/>
        <v>1</v>
      </c>
      <c r="J2838" s="6" t="str">
        <f t="shared" si="795"/>
        <v>19001</v>
      </c>
      <c r="K2838" s="6">
        <f t="shared" si="796"/>
        <v>1900</v>
      </c>
      <c r="L2838" s="6">
        <f t="shared" si="797"/>
        <v>1</v>
      </c>
      <c r="R2838" s="6" t="str">
        <f t="shared" si="798"/>
        <v>19001</v>
      </c>
      <c r="S2838" s="6">
        <f t="shared" si="799"/>
        <v>1900</v>
      </c>
      <c r="T2838" s="6">
        <f t="shared" si="800"/>
        <v>1</v>
      </c>
      <c r="Z2838" s="6" t="str">
        <f t="shared" ca="1" si="801"/>
        <v>202512</v>
      </c>
      <c r="AA2838" s="6">
        <f t="shared" ca="1" si="802"/>
        <v>2025</v>
      </c>
      <c r="AB2838" s="6">
        <f t="shared" ca="1" si="803"/>
        <v>12</v>
      </c>
      <c r="AC2838" s="68">
        <f ca="1">IFERROR(__xludf.DUMMYFUNCTION("""COMPUTED_VALUE"""),45998.9986111111)</f>
        <v>45998.998611111099</v>
      </c>
      <c r="AD2838" s="6">
        <f ca="1">IFERROR(__xludf.DUMMYFUNCTION("""COMPUTED_VALUE"""),1471.81)</f>
        <v>1471.81</v>
      </c>
      <c r="AH2838" s="6" t="str">
        <f t="shared" ca="1" si="804"/>
        <v>202510</v>
      </c>
      <c r="AI2838" s="6">
        <f t="shared" ca="1" si="805"/>
        <v>2025</v>
      </c>
      <c r="AJ2838" s="6">
        <f t="shared" ca="1" si="806"/>
        <v>10</v>
      </c>
      <c r="AK2838" s="68">
        <f ca="1">IFERROR(__xludf.DUMMYFUNCTION("""COMPUTED_VALUE"""),45933.9986111111)</f>
        <v>45933.998611111099</v>
      </c>
      <c r="AL2838" s="6">
        <f ca="1">IFERROR(__xludf.DUMMYFUNCTION("""COMPUTED_VALUE"""),120281.6)</f>
        <v>120281.60000000001</v>
      </c>
      <c r="AP2838" s="6" t="str">
        <f t="shared" si="807"/>
        <v>19001</v>
      </c>
      <c r="AQ2838" s="6">
        <f t="shared" si="808"/>
        <v>1900</v>
      </c>
      <c r="AR2838" s="6">
        <f t="shared" si="809"/>
        <v>1</v>
      </c>
    </row>
    <row r="2839" spans="2:44" x14ac:dyDescent="0.35">
      <c r="B2839" s="6" t="str">
        <f t="shared" si="792"/>
        <v>19001</v>
      </c>
      <c r="C2839" s="6">
        <f t="shared" si="793"/>
        <v>1900</v>
      </c>
      <c r="D2839" s="6">
        <f t="shared" si="794"/>
        <v>1</v>
      </c>
      <c r="J2839" s="6" t="str">
        <f t="shared" si="795"/>
        <v>19001</v>
      </c>
      <c r="K2839" s="6">
        <f t="shared" si="796"/>
        <v>1900</v>
      </c>
      <c r="L2839" s="6">
        <f t="shared" si="797"/>
        <v>1</v>
      </c>
      <c r="R2839" s="6" t="str">
        <f t="shared" si="798"/>
        <v>19001</v>
      </c>
      <c r="S2839" s="6">
        <f t="shared" si="799"/>
        <v>1900</v>
      </c>
      <c r="T2839" s="6">
        <f t="shared" si="800"/>
        <v>1</v>
      </c>
      <c r="Z2839" s="6" t="str">
        <f t="shared" ca="1" si="801"/>
        <v>202512</v>
      </c>
      <c r="AA2839" s="6">
        <f t="shared" ca="1" si="802"/>
        <v>2025</v>
      </c>
      <c r="AB2839" s="6">
        <f t="shared" ca="1" si="803"/>
        <v>12</v>
      </c>
      <c r="AC2839" s="68">
        <f ca="1">IFERROR(__xludf.DUMMYFUNCTION("""COMPUTED_VALUE"""),45999.9986111111)</f>
        <v>45999.998611111099</v>
      </c>
      <c r="AD2839" s="6">
        <f ca="1">IFERROR(__xludf.DUMMYFUNCTION("""COMPUTED_VALUE"""),1468.51)</f>
        <v>1468.51</v>
      </c>
      <c r="AH2839" s="6" t="str">
        <f t="shared" ca="1" si="804"/>
        <v>202510</v>
      </c>
      <c r="AI2839" s="6">
        <f t="shared" ca="1" si="805"/>
        <v>2025</v>
      </c>
      <c r="AJ2839" s="6">
        <f t="shared" ca="1" si="806"/>
        <v>10</v>
      </c>
      <c r="AK2839" s="68">
        <f ca="1">IFERROR(__xludf.DUMMYFUNCTION("""COMPUTED_VALUE"""),45934.9986111111)</f>
        <v>45934.998611111099</v>
      </c>
      <c r="AL2839" s="6">
        <f ca="1">IFERROR(__xludf.DUMMYFUNCTION("""COMPUTED_VALUE"""),122260.8)</f>
        <v>122260.8</v>
      </c>
      <c r="AP2839" s="6" t="str">
        <f t="shared" si="807"/>
        <v>19001</v>
      </c>
      <c r="AQ2839" s="6">
        <f t="shared" si="808"/>
        <v>1900</v>
      </c>
      <c r="AR2839" s="6">
        <f t="shared" si="809"/>
        <v>1</v>
      </c>
    </row>
    <row r="2840" spans="2:44" x14ac:dyDescent="0.35">
      <c r="B2840" s="6" t="str">
        <f t="shared" si="792"/>
        <v>19001</v>
      </c>
      <c r="C2840" s="6">
        <f t="shared" si="793"/>
        <v>1900</v>
      </c>
      <c r="D2840" s="6">
        <f t="shared" si="794"/>
        <v>1</v>
      </c>
      <c r="J2840" s="6" t="str">
        <f t="shared" si="795"/>
        <v>19001</v>
      </c>
      <c r="K2840" s="6">
        <f t="shared" si="796"/>
        <v>1900</v>
      </c>
      <c r="L2840" s="6">
        <f t="shared" si="797"/>
        <v>1</v>
      </c>
      <c r="R2840" s="6" t="str">
        <f t="shared" si="798"/>
        <v>19001</v>
      </c>
      <c r="S2840" s="6">
        <f t="shared" si="799"/>
        <v>1900</v>
      </c>
      <c r="T2840" s="6">
        <f t="shared" si="800"/>
        <v>1</v>
      </c>
      <c r="Z2840" s="6" t="str">
        <f t="shared" ca="1" si="801"/>
        <v>202512</v>
      </c>
      <c r="AA2840" s="6">
        <f t="shared" ca="1" si="802"/>
        <v>2025</v>
      </c>
      <c r="AB2840" s="6">
        <f t="shared" ca="1" si="803"/>
        <v>12</v>
      </c>
      <c r="AC2840" s="68">
        <f ca="1">IFERROR(__xludf.DUMMYFUNCTION("""COMPUTED_VALUE"""),46000.9986111111)</f>
        <v>46000.998611111099</v>
      </c>
      <c r="AD2840" s="6">
        <f ca="1">IFERROR(__xludf.DUMMYFUNCTION("""COMPUTED_VALUE"""),1467.93)</f>
        <v>1467.93</v>
      </c>
      <c r="AH2840" s="6" t="str">
        <f t="shared" ca="1" si="804"/>
        <v>202510</v>
      </c>
      <c r="AI2840" s="6">
        <f t="shared" ca="1" si="805"/>
        <v>2025</v>
      </c>
      <c r="AJ2840" s="6">
        <f t="shared" ca="1" si="806"/>
        <v>10</v>
      </c>
      <c r="AK2840" s="68">
        <f ca="1">IFERROR(__xludf.DUMMYFUNCTION("""COMPUTED_VALUE"""),45935.9986111111)</f>
        <v>45935.998611111099</v>
      </c>
      <c r="AL2840" s="6">
        <f ca="1">IFERROR(__xludf.DUMMYFUNCTION("""COMPUTED_VALUE"""),123742.9)</f>
        <v>123742.9</v>
      </c>
      <c r="AP2840" s="6" t="str">
        <f t="shared" si="807"/>
        <v>19001</v>
      </c>
      <c r="AQ2840" s="6">
        <f t="shared" si="808"/>
        <v>1900</v>
      </c>
      <c r="AR2840" s="6">
        <f t="shared" si="809"/>
        <v>1</v>
      </c>
    </row>
    <row r="2841" spans="2:44" x14ac:dyDescent="0.35">
      <c r="B2841" s="6" t="str">
        <f t="shared" si="792"/>
        <v>19001</v>
      </c>
      <c r="C2841" s="6">
        <f t="shared" si="793"/>
        <v>1900</v>
      </c>
      <c r="D2841" s="6">
        <f t="shared" si="794"/>
        <v>1</v>
      </c>
      <c r="J2841" s="6" t="str">
        <f t="shared" si="795"/>
        <v>19001</v>
      </c>
      <c r="K2841" s="6">
        <f t="shared" si="796"/>
        <v>1900</v>
      </c>
      <c r="L2841" s="6">
        <f t="shared" si="797"/>
        <v>1</v>
      </c>
      <c r="R2841" s="6" t="str">
        <f t="shared" si="798"/>
        <v>19001</v>
      </c>
      <c r="S2841" s="6">
        <f t="shared" si="799"/>
        <v>1900</v>
      </c>
      <c r="T2841" s="6">
        <f t="shared" si="800"/>
        <v>1</v>
      </c>
      <c r="Z2841" s="6" t="str">
        <f t="shared" ca="1" si="801"/>
        <v>202512</v>
      </c>
      <c r="AA2841" s="6">
        <f t="shared" ca="1" si="802"/>
        <v>2025</v>
      </c>
      <c r="AB2841" s="6">
        <f t="shared" ca="1" si="803"/>
        <v>12</v>
      </c>
      <c r="AC2841" s="68">
        <f ca="1">IFERROR(__xludf.DUMMYFUNCTION("""COMPUTED_VALUE"""),46001.9986111111)</f>
        <v>46001.998611111099</v>
      </c>
      <c r="AD2841" s="6">
        <f ca="1">IFERROR(__xludf.DUMMYFUNCTION("""COMPUTED_VALUE"""),1469.04)</f>
        <v>1469.04</v>
      </c>
      <c r="AH2841" s="6" t="str">
        <f t="shared" ca="1" si="804"/>
        <v>202510</v>
      </c>
      <c r="AI2841" s="6">
        <f t="shared" ca="1" si="805"/>
        <v>2025</v>
      </c>
      <c r="AJ2841" s="6">
        <f t="shared" ca="1" si="806"/>
        <v>10</v>
      </c>
      <c r="AK2841" s="68">
        <f ca="1">IFERROR(__xludf.DUMMYFUNCTION("""COMPUTED_VALUE"""),45936.9986111111)</f>
        <v>45936.998611111099</v>
      </c>
      <c r="AL2841" s="6">
        <f ca="1">IFERROR(__xludf.DUMMYFUNCTION("""COMPUTED_VALUE"""),123857.1)</f>
        <v>123857.1</v>
      </c>
      <c r="AP2841" s="6" t="str">
        <f t="shared" si="807"/>
        <v>19001</v>
      </c>
      <c r="AQ2841" s="6">
        <f t="shared" si="808"/>
        <v>1900</v>
      </c>
      <c r="AR2841" s="6">
        <f t="shared" si="809"/>
        <v>1</v>
      </c>
    </row>
    <row r="2842" spans="2:44" x14ac:dyDescent="0.35">
      <c r="B2842" s="6" t="str">
        <f t="shared" si="792"/>
        <v>19001</v>
      </c>
      <c r="C2842" s="6">
        <f t="shared" si="793"/>
        <v>1900</v>
      </c>
      <c r="D2842" s="6">
        <f t="shared" si="794"/>
        <v>1</v>
      </c>
      <c r="J2842" s="6" t="str">
        <f t="shared" si="795"/>
        <v>19001</v>
      </c>
      <c r="K2842" s="6">
        <f t="shared" si="796"/>
        <v>1900</v>
      </c>
      <c r="L2842" s="6">
        <f t="shared" si="797"/>
        <v>1</v>
      </c>
      <c r="R2842" s="6" t="str">
        <f t="shared" si="798"/>
        <v>19001</v>
      </c>
      <c r="S2842" s="6">
        <f t="shared" si="799"/>
        <v>1900</v>
      </c>
      <c r="T2842" s="6">
        <f t="shared" si="800"/>
        <v>1</v>
      </c>
      <c r="Z2842" s="6" t="str">
        <f t="shared" ca="1" si="801"/>
        <v>202512</v>
      </c>
      <c r="AA2842" s="6">
        <f t="shared" ca="1" si="802"/>
        <v>2025</v>
      </c>
      <c r="AB2842" s="6">
        <f t="shared" ca="1" si="803"/>
        <v>12</v>
      </c>
      <c r="AC2842" s="68">
        <f ca="1">IFERROR(__xludf.DUMMYFUNCTION("""COMPUTED_VALUE"""),46002.9986111111)</f>
        <v>46002.998611111099</v>
      </c>
      <c r="AD2842" s="6">
        <f ca="1">IFERROR(__xludf.DUMMYFUNCTION("""COMPUTED_VALUE"""),1470.85)</f>
        <v>1470.85</v>
      </c>
      <c r="AH2842" s="6" t="str">
        <f t="shared" ca="1" si="804"/>
        <v>202510</v>
      </c>
      <c r="AI2842" s="6">
        <f t="shared" ca="1" si="805"/>
        <v>2025</v>
      </c>
      <c r="AJ2842" s="6">
        <f t="shared" ca="1" si="806"/>
        <v>10</v>
      </c>
      <c r="AK2842" s="68">
        <f ca="1">IFERROR(__xludf.DUMMYFUNCTION("""COMPUTED_VALUE"""),45937.9986111111)</f>
        <v>45937.998611111099</v>
      </c>
      <c r="AL2842" s="6">
        <f ca="1">IFERROR(__xludf.DUMMYFUNCTION("""COMPUTED_VALUE"""),124310.6)</f>
        <v>124310.6</v>
      </c>
      <c r="AP2842" s="6" t="str">
        <f t="shared" si="807"/>
        <v>19001</v>
      </c>
      <c r="AQ2842" s="6">
        <f t="shared" si="808"/>
        <v>1900</v>
      </c>
      <c r="AR2842" s="6">
        <f t="shared" si="809"/>
        <v>1</v>
      </c>
    </row>
    <row r="2843" spans="2:44" x14ac:dyDescent="0.35">
      <c r="B2843" s="6" t="str">
        <f t="shared" si="792"/>
        <v>19001</v>
      </c>
      <c r="C2843" s="6">
        <f t="shared" si="793"/>
        <v>1900</v>
      </c>
      <c r="D2843" s="6">
        <f t="shared" si="794"/>
        <v>1</v>
      </c>
      <c r="J2843" s="6" t="str">
        <f t="shared" si="795"/>
        <v>19001</v>
      </c>
      <c r="K2843" s="6">
        <f t="shared" si="796"/>
        <v>1900</v>
      </c>
      <c r="L2843" s="6">
        <f t="shared" si="797"/>
        <v>1</v>
      </c>
      <c r="R2843" s="6" t="str">
        <f t="shared" si="798"/>
        <v>19001</v>
      </c>
      <c r="S2843" s="6">
        <f t="shared" si="799"/>
        <v>1900</v>
      </c>
      <c r="T2843" s="6">
        <f t="shared" si="800"/>
        <v>1</v>
      </c>
      <c r="Z2843" s="6" t="str">
        <f t="shared" ca="1" si="801"/>
        <v>202512</v>
      </c>
      <c r="AA2843" s="6">
        <f t="shared" ca="1" si="802"/>
        <v>2025</v>
      </c>
      <c r="AB2843" s="6">
        <f t="shared" ca="1" si="803"/>
        <v>12</v>
      </c>
      <c r="AC2843" s="68">
        <f ca="1">IFERROR(__xludf.DUMMYFUNCTION("""COMPUTED_VALUE"""),46003.9986111111)</f>
        <v>46003.998611111099</v>
      </c>
      <c r="AD2843" s="6">
        <f ca="1">IFERROR(__xludf.DUMMYFUNCTION("""COMPUTED_VALUE"""),1474.05)</f>
        <v>1474.05</v>
      </c>
      <c r="AH2843" s="6" t="str">
        <f t="shared" ca="1" si="804"/>
        <v>202510</v>
      </c>
      <c r="AI2843" s="6">
        <f t="shared" ca="1" si="805"/>
        <v>2025</v>
      </c>
      <c r="AJ2843" s="6">
        <f t="shared" ca="1" si="806"/>
        <v>10</v>
      </c>
      <c r="AK2843" s="68">
        <f ca="1">IFERROR(__xludf.DUMMYFUNCTION("""COMPUTED_VALUE"""),45938.9986111111)</f>
        <v>45938.998611111099</v>
      </c>
      <c r="AL2843" s="6">
        <f ca="1">IFERROR(__xludf.DUMMYFUNCTION("""COMPUTED_VALUE"""),121424.4)</f>
        <v>121424.4</v>
      </c>
      <c r="AP2843" s="6" t="str">
        <f t="shared" si="807"/>
        <v>19001</v>
      </c>
      <c r="AQ2843" s="6">
        <f t="shared" si="808"/>
        <v>1900</v>
      </c>
      <c r="AR2843" s="6">
        <f t="shared" si="809"/>
        <v>1</v>
      </c>
    </row>
    <row r="2844" spans="2:44" x14ac:dyDescent="0.35">
      <c r="B2844" s="6" t="str">
        <f t="shared" si="792"/>
        <v>19001</v>
      </c>
      <c r="C2844" s="6">
        <f t="shared" si="793"/>
        <v>1900</v>
      </c>
      <c r="D2844" s="6">
        <f t="shared" si="794"/>
        <v>1</v>
      </c>
      <c r="J2844" s="6" t="str">
        <f t="shared" si="795"/>
        <v>19001</v>
      </c>
      <c r="K2844" s="6">
        <f t="shared" si="796"/>
        <v>1900</v>
      </c>
      <c r="L2844" s="6">
        <f t="shared" si="797"/>
        <v>1</v>
      </c>
      <c r="R2844" s="6" t="str">
        <f t="shared" si="798"/>
        <v>19001</v>
      </c>
      <c r="S2844" s="6">
        <f t="shared" si="799"/>
        <v>1900</v>
      </c>
      <c r="T2844" s="6">
        <f t="shared" si="800"/>
        <v>1</v>
      </c>
      <c r="Z2844" s="6" t="str">
        <f t="shared" ca="1" si="801"/>
        <v>202512</v>
      </c>
      <c r="AA2844" s="6">
        <f t="shared" ca="1" si="802"/>
        <v>2025</v>
      </c>
      <c r="AB2844" s="6">
        <f t="shared" ca="1" si="803"/>
        <v>12</v>
      </c>
      <c r="AC2844" s="68">
        <f ca="1">IFERROR(__xludf.DUMMYFUNCTION("""COMPUTED_VALUE"""),46004.9986111111)</f>
        <v>46004.998611111099</v>
      </c>
      <c r="AD2844" s="6">
        <f ca="1">IFERROR(__xludf.DUMMYFUNCTION("""COMPUTED_VALUE"""),1473.05)</f>
        <v>1473.05</v>
      </c>
      <c r="AH2844" s="6" t="str">
        <f t="shared" ca="1" si="804"/>
        <v>202510</v>
      </c>
      <c r="AI2844" s="6">
        <f t="shared" ca="1" si="805"/>
        <v>2025</v>
      </c>
      <c r="AJ2844" s="6">
        <f t="shared" ca="1" si="806"/>
        <v>10</v>
      </c>
      <c r="AK2844" s="68">
        <f ca="1">IFERROR(__xludf.DUMMYFUNCTION("""COMPUTED_VALUE"""),45939.9986111111)</f>
        <v>45939.998611111099</v>
      </c>
      <c r="AL2844" s="6">
        <f ca="1">IFERROR(__xludf.DUMMYFUNCTION("""COMPUTED_VALUE"""),122059.6)</f>
        <v>122059.6</v>
      </c>
      <c r="AP2844" s="6" t="str">
        <f t="shared" si="807"/>
        <v>19001</v>
      </c>
      <c r="AQ2844" s="6">
        <f t="shared" si="808"/>
        <v>1900</v>
      </c>
      <c r="AR2844" s="6">
        <f t="shared" si="809"/>
        <v>1</v>
      </c>
    </row>
    <row r="2845" spans="2:44" x14ac:dyDescent="0.35">
      <c r="B2845" s="6" t="str">
        <f t="shared" si="792"/>
        <v>19001</v>
      </c>
      <c r="C2845" s="6">
        <f t="shared" si="793"/>
        <v>1900</v>
      </c>
      <c r="D2845" s="6">
        <f t="shared" si="794"/>
        <v>1</v>
      </c>
      <c r="J2845" s="6" t="str">
        <f t="shared" si="795"/>
        <v>19001</v>
      </c>
      <c r="K2845" s="6">
        <f t="shared" si="796"/>
        <v>1900</v>
      </c>
      <c r="L2845" s="6">
        <f t="shared" si="797"/>
        <v>1</v>
      </c>
      <c r="R2845" s="6" t="str">
        <f t="shared" si="798"/>
        <v>19001</v>
      </c>
      <c r="S2845" s="6">
        <f t="shared" si="799"/>
        <v>1900</v>
      </c>
      <c r="T2845" s="6">
        <f t="shared" si="800"/>
        <v>1</v>
      </c>
      <c r="Z2845" s="6" t="str">
        <f t="shared" ca="1" si="801"/>
        <v>202512</v>
      </c>
      <c r="AA2845" s="6">
        <f t="shared" ca="1" si="802"/>
        <v>2025</v>
      </c>
      <c r="AB2845" s="6">
        <f t="shared" ca="1" si="803"/>
        <v>12</v>
      </c>
      <c r="AC2845" s="68">
        <f ca="1">IFERROR(__xludf.DUMMYFUNCTION("""COMPUTED_VALUE"""),46005.9986111111)</f>
        <v>46005.998611111099</v>
      </c>
      <c r="AD2845" s="6">
        <f ca="1">IFERROR(__xludf.DUMMYFUNCTION("""COMPUTED_VALUE"""),1472.91)</f>
        <v>1472.91</v>
      </c>
      <c r="AH2845" s="6" t="str">
        <f t="shared" ca="1" si="804"/>
        <v>202510</v>
      </c>
      <c r="AI2845" s="6">
        <f t="shared" ca="1" si="805"/>
        <v>2025</v>
      </c>
      <c r="AJ2845" s="6">
        <f t="shared" ca="1" si="806"/>
        <v>10</v>
      </c>
      <c r="AK2845" s="68">
        <f ca="1">IFERROR(__xludf.DUMMYFUNCTION("""COMPUTED_VALUE"""),45940.9986111111)</f>
        <v>45940.998611111099</v>
      </c>
      <c r="AL2845" s="6">
        <f ca="1">IFERROR(__xludf.DUMMYFUNCTION("""COMPUTED_VALUE"""),121146)</f>
        <v>121146</v>
      </c>
      <c r="AP2845" s="6" t="str">
        <f t="shared" si="807"/>
        <v>19001</v>
      </c>
      <c r="AQ2845" s="6">
        <f t="shared" si="808"/>
        <v>1900</v>
      </c>
      <c r="AR2845" s="6">
        <f t="shared" si="809"/>
        <v>1</v>
      </c>
    </row>
    <row r="2846" spans="2:44" x14ac:dyDescent="0.35">
      <c r="B2846" s="6" t="str">
        <f t="shared" si="792"/>
        <v>19001</v>
      </c>
      <c r="C2846" s="6">
        <f t="shared" si="793"/>
        <v>1900</v>
      </c>
      <c r="D2846" s="6">
        <f t="shared" si="794"/>
        <v>1</v>
      </c>
      <c r="J2846" s="6" t="str">
        <f t="shared" si="795"/>
        <v>19001</v>
      </c>
      <c r="K2846" s="6">
        <f t="shared" si="796"/>
        <v>1900</v>
      </c>
      <c r="L2846" s="6">
        <f t="shared" si="797"/>
        <v>1</v>
      </c>
      <c r="R2846" s="6" t="str">
        <f t="shared" si="798"/>
        <v>19001</v>
      </c>
      <c r="S2846" s="6">
        <f t="shared" si="799"/>
        <v>1900</v>
      </c>
      <c r="T2846" s="6">
        <f t="shared" si="800"/>
        <v>1</v>
      </c>
      <c r="Z2846" s="6" t="str">
        <f t="shared" ca="1" si="801"/>
        <v>202512</v>
      </c>
      <c r="AA2846" s="6">
        <f t="shared" ca="1" si="802"/>
        <v>2025</v>
      </c>
      <c r="AB2846" s="6">
        <f t="shared" ca="1" si="803"/>
        <v>12</v>
      </c>
      <c r="AC2846" s="68">
        <f ca="1">IFERROR(__xludf.DUMMYFUNCTION("""COMPUTED_VALUE"""),46006.9986111111)</f>
        <v>46006.998611111099</v>
      </c>
      <c r="AD2846" s="6">
        <f ca="1">IFERROR(__xludf.DUMMYFUNCTION("""COMPUTED_VALUE"""),1467.48)</f>
        <v>1467.48</v>
      </c>
      <c r="AH2846" s="6" t="str">
        <f t="shared" ca="1" si="804"/>
        <v>202510</v>
      </c>
      <c r="AI2846" s="6">
        <f t="shared" ca="1" si="805"/>
        <v>2025</v>
      </c>
      <c r="AJ2846" s="6">
        <f t="shared" ca="1" si="806"/>
        <v>10</v>
      </c>
      <c r="AK2846" s="68">
        <f ca="1">IFERROR(__xludf.DUMMYFUNCTION("""COMPUTED_VALUE"""),45941.9986111111)</f>
        <v>45941.998611111099</v>
      </c>
      <c r="AL2846" s="6">
        <f ca="1">IFERROR(__xludf.DUMMYFUNCTION("""COMPUTED_VALUE"""),112580.3)</f>
        <v>112580.3</v>
      </c>
      <c r="AP2846" s="6" t="str">
        <f t="shared" si="807"/>
        <v>19001</v>
      </c>
      <c r="AQ2846" s="6">
        <f t="shared" si="808"/>
        <v>1900</v>
      </c>
      <c r="AR2846" s="6">
        <f t="shared" si="809"/>
        <v>1</v>
      </c>
    </row>
    <row r="2847" spans="2:44" x14ac:dyDescent="0.35">
      <c r="B2847" s="6" t="str">
        <f t="shared" si="792"/>
        <v>19001</v>
      </c>
      <c r="C2847" s="6">
        <f t="shared" si="793"/>
        <v>1900</v>
      </c>
      <c r="D2847" s="6">
        <f t="shared" si="794"/>
        <v>1</v>
      </c>
      <c r="J2847" s="6" t="str">
        <f t="shared" si="795"/>
        <v>19001</v>
      </c>
      <c r="K2847" s="6">
        <f t="shared" si="796"/>
        <v>1900</v>
      </c>
      <c r="L2847" s="6">
        <f t="shared" si="797"/>
        <v>1</v>
      </c>
      <c r="R2847" s="6" t="str">
        <f t="shared" si="798"/>
        <v>19001</v>
      </c>
      <c r="S2847" s="6">
        <f t="shared" si="799"/>
        <v>1900</v>
      </c>
      <c r="T2847" s="6">
        <f t="shared" si="800"/>
        <v>1</v>
      </c>
      <c r="Z2847" s="6" t="str">
        <f t="shared" ca="1" si="801"/>
        <v>202512</v>
      </c>
      <c r="AA2847" s="6">
        <f t="shared" ca="1" si="802"/>
        <v>2025</v>
      </c>
      <c r="AB2847" s="6">
        <f t="shared" ca="1" si="803"/>
        <v>12</v>
      </c>
      <c r="AC2847" s="68">
        <f ca="1">IFERROR(__xludf.DUMMYFUNCTION("""COMPUTED_VALUE"""),46007.9986111111)</f>
        <v>46007.998611111099</v>
      </c>
      <c r="AD2847" s="6">
        <f ca="1">IFERROR(__xludf.DUMMYFUNCTION("""COMPUTED_VALUE"""),1471.74)</f>
        <v>1471.74</v>
      </c>
      <c r="AH2847" s="6" t="str">
        <f t="shared" ca="1" si="804"/>
        <v>202510</v>
      </c>
      <c r="AI2847" s="6">
        <f t="shared" ca="1" si="805"/>
        <v>2025</v>
      </c>
      <c r="AJ2847" s="6">
        <f t="shared" ca="1" si="806"/>
        <v>10</v>
      </c>
      <c r="AK2847" s="68">
        <f ca="1">IFERROR(__xludf.DUMMYFUNCTION("""COMPUTED_VALUE"""),45942.9986111111)</f>
        <v>45942.998611111099</v>
      </c>
      <c r="AL2847" s="6">
        <f ca="1">IFERROR(__xludf.DUMMYFUNCTION("""COMPUTED_VALUE"""),111039.5)</f>
        <v>111039.5</v>
      </c>
      <c r="AP2847" s="6" t="str">
        <f t="shared" si="807"/>
        <v>19001</v>
      </c>
      <c r="AQ2847" s="6">
        <f t="shared" si="808"/>
        <v>1900</v>
      </c>
      <c r="AR2847" s="6">
        <f t="shared" si="809"/>
        <v>1</v>
      </c>
    </row>
    <row r="2848" spans="2:44" x14ac:dyDescent="0.35">
      <c r="B2848" s="6" t="str">
        <f t="shared" si="792"/>
        <v>19001</v>
      </c>
      <c r="C2848" s="6">
        <f t="shared" si="793"/>
        <v>1900</v>
      </c>
      <c r="D2848" s="6">
        <f t="shared" si="794"/>
        <v>1</v>
      </c>
      <c r="J2848" s="6" t="str">
        <f t="shared" si="795"/>
        <v>19001</v>
      </c>
      <c r="K2848" s="6">
        <f t="shared" si="796"/>
        <v>1900</v>
      </c>
      <c r="L2848" s="6">
        <f t="shared" si="797"/>
        <v>1</v>
      </c>
      <c r="R2848" s="6" t="str">
        <f t="shared" si="798"/>
        <v>19001</v>
      </c>
      <c r="S2848" s="6">
        <f t="shared" si="799"/>
        <v>1900</v>
      </c>
      <c r="T2848" s="6">
        <f t="shared" si="800"/>
        <v>1</v>
      </c>
      <c r="Z2848" s="6" t="str">
        <f t="shared" ca="1" si="801"/>
        <v>202512</v>
      </c>
      <c r="AA2848" s="6">
        <f t="shared" ca="1" si="802"/>
        <v>2025</v>
      </c>
      <c r="AB2848" s="6">
        <f t="shared" ca="1" si="803"/>
        <v>12</v>
      </c>
      <c r="AC2848" s="68">
        <f ca="1">IFERROR(__xludf.DUMMYFUNCTION("""COMPUTED_VALUE"""),46008.9986111111)</f>
        <v>46008.998611111099</v>
      </c>
      <c r="AD2848" s="6">
        <f ca="1">IFERROR(__xludf.DUMMYFUNCTION("""COMPUTED_VALUE"""),1474)</f>
        <v>1474</v>
      </c>
      <c r="AH2848" s="6" t="str">
        <f t="shared" ca="1" si="804"/>
        <v>202510</v>
      </c>
      <c r="AI2848" s="6">
        <f t="shared" ca="1" si="805"/>
        <v>2025</v>
      </c>
      <c r="AJ2848" s="6">
        <f t="shared" ca="1" si="806"/>
        <v>10</v>
      </c>
      <c r="AK2848" s="68">
        <f ca="1">IFERROR(__xludf.DUMMYFUNCTION("""COMPUTED_VALUE"""),45943.9986111111)</f>
        <v>45943.998611111099</v>
      </c>
      <c r="AL2848" s="6">
        <f ca="1">IFERROR(__xludf.DUMMYFUNCTION("""COMPUTED_VALUE"""),114934.2)</f>
        <v>114934.2</v>
      </c>
      <c r="AP2848" s="6" t="str">
        <f t="shared" si="807"/>
        <v>19001</v>
      </c>
      <c r="AQ2848" s="6">
        <f t="shared" si="808"/>
        <v>1900</v>
      </c>
      <c r="AR2848" s="6">
        <f t="shared" si="809"/>
        <v>1</v>
      </c>
    </row>
    <row r="2849" spans="2:44" x14ac:dyDescent="0.35">
      <c r="B2849" s="6" t="str">
        <f t="shared" si="792"/>
        <v>19001</v>
      </c>
      <c r="C2849" s="6">
        <f t="shared" si="793"/>
        <v>1900</v>
      </c>
      <c r="D2849" s="6">
        <f t="shared" si="794"/>
        <v>1</v>
      </c>
      <c r="J2849" s="6" t="str">
        <f t="shared" si="795"/>
        <v>19001</v>
      </c>
      <c r="K2849" s="6">
        <f t="shared" si="796"/>
        <v>1900</v>
      </c>
      <c r="L2849" s="6">
        <f t="shared" si="797"/>
        <v>1</v>
      </c>
      <c r="R2849" s="6" t="str">
        <f t="shared" si="798"/>
        <v>19001</v>
      </c>
      <c r="S2849" s="6">
        <f t="shared" si="799"/>
        <v>1900</v>
      </c>
      <c r="T2849" s="6">
        <f t="shared" si="800"/>
        <v>1</v>
      </c>
      <c r="Z2849" s="6" t="str">
        <f t="shared" ca="1" si="801"/>
        <v>202512</v>
      </c>
      <c r="AA2849" s="6">
        <f t="shared" ca="1" si="802"/>
        <v>2025</v>
      </c>
      <c r="AB2849" s="6">
        <f t="shared" ca="1" si="803"/>
        <v>12</v>
      </c>
      <c r="AC2849" s="68">
        <f ca="1">IFERROR(__xludf.DUMMYFUNCTION("""COMPUTED_VALUE"""),46009.9986111111)</f>
        <v>46009.998611111099</v>
      </c>
      <c r="AD2849" s="6">
        <f ca="1">IFERROR(__xludf.DUMMYFUNCTION("""COMPUTED_VALUE"""),1474.36)</f>
        <v>1474.36</v>
      </c>
      <c r="AH2849" s="6" t="str">
        <f t="shared" ca="1" si="804"/>
        <v>202510</v>
      </c>
      <c r="AI2849" s="6">
        <f t="shared" ca="1" si="805"/>
        <v>2025</v>
      </c>
      <c r="AJ2849" s="6">
        <f t="shared" ca="1" si="806"/>
        <v>10</v>
      </c>
      <c r="AK2849" s="68">
        <f ca="1">IFERROR(__xludf.DUMMYFUNCTION("""COMPUTED_VALUE"""),45944.9986111111)</f>
        <v>45944.998611111099</v>
      </c>
      <c r="AL2849" s="6">
        <f ca="1">IFERROR(__xludf.DUMMYFUNCTION("""COMPUTED_VALUE"""),113612.7)</f>
        <v>113612.7</v>
      </c>
      <c r="AP2849" s="6" t="str">
        <f t="shared" si="807"/>
        <v>19001</v>
      </c>
      <c r="AQ2849" s="6">
        <f t="shared" si="808"/>
        <v>1900</v>
      </c>
      <c r="AR2849" s="6">
        <f t="shared" si="809"/>
        <v>1</v>
      </c>
    </row>
    <row r="2850" spans="2:44" x14ac:dyDescent="0.35">
      <c r="B2850" s="6" t="str">
        <f t="shared" si="792"/>
        <v>19001</v>
      </c>
      <c r="C2850" s="6">
        <f t="shared" si="793"/>
        <v>1900</v>
      </c>
      <c r="D2850" s="6">
        <f t="shared" si="794"/>
        <v>1</v>
      </c>
      <c r="J2850" s="6" t="str">
        <f t="shared" si="795"/>
        <v>19001</v>
      </c>
      <c r="K2850" s="6">
        <f t="shared" si="796"/>
        <v>1900</v>
      </c>
      <c r="L2850" s="6">
        <f t="shared" si="797"/>
        <v>1</v>
      </c>
      <c r="R2850" s="6" t="str">
        <f t="shared" si="798"/>
        <v>19001</v>
      </c>
      <c r="S2850" s="6">
        <f t="shared" si="799"/>
        <v>1900</v>
      </c>
      <c r="T2850" s="6">
        <f t="shared" si="800"/>
        <v>1</v>
      </c>
      <c r="Z2850" s="6" t="str">
        <f t="shared" ca="1" si="801"/>
        <v>202512</v>
      </c>
      <c r="AA2850" s="6">
        <f t="shared" ca="1" si="802"/>
        <v>2025</v>
      </c>
      <c r="AB2850" s="6">
        <f t="shared" ca="1" si="803"/>
        <v>12</v>
      </c>
      <c r="AC2850" s="68">
        <f ca="1">IFERROR(__xludf.DUMMYFUNCTION("""COMPUTED_VALUE"""),46010.9986111111)</f>
        <v>46010.998611111099</v>
      </c>
      <c r="AD2850" s="6">
        <f ca="1">IFERROR(__xludf.DUMMYFUNCTION("""COMPUTED_VALUE"""),1474.66)</f>
        <v>1474.66</v>
      </c>
      <c r="AH2850" s="6" t="str">
        <f t="shared" ca="1" si="804"/>
        <v>202510</v>
      </c>
      <c r="AI2850" s="6">
        <f t="shared" ca="1" si="805"/>
        <v>2025</v>
      </c>
      <c r="AJ2850" s="6">
        <f t="shared" ca="1" si="806"/>
        <v>10</v>
      </c>
      <c r="AK2850" s="68">
        <f ca="1">IFERROR(__xludf.DUMMYFUNCTION("""COMPUTED_VALUE"""),45945.9986111111)</f>
        <v>45945.998611111099</v>
      </c>
      <c r="AL2850" s="6">
        <f ca="1">IFERROR(__xludf.DUMMYFUNCTION("""COMPUTED_VALUE"""),112138.6)</f>
        <v>112138.6</v>
      </c>
      <c r="AP2850" s="6" t="str">
        <f t="shared" si="807"/>
        <v>19001</v>
      </c>
      <c r="AQ2850" s="6">
        <f t="shared" si="808"/>
        <v>1900</v>
      </c>
      <c r="AR2850" s="6">
        <f t="shared" si="809"/>
        <v>1</v>
      </c>
    </row>
    <row r="2851" spans="2:44" x14ac:dyDescent="0.35">
      <c r="B2851" s="6" t="str">
        <f t="shared" si="792"/>
        <v>19001</v>
      </c>
      <c r="C2851" s="6">
        <f t="shared" si="793"/>
        <v>1900</v>
      </c>
      <c r="D2851" s="6">
        <f t="shared" si="794"/>
        <v>1</v>
      </c>
      <c r="J2851" s="6" t="str">
        <f t="shared" si="795"/>
        <v>19001</v>
      </c>
      <c r="K2851" s="6">
        <f t="shared" si="796"/>
        <v>1900</v>
      </c>
      <c r="L2851" s="6">
        <f t="shared" si="797"/>
        <v>1</v>
      </c>
      <c r="R2851" s="6" t="str">
        <f t="shared" si="798"/>
        <v>19001</v>
      </c>
      <c r="S2851" s="6">
        <f t="shared" si="799"/>
        <v>1900</v>
      </c>
      <c r="T2851" s="6">
        <f t="shared" si="800"/>
        <v>1</v>
      </c>
      <c r="Z2851" s="6" t="str">
        <f t="shared" ca="1" si="801"/>
        <v>202512</v>
      </c>
      <c r="AA2851" s="6">
        <f t="shared" ca="1" si="802"/>
        <v>2025</v>
      </c>
      <c r="AB2851" s="6">
        <f t="shared" ca="1" si="803"/>
        <v>12</v>
      </c>
      <c r="AC2851" s="68">
        <f ca="1">IFERROR(__xludf.DUMMYFUNCTION("""COMPUTED_VALUE"""),46011.9986111111)</f>
        <v>46011.998611111099</v>
      </c>
      <c r="AD2851" s="6">
        <f ca="1">IFERROR(__xludf.DUMMYFUNCTION("""COMPUTED_VALUE"""),1474.66)</f>
        <v>1474.66</v>
      </c>
      <c r="AH2851" s="6" t="str">
        <f t="shared" ca="1" si="804"/>
        <v>202510</v>
      </c>
      <c r="AI2851" s="6">
        <f t="shared" ca="1" si="805"/>
        <v>2025</v>
      </c>
      <c r="AJ2851" s="6">
        <f t="shared" ca="1" si="806"/>
        <v>10</v>
      </c>
      <c r="AK2851" s="68">
        <f ca="1">IFERROR(__xludf.DUMMYFUNCTION("""COMPUTED_VALUE"""),45946.9986111111)</f>
        <v>45946.998611111099</v>
      </c>
      <c r="AL2851" s="6">
        <f ca="1">IFERROR(__xludf.DUMMYFUNCTION("""COMPUTED_VALUE"""),111449.5)</f>
        <v>111449.5</v>
      </c>
      <c r="AP2851" s="6" t="str">
        <f t="shared" si="807"/>
        <v>19001</v>
      </c>
      <c r="AQ2851" s="6">
        <f t="shared" si="808"/>
        <v>1900</v>
      </c>
      <c r="AR2851" s="6">
        <f t="shared" si="809"/>
        <v>1</v>
      </c>
    </row>
    <row r="2852" spans="2:44" x14ac:dyDescent="0.35">
      <c r="B2852" s="6" t="str">
        <f t="shared" si="792"/>
        <v>19001</v>
      </c>
      <c r="C2852" s="6">
        <f t="shared" si="793"/>
        <v>1900</v>
      </c>
      <c r="D2852" s="6">
        <f t="shared" si="794"/>
        <v>1</v>
      </c>
      <c r="J2852" s="6" t="str">
        <f t="shared" si="795"/>
        <v>19001</v>
      </c>
      <c r="K2852" s="6">
        <f t="shared" si="796"/>
        <v>1900</v>
      </c>
      <c r="L2852" s="6">
        <f t="shared" si="797"/>
        <v>1</v>
      </c>
      <c r="R2852" s="6" t="str">
        <f t="shared" si="798"/>
        <v>19001</v>
      </c>
      <c r="S2852" s="6">
        <f t="shared" si="799"/>
        <v>1900</v>
      </c>
      <c r="T2852" s="6">
        <f t="shared" si="800"/>
        <v>1</v>
      </c>
      <c r="Z2852" s="6" t="str">
        <f t="shared" ca="1" si="801"/>
        <v>202512</v>
      </c>
      <c r="AA2852" s="6">
        <f t="shared" ca="1" si="802"/>
        <v>2025</v>
      </c>
      <c r="AB2852" s="6">
        <f t="shared" ca="1" si="803"/>
        <v>12</v>
      </c>
      <c r="AC2852" s="68">
        <f ca="1">IFERROR(__xludf.DUMMYFUNCTION("""COMPUTED_VALUE"""),46012.9986111111)</f>
        <v>46012.998611111099</v>
      </c>
      <c r="AD2852" s="6">
        <f ca="1">IFERROR(__xludf.DUMMYFUNCTION("""COMPUTED_VALUE"""),1473.72)</f>
        <v>1473.72</v>
      </c>
      <c r="AH2852" s="6" t="str">
        <f t="shared" ca="1" si="804"/>
        <v>202510</v>
      </c>
      <c r="AI2852" s="6">
        <f t="shared" ca="1" si="805"/>
        <v>2025</v>
      </c>
      <c r="AJ2852" s="6">
        <f t="shared" ca="1" si="806"/>
        <v>10</v>
      </c>
      <c r="AK2852" s="68">
        <f ca="1">IFERROR(__xludf.DUMMYFUNCTION("""COMPUTED_VALUE"""),45947.9986111111)</f>
        <v>45947.998611111099</v>
      </c>
      <c r="AL2852" s="6">
        <f ca="1">IFERROR(__xludf.DUMMYFUNCTION("""COMPUTED_VALUE"""),109176.5)</f>
        <v>109176.5</v>
      </c>
      <c r="AP2852" s="6" t="str">
        <f t="shared" si="807"/>
        <v>19001</v>
      </c>
      <c r="AQ2852" s="6">
        <f t="shared" si="808"/>
        <v>1900</v>
      </c>
      <c r="AR2852" s="6">
        <f t="shared" si="809"/>
        <v>1</v>
      </c>
    </row>
    <row r="2853" spans="2:44" x14ac:dyDescent="0.35">
      <c r="B2853" s="6" t="str">
        <f t="shared" si="792"/>
        <v>19001</v>
      </c>
      <c r="C2853" s="6">
        <f t="shared" si="793"/>
        <v>1900</v>
      </c>
      <c r="D2853" s="6">
        <f t="shared" si="794"/>
        <v>1</v>
      </c>
      <c r="J2853" s="6" t="str">
        <f t="shared" si="795"/>
        <v>19001</v>
      </c>
      <c r="K2853" s="6">
        <f t="shared" si="796"/>
        <v>1900</v>
      </c>
      <c r="L2853" s="6">
        <f t="shared" si="797"/>
        <v>1</v>
      </c>
      <c r="R2853" s="6" t="str">
        <f t="shared" si="798"/>
        <v>19001</v>
      </c>
      <c r="S2853" s="6">
        <f t="shared" si="799"/>
        <v>1900</v>
      </c>
      <c r="T2853" s="6">
        <f t="shared" si="800"/>
        <v>1</v>
      </c>
      <c r="Z2853" s="6" t="str">
        <f t="shared" ca="1" si="801"/>
        <v>202512</v>
      </c>
      <c r="AA2853" s="6">
        <f t="shared" ca="1" si="802"/>
        <v>2025</v>
      </c>
      <c r="AB2853" s="6">
        <f t="shared" ca="1" si="803"/>
        <v>12</v>
      </c>
      <c r="AC2853" s="68">
        <f ca="1">IFERROR(__xludf.DUMMYFUNCTION("""COMPUTED_VALUE"""),46013.9986111111)</f>
        <v>46013.998611111099</v>
      </c>
      <c r="AD2853" s="6">
        <f ca="1">IFERROR(__xludf.DUMMYFUNCTION("""COMPUTED_VALUE"""),1476.84)</f>
        <v>1476.84</v>
      </c>
      <c r="AH2853" s="6" t="str">
        <f t="shared" ca="1" si="804"/>
        <v>202510</v>
      </c>
      <c r="AI2853" s="6">
        <f t="shared" ca="1" si="805"/>
        <v>2025</v>
      </c>
      <c r="AJ2853" s="6">
        <f t="shared" ca="1" si="806"/>
        <v>10</v>
      </c>
      <c r="AK2853" s="68">
        <f ca="1">IFERROR(__xludf.DUMMYFUNCTION("""COMPUTED_VALUE"""),45948.9986111111)</f>
        <v>45948.998611111099</v>
      </c>
      <c r="AL2853" s="6">
        <f ca="1">IFERROR(__xludf.DUMMYFUNCTION("""COMPUTED_VALUE"""),107158.5)</f>
        <v>107158.5</v>
      </c>
      <c r="AP2853" s="6" t="str">
        <f t="shared" si="807"/>
        <v>19001</v>
      </c>
      <c r="AQ2853" s="6">
        <f t="shared" si="808"/>
        <v>1900</v>
      </c>
      <c r="AR2853" s="6">
        <f t="shared" si="809"/>
        <v>1</v>
      </c>
    </row>
    <row r="2854" spans="2:44" x14ac:dyDescent="0.35">
      <c r="B2854" s="6" t="str">
        <f t="shared" si="792"/>
        <v>19001</v>
      </c>
      <c r="C2854" s="6">
        <f t="shared" si="793"/>
        <v>1900</v>
      </c>
      <c r="D2854" s="6">
        <f t="shared" si="794"/>
        <v>1</v>
      </c>
      <c r="J2854" s="6" t="str">
        <f t="shared" si="795"/>
        <v>19001</v>
      </c>
      <c r="K2854" s="6">
        <f t="shared" si="796"/>
        <v>1900</v>
      </c>
      <c r="L2854" s="6">
        <f t="shared" si="797"/>
        <v>1</v>
      </c>
      <c r="R2854" s="6" t="str">
        <f t="shared" si="798"/>
        <v>19001</v>
      </c>
      <c r="S2854" s="6">
        <f t="shared" si="799"/>
        <v>1900</v>
      </c>
      <c r="T2854" s="6">
        <f t="shared" si="800"/>
        <v>1</v>
      </c>
      <c r="Z2854" s="6" t="str">
        <f t="shared" ca="1" si="801"/>
        <v>202512</v>
      </c>
      <c r="AA2854" s="6">
        <f t="shared" ca="1" si="802"/>
        <v>2025</v>
      </c>
      <c r="AB2854" s="6">
        <f t="shared" ca="1" si="803"/>
        <v>12</v>
      </c>
      <c r="AC2854" s="68">
        <f ca="1">IFERROR(__xludf.DUMMYFUNCTION("""COMPUTED_VALUE"""),46014.9986111111)</f>
        <v>46014.998611111099</v>
      </c>
      <c r="AD2854" s="6">
        <f ca="1">IFERROR(__xludf.DUMMYFUNCTION("""COMPUTED_VALUE"""),1478.67)</f>
        <v>1478.67</v>
      </c>
      <c r="AH2854" s="6" t="str">
        <f t="shared" ca="1" si="804"/>
        <v>202510</v>
      </c>
      <c r="AI2854" s="6">
        <f t="shared" ca="1" si="805"/>
        <v>2025</v>
      </c>
      <c r="AJ2854" s="6">
        <f t="shared" ca="1" si="806"/>
        <v>10</v>
      </c>
      <c r="AK2854" s="68">
        <f ca="1">IFERROR(__xludf.DUMMYFUNCTION("""COMPUTED_VALUE"""),45949.9986111111)</f>
        <v>45949.998611111099</v>
      </c>
      <c r="AL2854" s="6">
        <f ca="1">IFERROR(__xludf.DUMMYFUNCTION("""COMPUTED_VALUE"""),107365.6)</f>
        <v>107365.6</v>
      </c>
      <c r="AP2854" s="6" t="str">
        <f t="shared" si="807"/>
        <v>19001</v>
      </c>
      <c r="AQ2854" s="6">
        <f t="shared" si="808"/>
        <v>1900</v>
      </c>
      <c r="AR2854" s="6">
        <f t="shared" si="809"/>
        <v>1</v>
      </c>
    </row>
    <row r="2855" spans="2:44" x14ac:dyDescent="0.35">
      <c r="B2855" s="6" t="str">
        <f t="shared" si="792"/>
        <v>19001</v>
      </c>
      <c r="C2855" s="6">
        <f t="shared" si="793"/>
        <v>1900</v>
      </c>
      <c r="D2855" s="6">
        <f t="shared" si="794"/>
        <v>1</v>
      </c>
      <c r="J2855" s="6" t="str">
        <f t="shared" si="795"/>
        <v>19001</v>
      </c>
      <c r="K2855" s="6">
        <f t="shared" si="796"/>
        <v>1900</v>
      </c>
      <c r="L2855" s="6">
        <f t="shared" si="797"/>
        <v>1</v>
      </c>
      <c r="R2855" s="6" t="str">
        <f t="shared" si="798"/>
        <v>19001</v>
      </c>
      <c r="S2855" s="6">
        <f t="shared" si="799"/>
        <v>1900</v>
      </c>
      <c r="T2855" s="6">
        <f t="shared" si="800"/>
        <v>1</v>
      </c>
      <c r="Z2855" s="6" t="str">
        <f t="shared" ca="1" si="801"/>
        <v>202512</v>
      </c>
      <c r="AA2855" s="6">
        <f t="shared" ca="1" si="802"/>
        <v>2025</v>
      </c>
      <c r="AB2855" s="6">
        <f t="shared" ca="1" si="803"/>
        <v>12</v>
      </c>
      <c r="AC2855" s="68">
        <f ca="1">IFERROR(__xludf.DUMMYFUNCTION("""COMPUTED_VALUE"""),46015.9986111111)</f>
        <v>46015.998611111099</v>
      </c>
      <c r="AD2855" s="6">
        <f ca="1">IFERROR(__xludf.DUMMYFUNCTION("""COMPUTED_VALUE"""),1443.45)</f>
        <v>1443.45</v>
      </c>
      <c r="AH2855" s="6" t="str">
        <f t="shared" ca="1" si="804"/>
        <v>202510</v>
      </c>
      <c r="AI2855" s="6">
        <f t="shared" ca="1" si="805"/>
        <v>2025</v>
      </c>
      <c r="AJ2855" s="6">
        <f t="shared" ca="1" si="806"/>
        <v>10</v>
      </c>
      <c r="AK2855" s="68">
        <f ca="1">IFERROR(__xludf.DUMMYFUNCTION("""COMPUTED_VALUE"""),45950.9986111111)</f>
        <v>45950.998611111099</v>
      </c>
      <c r="AL2855" s="6">
        <f ca="1">IFERROR(__xludf.DUMMYFUNCTION("""COMPUTED_VALUE"""),110245.1)</f>
        <v>110245.1</v>
      </c>
      <c r="AP2855" s="6" t="str">
        <f t="shared" si="807"/>
        <v>19001</v>
      </c>
      <c r="AQ2855" s="6">
        <f t="shared" si="808"/>
        <v>1900</v>
      </c>
      <c r="AR2855" s="6">
        <f t="shared" si="809"/>
        <v>1</v>
      </c>
    </row>
    <row r="2856" spans="2:44" x14ac:dyDescent="0.35">
      <c r="B2856" s="6" t="str">
        <f t="shared" si="792"/>
        <v>19001</v>
      </c>
      <c r="C2856" s="6">
        <f t="shared" si="793"/>
        <v>1900</v>
      </c>
      <c r="D2856" s="6">
        <f t="shared" si="794"/>
        <v>1</v>
      </c>
      <c r="J2856" s="6" t="str">
        <f t="shared" si="795"/>
        <v>19001</v>
      </c>
      <c r="K2856" s="6">
        <f t="shared" si="796"/>
        <v>1900</v>
      </c>
      <c r="L2856" s="6">
        <f t="shared" si="797"/>
        <v>1</v>
      </c>
      <c r="R2856" s="6" t="str">
        <f t="shared" si="798"/>
        <v>19001</v>
      </c>
      <c r="S2856" s="6">
        <f t="shared" si="799"/>
        <v>1900</v>
      </c>
      <c r="T2856" s="6">
        <f t="shared" si="800"/>
        <v>1</v>
      </c>
      <c r="Z2856" s="6" t="str">
        <f t="shared" ca="1" si="801"/>
        <v>202512</v>
      </c>
      <c r="AA2856" s="6">
        <f t="shared" ca="1" si="802"/>
        <v>2025</v>
      </c>
      <c r="AB2856" s="6">
        <f t="shared" ca="1" si="803"/>
        <v>12</v>
      </c>
      <c r="AC2856" s="68">
        <f ca="1">IFERROR(__xludf.DUMMYFUNCTION("""COMPUTED_VALUE"""),46016.9986111111)</f>
        <v>46016.998611111099</v>
      </c>
      <c r="AD2856" s="6">
        <f ca="1">IFERROR(__xludf.DUMMYFUNCTION("""COMPUTED_VALUE"""),1446.52)</f>
        <v>1446.52</v>
      </c>
      <c r="AH2856" s="6" t="str">
        <f t="shared" ca="1" si="804"/>
        <v>202510</v>
      </c>
      <c r="AI2856" s="6">
        <f t="shared" ca="1" si="805"/>
        <v>2025</v>
      </c>
      <c r="AJ2856" s="6">
        <f t="shared" ca="1" si="806"/>
        <v>10</v>
      </c>
      <c r="AK2856" s="68">
        <f ca="1">IFERROR(__xludf.DUMMYFUNCTION("""COMPUTED_VALUE"""),45951.9986111111)</f>
        <v>45951.998611111099</v>
      </c>
      <c r="AL2856" s="6">
        <f ca="1">IFERROR(__xludf.DUMMYFUNCTION("""COMPUTED_VALUE"""),109157.9)</f>
        <v>109157.9</v>
      </c>
      <c r="AP2856" s="6" t="str">
        <f t="shared" si="807"/>
        <v>19001</v>
      </c>
      <c r="AQ2856" s="6">
        <f t="shared" si="808"/>
        <v>1900</v>
      </c>
      <c r="AR2856" s="6">
        <f t="shared" si="809"/>
        <v>1</v>
      </c>
    </row>
    <row r="2857" spans="2:44" x14ac:dyDescent="0.35">
      <c r="B2857" s="6" t="str">
        <f t="shared" si="792"/>
        <v>19001</v>
      </c>
      <c r="C2857" s="6">
        <f t="shared" si="793"/>
        <v>1900</v>
      </c>
      <c r="D2857" s="6">
        <f t="shared" si="794"/>
        <v>1</v>
      </c>
      <c r="J2857" s="6" t="str">
        <f t="shared" si="795"/>
        <v>19001</v>
      </c>
      <c r="K2857" s="6">
        <f t="shared" si="796"/>
        <v>1900</v>
      </c>
      <c r="L2857" s="6">
        <f t="shared" si="797"/>
        <v>1</v>
      </c>
      <c r="R2857" s="6" t="str">
        <f t="shared" si="798"/>
        <v>19001</v>
      </c>
      <c r="S2857" s="6">
        <f t="shared" si="799"/>
        <v>1900</v>
      </c>
      <c r="T2857" s="6">
        <f t="shared" si="800"/>
        <v>1</v>
      </c>
      <c r="Z2857" s="6" t="str">
        <f t="shared" ca="1" si="801"/>
        <v>202512</v>
      </c>
      <c r="AA2857" s="6">
        <f t="shared" ca="1" si="802"/>
        <v>2025</v>
      </c>
      <c r="AB2857" s="6">
        <f t="shared" ca="1" si="803"/>
        <v>12</v>
      </c>
      <c r="AC2857" s="68">
        <f ca="1">IFERROR(__xludf.DUMMYFUNCTION("""COMPUTED_VALUE"""),46017.9986111111)</f>
        <v>46017.998611111099</v>
      </c>
      <c r="AD2857" s="6">
        <f ca="1">IFERROR(__xludf.DUMMYFUNCTION("""COMPUTED_VALUE"""),1441.33)</f>
        <v>1441.33</v>
      </c>
      <c r="AH2857" s="6" t="str">
        <f t="shared" ca="1" si="804"/>
        <v>202510</v>
      </c>
      <c r="AI2857" s="6">
        <f t="shared" ca="1" si="805"/>
        <v>2025</v>
      </c>
      <c r="AJ2857" s="6">
        <f t="shared" ca="1" si="806"/>
        <v>10</v>
      </c>
      <c r="AK2857" s="68">
        <f ca="1">IFERROR(__xludf.DUMMYFUNCTION("""COMPUTED_VALUE"""),45952.9986111111)</f>
        <v>45952.998611111099</v>
      </c>
      <c r="AL2857" s="6">
        <f ca="1">IFERROR(__xludf.DUMMYFUNCTION("""COMPUTED_VALUE"""),108213.7)</f>
        <v>108213.7</v>
      </c>
      <c r="AP2857" s="6" t="str">
        <f t="shared" si="807"/>
        <v>19001</v>
      </c>
      <c r="AQ2857" s="6">
        <f t="shared" si="808"/>
        <v>1900</v>
      </c>
      <c r="AR2857" s="6">
        <f t="shared" si="809"/>
        <v>1</v>
      </c>
    </row>
    <row r="2858" spans="2:44" x14ac:dyDescent="0.35">
      <c r="B2858" s="6" t="str">
        <f t="shared" si="792"/>
        <v>19001</v>
      </c>
      <c r="C2858" s="6">
        <f t="shared" si="793"/>
        <v>1900</v>
      </c>
      <c r="D2858" s="6">
        <f t="shared" si="794"/>
        <v>1</v>
      </c>
      <c r="J2858" s="6" t="str">
        <f t="shared" si="795"/>
        <v>19001</v>
      </c>
      <c r="K2858" s="6">
        <f t="shared" si="796"/>
        <v>1900</v>
      </c>
      <c r="L2858" s="6">
        <f t="shared" si="797"/>
        <v>1</v>
      </c>
      <c r="R2858" s="6" t="str">
        <f t="shared" si="798"/>
        <v>19001</v>
      </c>
      <c r="S2858" s="6">
        <f t="shared" si="799"/>
        <v>1900</v>
      </c>
      <c r="T2858" s="6">
        <f t="shared" si="800"/>
        <v>1</v>
      </c>
      <c r="Z2858" s="6" t="str">
        <f t="shared" ca="1" si="801"/>
        <v>202512</v>
      </c>
      <c r="AA2858" s="6">
        <f t="shared" ca="1" si="802"/>
        <v>2025</v>
      </c>
      <c r="AB2858" s="6">
        <f t="shared" ca="1" si="803"/>
        <v>12</v>
      </c>
      <c r="AC2858" s="68">
        <f ca="1">IFERROR(__xludf.DUMMYFUNCTION("""COMPUTED_VALUE"""),46018.9986111111)</f>
        <v>46018.998611111099</v>
      </c>
      <c r="AD2858" s="6">
        <f ca="1">IFERROR(__xludf.DUMMYFUNCTION("""COMPUTED_VALUE"""),1441.33)</f>
        <v>1441.33</v>
      </c>
      <c r="AH2858" s="6" t="str">
        <f t="shared" ca="1" si="804"/>
        <v>202510</v>
      </c>
      <c r="AI2858" s="6">
        <f t="shared" ca="1" si="805"/>
        <v>2025</v>
      </c>
      <c r="AJ2858" s="6">
        <f t="shared" ca="1" si="806"/>
        <v>10</v>
      </c>
      <c r="AK2858" s="68">
        <f ca="1">IFERROR(__xludf.DUMMYFUNCTION("""COMPUTED_VALUE"""),45953.9986111111)</f>
        <v>45953.998611111099</v>
      </c>
      <c r="AL2858" s="6">
        <f ca="1">IFERROR(__xludf.DUMMYFUNCTION("""COMPUTED_VALUE"""),108418.6)</f>
        <v>108418.6</v>
      </c>
      <c r="AP2858" s="6" t="str">
        <f t="shared" si="807"/>
        <v>19001</v>
      </c>
      <c r="AQ2858" s="6">
        <f t="shared" si="808"/>
        <v>1900</v>
      </c>
      <c r="AR2858" s="6">
        <f t="shared" si="809"/>
        <v>1</v>
      </c>
    </row>
    <row r="2859" spans="2:44" x14ac:dyDescent="0.35">
      <c r="B2859" s="6" t="str">
        <f t="shared" si="792"/>
        <v>19001</v>
      </c>
      <c r="C2859" s="6">
        <f t="shared" si="793"/>
        <v>1900</v>
      </c>
      <c r="D2859" s="6">
        <f t="shared" si="794"/>
        <v>1</v>
      </c>
      <c r="J2859" s="6" t="str">
        <f t="shared" si="795"/>
        <v>19001</v>
      </c>
      <c r="K2859" s="6">
        <f t="shared" si="796"/>
        <v>1900</v>
      </c>
      <c r="L2859" s="6">
        <f t="shared" si="797"/>
        <v>1</v>
      </c>
      <c r="R2859" s="6" t="str">
        <f t="shared" si="798"/>
        <v>19001</v>
      </c>
      <c r="S2859" s="6">
        <f t="shared" si="799"/>
        <v>1900</v>
      </c>
      <c r="T2859" s="6">
        <f t="shared" si="800"/>
        <v>1</v>
      </c>
      <c r="Z2859" s="6" t="str">
        <f t="shared" ca="1" si="801"/>
        <v>202512</v>
      </c>
      <c r="AA2859" s="6">
        <f t="shared" ca="1" si="802"/>
        <v>2025</v>
      </c>
      <c r="AB2859" s="6">
        <f t="shared" ca="1" si="803"/>
        <v>12</v>
      </c>
      <c r="AC2859" s="68">
        <f ca="1">IFERROR(__xludf.DUMMYFUNCTION("""COMPUTED_VALUE"""),46019.9986111111)</f>
        <v>46019.998611111099</v>
      </c>
      <c r="AD2859" s="6">
        <f ca="1">IFERROR(__xludf.DUMMYFUNCTION("""COMPUTED_VALUE"""),1441.33)</f>
        <v>1441.33</v>
      </c>
      <c r="AH2859" s="6" t="str">
        <f t="shared" ca="1" si="804"/>
        <v>202510</v>
      </c>
      <c r="AI2859" s="6">
        <f t="shared" ca="1" si="805"/>
        <v>2025</v>
      </c>
      <c r="AJ2859" s="6">
        <f t="shared" ca="1" si="806"/>
        <v>10</v>
      </c>
      <c r="AK2859" s="68">
        <f ca="1">IFERROR(__xludf.DUMMYFUNCTION("""COMPUTED_VALUE"""),45954.9986111111)</f>
        <v>45954.998611111099</v>
      </c>
      <c r="AL2859" s="6">
        <f ca="1">IFERROR(__xludf.DUMMYFUNCTION("""COMPUTED_VALUE"""),110466.5)</f>
        <v>110466.5</v>
      </c>
      <c r="AP2859" s="6" t="str">
        <f t="shared" si="807"/>
        <v>19001</v>
      </c>
      <c r="AQ2859" s="6">
        <f t="shared" si="808"/>
        <v>1900</v>
      </c>
      <c r="AR2859" s="6">
        <f t="shared" si="809"/>
        <v>1</v>
      </c>
    </row>
    <row r="2860" spans="2:44" x14ac:dyDescent="0.35">
      <c r="B2860" s="6" t="str">
        <f t="shared" si="792"/>
        <v>19001</v>
      </c>
      <c r="C2860" s="6">
        <f t="shared" si="793"/>
        <v>1900</v>
      </c>
      <c r="D2860" s="6">
        <f t="shared" si="794"/>
        <v>1</v>
      </c>
      <c r="J2860" s="6" t="str">
        <f t="shared" si="795"/>
        <v>19001</v>
      </c>
      <c r="K2860" s="6">
        <f t="shared" si="796"/>
        <v>1900</v>
      </c>
      <c r="L2860" s="6">
        <f t="shared" si="797"/>
        <v>1</v>
      </c>
      <c r="R2860" s="6" t="str">
        <f t="shared" si="798"/>
        <v>19001</v>
      </c>
      <c r="S2860" s="6">
        <f t="shared" si="799"/>
        <v>1900</v>
      </c>
      <c r="T2860" s="6">
        <f t="shared" si="800"/>
        <v>1</v>
      </c>
      <c r="Z2860" s="6" t="str">
        <f t="shared" ca="1" si="801"/>
        <v>202512</v>
      </c>
      <c r="AA2860" s="6">
        <f t="shared" ca="1" si="802"/>
        <v>2025</v>
      </c>
      <c r="AB2860" s="6">
        <f t="shared" ca="1" si="803"/>
        <v>12</v>
      </c>
      <c r="AC2860" s="68">
        <f ca="1">IFERROR(__xludf.DUMMYFUNCTION("""COMPUTED_VALUE"""),46020.9986111111)</f>
        <v>46020.998611111099</v>
      </c>
      <c r="AD2860" s="6">
        <f ca="1">IFERROR(__xludf.DUMMYFUNCTION("""COMPUTED_VALUE"""),1434.71)</f>
        <v>1434.71</v>
      </c>
      <c r="AH2860" s="6" t="str">
        <f t="shared" ca="1" si="804"/>
        <v>202510</v>
      </c>
      <c r="AI2860" s="6">
        <f t="shared" ca="1" si="805"/>
        <v>2025</v>
      </c>
      <c r="AJ2860" s="6">
        <f t="shared" ca="1" si="806"/>
        <v>10</v>
      </c>
      <c r="AK2860" s="68">
        <f ca="1">IFERROR(__xludf.DUMMYFUNCTION("""COMPUTED_VALUE"""),45955.9986111111)</f>
        <v>45955.998611111099</v>
      </c>
      <c r="AL2860" s="6">
        <f ca="1">IFERROR(__xludf.DUMMYFUNCTION("""COMPUTED_VALUE"""),111077.3)</f>
        <v>111077.3</v>
      </c>
      <c r="AP2860" s="6" t="str">
        <f t="shared" si="807"/>
        <v>19001</v>
      </c>
      <c r="AQ2860" s="6">
        <f t="shared" si="808"/>
        <v>1900</v>
      </c>
      <c r="AR2860" s="6">
        <f t="shared" si="809"/>
        <v>1</v>
      </c>
    </row>
    <row r="2861" spans="2:44" x14ac:dyDescent="0.35">
      <c r="B2861" s="6" t="str">
        <f t="shared" si="792"/>
        <v>19001</v>
      </c>
      <c r="C2861" s="6">
        <f t="shared" si="793"/>
        <v>1900</v>
      </c>
      <c r="D2861" s="6">
        <f t="shared" si="794"/>
        <v>1</v>
      </c>
      <c r="J2861" s="6" t="str">
        <f t="shared" si="795"/>
        <v>19001</v>
      </c>
      <c r="K2861" s="6">
        <f t="shared" si="796"/>
        <v>1900</v>
      </c>
      <c r="L2861" s="6">
        <f t="shared" si="797"/>
        <v>1</v>
      </c>
      <c r="R2861" s="6" t="str">
        <f t="shared" si="798"/>
        <v>19001</v>
      </c>
      <c r="S2861" s="6">
        <f t="shared" si="799"/>
        <v>1900</v>
      </c>
      <c r="T2861" s="6">
        <f t="shared" si="800"/>
        <v>1</v>
      </c>
      <c r="Z2861" s="6" t="str">
        <f t="shared" ca="1" si="801"/>
        <v>202512</v>
      </c>
      <c r="AA2861" s="6">
        <f t="shared" ca="1" si="802"/>
        <v>2025</v>
      </c>
      <c r="AB2861" s="6">
        <f t="shared" ca="1" si="803"/>
        <v>12</v>
      </c>
      <c r="AC2861" s="68">
        <f ca="1">IFERROR(__xludf.DUMMYFUNCTION("""COMPUTED_VALUE"""),46021.9986111111)</f>
        <v>46021.998611111099</v>
      </c>
      <c r="AD2861" s="6">
        <f ca="1">IFERROR(__xludf.DUMMYFUNCTION("""COMPUTED_VALUE"""),1437.91)</f>
        <v>1437.91</v>
      </c>
      <c r="AH2861" s="6" t="str">
        <f t="shared" ca="1" si="804"/>
        <v>202510</v>
      </c>
      <c r="AI2861" s="6">
        <f t="shared" ca="1" si="805"/>
        <v>2025</v>
      </c>
      <c r="AJ2861" s="6">
        <f t="shared" ca="1" si="806"/>
        <v>10</v>
      </c>
      <c r="AK2861" s="68">
        <f ca="1">IFERROR(__xludf.DUMMYFUNCTION("""COMPUTED_VALUE"""),45956.9986111111)</f>
        <v>45956.998611111099</v>
      </c>
      <c r="AL2861" s="6">
        <f ca="1">IFERROR(__xludf.DUMMYFUNCTION("""COMPUTED_VALUE"""),111284.2)</f>
        <v>111284.2</v>
      </c>
      <c r="AP2861" s="6" t="str">
        <f t="shared" si="807"/>
        <v>19001</v>
      </c>
      <c r="AQ2861" s="6">
        <f t="shared" si="808"/>
        <v>1900</v>
      </c>
      <c r="AR2861" s="6">
        <f t="shared" si="809"/>
        <v>1</v>
      </c>
    </row>
    <row r="2862" spans="2:44" x14ac:dyDescent="0.35">
      <c r="B2862" s="6" t="str">
        <f t="shared" si="792"/>
        <v>19001</v>
      </c>
      <c r="C2862" s="6">
        <f t="shared" si="793"/>
        <v>1900</v>
      </c>
      <c r="D2862" s="6">
        <f t="shared" si="794"/>
        <v>1</v>
      </c>
      <c r="J2862" s="6" t="str">
        <f t="shared" si="795"/>
        <v>19001</v>
      </c>
      <c r="K2862" s="6">
        <f t="shared" si="796"/>
        <v>1900</v>
      </c>
      <c r="L2862" s="6">
        <f t="shared" si="797"/>
        <v>1</v>
      </c>
      <c r="R2862" s="6" t="str">
        <f t="shared" si="798"/>
        <v>19001</v>
      </c>
      <c r="S2862" s="6">
        <f t="shared" si="799"/>
        <v>1900</v>
      </c>
      <c r="T2862" s="6">
        <f t="shared" si="800"/>
        <v>1</v>
      </c>
      <c r="Z2862" s="6" t="str">
        <f t="shared" ca="1" si="801"/>
        <v>202512</v>
      </c>
      <c r="AA2862" s="6">
        <f t="shared" ca="1" si="802"/>
        <v>2025</v>
      </c>
      <c r="AB2862" s="6">
        <f t="shared" ca="1" si="803"/>
        <v>12</v>
      </c>
      <c r="AC2862" s="68">
        <f ca="1">IFERROR(__xludf.DUMMYFUNCTION("""COMPUTED_VALUE"""),46022.9986111111)</f>
        <v>46022.998611111099</v>
      </c>
      <c r="AD2862" s="6">
        <f ca="1">IFERROR(__xludf.DUMMYFUNCTION("""COMPUTED_VALUE"""),1443.64)</f>
        <v>1443.64</v>
      </c>
      <c r="AH2862" s="6" t="str">
        <f t="shared" ca="1" si="804"/>
        <v>202510</v>
      </c>
      <c r="AI2862" s="6">
        <f t="shared" ca="1" si="805"/>
        <v>2025</v>
      </c>
      <c r="AJ2862" s="6">
        <f t="shared" ca="1" si="806"/>
        <v>10</v>
      </c>
      <c r="AK2862" s="68">
        <f ca="1">IFERROR(__xludf.DUMMYFUNCTION("""COMPUTED_VALUE"""),45957.9986111111)</f>
        <v>45957.998611111099</v>
      </c>
      <c r="AL2862" s="6">
        <f ca="1">IFERROR(__xludf.DUMMYFUNCTION("""COMPUTED_VALUE"""),114960.8)</f>
        <v>114960.8</v>
      </c>
      <c r="AP2862" s="6" t="str">
        <f t="shared" si="807"/>
        <v>19001</v>
      </c>
      <c r="AQ2862" s="6">
        <f t="shared" si="808"/>
        <v>1900</v>
      </c>
      <c r="AR2862" s="6">
        <f t="shared" si="809"/>
        <v>1</v>
      </c>
    </row>
    <row r="2863" spans="2:44" x14ac:dyDescent="0.35">
      <c r="B2863" s="6" t="str">
        <f t="shared" si="792"/>
        <v>19001</v>
      </c>
      <c r="C2863" s="6">
        <f t="shared" si="793"/>
        <v>1900</v>
      </c>
      <c r="D2863" s="6">
        <f t="shared" si="794"/>
        <v>1</v>
      </c>
      <c r="J2863" s="6" t="str">
        <f t="shared" si="795"/>
        <v>19001</v>
      </c>
      <c r="K2863" s="6">
        <f t="shared" si="796"/>
        <v>1900</v>
      </c>
      <c r="L2863" s="6">
        <f t="shared" si="797"/>
        <v>1</v>
      </c>
      <c r="R2863" s="6" t="str">
        <f t="shared" si="798"/>
        <v>19001</v>
      </c>
      <c r="S2863" s="6">
        <f t="shared" si="799"/>
        <v>1900</v>
      </c>
      <c r="T2863" s="6">
        <f t="shared" si="800"/>
        <v>1</v>
      </c>
      <c r="Z2863" s="6" t="str">
        <f t="shared" ca="1" si="801"/>
        <v>20261</v>
      </c>
      <c r="AA2863" s="6">
        <f t="shared" ca="1" si="802"/>
        <v>2026</v>
      </c>
      <c r="AB2863" s="6">
        <f t="shared" ca="1" si="803"/>
        <v>1</v>
      </c>
      <c r="AC2863" s="68">
        <f ca="1">IFERROR(__xludf.DUMMYFUNCTION("""COMPUTED_VALUE"""),46023.9986111111)</f>
        <v>46023.998611111099</v>
      </c>
      <c r="AD2863" s="6">
        <f ca="1">IFERROR(__xludf.DUMMYFUNCTION("""COMPUTED_VALUE"""),1443.64)</f>
        <v>1443.64</v>
      </c>
      <c r="AH2863" s="6" t="str">
        <f t="shared" ca="1" si="804"/>
        <v>202510</v>
      </c>
      <c r="AI2863" s="6">
        <f t="shared" ca="1" si="805"/>
        <v>2025</v>
      </c>
      <c r="AJ2863" s="6">
        <f t="shared" ca="1" si="806"/>
        <v>10</v>
      </c>
      <c r="AK2863" s="68">
        <f ca="1">IFERROR(__xludf.DUMMYFUNCTION("""COMPUTED_VALUE"""),45958.9986111111)</f>
        <v>45958.998611111099</v>
      </c>
      <c r="AL2863" s="6">
        <f ca="1">IFERROR(__xludf.DUMMYFUNCTION("""COMPUTED_VALUE"""),113911)</f>
        <v>113911</v>
      </c>
      <c r="AP2863" s="6" t="str">
        <f t="shared" si="807"/>
        <v>19001</v>
      </c>
      <c r="AQ2863" s="6">
        <f t="shared" si="808"/>
        <v>1900</v>
      </c>
      <c r="AR2863" s="6">
        <f t="shared" si="809"/>
        <v>1</v>
      </c>
    </row>
    <row r="2864" spans="2:44" x14ac:dyDescent="0.35">
      <c r="B2864" s="6" t="str">
        <f t="shared" si="792"/>
        <v>19001</v>
      </c>
      <c r="C2864" s="6">
        <f t="shared" si="793"/>
        <v>1900</v>
      </c>
      <c r="D2864" s="6">
        <f t="shared" si="794"/>
        <v>1</v>
      </c>
      <c r="J2864" s="6" t="str">
        <f t="shared" si="795"/>
        <v>19001</v>
      </c>
      <c r="K2864" s="6">
        <f t="shared" si="796"/>
        <v>1900</v>
      </c>
      <c r="L2864" s="6">
        <f t="shared" si="797"/>
        <v>1</v>
      </c>
      <c r="R2864" s="6" t="str">
        <f t="shared" si="798"/>
        <v>19001</v>
      </c>
      <c r="S2864" s="6">
        <f t="shared" si="799"/>
        <v>1900</v>
      </c>
      <c r="T2864" s="6">
        <f t="shared" si="800"/>
        <v>1</v>
      </c>
      <c r="Z2864" s="6" t="str">
        <f t="shared" ca="1" si="801"/>
        <v>20261</v>
      </c>
      <c r="AA2864" s="6">
        <f t="shared" ca="1" si="802"/>
        <v>2026</v>
      </c>
      <c r="AB2864" s="6">
        <f t="shared" ca="1" si="803"/>
        <v>1</v>
      </c>
      <c r="AC2864" s="68">
        <f ca="1">IFERROR(__xludf.DUMMYFUNCTION("""COMPUTED_VALUE"""),46024.9986111111)</f>
        <v>46024.998611111099</v>
      </c>
      <c r="AD2864" s="6">
        <f ca="1">IFERROR(__xludf.DUMMYFUNCTION("""COMPUTED_VALUE"""),1441.47)</f>
        <v>1441.47</v>
      </c>
      <c r="AH2864" s="6" t="str">
        <f t="shared" ca="1" si="804"/>
        <v>202510</v>
      </c>
      <c r="AI2864" s="6">
        <f t="shared" ca="1" si="805"/>
        <v>2025</v>
      </c>
      <c r="AJ2864" s="6">
        <f t="shared" ca="1" si="806"/>
        <v>10</v>
      </c>
      <c r="AK2864" s="68">
        <f ca="1">IFERROR(__xludf.DUMMYFUNCTION("""COMPUTED_VALUE"""),45959.9986111111)</f>
        <v>45959.998611111099</v>
      </c>
      <c r="AL2864" s="6">
        <f ca="1">IFERROR(__xludf.DUMMYFUNCTION("""COMPUTED_VALUE"""),112562.7)</f>
        <v>112562.7</v>
      </c>
      <c r="AP2864" s="6" t="str">
        <f t="shared" si="807"/>
        <v>19001</v>
      </c>
      <c r="AQ2864" s="6">
        <f t="shared" si="808"/>
        <v>1900</v>
      </c>
      <c r="AR2864" s="6">
        <f t="shared" si="809"/>
        <v>1</v>
      </c>
    </row>
    <row r="2865" spans="2:44" x14ac:dyDescent="0.35">
      <c r="B2865" s="6" t="str">
        <f t="shared" si="792"/>
        <v>19001</v>
      </c>
      <c r="C2865" s="6">
        <f t="shared" si="793"/>
        <v>1900</v>
      </c>
      <c r="D2865" s="6">
        <f t="shared" si="794"/>
        <v>1</v>
      </c>
      <c r="J2865" s="6" t="str">
        <f t="shared" si="795"/>
        <v>19001</v>
      </c>
      <c r="K2865" s="6">
        <f t="shared" si="796"/>
        <v>1900</v>
      </c>
      <c r="L2865" s="6">
        <f t="shared" si="797"/>
        <v>1</v>
      </c>
      <c r="R2865" s="6" t="str">
        <f t="shared" si="798"/>
        <v>19001</v>
      </c>
      <c r="S2865" s="6">
        <f t="shared" si="799"/>
        <v>1900</v>
      </c>
      <c r="T2865" s="6">
        <f t="shared" si="800"/>
        <v>1</v>
      </c>
      <c r="Z2865" s="6" t="str">
        <f t="shared" ca="1" si="801"/>
        <v>20261</v>
      </c>
      <c r="AA2865" s="6">
        <f t="shared" ca="1" si="802"/>
        <v>2026</v>
      </c>
      <c r="AB2865" s="6">
        <f t="shared" ca="1" si="803"/>
        <v>1</v>
      </c>
      <c r="AC2865" s="68">
        <f ca="1">IFERROR(__xludf.DUMMYFUNCTION("""COMPUTED_VALUE"""),46025.9986111111)</f>
        <v>46025.998611111099</v>
      </c>
      <c r="AD2865" s="6">
        <f ca="1">IFERROR(__xludf.DUMMYFUNCTION("""COMPUTED_VALUE"""),1441.07)</f>
        <v>1441.07</v>
      </c>
      <c r="AH2865" s="6" t="str">
        <f t="shared" ca="1" si="804"/>
        <v>202510</v>
      </c>
      <c r="AI2865" s="6">
        <f t="shared" ca="1" si="805"/>
        <v>2025</v>
      </c>
      <c r="AJ2865" s="6">
        <f t="shared" ca="1" si="806"/>
        <v>10</v>
      </c>
      <c r="AK2865" s="68">
        <f ca="1">IFERROR(__xludf.DUMMYFUNCTION("""COMPUTED_VALUE"""),45960.9986111111)</f>
        <v>45960.998611111099</v>
      </c>
      <c r="AL2865" s="6">
        <f ca="1">IFERROR(__xludf.DUMMYFUNCTION("""COMPUTED_VALUE"""),110670.7)</f>
        <v>110670.7</v>
      </c>
      <c r="AP2865" s="6" t="str">
        <f t="shared" si="807"/>
        <v>19001</v>
      </c>
      <c r="AQ2865" s="6">
        <f t="shared" si="808"/>
        <v>1900</v>
      </c>
      <c r="AR2865" s="6">
        <f t="shared" si="809"/>
        <v>1</v>
      </c>
    </row>
    <row r="2866" spans="2:44" x14ac:dyDescent="0.35">
      <c r="B2866" s="6" t="str">
        <f t="shared" si="792"/>
        <v>19001</v>
      </c>
      <c r="C2866" s="6">
        <f t="shared" si="793"/>
        <v>1900</v>
      </c>
      <c r="D2866" s="6">
        <f t="shared" si="794"/>
        <v>1</v>
      </c>
      <c r="J2866" s="6" t="str">
        <f t="shared" si="795"/>
        <v>19001</v>
      </c>
      <c r="K2866" s="6">
        <f t="shared" si="796"/>
        <v>1900</v>
      </c>
      <c r="L2866" s="6">
        <f t="shared" si="797"/>
        <v>1</v>
      </c>
      <c r="R2866" s="6" t="str">
        <f t="shared" si="798"/>
        <v>19001</v>
      </c>
      <c r="S2866" s="6">
        <f t="shared" si="799"/>
        <v>1900</v>
      </c>
      <c r="T2866" s="6">
        <f t="shared" si="800"/>
        <v>1</v>
      </c>
      <c r="Z2866" s="6" t="str">
        <f t="shared" ca="1" si="801"/>
        <v>20261</v>
      </c>
      <c r="AA2866" s="6">
        <f t="shared" ca="1" si="802"/>
        <v>2026</v>
      </c>
      <c r="AB2866" s="6">
        <f t="shared" ca="1" si="803"/>
        <v>1</v>
      </c>
      <c r="AC2866" s="68">
        <f ca="1">IFERROR(__xludf.DUMMYFUNCTION("""COMPUTED_VALUE"""),46026.9986111111)</f>
        <v>46026.998611111099</v>
      </c>
      <c r="AD2866" s="6">
        <f ca="1">IFERROR(__xludf.DUMMYFUNCTION("""COMPUTED_VALUE"""),1440.48)</f>
        <v>1440.48</v>
      </c>
      <c r="AH2866" s="6" t="str">
        <f t="shared" ca="1" si="804"/>
        <v>202510</v>
      </c>
      <c r="AI2866" s="6">
        <f t="shared" ca="1" si="805"/>
        <v>2025</v>
      </c>
      <c r="AJ2866" s="6">
        <f t="shared" ca="1" si="806"/>
        <v>10</v>
      </c>
      <c r="AK2866" s="68">
        <f ca="1">IFERROR(__xludf.DUMMYFUNCTION("""COMPUTED_VALUE"""),45961.9986111111)</f>
        <v>45961.998611111099</v>
      </c>
      <c r="AL2866" s="6">
        <f ca="1">IFERROR(__xludf.DUMMYFUNCTION("""COMPUTED_VALUE"""),109243.2)</f>
        <v>109243.2</v>
      </c>
      <c r="AP2866" s="6" t="str">
        <f t="shared" si="807"/>
        <v>19001</v>
      </c>
      <c r="AQ2866" s="6">
        <f t="shared" si="808"/>
        <v>1900</v>
      </c>
      <c r="AR2866" s="6">
        <f t="shared" si="809"/>
        <v>1</v>
      </c>
    </row>
    <row r="2867" spans="2:44" x14ac:dyDescent="0.35">
      <c r="B2867" s="6" t="str">
        <f t="shared" si="792"/>
        <v>19001</v>
      </c>
      <c r="C2867" s="6">
        <f t="shared" si="793"/>
        <v>1900</v>
      </c>
      <c r="D2867" s="6">
        <f t="shared" si="794"/>
        <v>1</v>
      </c>
      <c r="J2867" s="6" t="str">
        <f t="shared" si="795"/>
        <v>19001</v>
      </c>
      <c r="K2867" s="6">
        <f t="shared" si="796"/>
        <v>1900</v>
      </c>
      <c r="L2867" s="6">
        <f t="shared" si="797"/>
        <v>1</v>
      </c>
      <c r="R2867" s="6" t="str">
        <f t="shared" si="798"/>
        <v>19001</v>
      </c>
      <c r="S2867" s="6">
        <f t="shared" si="799"/>
        <v>1900</v>
      </c>
      <c r="T2867" s="6">
        <f t="shared" si="800"/>
        <v>1</v>
      </c>
      <c r="Z2867" s="6" t="str">
        <f t="shared" ca="1" si="801"/>
        <v>20261</v>
      </c>
      <c r="AA2867" s="6">
        <f t="shared" ca="1" si="802"/>
        <v>2026</v>
      </c>
      <c r="AB2867" s="6">
        <f t="shared" ca="1" si="803"/>
        <v>1</v>
      </c>
      <c r="AC2867" s="68">
        <f ca="1">IFERROR(__xludf.DUMMYFUNCTION("""COMPUTED_VALUE"""),46027.9986111111)</f>
        <v>46027.998611111099</v>
      </c>
      <c r="AD2867" s="6">
        <f ca="1">IFERROR(__xludf.DUMMYFUNCTION("""COMPUTED_VALUE"""),1445.56)</f>
        <v>1445.56</v>
      </c>
      <c r="AH2867" s="6" t="str">
        <f t="shared" ca="1" si="804"/>
        <v>202511</v>
      </c>
      <c r="AI2867" s="6">
        <f t="shared" ca="1" si="805"/>
        <v>2025</v>
      </c>
      <c r="AJ2867" s="6">
        <f t="shared" ca="1" si="806"/>
        <v>11</v>
      </c>
      <c r="AK2867" s="68">
        <f ca="1">IFERROR(__xludf.DUMMYFUNCTION("""COMPUTED_VALUE"""),45962.9986111111)</f>
        <v>45962.998611111099</v>
      </c>
      <c r="AL2867" s="6">
        <f ca="1">IFERROR(__xludf.DUMMYFUNCTION("""COMPUTED_VALUE"""),110267.2)</f>
        <v>110267.2</v>
      </c>
      <c r="AP2867" s="6" t="str">
        <f t="shared" si="807"/>
        <v>19001</v>
      </c>
      <c r="AQ2867" s="6">
        <f t="shared" si="808"/>
        <v>1900</v>
      </c>
      <c r="AR2867" s="6">
        <f t="shared" si="809"/>
        <v>1</v>
      </c>
    </row>
    <row r="2868" spans="2:44" x14ac:dyDescent="0.35">
      <c r="B2868" s="6" t="str">
        <f t="shared" si="792"/>
        <v>19001</v>
      </c>
      <c r="C2868" s="6">
        <f t="shared" si="793"/>
        <v>1900</v>
      </c>
      <c r="D2868" s="6">
        <f t="shared" si="794"/>
        <v>1</v>
      </c>
      <c r="J2868" s="6" t="str">
        <f t="shared" si="795"/>
        <v>19001</v>
      </c>
      <c r="K2868" s="6">
        <f t="shared" si="796"/>
        <v>1900</v>
      </c>
      <c r="L2868" s="6">
        <f t="shared" si="797"/>
        <v>1</v>
      </c>
      <c r="R2868" s="6" t="str">
        <f t="shared" si="798"/>
        <v>19001</v>
      </c>
      <c r="S2868" s="6">
        <f t="shared" si="799"/>
        <v>1900</v>
      </c>
      <c r="T2868" s="6">
        <f t="shared" si="800"/>
        <v>1</v>
      </c>
      <c r="Z2868" s="6" t="str">
        <f t="shared" ca="1" si="801"/>
        <v>20261</v>
      </c>
      <c r="AA2868" s="6">
        <f t="shared" ca="1" si="802"/>
        <v>2026</v>
      </c>
      <c r="AB2868" s="6">
        <f t="shared" ca="1" si="803"/>
        <v>1</v>
      </c>
      <c r="AC2868" s="68">
        <f ca="1">IFERROR(__xludf.DUMMYFUNCTION("""COMPUTED_VALUE"""),46028.9986111111)</f>
        <v>46028.998611111099</v>
      </c>
      <c r="AD2868" s="6">
        <f ca="1">IFERROR(__xludf.DUMMYFUNCTION("""COMPUTED_VALUE"""),1444.96)</f>
        <v>1444.96</v>
      </c>
      <c r="AH2868" s="6" t="str">
        <f t="shared" ca="1" si="804"/>
        <v>202511</v>
      </c>
      <c r="AI2868" s="6">
        <f t="shared" ca="1" si="805"/>
        <v>2025</v>
      </c>
      <c r="AJ2868" s="6">
        <f t="shared" ca="1" si="806"/>
        <v>11</v>
      </c>
      <c r="AK2868" s="68">
        <f ca="1">IFERROR(__xludf.DUMMYFUNCTION("""COMPUTED_VALUE"""),45963.9986111111)</f>
        <v>45963.998611111099</v>
      </c>
      <c r="AL2868" s="6">
        <f ca="1">IFERROR(__xludf.DUMMYFUNCTION("""COMPUTED_VALUE"""),110087.4)</f>
        <v>110087.4</v>
      </c>
      <c r="AP2868" s="6" t="str">
        <f t="shared" si="807"/>
        <v>19001</v>
      </c>
      <c r="AQ2868" s="6">
        <f t="shared" si="808"/>
        <v>1900</v>
      </c>
      <c r="AR2868" s="6">
        <f t="shared" si="809"/>
        <v>1</v>
      </c>
    </row>
    <row r="2869" spans="2:44" x14ac:dyDescent="0.35">
      <c r="B2869" s="6" t="str">
        <f t="shared" si="792"/>
        <v>19001</v>
      </c>
      <c r="C2869" s="6">
        <f t="shared" si="793"/>
        <v>1900</v>
      </c>
      <c r="D2869" s="6">
        <f t="shared" si="794"/>
        <v>1</v>
      </c>
      <c r="J2869" s="6" t="str">
        <f t="shared" si="795"/>
        <v>19001</v>
      </c>
      <c r="K2869" s="6">
        <f t="shared" si="796"/>
        <v>1900</v>
      </c>
      <c r="L2869" s="6">
        <f t="shared" si="797"/>
        <v>1</v>
      </c>
      <c r="R2869" s="6" t="str">
        <f t="shared" si="798"/>
        <v>19001</v>
      </c>
      <c r="S2869" s="6">
        <f t="shared" si="799"/>
        <v>1900</v>
      </c>
      <c r="T2869" s="6">
        <f t="shared" si="800"/>
        <v>1</v>
      </c>
      <c r="Z2869" s="6" t="str">
        <f t="shared" ca="1" si="801"/>
        <v>20261</v>
      </c>
      <c r="AA2869" s="6">
        <f t="shared" ca="1" si="802"/>
        <v>2026</v>
      </c>
      <c r="AB2869" s="6">
        <f t="shared" ca="1" si="803"/>
        <v>1</v>
      </c>
      <c r="AC2869" s="68">
        <f ca="1">IFERROR(__xludf.DUMMYFUNCTION("""COMPUTED_VALUE"""),46029.9986111111)</f>
        <v>46029.998611111099</v>
      </c>
      <c r="AD2869" s="6">
        <f ca="1">IFERROR(__xludf.DUMMYFUNCTION("""COMPUTED_VALUE"""),1446.14)</f>
        <v>1446.14</v>
      </c>
      <c r="AH2869" s="6" t="str">
        <f t="shared" ca="1" si="804"/>
        <v>202511</v>
      </c>
      <c r="AI2869" s="6">
        <f t="shared" ca="1" si="805"/>
        <v>2025</v>
      </c>
      <c r="AJ2869" s="6">
        <f t="shared" ca="1" si="806"/>
        <v>11</v>
      </c>
      <c r="AK2869" s="68">
        <f ca="1">IFERROR(__xludf.DUMMYFUNCTION("""COMPUTED_VALUE"""),45964.9986111111)</f>
        <v>45964.998611111099</v>
      </c>
      <c r="AL2869" s="6">
        <f ca="1">IFERROR(__xludf.DUMMYFUNCTION("""COMPUTED_VALUE"""),107870.7)</f>
        <v>107870.7</v>
      </c>
      <c r="AP2869" s="6" t="str">
        <f t="shared" si="807"/>
        <v>19001</v>
      </c>
      <c r="AQ2869" s="6">
        <f t="shared" si="808"/>
        <v>1900</v>
      </c>
      <c r="AR2869" s="6">
        <f t="shared" si="809"/>
        <v>1</v>
      </c>
    </row>
    <row r="2870" spans="2:44" x14ac:dyDescent="0.35">
      <c r="B2870" s="6" t="str">
        <f t="shared" si="792"/>
        <v>19001</v>
      </c>
      <c r="C2870" s="6">
        <f t="shared" si="793"/>
        <v>1900</v>
      </c>
      <c r="D2870" s="6">
        <f t="shared" si="794"/>
        <v>1</v>
      </c>
      <c r="J2870" s="6" t="str">
        <f t="shared" si="795"/>
        <v>19001</v>
      </c>
      <c r="K2870" s="6">
        <f t="shared" si="796"/>
        <v>1900</v>
      </c>
      <c r="L2870" s="6">
        <f t="shared" si="797"/>
        <v>1</v>
      </c>
      <c r="R2870" s="6" t="str">
        <f t="shared" si="798"/>
        <v>19001</v>
      </c>
      <c r="S2870" s="6">
        <f t="shared" si="799"/>
        <v>1900</v>
      </c>
      <c r="T2870" s="6">
        <f t="shared" si="800"/>
        <v>1</v>
      </c>
      <c r="Z2870" s="6" t="str">
        <f t="shared" ca="1" si="801"/>
        <v>20261</v>
      </c>
      <c r="AA2870" s="6">
        <f t="shared" ca="1" si="802"/>
        <v>2026</v>
      </c>
      <c r="AB2870" s="6">
        <f t="shared" ca="1" si="803"/>
        <v>1</v>
      </c>
      <c r="AC2870" s="68">
        <f ca="1">IFERROR(__xludf.DUMMYFUNCTION("""COMPUTED_VALUE"""),46030.9986111111)</f>
        <v>46030.998611111099</v>
      </c>
      <c r="AD2870" s="6">
        <f ca="1">IFERROR(__xludf.DUMMYFUNCTION("""COMPUTED_VALUE"""),1450.08)</f>
        <v>1450.08</v>
      </c>
      <c r="AH2870" s="6" t="str">
        <f t="shared" ca="1" si="804"/>
        <v>202511</v>
      </c>
      <c r="AI2870" s="6">
        <f t="shared" ca="1" si="805"/>
        <v>2025</v>
      </c>
      <c r="AJ2870" s="6">
        <f t="shared" ca="1" si="806"/>
        <v>11</v>
      </c>
      <c r="AK2870" s="68">
        <f ca="1">IFERROR(__xludf.DUMMYFUNCTION("""COMPUTED_VALUE"""),45965.9986111111)</f>
        <v>45965.998611111099</v>
      </c>
      <c r="AL2870" s="6">
        <f ca="1">IFERROR(__xludf.DUMMYFUNCTION("""COMPUTED_VALUE"""),106774.8)</f>
        <v>106774.8</v>
      </c>
      <c r="AP2870" s="6" t="str">
        <f t="shared" si="807"/>
        <v>19001</v>
      </c>
      <c r="AQ2870" s="6">
        <f t="shared" si="808"/>
        <v>1900</v>
      </c>
      <c r="AR2870" s="6">
        <f t="shared" si="809"/>
        <v>1</v>
      </c>
    </row>
    <row r="2871" spans="2:44" x14ac:dyDescent="0.35">
      <c r="B2871" s="6" t="str">
        <f t="shared" si="792"/>
        <v>19001</v>
      </c>
      <c r="C2871" s="6">
        <f t="shared" si="793"/>
        <v>1900</v>
      </c>
      <c r="D2871" s="6">
        <f t="shared" si="794"/>
        <v>1</v>
      </c>
      <c r="J2871" s="6" t="str">
        <f t="shared" si="795"/>
        <v>19001</v>
      </c>
      <c r="K2871" s="6">
        <f t="shared" si="796"/>
        <v>1900</v>
      </c>
      <c r="L2871" s="6">
        <f t="shared" si="797"/>
        <v>1</v>
      </c>
      <c r="R2871" s="6" t="str">
        <f t="shared" si="798"/>
        <v>19001</v>
      </c>
      <c r="S2871" s="6">
        <f t="shared" si="799"/>
        <v>1900</v>
      </c>
      <c r="T2871" s="6">
        <f t="shared" si="800"/>
        <v>1</v>
      </c>
      <c r="Z2871" s="6" t="str">
        <f t="shared" ca="1" si="801"/>
        <v>20261</v>
      </c>
      <c r="AA2871" s="6">
        <f t="shared" ca="1" si="802"/>
        <v>2026</v>
      </c>
      <c r="AB2871" s="6">
        <f t="shared" ca="1" si="803"/>
        <v>1</v>
      </c>
      <c r="AC2871" s="68">
        <f ca="1">IFERROR(__xludf.DUMMYFUNCTION("""COMPUTED_VALUE"""),46031.9986111111)</f>
        <v>46031.998611111099</v>
      </c>
      <c r="AD2871" s="6">
        <f ca="1">IFERROR(__xludf.DUMMYFUNCTION("""COMPUTED_VALUE"""),1456.33)</f>
        <v>1456.33</v>
      </c>
      <c r="AH2871" s="6" t="str">
        <f t="shared" ca="1" si="804"/>
        <v>202511</v>
      </c>
      <c r="AI2871" s="6">
        <f t="shared" ca="1" si="805"/>
        <v>2025</v>
      </c>
      <c r="AJ2871" s="6">
        <f t="shared" ca="1" si="806"/>
        <v>11</v>
      </c>
      <c r="AK2871" s="68">
        <f ca="1">IFERROR(__xludf.DUMMYFUNCTION("""COMPUTED_VALUE"""),45966.9986111111)</f>
        <v>45966.998611111099</v>
      </c>
      <c r="AL2871" s="6">
        <f ca="1">IFERROR(__xludf.DUMMYFUNCTION("""COMPUTED_VALUE"""),101937.4)</f>
        <v>101937.4</v>
      </c>
      <c r="AP2871" s="6" t="str">
        <f t="shared" si="807"/>
        <v>19001</v>
      </c>
      <c r="AQ2871" s="6">
        <f t="shared" si="808"/>
        <v>1900</v>
      </c>
      <c r="AR2871" s="6">
        <f t="shared" si="809"/>
        <v>1</v>
      </c>
    </row>
    <row r="2872" spans="2:44" x14ac:dyDescent="0.35">
      <c r="B2872" s="6" t="str">
        <f t="shared" si="792"/>
        <v>19001</v>
      </c>
      <c r="C2872" s="6">
        <f t="shared" si="793"/>
        <v>1900</v>
      </c>
      <c r="D2872" s="6">
        <f t="shared" si="794"/>
        <v>1</v>
      </c>
      <c r="J2872" s="6" t="str">
        <f t="shared" si="795"/>
        <v>19001</v>
      </c>
      <c r="K2872" s="6">
        <f t="shared" si="796"/>
        <v>1900</v>
      </c>
      <c r="L2872" s="6">
        <f t="shared" si="797"/>
        <v>1</v>
      </c>
      <c r="R2872" s="6" t="str">
        <f t="shared" si="798"/>
        <v>19001</v>
      </c>
      <c r="S2872" s="6">
        <f t="shared" si="799"/>
        <v>1900</v>
      </c>
      <c r="T2872" s="6">
        <f t="shared" si="800"/>
        <v>1</v>
      </c>
      <c r="Z2872" s="6" t="str">
        <f t="shared" ca="1" si="801"/>
        <v>20261</v>
      </c>
      <c r="AA2872" s="6">
        <f t="shared" ca="1" si="802"/>
        <v>2026</v>
      </c>
      <c r="AB2872" s="6">
        <f t="shared" ca="1" si="803"/>
        <v>1</v>
      </c>
      <c r="AC2872" s="68">
        <f ca="1">IFERROR(__xludf.DUMMYFUNCTION("""COMPUTED_VALUE"""),46032.9986111111)</f>
        <v>46032.998611111099</v>
      </c>
      <c r="AD2872" s="6">
        <f ca="1">IFERROR(__xludf.DUMMYFUNCTION("""COMPUTED_VALUE"""),1456.33)</f>
        <v>1456.33</v>
      </c>
      <c r="AH2872" s="6" t="str">
        <f t="shared" ca="1" si="804"/>
        <v>202511</v>
      </c>
      <c r="AI2872" s="6">
        <f t="shared" ca="1" si="805"/>
        <v>2025</v>
      </c>
      <c r="AJ2872" s="6">
        <f t="shared" ca="1" si="806"/>
        <v>11</v>
      </c>
      <c r="AK2872" s="68">
        <f ca="1">IFERROR(__xludf.DUMMYFUNCTION("""COMPUTED_VALUE"""),45967.9986111111)</f>
        <v>45967.998611111099</v>
      </c>
      <c r="AL2872" s="6">
        <f ca="1">IFERROR(__xludf.DUMMYFUNCTION("""COMPUTED_VALUE"""),103976.1)</f>
        <v>103976.1</v>
      </c>
      <c r="AP2872" s="6" t="str">
        <f t="shared" si="807"/>
        <v>19001</v>
      </c>
      <c r="AQ2872" s="6">
        <f t="shared" si="808"/>
        <v>1900</v>
      </c>
      <c r="AR2872" s="6">
        <f t="shared" si="809"/>
        <v>1</v>
      </c>
    </row>
    <row r="2873" spans="2:44" x14ac:dyDescent="0.35">
      <c r="B2873" s="6" t="str">
        <f t="shared" si="792"/>
        <v>19001</v>
      </c>
      <c r="C2873" s="6">
        <f t="shared" si="793"/>
        <v>1900</v>
      </c>
      <c r="D2873" s="6">
        <f t="shared" si="794"/>
        <v>1</v>
      </c>
      <c r="J2873" s="6" t="str">
        <f t="shared" si="795"/>
        <v>19001</v>
      </c>
      <c r="K2873" s="6">
        <f t="shared" si="796"/>
        <v>1900</v>
      </c>
      <c r="L2873" s="6">
        <f t="shared" si="797"/>
        <v>1</v>
      </c>
      <c r="R2873" s="6" t="str">
        <f t="shared" si="798"/>
        <v>19001</v>
      </c>
      <c r="S2873" s="6">
        <f t="shared" si="799"/>
        <v>1900</v>
      </c>
      <c r="T2873" s="6">
        <f t="shared" si="800"/>
        <v>1</v>
      </c>
      <c r="Z2873" s="6" t="str">
        <f t="shared" ca="1" si="801"/>
        <v>20261</v>
      </c>
      <c r="AA2873" s="6">
        <f t="shared" ca="1" si="802"/>
        <v>2026</v>
      </c>
      <c r="AB2873" s="6">
        <f t="shared" ca="1" si="803"/>
        <v>1</v>
      </c>
      <c r="AC2873" s="68">
        <f ca="1">IFERROR(__xludf.DUMMYFUNCTION("""COMPUTED_VALUE"""),46033.9986111111)</f>
        <v>46033.998611111099</v>
      </c>
      <c r="AD2873" s="6">
        <f ca="1">IFERROR(__xludf.DUMMYFUNCTION("""COMPUTED_VALUE"""),1455.24)</f>
        <v>1455.24</v>
      </c>
      <c r="AH2873" s="6" t="str">
        <f t="shared" ca="1" si="804"/>
        <v>202511</v>
      </c>
      <c r="AI2873" s="6">
        <f t="shared" ca="1" si="805"/>
        <v>2025</v>
      </c>
      <c r="AJ2873" s="6">
        <f t="shared" ca="1" si="806"/>
        <v>11</v>
      </c>
      <c r="AK2873" s="68">
        <f ca="1">IFERROR(__xludf.DUMMYFUNCTION("""COMPUTED_VALUE"""),45968.9986111111)</f>
        <v>45968.998611111099</v>
      </c>
      <c r="AL2873" s="6">
        <f ca="1">IFERROR(__xludf.DUMMYFUNCTION("""COMPUTED_VALUE"""),101913.8)</f>
        <v>101913.8</v>
      </c>
      <c r="AP2873" s="6" t="str">
        <f t="shared" si="807"/>
        <v>19001</v>
      </c>
      <c r="AQ2873" s="6">
        <f t="shared" si="808"/>
        <v>1900</v>
      </c>
      <c r="AR2873" s="6">
        <f t="shared" si="809"/>
        <v>1</v>
      </c>
    </row>
    <row r="2874" spans="2:44" x14ac:dyDescent="0.35">
      <c r="B2874" s="6" t="str">
        <f t="shared" si="792"/>
        <v>19001</v>
      </c>
      <c r="C2874" s="6">
        <f t="shared" si="793"/>
        <v>1900</v>
      </c>
      <c r="D2874" s="6">
        <f t="shared" si="794"/>
        <v>1</v>
      </c>
      <c r="J2874" s="6" t="str">
        <f t="shared" si="795"/>
        <v>19001</v>
      </c>
      <c r="K2874" s="6">
        <f t="shared" si="796"/>
        <v>1900</v>
      </c>
      <c r="L2874" s="6">
        <f t="shared" si="797"/>
        <v>1</v>
      </c>
      <c r="R2874" s="6" t="str">
        <f t="shared" si="798"/>
        <v>19001</v>
      </c>
      <c r="S2874" s="6">
        <f t="shared" si="799"/>
        <v>1900</v>
      </c>
      <c r="T2874" s="6">
        <f t="shared" si="800"/>
        <v>1</v>
      </c>
      <c r="Z2874" s="6" t="str">
        <f t="shared" ca="1" si="801"/>
        <v>20261</v>
      </c>
      <c r="AA2874" s="6">
        <f t="shared" ca="1" si="802"/>
        <v>2026</v>
      </c>
      <c r="AB2874" s="6">
        <f t="shared" ca="1" si="803"/>
        <v>1</v>
      </c>
      <c r="AC2874" s="68">
        <f ca="1">IFERROR(__xludf.DUMMYFUNCTION("""COMPUTED_VALUE"""),46034.9986111111)</f>
        <v>46034.998611111099</v>
      </c>
      <c r="AD2874" s="6">
        <f ca="1">IFERROR(__xludf.DUMMYFUNCTION("""COMPUTED_VALUE"""),1464.93)</f>
        <v>1464.93</v>
      </c>
      <c r="AH2874" s="6" t="str">
        <f t="shared" ca="1" si="804"/>
        <v>202511</v>
      </c>
      <c r="AI2874" s="6">
        <f t="shared" ca="1" si="805"/>
        <v>2025</v>
      </c>
      <c r="AJ2874" s="6">
        <f t="shared" ca="1" si="806"/>
        <v>11</v>
      </c>
      <c r="AK2874" s="68">
        <f ca="1">IFERROR(__xludf.DUMMYFUNCTION("""COMPUTED_VALUE"""),45969.9986111111)</f>
        <v>45969.998611111099</v>
      </c>
      <c r="AL2874" s="6">
        <f ca="1">IFERROR(__xludf.DUMMYFUNCTION("""COMPUTED_VALUE"""),102535.7)</f>
        <v>102535.7</v>
      </c>
      <c r="AP2874" s="6" t="str">
        <f t="shared" si="807"/>
        <v>19001</v>
      </c>
      <c r="AQ2874" s="6">
        <f t="shared" si="808"/>
        <v>1900</v>
      </c>
      <c r="AR2874" s="6">
        <f t="shared" si="809"/>
        <v>1</v>
      </c>
    </row>
    <row r="2875" spans="2:44" x14ac:dyDescent="0.35">
      <c r="B2875" s="6" t="str">
        <f t="shared" si="792"/>
        <v>19001</v>
      </c>
      <c r="C2875" s="6">
        <f t="shared" si="793"/>
        <v>1900</v>
      </c>
      <c r="D2875" s="6">
        <f t="shared" si="794"/>
        <v>1</v>
      </c>
      <c r="J2875" s="6" t="str">
        <f t="shared" si="795"/>
        <v>19001</v>
      </c>
      <c r="K2875" s="6">
        <f t="shared" si="796"/>
        <v>1900</v>
      </c>
      <c r="L2875" s="6">
        <f t="shared" si="797"/>
        <v>1</v>
      </c>
      <c r="R2875" s="6" t="str">
        <f t="shared" si="798"/>
        <v>19001</v>
      </c>
      <c r="S2875" s="6">
        <f t="shared" si="799"/>
        <v>1900</v>
      </c>
      <c r="T2875" s="6">
        <f t="shared" si="800"/>
        <v>1</v>
      </c>
      <c r="Z2875" s="6" t="str">
        <f t="shared" ca="1" si="801"/>
        <v>20261</v>
      </c>
      <c r="AA2875" s="6">
        <f t="shared" ca="1" si="802"/>
        <v>2026</v>
      </c>
      <c r="AB2875" s="6">
        <f t="shared" ca="1" si="803"/>
        <v>1</v>
      </c>
      <c r="AC2875" s="68">
        <f ca="1">IFERROR(__xludf.DUMMYFUNCTION("""COMPUTED_VALUE"""),46035.9986111111)</f>
        <v>46035.998611111099</v>
      </c>
      <c r="AD2875" s="6">
        <f ca="1">IFERROR(__xludf.DUMMYFUNCTION("""COMPUTED_VALUE"""),1473.01)</f>
        <v>1473.01</v>
      </c>
      <c r="AH2875" s="6" t="str">
        <f t="shared" ca="1" si="804"/>
        <v>202511</v>
      </c>
      <c r="AI2875" s="6">
        <f t="shared" ca="1" si="805"/>
        <v>2025</v>
      </c>
      <c r="AJ2875" s="6">
        <f t="shared" ca="1" si="806"/>
        <v>11</v>
      </c>
      <c r="AK2875" s="68">
        <f ca="1">IFERROR(__xludf.DUMMYFUNCTION("""COMPUTED_VALUE"""),45970.9986111111)</f>
        <v>45970.998611111099</v>
      </c>
      <c r="AL2875" s="6">
        <f ca="1">IFERROR(__xludf.DUMMYFUNCTION("""COMPUTED_VALUE"""),101740.2)</f>
        <v>101740.2</v>
      </c>
      <c r="AP2875" s="6" t="str">
        <f t="shared" si="807"/>
        <v>19001</v>
      </c>
      <c r="AQ2875" s="6">
        <f t="shared" si="808"/>
        <v>1900</v>
      </c>
      <c r="AR2875" s="6">
        <f t="shared" si="809"/>
        <v>1</v>
      </c>
    </row>
    <row r="2876" spans="2:44" x14ac:dyDescent="0.35">
      <c r="B2876" s="6" t="str">
        <f t="shared" si="792"/>
        <v>19001</v>
      </c>
      <c r="C2876" s="6">
        <f t="shared" si="793"/>
        <v>1900</v>
      </c>
      <c r="D2876" s="6">
        <f t="shared" si="794"/>
        <v>1</v>
      </c>
      <c r="J2876" s="6" t="str">
        <f t="shared" si="795"/>
        <v>19001</v>
      </c>
      <c r="K2876" s="6">
        <f t="shared" si="796"/>
        <v>1900</v>
      </c>
      <c r="L2876" s="6">
        <f t="shared" si="797"/>
        <v>1</v>
      </c>
      <c r="R2876" s="6" t="str">
        <f t="shared" si="798"/>
        <v>19001</v>
      </c>
      <c r="S2876" s="6">
        <f t="shared" si="799"/>
        <v>1900</v>
      </c>
      <c r="T2876" s="6">
        <f t="shared" si="800"/>
        <v>1</v>
      </c>
      <c r="Z2876" s="6" t="str">
        <f t="shared" ca="1" si="801"/>
        <v>20261</v>
      </c>
      <c r="AA2876" s="6">
        <f t="shared" ca="1" si="802"/>
        <v>2026</v>
      </c>
      <c r="AB2876" s="6">
        <f t="shared" ca="1" si="803"/>
        <v>1</v>
      </c>
      <c r="AC2876" s="68">
        <f ca="1">IFERROR(__xludf.DUMMYFUNCTION("""COMPUTED_VALUE"""),46036.9986111111)</f>
        <v>46036.998611111099</v>
      </c>
      <c r="AD2876" s="6">
        <f ca="1">IFERROR(__xludf.DUMMYFUNCTION("""COMPUTED_VALUE"""),1462.9)</f>
        <v>1462.9</v>
      </c>
      <c r="AH2876" s="6" t="str">
        <f t="shared" ca="1" si="804"/>
        <v>202511</v>
      </c>
      <c r="AI2876" s="6">
        <f t="shared" ca="1" si="805"/>
        <v>2025</v>
      </c>
      <c r="AJ2876" s="6">
        <f t="shared" ca="1" si="806"/>
        <v>11</v>
      </c>
      <c r="AK2876" s="68">
        <f ca="1">IFERROR(__xludf.DUMMYFUNCTION("""COMPUTED_VALUE"""),45971.9986111111)</f>
        <v>45971.998611111099</v>
      </c>
      <c r="AL2876" s="6">
        <f ca="1">IFERROR(__xludf.DUMMYFUNCTION("""COMPUTED_VALUE"""),106164.8)</f>
        <v>106164.8</v>
      </c>
      <c r="AP2876" s="6" t="str">
        <f t="shared" si="807"/>
        <v>19001</v>
      </c>
      <c r="AQ2876" s="6">
        <f t="shared" si="808"/>
        <v>1900</v>
      </c>
      <c r="AR2876" s="6">
        <f t="shared" si="809"/>
        <v>1</v>
      </c>
    </row>
    <row r="2877" spans="2:44" x14ac:dyDescent="0.35">
      <c r="B2877" s="6" t="str">
        <f t="shared" si="792"/>
        <v>19001</v>
      </c>
      <c r="C2877" s="6">
        <f t="shared" si="793"/>
        <v>1900</v>
      </c>
      <c r="D2877" s="6">
        <f t="shared" si="794"/>
        <v>1</v>
      </c>
      <c r="J2877" s="6" t="str">
        <f t="shared" si="795"/>
        <v>19001</v>
      </c>
      <c r="K2877" s="6">
        <f t="shared" si="796"/>
        <v>1900</v>
      </c>
      <c r="L2877" s="6">
        <f t="shared" si="797"/>
        <v>1</v>
      </c>
      <c r="R2877" s="6" t="str">
        <f t="shared" si="798"/>
        <v>19001</v>
      </c>
      <c r="S2877" s="6">
        <f t="shared" si="799"/>
        <v>1900</v>
      </c>
      <c r="T2877" s="6">
        <f t="shared" si="800"/>
        <v>1</v>
      </c>
      <c r="Z2877" s="6" t="str">
        <f t="shared" ca="1" si="801"/>
        <v>20261</v>
      </c>
      <c r="AA2877" s="6">
        <f t="shared" ca="1" si="802"/>
        <v>2026</v>
      </c>
      <c r="AB2877" s="6">
        <f t="shared" ca="1" si="803"/>
        <v>1</v>
      </c>
      <c r="AC2877" s="68">
        <f ca="1">IFERROR(__xludf.DUMMYFUNCTION("""COMPUTED_VALUE"""),46037.9986111111)</f>
        <v>46037.998611111099</v>
      </c>
      <c r="AD2877" s="6">
        <f ca="1">IFERROR(__xludf.DUMMYFUNCTION("""COMPUTED_VALUE"""),1468.84)</f>
        <v>1468.84</v>
      </c>
      <c r="AH2877" s="6" t="str">
        <f t="shared" ca="1" si="804"/>
        <v>202511</v>
      </c>
      <c r="AI2877" s="6">
        <f t="shared" ca="1" si="805"/>
        <v>2025</v>
      </c>
      <c r="AJ2877" s="6">
        <f t="shared" ca="1" si="806"/>
        <v>11</v>
      </c>
      <c r="AK2877" s="68">
        <f ca="1">IFERROR(__xludf.DUMMYFUNCTION("""COMPUTED_VALUE"""),45972.9986111111)</f>
        <v>45972.998611111099</v>
      </c>
      <c r="AL2877" s="6">
        <f ca="1">IFERROR(__xludf.DUMMYFUNCTION("""COMPUTED_VALUE"""),105733)</f>
        <v>105733</v>
      </c>
      <c r="AP2877" s="6" t="str">
        <f t="shared" si="807"/>
        <v>19001</v>
      </c>
      <c r="AQ2877" s="6">
        <f t="shared" si="808"/>
        <v>1900</v>
      </c>
      <c r="AR2877" s="6">
        <f t="shared" si="809"/>
        <v>1</v>
      </c>
    </row>
    <row r="2878" spans="2:44" x14ac:dyDescent="0.35">
      <c r="B2878" s="6" t="str">
        <f t="shared" si="792"/>
        <v>19001</v>
      </c>
      <c r="C2878" s="6">
        <f t="shared" si="793"/>
        <v>1900</v>
      </c>
      <c r="D2878" s="6">
        <f t="shared" si="794"/>
        <v>1</v>
      </c>
      <c r="J2878" s="6" t="str">
        <f t="shared" si="795"/>
        <v>19001</v>
      </c>
      <c r="K2878" s="6">
        <f t="shared" si="796"/>
        <v>1900</v>
      </c>
      <c r="L2878" s="6">
        <f t="shared" si="797"/>
        <v>1</v>
      </c>
      <c r="R2878" s="6" t="str">
        <f t="shared" si="798"/>
        <v>19001</v>
      </c>
      <c r="S2878" s="6">
        <f t="shared" si="799"/>
        <v>1900</v>
      </c>
      <c r="T2878" s="6">
        <f t="shared" si="800"/>
        <v>1</v>
      </c>
      <c r="Z2878" s="6" t="str">
        <f t="shared" ca="1" si="801"/>
        <v>20261</v>
      </c>
      <c r="AA2878" s="6">
        <f t="shared" ca="1" si="802"/>
        <v>2026</v>
      </c>
      <c r="AB2878" s="6">
        <f t="shared" ca="1" si="803"/>
        <v>1</v>
      </c>
      <c r="AC2878" s="68">
        <f ca="1">IFERROR(__xludf.DUMMYFUNCTION("""COMPUTED_VALUE"""),46038.9986111111)</f>
        <v>46038.998611111099</v>
      </c>
      <c r="AD2878" s="6">
        <f ca="1">IFERROR(__xludf.DUMMYFUNCTION("""COMPUTED_VALUE"""),1472.47)</f>
        <v>1472.47</v>
      </c>
      <c r="AH2878" s="6" t="str">
        <f t="shared" ca="1" si="804"/>
        <v>202511</v>
      </c>
      <c r="AI2878" s="6">
        <f t="shared" ca="1" si="805"/>
        <v>2025</v>
      </c>
      <c r="AJ2878" s="6">
        <f t="shared" ca="1" si="806"/>
        <v>11</v>
      </c>
      <c r="AK2878" s="68">
        <f ca="1">IFERROR(__xludf.DUMMYFUNCTION("""COMPUTED_VALUE"""),45973.9986111111)</f>
        <v>45973.998611111099</v>
      </c>
      <c r="AL2878" s="6">
        <f ca="1">IFERROR(__xludf.DUMMYFUNCTION("""COMPUTED_VALUE"""),103227)</f>
        <v>103227</v>
      </c>
      <c r="AP2878" s="6" t="str">
        <f t="shared" si="807"/>
        <v>19001</v>
      </c>
      <c r="AQ2878" s="6">
        <f t="shared" si="808"/>
        <v>1900</v>
      </c>
      <c r="AR2878" s="6">
        <f t="shared" si="809"/>
        <v>1</v>
      </c>
    </row>
    <row r="2879" spans="2:44" x14ac:dyDescent="0.35">
      <c r="B2879" s="6" t="str">
        <f t="shared" si="792"/>
        <v>19001</v>
      </c>
      <c r="C2879" s="6">
        <f t="shared" si="793"/>
        <v>1900</v>
      </c>
      <c r="D2879" s="6">
        <f t="shared" si="794"/>
        <v>1</v>
      </c>
      <c r="J2879" s="6" t="str">
        <f t="shared" si="795"/>
        <v>19001</v>
      </c>
      <c r="K2879" s="6">
        <f t="shared" si="796"/>
        <v>1900</v>
      </c>
      <c r="L2879" s="6">
        <f t="shared" si="797"/>
        <v>1</v>
      </c>
      <c r="R2879" s="6" t="str">
        <f t="shared" si="798"/>
        <v>19001</v>
      </c>
      <c r="S2879" s="6">
        <f t="shared" si="799"/>
        <v>1900</v>
      </c>
      <c r="T2879" s="6">
        <f t="shared" si="800"/>
        <v>1</v>
      </c>
      <c r="Z2879" s="6" t="str">
        <f t="shared" ca="1" si="801"/>
        <v>20261</v>
      </c>
      <c r="AA2879" s="6">
        <f t="shared" ca="1" si="802"/>
        <v>2026</v>
      </c>
      <c r="AB2879" s="6">
        <f t="shared" ca="1" si="803"/>
        <v>1</v>
      </c>
      <c r="AC2879" s="68">
        <f ca="1">IFERROR(__xludf.DUMMYFUNCTION("""COMPUTED_VALUE"""),46039.9986111111)</f>
        <v>46039.998611111099</v>
      </c>
      <c r="AD2879" s="6">
        <f ca="1">IFERROR(__xludf.DUMMYFUNCTION("""COMPUTED_VALUE"""),1472.07)</f>
        <v>1472.07</v>
      </c>
      <c r="AH2879" s="6" t="str">
        <f t="shared" ca="1" si="804"/>
        <v>202511</v>
      </c>
      <c r="AI2879" s="6">
        <f t="shared" ca="1" si="805"/>
        <v>2025</v>
      </c>
      <c r="AJ2879" s="6">
        <f t="shared" ca="1" si="806"/>
        <v>11</v>
      </c>
      <c r="AK2879" s="68">
        <f ca="1">IFERROR(__xludf.DUMMYFUNCTION("""COMPUTED_VALUE"""),45974.9986111111)</f>
        <v>45974.998611111099</v>
      </c>
      <c r="AL2879" s="6">
        <f ca="1">IFERROR(__xludf.DUMMYFUNCTION("""COMPUTED_VALUE"""),102177.3)</f>
        <v>102177.3</v>
      </c>
      <c r="AP2879" s="6" t="str">
        <f t="shared" si="807"/>
        <v>19001</v>
      </c>
      <c r="AQ2879" s="6">
        <f t="shared" si="808"/>
        <v>1900</v>
      </c>
      <c r="AR2879" s="6">
        <f t="shared" si="809"/>
        <v>1</v>
      </c>
    </row>
    <row r="2880" spans="2:44" x14ac:dyDescent="0.35">
      <c r="B2880" s="6" t="str">
        <f t="shared" si="792"/>
        <v>19001</v>
      </c>
      <c r="C2880" s="6">
        <f t="shared" si="793"/>
        <v>1900</v>
      </c>
      <c r="D2880" s="6">
        <f t="shared" si="794"/>
        <v>1</v>
      </c>
      <c r="J2880" s="6" t="str">
        <f t="shared" si="795"/>
        <v>19001</v>
      </c>
      <c r="K2880" s="6">
        <f t="shared" si="796"/>
        <v>1900</v>
      </c>
      <c r="L2880" s="6">
        <f t="shared" si="797"/>
        <v>1</v>
      </c>
      <c r="R2880" s="6" t="str">
        <f t="shared" si="798"/>
        <v>19001</v>
      </c>
      <c r="S2880" s="6">
        <f t="shared" si="799"/>
        <v>1900</v>
      </c>
      <c r="T2880" s="6">
        <f t="shared" si="800"/>
        <v>1</v>
      </c>
      <c r="Z2880" s="6" t="str">
        <f t="shared" ca="1" si="801"/>
        <v>20261</v>
      </c>
      <c r="AA2880" s="6">
        <f t="shared" ca="1" si="802"/>
        <v>2026</v>
      </c>
      <c r="AB2880" s="6">
        <f t="shared" ca="1" si="803"/>
        <v>1</v>
      </c>
      <c r="AC2880" s="68">
        <f ca="1">IFERROR(__xludf.DUMMYFUNCTION("""COMPUTED_VALUE"""),46040.9986111111)</f>
        <v>46040.998611111099</v>
      </c>
      <c r="AD2880" s="6">
        <f ca="1">IFERROR(__xludf.DUMMYFUNCTION("""COMPUTED_VALUE"""),1471.58)</f>
        <v>1471.58</v>
      </c>
      <c r="AH2880" s="6" t="str">
        <f t="shared" ca="1" si="804"/>
        <v>202511</v>
      </c>
      <c r="AI2880" s="6">
        <f t="shared" ca="1" si="805"/>
        <v>2025</v>
      </c>
      <c r="AJ2880" s="6">
        <f t="shared" ca="1" si="806"/>
        <v>11</v>
      </c>
      <c r="AK2880" s="68">
        <f ca="1">IFERROR(__xludf.DUMMYFUNCTION("""COMPUTED_VALUE"""),45975.9986111111)</f>
        <v>45975.998611111099</v>
      </c>
      <c r="AL2880" s="6">
        <f ca="1">IFERROR(__xludf.DUMMYFUNCTION("""COMPUTED_VALUE"""),97826.84)</f>
        <v>97826.84</v>
      </c>
      <c r="AP2880" s="6" t="str">
        <f t="shared" si="807"/>
        <v>19001</v>
      </c>
      <c r="AQ2880" s="6">
        <f t="shared" si="808"/>
        <v>1900</v>
      </c>
      <c r="AR2880" s="6">
        <f t="shared" si="809"/>
        <v>1</v>
      </c>
    </row>
    <row r="2881" spans="2:44" x14ac:dyDescent="0.35">
      <c r="B2881" s="6" t="str">
        <f t="shared" si="792"/>
        <v>19001</v>
      </c>
      <c r="C2881" s="6">
        <f t="shared" si="793"/>
        <v>1900</v>
      </c>
      <c r="D2881" s="6">
        <f t="shared" si="794"/>
        <v>1</v>
      </c>
      <c r="J2881" s="6" t="str">
        <f t="shared" si="795"/>
        <v>19001</v>
      </c>
      <c r="K2881" s="6">
        <f t="shared" si="796"/>
        <v>1900</v>
      </c>
      <c r="L2881" s="6">
        <f t="shared" si="797"/>
        <v>1</v>
      </c>
      <c r="R2881" s="6" t="str">
        <f t="shared" si="798"/>
        <v>19001</v>
      </c>
      <c r="S2881" s="6">
        <f t="shared" si="799"/>
        <v>1900</v>
      </c>
      <c r="T2881" s="6">
        <f t="shared" si="800"/>
        <v>1</v>
      </c>
      <c r="Z2881" s="6" t="str">
        <f t="shared" ca="1" si="801"/>
        <v>20261</v>
      </c>
      <c r="AA2881" s="6">
        <f t="shared" ca="1" si="802"/>
        <v>2026</v>
      </c>
      <c r="AB2881" s="6">
        <f t="shared" ca="1" si="803"/>
        <v>1</v>
      </c>
      <c r="AC2881" s="68">
        <f ca="1">IFERROR(__xludf.DUMMYFUNCTION("""COMPUTED_VALUE"""),46041.9986111111)</f>
        <v>46041.998611111099</v>
      </c>
      <c r="AD2881" s="6">
        <f ca="1">IFERROR(__xludf.DUMMYFUNCTION("""COMPUTED_VALUE"""),1471.52)</f>
        <v>1471.52</v>
      </c>
      <c r="AH2881" s="6" t="str">
        <f t="shared" ca="1" si="804"/>
        <v>202511</v>
      </c>
      <c r="AI2881" s="6">
        <f t="shared" ca="1" si="805"/>
        <v>2025</v>
      </c>
      <c r="AJ2881" s="6">
        <f t="shared" ca="1" si="806"/>
        <v>11</v>
      </c>
      <c r="AK2881" s="68">
        <f ca="1">IFERROR(__xludf.DUMMYFUNCTION("""COMPUTED_VALUE"""),45976.9986111111)</f>
        <v>45976.998611111099</v>
      </c>
      <c r="AL2881" s="6">
        <f ca="1">IFERROR(__xludf.DUMMYFUNCTION("""COMPUTED_VALUE"""),96129.48)</f>
        <v>96129.48</v>
      </c>
      <c r="AP2881" s="6" t="str">
        <f t="shared" si="807"/>
        <v>19001</v>
      </c>
      <c r="AQ2881" s="6">
        <f t="shared" si="808"/>
        <v>1900</v>
      </c>
      <c r="AR2881" s="6">
        <f t="shared" si="809"/>
        <v>1</v>
      </c>
    </row>
    <row r="2882" spans="2:44" x14ac:dyDescent="0.35">
      <c r="B2882" s="6" t="str">
        <f t="shared" si="792"/>
        <v>19001</v>
      </c>
      <c r="C2882" s="6">
        <f t="shared" si="793"/>
        <v>1900</v>
      </c>
      <c r="D2882" s="6">
        <f t="shared" si="794"/>
        <v>1</v>
      </c>
      <c r="J2882" s="6" t="str">
        <f t="shared" si="795"/>
        <v>19001</v>
      </c>
      <c r="K2882" s="6">
        <f t="shared" si="796"/>
        <v>1900</v>
      </c>
      <c r="L2882" s="6">
        <f t="shared" si="797"/>
        <v>1</v>
      </c>
      <c r="R2882" s="6" t="str">
        <f t="shared" si="798"/>
        <v>19001</v>
      </c>
      <c r="S2882" s="6">
        <f t="shared" si="799"/>
        <v>1900</v>
      </c>
      <c r="T2882" s="6">
        <f t="shared" si="800"/>
        <v>1</v>
      </c>
      <c r="Z2882" s="6" t="str">
        <f t="shared" ca="1" si="801"/>
        <v>20261</v>
      </c>
      <c r="AA2882" s="6">
        <f t="shared" ca="1" si="802"/>
        <v>2026</v>
      </c>
      <c r="AB2882" s="6">
        <f t="shared" ca="1" si="803"/>
        <v>1</v>
      </c>
      <c r="AC2882" s="68">
        <f ca="1">IFERROR(__xludf.DUMMYFUNCTION("""COMPUTED_VALUE"""),46042.9986111111)</f>
        <v>46042.998611111099</v>
      </c>
      <c r="AD2882" s="6">
        <f ca="1">IFERROR(__xludf.DUMMYFUNCTION("""COMPUTED_VALUE"""),1477.78)</f>
        <v>1477.78</v>
      </c>
      <c r="AH2882" s="6" t="str">
        <f t="shared" ca="1" si="804"/>
        <v>202511</v>
      </c>
      <c r="AI2882" s="6">
        <f t="shared" ca="1" si="805"/>
        <v>2025</v>
      </c>
      <c r="AJ2882" s="6">
        <f t="shared" ca="1" si="806"/>
        <v>11</v>
      </c>
      <c r="AK2882" s="68">
        <f ca="1">IFERROR(__xludf.DUMMYFUNCTION("""COMPUTED_VALUE"""),45977.9986111111)</f>
        <v>45977.998611111099</v>
      </c>
      <c r="AL2882" s="6">
        <f ca="1">IFERROR(__xludf.DUMMYFUNCTION("""COMPUTED_VALUE"""),95801.09)</f>
        <v>95801.09</v>
      </c>
      <c r="AP2882" s="6" t="str">
        <f t="shared" si="807"/>
        <v>19001</v>
      </c>
      <c r="AQ2882" s="6">
        <f t="shared" si="808"/>
        <v>1900</v>
      </c>
      <c r="AR2882" s="6">
        <f t="shared" si="809"/>
        <v>1</v>
      </c>
    </row>
    <row r="2883" spans="2:44" x14ac:dyDescent="0.35">
      <c r="B2883" s="6" t="str">
        <f t="shared" si="792"/>
        <v>19001</v>
      </c>
      <c r="C2883" s="6">
        <f t="shared" si="793"/>
        <v>1900</v>
      </c>
      <c r="D2883" s="6">
        <f t="shared" si="794"/>
        <v>1</v>
      </c>
      <c r="J2883" s="6" t="str">
        <f t="shared" si="795"/>
        <v>19001</v>
      </c>
      <c r="K2883" s="6">
        <f t="shared" si="796"/>
        <v>1900</v>
      </c>
      <c r="L2883" s="6">
        <f t="shared" si="797"/>
        <v>1</v>
      </c>
      <c r="R2883" s="6" t="str">
        <f t="shared" si="798"/>
        <v>19001</v>
      </c>
      <c r="S2883" s="6">
        <f t="shared" si="799"/>
        <v>1900</v>
      </c>
      <c r="T2883" s="6">
        <f t="shared" si="800"/>
        <v>1</v>
      </c>
      <c r="Z2883" s="6" t="str">
        <f t="shared" ca="1" si="801"/>
        <v>20261</v>
      </c>
      <c r="AA2883" s="6">
        <f t="shared" ca="1" si="802"/>
        <v>2026</v>
      </c>
      <c r="AB2883" s="6">
        <f t="shared" ca="1" si="803"/>
        <v>1</v>
      </c>
      <c r="AC2883" s="68">
        <f ca="1">IFERROR(__xludf.DUMMYFUNCTION("""COMPUTED_VALUE"""),46043.9986111111)</f>
        <v>46043.998611111099</v>
      </c>
      <c r="AD2883" s="6">
        <f ca="1">IFERROR(__xludf.DUMMYFUNCTION("""COMPUTED_VALUE"""),1464.83)</f>
        <v>1464.83</v>
      </c>
      <c r="AH2883" s="6" t="str">
        <f t="shared" ca="1" si="804"/>
        <v>202511</v>
      </c>
      <c r="AI2883" s="6">
        <f t="shared" ca="1" si="805"/>
        <v>2025</v>
      </c>
      <c r="AJ2883" s="6">
        <f t="shared" ca="1" si="806"/>
        <v>11</v>
      </c>
      <c r="AK2883" s="68">
        <f ca="1">IFERROR(__xludf.DUMMYFUNCTION("""COMPUTED_VALUE"""),45978.9986111111)</f>
        <v>45978.998611111099</v>
      </c>
      <c r="AL2883" s="6">
        <f ca="1">IFERROR(__xludf.DUMMYFUNCTION("""COMPUTED_VALUE"""),95168.88)</f>
        <v>95168.88</v>
      </c>
      <c r="AP2883" s="6" t="str">
        <f t="shared" si="807"/>
        <v>19001</v>
      </c>
      <c r="AQ2883" s="6">
        <f t="shared" si="808"/>
        <v>1900</v>
      </c>
      <c r="AR2883" s="6">
        <f t="shared" si="809"/>
        <v>1</v>
      </c>
    </row>
    <row r="2884" spans="2:44" x14ac:dyDescent="0.35">
      <c r="B2884" s="6" t="str">
        <f t="shared" si="792"/>
        <v>19001</v>
      </c>
      <c r="C2884" s="6">
        <f t="shared" si="793"/>
        <v>1900</v>
      </c>
      <c r="D2884" s="6">
        <f t="shared" si="794"/>
        <v>1</v>
      </c>
      <c r="J2884" s="6" t="str">
        <f t="shared" si="795"/>
        <v>19001</v>
      </c>
      <c r="K2884" s="6">
        <f t="shared" si="796"/>
        <v>1900</v>
      </c>
      <c r="L2884" s="6">
        <f t="shared" si="797"/>
        <v>1</v>
      </c>
      <c r="R2884" s="6" t="str">
        <f t="shared" si="798"/>
        <v>19001</v>
      </c>
      <c r="S2884" s="6">
        <f t="shared" si="799"/>
        <v>1900</v>
      </c>
      <c r="T2884" s="6">
        <f t="shared" si="800"/>
        <v>1</v>
      </c>
      <c r="Z2884" s="6" t="str">
        <f t="shared" ca="1" si="801"/>
        <v>20261</v>
      </c>
      <c r="AA2884" s="6">
        <f t="shared" ca="1" si="802"/>
        <v>2026</v>
      </c>
      <c r="AB2884" s="6">
        <f t="shared" ca="1" si="803"/>
        <v>1</v>
      </c>
      <c r="AC2884" s="68">
        <f ca="1">IFERROR(__xludf.DUMMYFUNCTION("""COMPUTED_VALUE"""),46044.9986111111)</f>
        <v>46044.998611111099</v>
      </c>
      <c r="AD2884" s="6">
        <f ca="1">IFERROR(__xludf.DUMMYFUNCTION("""COMPUTED_VALUE"""),1463.26)</f>
        <v>1463.26</v>
      </c>
      <c r="AH2884" s="6" t="str">
        <f t="shared" ca="1" si="804"/>
        <v>202511</v>
      </c>
      <c r="AI2884" s="6">
        <f t="shared" ca="1" si="805"/>
        <v>2025</v>
      </c>
      <c r="AJ2884" s="6">
        <f t="shared" ca="1" si="806"/>
        <v>11</v>
      </c>
      <c r="AK2884" s="68">
        <f ca="1">IFERROR(__xludf.DUMMYFUNCTION("""COMPUTED_VALUE"""),45979.9986111111)</f>
        <v>45979.998611111099</v>
      </c>
      <c r="AL2884" s="6">
        <f ca="1">IFERROR(__xludf.DUMMYFUNCTION("""COMPUTED_VALUE"""),90089.49)</f>
        <v>90089.49</v>
      </c>
      <c r="AP2884" s="6" t="str">
        <f t="shared" si="807"/>
        <v>19001</v>
      </c>
      <c r="AQ2884" s="6">
        <f t="shared" si="808"/>
        <v>1900</v>
      </c>
      <c r="AR2884" s="6">
        <f t="shared" si="809"/>
        <v>1</v>
      </c>
    </row>
    <row r="2885" spans="2:44" x14ac:dyDescent="0.35">
      <c r="B2885" s="6" t="str">
        <f t="shared" si="792"/>
        <v>19001</v>
      </c>
      <c r="C2885" s="6">
        <f t="shared" si="793"/>
        <v>1900</v>
      </c>
      <c r="D2885" s="6">
        <f t="shared" si="794"/>
        <v>1</v>
      </c>
      <c r="J2885" s="6" t="str">
        <f t="shared" si="795"/>
        <v>19001</v>
      </c>
      <c r="K2885" s="6">
        <f t="shared" si="796"/>
        <v>1900</v>
      </c>
      <c r="L2885" s="6">
        <f t="shared" si="797"/>
        <v>1</v>
      </c>
      <c r="R2885" s="6" t="str">
        <f t="shared" si="798"/>
        <v>19001</v>
      </c>
      <c r="S2885" s="6">
        <f t="shared" si="799"/>
        <v>1900</v>
      </c>
      <c r="T2885" s="6">
        <f t="shared" si="800"/>
        <v>1</v>
      </c>
      <c r="Z2885" s="6" t="str">
        <f t="shared" ca="1" si="801"/>
        <v>20261</v>
      </c>
      <c r="AA2885" s="6">
        <f t="shared" ca="1" si="802"/>
        <v>2026</v>
      </c>
      <c r="AB2885" s="6">
        <f t="shared" ca="1" si="803"/>
        <v>1</v>
      </c>
      <c r="AC2885" s="68">
        <f ca="1">IFERROR(__xludf.DUMMYFUNCTION("""COMPUTED_VALUE"""),46045.9986111111)</f>
        <v>46045.998611111099</v>
      </c>
      <c r="AD2885" s="6">
        <f ca="1">IFERROR(__xludf.DUMMYFUNCTION("""COMPUTED_VALUE"""),1445.21)</f>
        <v>1445.21</v>
      </c>
      <c r="AH2885" s="6" t="str">
        <f t="shared" ca="1" si="804"/>
        <v>202511</v>
      </c>
      <c r="AI2885" s="6">
        <f t="shared" ca="1" si="805"/>
        <v>2025</v>
      </c>
      <c r="AJ2885" s="6">
        <f t="shared" ca="1" si="806"/>
        <v>11</v>
      </c>
      <c r="AK2885" s="68">
        <f ca="1">IFERROR(__xludf.DUMMYFUNCTION("""COMPUTED_VALUE"""),45980.9986111111)</f>
        <v>45980.998611111099</v>
      </c>
      <c r="AL2885" s="6">
        <f ca="1">IFERROR(__xludf.DUMMYFUNCTION("""COMPUTED_VALUE"""),91386.52)</f>
        <v>91386.52</v>
      </c>
      <c r="AP2885" s="6" t="str">
        <f t="shared" si="807"/>
        <v>19001</v>
      </c>
      <c r="AQ2885" s="6">
        <f t="shared" si="808"/>
        <v>1900</v>
      </c>
      <c r="AR2885" s="6">
        <f t="shared" si="809"/>
        <v>1</v>
      </c>
    </row>
    <row r="2886" spans="2:44" x14ac:dyDescent="0.35">
      <c r="B2886" s="6" t="str">
        <f t="shared" si="792"/>
        <v>19001</v>
      </c>
      <c r="C2886" s="6">
        <f t="shared" si="793"/>
        <v>1900</v>
      </c>
      <c r="D2886" s="6">
        <f t="shared" si="794"/>
        <v>1</v>
      </c>
      <c r="J2886" s="6" t="str">
        <f t="shared" si="795"/>
        <v>19001</v>
      </c>
      <c r="K2886" s="6">
        <f t="shared" si="796"/>
        <v>1900</v>
      </c>
      <c r="L2886" s="6">
        <f t="shared" si="797"/>
        <v>1</v>
      </c>
      <c r="R2886" s="6" t="str">
        <f t="shared" si="798"/>
        <v>19001</v>
      </c>
      <c r="S2886" s="6">
        <f t="shared" si="799"/>
        <v>1900</v>
      </c>
      <c r="T2886" s="6">
        <f t="shared" si="800"/>
        <v>1</v>
      </c>
      <c r="Z2886" s="6" t="str">
        <f t="shared" ca="1" si="801"/>
        <v>20261</v>
      </c>
      <c r="AA2886" s="6">
        <f t="shared" ca="1" si="802"/>
        <v>2026</v>
      </c>
      <c r="AB2886" s="6">
        <f t="shared" ca="1" si="803"/>
        <v>1</v>
      </c>
      <c r="AC2886" s="68">
        <f ca="1">IFERROR(__xludf.DUMMYFUNCTION("""COMPUTED_VALUE"""),46046.9986111111)</f>
        <v>46046.998611111099</v>
      </c>
      <c r="AD2886" s="6">
        <f ca="1">IFERROR(__xludf.DUMMYFUNCTION("""COMPUTED_VALUE"""),1444.81)</f>
        <v>1444.81</v>
      </c>
      <c r="AH2886" s="6" t="str">
        <f t="shared" ca="1" si="804"/>
        <v>202511</v>
      </c>
      <c r="AI2886" s="6">
        <f t="shared" ca="1" si="805"/>
        <v>2025</v>
      </c>
      <c r="AJ2886" s="6">
        <f t="shared" ca="1" si="806"/>
        <v>11</v>
      </c>
      <c r="AK2886" s="68">
        <f ca="1">IFERROR(__xludf.DUMMYFUNCTION("""COMPUTED_VALUE"""),45981.9986111111)</f>
        <v>45981.998611111099</v>
      </c>
      <c r="AL2886" s="6">
        <f ca="1">IFERROR(__xludf.DUMMYFUNCTION("""COMPUTED_VALUE"""),92760.46)</f>
        <v>92760.46</v>
      </c>
      <c r="AP2886" s="6" t="str">
        <f t="shared" si="807"/>
        <v>19001</v>
      </c>
      <c r="AQ2886" s="6">
        <f t="shared" si="808"/>
        <v>1900</v>
      </c>
      <c r="AR2886" s="6">
        <f t="shared" si="809"/>
        <v>1</v>
      </c>
    </row>
    <row r="2887" spans="2:44" x14ac:dyDescent="0.35">
      <c r="B2887" s="6" t="str">
        <f t="shared" ref="B2887:B2950" si="810">C2887&amp;D2887</f>
        <v>19001</v>
      </c>
      <c r="C2887" s="6">
        <f t="shared" ref="C2887:C2950" si="811">YEAR(E2887)</f>
        <v>1900</v>
      </c>
      <c r="D2887" s="6">
        <f t="shared" ref="D2887:D2950" si="812">MONTH(E2887)</f>
        <v>1</v>
      </c>
      <c r="J2887" s="6" t="str">
        <f t="shared" ref="J2887:J2950" si="813">K2887&amp;L2887</f>
        <v>19001</v>
      </c>
      <c r="K2887" s="6">
        <f t="shared" ref="K2887:K2950" si="814">YEAR(M2887)</f>
        <v>1900</v>
      </c>
      <c r="L2887" s="6">
        <f t="shared" ref="L2887:L2950" si="815">MONTH(M2887)</f>
        <v>1</v>
      </c>
      <c r="R2887" s="6" t="str">
        <f t="shared" ref="R2887:R2950" si="816">S2887&amp;T2887</f>
        <v>19001</v>
      </c>
      <c r="S2887" s="6">
        <f t="shared" ref="S2887:S2950" si="817">YEAR(U2887)</f>
        <v>1900</v>
      </c>
      <c r="T2887" s="6">
        <f t="shared" ref="T2887:T2950" si="818">MONTH(U2887)</f>
        <v>1</v>
      </c>
      <c r="Z2887" s="6" t="str">
        <f t="shared" ref="Z2887:Z2950" ca="1" si="819">AA2887&amp;AB2887</f>
        <v>20261</v>
      </c>
      <c r="AA2887" s="6">
        <f t="shared" ref="AA2887:AA2950" ca="1" si="820">YEAR(AC2887)</f>
        <v>2026</v>
      </c>
      <c r="AB2887" s="6">
        <f t="shared" ref="AB2887:AB2950" ca="1" si="821">MONTH(AC2887)</f>
        <v>1</v>
      </c>
      <c r="AC2887" s="68">
        <f ca="1">IFERROR(__xludf.DUMMYFUNCTION("""COMPUTED_VALUE"""),46047.9986111111)</f>
        <v>46047.998611111099</v>
      </c>
      <c r="AD2887" s="6">
        <f ca="1">IFERROR(__xludf.DUMMYFUNCTION("""COMPUTED_VALUE"""),1444.81)</f>
        <v>1444.81</v>
      </c>
      <c r="AH2887" s="6" t="str">
        <f t="shared" ref="AH2887:AH2950" ca="1" si="822">AI2887&amp;AJ2887</f>
        <v>202511</v>
      </c>
      <c r="AI2887" s="6">
        <f t="shared" ref="AI2887:AI2950" ca="1" si="823">YEAR(AK2887)</f>
        <v>2025</v>
      </c>
      <c r="AJ2887" s="6">
        <f t="shared" ref="AJ2887:AJ2950" ca="1" si="824">MONTH(AK2887)</f>
        <v>11</v>
      </c>
      <c r="AK2887" s="68">
        <f ca="1">IFERROR(__xludf.DUMMYFUNCTION("""COMPUTED_VALUE"""),45982.9986111111)</f>
        <v>45982.998611111099</v>
      </c>
      <c r="AL2887" s="6">
        <f ca="1">IFERROR(__xludf.DUMMYFUNCTION("""COMPUTED_VALUE"""),85973.09)</f>
        <v>85973.09</v>
      </c>
      <c r="AP2887" s="6" t="str">
        <f t="shared" ref="AP2887:AP2950" si="825">AQ2887&amp;AR2887</f>
        <v>19001</v>
      </c>
      <c r="AQ2887" s="6">
        <f t="shared" ref="AQ2887:AQ2950" si="826">YEAR(AS2887)</f>
        <v>1900</v>
      </c>
      <c r="AR2887" s="6">
        <f t="shared" ref="AR2887:AR2950" si="827">MONTH(AS2887)</f>
        <v>1</v>
      </c>
    </row>
    <row r="2888" spans="2:44" x14ac:dyDescent="0.35">
      <c r="B2888" s="6" t="str">
        <f t="shared" si="810"/>
        <v>19001</v>
      </c>
      <c r="C2888" s="6">
        <f t="shared" si="811"/>
        <v>1900</v>
      </c>
      <c r="D2888" s="6">
        <f t="shared" si="812"/>
        <v>1</v>
      </c>
      <c r="J2888" s="6" t="str">
        <f t="shared" si="813"/>
        <v>19001</v>
      </c>
      <c r="K2888" s="6">
        <f t="shared" si="814"/>
        <v>1900</v>
      </c>
      <c r="L2888" s="6">
        <f t="shared" si="815"/>
        <v>1</v>
      </c>
      <c r="R2888" s="6" t="str">
        <f t="shared" si="816"/>
        <v>19001</v>
      </c>
      <c r="S2888" s="6">
        <f t="shared" si="817"/>
        <v>1900</v>
      </c>
      <c r="T2888" s="6">
        <f t="shared" si="818"/>
        <v>1</v>
      </c>
      <c r="Z2888" s="6" t="str">
        <f t="shared" ca="1" si="819"/>
        <v>20261</v>
      </c>
      <c r="AA2888" s="6">
        <f t="shared" ca="1" si="820"/>
        <v>2026</v>
      </c>
      <c r="AB2888" s="6">
        <f t="shared" ca="1" si="821"/>
        <v>1</v>
      </c>
      <c r="AC2888" s="68">
        <f ca="1">IFERROR(__xludf.DUMMYFUNCTION("""COMPUTED_VALUE"""),46048.9986111111)</f>
        <v>46048.998611111099</v>
      </c>
      <c r="AD2888" s="6">
        <f ca="1">IFERROR(__xludf.DUMMYFUNCTION("""COMPUTED_VALUE"""),1440.98)</f>
        <v>1440.98</v>
      </c>
      <c r="AH2888" s="6" t="str">
        <f t="shared" ca="1" si="822"/>
        <v>202511</v>
      </c>
      <c r="AI2888" s="6">
        <f t="shared" ca="1" si="823"/>
        <v>2025</v>
      </c>
      <c r="AJ2888" s="6">
        <f t="shared" ca="1" si="824"/>
        <v>11</v>
      </c>
      <c r="AK2888" s="68">
        <f ca="1">IFERROR(__xludf.DUMMYFUNCTION("""COMPUTED_VALUE"""),45983.9986111111)</f>
        <v>45983.998611111099</v>
      </c>
      <c r="AL2888" s="6">
        <f ca="1">IFERROR(__xludf.DUMMYFUNCTION("""COMPUTED_VALUE"""),84209.42)</f>
        <v>84209.42</v>
      </c>
      <c r="AP2888" s="6" t="str">
        <f t="shared" si="825"/>
        <v>19001</v>
      </c>
      <c r="AQ2888" s="6">
        <f t="shared" si="826"/>
        <v>1900</v>
      </c>
      <c r="AR2888" s="6">
        <f t="shared" si="827"/>
        <v>1</v>
      </c>
    </row>
    <row r="2889" spans="2:44" x14ac:dyDescent="0.35">
      <c r="B2889" s="6" t="str">
        <f t="shared" si="810"/>
        <v>19001</v>
      </c>
      <c r="C2889" s="6">
        <f t="shared" si="811"/>
        <v>1900</v>
      </c>
      <c r="D2889" s="6">
        <f t="shared" si="812"/>
        <v>1</v>
      </c>
      <c r="J2889" s="6" t="str">
        <f t="shared" si="813"/>
        <v>19001</v>
      </c>
      <c r="K2889" s="6">
        <f t="shared" si="814"/>
        <v>1900</v>
      </c>
      <c r="L2889" s="6">
        <f t="shared" si="815"/>
        <v>1</v>
      </c>
      <c r="R2889" s="6" t="str">
        <f t="shared" si="816"/>
        <v>19001</v>
      </c>
      <c r="S2889" s="6">
        <f t="shared" si="817"/>
        <v>1900</v>
      </c>
      <c r="T2889" s="6">
        <f t="shared" si="818"/>
        <v>1</v>
      </c>
      <c r="Z2889" s="6" t="str">
        <f t="shared" ca="1" si="819"/>
        <v>20261</v>
      </c>
      <c r="AA2889" s="6">
        <f t="shared" ca="1" si="820"/>
        <v>2026</v>
      </c>
      <c r="AB2889" s="6">
        <f t="shared" ca="1" si="821"/>
        <v>1</v>
      </c>
      <c r="AC2889" s="68">
        <f ca="1">IFERROR(__xludf.DUMMYFUNCTION("""COMPUTED_VALUE"""),46049.9986111111)</f>
        <v>46049.998611111099</v>
      </c>
      <c r="AD2889" s="6">
        <f ca="1">IFERROR(__xludf.DUMMYFUNCTION("""COMPUTED_VALUE"""),1432.51)</f>
        <v>1432.51</v>
      </c>
      <c r="AH2889" s="6" t="str">
        <f t="shared" ca="1" si="822"/>
        <v>202511</v>
      </c>
      <c r="AI2889" s="6">
        <f t="shared" ca="1" si="823"/>
        <v>2025</v>
      </c>
      <c r="AJ2889" s="6">
        <f t="shared" ca="1" si="824"/>
        <v>11</v>
      </c>
      <c r="AK2889" s="68">
        <f ca="1">IFERROR(__xludf.DUMMYFUNCTION("""COMPUTED_VALUE"""),45984.9986111111)</f>
        <v>45984.998611111099</v>
      </c>
      <c r="AL2889" s="6">
        <f ca="1">IFERROR(__xludf.DUMMYFUNCTION("""COMPUTED_VALUE"""),86540.84)</f>
        <v>86540.84</v>
      </c>
      <c r="AP2889" s="6" t="str">
        <f t="shared" si="825"/>
        <v>19001</v>
      </c>
      <c r="AQ2889" s="6">
        <f t="shared" si="826"/>
        <v>1900</v>
      </c>
      <c r="AR2889" s="6">
        <f t="shared" si="827"/>
        <v>1</v>
      </c>
    </row>
    <row r="2890" spans="2:44" x14ac:dyDescent="0.35">
      <c r="B2890" s="6" t="str">
        <f t="shared" si="810"/>
        <v>19001</v>
      </c>
      <c r="C2890" s="6">
        <f t="shared" si="811"/>
        <v>1900</v>
      </c>
      <c r="D2890" s="6">
        <f t="shared" si="812"/>
        <v>1</v>
      </c>
      <c r="J2890" s="6" t="str">
        <f t="shared" si="813"/>
        <v>19001</v>
      </c>
      <c r="K2890" s="6">
        <f t="shared" si="814"/>
        <v>1900</v>
      </c>
      <c r="L2890" s="6">
        <f t="shared" si="815"/>
        <v>1</v>
      </c>
      <c r="R2890" s="6" t="str">
        <f t="shared" si="816"/>
        <v>19001</v>
      </c>
      <c r="S2890" s="6">
        <f t="shared" si="817"/>
        <v>1900</v>
      </c>
      <c r="T2890" s="6">
        <f t="shared" si="818"/>
        <v>1</v>
      </c>
      <c r="Z2890" s="6" t="str">
        <f t="shared" ca="1" si="819"/>
        <v>20261</v>
      </c>
      <c r="AA2890" s="6">
        <f t="shared" ca="1" si="820"/>
        <v>2026</v>
      </c>
      <c r="AB2890" s="6">
        <f t="shared" ca="1" si="821"/>
        <v>1</v>
      </c>
      <c r="AC2890" s="68">
        <f ca="1">IFERROR(__xludf.DUMMYFUNCTION("""COMPUTED_VALUE"""),46050.9986111111)</f>
        <v>46050.998611111099</v>
      </c>
      <c r="AD2890" s="6">
        <f ca="1">IFERROR(__xludf.DUMMYFUNCTION("""COMPUTED_VALUE"""),1429.27)</f>
        <v>1429.27</v>
      </c>
      <c r="AH2890" s="6" t="str">
        <f t="shared" ca="1" si="822"/>
        <v>202511</v>
      </c>
      <c r="AI2890" s="6">
        <f t="shared" ca="1" si="823"/>
        <v>2025</v>
      </c>
      <c r="AJ2890" s="6">
        <f t="shared" ca="1" si="824"/>
        <v>11</v>
      </c>
      <c r="AK2890" s="68">
        <f ca="1">IFERROR(__xludf.DUMMYFUNCTION("""COMPUTED_VALUE"""),45985.9986111111)</f>
        <v>45985.998611111099</v>
      </c>
      <c r="AL2890" s="6">
        <f ca="1">IFERROR(__xludf.DUMMYFUNCTION("""COMPUTED_VALUE"""),86719.09)</f>
        <v>86719.09</v>
      </c>
      <c r="AP2890" s="6" t="str">
        <f t="shared" si="825"/>
        <v>19001</v>
      </c>
      <c r="AQ2890" s="6">
        <f t="shared" si="826"/>
        <v>1900</v>
      </c>
      <c r="AR2890" s="6">
        <f t="shared" si="827"/>
        <v>1</v>
      </c>
    </row>
    <row r="2891" spans="2:44" x14ac:dyDescent="0.35">
      <c r="B2891" s="6" t="str">
        <f t="shared" si="810"/>
        <v>19001</v>
      </c>
      <c r="C2891" s="6">
        <f t="shared" si="811"/>
        <v>1900</v>
      </c>
      <c r="D2891" s="6">
        <f t="shared" si="812"/>
        <v>1</v>
      </c>
      <c r="J2891" s="6" t="str">
        <f t="shared" si="813"/>
        <v>19001</v>
      </c>
      <c r="K2891" s="6">
        <f t="shared" si="814"/>
        <v>1900</v>
      </c>
      <c r="L2891" s="6">
        <f t="shared" si="815"/>
        <v>1</v>
      </c>
      <c r="R2891" s="6" t="str">
        <f t="shared" si="816"/>
        <v>19001</v>
      </c>
      <c r="S2891" s="6">
        <f t="shared" si="817"/>
        <v>1900</v>
      </c>
      <c r="T2891" s="6">
        <f t="shared" si="818"/>
        <v>1</v>
      </c>
      <c r="Z2891" s="6" t="str">
        <f t="shared" ca="1" si="819"/>
        <v>20261</v>
      </c>
      <c r="AA2891" s="6">
        <f t="shared" ca="1" si="820"/>
        <v>2026</v>
      </c>
      <c r="AB2891" s="6">
        <f t="shared" ca="1" si="821"/>
        <v>1</v>
      </c>
      <c r="AC2891" s="68">
        <f ca="1">IFERROR(__xludf.DUMMYFUNCTION("""COMPUTED_VALUE"""),46051.9986111111)</f>
        <v>46051.998611111099</v>
      </c>
      <c r="AD2891" s="6">
        <f ca="1">IFERROR(__xludf.DUMMYFUNCTION("""COMPUTED_VALUE"""),1428.76)</f>
        <v>1428.76</v>
      </c>
      <c r="AH2891" s="6" t="str">
        <f t="shared" ca="1" si="822"/>
        <v>202511</v>
      </c>
      <c r="AI2891" s="6">
        <f t="shared" ca="1" si="823"/>
        <v>2025</v>
      </c>
      <c r="AJ2891" s="6">
        <f t="shared" ca="1" si="824"/>
        <v>11</v>
      </c>
      <c r="AK2891" s="68">
        <f ca="1">IFERROR(__xludf.DUMMYFUNCTION("""COMPUTED_VALUE"""),45986.9986111111)</f>
        <v>45986.998611111099</v>
      </c>
      <c r="AL2891" s="6">
        <f ca="1">IFERROR(__xludf.DUMMYFUNCTION("""COMPUTED_VALUE"""),88321.3)</f>
        <v>88321.3</v>
      </c>
      <c r="AP2891" s="6" t="str">
        <f t="shared" si="825"/>
        <v>19001</v>
      </c>
      <c r="AQ2891" s="6">
        <f t="shared" si="826"/>
        <v>1900</v>
      </c>
      <c r="AR2891" s="6">
        <f t="shared" si="827"/>
        <v>1</v>
      </c>
    </row>
    <row r="2892" spans="2:44" x14ac:dyDescent="0.35">
      <c r="B2892" s="6" t="str">
        <f t="shared" si="810"/>
        <v>19001</v>
      </c>
      <c r="C2892" s="6">
        <f t="shared" si="811"/>
        <v>1900</v>
      </c>
      <c r="D2892" s="6">
        <f t="shared" si="812"/>
        <v>1</v>
      </c>
      <c r="J2892" s="6" t="str">
        <f t="shared" si="813"/>
        <v>19001</v>
      </c>
      <c r="K2892" s="6">
        <f t="shared" si="814"/>
        <v>1900</v>
      </c>
      <c r="L2892" s="6">
        <f t="shared" si="815"/>
        <v>1</v>
      </c>
      <c r="R2892" s="6" t="str">
        <f t="shared" si="816"/>
        <v>19001</v>
      </c>
      <c r="S2892" s="6">
        <f t="shared" si="817"/>
        <v>1900</v>
      </c>
      <c r="T2892" s="6">
        <f t="shared" si="818"/>
        <v>1</v>
      </c>
      <c r="Z2892" s="6" t="str">
        <f t="shared" ca="1" si="819"/>
        <v>20261</v>
      </c>
      <c r="AA2892" s="6">
        <f t="shared" ca="1" si="820"/>
        <v>2026</v>
      </c>
      <c r="AB2892" s="6">
        <f t="shared" ca="1" si="821"/>
        <v>1</v>
      </c>
      <c r="AC2892" s="68">
        <f ca="1">IFERROR(__xludf.DUMMYFUNCTION("""COMPUTED_VALUE"""),46052.9986111111)</f>
        <v>46052.998611111099</v>
      </c>
      <c r="AD2892" s="6">
        <f ca="1">IFERROR(__xludf.DUMMYFUNCTION("""COMPUTED_VALUE"""),1449.7)</f>
        <v>1449.7</v>
      </c>
      <c r="AH2892" s="6" t="str">
        <f t="shared" ca="1" si="822"/>
        <v>202511</v>
      </c>
      <c r="AI2892" s="6">
        <f t="shared" ca="1" si="823"/>
        <v>2025</v>
      </c>
      <c r="AJ2892" s="6">
        <f t="shared" ca="1" si="824"/>
        <v>11</v>
      </c>
      <c r="AK2892" s="68">
        <f ca="1">IFERROR(__xludf.DUMMYFUNCTION("""COMPUTED_VALUE"""),45987.9986111111)</f>
        <v>45987.998611111099</v>
      </c>
      <c r="AL2892" s="6">
        <f ca="1">IFERROR(__xludf.DUMMYFUNCTION("""COMPUTED_VALUE"""),87244.85)</f>
        <v>87244.85</v>
      </c>
      <c r="AP2892" s="6" t="str">
        <f t="shared" si="825"/>
        <v>19001</v>
      </c>
      <c r="AQ2892" s="6">
        <f t="shared" si="826"/>
        <v>1900</v>
      </c>
      <c r="AR2892" s="6">
        <f t="shared" si="827"/>
        <v>1</v>
      </c>
    </row>
    <row r="2893" spans="2:44" x14ac:dyDescent="0.35">
      <c r="B2893" s="6" t="str">
        <f t="shared" si="810"/>
        <v>19001</v>
      </c>
      <c r="C2893" s="6">
        <f t="shared" si="811"/>
        <v>1900</v>
      </c>
      <c r="D2893" s="6">
        <f t="shared" si="812"/>
        <v>1</v>
      </c>
      <c r="J2893" s="6" t="str">
        <f t="shared" si="813"/>
        <v>19001</v>
      </c>
      <c r="K2893" s="6">
        <f t="shared" si="814"/>
        <v>1900</v>
      </c>
      <c r="L2893" s="6">
        <f t="shared" si="815"/>
        <v>1</v>
      </c>
      <c r="R2893" s="6" t="str">
        <f t="shared" si="816"/>
        <v>19001</v>
      </c>
      <c r="S2893" s="6">
        <f t="shared" si="817"/>
        <v>1900</v>
      </c>
      <c r="T2893" s="6">
        <f t="shared" si="818"/>
        <v>1</v>
      </c>
      <c r="Z2893" s="6" t="str">
        <f t="shared" ca="1" si="819"/>
        <v>20261</v>
      </c>
      <c r="AA2893" s="6">
        <f t="shared" ca="1" si="820"/>
        <v>2026</v>
      </c>
      <c r="AB2893" s="6">
        <f t="shared" ca="1" si="821"/>
        <v>1</v>
      </c>
      <c r="AC2893" s="68">
        <f ca="1">IFERROR(__xludf.DUMMYFUNCTION("""COMPUTED_VALUE"""),46053.9986111111)</f>
        <v>46053.998611111099</v>
      </c>
      <c r="AD2893" s="6">
        <f ca="1">IFERROR(__xludf.DUMMYFUNCTION("""COMPUTED_VALUE"""),1449.7)</f>
        <v>1449.7</v>
      </c>
      <c r="AH2893" s="6" t="str">
        <f t="shared" ca="1" si="822"/>
        <v>202511</v>
      </c>
      <c r="AI2893" s="6">
        <f t="shared" ca="1" si="823"/>
        <v>2025</v>
      </c>
      <c r="AJ2893" s="6">
        <f t="shared" ca="1" si="824"/>
        <v>11</v>
      </c>
      <c r="AK2893" s="68">
        <f ca="1">IFERROR(__xludf.DUMMYFUNCTION("""COMPUTED_VALUE"""),45988.9986111111)</f>
        <v>45988.998611111099</v>
      </c>
      <c r="AL2893" s="6">
        <f ca="1">IFERROR(__xludf.DUMMYFUNCTION("""COMPUTED_VALUE"""),91284.55)</f>
        <v>91284.55</v>
      </c>
      <c r="AP2893" s="6" t="str">
        <f t="shared" si="825"/>
        <v>19001</v>
      </c>
      <c r="AQ2893" s="6">
        <f t="shared" si="826"/>
        <v>1900</v>
      </c>
      <c r="AR2893" s="6">
        <f t="shared" si="827"/>
        <v>1</v>
      </c>
    </row>
    <row r="2894" spans="2:44" x14ac:dyDescent="0.35">
      <c r="B2894" s="6" t="str">
        <f t="shared" si="810"/>
        <v>19001</v>
      </c>
      <c r="C2894" s="6">
        <f t="shared" si="811"/>
        <v>1900</v>
      </c>
      <c r="D2894" s="6">
        <f t="shared" si="812"/>
        <v>1</v>
      </c>
      <c r="J2894" s="6" t="str">
        <f t="shared" si="813"/>
        <v>19001</v>
      </c>
      <c r="K2894" s="6">
        <f t="shared" si="814"/>
        <v>1900</v>
      </c>
      <c r="L2894" s="6">
        <f t="shared" si="815"/>
        <v>1</v>
      </c>
      <c r="R2894" s="6" t="str">
        <f t="shared" si="816"/>
        <v>19001</v>
      </c>
      <c r="S2894" s="6">
        <f t="shared" si="817"/>
        <v>1900</v>
      </c>
      <c r="T2894" s="6">
        <f t="shared" si="818"/>
        <v>1</v>
      </c>
      <c r="Z2894" s="6" t="str">
        <f t="shared" ca="1" si="819"/>
        <v>20262</v>
      </c>
      <c r="AA2894" s="6">
        <f t="shared" ca="1" si="820"/>
        <v>2026</v>
      </c>
      <c r="AB2894" s="6">
        <f t="shared" ca="1" si="821"/>
        <v>2</v>
      </c>
      <c r="AC2894" s="68">
        <f ca="1">IFERROR(__xludf.DUMMYFUNCTION("""COMPUTED_VALUE"""),46054.9986111111)</f>
        <v>46054.998611111099</v>
      </c>
      <c r="AD2894" s="6">
        <f ca="1">IFERROR(__xludf.DUMMYFUNCTION("""COMPUTED_VALUE"""),1448.8)</f>
        <v>1448.8</v>
      </c>
      <c r="AH2894" s="6" t="str">
        <f t="shared" ca="1" si="822"/>
        <v>202511</v>
      </c>
      <c r="AI2894" s="6">
        <f t="shared" ca="1" si="823"/>
        <v>2025</v>
      </c>
      <c r="AJ2894" s="6">
        <f t="shared" ca="1" si="824"/>
        <v>11</v>
      </c>
      <c r="AK2894" s="68">
        <f ca="1">IFERROR(__xludf.DUMMYFUNCTION("""COMPUTED_VALUE"""),45989.9986111111)</f>
        <v>45989.998611111099</v>
      </c>
      <c r="AL2894" s="6">
        <f ca="1">IFERROR(__xludf.DUMMYFUNCTION("""COMPUTED_VALUE"""),91452.75)</f>
        <v>91452.75</v>
      </c>
      <c r="AP2894" s="6" t="str">
        <f t="shared" si="825"/>
        <v>19001</v>
      </c>
      <c r="AQ2894" s="6">
        <f t="shared" si="826"/>
        <v>1900</v>
      </c>
      <c r="AR2894" s="6">
        <f t="shared" si="827"/>
        <v>1</v>
      </c>
    </row>
    <row r="2895" spans="2:44" x14ac:dyDescent="0.35">
      <c r="B2895" s="6" t="str">
        <f t="shared" si="810"/>
        <v>19001</v>
      </c>
      <c r="C2895" s="6">
        <f t="shared" si="811"/>
        <v>1900</v>
      </c>
      <c r="D2895" s="6">
        <f t="shared" si="812"/>
        <v>1</v>
      </c>
      <c r="J2895" s="6" t="str">
        <f t="shared" si="813"/>
        <v>19001</v>
      </c>
      <c r="K2895" s="6">
        <f t="shared" si="814"/>
        <v>1900</v>
      </c>
      <c r="L2895" s="6">
        <f t="shared" si="815"/>
        <v>1</v>
      </c>
      <c r="R2895" s="6" t="str">
        <f t="shared" si="816"/>
        <v>19001</v>
      </c>
      <c r="S2895" s="6">
        <f t="shared" si="817"/>
        <v>1900</v>
      </c>
      <c r="T2895" s="6">
        <f t="shared" si="818"/>
        <v>1</v>
      </c>
      <c r="Z2895" s="6" t="str">
        <f t="shared" ca="1" si="819"/>
        <v>20262</v>
      </c>
      <c r="AA2895" s="6">
        <f t="shared" ca="1" si="820"/>
        <v>2026</v>
      </c>
      <c r="AB2895" s="6">
        <f t="shared" ca="1" si="821"/>
        <v>2</v>
      </c>
      <c r="AC2895" s="68">
        <f ca="1">IFERROR(__xludf.DUMMYFUNCTION("""COMPUTED_VALUE"""),46055.9986111111)</f>
        <v>46055.998611111099</v>
      </c>
      <c r="AD2895" s="6">
        <f ca="1">IFERROR(__xludf.DUMMYFUNCTION("""COMPUTED_VALUE"""),1452.54)</f>
        <v>1452.54</v>
      </c>
      <c r="AH2895" s="6" t="str">
        <f t="shared" ca="1" si="822"/>
        <v>202511</v>
      </c>
      <c r="AI2895" s="6">
        <f t="shared" ca="1" si="823"/>
        <v>2025</v>
      </c>
      <c r="AJ2895" s="6">
        <f t="shared" ca="1" si="824"/>
        <v>11</v>
      </c>
      <c r="AK2895" s="68">
        <f ca="1">IFERROR(__xludf.DUMMYFUNCTION("""COMPUTED_VALUE"""),45990.9986111111)</f>
        <v>45990.998611111099</v>
      </c>
      <c r="AL2895" s="6">
        <f ca="1">IFERROR(__xludf.DUMMYFUNCTION("""COMPUTED_VALUE"""),90869.59)</f>
        <v>90869.59</v>
      </c>
      <c r="AP2895" s="6" t="str">
        <f t="shared" si="825"/>
        <v>19001</v>
      </c>
      <c r="AQ2895" s="6">
        <f t="shared" si="826"/>
        <v>1900</v>
      </c>
      <c r="AR2895" s="6">
        <f t="shared" si="827"/>
        <v>1</v>
      </c>
    </row>
    <row r="2896" spans="2:44" x14ac:dyDescent="0.35">
      <c r="B2896" s="6" t="str">
        <f t="shared" si="810"/>
        <v>19001</v>
      </c>
      <c r="C2896" s="6">
        <f t="shared" si="811"/>
        <v>1900</v>
      </c>
      <c r="D2896" s="6">
        <f t="shared" si="812"/>
        <v>1</v>
      </c>
      <c r="J2896" s="6" t="str">
        <f t="shared" si="813"/>
        <v>19001</v>
      </c>
      <c r="K2896" s="6">
        <f t="shared" si="814"/>
        <v>1900</v>
      </c>
      <c r="L2896" s="6">
        <f t="shared" si="815"/>
        <v>1</v>
      </c>
      <c r="R2896" s="6" t="str">
        <f t="shared" si="816"/>
        <v>19001</v>
      </c>
      <c r="S2896" s="6">
        <f t="shared" si="817"/>
        <v>1900</v>
      </c>
      <c r="T2896" s="6">
        <f t="shared" si="818"/>
        <v>1</v>
      </c>
      <c r="Z2896" s="6" t="str">
        <f t="shared" ca="1" si="819"/>
        <v>20262</v>
      </c>
      <c r="AA2896" s="6">
        <f t="shared" ca="1" si="820"/>
        <v>2026</v>
      </c>
      <c r="AB2896" s="6">
        <f t="shared" ca="1" si="821"/>
        <v>2</v>
      </c>
      <c r="AC2896" s="68">
        <f ca="1">IFERROR(__xludf.DUMMYFUNCTION("""COMPUTED_VALUE"""),46056.9986111111)</f>
        <v>46056.998611111099</v>
      </c>
      <c r="AD2896" s="6">
        <f ca="1">IFERROR(__xludf.DUMMYFUNCTION("""COMPUTED_VALUE"""),1446.68)</f>
        <v>1446.68</v>
      </c>
      <c r="AH2896" s="6" t="str">
        <f t="shared" ca="1" si="822"/>
        <v>202511</v>
      </c>
      <c r="AI2896" s="6">
        <f t="shared" ca="1" si="823"/>
        <v>2025</v>
      </c>
      <c r="AJ2896" s="6">
        <f t="shared" ca="1" si="824"/>
        <v>11</v>
      </c>
      <c r="AK2896" s="68">
        <f ca="1">IFERROR(__xludf.DUMMYFUNCTION("""COMPUTED_VALUE"""),45991.9986111111)</f>
        <v>45991.998611111099</v>
      </c>
      <c r="AL2896" s="6">
        <f ca="1">IFERROR(__xludf.DUMMYFUNCTION("""COMPUTED_VALUE"""),90899.38)</f>
        <v>90899.38</v>
      </c>
      <c r="AP2896" s="6" t="str">
        <f t="shared" si="825"/>
        <v>19001</v>
      </c>
      <c r="AQ2896" s="6">
        <f t="shared" si="826"/>
        <v>1900</v>
      </c>
      <c r="AR2896" s="6">
        <f t="shared" si="827"/>
        <v>1</v>
      </c>
    </row>
    <row r="2897" spans="2:44" x14ac:dyDescent="0.35">
      <c r="B2897" s="6" t="str">
        <f t="shared" si="810"/>
        <v>19001</v>
      </c>
      <c r="C2897" s="6">
        <f t="shared" si="811"/>
        <v>1900</v>
      </c>
      <c r="D2897" s="6">
        <f t="shared" si="812"/>
        <v>1</v>
      </c>
      <c r="J2897" s="6" t="str">
        <f t="shared" si="813"/>
        <v>19001</v>
      </c>
      <c r="K2897" s="6">
        <f t="shared" si="814"/>
        <v>1900</v>
      </c>
      <c r="L2897" s="6">
        <f t="shared" si="815"/>
        <v>1</v>
      </c>
      <c r="R2897" s="6" t="str">
        <f t="shared" si="816"/>
        <v>19001</v>
      </c>
      <c r="S2897" s="6">
        <f t="shared" si="817"/>
        <v>1900</v>
      </c>
      <c r="T2897" s="6">
        <f t="shared" si="818"/>
        <v>1</v>
      </c>
      <c r="Z2897" s="6" t="str">
        <f t="shared" ca="1" si="819"/>
        <v>20262</v>
      </c>
      <c r="AA2897" s="6">
        <f t="shared" ca="1" si="820"/>
        <v>2026</v>
      </c>
      <c r="AB2897" s="6">
        <f t="shared" ca="1" si="821"/>
        <v>2</v>
      </c>
      <c r="AC2897" s="68">
        <f ca="1">IFERROR(__xludf.DUMMYFUNCTION("""COMPUTED_VALUE"""),46057.9986111111)</f>
        <v>46057.998611111099</v>
      </c>
      <c r="AD2897" s="6">
        <f ca="1">IFERROR(__xludf.DUMMYFUNCTION("""COMPUTED_VALUE"""),1460.11)</f>
        <v>1460.11</v>
      </c>
      <c r="AH2897" s="6" t="str">
        <f t="shared" ca="1" si="822"/>
        <v>202512</v>
      </c>
      <c r="AI2897" s="6">
        <f t="shared" ca="1" si="823"/>
        <v>2025</v>
      </c>
      <c r="AJ2897" s="6">
        <f t="shared" ca="1" si="824"/>
        <v>12</v>
      </c>
      <c r="AK2897" s="68">
        <f ca="1">IFERROR(__xludf.DUMMYFUNCTION("""COMPUTED_VALUE"""),45992.9986111111)</f>
        <v>45992.998611111099</v>
      </c>
      <c r="AL2897" s="6">
        <f ca="1">IFERROR(__xludf.DUMMYFUNCTION("""COMPUTED_VALUE"""),85807.97)</f>
        <v>85807.97</v>
      </c>
      <c r="AP2897" s="6" t="str">
        <f t="shared" si="825"/>
        <v>19001</v>
      </c>
      <c r="AQ2897" s="6">
        <f t="shared" si="826"/>
        <v>1900</v>
      </c>
      <c r="AR2897" s="6">
        <f t="shared" si="827"/>
        <v>1</v>
      </c>
    </row>
    <row r="2898" spans="2:44" x14ac:dyDescent="0.35">
      <c r="B2898" s="6" t="str">
        <f t="shared" si="810"/>
        <v>19001</v>
      </c>
      <c r="C2898" s="6">
        <f t="shared" si="811"/>
        <v>1900</v>
      </c>
      <c r="D2898" s="6">
        <f t="shared" si="812"/>
        <v>1</v>
      </c>
      <c r="J2898" s="6" t="str">
        <f t="shared" si="813"/>
        <v>19001</v>
      </c>
      <c r="K2898" s="6">
        <f t="shared" si="814"/>
        <v>1900</v>
      </c>
      <c r="L2898" s="6">
        <f t="shared" si="815"/>
        <v>1</v>
      </c>
      <c r="R2898" s="6" t="str">
        <f t="shared" si="816"/>
        <v>19001</v>
      </c>
      <c r="S2898" s="6">
        <f t="shared" si="817"/>
        <v>1900</v>
      </c>
      <c r="T2898" s="6">
        <f t="shared" si="818"/>
        <v>1</v>
      </c>
      <c r="Z2898" s="6" t="str">
        <f t="shared" ca="1" si="819"/>
        <v>20262</v>
      </c>
      <c r="AA2898" s="6">
        <f t="shared" ca="1" si="820"/>
        <v>2026</v>
      </c>
      <c r="AB2898" s="6">
        <f t="shared" ca="1" si="821"/>
        <v>2</v>
      </c>
      <c r="AC2898" s="68">
        <f ca="1">IFERROR(__xludf.DUMMYFUNCTION("""COMPUTED_VALUE"""),46058.9986111111)</f>
        <v>46058.998611111099</v>
      </c>
      <c r="AD2898" s="6">
        <f ca="1">IFERROR(__xludf.DUMMYFUNCTION("""COMPUTED_VALUE"""),1470.68)</f>
        <v>1470.68</v>
      </c>
      <c r="AH2898" s="6" t="str">
        <f t="shared" ca="1" si="822"/>
        <v>202512</v>
      </c>
      <c r="AI2898" s="6">
        <f t="shared" ca="1" si="823"/>
        <v>2025</v>
      </c>
      <c r="AJ2898" s="6">
        <f t="shared" ca="1" si="824"/>
        <v>12</v>
      </c>
      <c r="AK2898" s="68">
        <f ca="1">IFERROR(__xludf.DUMMYFUNCTION("""COMPUTED_VALUE"""),45993.9986111111)</f>
        <v>45993.998611111099</v>
      </c>
      <c r="AL2898" s="6">
        <f ca="1">IFERROR(__xludf.DUMMYFUNCTION("""COMPUTED_VALUE"""),86966.17)</f>
        <v>86966.17</v>
      </c>
      <c r="AP2898" s="6" t="str">
        <f t="shared" si="825"/>
        <v>19001</v>
      </c>
      <c r="AQ2898" s="6">
        <f t="shared" si="826"/>
        <v>1900</v>
      </c>
      <c r="AR2898" s="6">
        <f t="shared" si="827"/>
        <v>1</v>
      </c>
    </row>
    <row r="2899" spans="2:44" x14ac:dyDescent="0.35">
      <c r="B2899" s="6" t="str">
        <f t="shared" si="810"/>
        <v>19001</v>
      </c>
      <c r="C2899" s="6">
        <f t="shared" si="811"/>
        <v>1900</v>
      </c>
      <c r="D2899" s="6">
        <f t="shared" si="812"/>
        <v>1</v>
      </c>
      <c r="J2899" s="6" t="str">
        <f t="shared" si="813"/>
        <v>19001</v>
      </c>
      <c r="K2899" s="6">
        <f t="shared" si="814"/>
        <v>1900</v>
      </c>
      <c r="L2899" s="6">
        <f t="shared" si="815"/>
        <v>1</v>
      </c>
      <c r="R2899" s="6" t="str">
        <f t="shared" si="816"/>
        <v>19001</v>
      </c>
      <c r="S2899" s="6">
        <f t="shared" si="817"/>
        <v>1900</v>
      </c>
      <c r="T2899" s="6">
        <f t="shared" si="818"/>
        <v>1</v>
      </c>
      <c r="Z2899" s="6" t="str">
        <f t="shared" ca="1" si="819"/>
        <v>20262</v>
      </c>
      <c r="AA2899" s="6">
        <f t="shared" ca="1" si="820"/>
        <v>2026</v>
      </c>
      <c r="AB2899" s="6">
        <f t="shared" ca="1" si="821"/>
        <v>2</v>
      </c>
      <c r="AC2899" s="68">
        <f ca="1">IFERROR(__xludf.DUMMYFUNCTION("""COMPUTED_VALUE"""),46059.9986111111)</f>
        <v>46059.998611111099</v>
      </c>
      <c r="AD2899" s="6">
        <f ca="1">IFERROR(__xludf.DUMMYFUNCTION("""COMPUTED_VALUE"""),1462.4)</f>
        <v>1462.4</v>
      </c>
      <c r="AH2899" s="6" t="str">
        <f t="shared" ca="1" si="822"/>
        <v>202512</v>
      </c>
      <c r="AI2899" s="6">
        <f t="shared" ca="1" si="823"/>
        <v>2025</v>
      </c>
      <c r="AJ2899" s="6">
        <f t="shared" ca="1" si="824"/>
        <v>12</v>
      </c>
      <c r="AK2899" s="68">
        <f ca="1">IFERROR(__xludf.DUMMYFUNCTION("""COMPUTED_VALUE"""),45994.9986111111)</f>
        <v>45994.998611111099</v>
      </c>
      <c r="AL2899" s="6">
        <f ca="1">IFERROR(__xludf.DUMMYFUNCTION("""COMPUTED_VALUE"""),93258.06)</f>
        <v>93258.06</v>
      </c>
      <c r="AP2899" s="6" t="str">
        <f t="shared" si="825"/>
        <v>19001</v>
      </c>
      <c r="AQ2899" s="6">
        <f t="shared" si="826"/>
        <v>1900</v>
      </c>
      <c r="AR2899" s="6">
        <f t="shared" si="827"/>
        <v>1</v>
      </c>
    </row>
    <row r="2900" spans="2:44" x14ac:dyDescent="0.35">
      <c r="B2900" s="6" t="str">
        <f t="shared" si="810"/>
        <v>19001</v>
      </c>
      <c r="C2900" s="6">
        <f t="shared" si="811"/>
        <v>1900</v>
      </c>
      <c r="D2900" s="6">
        <f t="shared" si="812"/>
        <v>1</v>
      </c>
      <c r="J2900" s="6" t="str">
        <f t="shared" si="813"/>
        <v>19001</v>
      </c>
      <c r="K2900" s="6">
        <f t="shared" si="814"/>
        <v>1900</v>
      </c>
      <c r="L2900" s="6">
        <f t="shared" si="815"/>
        <v>1</v>
      </c>
      <c r="R2900" s="6" t="str">
        <f t="shared" si="816"/>
        <v>19001</v>
      </c>
      <c r="S2900" s="6">
        <f t="shared" si="817"/>
        <v>1900</v>
      </c>
      <c r="T2900" s="6">
        <f t="shared" si="818"/>
        <v>1</v>
      </c>
      <c r="Z2900" s="6" t="str">
        <f t="shared" ca="1" si="819"/>
        <v>20262</v>
      </c>
      <c r="AA2900" s="6">
        <f t="shared" ca="1" si="820"/>
        <v>2026</v>
      </c>
      <c r="AB2900" s="6">
        <f t="shared" ca="1" si="821"/>
        <v>2</v>
      </c>
      <c r="AC2900" s="68">
        <f ca="1">IFERROR(__xludf.DUMMYFUNCTION("""COMPUTED_VALUE"""),46060.9986111111)</f>
        <v>46060.998611111099</v>
      </c>
      <c r="AD2900" s="6">
        <f ca="1">IFERROR(__xludf.DUMMYFUNCTION("""COMPUTED_VALUE"""),1462.4)</f>
        <v>1462.4</v>
      </c>
      <c r="AH2900" s="6" t="str">
        <f t="shared" ca="1" si="822"/>
        <v>202512</v>
      </c>
      <c r="AI2900" s="6">
        <f t="shared" ca="1" si="823"/>
        <v>2025</v>
      </c>
      <c r="AJ2900" s="6">
        <f t="shared" ca="1" si="824"/>
        <v>12</v>
      </c>
      <c r="AK2900" s="68">
        <f ca="1">IFERROR(__xludf.DUMMYFUNCTION("""COMPUTED_VALUE"""),45995.9986111111)</f>
        <v>45995.998611111099</v>
      </c>
      <c r="AL2900" s="6">
        <f ca="1">IFERROR(__xludf.DUMMYFUNCTION("""COMPUTED_VALUE"""),93346.89)</f>
        <v>93346.89</v>
      </c>
      <c r="AP2900" s="6" t="str">
        <f t="shared" si="825"/>
        <v>19001</v>
      </c>
      <c r="AQ2900" s="6">
        <f t="shared" si="826"/>
        <v>1900</v>
      </c>
      <c r="AR2900" s="6">
        <f t="shared" si="827"/>
        <v>1</v>
      </c>
    </row>
    <row r="2901" spans="2:44" x14ac:dyDescent="0.35">
      <c r="B2901" s="6" t="str">
        <f t="shared" si="810"/>
        <v>19001</v>
      </c>
      <c r="C2901" s="6">
        <f t="shared" si="811"/>
        <v>1900</v>
      </c>
      <c r="D2901" s="6">
        <f t="shared" si="812"/>
        <v>1</v>
      </c>
      <c r="J2901" s="6" t="str">
        <f t="shared" si="813"/>
        <v>19001</v>
      </c>
      <c r="K2901" s="6">
        <f t="shared" si="814"/>
        <v>1900</v>
      </c>
      <c r="L2901" s="6">
        <f t="shared" si="815"/>
        <v>1</v>
      </c>
      <c r="R2901" s="6" t="str">
        <f t="shared" si="816"/>
        <v>19001</v>
      </c>
      <c r="S2901" s="6">
        <f t="shared" si="817"/>
        <v>1900</v>
      </c>
      <c r="T2901" s="6">
        <f t="shared" si="818"/>
        <v>1</v>
      </c>
      <c r="Z2901" s="6" t="str">
        <f t="shared" ca="1" si="819"/>
        <v>20262</v>
      </c>
      <c r="AA2901" s="6">
        <f t="shared" ca="1" si="820"/>
        <v>2026</v>
      </c>
      <c r="AB2901" s="6">
        <f t="shared" ca="1" si="821"/>
        <v>2</v>
      </c>
      <c r="AC2901" s="68">
        <f ca="1">IFERROR(__xludf.DUMMYFUNCTION("""COMPUTED_VALUE"""),46061.9986111111)</f>
        <v>46061.998611111099</v>
      </c>
      <c r="AD2901" s="6">
        <f ca="1">IFERROR(__xludf.DUMMYFUNCTION("""COMPUTED_VALUE"""),1462.4)</f>
        <v>1462.4</v>
      </c>
      <c r="AH2901" s="6" t="str">
        <f t="shared" ca="1" si="822"/>
        <v>202512</v>
      </c>
      <c r="AI2901" s="6">
        <f t="shared" ca="1" si="823"/>
        <v>2025</v>
      </c>
      <c r="AJ2901" s="6">
        <f t="shared" ca="1" si="824"/>
        <v>12</v>
      </c>
      <c r="AK2901" s="68">
        <f ca="1">IFERROR(__xludf.DUMMYFUNCTION("""COMPUTED_VALUE"""),45996.9986111111)</f>
        <v>45996.998611111099</v>
      </c>
      <c r="AL2901" s="6">
        <f ca="1">IFERROR(__xludf.DUMMYFUNCTION("""COMPUTED_VALUE"""),92027.11)</f>
        <v>92027.11</v>
      </c>
      <c r="AP2901" s="6" t="str">
        <f t="shared" si="825"/>
        <v>19001</v>
      </c>
      <c r="AQ2901" s="6">
        <f t="shared" si="826"/>
        <v>1900</v>
      </c>
      <c r="AR2901" s="6">
        <f t="shared" si="827"/>
        <v>1</v>
      </c>
    </row>
    <row r="2902" spans="2:44" x14ac:dyDescent="0.35">
      <c r="B2902" s="6" t="str">
        <f t="shared" si="810"/>
        <v>19001</v>
      </c>
      <c r="C2902" s="6">
        <f t="shared" si="811"/>
        <v>1900</v>
      </c>
      <c r="D2902" s="6">
        <f t="shared" si="812"/>
        <v>1</v>
      </c>
      <c r="J2902" s="6" t="str">
        <f t="shared" si="813"/>
        <v>19001</v>
      </c>
      <c r="K2902" s="6">
        <f t="shared" si="814"/>
        <v>1900</v>
      </c>
      <c r="L2902" s="6">
        <f t="shared" si="815"/>
        <v>1</v>
      </c>
      <c r="R2902" s="6" t="str">
        <f t="shared" si="816"/>
        <v>19001</v>
      </c>
      <c r="S2902" s="6">
        <f t="shared" si="817"/>
        <v>1900</v>
      </c>
      <c r="T2902" s="6">
        <f t="shared" si="818"/>
        <v>1</v>
      </c>
      <c r="Z2902" s="6" t="str">
        <f t="shared" ca="1" si="819"/>
        <v>20262</v>
      </c>
      <c r="AA2902" s="6">
        <f t="shared" ca="1" si="820"/>
        <v>2026</v>
      </c>
      <c r="AB2902" s="6">
        <f t="shared" ca="1" si="821"/>
        <v>2</v>
      </c>
      <c r="AC2902" s="68">
        <f ca="1">IFERROR(__xludf.DUMMYFUNCTION("""COMPUTED_VALUE"""),46062.9986111111)</f>
        <v>46062.998611111099</v>
      </c>
      <c r="AD2902" s="6">
        <f ca="1">IFERROR(__xludf.DUMMYFUNCTION("""COMPUTED_VALUE"""),1458.54)</f>
        <v>1458.54</v>
      </c>
      <c r="AH2902" s="6" t="str">
        <f t="shared" ca="1" si="822"/>
        <v>202512</v>
      </c>
      <c r="AI2902" s="6">
        <f t="shared" ca="1" si="823"/>
        <v>2025</v>
      </c>
      <c r="AJ2902" s="6">
        <f t="shared" ca="1" si="824"/>
        <v>12</v>
      </c>
      <c r="AK2902" s="68">
        <f ca="1">IFERROR(__xludf.DUMMYFUNCTION("""COMPUTED_VALUE"""),45997.9986111111)</f>
        <v>45997.998611111099</v>
      </c>
      <c r="AL2902" s="6">
        <f ca="1">IFERROR(__xludf.DUMMYFUNCTION("""COMPUTED_VALUE"""),89708.7)</f>
        <v>89708.7</v>
      </c>
      <c r="AP2902" s="6" t="str">
        <f t="shared" si="825"/>
        <v>19001</v>
      </c>
      <c r="AQ2902" s="6">
        <f t="shared" si="826"/>
        <v>1900</v>
      </c>
      <c r="AR2902" s="6">
        <f t="shared" si="827"/>
        <v>1</v>
      </c>
    </row>
    <row r="2903" spans="2:44" x14ac:dyDescent="0.35">
      <c r="B2903" s="6" t="str">
        <f t="shared" si="810"/>
        <v>19001</v>
      </c>
      <c r="C2903" s="6">
        <f t="shared" si="811"/>
        <v>1900</v>
      </c>
      <c r="D2903" s="6">
        <f t="shared" si="812"/>
        <v>1</v>
      </c>
      <c r="J2903" s="6" t="str">
        <f t="shared" si="813"/>
        <v>19001</v>
      </c>
      <c r="K2903" s="6">
        <f t="shared" si="814"/>
        <v>1900</v>
      </c>
      <c r="L2903" s="6">
        <f t="shared" si="815"/>
        <v>1</v>
      </c>
      <c r="R2903" s="6" t="str">
        <f t="shared" si="816"/>
        <v>19001</v>
      </c>
      <c r="S2903" s="6">
        <f t="shared" si="817"/>
        <v>1900</v>
      </c>
      <c r="T2903" s="6">
        <f t="shared" si="818"/>
        <v>1</v>
      </c>
      <c r="Z2903" s="6" t="str">
        <f t="shared" ca="1" si="819"/>
        <v>20262</v>
      </c>
      <c r="AA2903" s="6">
        <f t="shared" ca="1" si="820"/>
        <v>2026</v>
      </c>
      <c r="AB2903" s="6">
        <f t="shared" ca="1" si="821"/>
        <v>2</v>
      </c>
      <c r="AC2903" s="68">
        <f ca="1">IFERROR(__xludf.DUMMYFUNCTION("""COMPUTED_VALUE"""),46063.9986111111)</f>
        <v>46063.998611111099</v>
      </c>
      <c r="AD2903" s="6">
        <f ca="1">IFERROR(__xludf.DUMMYFUNCTION("""COMPUTED_VALUE"""),1455.33)</f>
        <v>1455.33</v>
      </c>
      <c r="AH2903" s="6" t="str">
        <f t="shared" ca="1" si="822"/>
        <v>202512</v>
      </c>
      <c r="AI2903" s="6">
        <f t="shared" ca="1" si="823"/>
        <v>2025</v>
      </c>
      <c r="AJ2903" s="6">
        <f t="shared" ca="1" si="824"/>
        <v>12</v>
      </c>
      <c r="AK2903" s="68">
        <f ca="1">IFERROR(__xludf.DUMMYFUNCTION("""COMPUTED_VALUE"""),45998.9986111111)</f>
        <v>45998.998611111099</v>
      </c>
      <c r="AL2903" s="6">
        <f ca="1">IFERROR(__xludf.DUMMYFUNCTION("""COMPUTED_VALUE"""),89579.54)</f>
        <v>89579.54</v>
      </c>
      <c r="AP2903" s="6" t="str">
        <f t="shared" si="825"/>
        <v>19001</v>
      </c>
      <c r="AQ2903" s="6">
        <f t="shared" si="826"/>
        <v>1900</v>
      </c>
      <c r="AR2903" s="6">
        <f t="shared" si="827"/>
        <v>1</v>
      </c>
    </row>
    <row r="2904" spans="2:44" x14ac:dyDescent="0.35">
      <c r="B2904" s="6" t="str">
        <f t="shared" si="810"/>
        <v>19001</v>
      </c>
      <c r="C2904" s="6">
        <f t="shared" si="811"/>
        <v>1900</v>
      </c>
      <c r="D2904" s="6">
        <f t="shared" si="812"/>
        <v>1</v>
      </c>
      <c r="J2904" s="6" t="str">
        <f t="shared" si="813"/>
        <v>19001</v>
      </c>
      <c r="K2904" s="6">
        <f t="shared" si="814"/>
        <v>1900</v>
      </c>
      <c r="L2904" s="6">
        <f t="shared" si="815"/>
        <v>1</v>
      </c>
      <c r="R2904" s="6" t="str">
        <f t="shared" si="816"/>
        <v>19001</v>
      </c>
      <c r="S2904" s="6">
        <f t="shared" si="817"/>
        <v>1900</v>
      </c>
      <c r="T2904" s="6">
        <f t="shared" si="818"/>
        <v>1</v>
      </c>
      <c r="Z2904" s="6" t="str">
        <f t="shared" ca="1" si="819"/>
        <v>20262</v>
      </c>
      <c r="AA2904" s="6">
        <f t="shared" ca="1" si="820"/>
        <v>2026</v>
      </c>
      <c r="AB2904" s="6">
        <f t="shared" ca="1" si="821"/>
        <v>2</v>
      </c>
      <c r="AC2904" s="68">
        <f ca="1">IFERROR(__xludf.DUMMYFUNCTION("""COMPUTED_VALUE"""),46064.9986111111)</f>
        <v>46064.998611111099</v>
      </c>
      <c r="AD2904" s="6">
        <f ca="1">IFERROR(__xludf.DUMMYFUNCTION("""COMPUTED_VALUE"""),1444.19)</f>
        <v>1444.19</v>
      </c>
      <c r="AH2904" s="6" t="str">
        <f t="shared" ca="1" si="822"/>
        <v>202512</v>
      </c>
      <c r="AI2904" s="6">
        <f t="shared" ca="1" si="823"/>
        <v>2025</v>
      </c>
      <c r="AJ2904" s="6">
        <f t="shared" ca="1" si="824"/>
        <v>12</v>
      </c>
      <c r="AK2904" s="68">
        <f ca="1">IFERROR(__xludf.DUMMYFUNCTION("""COMPUTED_VALUE"""),45999.9986111111)</f>
        <v>45999.998611111099</v>
      </c>
      <c r="AL2904" s="6">
        <f ca="1">IFERROR(__xludf.DUMMYFUNCTION("""COMPUTED_VALUE"""),91282.38)</f>
        <v>91282.38</v>
      </c>
      <c r="AP2904" s="6" t="str">
        <f t="shared" si="825"/>
        <v>19001</v>
      </c>
      <c r="AQ2904" s="6">
        <f t="shared" si="826"/>
        <v>1900</v>
      </c>
      <c r="AR2904" s="6">
        <f t="shared" si="827"/>
        <v>1</v>
      </c>
    </row>
    <row r="2905" spans="2:44" x14ac:dyDescent="0.35">
      <c r="B2905" s="6" t="str">
        <f t="shared" si="810"/>
        <v>19001</v>
      </c>
      <c r="C2905" s="6">
        <f t="shared" si="811"/>
        <v>1900</v>
      </c>
      <c r="D2905" s="6">
        <f t="shared" si="812"/>
        <v>1</v>
      </c>
      <c r="J2905" s="6" t="str">
        <f t="shared" si="813"/>
        <v>19001</v>
      </c>
      <c r="K2905" s="6">
        <f t="shared" si="814"/>
        <v>1900</v>
      </c>
      <c r="L2905" s="6">
        <f t="shared" si="815"/>
        <v>1</v>
      </c>
      <c r="R2905" s="6" t="str">
        <f t="shared" si="816"/>
        <v>19001</v>
      </c>
      <c r="S2905" s="6">
        <f t="shared" si="817"/>
        <v>1900</v>
      </c>
      <c r="T2905" s="6">
        <f t="shared" si="818"/>
        <v>1</v>
      </c>
      <c r="Z2905" s="6" t="str">
        <f t="shared" ca="1" si="819"/>
        <v>20262</v>
      </c>
      <c r="AA2905" s="6">
        <f t="shared" ca="1" si="820"/>
        <v>2026</v>
      </c>
      <c r="AB2905" s="6">
        <f t="shared" ca="1" si="821"/>
        <v>2</v>
      </c>
      <c r="AC2905" s="68">
        <f ca="1">IFERROR(__xludf.DUMMYFUNCTION("""COMPUTED_VALUE"""),46065.9986111111)</f>
        <v>46065.998611111099</v>
      </c>
      <c r="AD2905" s="6">
        <f ca="1">IFERROR(__xludf.DUMMYFUNCTION("""COMPUTED_VALUE"""),1440.9)</f>
        <v>1440.9</v>
      </c>
      <c r="AH2905" s="6" t="str">
        <f t="shared" ca="1" si="822"/>
        <v>202512</v>
      </c>
      <c r="AI2905" s="6">
        <f t="shared" ca="1" si="823"/>
        <v>2025</v>
      </c>
      <c r="AJ2905" s="6">
        <f t="shared" ca="1" si="824"/>
        <v>12</v>
      </c>
      <c r="AK2905" s="68">
        <f ca="1">IFERROR(__xludf.DUMMYFUNCTION("""COMPUTED_VALUE"""),46000.9986111111)</f>
        <v>46000.998611111099</v>
      </c>
      <c r="AL2905" s="6">
        <f ca="1">IFERROR(__xludf.DUMMYFUNCTION("""COMPUTED_VALUE"""),89955.87)</f>
        <v>89955.87</v>
      </c>
      <c r="AP2905" s="6" t="str">
        <f t="shared" si="825"/>
        <v>19001</v>
      </c>
      <c r="AQ2905" s="6">
        <f t="shared" si="826"/>
        <v>1900</v>
      </c>
      <c r="AR2905" s="6">
        <f t="shared" si="827"/>
        <v>1</v>
      </c>
    </row>
    <row r="2906" spans="2:44" x14ac:dyDescent="0.35">
      <c r="B2906" s="6" t="str">
        <f t="shared" si="810"/>
        <v>19001</v>
      </c>
      <c r="C2906" s="6">
        <f t="shared" si="811"/>
        <v>1900</v>
      </c>
      <c r="D2906" s="6">
        <f t="shared" si="812"/>
        <v>1</v>
      </c>
      <c r="J2906" s="6" t="str">
        <f t="shared" si="813"/>
        <v>19001</v>
      </c>
      <c r="K2906" s="6">
        <f t="shared" si="814"/>
        <v>1900</v>
      </c>
      <c r="L2906" s="6">
        <f t="shared" si="815"/>
        <v>1</v>
      </c>
      <c r="R2906" s="6" t="str">
        <f t="shared" si="816"/>
        <v>19001</v>
      </c>
      <c r="S2906" s="6">
        <f t="shared" si="817"/>
        <v>1900</v>
      </c>
      <c r="T2906" s="6">
        <f t="shared" si="818"/>
        <v>1</v>
      </c>
      <c r="Z2906" s="6" t="str">
        <f t="shared" ca="1" si="819"/>
        <v>20262</v>
      </c>
      <c r="AA2906" s="6">
        <f t="shared" ca="1" si="820"/>
        <v>2026</v>
      </c>
      <c r="AB2906" s="6">
        <f t="shared" ca="1" si="821"/>
        <v>2</v>
      </c>
      <c r="AC2906" s="68">
        <f ca="1">IFERROR(__xludf.DUMMYFUNCTION("""COMPUTED_VALUE"""),46066.9986111111)</f>
        <v>46066.998611111099</v>
      </c>
      <c r="AD2906" s="6">
        <f ca="1">IFERROR(__xludf.DUMMYFUNCTION("""COMPUTED_VALUE"""),1439.62)</f>
        <v>1439.62</v>
      </c>
      <c r="AH2906" s="6" t="str">
        <f t="shared" ca="1" si="822"/>
        <v>202512</v>
      </c>
      <c r="AI2906" s="6">
        <f t="shared" ca="1" si="823"/>
        <v>2025</v>
      </c>
      <c r="AJ2906" s="6">
        <f t="shared" ca="1" si="824"/>
        <v>12</v>
      </c>
      <c r="AK2906" s="68">
        <f ca="1">IFERROR(__xludf.DUMMYFUNCTION("""COMPUTED_VALUE"""),46001.9986111111)</f>
        <v>46001.998611111099</v>
      </c>
      <c r="AL2906" s="6">
        <f ca="1">IFERROR(__xludf.DUMMYFUNCTION("""COMPUTED_VALUE"""),92571.52)</f>
        <v>92571.520000000004</v>
      </c>
      <c r="AP2906" s="6" t="str">
        <f t="shared" si="825"/>
        <v>19001</v>
      </c>
      <c r="AQ2906" s="6">
        <f t="shared" si="826"/>
        <v>1900</v>
      </c>
      <c r="AR2906" s="6">
        <f t="shared" si="827"/>
        <v>1</v>
      </c>
    </row>
    <row r="2907" spans="2:44" x14ac:dyDescent="0.35">
      <c r="B2907" s="6" t="str">
        <f t="shared" si="810"/>
        <v>19001</v>
      </c>
      <c r="C2907" s="6">
        <f t="shared" si="811"/>
        <v>1900</v>
      </c>
      <c r="D2907" s="6">
        <f t="shared" si="812"/>
        <v>1</v>
      </c>
      <c r="J2907" s="6" t="str">
        <f t="shared" si="813"/>
        <v>19001</v>
      </c>
      <c r="K2907" s="6">
        <f t="shared" si="814"/>
        <v>1900</v>
      </c>
      <c r="L2907" s="6">
        <f t="shared" si="815"/>
        <v>1</v>
      </c>
      <c r="R2907" s="6" t="str">
        <f t="shared" si="816"/>
        <v>19001</v>
      </c>
      <c r="S2907" s="6">
        <f t="shared" si="817"/>
        <v>1900</v>
      </c>
      <c r="T2907" s="6">
        <f t="shared" si="818"/>
        <v>1</v>
      </c>
      <c r="Z2907" s="6" t="str">
        <f t="shared" ca="1" si="819"/>
        <v>20262</v>
      </c>
      <c r="AA2907" s="6">
        <f t="shared" ca="1" si="820"/>
        <v>2026</v>
      </c>
      <c r="AB2907" s="6">
        <f t="shared" ca="1" si="821"/>
        <v>2</v>
      </c>
      <c r="AC2907" s="68">
        <f ca="1">IFERROR(__xludf.DUMMYFUNCTION("""COMPUTED_VALUE"""),46067.9986111111)</f>
        <v>46067.998611111099</v>
      </c>
      <c r="AD2907" s="6">
        <f ca="1">IFERROR(__xludf.DUMMYFUNCTION("""COMPUTED_VALUE"""),1439.52)</f>
        <v>1439.52</v>
      </c>
      <c r="AH2907" s="6" t="str">
        <f t="shared" ca="1" si="822"/>
        <v>202512</v>
      </c>
      <c r="AI2907" s="6">
        <f t="shared" ca="1" si="823"/>
        <v>2025</v>
      </c>
      <c r="AJ2907" s="6">
        <f t="shared" ca="1" si="824"/>
        <v>12</v>
      </c>
      <c r="AK2907" s="68">
        <f ca="1">IFERROR(__xludf.DUMMYFUNCTION("""COMPUTED_VALUE"""),46002.9986111111)</f>
        <v>46002.998611111099</v>
      </c>
      <c r="AL2907" s="6">
        <f ca="1">IFERROR(__xludf.DUMMYFUNCTION("""COMPUTED_VALUE"""),90467.98)</f>
        <v>90467.98</v>
      </c>
      <c r="AP2907" s="6" t="str">
        <f t="shared" si="825"/>
        <v>19001</v>
      </c>
      <c r="AQ2907" s="6">
        <f t="shared" si="826"/>
        <v>1900</v>
      </c>
      <c r="AR2907" s="6">
        <f t="shared" si="827"/>
        <v>1</v>
      </c>
    </row>
    <row r="2908" spans="2:44" x14ac:dyDescent="0.35">
      <c r="B2908" s="6" t="str">
        <f t="shared" si="810"/>
        <v>19001</v>
      </c>
      <c r="C2908" s="6">
        <f t="shared" si="811"/>
        <v>1900</v>
      </c>
      <c r="D2908" s="6">
        <f t="shared" si="812"/>
        <v>1</v>
      </c>
      <c r="J2908" s="6" t="str">
        <f t="shared" si="813"/>
        <v>19001</v>
      </c>
      <c r="K2908" s="6">
        <f t="shared" si="814"/>
        <v>1900</v>
      </c>
      <c r="L2908" s="6">
        <f t="shared" si="815"/>
        <v>1</v>
      </c>
      <c r="R2908" s="6" t="str">
        <f t="shared" si="816"/>
        <v>19001</v>
      </c>
      <c r="S2908" s="6">
        <f t="shared" si="817"/>
        <v>1900</v>
      </c>
      <c r="T2908" s="6">
        <f t="shared" si="818"/>
        <v>1</v>
      </c>
      <c r="Z2908" s="6" t="str">
        <f t="shared" ca="1" si="819"/>
        <v>20262</v>
      </c>
      <c r="AA2908" s="6">
        <f t="shared" ca="1" si="820"/>
        <v>2026</v>
      </c>
      <c r="AB2908" s="6">
        <f t="shared" ca="1" si="821"/>
        <v>2</v>
      </c>
      <c r="AC2908" s="68">
        <f ca="1">IFERROR(__xludf.DUMMYFUNCTION("""COMPUTED_VALUE"""),46068.9986111111)</f>
        <v>46068.998611111099</v>
      </c>
      <c r="AD2908" s="6">
        <f ca="1">IFERROR(__xludf.DUMMYFUNCTION("""COMPUTED_VALUE"""),1439.52)</f>
        <v>1439.52</v>
      </c>
      <c r="AH2908" s="6" t="str">
        <f t="shared" ca="1" si="822"/>
        <v>202512</v>
      </c>
      <c r="AI2908" s="6">
        <f t="shared" ca="1" si="823"/>
        <v>2025</v>
      </c>
      <c r="AJ2908" s="6">
        <f t="shared" ca="1" si="824"/>
        <v>12</v>
      </c>
      <c r="AK2908" s="68">
        <f ca="1">IFERROR(__xludf.DUMMYFUNCTION("""COMPUTED_VALUE"""),46003.9986111111)</f>
        <v>46003.998611111099</v>
      </c>
      <c r="AL2908" s="6">
        <f ca="1">IFERROR(__xludf.DUMMYFUNCTION("""COMPUTED_VALUE"""),92399.02)</f>
        <v>92399.02</v>
      </c>
      <c r="AP2908" s="6" t="str">
        <f t="shared" si="825"/>
        <v>19001</v>
      </c>
      <c r="AQ2908" s="6">
        <f t="shared" si="826"/>
        <v>1900</v>
      </c>
      <c r="AR2908" s="6">
        <f t="shared" si="827"/>
        <v>1</v>
      </c>
    </row>
    <row r="2909" spans="2:44" x14ac:dyDescent="0.35">
      <c r="B2909" s="6" t="str">
        <f t="shared" si="810"/>
        <v>19001</v>
      </c>
      <c r="C2909" s="6">
        <f t="shared" si="811"/>
        <v>1900</v>
      </c>
      <c r="D2909" s="6">
        <f t="shared" si="812"/>
        <v>1</v>
      </c>
      <c r="J2909" s="6" t="str">
        <f t="shared" si="813"/>
        <v>19001</v>
      </c>
      <c r="K2909" s="6">
        <f t="shared" si="814"/>
        <v>1900</v>
      </c>
      <c r="L2909" s="6">
        <f t="shared" si="815"/>
        <v>1</v>
      </c>
      <c r="R2909" s="6" t="str">
        <f t="shared" si="816"/>
        <v>19001</v>
      </c>
      <c r="S2909" s="6">
        <f t="shared" si="817"/>
        <v>1900</v>
      </c>
      <c r="T2909" s="6">
        <f t="shared" si="818"/>
        <v>1</v>
      </c>
      <c r="Z2909" s="6" t="str">
        <f t="shared" ca="1" si="819"/>
        <v>20262</v>
      </c>
      <c r="AA2909" s="6">
        <f t="shared" ca="1" si="820"/>
        <v>2026</v>
      </c>
      <c r="AB2909" s="6">
        <f t="shared" ca="1" si="821"/>
        <v>2</v>
      </c>
      <c r="AC2909" s="68">
        <f ca="1">IFERROR(__xludf.DUMMYFUNCTION("""COMPUTED_VALUE"""),46069.9986111111)</f>
        <v>46069.998611111099</v>
      </c>
      <c r="AD2909" s="6">
        <f ca="1">IFERROR(__xludf.DUMMYFUNCTION("""COMPUTED_VALUE"""),1440.23)</f>
        <v>1440.23</v>
      </c>
      <c r="AH2909" s="6" t="str">
        <f t="shared" ca="1" si="822"/>
        <v>202512</v>
      </c>
      <c r="AI2909" s="6">
        <f t="shared" ca="1" si="823"/>
        <v>2025</v>
      </c>
      <c r="AJ2909" s="6">
        <f t="shared" ca="1" si="824"/>
        <v>12</v>
      </c>
      <c r="AK2909" s="68">
        <f ca="1">IFERROR(__xludf.DUMMYFUNCTION("""COMPUTED_VALUE"""),46004.9986111111)</f>
        <v>46004.998611111099</v>
      </c>
      <c r="AL2909" s="6">
        <f ca="1">IFERROR(__xludf.DUMMYFUNCTION("""COMPUTED_VALUE"""),90401.97)</f>
        <v>90401.97</v>
      </c>
      <c r="AP2909" s="6" t="str">
        <f t="shared" si="825"/>
        <v>19001</v>
      </c>
      <c r="AQ2909" s="6">
        <f t="shared" si="826"/>
        <v>1900</v>
      </c>
      <c r="AR2909" s="6">
        <f t="shared" si="827"/>
        <v>1</v>
      </c>
    </row>
    <row r="2910" spans="2:44" x14ac:dyDescent="0.35">
      <c r="B2910" s="6" t="str">
        <f t="shared" si="810"/>
        <v>19001</v>
      </c>
      <c r="C2910" s="6">
        <f t="shared" si="811"/>
        <v>1900</v>
      </c>
      <c r="D2910" s="6">
        <f t="shared" si="812"/>
        <v>1</v>
      </c>
      <c r="J2910" s="6" t="str">
        <f t="shared" si="813"/>
        <v>19001</v>
      </c>
      <c r="K2910" s="6">
        <f t="shared" si="814"/>
        <v>1900</v>
      </c>
      <c r="L2910" s="6">
        <f t="shared" si="815"/>
        <v>1</v>
      </c>
      <c r="R2910" s="6" t="str">
        <f t="shared" si="816"/>
        <v>19001</v>
      </c>
      <c r="S2910" s="6">
        <f t="shared" si="817"/>
        <v>1900</v>
      </c>
      <c r="T2910" s="6">
        <f t="shared" si="818"/>
        <v>1</v>
      </c>
      <c r="Z2910" s="6" t="str">
        <f t="shared" ca="1" si="819"/>
        <v>20262</v>
      </c>
      <c r="AA2910" s="6">
        <f t="shared" ca="1" si="820"/>
        <v>2026</v>
      </c>
      <c r="AB2910" s="6">
        <f t="shared" ca="1" si="821"/>
        <v>2</v>
      </c>
      <c r="AC2910" s="68">
        <f ca="1">IFERROR(__xludf.DUMMYFUNCTION("""COMPUTED_VALUE"""),46070.9986111111)</f>
        <v>46070.998611111099</v>
      </c>
      <c r="AD2910" s="6">
        <f ca="1">IFERROR(__xludf.DUMMYFUNCTION("""COMPUTED_VALUE"""),1439.97)</f>
        <v>1439.97</v>
      </c>
      <c r="AH2910" s="6" t="str">
        <f t="shared" ca="1" si="822"/>
        <v>202512</v>
      </c>
      <c r="AI2910" s="6">
        <f t="shared" ca="1" si="823"/>
        <v>2025</v>
      </c>
      <c r="AJ2910" s="6">
        <f t="shared" ca="1" si="824"/>
        <v>12</v>
      </c>
      <c r="AK2910" s="68">
        <f ca="1">IFERROR(__xludf.DUMMYFUNCTION("""COMPUTED_VALUE"""),46005.9986111111)</f>
        <v>46005.998611111099</v>
      </c>
      <c r="AL2910" s="6">
        <f ca="1">IFERROR(__xludf.DUMMYFUNCTION("""COMPUTED_VALUE"""),90207.59)</f>
        <v>90207.59</v>
      </c>
      <c r="AP2910" s="6" t="str">
        <f t="shared" si="825"/>
        <v>19001</v>
      </c>
      <c r="AQ2910" s="6">
        <f t="shared" si="826"/>
        <v>1900</v>
      </c>
      <c r="AR2910" s="6">
        <f t="shared" si="827"/>
        <v>1</v>
      </c>
    </row>
    <row r="2911" spans="2:44" x14ac:dyDescent="0.35">
      <c r="B2911" s="6" t="str">
        <f t="shared" si="810"/>
        <v>19001</v>
      </c>
      <c r="C2911" s="6">
        <f t="shared" si="811"/>
        <v>1900</v>
      </c>
      <c r="D2911" s="6">
        <f t="shared" si="812"/>
        <v>1</v>
      </c>
      <c r="J2911" s="6" t="str">
        <f t="shared" si="813"/>
        <v>19001</v>
      </c>
      <c r="K2911" s="6">
        <f t="shared" si="814"/>
        <v>1900</v>
      </c>
      <c r="L2911" s="6">
        <f t="shared" si="815"/>
        <v>1</v>
      </c>
      <c r="R2911" s="6" t="str">
        <f t="shared" si="816"/>
        <v>19001</v>
      </c>
      <c r="S2911" s="6">
        <f t="shared" si="817"/>
        <v>1900</v>
      </c>
      <c r="T2911" s="6">
        <f t="shared" si="818"/>
        <v>1</v>
      </c>
      <c r="Z2911" s="6" t="str">
        <f t="shared" ca="1" si="819"/>
        <v>20262</v>
      </c>
      <c r="AA2911" s="6">
        <f t="shared" ca="1" si="820"/>
        <v>2026</v>
      </c>
      <c r="AB2911" s="6">
        <f t="shared" ca="1" si="821"/>
        <v>2</v>
      </c>
      <c r="AC2911" s="68">
        <f ca="1">IFERROR(__xludf.DUMMYFUNCTION("""COMPUTED_VALUE"""),46071.9986111111)</f>
        <v>46071.998611111099</v>
      </c>
      <c r="AD2911" s="6">
        <f ca="1">IFERROR(__xludf.DUMMYFUNCTION("""COMPUTED_VALUE"""),1440.16)</f>
        <v>1440.16</v>
      </c>
      <c r="AH2911" s="6" t="str">
        <f t="shared" ca="1" si="822"/>
        <v>202512</v>
      </c>
      <c r="AI2911" s="6">
        <f t="shared" ca="1" si="823"/>
        <v>2025</v>
      </c>
      <c r="AJ2911" s="6">
        <f t="shared" ca="1" si="824"/>
        <v>12</v>
      </c>
      <c r="AK2911" s="68">
        <f ca="1">IFERROR(__xludf.DUMMYFUNCTION("""COMPUTED_VALUE"""),46006.9986111111)</f>
        <v>46006.998611111099</v>
      </c>
      <c r="AL2911" s="6">
        <f ca="1">IFERROR(__xludf.DUMMYFUNCTION("""COMPUTED_VALUE"""),89679.57)</f>
        <v>89679.57</v>
      </c>
      <c r="AP2911" s="6" t="str">
        <f t="shared" si="825"/>
        <v>19001</v>
      </c>
      <c r="AQ2911" s="6">
        <f t="shared" si="826"/>
        <v>1900</v>
      </c>
      <c r="AR2911" s="6">
        <f t="shared" si="827"/>
        <v>1</v>
      </c>
    </row>
    <row r="2912" spans="2:44" x14ac:dyDescent="0.35">
      <c r="B2912" s="6" t="str">
        <f t="shared" si="810"/>
        <v>19001</v>
      </c>
      <c r="C2912" s="6">
        <f t="shared" si="811"/>
        <v>1900</v>
      </c>
      <c r="D2912" s="6">
        <f t="shared" si="812"/>
        <v>1</v>
      </c>
      <c r="J2912" s="6" t="str">
        <f t="shared" si="813"/>
        <v>19001</v>
      </c>
      <c r="K2912" s="6">
        <f t="shared" si="814"/>
        <v>1900</v>
      </c>
      <c r="L2912" s="6">
        <f t="shared" si="815"/>
        <v>1</v>
      </c>
      <c r="R2912" s="6" t="str">
        <f t="shared" si="816"/>
        <v>19001</v>
      </c>
      <c r="S2912" s="6">
        <f t="shared" si="817"/>
        <v>1900</v>
      </c>
      <c r="T2912" s="6">
        <f t="shared" si="818"/>
        <v>1</v>
      </c>
      <c r="Z2912" s="6" t="str">
        <f t="shared" ca="1" si="819"/>
        <v>20262</v>
      </c>
      <c r="AA2912" s="6">
        <f t="shared" ca="1" si="820"/>
        <v>2026</v>
      </c>
      <c r="AB2912" s="6">
        <f t="shared" ca="1" si="821"/>
        <v>2</v>
      </c>
      <c r="AC2912" s="68">
        <f ca="1">IFERROR(__xludf.DUMMYFUNCTION("""COMPUTED_VALUE"""),46072.9986111111)</f>
        <v>46072.998611111099</v>
      </c>
      <c r="AD2912" s="6">
        <f ca="1">IFERROR(__xludf.DUMMYFUNCTION("""COMPUTED_VALUE"""),1447.75)</f>
        <v>1447.75</v>
      </c>
      <c r="AH2912" s="6" t="str">
        <f t="shared" ca="1" si="822"/>
        <v>202512</v>
      </c>
      <c r="AI2912" s="6">
        <f t="shared" ca="1" si="823"/>
        <v>2025</v>
      </c>
      <c r="AJ2912" s="6">
        <f t="shared" ca="1" si="824"/>
        <v>12</v>
      </c>
      <c r="AK2912" s="68">
        <f ca="1">IFERROR(__xludf.DUMMYFUNCTION("""COMPUTED_VALUE"""),46007.9986111111)</f>
        <v>46007.998611111099</v>
      </c>
      <c r="AL2912" s="6">
        <f ca="1">IFERROR(__xludf.DUMMYFUNCTION("""COMPUTED_VALUE"""),85827.9)</f>
        <v>85827.9</v>
      </c>
      <c r="AP2912" s="6" t="str">
        <f t="shared" si="825"/>
        <v>19001</v>
      </c>
      <c r="AQ2912" s="6">
        <f t="shared" si="826"/>
        <v>1900</v>
      </c>
      <c r="AR2912" s="6">
        <f t="shared" si="827"/>
        <v>1</v>
      </c>
    </row>
    <row r="2913" spans="2:44" x14ac:dyDescent="0.35">
      <c r="B2913" s="6" t="str">
        <f t="shared" si="810"/>
        <v>19001</v>
      </c>
      <c r="C2913" s="6">
        <f t="shared" si="811"/>
        <v>1900</v>
      </c>
      <c r="D2913" s="6">
        <f t="shared" si="812"/>
        <v>1</v>
      </c>
      <c r="J2913" s="6" t="str">
        <f t="shared" si="813"/>
        <v>19001</v>
      </c>
      <c r="K2913" s="6">
        <f t="shared" si="814"/>
        <v>1900</v>
      </c>
      <c r="L2913" s="6">
        <f t="shared" si="815"/>
        <v>1</v>
      </c>
      <c r="R2913" s="6" t="str">
        <f t="shared" si="816"/>
        <v>19001</v>
      </c>
      <c r="S2913" s="6">
        <f t="shared" si="817"/>
        <v>1900</v>
      </c>
      <c r="T2913" s="6">
        <f t="shared" si="818"/>
        <v>1</v>
      </c>
      <c r="Z2913" s="6" t="str">
        <f t="shared" ca="1" si="819"/>
        <v>20262</v>
      </c>
      <c r="AA2913" s="6">
        <f t="shared" ca="1" si="820"/>
        <v>2026</v>
      </c>
      <c r="AB2913" s="6">
        <f t="shared" ca="1" si="821"/>
        <v>2</v>
      </c>
      <c r="AC2913" s="68">
        <f ca="1">IFERROR(__xludf.DUMMYFUNCTION("""COMPUTED_VALUE"""),46073.9986111111)</f>
        <v>46073.998611111099</v>
      </c>
      <c r="AD2913" s="6">
        <f ca="1">IFERROR(__xludf.DUMMYFUNCTION("""COMPUTED_VALUE"""),1444.04)</f>
        <v>1444.04</v>
      </c>
      <c r="AH2913" s="6" t="str">
        <f t="shared" ca="1" si="822"/>
        <v>202512</v>
      </c>
      <c r="AI2913" s="6">
        <f t="shared" ca="1" si="823"/>
        <v>2025</v>
      </c>
      <c r="AJ2913" s="6">
        <f t="shared" ca="1" si="824"/>
        <v>12</v>
      </c>
      <c r="AK2913" s="68">
        <f ca="1">IFERROR(__xludf.DUMMYFUNCTION("""COMPUTED_VALUE"""),46008.9986111111)</f>
        <v>46008.998611111099</v>
      </c>
      <c r="AL2913" s="6">
        <f ca="1">IFERROR(__xludf.DUMMYFUNCTION("""COMPUTED_VALUE"""),86794.84)</f>
        <v>86794.84</v>
      </c>
      <c r="AP2913" s="6" t="str">
        <f t="shared" si="825"/>
        <v>19001</v>
      </c>
      <c r="AQ2913" s="6">
        <f t="shared" si="826"/>
        <v>1900</v>
      </c>
      <c r="AR2913" s="6">
        <f t="shared" si="827"/>
        <v>1</v>
      </c>
    </row>
    <row r="2914" spans="2:44" x14ac:dyDescent="0.35">
      <c r="B2914" s="6" t="str">
        <f t="shared" si="810"/>
        <v>19001</v>
      </c>
      <c r="C2914" s="6">
        <f t="shared" si="811"/>
        <v>1900</v>
      </c>
      <c r="D2914" s="6">
        <f t="shared" si="812"/>
        <v>1</v>
      </c>
      <c r="J2914" s="6" t="str">
        <f t="shared" si="813"/>
        <v>19001</v>
      </c>
      <c r="K2914" s="6">
        <f t="shared" si="814"/>
        <v>1900</v>
      </c>
      <c r="L2914" s="6">
        <f t="shared" si="815"/>
        <v>1</v>
      </c>
      <c r="R2914" s="6" t="str">
        <f t="shared" si="816"/>
        <v>19001</v>
      </c>
      <c r="S2914" s="6">
        <f t="shared" si="817"/>
        <v>1900</v>
      </c>
      <c r="T2914" s="6">
        <f t="shared" si="818"/>
        <v>1</v>
      </c>
      <c r="Z2914" s="6" t="str">
        <f t="shared" ca="1" si="819"/>
        <v>20262</v>
      </c>
      <c r="AA2914" s="6">
        <f t="shared" ca="1" si="820"/>
        <v>2026</v>
      </c>
      <c r="AB2914" s="6">
        <f t="shared" ca="1" si="821"/>
        <v>2</v>
      </c>
      <c r="AC2914" s="68">
        <f ca="1">IFERROR(__xludf.DUMMYFUNCTION("""COMPUTED_VALUE"""),46074.9986111111)</f>
        <v>46074.998611111099</v>
      </c>
      <c r="AD2914" s="6">
        <f ca="1">IFERROR(__xludf.DUMMYFUNCTION("""COMPUTED_VALUE"""),1443.44)</f>
        <v>1443.44</v>
      </c>
      <c r="AH2914" s="6" t="str">
        <f t="shared" ca="1" si="822"/>
        <v>202512</v>
      </c>
      <c r="AI2914" s="6">
        <f t="shared" ca="1" si="823"/>
        <v>2025</v>
      </c>
      <c r="AJ2914" s="6">
        <f t="shared" ca="1" si="824"/>
        <v>12</v>
      </c>
      <c r="AK2914" s="68">
        <f ca="1">IFERROR(__xludf.DUMMYFUNCTION("""COMPUTED_VALUE"""),46009.9986111111)</f>
        <v>46009.998611111099</v>
      </c>
      <c r="AL2914" s="6">
        <f ca="1">IFERROR(__xludf.DUMMYFUNCTION("""COMPUTED_VALUE"""),86757.41)</f>
        <v>86757.41</v>
      </c>
      <c r="AP2914" s="6" t="str">
        <f t="shared" si="825"/>
        <v>19001</v>
      </c>
      <c r="AQ2914" s="6">
        <f t="shared" si="826"/>
        <v>1900</v>
      </c>
      <c r="AR2914" s="6">
        <f t="shared" si="827"/>
        <v>1</v>
      </c>
    </row>
    <row r="2915" spans="2:44" x14ac:dyDescent="0.35">
      <c r="B2915" s="6" t="str">
        <f t="shared" si="810"/>
        <v>19001</v>
      </c>
      <c r="C2915" s="6">
        <f t="shared" si="811"/>
        <v>1900</v>
      </c>
      <c r="D2915" s="6">
        <f t="shared" si="812"/>
        <v>1</v>
      </c>
      <c r="J2915" s="6" t="str">
        <f t="shared" si="813"/>
        <v>19001</v>
      </c>
      <c r="K2915" s="6">
        <f t="shared" si="814"/>
        <v>1900</v>
      </c>
      <c r="L2915" s="6">
        <f t="shared" si="815"/>
        <v>1</v>
      </c>
      <c r="R2915" s="6" t="str">
        <f t="shared" si="816"/>
        <v>19001</v>
      </c>
      <c r="S2915" s="6">
        <f t="shared" si="817"/>
        <v>1900</v>
      </c>
      <c r="T2915" s="6">
        <f t="shared" si="818"/>
        <v>1</v>
      </c>
      <c r="Z2915" s="6" t="str">
        <f t="shared" ca="1" si="819"/>
        <v>20262</v>
      </c>
      <c r="AA2915" s="6">
        <f t="shared" ca="1" si="820"/>
        <v>2026</v>
      </c>
      <c r="AB2915" s="6">
        <f t="shared" ca="1" si="821"/>
        <v>2</v>
      </c>
      <c r="AC2915" s="68">
        <f ca="1">IFERROR(__xludf.DUMMYFUNCTION("""COMPUTED_VALUE"""),46075.9986111111)</f>
        <v>46075.998611111099</v>
      </c>
      <c r="AD2915" s="6">
        <f ca="1">IFERROR(__xludf.DUMMYFUNCTION("""COMPUTED_VALUE"""),1443.44)</f>
        <v>1443.44</v>
      </c>
      <c r="AH2915" s="6" t="str">
        <f t="shared" ca="1" si="822"/>
        <v>202512</v>
      </c>
      <c r="AI2915" s="6">
        <f t="shared" ca="1" si="823"/>
        <v>2025</v>
      </c>
      <c r="AJ2915" s="6">
        <f t="shared" ca="1" si="824"/>
        <v>12</v>
      </c>
      <c r="AK2915" s="68">
        <f ca="1">IFERROR(__xludf.DUMMYFUNCTION("""COMPUTED_VALUE"""),46010.9986111111)</f>
        <v>46010.998611111099</v>
      </c>
      <c r="AL2915" s="6">
        <f ca="1">IFERROR(__xludf.DUMMYFUNCTION("""COMPUTED_VALUE"""),87073.13)</f>
        <v>87073.13</v>
      </c>
      <c r="AP2915" s="6" t="str">
        <f t="shared" si="825"/>
        <v>19001</v>
      </c>
      <c r="AQ2915" s="6">
        <f t="shared" si="826"/>
        <v>1900</v>
      </c>
      <c r="AR2915" s="6">
        <f t="shared" si="827"/>
        <v>1</v>
      </c>
    </row>
    <row r="2916" spans="2:44" x14ac:dyDescent="0.35">
      <c r="B2916" s="6" t="str">
        <f t="shared" si="810"/>
        <v>19001</v>
      </c>
      <c r="C2916" s="6">
        <f t="shared" si="811"/>
        <v>1900</v>
      </c>
      <c r="D2916" s="6">
        <f t="shared" si="812"/>
        <v>1</v>
      </c>
      <c r="J2916" s="6" t="str">
        <f t="shared" si="813"/>
        <v>19001</v>
      </c>
      <c r="K2916" s="6">
        <f t="shared" si="814"/>
        <v>1900</v>
      </c>
      <c r="L2916" s="6">
        <f t="shared" si="815"/>
        <v>1</v>
      </c>
      <c r="R2916" s="6" t="str">
        <f t="shared" si="816"/>
        <v>19001</v>
      </c>
      <c r="S2916" s="6">
        <f t="shared" si="817"/>
        <v>1900</v>
      </c>
      <c r="T2916" s="6">
        <f t="shared" si="818"/>
        <v>1</v>
      </c>
      <c r="Z2916" s="6" t="str">
        <f t="shared" ca="1" si="819"/>
        <v>20262</v>
      </c>
      <c r="AA2916" s="6">
        <f t="shared" ca="1" si="820"/>
        <v>2026</v>
      </c>
      <c r="AB2916" s="6">
        <f t="shared" ca="1" si="821"/>
        <v>2</v>
      </c>
      <c r="AC2916" s="68">
        <f ca="1">IFERROR(__xludf.DUMMYFUNCTION("""COMPUTED_VALUE"""),46076.9986111111)</f>
        <v>46076.998611111099</v>
      </c>
      <c r="AD2916" s="6">
        <f ca="1">IFERROR(__xludf.DUMMYFUNCTION("""COMPUTED_VALUE"""),1442.2)</f>
        <v>1442.2</v>
      </c>
      <c r="AH2916" s="6" t="str">
        <f t="shared" ca="1" si="822"/>
        <v>202512</v>
      </c>
      <c r="AI2916" s="6">
        <f t="shared" ca="1" si="823"/>
        <v>2025</v>
      </c>
      <c r="AJ2916" s="6">
        <f t="shared" ca="1" si="824"/>
        <v>12</v>
      </c>
      <c r="AK2916" s="68">
        <f ca="1">IFERROR(__xludf.DUMMYFUNCTION("""COMPUTED_VALUE"""),46011.9986111111)</f>
        <v>46011.998611111099</v>
      </c>
      <c r="AL2916" s="6">
        <f ca="1">IFERROR(__xludf.DUMMYFUNCTION("""COMPUTED_VALUE"""),88252.01)</f>
        <v>88252.01</v>
      </c>
      <c r="AP2916" s="6" t="str">
        <f t="shared" si="825"/>
        <v>19001</v>
      </c>
      <c r="AQ2916" s="6">
        <f t="shared" si="826"/>
        <v>1900</v>
      </c>
      <c r="AR2916" s="6">
        <f t="shared" si="827"/>
        <v>1</v>
      </c>
    </row>
    <row r="2917" spans="2:44" x14ac:dyDescent="0.35">
      <c r="B2917" s="6" t="str">
        <f t="shared" si="810"/>
        <v>19001</v>
      </c>
      <c r="C2917" s="6">
        <f t="shared" si="811"/>
        <v>1900</v>
      </c>
      <c r="D2917" s="6">
        <f t="shared" si="812"/>
        <v>1</v>
      </c>
      <c r="J2917" s="6" t="str">
        <f t="shared" si="813"/>
        <v>19001</v>
      </c>
      <c r="K2917" s="6">
        <f t="shared" si="814"/>
        <v>1900</v>
      </c>
      <c r="L2917" s="6">
        <f t="shared" si="815"/>
        <v>1</v>
      </c>
      <c r="R2917" s="6" t="str">
        <f t="shared" si="816"/>
        <v>19001</v>
      </c>
      <c r="S2917" s="6">
        <f t="shared" si="817"/>
        <v>1900</v>
      </c>
      <c r="T2917" s="6">
        <f t="shared" si="818"/>
        <v>1</v>
      </c>
      <c r="Z2917" s="6" t="str">
        <f t="shared" ca="1" si="819"/>
        <v>20262</v>
      </c>
      <c r="AA2917" s="6">
        <f t="shared" ca="1" si="820"/>
        <v>2026</v>
      </c>
      <c r="AB2917" s="6">
        <f t="shared" ca="1" si="821"/>
        <v>2</v>
      </c>
      <c r="AC2917" s="68">
        <f ca="1">IFERROR(__xludf.DUMMYFUNCTION("""COMPUTED_VALUE"""),46077.9986111111)</f>
        <v>46077.998611111099</v>
      </c>
      <c r="AD2917" s="6">
        <f ca="1">IFERROR(__xludf.DUMMYFUNCTION("""COMPUTED_VALUE"""),1439.99)</f>
        <v>1439.99</v>
      </c>
      <c r="AH2917" s="6" t="str">
        <f t="shared" ca="1" si="822"/>
        <v>202512</v>
      </c>
      <c r="AI2917" s="6">
        <f t="shared" ca="1" si="823"/>
        <v>2025</v>
      </c>
      <c r="AJ2917" s="6">
        <f t="shared" ca="1" si="824"/>
        <v>12</v>
      </c>
      <c r="AK2917" s="68">
        <f ca="1">IFERROR(__xludf.DUMMYFUNCTION("""COMPUTED_VALUE"""),46012.9986111111)</f>
        <v>46012.998611111099</v>
      </c>
      <c r="AL2917" s="6">
        <f ca="1">IFERROR(__xludf.DUMMYFUNCTION("""COMPUTED_VALUE"""),88081.58)</f>
        <v>88081.58</v>
      </c>
      <c r="AP2917" s="6" t="str">
        <f t="shared" si="825"/>
        <v>19001</v>
      </c>
      <c r="AQ2917" s="6">
        <f t="shared" si="826"/>
        <v>1900</v>
      </c>
      <c r="AR2917" s="6">
        <f t="shared" si="827"/>
        <v>1</v>
      </c>
    </row>
    <row r="2918" spans="2:44" x14ac:dyDescent="0.35">
      <c r="B2918" s="6" t="str">
        <f t="shared" si="810"/>
        <v>19001</v>
      </c>
      <c r="C2918" s="6">
        <f t="shared" si="811"/>
        <v>1900</v>
      </c>
      <c r="D2918" s="6">
        <f t="shared" si="812"/>
        <v>1</v>
      </c>
      <c r="J2918" s="6" t="str">
        <f t="shared" si="813"/>
        <v>19001</v>
      </c>
      <c r="K2918" s="6">
        <f t="shared" si="814"/>
        <v>1900</v>
      </c>
      <c r="L2918" s="6">
        <f t="shared" si="815"/>
        <v>1</v>
      </c>
      <c r="R2918" s="6" t="str">
        <f t="shared" si="816"/>
        <v>19001</v>
      </c>
      <c r="S2918" s="6">
        <f t="shared" si="817"/>
        <v>1900</v>
      </c>
      <c r="T2918" s="6">
        <f t="shared" si="818"/>
        <v>1</v>
      </c>
      <c r="Z2918" s="6" t="str">
        <f t="shared" ca="1" si="819"/>
        <v>20262</v>
      </c>
      <c r="AA2918" s="6">
        <f t="shared" ca="1" si="820"/>
        <v>2026</v>
      </c>
      <c r="AB2918" s="6">
        <f t="shared" ca="1" si="821"/>
        <v>2</v>
      </c>
      <c r="AC2918" s="68">
        <f ca="1">IFERROR(__xludf.DUMMYFUNCTION("""COMPUTED_VALUE"""),46078.9986111111)</f>
        <v>46078.998611111099</v>
      </c>
      <c r="AD2918" s="6">
        <f ca="1">IFERROR(__xludf.DUMMYFUNCTION("""COMPUTED_VALUE"""),1426.93)</f>
        <v>1426.93</v>
      </c>
      <c r="AH2918" s="6" t="str">
        <f t="shared" ca="1" si="822"/>
        <v>202512</v>
      </c>
      <c r="AI2918" s="6">
        <f t="shared" ca="1" si="823"/>
        <v>2025</v>
      </c>
      <c r="AJ2918" s="6">
        <f t="shared" ca="1" si="824"/>
        <v>12</v>
      </c>
      <c r="AK2918" s="68">
        <f ca="1">IFERROR(__xludf.DUMMYFUNCTION("""COMPUTED_VALUE"""),46013.9986111111)</f>
        <v>46013.998611111099</v>
      </c>
      <c r="AL2918" s="6">
        <f ca="1">IFERROR(__xludf.DUMMYFUNCTION("""COMPUTED_VALUE"""),88877.88)</f>
        <v>88877.88</v>
      </c>
      <c r="AP2918" s="6" t="str">
        <f t="shared" si="825"/>
        <v>19001</v>
      </c>
      <c r="AQ2918" s="6">
        <f t="shared" si="826"/>
        <v>1900</v>
      </c>
      <c r="AR2918" s="6">
        <f t="shared" si="827"/>
        <v>1</v>
      </c>
    </row>
    <row r="2919" spans="2:44" x14ac:dyDescent="0.35">
      <c r="B2919" s="6" t="str">
        <f t="shared" si="810"/>
        <v>19001</v>
      </c>
      <c r="C2919" s="6">
        <f t="shared" si="811"/>
        <v>1900</v>
      </c>
      <c r="D2919" s="6">
        <f t="shared" si="812"/>
        <v>1</v>
      </c>
      <c r="J2919" s="6" t="str">
        <f t="shared" si="813"/>
        <v>19001</v>
      </c>
      <c r="K2919" s="6">
        <f t="shared" si="814"/>
        <v>1900</v>
      </c>
      <c r="L2919" s="6">
        <f t="shared" si="815"/>
        <v>1</v>
      </c>
      <c r="R2919" s="6" t="str">
        <f t="shared" si="816"/>
        <v>19001</v>
      </c>
      <c r="S2919" s="6">
        <f t="shared" si="817"/>
        <v>1900</v>
      </c>
      <c r="T2919" s="6">
        <f t="shared" si="818"/>
        <v>1</v>
      </c>
      <c r="Z2919" s="6" t="str">
        <f t="shared" ca="1" si="819"/>
        <v>20262</v>
      </c>
      <c r="AA2919" s="6">
        <f t="shared" ca="1" si="820"/>
        <v>2026</v>
      </c>
      <c r="AB2919" s="6">
        <f t="shared" ca="1" si="821"/>
        <v>2</v>
      </c>
      <c r="AC2919" s="68">
        <f ca="1">IFERROR(__xludf.DUMMYFUNCTION("""COMPUTED_VALUE"""),46079.9986111111)</f>
        <v>46079.998611111099</v>
      </c>
      <c r="AD2919" s="6">
        <f ca="1">IFERROR(__xludf.DUMMYFUNCTION("""COMPUTED_VALUE"""),1432.32)</f>
        <v>1432.32</v>
      </c>
      <c r="AH2919" s="6" t="str">
        <f t="shared" ca="1" si="822"/>
        <v>202512</v>
      </c>
      <c r="AI2919" s="6">
        <f t="shared" ca="1" si="823"/>
        <v>2025</v>
      </c>
      <c r="AJ2919" s="6">
        <f t="shared" ca="1" si="824"/>
        <v>12</v>
      </c>
      <c r="AK2919" s="68">
        <f ca="1">IFERROR(__xludf.DUMMYFUNCTION("""COMPUTED_VALUE"""),46014.9986111111)</f>
        <v>46014.998611111099</v>
      </c>
      <c r="AL2919" s="6">
        <f ca="1">IFERROR(__xludf.DUMMYFUNCTION("""COMPUTED_VALUE"""),87973.69)</f>
        <v>87973.69</v>
      </c>
      <c r="AP2919" s="6" t="str">
        <f t="shared" si="825"/>
        <v>19001</v>
      </c>
      <c r="AQ2919" s="6">
        <f t="shared" si="826"/>
        <v>1900</v>
      </c>
      <c r="AR2919" s="6">
        <f t="shared" si="827"/>
        <v>1</v>
      </c>
    </row>
    <row r="2920" spans="2:44" x14ac:dyDescent="0.35">
      <c r="B2920" s="6" t="str">
        <f t="shared" si="810"/>
        <v>19001</v>
      </c>
      <c r="C2920" s="6">
        <f t="shared" si="811"/>
        <v>1900</v>
      </c>
      <c r="D2920" s="6">
        <f t="shared" si="812"/>
        <v>1</v>
      </c>
      <c r="J2920" s="6" t="str">
        <f t="shared" si="813"/>
        <v>19001</v>
      </c>
      <c r="K2920" s="6">
        <f t="shared" si="814"/>
        <v>1900</v>
      </c>
      <c r="L2920" s="6">
        <f t="shared" si="815"/>
        <v>1</v>
      </c>
      <c r="R2920" s="6" t="str">
        <f t="shared" si="816"/>
        <v>19001</v>
      </c>
      <c r="S2920" s="6">
        <f t="shared" si="817"/>
        <v>1900</v>
      </c>
      <c r="T2920" s="6">
        <f t="shared" si="818"/>
        <v>1</v>
      </c>
      <c r="Z2920" s="6" t="str">
        <f t="shared" ca="1" si="819"/>
        <v>20262</v>
      </c>
      <c r="AA2920" s="6">
        <f t="shared" ca="1" si="820"/>
        <v>2026</v>
      </c>
      <c r="AB2920" s="6">
        <f t="shared" ca="1" si="821"/>
        <v>2</v>
      </c>
      <c r="AC2920" s="68">
        <f ca="1">IFERROR(__xludf.DUMMYFUNCTION("""COMPUTED_VALUE"""),46080.9986111111)</f>
        <v>46080.998611111099</v>
      </c>
      <c r="AD2920" s="6">
        <f ca="1">IFERROR(__xludf.DUMMYFUNCTION("""COMPUTED_VALUE"""),1438.9)</f>
        <v>1438.9</v>
      </c>
      <c r="AH2920" s="6" t="str">
        <f t="shared" ca="1" si="822"/>
        <v>202512</v>
      </c>
      <c r="AI2920" s="6">
        <f t="shared" ca="1" si="823"/>
        <v>2025</v>
      </c>
      <c r="AJ2920" s="6">
        <f t="shared" ca="1" si="824"/>
        <v>12</v>
      </c>
      <c r="AK2920" s="68">
        <f ca="1">IFERROR(__xludf.DUMMYFUNCTION("""COMPUTED_VALUE"""),46015.9986111111)</f>
        <v>46015.998611111099</v>
      </c>
      <c r="AL2920" s="6">
        <f ca="1">IFERROR(__xludf.DUMMYFUNCTION("""COMPUTED_VALUE"""),87095.54)</f>
        <v>87095.54</v>
      </c>
      <c r="AP2920" s="6" t="str">
        <f t="shared" si="825"/>
        <v>19001</v>
      </c>
      <c r="AQ2920" s="6">
        <f t="shared" si="826"/>
        <v>1900</v>
      </c>
      <c r="AR2920" s="6">
        <f t="shared" si="827"/>
        <v>1</v>
      </c>
    </row>
    <row r="2921" spans="2:44" x14ac:dyDescent="0.35">
      <c r="B2921" s="6" t="str">
        <f t="shared" si="810"/>
        <v>19001</v>
      </c>
      <c r="C2921" s="6">
        <f t="shared" si="811"/>
        <v>1900</v>
      </c>
      <c r="D2921" s="6">
        <f t="shared" si="812"/>
        <v>1</v>
      </c>
      <c r="J2921" s="6" t="str">
        <f t="shared" si="813"/>
        <v>19001</v>
      </c>
      <c r="K2921" s="6">
        <f t="shared" si="814"/>
        <v>1900</v>
      </c>
      <c r="L2921" s="6">
        <f t="shared" si="815"/>
        <v>1</v>
      </c>
      <c r="R2921" s="6" t="str">
        <f t="shared" si="816"/>
        <v>19001</v>
      </c>
      <c r="S2921" s="6">
        <f t="shared" si="817"/>
        <v>1900</v>
      </c>
      <c r="T2921" s="6">
        <f t="shared" si="818"/>
        <v>1</v>
      </c>
      <c r="Z2921" s="6" t="str">
        <f t="shared" ca="1" si="819"/>
        <v>20262</v>
      </c>
      <c r="AA2921" s="6">
        <f t="shared" ca="1" si="820"/>
        <v>2026</v>
      </c>
      <c r="AB2921" s="6">
        <f t="shared" ca="1" si="821"/>
        <v>2</v>
      </c>
      <c r="AC2921" s="68">
        <f ca="1">IFERROR(__xludf.DUMMYFUNCTION("""COMPUTED_VALUE"""),46081.9986111111)</f>
        <v>46081.998611111099</v>
      </c>
      <c r="AD2921" s="6">
        <f ca="1">IFERROR(__xludf.DUMMYFUNCTION("""COMPUTED_VALUE"""),1437.8)</f>
        <v>1437.8</v>
      </c>
      <c r="AH2921" s="6" t="str">
        <f t="shared" ca="1" si="822"/>
        <v>202512</v>
      </c>
      <c r="AI2921" s="6">
        <f t="shared" ca="1" si="823"/>
        <v>2025</v>
      </c>
      <c r="AJ2921" s="6">
        <f t="shared" ca="1" si="824"/>
        <v>12</v>
      </c>
      <c r="AK2921" s="68">
        <f ca="1">IFERROR(__xludf.DUMMYFUNCTION("""COMPUTED_VALUE"""),46016.9986111111)</f>
        <v>46016.998611111099</v>
      </c>
      <c r="AL2921" s="6">
        <f ca="1">IFERROR(__xludf.DUMMYFUNCTION("""COMPUTED_VALUE"""),87768.72)</f>
        <v>87768.72</v>
      </c>
      <c r="AP2921" s="6" t="str">
        <f t="shared" si="825"/>
        <v>19001</v>
      </c>
      <c r="AQ2921" s="6">
        <f t="shared" si="826"/>
        <v>1900</v>
      </c>
      <c r="AR2921" s="6">
        <f t="shared" si="827"/>
        <v>1</v>
      </c>
    </row>
    <row r="2922" spans="2:44" x14ac:dyDescent="0.35">
      <c r="B2922" s="6" t="str">
        <f t="shared" si="810"/>
        <v>19001</v>
      </c>
      <c r="C2922" s="6">
        <f t="shared" si="811"/>
        <v>1900</v>
      </c>
      <c r="D2922" s="6">
        <f t="shared" si="812"/>
        <v>1</v>
      </c>
      <c r="J2922" s="6" t="str">
        <f t="shared" si="813"/>
        <v>19001</v>
      </c>
      <c r="K2922" s="6">
        <f t="shared" si="814"/>
        <v>1900</v>
      </c>
      <c r="L2922" s="6">
        <f t="shared" si="815"/>
        <v>1</v>
      </c>
      <c r="R2922" s="6" t="str">
        <f t="shared" si="816"/>
        <v>19001</v>
      </c>
      <c r="S2922" s="6">
        <f t="shared" si="817"/>
        <v>1900</v>
      </c>
      <c r="T2922" s="6">
        <f t="shared" si="818"/>
        <v>1</v>
      </c>
      <c r="Z2922" s="6" t="str">
        <f t="shared" ca="1" si="819"/>
        <v>20263</v>
      </c>
      <c r="AA2922" s="6">
        <f t="shared" ca="1" si="820"/>
        <v>2026</v>
      </c>
      <c r="AB2922" s="6">
        <f t="shared" ca="1" si="821"/>
        <v>3</v>
      </c>
      <c r="AC2922" s="68">
        <f ca="1">IFERROR(__xludf.DUMMYFUNCTION("""COMPUTED_VALUE"""),46082.9986111111)</f>
        <v>46082.998611111099</v>
      </c>
      <c r="AD2922" s="6">
        <f ca="1">IFERROR(__xludf.DUMMYFUNCTION("""COMPUTED_VALUE"""),1438.5)</f>
        <v>1438.5</v>
      </c>
      <c r="AH2922" s="6" t="str">
        <f t="shared" ca="1" si="822"/>
        <v>202512</v>
      </c>
      <c r="AI2922" s="6">
        <f t="shared" ca="1" si="823"/>
        <v>2025</v>
      </c>
      <c r="AJ2922" s="6">
        <f t="shared" ca="1" si="824"/>
        <v>12</v>
      </c>
      <c r="AK2922" s="68">
        <f ca="1">IFERROR(__xludf.DUMMYFUNCTION("""COMPUTED_VALUE"""),46017.9986111111)</f>
        <v>46017.998611111099</v>
      </c>
      <c r="AL2922" s="6">
        <f ca="1">IFERROR(__xludf.DUMMYFUNCTION("""COMPUTED_VALUE"""),88915.34)</f>
        <v>88915.34</v>
      </c>
      <c r="AP2922" s="6" t="str">
        <f t="shared" si="825"/>
        <v>19001</v>
      </c>
      <c r="AQ2922" s="6">
        <f t="shared" si="826"/>
        <v>1900</v>
      </c>
      <c r="AR2922" s="6">
        <f t="shared" si="827"/>
        <v>1</v>
      </c>
    </row>
    <row r="2923" spans="2:44" x14ac:dyDescent="0.35">
      <c r="B2923" s="6" t="str">
        <f t="shared" si="810"/>
        <v>19001</v>
      </c>
      <c r="C2923" s="6">
        <f t="shared" si="811"/>
        <v>1900</v>
      </c>
      <c r="D2923" s="6">
        <f t="shared" si="812"/>
        <v>1</v>
      </c>
      <c r="J2923" s="6" t="str">
        <f t="shared" si="813"/>
        <v>19001</v>
      </c>
      <c r="K2923" s="6">
        <f t="shared" si="814"/>
        <v>1900</v>
      </c>
      <c r="L2923" s="6">
        <f t="shared" si="815"/>
        <v>1</v>
      </c>
      <c r="R2923" s="6" t="str">
        <f t="shared" si="816"/>
        <v>19001</v>
      </c>
      <c r="S2923" s="6">
        <f t="shared" si="817"/>
        <v>1900</v>
      </c>
      <c r="T2923" s="6">
        <f t="shared" si="818"/>
        <v>1</v>
      </c>
      <c r="Z2923" s="6" t="str">
        <f t="shared" ca="1" si="819"/>
        <v>20263</v>
      </c>
      <c r="AA2923" s="6">
        <f t="shared" ca="1" si="820"/>
        <v>2026</v>
      </c>
      <c r="AB2923" s="6">
        <f t="shared" ca="1" si="821"/>
        <v>3</v>
      </c>
      <c r="AC2923" s="68">
        <f ca="1">IFERROR(__xludf.DUMMYFUNCTION("""COMPUTED_VALUE"""),46083.9986111111)</f>
        <v>46083.998611111099</v>
      </c>
      <c r="AD2923" s="6">
        <f ca="1">IFERROR(__xludf.DUMMYFUNCTION("""COMPUTED_VALUE"""),1452.27)</f>
        <v>1452.27</v>
      </c>
      <c r="AH2923" s="6" t="str">
        <f t="shared" ca="1" si="822"/>
        <v>202512</v>
      </c>
      <c r="AI2923" s="6">
        <f t="shared" ca="1" si="823"/>
        <v>2025</v>
      </c>
      <c r="AJ2923" s="6">
        <f t="shared" ca="1" si="824"/>
        <v>12</v>
      </c>
      <c r="AK2923" s="68">
        <f ca="1">IFERROR(__xludf.DUMMYFUNCTION("""COMPUTED_VALUE"""),46018.9986111111)</f>
        <v>46018.998611111099</v>
      </c>
      <c r="AL2923" s="6">
        <f ca="1">IFERROR(__xludf.DUMMYFUNCTION("""COMPUTED_VALUE"""),87459.36)</f>
        <v>87459.36</v>
      </c>
      <c r="AP2923" s="6" t="str">
        <f t="shared" si="825"/>
        <v>19001</v>
      </c>
      <c r="AQ2923" s="6">
        <f t="shared" si="826"/>
        <v>1900</v>
      </c>
      <c r="AR2923" s="6">
        <f t="shared" si="827"/>
        <v>1</v>
      </c>
    </row>
    <row r="2924" spans="2:44" x14ac:dyDescent="0.35">
      <c r="B2924" s="6" t="str">
        <f t="shared" si="810"/>
        <v>19001</v>
      </c>
      <c r="C2924" s="6">
        <f t="shared" si="811"/>
        <v>1900</v>
      </c>
      <c r="D2924" s="6">
        <f t="shared" si="812"/>
        <v>1</v>
      </c>
      <c r="J2924" s="6" t="str">
        <f t="shared" si="813"/>
        <v>19001</v>
      </c>
      <c r="K2924" s="6">
        <f t="shared" si="814"/>
        <v>1900</v>
      </c>
      <c r="L2924" s="6">
        <f t="shared" si="815"/>
        <v>1</v>
      </c>
      <c r="R2924" s="6" t="str">
        <f t="shared" si="816"/>
        <v>19001</v>
      </c>
      <c r="S2924" s="6">
        <f t="shared" si="817"/>
        <v>1900</v>
      </c>
      <c r="T2924" s="6">
        <f t="shared" si="818"/>
        <v>1</v>
      </c>
      <c r="Z2924" s="6" t="str">
        <f t="shared" ca="1" si="819"/>
        <v>20263</v>
      </c>
      <c r="AA2924" s="6">
        <f t="shared" ca="1" si="820"/>
        <v>2026</v>
      </c>
      <c r="AB2924" s="6">
        <f t="shared" ca="1" si="821"/>
        <v>3</v>
      </c>
      <c r="AC2924" s="68">
        <f ca="1">IFERROR(__xludf.DUMMYFUNCTION("""COMPUTED_VALUE"""),46084.9986111111)</f>
        <v>46084.998611111099</v>
      </c>
      <c r="AD2924" s="6">
        <f ca="1">IFERROR(__xludf.DUMMYFUNCTION("""COMPUTED_VALUE"""),1483.07)</f>
        <v>1483.07</v>
      </c>
      <c r="AH2924" s="6" t="str">
        <f t="shared" ca="1" si="822"/>
        <v>202512</v>
      </c>
      <c r="AI2924" s="6">
        <f t="shared" ca="1" si="823"/>
        <v>2025</v>
      </c>
      <c r="AJ2924" s="6">
        <f t="shared" ca="1" si="824"/>
        <v>12</v>
      </c>
      <c r="AK2924" s="68">
        <f ca="1">IFERROR(__xludf.DUMMYFUNCTION("""COMPUTED_VALUE"""),46019.9986111111)</f>
        <v>46019.998611111099</v>
      </c>
      <c r="AL2924" s="6">
        <f ca="1">IFERROR(__xludf.DUMMYFUNCTION("""COMPUTED_VALUE"""),87687.36)</f>
        <v>87687.360000000001</v>
      </c>
      <c r="AP2924" s="6" t="str">
        <f t="shared" si="825"/>
        <v>19001</v>
      </c>
      <c r="AQ2924" s="6">
        <f t="shared" si="826"/>
        <v>1900</v>
      </c>
      <c r="AR2924" s="6">
        <f t="shared" si="827"/>
        <v>1</v>
      </c>
    </row>
    <row r="2925" spans="2:44" x14ac:dyDescent="0.35">
      <c r="B2925" s="6" t="str">
        <f t="shared" si="810"/>
        <v>19001</v>
      </c>
      <c r="C2925" s="6">
        <f t="shared" si="811"/>
        <v>1900</v>
      </c>
      <c r="D2925" s="6">
        <f t="shared" si="812"/>
        <v>1</v>
      </c>
      <c r="J2925" s="6" t="str">
        <f t="shared" si="813"/>
        <v>19001</v>
      </c>
      <c r="K2925" s="6">
        <f t="shared" si="814"/>
        <v>1900</v>
      </c>
      <c r="L2925" s="6">
        <f t="shared" si="815"/>
        <v>1</v>
      </c>
      <c r="R2925" s="6" t="str">
        <f t="shared" si="816"/>
        <v>19001</v>
      </c>
      <c r="S2925" s="6">
        <f t="shared" si="817"/>
        <v>1900</v>
      </c>
      <c r="T2925" s="6">
        <f t="shared" si="818"/>
        <v>1</v>
      </c>
      <c r="Z2925" s="6" t="str">
        <f t="shared" ca="1" si="819"/>
        <v>20263</v>
      </c>
      <c r="AA2925" s="6">
        <f t="shared" ca="1" si="820"/>
        <v>2026</v>
      </c>
      <c r="AB2925" s="6">
        <f t="shared" ca="1" si="821"/>
        <v>3</v>
      </c>
      <c r="AC2925" s="68">
        <f ca="1">IFERROR(__xludf.DUMMYFUNCTION("""COMPUTED_VALUE"""),46085.9986111111)</f>
        <v>46085.998611111099</v>
      </c>
      <c r="AD2925" s="6">
        <f ca="1">IFERROR(__xludf.DUMMYFUNCTION("""COMPUTED_VALUE"""),1460.75)</f>
        <v>1460.75</v>
      </c>
      <c r="AH2925" s="6" t="str">
        <f t="shared" ca="1" si="822"/>
        <v>202512</v>
      </c>
      <c r="AI2925" s="6">
        <f t="shared" ca="1" si="823"/>
        <v>2025</v>
      </c>
      <c r="AJ2925" s="6">
        <f t="shared" ca="1" si="824"/>
        <v>12</v>
      </c>
      <c r="AK2925" s="68">
        <f ca="1">IFERROR(__xludf.DUMMYFUNCTION("""COMPUTED_VALUE"""),46020.9986111111)</f>
        <v>46020.998611111099</v>
      </c>
      <c r="AL2925" s="6">
        <f ca="1">IFERROR(__xludf.DUMMYFUNCTION("""COMPUTED_VALUE"""),90085.48)</f>
        <v>90085.48</v>
      </c>
      <c r="AP2925" s="6" t="str">
        <f t="shared" si="825"/>
        <v>19001</v>
      </c>
      <c r="AQ2925" s="6">
        <f t="shared" si="826"/>
        <v>1900</v>
      </c>
      <c r="AR2925" s="6">
        <f t="shared" si="827"/>
        <v>1</v>
      </c>
    </row>
    <row r="2926" spans="2:44" x14ac:dyDescent="0.35">
      <c r="B2926" s="6" t="str">
        <f t="shared" si="810"/>
        <v>19001</v>
      </c>
      <c r="C2926" s="6">
        <f t="shared" si="811"/>
        <v>1900</v>
      </c>
      <c r="D2926" s="6">
        <f t="shared" si="812"/>
        <v>1</v>
      </c>
      <c r="J2926" s="6" t="str">
        <f t="shared" si="813"/>
        <v>19001</v>
      </c>
      <c r="K2926" s="6">
        <f t="shared" si="814"/>
        <v>1900</v>
      </c>
      <c r="L2926" s="6">
        <f t="shared" si="815"/>
        <v>1</v>
      </c>
      <c r="R2926" s="6" t="str">
        <f t="shared" si="816"/>
        <v>19001</v>
      </c>
      <c r="S2926" s="6">
        <f t="shared" si="817"/>
        <v>1900</v>
      </c>
      <c r="T2926" s="6">
        <f t="shared" si="818"/>
        <v>1</v>
      </c>
      <c r="Z2926" s="6" t="str">
        <f t="shared" ca="1" si="819"/>
        <v>20263</v>
      </c>
      <c r="AA2926" s="6">
        <f t="shared" ca="1" si="820"/>
        <v>2026</v>
      </c>
      <c r="AB2926" s="6">
        <f t="shared" ca="1" si="821"/>
        <v>3</v>
      </c>
      <c r="AC2926" s="68">
        <f ca="1">IFERROR(__xludf.DUMMYFUNCTION("""COMPUTED_VALUE"""),46086.9986111111)</f>
        <v>46086.998611111099</v>
      </c>
      <c r="AD2926" s="6">
        <f ca="1">IFERROR(__xludf.DUMMYFUNCTION("""COMPUTED_VALUE"""),1479.51)</f>
        <v>1479.51</v>
      </c>
      <c r="AH2926" s="6" t="str">
        <f t="shared" ca="1" si="822"/>
        <v>202512</v>
      </c>
      <c r="AI2926" s="6">
        <f t="shared" ca="1" si="823"/>
        <v>2025</v>
      </c>
      <c r="AJ2926" s="6">
        <f t="shared" ca="1" si="824"/>
        <v>12</v>
      </c>
      <c r="AK2926" s="68">
        <f ca="1">IFERROR(__xludf.DUMMYFUNCTION("""COMPUTED_VALUE"""),46021.9986111111)</f>
        <v>46021.998611111099</v>
      </c>
      <c r="AL2926" s="6">
        <f ca="1">IFERROR(__xludf.DUMMYFUNCTION("""COMPUTED_VALUE"""),87222.09)</f>
        <v>87222.09</v>
      </c>
      <c r="AP2926" s="6" t="str">
        <f t="shared" si="825"/>
        <v>19001</v>
      </c>
      <c r="AQ2926" s="6">
        <f t="shared" si="826"/>
        <v>1900</v>
      </c>
      <c r="AR2926" s="6">
        <f t="shared" si="827"/>
        <v>1</v>
      </c>
    </row>
    <row r="2927" spans="2:44" x14ac:dyDescent="0.35">
      <c r="B2927" s="6" t="str">
        <f t="shared" si="810"/>
        <v>19001</v>
      </c>
      <c r="C2927" s="6">
        <f t="shared" si="811"/>
        <v>1900</v>
      </c>
      <c r="D2927" s="6">
        <f t="shared" si="812"/>
        <v>1</v>
      </c>
      <c r="J2927" s="6" t="str">
        <f t="shared" si="813"/>
        <v>19001</v>
      </c>
      <c r="K2927" s="6">
        <f t="shared" si="814"/>
        <v>1900</v>
      </c>
      <c r="L2927" s="6">
        <f t="shared" si="815"/>
        <v>1</v>
      </c>
      <c r="R2927" s="6" t="str">
        <f t="shared" si="816"/>
        <v>19001</v>
      </c>
      <c r="S2927" s="6">
        <f t="shared" si="817"/>
        <v>1900</v>
      </c>
      <c r="T2927" s="6">
        <f t="shared" si="818"/>
        <v>1</v>
      </c>
      <c r="Z2927" s="6" t="str">
        <f t="shared" ca="1" si="819"/>
        <v>20263</v>
      </c>
      <c r="AA2927" s="6">
        <f t="shared" ca="1" si="820"/>
        <v>2026</v>
      </c>
      <c r="AB2927" s="6">
        <f t="shared" ca="1" si="821"/>
        <v>3</v>
      </c>
      <c r="AC2927" s="68">
        <f ca="1">IFERROR(__xludf.DUMMYFUNCTION("""COMPUTED_VALUE"""),46087.9986111111)</f>
        <v>46087.998611111099</v>
      </c>
      <c r="AD2927" s="6">
        <f ca="1">IFERROR(__xludf.DUMMYFUNCTION("""COMPUTED_VALUE"""),1484.29)</f>
        <v>1484.29</v>
      </c>
      <c r="AH2927" s="6" t="str">
        <f t="shared" ca="1" si="822"/>
        <v>202512</v>
      </c>
      <c r="AI2927" s="6">
        <f t="shared" ca="1" si="823"/>
        <v>2025</v>
      </c>
      <c r="AJ2927" s="6">
        <f t="shared" ca="1" si="824"/>
        <v>12</v>
      </c>
      <c r="AK2927" s="68">
        <f ca="1">IFERROR(__xludf.DUMMYFUNCTION("""COMPUTED_VALUE"""),46022.9986111111)</f>
        <v>46022.998611111099</v>
      </c>
      <c r="AL2927" s="6">
        <f ca="1">IFERROR(__xludf.DUMMYFUNCTION("""COMPUTED_VALUE"""),88262.84)</f>
        <v>88262.84</v>
      </c>
      <c r="AP2927" s="6" t="str">
        <f t="shared" si="825"/>
        <v>19001</v>
      </c>
      <c r="AQ2927" s="6">
        <f t="shared" si="826"/>
        <v>1900</v>
      </c>
      <c r="AR2927" s="6">
        <f t="shared" si="827"/>
        <v>1</v>
      </c>
    </row>
    <row r="2928" spans="2:44" x14ac:dyDescent="0.35">
      <c r="B2928" s="6" t="str">
        <f t="shared" si="810"/>
        <v>19001</v>
      </c>
      <c r="C2928" s="6">
        <f t="shared" si="811"/>
        <v>1900</v>
      </c>
      <c r="D2928" s="6">
        <f t="shared" si="812"/>
        <v>1</v>
      </c>
      <c r="J2928" s="6" t="str">
        <f t="shared" si="813"/>
        <v>19001</v>
      </c>
      <c r="K2928" s="6">
        <f t="shared" si="814"/>
        <v>1900</v>
      </c>
      <c r="L2928" s="6">
        <f t="shared" si="815"/>
        <v>1</v>
      </c>
      <c r="R2928" s="6" t="str">
        <f t="shared" si="816"/>
        <v>19001</v>
      </c>
      <c r="S2928" s="6">
        <f t="shared" si="817"/>
        <v>1900</v>
      </c>
      <c r="T2928" s="6">
        <f t="shared" si="818"/>
        <v>1</v>
      </c>
      <c r="Z2928" s="6" t="str">
        <f t="shared" ca="1" si="819"/>
        <v>20263</v>
      </c>
      <c r="AA2928" s="6">
        <f t="shared" ca="1" si="820"/>
        <v>2026</v>
      </c>
      <c r="AB2928" s="6">
        <f t="shared" ca="1" si="821"/>
        <v>3</v>
      </c>
      <c r="AC2928" s="68">
        <f ca="1">IFERROR(__xludf.DUMMYFUNCTION("""COMPUTED_VALUE"""),46088.9986111111)</f>
        <v>46088.998611111099</v>
      </c>
      <c r="AD2928" s="6">
        <f ca="1">IFERROR(__xludf.DUMMYFUNCTION("""COMPUTED_VALUE"""),1483.89)</f>
        <v>1483.89</v>
      </c>
      <c r="AH2928" s="6" t="str">
        <f t="shared" ca="1" si="822"/>
        <v>20261</v>
      </c>
      <c r="AI2928" s="6">
        <f t="shared" ca="1" si="823"/>
        <v>2026</v>
      </c>
      <c r="AJ2928" s="6">
        <f t="shared" ca="1" si="824"/>
        <v>1</v>
      </c>
      <c r="AK2928" s="68">
        <f ca="1">IFERROR(__xludf.DUMMYFUNCTION("""COMPUTED_VALUE"""),46023.9986111111)</f>
        <v>46023.998611111099</v>
      </c>
      <c r="AL2928" s="6">
        <f ca="1">IFERROR(__xludf.DUMMYFUNCTION("""COMPUTED_VALUE"""),87412.91)</f>
        <v>87412.91</v>
      </c>
      <c r="AP2928" s="6" t="str">
        <f t="shared" si="825"/>
        <v>19001</v>
      </c>
      <c r="AQ2928" s="6">
        <f t="shared" si="826"/>
        <v>1900</v>
      </c>
      <c r="AR2928" s="6">
        <f t="shared" si="827"/>
        <v>1</v>
      </c>
    </row>
    <row r="2929" spans="2:44" x14ac:dyDescent="0.35">
      <c r="B2929" s="6" t="str">
        <f t="shared" si="810"/>
        <v>19001</v>
      </c>
      <c r="C2929" s="6">
        <f t="shared" si="811"/>
        <v>1900</v>
      </c>
      <c r="D2929" s="6">
        <f t="shared" si="812"/>
        <v>1</v>
      </c>
      <c r="J2929" s="6" t="str">
        <f t="shared" si="813"/>
        <v>19001</v>
      </c>
      <c r="K2929" s="6">
        <f t="shared" si="814"/>
        <v>1900</v>
      </c>
      <c r="L2929" s="6">
        <f t="shared" si="815"/>
        <v>1</v>
      </c>
      <c r="R2929" s="6" t="str">
        <f t="shared" si="816"/>
        <v>19001</v>
      </c>
      <c r="S2929" s="6">
        <f t="shared" si="817"/>
        <v>1900</v>
      </c>
      <c r="T2929" s="6">
        <f t="shared" si="818"/>
        <v>1</v>
      </c>
      <c r="Z2929" s="6" t="str">
        <f t="shared" ca="1" si="819"/>
        <v>20263</v>
      </c>
      <c r="AA2929" s="6">
        <f t="shared" ca="1" si="820"/>
        <v>2026</v>
      </c>
      <c r="AB2929" s="6">
        <f t="shared" ca="1" si="821"/>
        <v>3</v>
      </c>
      <c r="AC2929" s="68">
        <f ca="1">IFERROR(__xludf.DUMMYFUNCTION("""COMPUTED_VALUE"""),46089.9986111111)</f>
        <v>46089.998611111099</v>
      </c>
      <c r="AD2929" s="6">
        <f ca="1">IFERROR(__xludf.DUMMYFUNCTION("""COMPUTED_VALUE"""),1483.89)</f>
        <v>1483.89</v>
      </c>
      <c r="AH2929" s="6" t="str">
        <f t="shared" ca="1" si="822"/>
        <v>20261</v>
      </c>
      <c r="AI2929" s="6">
        <f t="shared" ca="1" si="823"/>
        <v>2026</v>
      </c>
      <c r="AJ2929" s="6">
        <f t="shared" ca="1" si="824"/>
        <v>1</v>
      </c>
      <c r="AK2929" s="68">
        <f ca="1">IFERROR(__xludf.DUMMYFUNCTION("""COMPUTED_VALUE"""),46024.9986111111)</f>
        <v>46024.998611111099</v>
      </c>
      <c r="AL2929" s="6">
        <f ca="1">IFERROR(__xludf.DUMMYFUNCTION("""COMPUTED_VALUE"""),88546.95)</f>
        <v>88546.95</v>
      </c>
      <c r="AP2929" s="6" t="str">
        <f t="shared" si="825"/>
        <v>19001</v>
      </c>
      <c r="AQ2929" s="6">
        <f t="shared" si="826"/>
        <v>1900</v>
      </c>
      <c r="AR2929" s="6">
        <f t="shared" si="827"/>
        <v>1</v>
      </c>
    </row>
    <row r="2930" spans="2:44" x14ac:dyDescent="0.35">
      <c r="B2930" s="6" t="str">
        <f t="shared" si="810"/>
        <v>19001</v>
      </c>
      <c r="C2930" s="6">
        <f t="shared" si="811"/>
        <v>1900</v>
      </c>
      <c r="D2930" s="6">
        <f t="shared" si="812"/>
        <v>1</v>
      </c>
      <c r="J2930" s="6" t="str">
        <f t="shared" si="813"/>
        <v>19001</v>
      </c>
      <c r="K2930" s="6">
        <f t="shared" si="814"/>
        <v>1900</v>
      </c>
      <c r="L2930" s="6">
        <f t="shared" si="815"/>
        <v>1</v>
      </c>
      <c r="R2930" s="6" t="str">
        <f t="shared" si="816"/>
        <v>19001</v>
      </c>
      <c r="S2930" s="6">
        <f t="shared" si="817"/>
        <v>1900</v>
      </c>
      <c r="T2930" s="6">
        <f t="shared" si="818"/>
        <v>1</v>
      </c>
      <c r="Z2930" s="6" t="str">
        <f t="shared" ca="1" si="819"/>
        <v>20263</v>
      </c>
      <c r="AA2930" s="6">
        <f t="shared" ca="1" si="820"/>
        <v>2026</v>
      </c>
      <c r="AB2930" s="6">
        <f t="shared" ca="1" si="821"/>
        <v>3</v>
      </c>
      <c r="AC2930" s="68">
        <f ca="1">IFERROR(__xludf.DUMMYFUNCTION("""COMPUTED_VALUE"""),46090.9986111111)</f>
        <v>46090.998611111099</v>
      </c>
      <c r="AD2930" s="6">
        <f ca="1">IFERROR(__xludf.DUMMYFUNCTION("""COMPUTED_VALUE"""),1464.47)</f>
        <v>1464.47</v>
      </c>
      <c r="AH2930" s="6" t="str">
        <f t="shared" ca="1" si="822"/>
        <v>20261</v>
      </c>
      <c r="AI2930" s="6">
        <f t="shared" ca="1" si="823"/>
        <v>2026</v>
      </c>
      <c r="AJ2930" s="6">
        <f t="shared" ca="1" si="824"/>
        <v>1</v>
      </c>
      <c r="AK2930" s="68">
        <f ca="1">IFERROR(__xludf.DUMMYFUNCTION("""COMPUTED_VALUE"""),46025.9986111111)</f>
        <v>46025.998611111099</v>
      </c>
      <c r="AL2930" s="6">
        <f ca="1">IFERROR(__xludf.DUMMYFUNCTION("""COMPUTED_VALUE"""),90135.61)</f>
        <v>90135.61</v>
      </c>
      <c r="AP2930" s="6" t="str">
        <f t="shared" si="825"/>
        <v>19001</v>
      </c>
      <c r="AQ2930" s="6">
        <f t="shared" si="826"/>
        <v>1900</v>
      </c>
      <c r="AR2930" s="6">
        <f t="shared" si="827"/>
        <v>1</v>
      </c>
    </row>
    <row r="2931" spans="2:44" x14ac:dyDescent="0.35">
      <c r="B2931" s="6" t="str">
        <f t="shared" si="810"/>
        <v>19001</v>
      </c>
      <c r="C2931" s="6">
        <f t="shared" si="811"/>
        <v>1900</v>
      </c>
      <c r="D2931" s="6">
        <f t="shared" si="812"/>
        <v>1</v>
      </c>
      <c r="J2931" s="6" t="str">
        <f t="shared" si="813"/>
        <v>19001</v>
      </c>
      <c r="K2931" s="6">
        <f t="shared" si="814"/>
        <v>1900</v>
      </c>
      <c r="L2931" s="6">
        <f t="shared" si="815"/>
        <v>1</v>
      </c>
      <c r="R2931" s="6" t="str">
        <f t="shared" si="816"/>
        <v>19001</v>
      </c>
      <c r="S2931" s="6">
        <f t="shared" si="817"/>
        <v>1900</v>
      </c>
      <c r="T2931" s="6">
        <f t="shared" si="818"/>
        <v>1</v>
      </c>
      <c r="Z2931" s="6" t="str">
        <f t="shared" ca="1" si="819"/>
        <v>20263</v>
      </c>
      <c r="AA2931" s="6">
        <f t="shared" ca="1" si="820"/>
        <v>2026</v>
      </c>
      <c r="AB2931" s="6">
        <f t="shared" ca="1" si="821"/>
        <v>3</v>
      </c>
      <c r="AC2931" s="68">
        <f ca="1">IFERROR(__xludf.DUMMYFUNCTION("""COMPUTED_VALUE"""),46091.9986111111)</f>
        <v>46091.998611111099</v>
      </c>
      <c r="AD2931" s="6">
        <f ca="1">IFERROR(__xludf.DUMMYFUNCTION("""COMPUTED_VALUE"""),1472.78)</f>
        <v>1472.78</v>
      </c>
      <c r="AH2931" s="6" t="str">
        <f t="shared" ca="1" si="822"/>
        <v>20261</v>
      </c>
      <c r="AI2931" s="6">
        <f t="shared" ca="1" si="823"/>
        <v>2026</v>
      </c>
      <c r="AJ2931" s="6">
        <f t="shared" ca="1" si="824"/>
        <v>1</v>
      </c>
      <c r="AK2931" s="68">
        <f ca="1">IFERROR(__xludf.DUMMYFUNCTION("""COMPUTED_VALUE"""),46026.9986111111)</f>
        <v>46026.998611111099</v>
      </c>
      <c r="AL2931" s="6">
        <f ca="1">IFERROR(__xludf.DUMMYFUNCTION("""COMPUTED_VALUE"""),91374.73)</f>
        <v>91374.73</v>
      </c>
      <c r="AP2931" s="6" t="str">
        <f t="shared" si="825"/>
        <v>19001</v>
      </c>
      <c r="AQ2931" s="6">
        <f t="shared" si="826"/>
        <v>1900</v>
      </c>
      <c r="AR2931" s="6">
        <f t="shared" si="827"/>
        <v>1</v>
      </c>
    </row>
    <row r="2932" spans="2:44" x14ac:dyDescent="0.35">
      <c r="B2932" s="6" t="str">
        <f t="shared" si="810"/>
        <v>19001</v>
      </c>
      <c r="C2932" s="6">
        <f t="shared" si="811"/>
        <v>1900</v>
      </c>
      <c r="D2932" s="6">
        <f t="shared" si="812"/>
        <v>1</v>
      </c>
      <c r="J2932" s="6" t="str">
        <f t="shared" si="813"/>
        <v>19001</v>
      </c>
      <c r="K2932" s="6">
        <f t="shared" si="814"/>
        <v>1900</v>
      </c>
      <c r="L2932" s="6">
        <f t="shared" si="815"/>
        <v>1</v>
      </c>
      <c r="R2932" s="6" t="str">
        <f t="shared" si="816"/>
        <v>19001</v>
      </c>
      <c r="S2932" s="6">
        <f t="shared" si="817"/>
        <v>1900</v>
      </c>
      <c r="T2932" s="6">
        <f t="shared" si="818"/>
        <v>1</v>
      </c>
      <c r="Z2932" s="6" t="str">
        <f t="shared" ca="1" si="819"/>
        <v>20263</v>
      </c>
      <c r="AA2932" s="6">
        <f t="shared" ca="1" si="820"/>
        <v>2026</v>
      </c>
      <c r="AB2932" s="6">
        <f t="shared" ca="1" si="821"/>
        <v>3</v>
      </c>
      <c r="AC2932" s="68">
        <f ca="1">IFERROR(__xludf.DUMMYFUNCTION("""COMPUTED_VALUE"""),46092.9986111111)</f>
        <v>46092.998611111099</v>
      </c>
      <c r="AD2932" s="6">
        <f ca="1">IFERROR(__xludf.DUMMYFUNCTION("""COMPUTED_VALUE"""),1475.34)</f>
        <v>1475.34</v>
      </c>
      <c r="AH2932" s="6" t="str">
        <f t="shared" ca="1" si="822"/>
        <v>20261</v>
      </c>
      <c r="AI2932" s="6">
        <f t="shared" ca="1" si="823"/>
        <v>2026</v>
      </c>
      <c r="AJ2932" s="6">
        <f t="shared" ca="1" si="824"/>
        <v>1</v>
      </c>
      <c r="AK2932" s="68">
        <f ca="1">IFERROR(__xludf.DUMMYFUNCTION("""COMPUTED_VALUE"""),46027.9986111111)</f>
        <v>46027.998611111099</v>
      </c>
      <c r="AL2932" s="6">
        <f ca="1">IFERROR(__xludf.DUMMYFUNCTION("""COMPUTED_VALUE"""),92558.38)</f>
        <v>92558.38</v>
      </c>
      <c r="AP2932" s="6" t="str">
        <f t="shared" si="825"/>
        <v>19001</v>
      </c>
      <c r="AQ2932" s="6">
        <f t="shared" si="826"/>
        <v>1900</v>
      </c>
      <c r="AR2932" s="6">
        <f t="shared" si="827"/>
        <v>1</v>
      </c>
    </row>
    <row r="2933" spans="2:44" x14ac:dyDescent="0.35">
      <c r="B2933" s="6" t="str">
        <f t="shared" si="810"/>
        <v>19001</v>
      </c>
      <c r="C2933" s="6">
        <f t="shared" si="811"/>
        <v>1900</v>
      </c>
      <c r="D2933" s="6">
        <f t="shared" si="812"/>
        <v>1</v>
      </c>
      <c r="J2933" s="6" t="str">
        <f t="shared" si="813"/>
        <v>19001</v>
      </c>
      <c r="K2933" s="6">
        <f t="shared" si="814"/>
        <v>1900</v>
      </c>
      <c r="L2933" s="6">
        <f t="shared" si="815"/>
        <v>1</v>
      </c>
      <c r="R2933" s="6" t="str">
        <f t="shared" si="816"/>
        <v>19001</v>
      </c>
      <c r="S2933" s="6">
        <f t="shared" si="817"/>
        <v>1900</v>
      </c>
      <c r="T2933" s="6">
        <f t="shared" si="818"/>
        <v>1</v>
      </c>
      <c r="Z2933" s="6" t="str">
        <f t="shared" ca="1" si="819"/>
        <v>20263</v>
      </c>
      <c r="AA2933" s="6">
        <f t="shared" ca="1" si="820"/>
        <v>2026</v>
      </c>
      <c r="AB2933" s="6">
        <f t="shared" ca="1" si="821"/>
        <v>3</v>
      </c>
      <c r="AC2933" s="68">
        <f ca="1">IFERROR(__xludf.DUMMYFUNCTION("""COMPUTED_VALUE"""),46093.9986111111)</f>
        <v>46093.998611111099</v>
      </c>
      <c r="AD2933" s="6">
        <f ca="1">IFERROR(__xludf.DUMMYFUNCTION("""COMPUTED_VALUE"""),1470.58)</f>
        <v>1470.58</v>
      </c>
      <c r="AH2933" s="6" t="str">
        <f t="shared" ca="1" si="822"/>
        <v>20261</v>
      </c>
      <c r="AI2933" s="6">
        <f t="shared" ca="1" si="823"/>
        <v>2026</v>
      </c>
      <c r="AJ2933" s="6">
        <f t="shared" ca="1" si="824"/>
        <v>1</v>
      </c>
      <c r="AK2933" s="68">
        <f ca="1">IFERROR(__xludf.DUMMYFUNCTION("""COMPUTED_VALUE"""),46028.9986111111)</f>
        <v>46028.998611111099</v>
      </c>
      <c r="AL2933" s="6">
        <f ca="1">IFERROR(__xludf.DUMMYFUNCTION("""COMPUTED_VALUE"""),93811.61)</f>
        <v>93811.61</v>
      </c>
      <c r="AP2933" s="6" t="str">
        <f t="shared" si="825"/>
        <v>19001</v>
      </c>
      <c r="AQ2933" s="6">
        <f t="shared" si="826"/>
        <v>1900</v>
      </c>
      <c r="AR2933" s="6">
        <f t="shared" si="827"/>
        <v>1</v>
      </c>
    </row>
    <row r="2934" spans="2:44" x14ac:dyDescent="0.35">
      <c r="B2934" s="6" t="str">
        <f t="shared" si="810"/>
        <v>19001</v>
      </c>
      <c r="C2934" s="6">
        <f t="shared" si="811"/>
        <v>1900</v>
      </c>
      <c r="D2934" s="6">
        <f t="shared" si="812"/>
        <v>1</v>
      </c>
      <c r="J2934" s="6" t="str">
        <f t="shared" si="813"/>
        <v>19001</v>
      </c>
      <c r="K2934" s="6">
        <f t="shared" si="814"/>
        <v>1900</v>
      </c>
      <c r="L2934" s="6">
        <f t="shared" si="815"/>
        <v>1</v>
      </c>
      <c r="R2934" s="6" t="str">
        <f t="shared" si="816"/>
        <v>19001</v>
      </c>
      <c r="S2934" s="6">
        <f t="shared" si="817"/>
        <v>1900</v>
      </c>
      <c r="T2934" s="6">
        <f t="shared" si="818"/>
        <v>1</v>
      </c>
      <c r="Z2934" s="6" t="str">
        <f t="shared" ca="1" si="819"/>
        <v>20263</v>
      </c>
      <c r="AA2934" s="6">
        <f t="shared" ca="1" si="820"/>
        <v>2026</v>
      </c>
      <c r="AB2934" s="6">
        <f t="shared" ca="1" si="821"/>
        <v>3</v>
      </c>
      <c r="AC2934" s="68">
        <f ca="1">IFERROR(__xludf.DUMMYFUNCTION("""COMPUTED_VALUE"""),46094.9986111111)</f>
        <v>46094.998611111099</v>
      </c>
      <c r="AD2934" s="6">
        <f ca="1">IFERROR(__xludf.DUMMYFUNCTION("""COMPUTED_VALUE"""),1501.85)</f>
        <v>1501.85</v>
      </c>
      <c r="AH2934" s="6" t="str">
        <f t="shared" ca="1" si="822"/>
        <v>20261</v>
      </c>
      <c r="AI2934" s="6">
        <f t="shared" ca="1" si="823"/>
        <v>2026</v>
      </c>
      <c r="AJ2934" s="6">
        <f t="shared" ca="1" si="824"/>
        <v>1</v>
      </c>
      <c r="AK2934" s="68">
        <f ca="1">IFERROR(__xludf.DUMMYFUNCTION("""COMPUTED_VALUE"""),46029.9986111111)</f>
        <v>46029.998611111099</v>
      </c>
      <c r="AL2934" s="6">
        <f ca="1">IFERROR(__xludf.DUMMYFUNCTION("""COMPUTED_VALUE"""),92624.93)</f>
        <v>92624.93</v>
      </c>
      <c r="AP2934" s="6" t="str">
        <f t="shared" si="825"/>
        <v>19001</v>
      </c>
      <c r="AQ2934" s="6">
        <f t="shared" si="826"/>
        <v>1900</v>
      </c>
      <c r="AR2934" s="6">
        <f t="shared" si="827"/>
        <v>1</v>
      </c>
    </row>
    <row r="2935" spans="2:44" x14ac:dyDescent="0.35">
      <c r="B2935" s="6" t="str">
        <f t="shared" si="810"/>
        <v>19001</v>
      </c>
      <c r="C2935" s="6">
        <f t="shared" si="811"/>
        <v>1900</v>
      </c>
      <c r="D2935" s="6">
        <f t="shared" si="812"/>
        <v>1</v>
      </c>
      <c r="J2935" s="6" t="str">
        <f t="shared" si="813"/>
        <v>19001</v>
      </c>
      <c r="K2935" s="6">
        <f t="shared" si="814"/>
        <v>1900</v>
      </c>
      <c r="L2935" s="6">
        <f t="shared" si="815"/>
        <v>1</v>
      </c>
      <c r="R2935" s="6" t="str">
        <f t="shared" si="816"/>
        <v>19001</v>
      </c>
      <c r="S2935" s="6">
        <f t="shared" si="817"/>
        <v>1900</v>
      </c>
      <c r="T2935" s="6">
        <f t="shared" si="818"/>
        <v>1</v>
      </c>
      <c r="Z2935" s="6" t="str">
        <f t="shared" ca="1" si="819"/>
        <v>20263</v>
      </c>
      <c r="AA2935" s="6">
        <f t="shared" ca="1" si="820"/>
        <v>2026</v>
      </c>
      <c r="AB2935" s="6">
        <f t="shared" ca="1" si="821"/>
        <v>3</v>
      </c>
      <c r="AC2935" s="68">
        <f ca="1">IFERROR(__xludf.DUMMYFUNCTION("""COMPUTED_VALUE"""),46095.9986111111)</f>
        <v>46095.998611111099</v>
      </c>
      <c r="AD2935" s="6">
        <f ca="1">IFERROR(__xludf.DUMMYFUNCTION("""COMPUTED_VALUE"""),1501.75)</f>
        <v>1501.75</v>
      </c>
      <c r="AH2935" s="6" t="str">
        <f t="shared" ca="1" si="822"/>
        <v>20261</v>
      </c>
      <c r="AI2935" s="6">
        <f t="shared" ca="1" si="823"/>
        <v>2026</v>
      </c>
      <c r="AJ2935" s="6">
        <f t="shared" ca="1" si="824"/>
        <v>1</v>
      </c>
      <c r="AK2935" s="68">
        <f ca="1">IFERROR(__xludf.DUMMYFUNCTION("""COMPUTED_VALUE"""),46030.9986111111)</f>
        <v>46030.998611111099</v>
      </c>
      <c r="AL2935" s="6">
        <f ca="1">IFERROR(__xludf.DUMMYFUNCTION("""COMPUTED_VALUE"""),90943.31)</f>
        <v>90943.31</v>
      </c>
      <c r="AP2935" s="6" t="str">
        <f t="shared" si="825"/>
        <v>19001</v>
      </c>
      <c r="AQ2935" s="6">
        <f t="shared" si="826"/>
        <v>1900</v>
      </c>
      <c r="AR2935" s="6">
        <f t="shared" si="827"/>
        <v>1</v>
      </c>
    </row>
    <row r="2936" spans="2:44" x14ac:dyDescent="0.35">
      <c r="B2936" s="6" t="str">
        <f t="shared" si="810"/>
        <v>19001</v>
      </c>
      <c r="C2936" s="6">
        <f t="shared" si="811"/>
        <v>1900</v>
      </c>
      <c r="D2936" s="6">
        <f t="shared" si="812"/>
        <v>1</v>
      </c>
      <c r="J2936" s="6" t="str">
        <f t="shared" si="813"/>
        <v>19001</v>
      </c>
      <c r="K2936" s="6">
        <f t="shared" si="814"/>
        <v>1900</v>
      </c>
      <c r="L2936" s="6">
        <f t="shared" si="815"/>
        <v>1</v>
      </c>
      <c r="R2936" s="6" t="str">
        <f t="shared" si="816"/>
        <v>19001</v>
      </c>
      <c r="S2936" s="6">
        <f t="shared" si="817"/>
        <v>1900</v>
      </c>
      <c r="T2936" s="6">
        <f t="shared" si="818"/>
        <v>1</v>
      </c>
      <c r="Z2936" s="6" t="str">
        <f t="shared" ca="1" si="819"/>
        <v>20263</v>
      </c>
      <c r="AA2936" s="6">
        <f t="shared" ca="1" si="820"/>
        <v>2026</v>
      </c>
      <c r="AB2936" s="6">
        <f t="shared" ca="1" si="821"/>
        <v>3</v>
      </c>
      <c r="AC2936" s="68">
        <f ca="1">IFERROR(__xludf.DUMMYFUNCTION("""COMPUTED_VALUE"""),46096.9986111111)</f>
        <v>46096.998611111099</v>
      </c>
      <c r="AD2936" s="6">
        <f ca="1">IFERROR(__xludf.DUMMYFUNCTION("""COMPUTED_VALUE"""),1501.75)</f>
        <v>1501.75</v>
      </c>
      <c r="AH2936" s="6" t="str">
        <f t="shared" ca="1" si="822"/>
        <v>20261</v>
      </c>
      <c r="AI2936" s="6">
        <f t="shared" ca="1" si="823"/>
        <v>2026</v>
      </c>
      <c r="AJ2936" s="6">
        <f t="shared" ca="1" si="824"/>
        <v>1</v>
      </c>
      <c r="AK2936" s="68">
        <f ca="1">IFERROR(__xludf.DUMMYFUNCTION("""COMPUTED_VALUE"""),46031.9986111111)</f>
        <v>46031.998611111099</v>
      </c>
      <c r="AL2936" s="6">
        <f ca="1">IFERROR(__xludf.DUMMYFUNCTION("""COMPUTED_VALUE"""),90943.1)</f>
        <v>90943.1</v>
      </c>
      <c r="AP2936" s="6" t="str">
        <f t="shared" si="825"/>
        <v>19001</v>
      </c>
      <c r="AQ2936" s="6">
        <f t="shared" si="826"/>
        <v>1900</v>
      </c>
      <c r="AR2936" s="6">
        <f t="shared" si="827"/>
        <v>1</v>
      </c>
    </row>
    <row r="2937" spans="2:44" x14ac:dyDescent="0.35">
      <c r="B2937" s="6" t="str">
        <f t="shared" si="810"/>
        <v>19001</v>
      </c>
      <c r="C2937" s="6">
        <f t="shared" si="811"/>
        <v>1900</v>
      </c>
      <c r="D2937" s="6">
        <f t="shared" si="812"/>
        <v>1</v>
      </c>
      <c r="J2937" s="6" t="str">
        <f t="shared" si="813"/>
        <v>19001</v>
      </c>
      <c r="K2937" s="6">
        <f t="shared" si="814"/>
        <v>1900</v>
      </c>
      <c r="L2937" s="6">
        <f t="shared" si="815"/>
        <v>1</v>
      </c>
      <c r="R2937" s="6" t="str">
        <f t="shared" si="816"/>
        <v>19001</v>
      </c>
      <c r="S2937" s="6">
        <f t="shared" si="817"/>
        <v>1900</v>
      </c>
      <c r="T2937" s="6">
        <f t="shared" si="818"/>
        <v>1</v>
      </c>
      <c r="Z2937" s="6" t="str">
        <f t="shared" ca="1" si="819"/>
        <v>20263</v>
      </c>
      <c r="AA2937" s="6">
        <f t="shared" ca="1" si="820"/>
        <v>2026</v>
      </c>
      <c r="AB2937" s="6">
        <f t="shared" ca="1" si="821"/>
        <v>3</v>
      </c>
      <c r="AC2937" s="68">
        <f ca="1">IFERROR(__xludf.DUMMYFUNCTION("""COMPUTED_VALUE"""),46097.9986111111)</f>
        <v>46097.998611111099</v>
      </c>
      <c r="AD2937" s="6">
        <f ca="1">IFERROR(__xludf.DUMMYFUNCTION("""COMPUTED_VALUE"""),1488.91)</f>
        <v>1488.91</v>
      </c>
      <c r="AH2937" s="6" t="str">
        <f t="shared" ca="1" si="822"/>
        <v>20261</v>
      </c>
      <c r="AI2937" s="6">
        <f t="shared" ca="1" si="823"/>
        <v>2026</v>
      </c>
      <c r="AJ2937" s="6">
        <f t="shared" ca="1" si="824"/>
        <v>1</v>
      </c>
      <c r="AK2937" s="68">
        <f ca="1">IFERROR(__xludf.DUMMYFUNCTION("""COMPUTED_VALUE"""),46032.9986111111)</f>
        <v>46032.998611111099</v>
      </c>
      <c r="AL2937" s="6">
        <f ca="1">IFERROR(__xludf.DUMMYFUNCTION("""COMPUTED_VALUE"""),90363.65)</f>
        <v>90363.65</v>
      </c>
      <c r="AP2937" s="6" t="str">
        <f t="shared" si="825"/>
        <v>19001</v>
      </c>
      <c r="AQ2937" s="6">
        <f t="shared" si="826"/>
        <v>1900</v>
      </c>
      <c r="AR2937" s="6">
        <f t="shared" si="827"/>
        <v>1</v>
      </c>
    </row>
    <row r="2938" spans="2:44" x14ac:dyDescent="0.35">
      <c r="B2938" s="6" t="str">
        <f t="shared" si="810"/>
        <v>19001</v>
      </c>
      <c r="C2938" s="6">
        <f t="shared" si="811"/>
        <v>1900</v>
      </c>
      <c r="D2938" s="6">
        <f t="shared" si="812"/>
        <v>1</v>
      </c>
      <c r="J2938" s="6" t="str">
        <f t="shared" si="813"/>
        <v>19001</v>
      </c>
      <c r="K2938" s="6">
        <f t="shared" si="814"/>
        <v>1900</v>
      </c>
      <c r="L2938" s="6">
        <f t="shared" si="815"/>
        <v>1</v>
      </c>
      <c r="R2938" s="6" t="str">
        <f t="shared" si="816"/>
        <v>19001</v>
      </c>
      <c r="S2938" s="6">
        <f t="shared" si="817"/>
        <v>1900</v>
      </c>
      <c r="T2938" s="6">
        <f t="shared" si="818"/>
        <v>1</v>
      </c>
      <c r="Z2938" s="6" t="str">
        <f t="shared" ca="1" si="819"/>
        <v>20263</v>
      </c>
      <c r="AA2938" s="6">
        <f t="shared" ca="1" si="820"/>
        <v>2026</v>
      </c>
      <c r="AB2938" s="6">
        <f t="shared" ca="1" si="821"/>
        <v>3</v>
      </c>
      <c r="AC2938" s="68">
        <f ca="1">IFERROR(__xludf.DUMMYFUNCTION("""COMPUTED_VALUE"""),46098.9986111111)</f>
        <v>46098.998611111099</v>
      </c>
      <c r="AD2938" s="6">
        <f ca="1">IFERROR(__xludf.DUMMYFUNCTION("""COMPUTED_VALUE"""),1484.87)</f>
        <v>1484.87</v>
      </c>
      <c r="AH2938" s="6" t="str">
        <f t="shared" ca="1" si="822"/>
        <v>20261</v>
      </c>
      <c r="AI2938" s="6">
        <f t="shared" ca="1" si="823"/>
        <v>2026</v>
      </c>
      <c r="AJ2938" s="6">
        <f t="shared" ca="1" si="824"/>
        <v>1</v>
      </c>
      <c r="AK2938" s="68">
        <f ca="1">IFERROR(__xludf.DUMMYFUNCTION("""COMPUTED_VALUE"""),46033.9986111111)</f>
        <v>46033.998611111099</v>
      </c>
      <c r="AL2938" s="6">
        <f ca="1">IFERROR(__xludf.DUMMYFUNCTION("""COMPUTED_VALUE"""),90709.49)</f>
        <v>90709.49</v>
      </c>
      <c r="AP2938" s="6" t="str">
        <f t="shared" si="825"/>
        <v>19001</v>
      </c>
      <c r="AQ2938" s="6">
        <f t="shared" si="826"/>
        <v>1900</v>
      </c>
      <c r="AR2938" s="6">
        <f t="shared" si="827"/>
        <v>1</v>
      </c>
    </row>
    <row r="2939" spans="2:44" x14ac:dyDescent="0.35">
      <c r="B2939" s="6" t="str">
        <f t="shared" si="810"/>
        <v>19001</v>
      </c>
      <c r="C2939" s="6">
        <f t="shared" si="811"/>
        <v>1900</v>
      </c>
      <c r="D2939" s="6">
        <f t="shared" si="812"/>
        <v>1</v>
      </c>
      <c r="J2939" s="6" t="str">
        <f t="shared" si="813"/>
        <v>19001</v>
      </c>
      <c r="K2939" s="6">
        <f t="shared" si="814"/>
        <v>1900</v>
      </c>
      <c r="L2939" s="6">
        <f t="shared" si="815"/>
        <v>1</v>
      </c>
      <c r="R2939" s="6" t="str">
        <f t="shared" si="816"/>
        <v>19001</v>
      </c>
      <c r="S2939" s="6">
        <f t="shared" si="817"/>
        <v>1900</v>
      </c>
      <c r="T2939" s="6">
        <f t="shared" si="818"/>
        <v>1</v>
      </c>
      <c r="Z2939" s="6" t="str">
        <f t="shared" ca="1" si="819"/>
        <v>20263</v>
      </c>
      <c r="AA2939" s="6">
        <f t="shared" ca="1" si="820"/>
        <v>2026</v>
      </c>
      <c r="AB2939" s="6">
        <f t="shared" ca="1" si="821"/>
        <v>3</v>
      </c>
      <c r="AC2939" s="68">
        <f ca="1">IFERROR(__xludf.DUMMYFUNCTION("""COMPUTED_VALUE"""),46099.9986111111)</f>
        <v>46099.998611111099</v>
      </c>
      <c r="AD2939" s="6">
        <f ca="1">IFERROR(__xludf.DUMMYFUNCTION("""COMPUTED_VALUE"""),1505.25)</f>
        <v>1505.25</v>
      </c>
      <c r="AH2939" s="6" t="str">
        <f t="shared" ca="1" si="822"/>
        <v>20261</v>
      </c>
      <c r="AI2939" s="6">
        <f t="shared" ca="1" si="823"/>
        <v>2026</v>
      </c>
      <c r="AJ2939" s="6">
        <f t="shared" ca="1" si="824"/>
        <v>1</v>
      </c>
      <c r="AK2939" s="68">
        <f ca="1">IFERROR(__xludf.DUMMYFUNCTION("""COMPUTED_VALUE"""),46034.9986111111)</f>
        <v>46034.998611111099</v>
      </c>
      <c r="AL2939" s="6">
        <f ca="1">IFERROR(__xludf.DUMMYFUNCTION("""COMPUTED_VALUE"""),92059.3)</f>
        <v>92059.3</v>
      </c>
      <c r="AP2939" s="6" t="str">
        <f t="shared" si="825"/>
        <v>19001</v>
      </c>
      <c r="AQ2939" s="6">
        <f t="shared" si="826"/>
        <v>1900</v>
      </c>
      <c r="AR2939" s="6">
        <f t="shared" si="827"/>
        <v>1</v>
      </c>
    </row>
    <row r="2940" spans="2:44" x14ac:dyDescent="0.35">
      <c r="B2940" s="6" t="str">
        <f t="shared" si="810"/>
        <v>19001</v>
      </c>
      <c r="C2940" s="6">
        <f t="shared" si="811"/>
        <v>1900</v>
      </c>
      <c r="D2940" s="6">
        <f t="shared" si="812"/>
        <v>1</v>
      </c>
      <c r="J2940" s="6" t="str">
        <f t="shared" si="813"/>
        <v>19001</v>
      </c>
      <c r="K2940" s="6">
        <f t="shared" si="814"/>
        <v>1900</v>
      </c>
      <c r="L2940" s="6">
        <f t="shared" si="815"/>
        <v>1</v>
      </c>
      <c r="R2940" s="6" t="str">
        <f t="shared" si="816"/>
        <v>19001</v>
      </c>
      <c r="S2940" s="6">
        <f t="shared" si="817"/>
        <v>1900</v>
      </c>
      <c r="T2940" s="6">
        <f t="shared" si="818"/>
        <v>1</v>
      </c>
      <c r="Z2940" s="6" t="str">
        <f t="shared" ca="1" si="819"/>
        <v>20263</v>
      </c>
      <c r="AA2940" s="6">
        <f t="shared" ca="1" si="820"/>
        <v>2026</v>
      </c>
      <c r="AB2940" s="6">
        <f t="shared" ca="1" si="821"/>
        <v>3</v>
      </c>
      <c r="AC2940" s="68">
        <f ca="1">IFERROR(__xludf.DUMMYFUNCTION("""COMPUTED_VALUE"""),46100.9986111111)</f>
        <v>46100.998611111099</v>
      </c>
      <c r="AD2940" s="6">
        <f ca="1">IFERROR(__xludf.DUMMYFUNCTION("""COMPUTED_VALUE"""),1489.84)</f>
        <v>1489.84</v>
      </c>
      <c r="AH2940" s="6" t="str">
        <f t="shared" ca="1" si="822"/>
        <v>20261</v>
      </c>
      <c r="AI2940" s="6">
        <f t="shared" ca="1" si="823"/>
        <v>2026</v>
      </c>
      <c r="AJ2940" s="6">
        <f t="shared" ca="1" si="824"/>
        <v>1</v>
      </c>
      <c r="AK2940" s="68">
        <f ca="1">IFERROR(__xludf.DUMMYFUNCTION("""COMPUTED_VALUE"""),46035.9986111111)</f>
        <v>46035.998611111099</v>
      </c>
      <c r="AL2940" s="6">
        <f ca="1">IFERROR(__xludf.DUMMYFUNCTION("""COMPUTED_VALUE"""),91418.2)</f>
        <v>91418.2</v>
      </c>
      <c r="AP2940" s="6" t="str">
        <f t="shared" si="825"/>
        <v>19001</v>
      </c>
      <c r="AQ2940" s="6">
        <f t="shared" si="826"/>
        <v>1900</v>
      </c>
      <c r="AR2940" s="6">
        <f t="shared" si="827"/>
        <v>1</v>
      </c>
    </row>
    <row r="2941" spans="2:44" x14ac:dyDescent="0.35">
      <c r="B2941" s="6" t="str">
        <f t="shared" si="810"/>
        <v>19001</v>
      </c>
      <c r="C2941" s="6">
        <f t="shared" si="811"/>
        <v>1900</v>
      </c>
      <c r="D2941" s="6">
        <f t="shared" si="812"/>
        <v>1</v>
      </c>
      <c r="J2941" s="6" t="str">
        <f t="shared" si="813"/>
        <v>19001</v>
      </c>
      <c r="K2941" s="6">
        <f t="shared" si="814"/>
        <v>1900</v>
      </c>
      <c r="L2941" s="6">
        <f t="shared" si="815"/>
        <v>1</v>
      </c>
      <c r="R2941" s="6" t="str">
        <f t="shared" si="816"/>
        <v>19001</v>
      </c>
      <c r="S2941" s="6">
        <f t="shared" si="817"/>
        <v>1900</v>
      </c>
      <c r="T2941" s="6">
        <f t="shared" si="818"/>
        <v>1</v>
      </c>
      <c r="Z2941" s="6" t="str">
        <f t="shared" ca="1" si="819"/>
        <v>20263</v>
      </c>
      <c r="AA2941" s="6">
        <f t="shared" ca="1" si="820"/>
        <v>2026</v>
      </c>
      <c r="AB2941" s="6">
        <f t="shared" ca="1" si="821"/>
        <v>3</v>
      </c>
      <c r="AC2941" s="68">
        <f ca="1">IFERROR(__xludf.DUMMYFUNCTION("""COMPUTED_VALUE"""),46101.9986111111)</f>
        <v>46101.998611111099</v>
      </c>
      <c r="AD2941" s="6">
        <f ca="1">IFERROR(__xludf.DUMMYFUNCTION("""COMPUTED_VALUE"""),1504.31)</f>
        <v>1504.31</v>
      </c>
      <c r="AH2941" s="6" t="str">
        <f t="shared" ca="1" si="822"/>
        <v>20261</v>
      </c>
      <c r="AI2941" s="6">
        <f t="shared" ca="1" si="823"/>
        <v>2026</v>
      </c>
      <c r="AJ2941" s="6">
        <f t="shared" ca="1" si="824"/>
        <v>1</v>
      </c>
      <c r="AK2941" s="68">
        <f ca="1">IFERROR(__xludf.DUMMYFUNCTION("""COMPUTED_VALUE"""),46036.9986111111)</f>
        <v>46036.998611111099</v>
      </c>
      <c r="AL2941" s="6">
        <f ca="1">IFERROR(__xludf.DUMMYFUNCTION("""COMPUTED_VALUE"""),95200.37)</f>
        <v>95200.37</v>
      </c>
      <c r="AP2941" s="6" t="str">
        <f t="shared" si="825"/>
        <v>19001</v>
      </c>
      <c r="AQ2941" s="6">
        <f t="shared" si="826"/>
        <v>1900</v>
      </c>
      <c r="AR2941" s="6">
        <f t="shared" si="827"/>
        <v>1</v>
      </c>
    </row>
    <row r="2942" spans="2:44" x14ac:dyDescent="0.35">
      <c r="B2942" s="6" t="str">
        <f t="shared" si="810"/>
        <v>19001</v>
      </c>
      <c r="C2942" s="6">
        <f t="shared" si="811"/>
        <v>1900</v>
      </c>
      <c r="D2942" s="6">
        <f t="shared" si="812"/>
        <v>1</v>
      </c>
      <c r="J2942" s="6" t="str">
        <f t="shared" si="813"/>
        <v>19001</v>
      </c>
      <c r="K2942" s="6">
        <f t="shared" si="814"/>
        <v>1900</v>
      </c>
      <c r="L2942" s="6">
        <f t="shared" si="815"/>
        <v>1</v>
      </c>
      <c r="R2942" s="6" t="str">
        <f t="shared" si="816"/>
        <v>19001</v>
      </c>
      <c r="S2942" s="6">
        <f t="shared" si="817"/>
        <v>1900</v>
      </c>
      <c r="T2942" s="6">
        <f t="shared" si="818"/>
        <v>1</v>
      </c>
      <c r="Z2942" s="6" t="str">
        <f t="shared" ca="1" si="819"/>
        <v>20263</v>
      </c>
      <c r="AA2942" s="6">
        <f t="shared" ca="1" si="820"/>
        <v>2026</v>
      </c>
      <c r="AB2942" s="6">
        <f t="shared" ca="1" si="821"/>
        <v>3</v>
      </c>
      <c r="AC2942" s="68">
        <f ca="1">IFERROR(__xludf.DUMMYFUNCTION("""COMPUTED_VALUE"""),46102.9986111111)</f>
        <v>46102.998611111099</v>
      </c>
      <c r="AD2942" s="6">
        <f ca="1">IFERROR(__xludf.DUMMYFUNCTION("""COMPUTED_VALUE"""),1504.21)</f>
        <v>1504.21</v>
      </c>
      <c r="AH2942" s="6" t="str">
        <f t="shared" ca="1" si="822"/>
        <v>20261</v>
      </c>
      <c r="AI2942" s="6">
        <f t="shared" ca="1" si="823"/>
        <v>2026</v>
      </c>
      <c r="AJ2942" s="6">
        <f t="shared" ca="1" si="824"/>
        <v>1</v>
      </c>
      <c r="AK2942" s="68">
        <f ca="1">IFERROR(__xludf.DUMMYFUNCTION("""COMPUTED_VALUE"""),46037.9986111111)</f>
        <v>46037.998611111099</v>
      </c>
      <c r="AL2942" s="6">
        <f ca="1">IFERROR(__xludf.DUMMYFUNCTION("""COMPUTED_VALUE"""),96151.22)</f>
        <v>96151.22</v>
      </c>
      <c r="AP2942" s="6" t="str">
        <f t="shared" si="825"/>
        <v>19001</v>
      </c>
      <c r="AQ2942" s="6">
        <f t="shared" si="826"/>
        <v>1900</v>
      </c>
      <c r="AR2942" s="6">
        <f t="shared" si="827"/>
        <v>1</v>
      </c>
    </row>
    <row r="2943" spans="2:44" x14ac:dyDescent="0.35">
      <c r="B2943" s="6" t="str">
        <f t="shared" si="810"/>
        <v>19001</v>
      </c>
      <c r="C2943" s="6">
        <f t="shared" si="811"/>
        <v>1900</v>
      </c>
      <c r="D2943" s="6">
        <f t="shared" si="812"/>
        <v>1</v>
      </c>
      <c r="J2943" s="6" t="str">
        <f t="shared" si="813"/>
        <v>19001</v>
      </c>
      <c r="K2943" s="6">
        <f t="shared" si="814"/>
        <v>1900</v>
      </c>
      <c r="L2943" s="6">
        <f t="shared" si="815"/>
        <v>1</v>
      </c>
      <c r="R2943" s="6" t="str">
        <f t="shared" si="816"/>
        <v>19001</v>
      </c>
      <c r="S2943" s="6">
        <f t="shared" si="817"/>
        <v>1900</v>
      </c>
      <c r="T2943" s="6">
        <f t="shared" si="818"/>
        <v>1</v>
      </c>
      <c r="Z2943" s="6" t="str">
        <f t="shared" ca="1" si="819"/>
        <v>20263</v>
      </c>
      <c r="AA2943" s="6">
        <f t="shared" ca="1" si="820"/>
        <v>2026</v>
      </c>
      <c r="AB2943" s="6">
        <f t="shared" ca="1" si="821"/>
        <v>3</v>
      </c>
      <c r="AC2943" s="68">
        <f ca="1">IFERROR(__xludf.DUMMYFUNCTION("""COMPUTED_VALUE"""),46103.9986111111)</f>
        <v>46103.998611111099</v>
      </c>
      <c r="AD2943" s="6">
        <f ca="1">IFERROR(__xludf.DUMMYFUNCTION("""COMPUTED_VALUE"""),1504.21)</f>
        <v>1504.21</v>
      </c>
      <c r="AH2943" s="6" t="str">
        <f t="shared" ca="1" si="822"/>
        <v>20261</v>
      </c>
      <c r="AI2943" s="6">
        <f t="shared" ca="1" si="823"/>
        <v>2026</v>
      </c>
      <c r="AJ2943" s="6">
        <f t="shared" ca="1" si="824"/>
        <v>1</v>
      </c>
      <c r="AK2943" s="68">
        <f ca="1">IFERROR(__xludf.DUMMYFUNCTION("""COMPUTED_VALUE"""),46038.9986111111)</f>
        <v>46038.998611111099</v>
      </c>
      <c r="AL2943" s="6">
        <f ca="1">IFERROR(__xludf.DUMMYFUNCTION("""COMPUTED_VALUE"""),95175.93)</f>
        <v>95175.93</v>
      </c>
      <c r="AP2943" s="6" t="str">
        <f t="shared" si="825"/>
        <v>19001</v>
      </c>
      <c r="AQ2943" s="6">
        <f t="shared" si="826"/>
        <v>1900</v>
      </c>
      <c r="AR2943" s="6">
        <f t="shared" si="827"/>
        <v>1</v>
      </c>
    </row>
    <row r="2944" spans="2:44" x14ac:dyDescent="0.35">
      <c r="B2944" s="6" t="str">
        <f t="shared" si="810"/>
        <v>19001</v>
      </c>
      <c r="C2944" s="6">
        <f t="shared" si="811"/>
        <v>1900</v>
      </c>
      <c r="D2944" s="6">
        <f t="shared" si="812"/>
        <v>1</v>
      </c>
      <c r="J2944" s="6" t="str">
        <f t="shared" si="813"/>
        <v>19001</v>
      </c>
      <c r="K2944" s="6">
        <f t="shared" si="814"/>
        <v>1900</v>
      </c>
      <c r="L2944" s="6">
        <f t="shared" si="815"/>
        <v>1</v>
      </c>
      <c r="R2944" s="6" t="str">
        <f t="shared" si="816"/>
        <v>19001</v>
      </c>
      <c r="S2944" s="6">
        <f t="shared" si="817"/>
        <v>1900</v>
      </c>
      <c r="T2944" s="6">
        <f t="shared" si="818"/>
        <v>1</v>
      </c>
      <c r="Z2944" s="6" t="str">
        <f t="shared" ca="1" si="819"/>
        <v>20263</v>
      </c>
      <c r="AA2944" s="6">
        <f t="shared" ca="1" si="820"/>
        <v>2026</v>
      </c>
      <c r="AB2944" s="6">
        <f t="shared" ca="1" si="821"/>
        <v>3</v>
      </c>
      <c r="AC2944" s="68">
        <f ca="1">IFERROR(__xludf.DUMMYFUNCTION("""COMPUTED_VALUE"""),46104.9986111111)</f>
        <v>46104.998611111099</v>
      </c>
      <c r="AD2944" s="6">
        <f ca="1">IFERROR(__xludf.DUMMYFUNCTION("""COMPUTED_VALUE"""),1485.36)</f>
        <v>1485.36</v>
      </c>
      <c r="AH2944" s="6" t="str">
        <f t="shared" ca="1" si="822"/>
        <v>20261</v>
      </c>
      <c r="AI2944" s="6">
        <f t="shared" ca="1" si="823"/>
        <v>2026</v>
      </c>
      <c r="AJ2944" s="6">
        <f t="shared" ca="1" si="824"/>
        <v>1</v>
      </c>
      <c r="AK2944" s="68">
        <f ca="1">IFERROR(__xludf.DUMMYFUNCTION("""COMPUTED_VALUE"""),46039.9986111111)</f>
        <v>46039.998611111099</v>
      </c>
      <c r="AL2944" s="6">
        <f ca="1">IFERROR(__xludf.DUMMYFUNCTION("""COMPUTED_VALUE"""),95310.19)</f>
        <v>95310.19</v>
      </c>
      <c r="AP2944" s="6" t="str">
        <f t="shared" si="825"/>
        <v>19001</v>
      </c>
      <c r="AQ2944" s="6">
        <f t="shared" si="826"/>
        <v>1900</v>
      </c>
      <c r="AR2944" s="6">
        <f t="shared" si="827"/>
        <v>1</v>
      </c>
    </row>
    <row r="2945" spans="2:44" x14ac:dyDescent="0.35">
      <c r="B2945" s="6" t="str">
        <f t="shared" si="810"/>
        <v>19001</v>
      </c>
      <c r="C2945" s="6">
        <f t="shared" si="811"/>
        <v>1900</v>
      </c>
      <c r="D2945" s="6">
        <f t="shared" si="812"/>
        <v>1</v>
      </c>
      <c r="J2945" s="6" t="str">
        <f t="shared" si="813"/>
        <v>19001</v>
      </c>
      <c r="K2945" s="6">
        <f t="shared" si="814"/>
        <v>1900</v>
      </c>
      <c r="L2945" s="6">
        <f t="shared" si="815"/>
        <v>1</v>
      </c>
      <c r="R2945" s="6" t="str">
        <f t="shared" si="816"/>
        <v>19001</v>
      </c>
      <c r="S2945" s="6">
        <f t="shared" si="817"/>
        <v>1900</v>
      </c>
      <c r="T2945" s="6">
        <f t="shared" si="818"/>
        <v>1</v>
      </c>
      <c r="Z2945" s="6" t="str">
        <f t="shared" ca="1" si="819"/>
        <v>20263</v>
      </c>
      <c r="AA2945" s="6">
        <f t="shared" ca="1" si="820"/>
        <v>2026</v>
      </c>
      <c r="AB2945" s="6">
        <f t="shared" ca="1" si="821"/>
        <v>3</v>
      </c>
      <c r="AC2945" s="68">
        <f ca="1">IFERROR(__xludf.DUMMYFUNCTION("""COMPUTED_VALUE"""),46105.9986111111)</f>
        <v>46105.998611111099</v>
      </c>
      <c r="AD2945" s="6">
        <f ca="1">IFERROR(__xludf.DUMMYFUNCTION("""COMPUTED_VALUE"""),1497.31)</f>
        <v>1497.31</v>
      </c>
      <c r="AH2945" s="6" t="str">
        <f t="shared" ca="1" si="822"/>
        <v>20261</v>
      </c>
      <c r="AI2945" s="6">
        <f t="shared" ca="1" si="823"/>
        <v>2026</v>
      </c>
      <c r="AJ2945" s="6">
        <f t="shared" ca="1" si="824"/>
        <v>1</v>
      </c>
      <c r="AK2945" s="68">
        <f ca="1">IFERROR(__xludf.DUMMYFUNCTION("""COMPUTED_VALUE"""),46040.9986111111)</f>
        <v>46040.998611111099</v>
      </c>
      <c r="AL2945" s="6">
        <f ca="1">IFERROR(__xludf.DUMMYFUNCTION("""COMPUTED_VALUE"""),95063.91)</f>
        <v>95063.91</v>
      </c>
      <c r="AP2945" s="6" t="str">
        <f t="shared" si="825"/>
        <v>19001</v>
      </c>
      <c r="AQ2945" s="6">
        <f t="shared" si="826"/>
        <v>1900</v>
      </c>
      <c r="AR2945" s="6">
        <f t="shared" si="827"/>
        <v>1</v>
      </c>
    </row>
    <row r="2946" spans="2:44" x14ac:dyDescent="0.35">
      <c r="B2946" s="6" t="str">
        <f t="shared" si="810"/>
        <v>19001</v>
      </c>
      <c r="C2946" s="6">
        <f t="shared" si="811"/>
        <v>1900</v>
      </c>
      <c r="D2946" s="6">
        <f t="shared" si="812"/>
        <v>1</v>
      </c>
      <c r="J2946" s="6" t="str">
        <f t="shared" si="813"/>
        <v>19001</v>
      </c>
      <c r="K2946" s="6">
        <f t="shared" si="814"/>
        <v>1900</v>
      </c>
      <c r="L2946" s="6">
        <f t="shared" si="815"/>
        <v>1</v>
      </c>
      <c r="R2946" s="6" t="str">
        <f t="shared" si="816"/>
        <v>19001</v>
      </c>
      <c r="S2946" s="6">
        <f t="shared" si="817"/>
        <v>1900</v>
      </c>
      <c r="T2946" s="6">
        <f t="shared" si="818"/>
        <v>1</v>
      </c>
      <c r="Z2946" s="6" t="str">
        <f t="shared" ca="1" si="819"/>
        <v>20263</v>
      </c>
      <c r="AA2946" s="6">
        <f t="shared" ca="1" si="820"/>
        <v>2026</v>
      </c>
      <c r="AB2946" s="6">
        <f t="shared" ca="1" si="821"/>
        <v>3</v>
      </c>
      <c r="AC2946" s="68">
        <f ca="1">IFERROR(__xludf.DUMMYFUNCTION("""COMPUTED_VALUE"""),46106.9986111111)</f>
        <v>46106.998611111099</v>
      </c>
      <c r="AD2946" s="6">
        <f ca="1">IFERROR(__xludf.DUMMYFUNCTION("""COMPUTED_VALUE"""),1500.97)</f>
        <v>1500.97</v>
      </c>
      <c r="AH2946" s="6" t="str">
        <f t="shared" ca="1" si="822"/>
        <v>20261</v>
      </c>
      <c r="AI2946" s="6">
        <f t="shared" ca="1" si="823"/>
        <v>2026</v>
      </c>
      <c r="AJ2946" s="6">
        <f t="shared" ca="1" si="824"/>
        <v>1</v>
      </c>
      <c r="AK2946" s="68">
        <f ca="1">IFERROR(__xludf.DUMMYFUNCTION("""COMPUTED_VALUE"""),46041.9986111111)</f>
        <v>46041.998611111099</v>
      </c>
      <c r="AL2946" s="6">
        <f ca="1">IFERROR(__xludf.DUMMYFUNCTION("""COMPUTED_VALUE"""),92683)</f>
        <v>92683</v>
      </c>
      <c r="AP2946" s="6" t="str">
        <f t="shared" si="825"/>
        <v>19001</v>
      </c>
      <c r="AQ2946" s="6">
        <f t="shared" si="826"/>
        <v>1900</v>
      </c>
      <c r="AR2946" s="6">
        <f t="shared" si="827"/>
        <v>1</v>
      </c>
    </row>
    <row r="2947" spans="2:44" x14ac:dyDescent="0.35">
      <c r="B2947" s="6" t="str">
        <f t="shared" si="810"/>
        <v>19001</v>
      </c>
      <c r="C2947" s="6">
        <f t="shared" si="811"/>
        <v>1900</v>
      </c>
      <c r="D2947" s="6">
        <f t="shared" si="812"/>
        <v>1</v>
      </c>
      <c r="J2947" s="6" t="str">
        <f t="shared" si="813"/>
        <v>19001</v>
      </c>
      <c r="K2947" s="6">
        <f t="shared" si="814"/>
        <v>1900</v>
      </c>
      <c r="L2947" s="6">
        <f t="shared" si="815"/>
        <v>1</v>
      </c>
      <c r="R2947" s="6" t="str">
        <f t="shared" si="816"/>
        <v>19001</v>
      </c>
      <c r="S2947" s="6">
        <f t="shared" si="817"/>
        <v>1900</v>
      </c>
      <c r="T2947" s="6">
        <f t="shared" si="818"/>
        <v>1</v>
      </c>
      <c r="Z2947" s="6" t="str">
        <f t="shared" ca="1" si="819"/>
        <v>20263</v>
      </c>
      <c r="AA2947" s="6">
        <f t="shared" ca="1" si="820"/>
        <v>2026</v>
      </c>
      <c r="AB2947" s="6">
        <f t="shared" ca="1" si="821"/>
        <v>3</v>
      </c>
      <c r="AC2947" s="68">
        <f ca="1">IFERROR(__xludf.DUMMYFUNCTION("""COMPUTED_VALUE"""),46107.9986111111)</f>
        <v>46107.998611111099</v>
      </c>
      <c r="AD2947" s="6">
        <f ca="1">IFERROR(__xludf.DUMMYFUNCTION("""COMPUTED_VALUE"""),1508.36)</f>
        <v>1508.36</v>
      </c>
      <c r="AH2947" s="6" t="str">
        <f t="shared" ca="1" si="822"/>
        <v>20261</v>
      </c>
      <c r="AI2947" s="6">
        <f t="shared" ca="1" si="823"/>
        <v>2026</v>
      </c>
      <c r="AJ2947" s="6">
        <f t="shared" ca="1" si="824"/>
        <v>1</v>
      </c>
      <c r="AK2947" s="68">
        <f ca="1">IFERROR(__xludf.DUMMYFUNCTION("""COMPUTED_VALUE"""),46042.9986111111)</f>
        <v>46042.998611111099</v>
      </c>
      <c r="AL2947" s="6">
        <f ca="1">IFERROR(__xludf.DUMMYFUNCTION("""COMPUTED_VALUE"""),92019.8)</f>
        <v>92019.8</v>
      </c>
      <c r="AP2947" s="6" t="str">
        <f t="shared" si="825"/>
        <v>19001</v>
      </c>
      <c r="AQ2947" s="6">
        <f t="shared" si="826"/>
        <v>1900</v>
      </c>
      <c r="AR2947" s="6">
        <f t="shared" si="827"/>
        <v>1</v>
      </c>
    </row>
    <row r="2948" spans="2:44" x14ac:dyDescent="0.35">
      <c r="B2948" s="6" t="str">
        <f t="shared" si="810"/>
        <v>19001</v>
      </c>
      <c r="C2948" s="6">
        <f t="shared" si="811"/>
        <v>1900</v>
      </c>
      <c r="D2948" s="6">
        <f t="shared" si="812"/>
        <v>1</v>
      </c>
      <c r="J2948" s="6" t="str">
        <f t="shared" si="813"/>
        <v>19001</v>
      </c>
      <c r="K2948" s="6">
        <f t="shared" si="814"/>
        <v>1900</v>
      </c>
      <c r="L2948" s="6">
        <f t="shared" si="815"/>
        <v>1</v>
      </c>
      <c r="R2948" s="6" t="str">
        <f t="shared" si="816"/>
        <v>19001</v>
      </c>
      <c r="S2948" s="6">
        <f t="shared" si="817"/>
        <v>1900</v>
      </c>
      <c r="T2948" s="6">
        <f t="shared" si="818"/>
        <v>1</v>
      </c>
      <c r="Z2948" s="6" t="str">
        <f t="shared" ca="1" si="819"/>
        <v>20263</v>
      </c>
      <c r="AA2948" s="6">
        <f t="shared" ca="1" si="820"/>
        <v>2026</v>
      </c>
      <c r="AB2948" s="6">
        <f t="shared" ca="1" si="821"/>
        <v>3</v>
      </c>
      <c r="AC2948" s="68">
        <f ca="1">IFERROR(__xludf.DUMMYFUNCTION("""COMPUTED_VALUE"""),46108.9986111111)</f>
        <v>46108.998611111099</v>
      </c>
      <c r="AD2948" s="6">
        <f ca="1">IFERROR(__xludf.DUMMYFUNCTION("""COMPUTED_VALUE"""),1507)</f>
        <v>1507</v>
      </c>
      <c r="AH2948" s="6" t="str">
        <f t="shared" ca="1" si="822"/>
        <v>20261</v>
      </c>
      <c r="AI2948" s="6">
        <f t="shared" ca="1" si="823"/>
        <v>2026</v>
      </c>
      <c r="AJ2948" s="6">
        <f t="shared" ca="1" si="824"/>
        <v>1</v>
      </c>
      <c r="AK2948" s="68">
        <f ca="1">IFERROR(__xludf.DUMMYFUNCTION("""COMPUTED_VALUE"""),46043.9986111111)</f>
        <v>46043.998611111099</v>
      </c>
      <c r="AL2948" s="6">
        <f ca="1">IFERROR(__xludf.DUMMYFUNCTION("""COMPUTED_VALUE"""),89371.68)</f>
        <v>89371.68</v>
      </c>
      <c r="AP2948" s="6" t="str">
        <f t="shared" si="825"/>
        <v>19001</v>
      </c>
      <c r="AQ2948" s="6">
        <f t="shared" si="826"/>
        <v>1900</v>
      </c>
      <c r="AR2948" s="6">
        <f t="shared" si="827"/>
        <v>1</v>
      </c>
    </row>
    <row r="2949" spans="2:44" x14ac:dyDescent="0.35">
      <c r="B2949" s="6" t="str">
        <f t="shared" si="810"/>
        <v>19001</v>
      </c>
      <c r="C2949" s="6">
        <f t="shared" si="811"/>
        <v>1900</v>
      </c>
      <c r="D2949" s="6">
        <f t="shared" si="812"/>
        <v>1</v>
      </c>
      <c r="J2949" s="6" t="str">
        <f t="shared" si="813"/>
        <v>19001</v>
      </c>
      <c r="K2949" s="6">
        <f t="shared" si="814"/>
        <v>1900</v>
      </c>
      <c r="L2949" s="6">
        <f t="shared" si="815"/>
        <v>1</v>
      </c>
      <c r="R2949" s="6" t="str">
        <f t="shared" si="816"/>
        <v>19001</v>
      </c>
      <c r="S2949" s="6">
        <f t="shared" si="817"/>
        <v>1900</v>
      </c>
      <c r="T2949" s="6">
        <f t="shared" si="818"/>
        <v>1</v>
      </c>
      <c r="Z2949" s="6" t="str">
        <f t="shared" ca="1" si="819"/>
        <v>20263</v>
      </c>
      <c r="AA2949" s="6">
        <f t="shared" ca="1" si="820"/>
        <v>2026</v>
      </c>
      <c r="AB2949" s="6">
        <f t="shared" ca="1" si="821"/>
        <v>3</v>
      </c>
      <c r="AC2949" s="68">
        <f ca="1">IFERROR(__xludf.DUMMYFUNCTION("""COMPUTED_VALUE"""),46109.9986111111)</f>
        <v>46109.998611111099</v>
      </c>
      <c r="AD2949" s="6">
        <f ca="1">IFERROR(__xludf.DUMMYFUNCTION("""COMPUTED_VALUE"""),1506.41)</f>
        <v>1506.41</v>
      </c>
      <c r="AH2949" s="6" t="str">
        <f t="shared" ca="1" si="822"/>
        <v>20261</v>
      </c>
      <c r="AI2949" s="6">
        <f t="shared" ca="1" si="823"/>
        <v>2026</v>
      </c>
      <c r="AJ2949" s="6">
        <f t="shared" ca="1" si="824"/>
        <v>1</v>
      </c>
      <c r="AK2949" s="68">
        <f ca="1">IFERROR(__xludf.DUMMYFUNCTION("""COMPUTED_VALUE"""),46044.9986111111)</f>
        <v>46044.998611111099</v>
      </c>
      <c r="AL2949" s="6">
        <f ca="1">IFERROR(__xludf.DUMMYFUNCTION("""COMPUTED_VALUE"""),89965.64)</f>
        <v>89965.64</v>
      </c>
      <c r="AP2949" s="6" t="str">
        <f t="shared" si="825"/>
        <v>19001</v>
      </c>
      <c r="AQ2949" s="6">
        <f t="shared" si="826"/>
        <v>1900</v>
      </c>
      <c r="AR2949" s="6">
        <f t="shared" si="827"/>
        <v>1</v>
      </c>
    </row>
    <row r="2950" spans="2:44" x14ac:dyDescent="0.35">
      <c r="B2950" s="6" t="str">
        <f t="shared" si="810"/>
        <v>19001</v>
      </c>
      <c r="C2950" s="6">
        <f t="shared" si="811"/>
        <v>1900</v>
      </c>
      <c r="D2950" s="6">
        <f t="shared" si="812"/>
        <v>1</v>
      </c>
      <c r="J2950" s="6" t="str">
        <f t="shared" si="813"/>
        <v>19001</v>
      </c>
      <c r="K2950" s="6">
        <f t="shared" si="814"/>
        <v>1900</v>
      </c>
      <c r="L2950" s="6">
        <f t="shared" si="815"/>
        <v>1</v>
      </c>
      <c r="R2950" s="6" t="str">
        <f t="shared" si="816"/>
        <v>19001</v>
      </c>
      <c r="S2950" s="6">
        <f t="shared" si="817"/>
        <v>1900</v>
      </c>
      <c r="T2950" s="6">
        <f t="shared" si="818"/>
        <v>1</v>
      </c>
      <c r="Z2950" s="6" t="str">
        <f t="shared" ca="1" si="819"/>
        <v>20263</v>
      </c>
      <c r="AA2950" s="6">
        <f t="shared" ca="1" si="820"/>
        <v>2026</v>
      </c>
      <c r="AB2950" s="6">
        <f t="shared" ca="1" si="821"/>
        <v>3</v>
      </c>
      <c r="AC2950" s="68">
        <f ca="1">IFERROR(__xludf.DUMMYFUNCTION("""COMPUTED_VALUE"""),46110.9986111111)</f>
        <v>46110.998611111099</v>
      </c>
      <c r="AD2950" s="6">
        <f ca="1">IFERROR(__xludf.DUMMYFUNCTION("""COMPUTED_VALUE"""),1507.02)</f>
        <v>1507.02</v>
      </c>
      <c r="AH2950" s="6" t="str">
        <f t="shared" ca="1" si="822"/>
        <v>20261</v>
      </c>
      <c r="AI2950" s="6">
        <f t="shared" ca="1" si="823"/>
        <v>2026</v>
      </c>
      <c r="AJ2950" s="6">
        <f t="shared" ca="1" si="824"/>
        <v>1</v>
      </c>
      <c r="AK2950" s="68">
        <f ca="1">IFERROR(__xludf.DUMMYFUNCTION("""COMPUTED_VALUE"""),46045.9986111111)</f>
        <v>46045.998611111099</v>
      </c>
      <c r="AL2950" s="6">
        <f ca="1">IFERROR(__xludf.DUMMYFUNCTION("""COMPUTED_VALUE"""),89911.09)</f>
        <v>89911.09</v>
      </c>
      <c r="AP2950" s="6" t="str">
        <f t="shared" si="825"/>
        <v>19001</v>
      </c>
      <c r="AQ2950" s="6">
        <f t="shared" si="826"/>
        <v>1900</v>
      </c>
      <c r="AR2950" s="6">
        <f t="shared" si="827"/>
        <v>1</v>
      </c>
    </row>
    <row r="2951" spans="2:44" x14ac:dyDescent="0.35">
      <c r="B2951" s="6" t="str">
        <f t="shared" ref="B2951:B3014" si="828">C2951&amp;D2951</f>
        <v>19001</v>
      </c>
      <c r="C2951" s="6">
        <f t="shared" ref="C2951:C3014" si="829">YEAR(E2951)</f>
        <v>1900</v>
      </c>
      <c r="D2951" s="6">
        <f t="shared" ref="D2951:D3014" si="830">MONTH(E2951)</f>
        <v>1</v>
      </c>
      <c r="J2951" s="6" t="str">
        <f t="shared" ref="J2951:J3014" si="831">K2951&amp;L2951</f>
        <v>19001</v>
      </c>
      <c r="K2951" s="6">
        <f t="shared" ref="K2951:K3014" si="832">YEAR(M2951)</f>
        <v>1900</v>
      </c>
      <c r="L2951" s="6">
        <f t="shared" ref="L2951:L3014" si="833">MONTH(M2951)</f>
        <v>1</v>
      </c>
      <c r="R2951" s="6" t="str">
        <f t="shared" ref="R2951:R3014" si="834">S2951&amp;T2951</f>
        <v>19001</v>
      </c>
      <c r="S2951" s="6">
        <f t="shared" ref="S2951:S3014" si="835">YEAR(U2951)</f>
        <v>1900</v>
      </c>
      <c r="T2951" s="6">
        <f t="shared" ref="T2951:T3014" si="836">MONTH(U2951)</f>
        <v>1</v>
      </c>
      <c r="Z2951" s="6" t="str">
        <f t="shared" ref="Z2951:Z3014" ca="1" si="837">AA2951&amp;AB2951</f>
        <v>20263</v>
      </c>
      <c r="AA2951" s="6">
        <f t="shared" ref="AA2951:AA3014" ca="1" si="838">YEAR(AC2951)</f>
        <v>2026</v>
      </c>
      <c r="AB2951" s="6">
        <f t="shared" ref="AB2951:AB3014" ca="1" si="839">MONTH(AC2951)</f>
        <v>3</v>
      </c>
      <c r="AC2951" s="68">
        <f ca="1">IFERROR(__xludf.DUMMYFUNCTION("""COMPUTED_VALUE"""),46111.9986111111)</f>
        <v>46111.998611111099</v>
      </c>
      <c r="AD2951" s="6">
        <f ca="1">IFERROR(__xludf.DUMMYFUNCTION("""COMPUTED_VALUE"""),1516.13)</f>
        <v>1516.13</v>
      </c>
      <c r="AH2951" s="6" t="str">
        <f t="shared" ref="AH2951:AH3014" ca="1" si="840">AI2951&amp;AJ2951</f>
        <v>20261</v>
      </c>
      <c r="AI2951" s="6">
        <f t="shared" ref="AI2951:AI3014" ca="1" si="841">YEAR(AK2951)</f>
        <v>2026</v>
      </c>
      <c r="AJ2951" s="6">
        <f t="shared" ref="AJ2951:AJ3014" ca="1" si="842">MONTH(AK2951)</f>
        <v>1</v>
      </c>
      <c r="AK2951" s="68">
        <f ca="1">IFERROR(__xludf.DUMMYFUNCTION("""COMPUTED_VALUE"""),46046.9986111111)</f>
        <v>46046.998611111099</v>
      </c>
      <c r="AL2951" s="6">
        <f ca="1">IFERROR(__xludf.DUMMYFUNCTION("""COMPUTED_VALUE"""),89764.01)</f>
        <v>89764.01</v>
      </c>
      <c r="AP2951" s="6" t="str">
        <f t="shared" ref="AP2951:AP3014" si="843">AQ2951&amp;AR2951</f>
        <v>19001</v>
      </c>
      <c r="AQ2951" s="6">
        <f t="shared" ref="AQ2951:AQ3014" si="844">YEAR(AS2951)</f>
        <v>1900</v>
      </c>
      <c r="AR2951" s="6">
        <f t="shared" ref="AR2951:AR3014" si="845">MONTH(AS2951)</f>
        <v>1</v>
      </c>
    </row>
    <row r="2952" spans="2:44" x14ac:dyDescent="0.35">
      <c r="B2952" s="6" t="str">
        <f t="shared" si="828"/>
        <v>19001</v>
      </c>
      <c r="C2952" s="6">
        <f t="shared" si="829"/>
        <v>1900</v>
      </c>
      <c r="D2952" s="6">
        <f t="shared" si="830"/>
        <v>1</v>
      </c>
      <c r="J2952" s="6" t="str">
        <f t="shared" si="831"/>
        <v>19001</v>
      </c>
      <c r="K2952" s="6">
        <f t="shared" si="832"/>
        <v>1900</v>
      </c>
      <c r="L2952" s="6">
        <f t="shared" si="833"/>
        <v>1</v>
      </c>
      <c r="R2952" s="6" t="str">
        <f t="shared" si="834"/>
        <v>19001</v>
      </c>
      <c r="S2952" s="6">
        <f t="shared" si="835"/>
        <v>1900</v>
      </c>
      <c r="T2952" s="6">
        <f t="shared" si="836"/>
        <v>1</v>
      </c>
      <c r="Z2952" s="6" t="str">
        <f t="shared" ca="1" si="837"/>
        <v>20263</v>
      </c>
      <c r="AA2952" s="6">
        <f t="shared" ca="1" si="838"/>
        <v>2026</v>
      </c>
      <c r="AB2952" s="6">
        <f t="shared" ca="1" si="839"/>
        <v>3</v>
      </c>
      <c r="AC2952" s="68">
        <f ca="1">IFERROR(__xludf.DUMMYFUNCTION("""COMPUTED_VALUE"""),46112.9986111111)</f>
        <v>46112.998611111099</v>
      </c>
      <c r="AD2952" s="6">
        <f ca="1">IFERROR(__xludf.DUMMYFUNCTION("""COMPUTED_VALUE"""),1503.33)</f>
        <v>1503.33</v>
      </c>
      <c r="AH2952" s="6" t="str">
        <f t="shared" ca="1" si="840"/>
        <v>20261</v>
      </c>
      <c r="AI2952" s="6">
        <f t="shared" ca="1" si="841"/>
        <v>2026</v>
      </c>
      <c r="AJ2952" s="6">
        <f t="shared" ca="1" si="842"/>
        <v>1</v>
      </c>
      <c r="AK2952" s="68">
        <f ca="1">IFERROR(__xludf.DUMMYFUNCTION("""COMPUTED_VALUE"""),46047.9986111111)</f>
        <v>46047.998611111099</v>
      </c>
      <c r="AL2952" s="6">
        <f ca="1">IFERROR(__xludf.DUMMYFUNCTION("""COMPUTED_VALUE"""),88937.02)</f>
        <v>88937.02</v>
      </c>
      <c r="AP2952" s="6" t="str">
        <f t="shared" si="843"/>
        <v>19001</v>
      </c>
      <c r="AQ2952" s="6">
        <f t="shared" si="844"/>
        <v>1900</v>
      </c>
      <c r="AR2952" s="6">
        <f t="shared" si="845"/>
        <v>1</v>
      </c>
    </row>
    <row r="2953" spans="2:44" x14ac:dyDescent="0.35">
      <c r="B2953" s="6" t="str">
        <f t="shared" si="828"/>
        <v>19001</v>
      </c>
      <c r="C2953" s="6">
        <f t="shared" si="829"/>
        <v>1900</v>
      </c>
      <c r="D2953" s="6">
        <f t="shared" si="830"/>
        <v>1</v>
      </c>
      <c r="J2953" s="6" t="str">
        <f t="shared" si="831"/>
        <v>19001</v>
      </c>
      <c r="K2953" s="6">
        <f t="shared" si="832"/>
        <v>1900</v>
      </c>
      <c r="L2953" s="6">
        <f t="shared" si="833"/>
        <v>1</v>
      </c>
      <c r="R2953" s="6" t="str">
        <f t="shared" si="834"/>
        <v>19001</v>
      </c>
      <c r="S2953" s="6">
        <f t="shared" si="835"/>
        <v>1900</v>
      </c>
      <c r="T2953" s="6">
        <f t="shared" si="836"/>
        <v>1</v>
      </c>
      <c r="Z2953" s="6" t="str">
        <f t="shared" ca="1" si="837"/>
        <v>20264</v>
      </c>
      <c r="AA2953" s="6">
        <f t="shared" ca="1" si="838"/>
        <v>2026</v>
      </c>
      <c r="AB2953" s="6">
        <f t="shared" ca="1" si="839"/>
        <v>4</v>
      </c>
      <c r="AC2953" s="68">
        <f ca="1">IFERROR(__xludf.DUMMYFUNCTION("""COMPUTED_VALUE"""),46113.9986111111)</f>
        <v>46113.998611111099</v>
      </c>
      <c r="AD2953" s="6">
        <f ca="1">IFERROR(__xludf.DUMMYFUNCTION("""COMPUTED_VALUE"""),1512.09)</f>
        <v>1512.09</v>
      </c>
      <c r="AH2953" s="6" t="str">
        <f t="shared" ca="1" si="840"/>
        <v>20261</v>
      </c>
      <c r="AI2953" s="6">
        <f t="shared" ca="1" si="841"/>
        <v>2026</v>
      </c>
      <c r="AJ2953" s="6">
        <f t="shared" ca="1" si="842"/>
        <v>1</v>
      </c>
      <c r="AK2953" s="68">
        <f ca="1">IFERROR(__xludf.DUMMYFUNCTION("""COMPUTED_VALUE"""),46048.9986111111)</f>
        <v>46048.998611111099</v>
      </c>
      <c r="AL2953" s="6">
        <f ca="1">IFERROR(__xludf.DUMMYFUNCTION("""COMPUTED_VALUE"""),87654.15)</f>
        <v>87654.15</v>
      </c>
      <c r="AP2953" s="6" t="str">
        <f t="shared" si="843"/>
        <v>19001</v>
      </c>
      <c r="AQ2953" s="6">
        <f t="shared" si="844"/>
        <v>1900</v>
      </c>
      <c r="AR2953" s="6">
        <f t="shared" si="845"/>
        <v>1</v>
      </c>
    </row>
    <row r="2954" spans="2:44" x14ac:dyDescent="0.35">
      <c r="B2954" s="6" t="str">
        <f t="shared" si="828"/>
        <v>19001</v>
      </c>
      <c r="C2954" s="6">
        <f t="shared" si="829"/>
        <v>1900</v>
      </c>
      <c r="D2954" s="6">
        <f t="shared" si="830"/>
        <v>1</v>
      </c>
      <c r="J2954" s="6" t="str">
        <f t="shared" si="831"/>
        <v>19001</v>
      </c>
      <c r="K2954" s="6">
        <f t="shared" si="832"/>
        <v>1900</v>
      </c>
      <c r="L2954" s="6">
        <f t="shared" si="833"/>
        <v>1</v>
      </c>
      <c r="R2954" s="6" t="str">
        <f t="shared" si="834"/>
        <v>19001</v>
      </c>
      <c r="S2954" s="6">
        <f t="shared" si="835"/>
        <v>1900</v>
      </c>
      <c r="T2954" s="6">
        <f t="shared" si="836"/>
        <v>1</v>
      </c>
      <c r="Z2954" s="6" t="str">
        <f t="shared" ca="1" si="837"/>
        <v>20264</v>
      </c>
      <c r="AA2954" s="6">
        <f t="shared" ca="1" si="838"/>
        <v>2026</v>
      </c>
      <c r="AB2954" s="6">
        <f t="shared" ca="1" si="839"/>
        <v>4</v>
      </c>
      <c r="AC2954" s="68">
        <f ca="1">IFERROR(__xludf.DUMMYFUNCTION("""COMPUTED_VALUE"""),46114.9986111111)</f>
        <v>46114.998611111099</v>
      </c>
      <c r="AD2954" s="6">
        <f ca="1">IFERROR(__xludf.DUMMYFUNCTION("""COMPUTED_VALUE"""),1509.22)</f>
        <v>1509.22</v>
      </c>
      <c r="AH2954" s="6" t="str">
        <f t="shared" ca="1" si="840"/>
        <v>20261</v>
      </c>
      <c r="AI2954" s="6">
        <f t="shared" ca="1" si="841"/>
        <v>2026</v>
      </c>
      <c r="AJ2954" s="6">
        <f t="shared" ca="1" si="842"/>
        <v>1</v>
      </c>
      <c r="AK2954" s="68">
        <f ca="1">IFERROR(__xludf.DUMMYFUNCTION("""COMPUTED_VALUE"""),46049.9986111111)</f>
        <v>46049.998611111099</v>
      </c>
      <c r="AL2954" s="6">
        <f ca="1">IFERROR(__xludf.DUMMYFUNCTION("""COMPUTED_VALUE"""),88536.09)</f>
        <v>88536.09</v>
      </c>
      <c r="AP2954" s="6" t="str">
        <f t="shared" si="843"/>
        <v>19001</v>
      </c>
      <c r="AQ2954" s="6">
        <f t="shared" si="844"/>
        <v>1900</v>
      </c>
      <c r="AR2954" s="6">
        <f t="shared" si="845"/>
        <v>1</v>
      </c>
    </row>
    <row r="2955" spans="2:44" x14ac:dyDescent="0.35">
      <c r="B2955" s="6" t="str">
        <f t="shared" si="828"/>
        <v>19001</v>
      </c>
      <c r="C2955" s="6">
        <f t="shared" si="829"/>
        <v>1900</v>
      </c>
      <c r="D2955" s="6">
        <f t="shared" si="830"/>
        <v>1</v>
      </c>
      <c r="J2955" s="6" t="str">
        <f t="shared" si="831"/>
        <v>19001</v>
      </c>
      <c r="K2955" s="6">
        <f t="shared" si="832"/>
        <v>1900</v>
      </c>
      <c r="L2955" s="6">
        <f t="shared" si="833"/>
        <v>1</v>
      </c>
      <c r="R2955" s="6" t="str">
        <f t="shared" si="834"/>
        <v>19001</v>
      </c>
      <c r="S2955" s="6">
        <f t="shared" si="835"/>
        <v>1900</v>
      </c>
      <c r="T2955" s="6">
        <f t="shared" si="836"/>
        <v>1</v>
      </c>
      <c r="Z2955" s="6" t="str">
        <f t="shared" ca="1" si="837"/>
        <v>20264</v>
      </c>
      <c r="AA2955" s="6">
        <f t="shared" ca="1" si="838"/>
        <v>2026</v>
      </c>
      <c r="AB2955" s="6">
        <f t="shared" ca="1" si="839"/>
        <v>4</v>
      </c>
      <c r="AC2955" s="68">
        <f ca="1">IFERROR(__xludf.DUMMYFUNCTION("""COMPUTED_VALUE"""),46115.9986111111)</f>
        <v>46115.998611111099</v>
      </c>
      <c r="AD2955" s="6">
        <f ca="1">IFERROR(__xludf.DUMMYFUNCTION("""COMPUTED_VALUE"""),1510.26)</f>
        <v>1510.26</v>
      </c>
      <c r="AH2955" s="6" t="str">
        <f t="shared" ca="1" si="840"/>
        <v>20261</v>
      </c>
      <c r="AI2955" s="6">
        <f t="shared" ca="1" si="841"/>
        <v>2026</v>
      </c>
      <c r="AJ2955" s="6">
        <f t="shared" ca="1" si="842"/>
        <v>1</v>
      </c>
      <c r="AK2955" s="68">
        <f ca="1">IFERROR(__xludf.DUMMYFUNCTION("""COMPUTED_VALUE"""),46050.9986111111)</f>
        <v>46050.998611111099</v>
      </c>
      <c r="AL2955" s="6">
        <f ca="1">IFERROR(__xludf.DUMMYFUNCTION("""COMPUTED_VALUE"""),88897)</f>
        <v>88897</v>
      </c>
      <c r="AP2955" s="6" t="str">
        <f t="shared" si="843"/>
        <v>19001</v>
      </c>
      <c r="AQ2955" s="6">
        <f t="shared" si="844"/>
        <v>1900</v>
      </c>
      <c r="AR2955" s="6">
        <f t="shared" si="845"/>
        <v>1</v>
      </c>
    </row>
    <row r="2956" spans="2:44" x14ac:dyDescent="0.35">
      <c r="B2956" s="6" t="str">
        <f t="shared" si="828"/>
        <v>19001</v>
      </c>
      <c r="C2956" s="6">
        <f t="shared" si="829"/>
        <v>1900</v>
      </c>
      <c r="D2956" s="6">
        <f t="shared" si="830"/>
        <v>1</v>
      </c>
      <c r="J2956" s="6" t="str">
        <f t="shared" si="831"/>
        <v>19001</v>
      </c>
      <c r="K2956" s="6">
        <f t="shared" si="832"/>
        <v>1900</v>
      </c>
      <c r="L2956" s="6">
        <f t="shared" si="833"/>
        <v>1</v>
      </c>
      <c r="R2956" s="6" t="str">
        <f t="shared" si="834"/>
        <v>19001</v>
      </c>
      <c r="S2956" s="6">
        <f t="shared" si="835"/>
        <v>1900</v>
      </c>
      <c r="T2956" s="6">
        <f t="shared" si="836"/>
        <v>1</v>
      </c>
      <c r="Z2956" s="6" t="str">
        <f t="shared" ca="1" si="837"/>
        <v>20264</v>
      </c>
      <c r="AA2956" s="6">
        <f t="shared" ca="1" si="838"/>
        <v>2026</v>
      </c>
      <c r="AB2956" s="6">
        <f t="shared" ca="1" si="839"/>
        <v>4</v>
      </c>
      <c r="AC2956" s="68">
        <f ca="1">IFERROR(__xludf.DUMMYFUNCTION("""COMPUTED_VALUE"""),46116.9986111111)</f>
        <v>46116.998611111099</v>
      </c>
      <c r="AD2956" s="6">
        <f ca="1">IFERROR(__xludf.DUMMYFUNCTION("""COMPUTED_VALUE"""),1510.26)</f>
        <v>1510.26</v>
      </c>
      <c r="AH2956" s="6" t="str">
        <f t="shared" ca="1" si="840"/>
        <v>20261</v>
      </c>
      <c r="AI2956" s="6">
        <f t="shared" ca="1" si="841"/>
        <v>2026</v>
      </c>
      <c r="AJ2956" s="6">
        <f t="shared" ca="1" si="842"/>
        <v>1</v>
      </c>
      <c r="AK2956" s="68">
        <f ca="1">IFERROR(__xludf.DUMMYFUNCTION("""COMPUTED_VALUE"""),46051.9986111111)</f>
        <v>46051.998611111099</v>
      </c>
      <c r="AL2956" s="6">
        <f ca="1">IFERROR(__xludf.DUMMYFUNCTION("""COMPUTED_VALUE"""),88228.84)</f>
        <v>88228.84</v>
      </c>
      <c r="AP2956" s="6" t="str">
        <f t="shared" si="843"/>
        <v>19001</v>
      </c>
      <c r="AQ2956" s="6">
        <f t="shared" si="844"/>
        <v>1900</v>
      </c>
      <c r="AR2956" s="6">
        <f t="shared" si="845"/>
        <v>1</v>
      </c>
    </row>
    <row r="2957" spans="2:44" x14ac:dyDescent="0.35">
      <c r="B2957" s="6" t="str">
        <f t="shared" si="828"/>
        <v>19001</v>
      </c>
      <c r="C2957" s="6">
        <f t="shared" si="829"/>
        <v>1900</v>
      </c>
      <c r="D2957" s="6">
        <f t="shared" si="830"/>
        <v>1</v>
      </c>
      <c r="J2957" s="6" t="str">
        <f t="shared" si="831"/>
        <v>19001</v>
      </c>
      <c r="K2957" s="6">
        <f t="shared" si="832"/>
        <v>1900</v>
      </c>
      <c r="L2957" s="6">
        <f t="shared" si="833"/>
        <v>1</v>
      </c>
      <c r="R2957" s="6" t="str">
        <f t="shared" si="834"/>
        <v>19001</v>
      </c>
      <c r="S2957" s="6">
        <f t="shared" si="835"/>
        <v>1900</v>
      </c>
      <c r="T2957" s="6">
        <f t="shared" si="836"/>
        <v>1</v>
      </c>
      <c r="Z2957" s="6" t="str">
        <f t="shared" ca="1" si="837"/>
        <v>20264</v>
      </c>
      <c r="AA2957" s="6">
        <f t="shared" ca="1" si="838"/>
        <v>2026</v>
      </c>
      <c r="AB2957" s="6">
        <f t="shared" ca="1" si="839"/>
        <v>4</v>
      </c>
      <c r="AC2957" s="68">
        <f ca="1">IFERROR(__xludf.DUMMYFUNCTION("""COMPUTED_VALUE"""),46117.9986111111)</f>
        <v>46117.998611111099</v>
      </c>
      <c r="AD2957" s="6">
        <f ca="1">IFERROR(__xludf.DUMMYFUNCTION("""COMPUTED_VALUE"""),1509.26)</f>
        <v>1509.26</v>
      </c>
      <c r="AH2957" s="6" t="str">
        <f t="shared" ca="1" si="840"/>
        <v>20261</v>
      </c>
      <c r="AI2957" s="6">
        <f t="shared" ca="1" si="841"/>
        <v>2026</v>
      </c>
      <c r="AJ2957" s="6">
        <f t="shared" ca="1" si="842"/>
        <v>1</v>
      </c>
      <c r="AK2957" s="68">
        <f ca="1">IFERROR(__xludf.DUMMYFUNCTION("""COMPUTED_VALUE"""),46052.9986111111)</f>
        <v>46052.998611111099</v>
      </c>
      <c r="AL2957" s="6">
        <f ca="1">IFERROR(__xludf.DUMMYFUNCTION("""COMPUTED_VALUE"""),82837.99)</f>
        <v>82837.990000000005</v>
      </c>
      <c r="AP2957" s="6" t="str">
        <f t="shared" si="843"/>
        <v>19001</v>
      </c>
      <c r="AQ2957" s="6">
        <f t="shared" si="844"/>
        <v>1900</v>
      </c>
      <c r="AR2957" s="6">
        <f t="shared" si="845"/>
        <v>1</v>
      </c>
    </row>
    <row r="2958" spans="2:44" x14ac:dyDescent="0.35">
      <c r="B2958" s="6" t="str">
        <f t="shared" si="828"/>
        <v>19001</v>
      </c>
      <c r="C2958" s="6">
        <f t="shared" si="829"/>
        <v>1900</v>
      </c>
      <c r="D2958" s="6">
        <f t="shared" si="830"/>
        <v>1</v>
      </c>
      <c r="J2958" s="6" t="str">
        <f t="shared" si="831"/>
        <v>19001</v>
      </c>
      <c r="K2958" s="6">
        <f t="shared" si="832"/>
        <v>1900</v>
      </c>
      <c r="L2958" s="6">
        <f t="shared" si="833"/>
        <v>1</v>
      </c>
      <c r="R2958" s="6" t="str">
        <f t="shared" si="834"/>
        <v>19001</v>
      </c>
      <c r="S2958" s="6">
        <f t="shared" si="835"/>
        <v>1900</v>
      </c>
      <c r="T2958" s="6">
        <f t="shared" si="836"/>
        <v>1</v>
      </c>
      <c r="Z2958" s="6" t="str">
        <f t="shared" ca="1" si="837"/>
        <v>20264</v>
      </c>
      <c r="AA2958" s="6">
        <f t="shared" ca="1" si="838"/>
        <v>2026</v>
      </c>
      <c r="AB2958" s="6">
        <f t="shared" ca="1" si="839"/>
        <v>4</v>
      </c>
      <c r="AC2958" s="68">
        <f ca="1">IFERROR(__xludf.DUMMYFUNCTION("""COMPUTED_VALUE"""),46118.9986111111)</f>
        <v>46118.998611111099</v>
      </c>
      <c r="AD2958" s="6">
        <f ca="1">IFERROR(__xludf.DUMMYFUNCTION("""COMPUTED_VALUE"""),1507.85)</f>
        <v>1507.85</v>
      </c>
      <c r="AH2958" s="6" t="str">
        <f t="shared" ca="1" si="840"/>
        <v>20261</v>
      </c>
      <c r="AI2958" s="6">
        <f t="shared" ca="1" si="841"/>
        <v>2026</v>
      </c>
      <c r="AJ2958" s="6">
        <f t="shared" ca="1" si="842"/>
        <v>1</v>
      </c>
      <c r="AK2958" s="68">
        <f ca="1">IFERROR(__xludf.DUMMYFUNCTION("""COMPUTED_VALUE"""),46053.9986111111)</f>
        <v>46053.998611111099</v>
      </c>
      <c r="AL2958" s="6">
        <f ca="1">IFERROR(__xludf.DUMMYFUNCTION("""COMPUTED_VALUE"""),83894.56)</f>
        <v>83894.56</v>
      </c>
      <c r="AP2958" s="6" t="str">
        <f t="shared" si="843"/>
        <v>19001</v>
      </c>
      <c r="AQ2958" s="6">
        <f t="shared" si="844"/>
        <v>1900</v>
      </c>
      <c r="AR2958" s="6">
        <f t="shared" si="845"/>
        <v>1</v>
      </c>
    </row>
    <row r="2959" spans="2:44" x14ac:dyDescent="0.35">
      <c r="B2959" s="6" t="str">
        <f t="shared" si="828"/>
        <v>19001</v>
      </c>
      <c r="C2959" s="6">
        <f t="shared" si="829"/>
        <v>1900</v>
      </c>
      <c r="D2959" s="6">
        <f t="shared" si="830"/>
        <v>1</v>
      </c>
      <c r="J2959" s="6" t="str">
        <f t="shared" si="831"/>
        <v>19001</v>
      </c>
      <c r="K2959" s="6">
        <f t="shared" si="832"/>
        <v>1900</v>
      </c>
      <c r="L2959" s="6">
        <f t="shared" si="833"/>
        <v>1</v>
      </c>
      <c r="R2959" s="6" t="str">
        <f t="shared" si="834"/>
        <v>19001</v>
      </c>
      <c r="S2959" s="6">
        <f t="shared" si="835"/>
        <v>1900</v>
      </c>
      <c r="T2959" s="6">
        <f t="shared" si="836"/>
        <v>1</v>
      </c>
      <c r="Z2959" s="6" t="str">
        <f t="shared" ca="1" si="837"/>
        <v>20264</v>
      </c>
      <c r="AA2959" s="6">
        <f t="shared" ca="1" si="838"/>
        <v>2026</v>
      </c>
      <c r="AB2959" s="6">
        <f t="shared" ca="1" si="839"/>
        <v>4</v>
      </c>
      <c r="AC2959" s="68">
        <f ca="1">IFERROR(__xludf.DUMMYFUNCTION("""COMPUTED_VALUE"""),46119.9986111111)</f>
        <v>46119.998611111099</v>
      </c>
      <c r="AD2959" s="6">
        <f ca="1">IFERROR(__xludf.DUMMYFUNCTION("""COMPUTED_VALUE"""),1499.13)</f>
        <v>1499.13</v>
      </c>
      <c r="AH2959" s="6" t="str">
        <f t="shared" ca="1" si="840"/>
        <v>20262</v>
      </c>
      <c r="AI2959" s="6">
        <f t="shared" ca="1" si="841"/>
        <v>2026</v>
      </c>
      <c r="AJ2959" s="6">
        <f t="shared" ca="1" si="842"/>
        <v>2</v>
      </c>
      <c r="AK2959" s="68">
        <f ca="1">IFERROR(__xludf.DUMMYFUNCTION("""COMPUTED_VALUE"""),46054.9986111111)</f>
        <v>46054.998611111099</v>
      </c>
      <c r="AL2959" s="6">
        <f ca="1">IFERROR(__xludf.DUMMYFUNCTION("""COMPUTED_VALUE"""),79017.39)</f>
        <v>79017.39</v>
      </c>
      <c r="AP2959" s="6" t="str">
        <f t="shared" si="843"/>
        <v>19001</v>
      </c>
      <c r="AQ2959" s="6">
        <f t="shared" si="844"/>
        <v>1900</v>
      </c>
      <c r="AR2959" s="6">
        <f t="shared" si="845"/>
        <v>1</v>
      </c>
    </row>
    <row r="2960" spans="2:44" x14ac:dyDescent="0.35">
      <c r="B2960" s="6" t="str">
        <f t="shared" si="828"/>
        <v>19001</v>
      </c>
      <c r="C2960" s="6">
        <f t="shared" si="829"/>
        <v>1900</v>
      </c>
      <c r="D2960" s="6">
        <f t="shared" si="830"/>
        <v>1</v>
      </c>
      <c r="J2960" s="6" t="str">
        <f t="shared" si="831"/>
        <v>19001</v>
      </c>
      <c r="K2960" s="6">
        <f t="shared" si="832"/>
        <v>1900</v>
      </c>
      <c r="L2960" s="6">
        <f t="shared" si="833"/>
        <v>1</v>
      </c>
      <c r="R2960" s="6" t="str">
        <f t="shared" si="834"/>
        <v>19001</v>
      </c>
      <c r="S2960" s="6">
        <f t="shared" si="835"/>
        <v>1900</v>
      </c>
      <c r="T2960" s="6">
        <f t="shared" si="836"/>
        <v>1</v>
      </c>
      <c r="Z2960" s="6" t="str">
        <f t="shared" ca="1" si="837"/>
        <v>20264</v>
      </c>
      <c r="AA2960" s="6">
        <f t="shared" ca="1" si="838"/>
        <v>2026</v>
      </c>
      <c r="AB2960" s="6">
        <f t="shared" ca="1" si="839"/>
        <v>4</v>
      </c>
      <c r="AC2960" s="68">
        <f ca="1">IFERROR(__xludf.DUMMYFUNCTION("""COMPUTED_VALUE"""),46120.9986111111)</f>
        <v>46120.998611111099</v>
      </c>
      <c r="AD2960" s="6">
        <f ca="1">IFERROR(__xludf.DUMMYFUNCTION("""COMPUTED_VALUE"""),1477.6)</f>
        <v>1477.6</v>
      </c>
      <c r="AH2960" s="6" t="str">
        <f t="shared" ca="1" si="840"/>
        <v>20262</v>
      </c>
      <c r="AI2960" s="6">
        <f t="shared" ca="1" si="841"/>
        <v>2026</v>
      </c>
      <c r="AJ2960" s="6">
        <f t="shared" ca="1" si="842"/>
        <v>2</v>
      </c>
      <c r="AK2960" s="68">
        <f ca="1">IFERROR(__xludf.DUMMYFUNCTION("""COMPUTED_VALUE"""),46055.9986111111)</f>
        <v>46055.998611111099</v>
      </c>
      <c r="AL2960" s="6">
        <f ca="1">IFERROR(__xludf.DUMMYFUNCTION("""COMPUTED_VALUE"""),75874.71)</f>
        <v>75874.710000000006</v>
      </c>
      <c r="AP2960" s="6" t="str">
        <f t="shared" si="843"/>
        <v>19001</v>
      </c>
      <c r="AQ2960" s="6">
        <f t="shared" si="844"/>
        <v>1900</v>
      </c>
      <c r="AR2960" s="6">
        <f t="shared" si="845"/>
        <v>1</v>
      </c>
    </row>
    <row r="2961" spans="2:44" x14ac:dyDescent="0.35">
      <c r="B2961" s="6" t="str">
        <f t="shared" si="828"/>
        <v>19001</v>
      </c>
      <c r="C2961" s="6">
        <f t="shared" si="829"/>
        <v>1900</v>
      </c>
      <c r="D2961" s="6">
        <f t="shared" si="830"/>
        <v>1</v>
      </c>
      <c r="J2961" s="6" t="str">
        <f t="shared" si="831"/>
        <v>19001</v>
      </c>
      <c r="K2961" s="6">
        <f t="shared" si="832"/>
        <v>1900</v>
      </c>
      <c r="L2961" s="6">
        <f t="shared" si="833"/>
        <v>1</v>
      </c>
      <c r="R2961" s="6" t="str">
        <f t="shared" si="834"/>
        <v>19001</v>
      </c>
      <c r="S2961" s="6">
        <f t="shared" si="835"/>
        <v>1900</v>
      </c>
      <c r="T2961" s="6">
        <f t="shared" si="836"/>
        <v>1</v>
      </c>
      <c r="Z2961" s="6" t="str">
        <f t="shared" ca="1" si="837"/>
        <v>20264</v>
      </c>
      <c r="AA2961" s="6">
        <f t="shared" ca="1" si="838"/>
        <v>2026</v>
      </c>
      <c r="AB2961" s="6">
        <f t="shared" ca="1" si="839"/>
        <v>4</v>
      </c>
      <c r="AC2961" s="68">
        <f ca="1">IFERROR(__xludf.DUMMYFUNCTION("""COMPUTED_VALUE"""),46121.9986111111)</f>
        <v>46121.998611111099</v>
      </c>
      <c r="AD2961" s="6">
        <f ca="1">IFERROR(__xludf.DUMMYFUNCTION("""COMPUTED_VALUE"""),1473.28)</f>
        <v>1473.28</v>
      </c>
      <c r="AH2961" s="6" t="str">
        <f t="shared" ca="1" si="840"/>
        <v>20262</v>
      </c>
      <c r="AI2961" s="6">
        <f t="shared" ca="1" si="841"/>
        <v>2026</v>
      </c>
      <c r="AJ2961" s="6">
        <f t="shared" ca="1" si="842"/>
        <v>2</v>
      </c>
      <c r="AK2961" s="68">
        <f ca="1">IFERROR(__xludf.DUMMYFUNCTION("""COMPUTED_VALUE"""),46056.9986111111)</f>
        <v>46056.998611111099</v>
      </c>
      <c r="AL2961" s="6">
        <f ca="1">IFERROR(__xludf.DUMMYFUNCTION("""COMPUTED_VALUE"""),78766.83)</f>
        <v>78766.83</v>
      </c>
      <c r="AP2961" s="6" t="str">
        <f t="shared" si="843"/>
        <v>19001</v>
      </c>
      <c r="AQ2961" s="6">
        <f t="shared" si="844"/>
        <v>1900</v>
      </c>
      <c r="AR2961" s="6">
        <f t="shared" si="845"/>
        <v>1</v>
      </c>
    </row>
    <row r="2962" spans="2:44" x14ac:dyDescent="0.35">
      <c r="B2962" s="6" t="str">
        <f t="shared" si="828"/>
        <v>19001</v>
      </c>
      <c r="C2962" s="6">
        <f t="shared" si="829"/>
        <v>1900</v>
      </c>
      <c r="D2962" s="6">
        <f t="shared" si="830"/>
        <v>1</v>
      </c>
      <c r="J2962" s="6" t="str">
        <f t="shared" si="831"/>
        <v>19001</v>
      </c>
      <c r="K2962" s="6">
        <f t="shared" si="832"/>
        <v>1900</v>
      </c>
      <c r="L2962" s="6">
        <f t="shared" si="833"/>
        <v>1</v>
      </c>
      <c r="R2962" s="6" t="str">
        <f t="shared" si="834"/>
        <v>19001</v>
      </c>
      <c r="S2962" s="6">
        <f t="shared" si="835"/>
        <v>1900</v>
      </c>
      <c r="T2962" s="6">
        <f t="shared" si="836"/>
        <v>1</v>
      </c>
      <c r="Z2962" s="6" t="str">
        <f t="shared" ca="1" si="837"/>
        <v>20264</v>
      </c>
      <c r="AA2962" s="6">
        <f t="shared" ca="1" si="838"/>
        <v>2026</v>
      </c>
      <c r="AB2962" s="6">
        <f t="shared" ca="1" si="839"/>
        <v>4</v>
      </c>
      <c r="AC2962" s="68">
        <f ca="1">IFERROR(__xludf.DUMMYFUNCTION("""COMPUTED_VALUE"""),46122.9986111111)</f>
        <v>46122.998611111099</v>
      </c>
      <c r="AD2962" s="6">
        <f ca="1">IFERROR(__xludf.DUMMYFUNCTION("""COMPUTED_VALUE"""),1483.57)</f>
        <v>1483.57</v>
      </c>
      <c r="AH2962" s="6" t="str">
        <f t="shared" ca="1" si="840"/>
        <v>20262</v>
      </c>
      <c r="AI2962" s="6">
        <f t="shared" ca="1" si="841"/>
        <v>2026</v>
      </c>
      <c r="AJ2962" s="6">
        <f t="shared" ca="1" si="842"/>
        <v>2</v>
      </c>
      <c r="AK2962" s="68">
        <f ca="1">IFERROR(__xludf.DUMMYFUNCTION("""COMPUTED_VALUE"""),46057.9986111111)</f>
        <v>46057.998611111099</v>
      </c>
      <c r="AL2962" s="6">
        <f ca="1">IFERROR(__xludf.DUMMYFUNCTION("""COMPUTED_VALUE"""),76405.83)</f>
        <v>76405.83</v>
      </c>
      <c r="AP2962" s="6" t="str">
        <f t="shared" si="843"/>
        <v>19001</v>
      </c>
      <c r="AQ2962" s="6">
        <f t="shared" si="844"/>
        <v>1900</v>
      </c>
      <c r="AR2962" s="6">
        <f t="shared" si="845"/>
        <v>1</v>
      </c>
    </row>
    <row r="2963" spans="2:44" x14ac:dyDescent="0.35">
      <c r="B2963" s="6" t="str">
        <f t="shared" si="828"/>
        <v>19001</v>
      </c>
      <c r="C2963" s="6">
        <f t="shared" si="829"/>
        <v>1900</v>
      </c>
      <c r="D2963" s="6">
        <f t="shared" si="830"/>
        <v>1</v>
      </c>
      <c r="J2963" s="6" t="str">
        <f t="shared" si="831"/>
        <v>19001</v>
      </c>
      <c r="K2963" s="6">
        <f t="shared" si="832"/>
        <v>1900</v>
      </c>
      <c r="L2963" s="6">
        <f t="shared" si="833"/>
        <v>1</v>
      </c>
      <c r="R2963" s="6" t="str">
        <f t="shared" si="834"/>
        <v>19001</v>
      </c>
      <c r="S2963" s="6">
        <f t="shared" si="835"/>
        <v>1900</v>
      </c>
      <c r="T2963" s="6">
        <f t="shared" si="836"/>
        <v>1</v>
      </c>
      <c r="Z2963" s="6" t="str">
        <f t="shared" ca="1" si="837"/>
        <v>20264</v>
      </c>
      <c r="AA2963" s="6">
        <f t="shared" ca="1" si="838"/>
        <v>2026</v>
      </c>
      <c r="AB2963" s="6">
        <f t="shared" ca="1" si="839"/>
        <v>4</v>
      </c>
      <c r="AC2963" s="68">
        <f ca="1">IFERROR(__xludf.DUMMYFUNCTION("""COMPUTED_VALUE"""),46123.9986111111)</f>
        <v>46123.998611111099</v>
      </c>
      <c r="AD2963" s="6">
        <f ca="1">IFERROR(__xludf.DUMMYFUNCTION("""COMPUTED_VALUE"""),1483.47)</f>
        <v>1483.47</v>
      </c>
      <c r="AH2963" s="6" t="str">
        <f t="shared" ca="1" si="840"/>
        <v>20262</v>
      </c>
      <c r="AI2963" s="6">
        <f t="shared" ca="1" si="841"/>
        <v>2026</v>
      </c>
      <c r="AJ2963" s="6">
        <f t="shared" ca="1" si="842"/>
        <v>2</v>
      </c>
      <c r="AK2963" s="68">
        <f ca="1">IFERROR(__xludf.DUMMYFUNCTION("""COMPUTED_VALUE"""),46058.9986111111)</f>
        <v>46058.998611111099</v>
      </c>
      <c r="AL2963" s="6">
        <f ca="1">IFERROR(__xludf.DUMMYFUNCTION("""COMPUTED_VALUE"""),70770.99)</f>
        <v>70770.990000000005</v>
      </c>
      <c r="AP2963" s="6" t="str">
        <f t="shared" si="843"/>
        <v>19001</v>
      </c>
      <c r="AQ2963" s="6">
        <f t="shared" si="844"/>
        <v>1900</v>
      </c>
      <c r="AR2963" s="6">
        <f t="shared" si="845"/>
        <v>1</v>
      </c>
    </row>
    <row r="2964" spans="2:44" x14ac:dyDescent="0.35">
      <c r="B2964" s="6" t="str">
        <f t="shared" si="828"/>
        <v>19001</v>
      </c>
      <c r="C2964" s="6">
        <f t="shared" si="829"/>
        <v>1900</v>
      </c>
      <c r="D2964" s="6">
        <f t="shared" si="830"/>
        <v>1</v>
      </c>
      <c r="J2964" s="6" t="str">
        <f t="shared" si="831"/>
        <v>19001</v>
      </c>
      <c r="K2964" s="6">
        <f t="shared" si="832"/>
        <v>1900</v>
      </c>
      <c r="L2964" s="6">
        <f t="shared" si="833"/>
        <v>1</v>
      </c>
      <c r="R2964" s="6" t="str">
        <f t="shared" si="834"/>
        <v>19001</v>
      </c>
      <c r="S2964" s="6">
        <f t="shared" si="835"/>
        <v>1900</v>
      </c>
      <c r="T2964" s="6">
        <f t="shared" si="836"/>
        <v>1</v>
      </c>
      <c r="Z2964" s="6" t="str">
        <f t="shared" ca="1" si="837"/>
        <v>20264</v>
      </c>
      <c r="AA2964" s="6">
        <f t="shared" ca="1" si="838"/>
        <v>2026</v>
      </c>
      <c r="AB2964" s="6">
        <f t="shared" ca="1" si="839"/>
        <v>4</v>
      </c>
      <c r="AC2964" s="68">
        <f ca="1">IFERROR(__xludf.DUMMYFUNCTION("""COMPUTED_VALUE"""),46124.9986111111)</f>
        <v>46124.998611111099</v>
      </c>
      <c r="AD2964" s="6">
        <f ca="1">IFERROR(__xludf.DUMMYFUNCTION("""COMPUTED_VALUE"""),1482.18)</f>
        <v>1482.18</v>
      </c>
      <c r="AH2964" s="6" t="str">
        <f t="shared" ca="1" si="840"/>
        <v>20262</v>
      </c>
      <c r="AI2964" s="6">
        <f t="shared" ca="1" si="841"/>
        <v>2026</v>
      </c>
      <c r="AJ2964" s="6">
        <f t="shared" ca="1" si="842"/>
        <v>2</v>
      </c>
      <c r="AK2964" s="68">
        <f ca="1">IFERROR(__xludf.DUMMYFUNCTION("""COMPUTED_VALUE"""),46059.9986111111)</f>
        <v>46059.998611111099</v>
      </c>
      <c r="AL2964" s="6">
        <f ca="1">IFERROR(__xludf.DUMMYFUNCTION("""COMPUTED_VALUE"""),64856.11)</f>
        <v>64856.11</v>
      </c>
      <c r="AP2964" s="6" t="str">
        <f t="shared" si="843"/>
        <v>19001</v>
      </c>
      <c r="AQ2964" s="6">
        <f t="shared" si="844"/>
        <v>1900</v>
      </c>
      <c r="AR2964" s="6">
        <f t="shared" si="845"/>
        <v>1</v>
      </c>
    </row>
    <row r="2965" spans="2:44" x14ac:dyDescent="0.35">
      <c r="B2965" s="6" t="str">
        <f t="shared" si="828"/>
        <v>19001</v>
      </c>
      <c r="C2965" s="6">
        <f t="shared" si="829"/>
        <v>1900</v>
      </c>
      <c r="D2965" s="6">
        <f t="shared" si="830"/>
        <v>1</v>
      </c>
      <c r="J2965" s="6" t="str">
        <f t="shared" si="831"/>
        <v>19001</v>
      </c>
      <c r="K2965" s="6">
        <f t="shared" si="832"/>
        <v>1900</v>
      </c>
      <c r="L2965" s="6">
        <f t="shared" si="833"/>
        <v>1</v>
      </c>
      <c r="R2965" s="6" t="str">
        <f t="shared" si="834"/>
        <v>19001</v>
      </c>
      <c r="S2965" s="6">
        <f t="shared" si="835"/>
        <v>1900</v>
      </c>
      <c r="T2965" s="6">
        <f t="shared" si="836"/>
        <v>1</v>
      </c>
      <c r="Z2965" s="6" t="str">
        <f t="shared" ca="1" si="837"/>
        <v>20264</v>
      </c>
      <c r="AA2965" s="6">
        <f t="shared" ca="1" si="838"/>
        <v>2026</v>
      </c>
      <c r="AB2965" s="6">
        <f t="shared" ca="1" si="839"/>
        <v>4</v>
      </c>
      <c r="AC2965" s="68">
        <f ca="1">IFERROR(__xludf.DUMMYFUNCTION("""COMPUTED_VALUE"""),46125.9986111111)</f>
        <v>46125.998611111099</v>
      </c>
      <c r="AD2965" s="6">
        <f ca="1">IFERROR(__xludf.DUMMYFUNCTION("""COMPUTED_VALUE"""),1476.84)</f>
        <v>1476.84</v>
      </c>
      <c r="AH2965" s="6" t="str">
        <f t="shared" ca="1" si="840"/>
        <v>20262</v>
      </c>
      <c r="AI2965" s="6">
        <f t="shared" ca="1" si="841"/>
        <v>2026</v>
      </c>
      <c r="AJ2965" s="6">
        <f t="shared" ca="1" si="842"/>
        <v>2</v>
      </c>
      <c r="AK2965" s="68">
        <f ca="1">IFERROR(__xludf.DUMMYFUNCTION("""COMPUTED_VALUE"""),46060.9986111111)</f>
        <v>46060.998611111099</v>
      </c>
      <c r="AL2965" s="6">
        <f ca="1">IFERROR(__xludf.DUMMYFUNCTION("""COMPUTED_VALUE"""),70748.48)</f>
        <v>70748.479999999996</v>
      </c>
      <c r="AP2965" s="6" t="str">
        <f t="shared" si="843"/>
        <v>19001</v>
      </c>
      <c r="AQ2965" s="6">
        <f t="shared" si="844"/>
        <v>1900</v>
      </c>
      <c r="AR2965" s="6">
        <f t="shared" si="845"/>
        <v>1</v>
      </c>
    </row>
    <row r="2966" spans="2:44" x14ac:dyDescent="0.35">
      <c r="B2966" s="6" t="str">
        <f t="shared" si="828"/>
        <v>19001</v>
      </c>
      <c r="C2966" s="6">
        <f t="shared" si="829"/>
        <v>1900</v>
      </c>
      <c r="D2966" s="6">
        <f t="shared" si="830"/>
        <v>1</v>
      </c>
      <c r="J2966" s="6" t="str">
        <f t="shared" si="831"/>
        <v>19001</v>
      </c>
      <c r="K2966" s="6">
        <f t="shared" si="832"/>
        <v>1900</v>
      </c>
      <c r="L2966" s="6">
        <f t="shared" si="833"/>
        <v>1</v>
      </c>
      <c r="R2966" s="6" t="str">
        <f t="shared" si="834"/>
        <v>19001</v>
      </c>
      <c r="S2966" s="6">
        <f t="shared" si="835"/>
        <v>1900</v>
      </c>
      <c r="T2966" s="6">
        <f t="shared" si="836"/>
        <v>1</v>
      </c>
      <c r="Z2966" s="6" t="str">
        <f t="shared" ca="1" si="837"/>
        <v>20264</v>
      </c>
      <c r="AA2966" s="6">
        <f t="shared" ca="1" si="838"/>
        <v>2026</v>
      </c>
      <c r="AB2966" s="6">
        <f t="shared" ca="1" si="839"/>
        <v>4</v>
      </c>
      <c r="AC2966" s="68">
        <f ca="1">IFERROR(__xludf.DUMMYFUNCTION("""COMPUTED_VALUE"""),46126.9986111111)</f>
        <v>46126.998611111099</v>
      </c>
      <c r="AD2966" s="6">
        <f ca="1">IFERROR(__xludf.DUMMYFUNCTION("""COMPUTED_VALUE"""),1469.42)</f>
        <v>1469.42</v>
      </c>
      <c r="AH2966" s="6" t="str">
        <f t="shared" ca="1" si="840"/>
        <v>20262</v>
      </c>
      <c r="AI2966" s="6">
        <f t="shared" ca="1" si="841"/>
        <v>2026</v>
      </c>
      <c r="AJ2966" s="6">
        <f t="shared" ca="1" si="842"/>
        <v>2</v>
      </c>
      <c r="AK2966" s="68">
        <f ca="1">IFERROR(__xludf.DUMMYFUNCTION("""COMPUTED_VALUE"""),46061.9986111111)</f>
        <v>46061.998611111099</v>
      </c>
      <c r="AL2966" s="6">
        <f ca="1">IFERROR(__xludf.DUMMYFUNCTION("""COMPUTED_VALUE"""),69290.04)</f>
        <v>69290.039999999994</v>
      </c>
      <c r="AP2966" s="6" t="str">
        <f t="shared" si="843"/>
        <v>19001</v>
      </c>
      <c r="AQ2966" s="6">
        <f t="shared" si="844"/>
        <v>1900</v>
      </c>
      <c r="AR2966" s="6">
        <f t="shared" si="845"/>
        <v>1</v>
      </c>
    </row>
    <row r="2967" spans="2:44" x14ac:dyDescent="0.35">
      <c r="B2967" s="6" t="str">
        <f t="shared" si="828"/>
        <v>19001</v>
      </c>
      <c r="C2967" s="6">
        <f t="shared" si="829"/>
        <v>1900</v>
      </c>
      <c r="D2967" s="6">
        <f t="shared" si="830"/>
        <v>1</v>
      </c>
      <c r="J2967" s="6" t="str">
        <f t="shared" si="831"/>
        <v>19001</v>
      </c>
      <c r="K2967" s="6">
        <f t="shared" si="832"/>
        <v>1900</v>
      </c>
      <c r="L2967" s="6">
        <f t="shared" si="833"/>
        <v>1</v>
      </c>
      <c r="R2967" s="6" t="str">
        <f t="shared" si="834"/>
        <v>19001</v>
      </c>
      <c r="S2967" s="6">
        <f t="shared" si="835"/>
        <v>1900</v>
      </c>
      <c r="T2967" s="6">
        <f t="shared" si="836"/>
        <v>1</v>
      </c>
      <c r="Z2967" s="6" t="str">
        <f t="shared" ca="1" si="837"/>
        <v>20264</v>
      </c>
      <c r="AA2967" s="6">
        <f t="shared" ca="1" si="838"/>
        <v>2026</v>
      </c>
      <c r="AB2967" s="6">
        <f t="shared" ca="1" si="839"/>
        <v>4</v>
      </c>
      <c r="AC2967" s="68">
        <f ca="1">IFERROR(__xludf.DUMMYFUNCTION("""COMPUTED_VALUE"""),46127.9986111111)</f>
        <v>46127.998611111099</v>
      </c>
      <c r="AD2967" s="6">
        <f ca="1">IFERROR(__xludf.DUMMYFUNCTION("""COMPUTED_VALUE"""),1474.06)</f>
        <v>1474.06</v>
      </c>
      <c r="AH2967" s="6" t="str">
        <f t="shared" ca="1" si="840"/>
        <v>20262</v>
      </c>
      <c r="AI2967" s="6">
        <f t="shared" ca="1" si="841"/>
        <v>2026</v>
      </c>
      <c r="AJ2967" s="6">
        <f t="shared" ca="1" si="842"/>
        <v>2</v>
      </c>
      <c r="AK2967" s="68">
        <f ca="1">IFERROR(__xludf.DUMMYFUNCTION("""COMPUTED_VALUE"""),46062.9986111111)</f>
        <v>46062.998611111099</v>
      </c>
      <c r="AL2967" s="6">
        <f ca="1">IFERROR(__xludf.DUMMYFUNCTION("""COMPUTED_VALUE"""),71006.41)</f>
        <v>71006.41</v>
      </c>
      <c r="AP2967" s="6" t="str">
        <f t="shared" si="843"/>
        <v>19001</v>
      </c>
      <c r="AQ2967" s="6">
        <f t="shared" si="844"/>
        <v>1900</v>
      </c>
      <c r="AR2967" s="6">
        <f t="shared" si="845"/>
        <v>1</v>
      </c>
    </row>
    <row r="2968" spans="2:44" x14ac:dyDescent="0.35">
      <c r="B2968" s="6" t="str">
        <f t="shared" si="828"/>
        <v>19001</v>
      </c>
      <c r="C2968" s="6">
        <f t="shared" si="829"/>
        <v>1900</v>
      </c>
      <c r="D2968" s="6">
        <f t="shared" si="830"/>
        <v>1</v>
      </c>
      <c r="J2968" s="6" t="str">
        <f t="shared" si="831"/>
        <v>19001</v>
      </c>
      <c r="K2968" s="6">
        <f t="shared" si="832"/>
        <v>1900</v>
      </c>
      <c r="L2968" s="6">
        <f t="shared" si="833"/>
        <v>1</v>
      </c>
      <c r="R2968" s="6" t="str">
        <f t="shared" si="834"/>
        <v>19001</v>
      </c>
      <c r="S2968" s="6">
        <f t="shared" si="835"/>
        <v>1900</v>
      </c>
      <c r="T2968" s="6">
        <f t="shared" si="836"/>
        <v>1</v>
      </c>
      <c r="Z2968" s="6" t="str">
        <f t="shared" ca="1" si="837"/>
        <v>20264</v>
      </c>
      <c r="AA2968" s="6">
        <f t="shared" ca="1" si="838"/>
        <v>2026</v>
      </c>
      <c r="AB2968" s="6">
        <f t="shared" ca="1" si="839"/>
        <v>4</v>
      </c>
      <c r="AC2968" s="68">
        <f ca="1">IFERROR(__xludf.DUMMYFUNCTION("""COMPUTED_VALUE"""),46128.9986111111)</f>
        <v>46128.998611111099</v>
      </c>
      <c r="AD2968" s="6">
        <f ca="1">IFERROR(__xludf.DUMMYFUNCTION("""COMPUTED_VALUE"""),1477.92)</f>
        <v>1477.92</v>
      </c>
      <c r="AH2968" s="6" t="str">
        <f t="shared" ca="1" si="840"/>
        <v>20262</v>
      </c>
      <c r="AI2968" s="6">
        <f t="shared" ca="1" si="841"/>
        <v>2026</v>
      </c>
      <c r="AJ2968" s="6">
        <f t="shared" ca="1" si="842"/>
        <v>2</v>
      </c>
      <c r="AK2968" s="68">
        <f ca="1">IFERROR(__xludf.DUMMYFUNCTION("""COMPUTED_VALUE"""),46063.9986111111)</f>
        <v>46063.998611111099</v>
      </c>
      <c r="AL2968" s="6">
        <f ca="1">IFERROR(__xludf.DUMMYFUNCTION("""COMPUTED_VALUE"""),69832.38)</f>
        <v>69832.38</v>
      </c>
      <c r="AP2968" s="6" t="str">
        <f t="shared" si="843"/>
        <v>19001</v>
      </c>
      <c r="AQ2968" s="6">
        <f t="shared" si="844"/>
        <v>1900</v>
      </c>
      <c r="AR2968" s="6">
        <f t="shared" si="845"/>
        <v>1</v>
      </c>
    </row>
    <row r="2969" spans="2:44" x14ac:dyDescent="0.35">
      <c r="B2969" s="6" t="str">
        <f t="shared" si="828"/>
        <v>19001</v>
      </c>
      <c r="C2969" s="6">
        <f t="shared" si="829"/>
        <v>1900</v>
      </c>
      <c r="D2969" s="6">
        <f t="shared" si="830"/>
        <v>1</v>
      </c>
      <c r="J2969" s="6" t="str">
        <f t="shared" si="831"/>
        <v>19001</v>
      </c>
      <c r="K2969" s="6">
        <f t="shared" si="832"/>
        <v>1900</v>
      </c>
      <c r="L2969" s="6">
        <f t="shared" si="833"/>
        <v>1</v>
      </c>
      <c r="R2969" s="6" t="str">
        <f t="shared" si="834"/>
        <v>19001</v>
      </c>
      <c r="S2969" s="6">
        <f t="shared" si="835"/>
        <v>1900</v>
      </c>
      <c r="T2969" s="6">
        <f t="shared" si="836"/>
        <v>1</v>
      </c>
      <c r="Z2969" s="6" t="str">
        <f t="shared" ca="1" si="837"/>
        <v>20264</v>
      </c>
      <c r="AA2969" s="6">
        <f t="shared" ca="1" si="838"/>
        <v>2026</v>
      </c>
      <c r="AB2969" s="6">
        <f t="shared" ca="1" si="839"/>
        <v>4</v>
      </c>
      <c r="AC2969" s="68">
        <f ca="1">IFERROR(__xludf.DUMMYFUNCTION("""COMPUTED_VALUE"""),46129.9986111111)</f>
        <v>46129.998611111099</v>
      </c>
      <c r="AD2969" s="6">
        <f ca="1">IFERROR(__xludf.DUMMYFUNCTION("""COMPUTED_VALUE"""),1466.04)</f>
        <v>1466.04</v>
      </c>
      <c r="AH2969" s="6" t="str">
        <f t="shared" ca="1" si="840"/>
        <v>20262</v>
      </c>
      <c r="AI2969" s="6">
        <f t="shared" ca="1" si="841"/>
        <v>2026</v>
      </c>
      <c r="AJ2969" s="6">
        <f t="shared" ca="1" si="842"/>
        <v>2</v>
      </c>
      <c r="AK2969" s="68">
        <f ca="1">IFERROR(__xludf.DUMMYFUNCTION("""COMPUTED_VALUE"""),46064.9986111111)</f>
        <v>46064.998611111099</v>
      </c>
      <c r="AL2969" s="6">
        <f ca="1">IFERROR(__xludf.DUMMYFUNCTION("""COMPUTED_VALUE"""),67542.55)</f>
        <v>67542.55</v>
      </c>
      <c r="AP2969" s="6" t="str">
        <f t="shared" si="843"/>
        <v>19001</v>
      </c>
      <c r="AQ2969" s="6">
        <f t="shared" si="844"/>
        <v>1900</v>
      </c>
      <c r="AR2969" s="6">
        <f t="shared" si="845"/>
        <v>1</v>
      </c>
    </row>
    <row r="2970" spans="2:44" x14ac:dyDescent="0.35">
      <c r="B2970" s="6" t="str">
        <f t="shared" si="828"/>
        <v>19001</v>
      </c>
      <c r="C2970" s="6">
        <f t="shared" si="829"/>
        <v>1900</v>
      </c>
      <c r="D2970" s="6">
        <f t="shared" si="830"/>
        <v>1</v>
      </c>
      <c r="J2970" s="6" t="str">
        <f t="shared" si="831"/>
        <v>19001</v>
      </c>
      <c r="K2970" s="6">
        <f t="shared" si="832"/>
        <v>1900</v>
      </c>
      <c r="L2970" s="6">
        <f t="shared" si="833"/>
        <v>1</v>
      </c>
      <c r="R2970" s="6" t="str">
        <f t="shared" si="834"/>
        <v>19001</v>
      </c>
      <c r="S2970" s="6">
        <f t="shared" si="835"/>
        <v>1900</v>
      </c>
      <c r="T2970" s="6">
        <f t="shared" si="836"/>
        <v>1</v>
      </c>
      <c r="Z2970" s="6" t="str">
        <f t="shared" ca="1" si="837"/>
        <v>20264</v>
      </c>
      <c r="AA2970" s="6">
        <f t="shared" ca="1" si="838"/>
        <v>2026</v>
      </c>
      <c r="AB2970" s="6">
        <f t="shared" ca="1" si="839"/>
        <v>4</v>
      </c>
      <c r="AC2970" s="68">
        <f ca="1">IFERROR(__xludf.DUMMYFUNCTION("""COMPUTED_VALUE"""),46130.9986111111)</f>
        <v>46130.998611111099</v>
      </c>
      <c r="AD2970" s="6">
        <f ca="1">IFERROR(__xludf.DUMMYFUNCTION("""COMPUTED_VALUE"""),1466.04)</f>
        <v>1466.04</v>
      </c>
      <c r="AH2970" s="6" t="str">
        <f t="shared" ca="1" si="840"/>
        <v>20262</v>
      </c>
      <c r="AI2970" s="6">
        <f t="shared" ca="1" si="841"/>
        <v>2026</v>
      </c>
      <c r="AJ2970" s="6">
        <f t="shared" ca="1" si="842"/>
        <v>2</v>
      </c>
      <c r="AK2970" s="68">
        <f ca="1">IFERROR(__xludf.DUMMYFUNCTION("""COMPUTED_VALUE"""),46065.9986111111)</f>
        <v>46065.998611111099</v>
      </c>
      <c r="AL2970" s="6">
        <f ca="1">IFERROR(__xludf.DUMMYFUNCTION("""COMPUTED_VALUE"""),67033.27)</f>
        <v>67033.27</v>
      </c>
      <c r="AP2970" s="6" t="str">
        <f t="shared" si="843"/>
        <v>19001</v>
      </c>
      <c r="AQ2970" s="6">
        <f t="shared" si="844"/>
        <v>1900</v>
      </c>
      <c r="AR2970" s="6">
        <f t="shared" si="845"/>
        <v>1</v>
      </c>
    </row>
    <row r="2971" spans="2:44" x14ac:dyDescent="0.35">
      <c r="B2971" s="6" t="str">
        <f t="shared" si="828"/>
        <v>19001</v>
      </c>
      <c r="C2971" s="6">
        <f t="shared" si="829"/>
        <v>1900</v>
      </c>
      <c r="D2971" s="6">
        <f t="shared" si="830"/>
        <v>1</v>
      </c>
      <c r="J2971" s="6" t="str">
        <f t="shared" si="831"/>
        <v>19001</v>
      </c>
      <c r="K2971" s="6">
        <f t="shared" si="832"/>
        <v>1900</v>
      </c>
      <c r="L2971" s="6">
        <f t="shared" si="833"/>
        <v>1</v>
      </c>
      <c r="R2971" s="6" t="str">
        <f t="shared" si="834"/>
        <v>19001</v>
      </c>
      <c r="S2971" s="6">
        <f t="shared" si="835"/>
        <v>1900</v>
      </c>
      <c r="T2971" s="6">
        <f t="shared" si="836"/>
        <v>1</v>
      </c>
      <c r="Z2971" s="6" t="str">
        <f t="shared" ca="1" si="837"/>
        <v>20264</v>
      </c>
      <c r="AA2971" s="6">
        <f t="shared" ca="1" si="838"/>
        <v>2026</v>
      </c>
      <c r="AB2971" s="6">
        <f t="shared" ca="1" si="839"/>
        <v>4</v>
      </c>
      <c r="AC2971" s="68">
        <f ca="1">IFERROR(__xludf.DUMMYFUNCTION("""COMPUTED_VALUE"""),46131.9986111111)</f>
        <v>46131.998611111099</v>
      </c>
      <c r="AD2971" s="6">
        <f ca="1">IFERROR(__xludf.DUMMYFUNCTION("""COMPUTED_VALUE"""),1465.15)</f>
        <v>1465.15</v>
      </c>
      <c r="AH2971" s="6" t="str">
        <f t="shared" ca="1" si="840"/>
        <v>20262</v>
      </c>
      <c r="AI2971" s="6">
        <f t="shared" ca="1" si="841"/>
        <v>2026</v>
      </c>
      <c r="AJ2971" s="6">
        <f t="shared" ca="1" si="842"/>
        <v>2</v>
      </c>
      <c r="AK2971" s="68">
        <f ca="1">IFERROR(__xludf.DUMMYFUNCTION("""COMPUTED_VALUE"""),46066.9986111111)</f>
        <v>46066.998611111099</v>
      </c>
      <c r="AL2971" s="6">
        <f ca="1">IFERROR(__xludf.DUMMYFUNCTION("""COMPUTED_VALUE"""),66371.5)</f>
        <v>66371.5</v>
      </c>
      <c r="AP2971" s="6" t="str">
        <f t="shared" si="843"/>
        <v>19001</v>
      </c>
      <c r="AQ2971" s="6">
        <f t="shared" si="844"/>
        <v>1900</v>
      </c>
      <c r="AR2971" s="6">
        <f t="shared" si="845"/>
        <v>1</v>
      </c>
    </row>
    <row r="2972" spans="2:44" x14ac:dyDescent="0.35">
      <c r="B2972" s="6" t="str">
        <f t="shared" si="828"/>
        <v>19001</v>
      </c>
      <c r="C2972" s="6">
        <f t="shared" si="829"/>
        <v>1900</v>
      </c>
      <c r="D2972" s="6">
        <f t="shared" si="830"/>
        <v>1</v>
      </c>
      <c r="J2972" s="6" t="str">
        <f t="shared" si="831"/>
        <v>19001</v>
      </c>
      <c r="K2972" s="6">
        <f t="shared" si="832"/>
        <v>1900</v>
      </c>
      <c r="L2972" s="6">
        <f t="shared" si="833"/>
        <v>1</v>
      </c>
      <c r="R2972" s="6" t="str">
        <f t="shared" si="834"/>
        <v>19001</v>
      </c>
      <c r="S2972" s="6">
        <f t="shared" si="835"/>
        <v>1900</v>
      </c>
      <c r="T2972" s="6">
        <f t="shared" si="836"/>
        <v>1</v>
      </c>
      <c r="Z2972" s="6" t="str">
        <f t="shared" ca="1" si="837"/>
        <v>20264</v>
      </c>
      <c r="AA2972" s="6">
        <f t="shared" ca="1" si="838"/>
        <v>2026</v>
      </c>
      <c r="AB2972" s="6">
        <f t="shared" ca="1" si="839"/>
        <v>4</v>
      </c>
      <c r="AC2972" s="68">
        <f ca="1">IFERROR(__xludf.DUMMYFUNCTION("""COMPUTED_VALUE"""),46132.9986111111)</f>
        <v>46132.998611111099</v>
      </c>
      <c r="AD2972" s="6">
        <f ca="1">IFERROR(__xludf.DUMMYFUNCTION("""COMPUTED_VALUE"""),1469.26)</f>
        <v>1469.26</v>
      </c>
      <c r="AH2972" s="6" t="str">
        <f t="shared" ca="1" si="840"/>
        <v>20262</v>
      </c>
      <c r="AI2972" s="6">
        <f t="shared" ca="1" si="841"/>
        <v>2026</v>
      </c>
      <c r="AJ2972" s="6">
        <f t="shared" ca="1" si="842"/>
        <v>2</v>
      </c>
      <c r="AK2972" s="68">
        <f ca="1">IFERROR(__xludf.DUMMYFUNCTION("""COMPUTED_VALUE"""),46067.9986111111)</f>
        <v>46067.998611111099</v>
      </c>
      <c r="AL2972" s="6">
        <f ca="1">IFERROR(__xludf.DUMMYFUNCTION("""COMPUTED_VALUE"""),68814.16)</f>
        <v>68814.16</v>
      </c>
      <c r="AP2972" s="6" t="str">
        <f t="shared" si="843"/>
        <v>19001</v>
      </c>
      <c r="AQ2972" s="6">
        <f t="shared" si="844"/>
        <v>1900</v>
      </c>
      <c r="AR2972" s="6">
        <f t="shared" si="845"/>
        <v>1</v>
      </c>
    </row>
    <row r="2973" spans="2:44" x14ac:dyDescent="0.35">
      <c r="B2973" s="6" t="str">
        <f t="shared" si="828"/>
        <v>19001</v>
      </c>
      <c r="C2973" s="6">
        <f t="shared" si="829"/>
        <v>1900</v>
      </c>
      <c r="D2973" s="6">
        <f t="shared" si="830"/>
        <v>1</v>
      </c>
      <c r="J2973" s="6" t="str">
        <f t="shared" si="831"/>
        <v>19001</v>
      </c>
      <c r="K2973" s="6">
        <f t="shared" si="832"/>
        <v>1900</v>
      </c>
      <c r="L2973" s="6">
        <f t="shared" si="833"/>
        <v>1</v>
      </c>
      <c r="R2973" s="6" t="str">
        <f t="shared" si="834"/>
        <v>19001</v>
      </c>
      <c r="S2973" s="6">
        <f t="shared" si="835"/>
        <v>1900</v>
      </c>
      <c r="T2973" s="6">
        <f t="shared" si="836"/>
        <v>1</v>
      </c>
      <c r="Z2973" s="6" t="str">
        <f t="shared" ca="1" si="837"/>
        <v>20264</v>
      </c>
      <c r="AA2973" s="6">
        <f t="shared" ca="1" si="838"/>
        <v>2026</v>
      </c>
      <c r="AB2973" s="6">
        <f t="shared" ca="1" si="839"/>
        <v>4</v>
      </c>
      <c r="AC2973" s="68">
        <f ca="1">IFERROR(__xludf.DUMMYFUNCTION("""COMPUTED_VALUE"""),46133.9986111111)</f>
        <v>46133.998611111099</v>
      </c>
      <c r="AD2973" s="6">
        <f ca="1">IFERROR(__xludf.DUMMYFUNCTION("""COMPUTED_VALUE"""),1485.8)</f>
        <v>1485.8</v>
      </c>
      <c r="AH2973" s="6" t="str">
        <f t="shared" ca="1" si="840"/>
        <v>20262</v>
      </c>
      <c r="AI2973" s="6">
        <f t="shared" ca="1" si="841"/>
        <v>2026</v>
      </c>
      <c r="AJ2973" s="6">
        <f t="shared" ca="1" si="842"/>
        <v>2</v>
      </c>
      <c r="AK2973" s="68">
        <f ca="1">IFERROR(__xludf.DUMMYFUNCTION("""COMPUTED_VALUE"""),46068.9986111111)</f>
        <v>46068.998611111099</v>
      </c>
      <c r="AL2973" s="6">
        <f ca="1">IFERROR(__xludf.DUMMYFUNCTION("""COMPUTED_VALUE"""),70184.87)</f>
        <v>70184.87</v>
      </c>
      <c r="AP2973" s="6" t="str">
        <f t="shared" si="843"/>
        <v>19001</v>
      </c>
      <c r="AQ2973" s="6">
        <f t="shared" si="844"/>
        <v>1900</v>
      </c>
      <c r="AR2973" s="6">
        <f t="shared" si="845"/>
        <v>1</v>
      </c>
    </row>
    <row r="2974" spans="2:44" x14ac:dyDescent="0.35">
      <c r="B2974" s="6" t="str">
        <f t="shared" si="828"/>
        <v>19001</v>
      </c>
      <c r="C2974" s="6">
        <f t="shared" si="829"/>
        <v>1900</v>
      </c>
      <c r="D2974" s="6">
        <f t="shared" si="830"/>
        <v>1</v>
      </c>
      <c r="J2974" s="6" t="str">
        <f t="shared" si="831"/>
        <v>19001</v>
      </c>
      <c r="K2974" s="6">
        <f t="shared" si="832"/>
        <v>1900</v>
      </c>
      <c r="L2974" s="6">
        <f t="shared" si="833"/>
        <v>1</v>
      </c>
      <c r="R2974" s="6" t="str">
        <f t="shared" si="834"/>
        <v>19001</v>
      </c>
      <c r="S2974" s="6">
        <f t="shared" si="835"/>
        <v>1900</v>
      </c>
      <c r="T2974" s="6">
        <f t="shared" si="836"/>
        <v>1</v>
      </c>
      <c r="Z2974" s="6" t="str">
        <f t="shared" ca="1" si="837"/>
        <v>20264</v>
      </c>
      <c r="AA2974" s="6">
        <f t="shared" ca="1" si="838"/>
        <v>2026</v>
      </c>
      <c r="AB2974" s="6">
        <f t="shared" ca="1" si="839"/>
        <v>4</v>
      </c>
      <c r="AC2974" s="68">
        <f ca="1">IFERROR(__xludf.DUMMYFUNCTION("""COMPUTED_VALUE"""),46134.9986111111)</f>
        <v>46134.998611111099</v>
      </c>
      <c r="AD2974" s="6">
        <f ca="1">IFERROR(__xludf.DUMMYFUNCTION("""COMPUTED_VALUE"""),1477.96)</f>
        <v>1477.96</v>
      </c>
      <c r="AH2974" s="6" t="str">
        <f t="shared" ca="1" si="840"/>
        <v>20262</v>
      </c>
      <c r="AI2974" s="6">
        <f t="shared" ca="1" si="841"/>
        <v>2026</v>
      </c>
      <c r="AJ2974" s="6">
        <f t="shared" ca="1" si="842"/>
        <v>2</v>
      </c>
      <c r="AK2974" s="68">
        <f ca="1">IFERROR(__xludf.DUMMYFUNCTION("""COMPUTED_VALUE"""),46069.9986111111)</f>
        <v>46069.998611111099</v>
      </c>
      <c r="AL2974" s="6">
        <f ca="1">IFERROR(__xludf.DUMMYFUNCTION("""COMPUTED_VALUE"""),68865.44)</f>
        <v>68865.440000000002</v>
      </c>
      <c r="AP2974" s="6" t="str">
        <f t="shared" si="843"/>
        <v>19001</v>
      </c>
      <c r="AQ2974" s="6">
        <f t="shared" si="844"/>
        <v>1900</v>
      </c>
      <c r="AR2974" s="6">
        <f t="shared" si="845"/>
        <v>1</v>
      </c>
    </row>
    <row r="2975" spans="2:44" x14ac:dyDescent="0.35">
      <c r="B2975" s="6" t="str">
        <f t="shared" si="828"/>
        <v>19001</v>
      </c>
      <c r="C2975" s="6">
        <f t="shared" si="829"/>
        <v>1900</v>
      </c>
      <c r="D2975" s="6">
        <f t="shared" si="830"/>
        <v>1</v>
      </c>
      <c r="J2975" s="6" t="str">
        <f t="shared" si="831"/>
        <v>19001</v>
      </c>
      <c r="K2975" s="6">
        <f t="shared" si="832"/>
        <v>1900</v>
      </c>
      <c r="L2975" s="6">
        <f t="shared" si="833"/>
        <v>1</v>
      </c>
      <c r="R2975" s="6" t="str">
        <f t="shared" si="834"/>
        <v>19001</v>
      </c>
      <c r="S2975" s="6">
        <f t="shared" si="835"/>
        <v>1900</v>
      </c>
      <c r="T2975" s="6">
        <f t="shared" si="836"/>
        <v>1</v>
      </c>
      <c r="Z2975" s="6" t="str">
        <f t="shared" ca="1" si="837"/>
        <v>20264</v>
      </c>
      <c r="AA2975" s="6">
        <f t="shared" ca="1" si="838"/>
        <v>2026</v>
      </c>
      <c r="AB2975" s="6">
        <f t="shared" ca="1" si="839"/>
        <v>4</v>
      </c>
      <c r="AC2975" s="68">
        <f ca="1">IFERROR(__xludf.DUMMYFUNCTION("""COMPUTED_VALUE"""),46135.9986111111)</f>
        <v>46135.998611111099</v>
      </c>
      <c r="AD2975" s="6">
        <f ca="1">IFERROR(__xludf.DUMMYFUNCTION("""COMPUTED_VALUE"""),1479.95)</f>
        <v>1479.95</v>
      </c>
      <c r="AH2975" s="6" t="str">
        <f t="shared" ca="1" si="840"/>
        <v>20262</v>
      </c>
      <c r="AI2975" s="6">
        <f t="shared" ca="1" si="841"/>
        <v>2026</v>
      </c>
      <c r="AJ2975" s="6">
        <f t="shared" ca="1" si="842"/>
        <v>2</v>
      </c>
      <c r="AK2975" s="68">
        <f ca="1">IFERROR(__xludf.DUMMYFUNCTION("""COMPUTED_VALUE"""),46070.9986111111)</f>
        <v>46070.998611111099</v>
      </c>
      <c r="AL2975" s="6">
        <f ca="1">IFERROR(__xludf.DUMMYFUNCTION("""COMPUTED_VALUE"""),68441.63)</f>
        <v>68441.63</v>
      </c>
      <c r="AP2975" s="6" t="str">
        <f t="shared" si="843"/>
        <v>19001</v>
      </c>
      <c r="AQ2975" s="6">
        <f t="shared" si="844"/>
        <v>1900</v>
      </c>
      <c r="AR2975" s="6">
        <f t="shared" si="845"/>
        <v>1</v>
      </c>
    </row>
    <row r="2976" spans="2:44" x14ac:dyDescent="0.35">
      <c r="B2976" s="6" t="str">
        <f t="shared" si="828"/>
        <v>19001</v>
      </c>
      <c r="C2976" s="6">
        <f t="shared" si="829"/>
        <v>1900</v>
      </c>
      <c r="D2976" s="6">
        <f t="shared" si="830"/>
        <v>1</v>
      </c>
      <c r="J2976" s="6" t="str">
        <f t="shared" si="831"/>
        <v>19001</v>
      </c>
      <c r="K2976" s="6">
        <f t="shared" si="832"/>
        <v>1900</v>
      </c>
      <c r="L2976" s="6">
        <f t="shared" si="833"/>
        <v>1</v>
      </c>
      <c r="R2976" s="6" t="str">
        <f t="shared" si="834"/>
        <v>19001</v>
      </c>
      <c r="S2976" s="6">
        <f t="shared" si="835"/>
        <v>1900</v>
      </c>
      <c r="T2976" s="6">
        <f t="shared" si="836"/>
        <v>1</v>
      </c>
      <c r="Z2976" s="6" t="str">
        <f t="shared" ca="1" si="837"/>
        <v>20264</v>
      </c>
      <c r="AA2976" s="6">
        <f t="shared" ca="1" si="838"/>
        <v>2026</v>
      </c>
      <c r="AB2976" s="6">
        <f t="shared" ca="1" si="839"/>
        <v>4</v>
      </c>
      <c r="AC2976" s="68">
        <f ca="1">IFERROR(__xludf.DUMMYFUNCTION("""COMPUTED_VALUE"""),46136.9986111111)</f>
        <v>46136.998611111099</v>
      </c>
      <c r="AD2976" s="6">
        <f ca="1">IFERROR(__xludf.DUMMYFUNCTION("""COMPUTED_VALUE"""),1475.64)</f>
        <v>1475.64</v>
      </c>
      <c r="AH2976" s="6" t="str">
        <f t="shared" ca="1" si="840"/>
        <v>20262</v>
      </c>
      <c r="AI2976" s="6">
        <f t="shared" ca="1" si="841"/>
        <v>2026</v>
      </c>
      <c r="AJ2976" s="6">
        <f t="shared" ca="1" si="842"/>
        <v>2</v>
      </c>
      <c r="AK2976" s="68">
        <f ca="1">IFERROR(__xludf.DUMMYFUNCTION("""COMPUTED_VALUE"""),46071.9986111111)</f>
        <v>46071.998611111099</v>
      </c>
      <c r="AL2976" s="6">
        <f ca="1">IFERROR(__xludf.DUMMYFUNCTION("""COMPUTED_VALUE"""),67804.04)</f>
        <v>67804.039999999994</v>
      </c>
      <c r="AP2976" s="6" t="str">
        <f t="shared" si="843"/>
        <v>19001</v>
      </c>
      <c r="AQ2976" s="6">
        <f t="shared" si="844"/>
        <v>1900</v>
      </c>
      <c r="AR2976" s="6">
        <f t="shared" si="845"/>
        <v>1</v>
      </c>
    </row>
    <row r="2977" spans="2:44" x14ac:dyDescent="0.35">
      <c r="B2977" s="6" t="str">
        <f t="shared" si="828"/>
        <v>19001</v>
      </c>
      <c r="C2977" s="6">
        <f t="shared" si="829"/>
        <v>1900</v>
      </c>
      <c r="D2977" s="6">
        <f t="shared" si="830"/>
        <v>1</v>
      </c>
      <c r="J2977" s="6" t="str">
        <f t="shared" si="831"/>
        <v>19001</v>
      </c>
      <c r="K2977" s="6">
        <f t="shared" si="832"/>
        <v>1900</v>
      </c>
      <c r="L2977" s="6">
        <f t="shared" si="833"/>
        <v>1</v>
      </c>
      <c r="R2977" s="6" t="str">
        <f t="shared" si="834"/>
        <v>19001</v>
      </c>
      <c r="S2977" s="6">
        <f t="shared" si="835"/>
        <v>1900</v>
      </c>
      <c r="T2977" s="6">
        <f t="shared" si="836"/>
        <v>1</v>
      </c>
      <c r="Z2977" s="6" t="str">
        <f t="shared" ca="1" si="837"/>
        <v>20264</v>
      </c>
      <c r="AA2977" s="6">
        <f t="shared" ca="1" si="838"/>
        <v>2026</v>
      </c>
      <c r="AB2977" s="6">
        <f t="shared" ca="1" si="839"/>
        <v>4</v>
      </c>
      <c r="AC2977" s="68">
        <f ca="1">IFERROR(__xludf.DUMMYFUNCTION("""COMPUTED_VALUE"""),46137.9986111111)</f>
        <v>46137.998611111099</v>
      </c>
      <c r="AD2977" s="6">
        <f ca="1">IFERROR(__xludf.DUMMYFUNCTION("""COMPUTED_VALUE"""),1474.67)</f>
        <v>1474.67</v>
      </c>
      <c r="AH2977" s="6" t="str">
        <f t="shared" ca="1" si="840"/>
        <v>20262</v>
      </c>
      <c r="AI2977" s="6">
        <f t="shared" ca="1" si="841"/>
        <v>2026</v>
      </c>
      <c r="AJ2977" s="6">
        <f t="shared" ca="1" si="842"/>
        <v>2</v>
      </c>
      <c r="AK2977" s="68">
        <f ca="1">IFERROR(__xludf.DUMMYFUNCTION("""COMPUTED_VALUE"""),46072.9986111111)</f>
        <v>46072.998611111099</v>
      </c>
      <c r="AL2977" s="6">
        <f ca="1">IFERROR(__xludf.DUMMYFUNCTION("""COMPUTED_VALUE"""),66838.42)</f>
        <v>66838.42</v>
      </c>
      <c r="AP2977" s="6" t="str">
        <f t="shared" si="843"/>
        <v>19001</v>
      </c>
      <c r="AQ2977" s="6">
        <f t="shared" si="844"/>
        <v>1900</v>
      </c>
      <c r="AR2977" s="6">
        <f t="shared" si="845"/>
        <v>1</v>
      </c>
    </row>
    <row r="2978" spans="2:44" x14ac:dyDescent="0.35">
      <c r="B2978" s="6" t="str">
        <f t="shared" si="828"/>
        <v>19001</v>
      </c>
      <c r="C2978" s="6">
        <f t="shared" si="829"/>
        <v>1900</v>
      </c>
      <c r="D2978" s="6">
        <f t="shared" si="830"/>
        <v>1</v>
      </c>
      <c r="J2978" s="6" t="str">
        <f t="shared" si="831"/>
        <v>19001</v>
      </c>
      <c r="K2978" s="6">
        <f t="shared" si="832"/>
        <v>1900</v>
      </c>
      <c r="L2978" s="6">
        <f t="shared" si="833"/>
        <v>1</v>
      </c>
      <c r="R2978" s="6" t="str">
        <f t="shared" si="834"/>
        <v>19001</v>
      </c>
      <c r="S2978" s="6">
        <f t="shared" si="835"/>
        <v>1900</v>
      </c>
      <c r="T2978" s="6">
        <f t="shared" si="836"/>
        <v>1</v>
      </c>
      <c r="Z2978" s="6" t="str">
        <f t="shared" ca="1" si="837"/>
        <v>20264</v>
      </c>
      <c r="AA2978" s="6">
        <f t="shared" ca="1" si="838"/>
        <v>2026</v>
      </c>
      <c r="AB2978" s="6">
        <f t="shared" ca="1" si="839"/>
        <v>4</v>
      </c>
      <c r="AC2978" s="68">
        <f ca="1">IFERROR(__xludf.DUMMYFUNCTION("""COMPUTED_VALUE"""),46138.9986111111)</f>
        <v>46138.998611111099</v>
      </c>
      <c r="AD2978" s="6">
        <f ca="1">IFERROR(__xludf.DUMMYFUNCTION("""COMPUTED_VALUE"""),1474.69)</f>
        <v>1474.69</v>
      </c>
      <c r="AH2978" s="6" t="str">
        <f t="shared" ca="1" si="840"/>
        <v>20262</v>
      </c>
      <c r="AI2978" s="6">
        <f t="shared" ca="1" si="841"/>
        <v>2026</v>
      </c>
      <c r="AJ2978" s="6">
        <f t="shared" ca="1" si="842"/>
        <v>2</v>
      </c>
      <c r="AK2978" s="68">
        <f ca="1">IFERROR(__xludf.DUMMYFUNCTION("""COMPUTED_VALUE"""),46073.9986111111)</f>
        <v>46073.998611111099</v>
      </c>
      <c r="AL2978" s="6">
        <f ca="1">IFERROR(__xludf.DUMMYFUNCTION("""COMPUTED_VALUE"""),67278.25)</f>
        <v>67278.25</v>
      </c>
      <c r="AP2978" s="6" t="str">
        <f t="shared" si="843"/>
        <v>19001</v>
      </c>
      <c r="AQ2978" s="6">
        <f t="shared" si="844"/>
        <v>1900</v>
      </c>
      <c r="AR2978" s="6">
        <f t="shared" si="845"/>
        <v>1</v>
      </c>
    </row>
    <row r="2979" spans="2:44" x14ac:dyDescent="0.35">
      <c r="B2979" s="6" t="str">
        <f t="shared" si="828"/>
        <v>19001</v>
      </c>
      <c r="C2979" s="6">
        <f t="shared" si="829"/>
        <v>1900</v>
      </c>
      <c r="D2979" s="6">
        <f t="shared" si="830"/>
        <v>1</v>
      </c>
      <c r="J2979" s="6" t="str">
        <f t="shared" si="831"/>
        <v>19001</v>
      </c>
      <c r="K2979" s="6">
        <f t="shared" si="832"/>
        <v>1900</v>
      </c>
      <c r="L2979" s="6">
        <f t="shared" si="833"/>
        <v>1</v>
      </c>
      <c r="R2979" s="6" t="str">
        <f t="shared" si="834"/>
        <v>19001</v>
      </c>
      <c r="S2979" s="6">
        <f t="shared" si="835"/>
        <v>1900</v>
      </c>
      <c r="T2979" s="6">
        <f t="shared" si="836"/>
        <v>1</v>
      </c>
      <c r="Z2979" s="6" t="str">
        <f t="shared" ca="1" si="837"/>
        <v>20264</v>
      </c>
      <c r="AA2979" s="6">
        <f t="shared" ca="1" si="838"/>
        <v>2026</v>
      </c>
      <c r="AB2979" s="6">
        <f t="shared" ca="1" si="839"/>
        <v>4</v>
      </c>
      <c r="AC2979" s="68">
        <f ca="1">IFERROR(__xludf.DUMMYFUNCTION("""COMPUTED_VALUE"""),46139.9986111111)</f>
        <v>46139.998611111099</v>
      </c>
      <c r="AD2979" s="6">
        <f ca="1">IFERROR(__xludf.DUMMYFUNCTION("""COMPUTED_VALUE"""),1473)</f>
        <v>1473</v>
      </c>
      <c r="AH2979" s="6" t="str">
        <f t="shared" ca="1" si="840"/>
        <v>20262</v>
      </c>
      <c r="AI2979" s="6">
        <f t="shared" ca="1" si="841"/>
        <v>2026</v>
      </c>
      <c r="AJ2979" s="6">
        <f t="shared" ca="1" si="842"/>
        <v>2</v>
      </c>
      <c r="AK2979" s="68">
        <f ca="1">IFERROR(__xludf.DUMMYFUNCTION("""COMPUTED_VALUE"""),46074.9986111111)</f>
        <v>46074.998611111099</v>
      </c>
      <c r="AL2979" s="6">
        <f ca="1">IFERROR(__xludf.DUMMYFUNCTION("""COMPUTED_VALUE"""),67823.55)</f>
        <v>67823.55</v>
      </c>
      <c r="AP2979" s="6" t="str">
        <f t="shared" si="843"/>
        <v>19001</v>
      </c>
      <c r="AQ2979" s="6">
        <f t="shared" si="844"/>
        <v>1900</v>
      </c>
      <c r="AR2979" s="6">
        <f t="shared" si="845"/>
        <v>1</v>
      </c>
    </row>
    <row r="2980" spans="2:44" x14ac:dyDescent="0.35">
      <c r="B2980" s="6" t="str">
        <f t="shared" si="828"/>
        <v>19001</v>
      </c>
      <c r="C2980" s="6">
        <f t="shared" si="829"/>
        <v>1900</v>
      </c>
      <c r="D2980" s="6">
        <f t="shared" si="830"/>
        <v>1</v>
      </c>
      <c r="J2980" s="6" t="str">
        <f t="shared" si="831"/>
        <v>19001</v>
      </c>
      <c r="K2980" s="6">
        <f t="shared" si="832"/>
        <v>1900</v>
      </c>
      <c r="L2980" s="6">
        <f t="shared" si="833"/>
        <v>1</v>
      </c>
      <c r="R2980" s="6" t="str">
        <f t="shared" si="834"/>
        <v>19001</v>
      </c>
      <c r="S2980" s="6">
        <f t="shared" si="835"/>
        <v>1900</v>
      </c>
      <c r="T2980" s="6">
        <f t="shared" si="836"/>
        <v>1</v>
      </c>
      <c r="Z2980" s="6" t="str">
        <f t="shared" ca="1" si="837"/>
        <v>20264</v>
      </c>
      <c r="AA2980" s="6">
        <f t="shared" ca="1" si="838"/>
        <v>2026</v>
      </c>
      <c r="AB2980" s="6">
        <f t="shared" ca="1" si="839"/>
        <v>4</v>
      </c>
      <c r="AC2980" s="68">
        <f ca="1">IFERROR(__xludf.DUMMYFUNCTION("""COMPUTED_VALUE"""),46140.9986111111)</f>
        <v>46140.998611111099</v>
      </c>
      <c r="AD2980" s="6">
        <f ca="1">IFERROR(__xludf.DUMMYFUNCTION("""COMPUTED_VALUE"""),1471.99)</f>
        <v>1471.99</v>
      </c>
      <c r="AH2980" s="6" t="str">
        <f t="shared" ca="1" si="840"/>
        <v>20262</v>
      </c>
      <c r="AI2980" s="6">
        <f t="shared" ca="1" si="841"/>
        <v>2026</v>
      </c>
      <c r="AJ2980" s="6">
        <f t="shared" ca="1" si="842"/>
        <v>2</v>
      </c>
      <c r="AK2980" s="68">
        <f ca="1">IFERROR(__xludf.DUMMYFUNCTION("""COMPUTED_VALUE"""),46075.9986111111)</f>
        <v>46075.998611111099</v>
      </c>
      <c r="AL2980" s="6">
        <f ca="1">IFERROR(__xludf.DUMMYFUNCTION("""COMPUTED_VALUE"""),67988.04)</f>
        <v>67988.039999999994</v>
      </c>
      <c r="AP2980" s="6" t="str">
        <f t="shared" si="843"/>
        <v>19001</v>
      </c>
      <c r="AQ2980" s="6">
        <f t="shared" si="844"/>
        <v>1900</v>
      </c>
      <c r="AR2980" s="6">
        <f t="shared" si="845"/>
        <v>1</v>
      </c>
    </row>
    <row r="2981" spans="2:44" x14ac:dyDescent="0.35">
      <c r="B2981" s="6" t="str">
        <f t="shared" si="828"/>
        <v>19001</v>
      </c>
      <c r="C2981" s="6">
        <f t="shared" si="829"/>
        <v>1900</v>
      </c>
      <c r="D2981" s="6">
        <f t="shared" si="830"/>
        <v>1</v>
      </c>
      <c r="J2981" s="6" t="str">
        <f t="shared" si="831"/>
        <v>19001</v>
      </c>
      <c r="K2981" s="6">
        <f t="shared" si="832"/>
        <v>1900</v>
      </c>
      <c r="L2981" s="6">
        <f t="shared" si="833"/>
        <v>1</v>
      </c>
      <c r="R2981" s="6" t="str">
        <f t="shared" si="834"/>
        <v>19001</v>
      </c>
      <c r="S2981" s="6">
        <f t="shared" si="835"/>
        <v>1900</v>
      </c>
      <c r="T2981" s="6">
        <f t="shared" si="836"/>
        <v>1</v>
      </c>
      <c r="Z2981" s="6" t="str">
        <f t="shared" ca="1" si="837"/>
        <v>20264</v>
      </c>
      <c r="AA2981" s="6">
        <f t="shared" ca="1" si="838"/>
        <v>2026</v>
      </c>
      <c r="AB2981" s="6">
        <f t="shared" ca="1" si="839"/>
        <v>4</v>
      </c>
      <c r="AC2981" s="68">
        <f ca="1">IFERROR(__xludf.DUMMYFUNCTION("""COMPUTED_VALUE"""),46141.9986111111)</f>
        <v>46141.998611111099</v>
      </c>
      <c r="AD2981" s="6">
        <f ca="1">IFERROR(__xludf.DUMMYFUNCTION("""COMPUTED_VALUE"""),1487.38)</f>
        <v>1487.38</v>
      </c>
      <c r="AH2981" s="6" t="str">
        <f t="shared" ca="1" si="840"/>
        <v>20262</v>
      </c>
      <c r="AI2981" s="6">
        <f t="shared" ca="1" si="841"/>
        <v>2026</v>
      </c>
      <c r="AJ2981" s="6">
        <f t="shared" ca="1" si="842"/>
        <v>2</v>
      </c>
      <c r="AK2981" s="68">
        <f ca="1">IFERROR(__xludf.DUMMYFUNCTION("""COMPUTED_VALUE"""),46076.9986111111)</f>
        <v>46076.998611111099</v>
      </c>
      <c r="AL2981" s="6">
        <f ca="1">IFERROR(__xludf.DUMMYFUNCTION("""COMPUTED_VALUE"""),64845.25)</f>
        <v>64845.25</v>
      </c>
      <c r="AP2981" s="6" t="str">
        <f t="shared" si="843"/>
        <v>19001</v>
      </c>
      <c r="AQ2981" s="6">
        <f t="shared" si="844"/>
        <v>1900</v>
      </c>
      <c r="AR2981" s="6">
        <f t="shared" si="845"/>
        <v>1</v>
      </c>
    </row>
    <row r="2982" spans="2:44" x14ac:dyDescent="0.35">
      <c r="B2982" s="6" t="str">
        <f t="shared" si="828"/>
        <v>19001</v>
      </c>
      <c r="C2982" s="6">
        <f t="shared" si="829"/>
        <v>1900</v>
      </c>
      <c r="D2982" s="6">
        <f t="shared" si="830"/>
        <v>1</v>
      </c>
      <c r="J2982" s="6" t="str">
        <f t="shared" si="831"/>
        <v>19001</v>
      </c>
      <c r="K2982" s="6">
        <f t="shared" si="832"/>
        <v>1900</v>
      </c>
      <c r="L2982" s="6">
        <f t="shared" si="833"/>
        <v>1</v>
      </c>
      <c r="R2982" s="6" t="str">
        <f t="shared" si="834"/>
        <v>19001</v>
      </c>
      <c r="S2982" s="6">
        <f t="shared" si="835"/>
        <v>1900</v>
      </c>
      <c r="T2982" s="6">
        <f t="shared" si="836"/>
        <v>1</v>
      </c>
      <c r="Z2982" s="6" t="str">
        <f t="shared" ca="1" si="837"/>
        <v>20264</v>
      </c>
      <c r="AA2982" s="6">
        <f t="shared" ca="1" si="838"/>
        <v>2026</v>
      </c>
      <c r="AB2982" s="6">
        <f t="shared" ca="1" si="839"/>
        <v>4</v>
      </c>
      <c r="AC2982" s="68">
        <f ca="1">IFERROR(__xludf.DUMMYFUNCTION("""COMPUTED_VALUE"""),46142.9986111111)</f>
        <v>46142.998611111099</v>
      </c>
      <c r="AD2982" s="6">
        <f ca="1">IFERROR(__xludf.DUMMYFUNCTION("""COMPUTED_VALUE"""),1474.01)</f>
        <v>1474.01</v>
      </c>
      <c r="AH2982" s="6" t="str">
        <f t="shared" ca="1" si="840"/>
        <v>20262</v>
      </c>
      <c r="AI2982" s="6">
        <f t="shared" ca="1" si="841"/>
        <v>2026</v>
      </c>
      <c r="AJ2982" s="6">
        <f t="shared" ca="1" si="842"/>
        <v>2</v>
      </c>
      <c r="AK2982" s="68">
        <f ca="1">IFERROR(__xludf.DUMMYFUNCTION("""COMPUTED_VALUE"""),46077.9986111111)</f>
        <v>46077.998611111099</v>
      </c>
      <c r="AL2982" s="6">
        <f ca="1">IFERROR(__xludf.DUMMYFUNCTION("""COMPUTED_VALUE"""),63326.75)</f>
        <v>63326.75</v>
      </c>
      <c r="AP2982" s="6" t="str">
        <f t="shared" si="843"/>
        <v>19001</v>
      </c>
      <c r="AQ2982" s="6">
        <f t="shared" si="844"/>
        <v>1900</v>
      </c>
      <c r="AR2982" s="6">
        <f t="shared" si="845"/>
        <v>1</v>
      </c>
    </row>
    <row r="2983" spans="2:44" x14ac:dyDescent="0.35">
      <c r="B2983" s="6" t="str">
        <f t="shared" si="828"/>
        <v>19001</v>
      </c>
      <c r="C2983" s="6">
        <f t="shared" si="829"/>
        <v>1900</v>
      </c>
      <c r="D2983" s="6">
        <f t="shared" si="830"/>
        <v>1</v>
      </c>
      <c r="J2983" s="6" t="str">
        <f t="shared" si="831"/>
        <v>19001</v>
      </c>
      <c r="K2983" s="6">
        <f t="shared" si="832"/>
        <v>1900</v>
      </c>
      <c r="L2983" s="6">
        <f t="shared" si="833"/>
        <v>1</v>
      </c>
      <c r="R2983" s="6" t="str">
        <f t="shared" si="834"/>
        <v>19001</v>
      </c>
      <c r="S2983" s="6">
        <f t="shared" si="835"/>
        <v>1900</v>
      </c>
      <c r="T2983" s="6">
        <f t="shared" si="836"/>
        <v>1</v>
      </c>
      <c r="Z2983" s="6" t="str">
        <f t="shared" ca="1" si="837"/>
        <v>20265</v>
      </c>
      <c r="AA2983" s="6">
        <f t="shared" ca="1" si="838"/>
        <v>2026</v>
      </c>
      <c r="AB2983" s="6">
        <f t="shared" ca="1" si="839"/>
        <v>5</v>
      </c>
      <c r="AC2983" s="68">
        <f ca="1">IFERROR(__xludf.DUMMYFUNCTION("""COMPUTED_VALUE"""),46143.9986111111)</f>
        <v>46143.998611111099</v>
      </c>
      <c r="AD2983" s="6">
        <f ca="1">IFERROR(__xludf.DUMMYFUNCTION("""COMPUTED_VALUE"""),1470.32)</f>
        <v>1470.32</v>
      </c>
      <c r="AH2983" s="6" t="str">
        <f t="shared" ca="1" si="840"/>
        <v>20262</v>
      </c>
      <c r="AI2983" s="6">
        <f t="shared" ca="1" si="841"/>
        <v>2026</v>
      </c>
      <c r="AJ2983" s="6">
        <f t="shared" ca="1" si="842"/>
        <v>2</v>
      </c>
      <c r="AK2983" s="68">
        <f ca="1">IFERROR(__xludf.DUMMYFUNCTION("""COMPUTED_VALUE"""),46078.9986111111)</f>
        <v>46078.998611111099</v>
      </c>
      <c r="AL2983" s="6">
        <f ca="1">IFERROR(__xludf.DUMMYFUNCTION("""COMPUTED_VALUE"""),65449.49)</f>
        <v>65449.49</v>
      </c>
      <c r="AP2983" s="6" t="str">
        <f t="shared" si="843"/>
        <v>19001</v>
      </c>
      <c r="AQ2983" s="6">
        <f t="shared" si="844"/>
        <v>1900</v>
      </c>
      <c r="AR2983" s="6">
        <f t="shared" si="845"/>
        <v>1</v>
      </c>
    </row>
    <row r="2984" spans="2:44" x14ac:dyDescent="0.35">
      <c r="B2984" s="6" t="str">
        <f t="shared" si="828"/>
        <v>19001</v>
      </c>
      <c r="C2984" s="6">
        <f t="shared" si="829"/>
        <v>1900</v>
      </c>
      <c r="D2984" s="6">
        <f t="shared" si="830"/>
        <v>1</v>
      </c>
      <c r="J2984" s="6" t="str">
        <f t="shared" si="831"/>
        <v>19001</v>
      </c>
      <c r="K2984" s="6">
        <f t="shared" si="832"/>
        <v>1900</v>
      </c>
      <c r="L2984" s="6">
        <f t="shared" si="833"/>
        <v>1</v>
      </c>
      <c r="R2984" s="6" t="str">
        <f t="shared" si="834"/>
        <v>19001</v>
      </c>
      <c r="S2984" s="6">
        <f t="shared" si="835"/>
        <v>1900</v>
      </c>
      <c r="T2984" s="6">
        <f t="shared" si="836"/>
        <v>1</v>
      </c>
      <c r="Z2984" s="6" t="str">
        <f t="shared" ca="1" si="837"/>
        <v>20265</v>
      </c>
      <c r="AA2984" s="6">
        <f t="shared" ca="1" si="838"/>
        <v>2026</v>
      </c>
      <c r="AB2984" s="6">
        <f t="shared" ca="1" si="839"/>
        <v>5</v>
      </c>
      <c r="AC2984" s="68">
        <f ca="1">IFERROR(__xludf.DUMMYFUNCTION("""COMPUTED_VALUE"""),46144.9986111111)</f>
        <v>46144.998611111099</v>
      </c>
      <c r="AD2984" s="6">
        <f ca="1">IFERROR(__xludf.DUMMYFUNCTION("""COMPUTED_VALUE"""),1471.73)</f>
        <v>1471.73</v>
      </c>
      <c r="AH2984" s="6" t="str">
        <f t="shared" ca="1" si="840"/>
        <v>20262</v>
      </c>
      <c r="AI2984" s="6">
        <f t="shared" ca="1" si="841"/>
        <v>2026</v>
      </c>
      <c r="AJ2984" s="6">
        <f t="shared" ca="1" si="842"/>
        <v>2</v>
      </c>
      <c r="AK2984" s="68">
        <f ca="1">IFERROR(__xludf.DUMMYFUNCTION("""COMPUTED_VALUE"""),46079.9986111111)</f>
        <v>46079.998611111099</v>
      </c>
      <c r="AL2984" s="6">
        <f ca="1">IFERROR(__xludf.DUMMYFUNCTION("""COMPUTED_VALUE"""),68623.96)</f>
        <v>68623.960000000006</v>
      </c>
      <c r="AP2984" s="6" t="str">
        <f t="shared" si="843"/>
        <v>19001</v>
      </c>
      <c r="AQ2984" s="6">
        <f t="shared" si="844"/>
        <v>1900</v>
      </c>
      <c r="AR2984" s="6">
        <f t="shared" si="845"/>
        <v>1</v>
      </c>
    </row>
    <row r="2985" spans="2:44" x14ac:dyDescent="0.35">
      <c r="B2985" s="6" t="str">
        <f t="shared" si="828"/>
        <v>19001</v>
      </c>
      <c r="C2985" s="6">
        <f t="shared" si="829"/>
        <v>1900</v>
      </c>
      <c r="D2985" s="6">
        <f t="shared" si="830"/>
        <v>1</v>
      </c>
      <c r="J2985" s="6" t="str">
        <f t="shared" si="831"/>
        <v>19001</v>
      </c>
      <c r="K2985" s="6">
        <f t="shared" si="832"/>
        <v>1900</v>
      </c>
      <c r="L2985" s="6">
        <f t="shared" si="833"/>
        <v>1</v>
      </c>
      <c r="R2985" s="6" t="str">
        <f t="shared" si="834"/>
        <v>19001</v>
      </c>
      <c r="S2985" s="6">
        <f t="shared" si="835"/>
        <v>1900</v>
      </c>
      <c r="T2985" s="6">
        <f t="shared" si="836"/>
        <v>1</v>
      </c>
      <c r="Z2985" s="6" t="str">
        <f t="shared" ca="1" si="837"/>
        <v>20265</v>
      </c>
      <c r="AA2985" s="6">
        <f t="shared" ca="1" si="838"/>
        <v>2026</v>
      </c>
      <c r="AB2985" s="6">
        <f t="shared" ca="1" si="839"/>
        <v>5</v>
      </c>
      <c r="AC2985" s="68">
        <f ca="1">IFERROR(__xludf.DUMMYFUNCTION("""COMPUTED_VALUE"""),46145.9986111111)</f>
        <v>46145.998611111099</v>
      </c>
      <c r="AD2985" s="6">
        <f ca="1">IFERROR(__xludf.DUMMYFUNCTION("""COMPUTED_VALUE"""),1471.73)</f>
        <v>1471.73</v>
      </c>
      <c r="AH2985" s="6" t="str">
        <f t="shared" ca="1" si="840"/>
        <v>20262</v>
      </c>
      <c r="AI2985" s="6">
        <f t="shared" ca="1" si="841"/>
        <v>2026</v>
      </c>
      <c r="AJ2985" s="6">
        <f t="shared" ca="1" si="842"/>
        <v>2</v>
      </c>
      <c r="AK2985" s="68">
        <f ca="1">IFERROR(__xludf.DUMMYFUNCTION("""COMPUTED_VALUE"""),46080.9986111111)</f>
        <v>46080.998611111099</v>
      </c>
      <c r="AL2985" s="6">
        <f ca="1">IFERROR(__xludf.DUMMYFUNCTION("""COMPUTED_VALUE"""),67762.96)</f>
        <v>67762.960000000006</v>
      </c>
      <c r="AP2985" s="6" t="str">
        <f t="shared" si="843"/>
        <v>19001</v>
      </c>
      <c r="AQ2985" s="6">
        <f t="shared" si="844"/>
        <v>1900</v>
      </c>
      <c r="AR2985" s="6">
        <f t="shared" si="845"/>
        <v>1</v>
      </c>
    </row>
    <row r="2986" spans="2:44" x14ac:dyDescent="0.35">
      <c r="B2986" s="6" t="str">
        <f t="shared" si="828"/>
        <v>19001</v>
      </c>
      <c r="C2986" s="6">
        <f t="shared" si="829"/>
        <v>1900</v>
      </c>
      <c r="D2986" s="6">
        <f t="shared" si="830"/>
        <v>1</v>
      </c>
      <c r="J2986" s="6" t="str">
        <f t="shared" si="831"/>
        <v>19001</v>
      </c>
      <c r="K2986" s="6">
        <f t="shared" si="832"/>
        <v>1900</v>
      </c>
      <c r="L2986" s="6">
        <f t="shared" si="833"/>
        <v>1</v>
      </c>
      <c r="R2986" s="6" t="str">
        <f t="shared" si="834"/>
        <v>19001</v>
      </c>
      <c r="S2986" s="6">
        <f t="shared" si="835"/>
        <v>1900</v>
      </c>
      <c r="T2986" s="6">
        <f t="shared" si="836"/>
        <v>1</v>
      </c>
      <c r="Z2986" s="6" t="str">
        <f t="shared" ca="1" si="837"/>
        <v>20265</v>
      </c>
      <c r="AA2986" s="6">
        <f t="shared" ca="1" si="838"/>
        <v>2026</v>
      </c>
      <c r="AB2986" s="6">
        <f t="shared" ca="1" si="839"/>
        <v>5</v>
      </c>
      <c r="AC2986" s="68">
        <f ca="1">IFERROR(__xludf.DUMMYFUNCTION("""COMPUTED_VALUE"""),46146.9986111111)</f>
        <v>46146.998611111099</v>
      </c>
      <c r="AD2986" s="6">
        <f ca="1">IFERROR(__xludf.DUMMYFUNCTION("""COMPUTED_VALUE"""),1476.05)</f>
        <v>1476.05</v>
      </c>
      <c r="AH2986" s="6" t="str">
        <f t="shared" ca="1" si="840"/>
        <v>20262</v>
      </c>
      <c r="AI2986" s="6">
        <f t="shared" ca="1" si="841"/>
        <v>2026</v>
      </c>
      <c r="AJ2986" s="6">
        <f t="shared" ca="1" si="842"/>
        <v>2</v>
      </c>
      <c r="AK2986" s="68">
        <f ca="1">IFERROR(__xludf.DUMMYFUNCTION("""COMPUTED_VALUE"""),46081.9986111111)</f>
        <v>46081.998611111099</v>
      </c>
      <c r="AL2986" s="6">
        <f ca="1">IFERROR(__xludf.DUMMYFUNCTION("""COMPUTED_VALUE"""),65696.42)</f>
        <v>65696.42</v>
      </c>
      <c r="AP2986" s="6" t="str">
        <f t="shared" si="843"/>
        <v>19001</v>
      </c>
      <c r="AQ2986" s="6">
        <f t="shared" si="844"/>
        <v>1900</v>
      </c>
      <c r="AR2986" s="6">
        <f t="shared" si="845"/>
        <v>1</v>
      </c>
    </row>
    <row r="2987" spans="2:44" x14ac:dyDescent="0.35">
      <c r="B2987" s="6" t="str">
        <f t="shared" si="828"/>
        <v>19001</v>
      </c>
      <c r="C2987" s="6">
        <f t="shared" si="829"/>
        <v>1900</v>
      </c>
      <c r="D2987" s="6">
        <f t="shared" si="830"/>
        <v>1</v>
      </c>
      <c r="J2987" s="6" t="str">
        <f t="shared" si="831"/>
        <v>19001</v>
      </c>
      <c r="K2987" s="6">
        <f t="shared" si="832"/>
        <v>1900</v>
      </c>
      <c r="L2987" s="6">
        <f t="shared" si="833"/>
        <v>1</v>
      </c>
      <c r="R2987" s="6" t="str">
        <f t="shared" si="834"/>
        <v>19001</v>
      </c>
      <c r="S2987" s="6">
        <f t="shared" si="835"/>
        <v>1900</v>
      </c>
      <c r="T2987" s="6">
        <f t="shared" si="836"/>
        <v>1</v>
      </c>
      <c r="Z2987" s="6" t="str">
        <f t="shared" ca="1" si="837"/>
        <v>20265</v>
      </c>
      <c r="AA2987" s="6">
        <f t="shared" ca="1" si="838"/>
        <v>2026</v>
      </c>
      <c r="AB2987" s="6">
        <f t="shared" ca="1" si="839"/>
        <v>5</v>
      </c>
      <c r="AC2987" s="68">
        <f ca="1">IFERROR(__xludf.DUMMYFUNCTION("""COMPUTED_VALUE"""),46147.9986111111)</f>
        <v>46147.998611111099</v>
      </c>
      <c r="AD2987" s="6">
        <f ca="1">IFERROR(__xludf.DUMMYFUNCTION("""COMPUTED_VALUE"""),1473.96)</f>
        <v>1473.96</v>
      </c>
      <c r="AH2987" s="6" t="str">
        <f t="shared" ca="1" si="840"/>
        <v>20263</v>
      </c>
      <c r="AI2987" s="6">
        <f t="shared" ca="1" si="841"/>
        <v>2026</v>
      </c>
      <c r="AJ2987" s="6">
        <f t="shared" ca="1" si="842"/>
        <v>3</v>
      </c>
      <c r="AK2987" s="68">
        <f ca="1">IFERROR(__xludf.DUMMYFUNCTION("""COMPUTED_VALUE"""),46082.9986111111)</f>
        <v>46082.998611111099</v>
      </c>
      <c r="AL2987" s="6">
        <f ca="1">IFERROR(__xludf.DUMMYFUNCTION("""COMPUTED_VALUE"""),67356.82)</f>
        <v>67356.820000000007</v>
      </c>
      <c r="AP2987" s="6" t="str">
        <f t="shared" si="843"/>
        <v>19001</v>
      </c>
      <c r="AQ2987" s="6">
        <f t="shared" si="844"/>
        <v>1900</v>
      </c>
      <c r="AR2987" s="6">
        <f t="shared" si="845"/>
        <v>1</v>
      </c>
    </row>
    <row r="2988" spans="2:44" x14ac:dyDescent="0.35">
      <c r="B2988" s="6" t="str">
        <f t="shared" si="828"/>
        <v>19001</v>
      </c>
      <c r="C2988" s="6">
        <f t="shared" si="829"/>
        <v>1900</v>
      </c>
      <c r="D2988" s="6">
        <f t="shared" si="830"/>
        <v>1</v>
      </c>
      <c r="J2988" s="6" t="str">
        <f t="shared" si="831"/>
        <v>19001</v>
      </c>
      <c r="K2988" s="6">
        <f t="shared" si="832"/>
        <v>1900</v>
      </c>
      <c r="L2988" s="6">
        <f t="shared" si="833"/>
        <v>1</v>
      </c>
      <c r="R2988" s="6" t="str">
        <f t="shared" si="834"/>
        <v>19001</v>
      </c>
      <c r="S2988" s="6">
        <f t="shared" si="835"/>
        <v>1900</v>
      </c>
      <c r="T2988" s="6">
        <f t="shared" si="836"/>
        <v>1</v>
      </c>
      <c r="Z2988" s="6" t="str">
        <f t="shared" ca="1" si="837"/>
        <v>20265</v>
      </c>
      <c r="AA2988" s="6">
        <f t="shared" ca="1" si="838"/>
        <v>2026</v>
      </c>
      <c r="AB2988" s="6">
        <f t="shared" ca="1" si="839"/>
        <v>5</v>
      </c>
      <c r="AC2988" s="68">
        <f ca="1">IFERROR(__xludf.DUMMYFUNCTION("""COMPUTED_VALUE"""),46148.9986111111)</f>
        <v>46148.998611111099</v>
      </c>
      <c r="AD2988" s="6">
        <f ca="1">IFERROR(__xludf.DUMMYFUNCTION("""COMPUTED_VALUE"""),1444.45)</f>
        <v>1444.45</v>
      </c>
      <c r="AH2988" s="6" t="str">
        <f t="shared" ca="1" si="840"/>
        <v>20263</v>
      </c>
      <c r="AI2988" s="6">
        <f t="shared" ca="1" si="841"/>
        <v>2026</v>
      </c>
      <c r="AJ2988" s="6">
        <f t="shared" ca="1" si="842"/>
        <v>3</v>
      </c>
      <c r="AK2988" s="68">
        <f ca="1">IFERROR(__xludf.DUMMYFUNCTION("""COMPUTED_VALUE"""),46083.9986111111)</f>
        <v>46083.998611111099</v>
      </c>
      <c r="AL2988" s="6">
        <f ca="1">IFERROR(__xludf.DUMMYFUNCTION("""COMPUTED_VALUE"""),66798.54)</f>
        <v>66798.539999999994</v>
      </c>
      <c r="AP2988" s="6" t="str">
        <f t="shared" si="843"/>
        <v>19001</v>
      </c>
      <c r="AQ2988" s="6">
        <f t="shared" si="844"/>
        <v>1900</v>
      </c>
      <c r="AR2988" s="6">
        <f t="shared" si="845"/>
        <v>1</v>
      </c>
    </row>
    <row r="2989" spans="2:44" x14ac:dyDescent="0.35">
      <c r="B2989" s="6" t="str">
        <f t="shared" si="828"/>
        <v>19001</v>
      </c>
      <c r="C2989" s="6">
        <f t="shared" si="829"/>
        <v>1900</v>
      </c>
      <c r="D2989" s="6">
        <f t="shared" si="830"/>
        <v>1</v>
      </c>
      <c r="J2989" s="6" t="str">
        <f t="shared" si="831"/>
        <v>19001</v>
      </c>
      <c r="K2989" s="6">
        <f t="shared" si="832"/>
        <v>1900</v>
      </c>
      <c r="L2989" s="6">
        <f t="shared" si="833"/>
        <v>1</v>
      </c>
      <c r="R2989" s="6" t="str">
        <f t="shared" si="834"/>
        <v>19001</v>
      </c>
      <c r="S2989" s="6">
        <f t="shared" si="835"/>
        <v>1900</v>
      </c>
      <c r="T2989" s="6">
        <f t="shared" si="836"/>
        <v>1</v>
      </c>
      <c r="Z2989" s="6" t="str">
        <f t="shared" ca="1" si="837"/>
        <v>20265</v>
      </c>
      <c r="AA2989" s="6">
        <f t="shared" ca="1" si="838"/>
        <v>2026</v>
      </c>
      <c r="AB2989" s="6">
        <f t="shared" ca="1" si="839"/>
        <v>5</v>
      </c>
      <c r="AC2989" s="68">
        <f ca="1">IFERROR(__xludf.DUMMYFUNCTION("""COMPUTED_VALUE"""),46149.9986111111)</f>
        <v>46149.998611111099</v>
      </c>
      <c r="AD2989" s="6">
        <f ca="1">IFERROR(__xludf.DUMMYFUNCTION("""COMPUTED_VALUE"""),1454.79)</f>
        <v>1454.79</v>
      </c>
      <c r="AH2989" s="6" t="str">
        <f t="shared" ca="1" si="840"/>
        <v>20263</v>
      </c>
      <c r="AI2989" s="6">
        <f t="shared" ca="1" si="841"/>
        <v>2026</v>
      </c>
      <c r="AJ2989" s="6">
        <f t="shared" ca="1" si="842"/>
        <v>3</v>
      </c>
      <c r="AK2989" s="68">
        <f ca="1">IFERROR(__xludf.DUMMYFUNCTION("""COMPUTED_VALUE"""),46084.9986111111)</f>
        <v>46084.998611111099</v>
      </c>
      <c r="AL2989" s="6">
        <f ca="1">IFERROR(__xludf.DUMMYFUNCTION("""COMPUTED_VALUE"""),68141.81)</f>
        <v>68141.81</v>
      </c>
      <c r="AP2989" s="6" t="str">
        <f t="shared" si="843"/>
        <v>19001</v>
      </c>
      <c r="AQ2989" s="6">
        <f t="shared" si="844"/>
        <v>1900</v>
      </c>
      <c r="AR2989" s="6">
        <f t="shared" si="845"/>
        <v>1</v>
      </c>
    </row>
    <row r="2990" spans="2:44" x14ac:dyDescent="0.35">
      <c r="B2990" s="6" t="str">
        <f t="shared" si="828"/>
        <v>19001</v>
      </c>
      <c r="C2990" s="6">
        <f t="shared" si="829"/>
        <v>1900</v>
      </c>
      <c r="D2990" s="6">
        <f t="shared" si="830"/>
        <v>1</v>
      </c>
      <c r="J2990" s="6" t="str">
        <f t="shared" si="831"/>
        <v>19001</v>
      </c>
      <c r="K2990" s="6">
        <f t="shared" si="832"/>
        <v>1900</v>
      </c>
      <c r="L2990" s="6">
        <f t="shared" si="833"/>
        <v>1</v>
      </c>
      <c r="R2990" s="6" t="str">
        <f t="shared" si="834"/>
        <v>19001</v>
      </c>
      <c r="S2990" s="6">
        <f t="shared" si="835"/>
        <v>1900</v>
      </c>
      <c r="T2990" s="6">
        <f t="shared" si="836"/>
        <v>1</v>
      </c>
      <c r="Z2990" s="6" t="str">
        <f t="shared" ca="1" si="837"/>
        <v>20265</v>
      </c>
      <c r="AA2990" s="6">
        <f t="shared" ca="1" si="838"/>
        <v>2026</v>
      </c>
      <c r="AB2990" s="6">
        <f t="shared" ca="1" si="839"/>
        <v>5</v>
      </c>
      <c r="AC2990" s="68">
        <f ca="1">IFERROR(__xludf.DUMMYFUNCTION("""COMPUTED_VALUE"""),46150.9986111111)</f>
        <v>46150.998611111099</v>
      </c>
      <c r="AD2990" s="6">
        <f ca="1">IFERROR(__xludf.DUMMYFUNCTION("""COMPUTED_VALUE"""),1460.82)</f>
        <v>1460.82</v>
      </c>
      <c r="AH2990" s="6" t="str">
        <f t="shared" ca="1" si="840"/>
        <v>20263</v>
      </c>
      <c r="AI2990" s="6">
        <f t="shared" ca="1" si="841"/>
        <v>2026</v>
      </c>
      <c r="AJ2990" s="6">
        <f t="shared" ca="1" si="842"/>
        <v>3</v>
      </c>
      <c r="AK2990" s="68">
        <f ca="1">IFERROR(__xludf.DUMMYFUNCTION("""COMPUTED_VALUE"""),46085.9986111111)</f>
        <v>46085.998611111099</v>
      </c>
      <c r="AL2990" s="6">
        <f ca="1">IFERROR(__xludf.DUMMYFUNCTION("""COMPUTED_VALUE"""),67842.73)</f>
        <v>67842.73</v>
      </c>
      <c r="AP2990" s="6" t="str">
        <f t="shared" si="843"/>
        <v>19001</v>
      </c>
      <c r="AQ2990" s="6">
        <f t="shared" si="844"/>
        <v>1900</v>
      </c>
      <c r="AR2990" s="6">
        <f t="shared" si="845"/>
        <v>1</v>
      </c>
    </row>
    <row r="2991" spans="2:44" x14ac:dyDescent="0.35">
      <c r="B2991" s="6" t="str">
        <f t="shared" si="828"/>
        <v>19001</v>
      </c>
      <c r="C2991" s="6">
        <f t="shared" si="829"/>
        <v>1900</v>
      </c>
      <c r="D2991" s="6">
        <f t="shared" si="830"/>
        <v>1</v>
      </c>
      <c r="J2991" s="6" t="str">
        <f t="shared" si="831"/>
        <v>19001</v>
      </c>
      <c r="K2991" s="6">
        <f t="shared" si="832"/>
        <v>1900</v>
      </c>
      <c r="L2991" s="6">
        <f t="shared" si="833"/>
        <v>1</v>
      </c>
      <c r="R2991" s="6" t="str">
        <f t="shared" si="834"/>
        <v>19001</v>
      </c>
      <c r="S2991" s="6">
        <f t="shared" si="835"/>
        <v>1900</v>
      </c>
      <c r="T2991" s="6">
        <f t="shared" si="836"/>
        <v>1</v>
      </c>
      <c r="Z2991" s="6" t="str">
        <f t="shared" ca="1" si="837"/>
        <v>20265</v>
      </c>
      <c r="AA2991" s="6">
        <f t="shared" ca="1" si="838"/>
        <v>2026</v>
      </c>
      <c r="AB2991" s="6">
        <f t="shared" ca="1" si="839"/>
        <v>5</v>
      </c>
      <c r="AC2991" s="68">
        <f ca="1">IFERROR(__xludf.DUMMYFUNCTION("""COMPUTED_VALUE"""),46151.9986111111)</f>
        <v>46151.998611111099</v>
      </c>
      <c r="AD2991" s="6">
        <f ca="1">IFERROR(__xludf.DUMMYFUNCTION("""COMPUTED_VALUE"""),1460.42)</f>
        <v>1460.42</v>
      </c>
      <c r="AH2991" s="6" t="str">
        <f t="shared" ca="1" si="840"/>
        <v>20263</v>
      </c>
      <c r="AI2991" s="6">
        <f t="shared" ca="1" si="841"/>
        <v>2026</v>
      </c>
      <c r="AJ2991" s="6">
        <f t="shared" ca="1" si="842"/>
        <v>3</v>
      </c>
      <c r="AK2991" s="68">
        <f ca="1">IFERROR(__xludf.DUMMYFUNCTION("""COMPUTED_VALUE"""),46086.9986111111)</f>
        <v>46086.998611111099</v>
      </c>
      <c r="AL2991" s="6">
        <f ca="1">IFERROR(__xludf.DUMMYFUNCTION("""COMPUTED_VALUE"""),72847.58)</f>
        <v>72847.58</v>
      </c>
      <c r="AP2991" s="6" t="str">
        <f t="shared" si="843"/>
        <v>19001</v>
      </c>
      <c r="AQ2991" s="6">
        <f t="shared" si="844"/>
        <v>1900</v>
      </c>
      <c r="AR2991" s="6">
        <f t="shared" si="845"/>
        <v>1</v>
      </c>
    </row>
    <row r="2992" spans="2:44" x14ac:dyDescent="0.35">
      <c r="B2992" s="6" t="str">
        <f t="shared" si="828"/>
        <v>19001</v>
      </c>
      <c r="C2992" s="6">
        <f t="shared" si="829"/>
        <v>1900</v>
      </c>
      <c r="D2992" s="6">
        <f t="shared" si="830"/>
        <v>1</v>
      </c>
      <c r="J2992" s="6" t="str">
        <f t="shared" si="831"/>
        <v>19001</v>
      </c>
      <c r="K2992" s="6">
        <f t="shared" si="832"/>
        <v>1900</v>
      </c>
      <c r="L2992" s="6">
        <f t="shared" si="833"/>
        <v>1</v>
      </c>
      <c r="R2992" s="6" t="str">
        <f t="shared" si="834"/>
        <v>19001</v>
      </c>
      <c r="S2992" s="6">
        <f t="shared" si="835"/>
        <v>1900</v>
      </c>
      <c r="T2992" s="6">
        <f t="shared" si="836"/>
        <v>1</v>
      </c>
      <c r="Z2992" s="6" t="str">
        <f t="shared" ca="1" si="837"/>
        <v>20265</v>
      </c>
      <c r="AA2992" s="6">
        <f t="shared" ca="1" si="838"/>
        <v>2026</v>
      </c>
      <c r="AB2992" s="6">
        <f t="shared" ca="1" si="839"/>
        <v>5</v>
      </c>
      <c r="AC2992" s="68">
        <f ca="1">IFERROR(__xludf.DUMMYFUNCTION("""COMPUTED_VALUE"""),46152.9986111111)</f>
        <v>46152.998611111099</v>
      </c>
      <c r="AD2992" s="6">
        <f ca="1">IFERROR(__xludf.DUMMYFUNCTION("""COMPUTED_VALUE"""),1460.55)</f>
        <v>1460.55</v>
      </c>
      <c r="AH2992" s="6" t="str">
        <f t="shared" ca="1" si="840"/>
        <v>20263</v>
      </c>
      <c r="AI2992" s="6">
        <f t="shared" ca="1" si="841"/>
        <v>2026</v>
      </c>
      <c r="AJ2992" s="6">
        <f t="shared" ca="1" si="842"/>
        <v>3</v>
      </c>
      <c r="AK2992" s="68">
        <f ca="1">IFERROR(__xludf.DUMMYFUNCTION("""COMPUTED_VALUE"""),46087.9986111111)</f>
        <v>46087.998611111099</v>
      </c>
      <c r="AL2992" s="6">
        <f ca="1">IFERROR(__xludf.DUMMYFUNCTION("""COMPUTED_VALUE"""),70602.13)</f>
        <v>70602.13</v>
      </c>
      <c r="AP2992" s="6" t="str">
        <f t="shared" si="843"/>
        <v>19001</v>
      </c>
      <c r="AQ2992" s="6">
        <f t="shared" si="844"/>
        <v>1900</v>
      </c>
      <c r="AR2992" s="6">
        <f t="shared" si="845"/>
        <v>1</v>
      </c>
    </row>
    <row r="2993" spans="2:44" x14ac:dyDescent="0.35">
      <c r="B2993" s="6" t="str">
        <f t="shared" si="828"/>
        <v>19001</v>
      </c>
      <c r="C2993" s="6">
        <f t="shared" si="829"/>
        <v>1900</v>
      </c>
      <c r="D2993" s="6">
        <f t="shared" si="830"/>
        <v>1</v>
      </c>
      <c r="J2993" s="6" t="str">
        <f t="shared" si="831"/>
        <v>19001</v>
      </c>
      <c r="K2993" s="6">
        <f t="shared" si="832"/>
        <v>1900</v>
      </c>
      <c r="L2993" s="6">
        <f t="shared" si="833"/>
        <v>1</v>
      </c>
      <c r="R2993" s="6" t="str">
        <f t="shared" si="834"/>
        <v>19001</v>
      </c>
      <c r="S2993" s="6">
        <f t="shared" si="835"/>
        <v>1900</v>
      </c>
      <c r="T2993" s="6">
        <f t="shared" si="836"/>
        <v>1</v>
      </c>
      <c r="Z2993" s="6" t="str">
        <f t="shared" ca="1" si="837"/>
        <v>20265</v>
      </c>
      <c r="AA2993" s="6">
        <f t="shared" ca="1" si="838"/>
        <v>2026</v>
      </c>
      <c r="AB2993" s="6">
        <f t="shared" ca="1" si="839"/>
        <v>5</v>
      </c>
      <c r="AC2993" s="68">
        <f ca="1">IFERROR(__xludf.DUMMYFUNCTION("""COMPUTED_VALUE"""),46153.9986111111)</f>
        <v>46153.998611111099</v>
      </c>
      <c r="AD2993" s="6">
        <f ca="1">IFERROR(__xludf.DUMMYFUNCTION("""COMPUTED_VALUE"""),1474.45)</f>
        <v>1474.45</v>
      </c>
      <c r="AH2993" s="6" t="str">
        <f t="shared" ca="1" si="840"/>
        <v>20263</v>
      </c>
      <c r="AI2993" s="6">
        <f t="shared" ca="1" si="841"/>
        <v>2026</v>
      </c>
      <c r="AJ2993" s="6">
        <f t="shared" ca="1" si="842"/>
        <v>3</v>
      </c>
      <c r="AK2993" s="68">
        <f ca="1">IFERROR(__xludf.DUMMYFUNCTION("""COMPUTED_VALUE"""),46088.9986111111)</f>
        <v>46088.998611111099</v>
      </c>
      <c r="AL2993" s="6">
        <f ca="1">IFERROR(__xludf.DUMMYFUNCTION("""COMPUTED_VALUE"""),68099.83)</f>
        <v>68099.83</v>
      </c>
      <c r="AP2993" s="6" t="str">
        <f t="shared" si="843"/>
        <v>19001</v>
      </c>
      <c r="AQ2993" s="6">
        <f t="shared" si="844"/>
        <v>1900</v>
      </c>
      <c r="AR2993" s="6">
        <f t="shared" si="845"/>
        <v>1</v>
      </c>
    </row>
    <row r="2994" spans="2:44" x14ac:dyDescent="0.35">
      <c r="B2994" s="6" t="str">
        <f t="shared" si="828"/>
        <v>19001</v>
      </c>
      <c r="C2994" s="6">
        <f t="shared" si="829"/>
        <v>1900</v>
      </c>
      <c r="D2994" s="6">
        <f t="shared" si="830"/>
        <v>1</v>
      </c>
      <c r="J2994" s="6" t="str">
        <f t="shared" si="831"/>
        <v>19001</v>
      </c>
      <c r="K2994" s="6">
        <f t="shared" si="832"/>
        <v>1900</v>
      </c>
      <c r="L2994" s="6">
        <f t="shared" si="833"/>
        <v>1</v>
      </c>
      <c r="R2994" s="6" t="str">
        <f t="shared" si="834"/>
        <v>19001</v>
      </c>
      <c r="S2994" s="6">
        <f t="shared" si="835"/>
        <v>1900</v>
      </c>
      <c r="T2994" s="6">
        <f t="shared" si="836"/>
        <v>1</v>
      </c>
      <c r="Z2994" s="6" t="str">
        <f t="shared" ca="1" si="837"/>
        <v>20265</v>
      </c>
      <c r="AA2994" s="6">
        <f t="shared" ca="1" si="838"/>
        <v>2026</v>
      </c>
      <c r="AB2994" s="6">
        <f t="shared" ca="1" si="839"/>
        <v>5</v>
      </c>
      <c r="AC2994" s="68">
        <f ca="1">IFERROR(__xludf.DUMMYFUNCTION("""COMPUTED_VALUE"""),46154.9986111111)</f>
        <v>46154.998611111099</v>
      </c>
      <c r="AD2994" s="6">
        <f ca="1">IFERROR(__xludf.DUMMYFUNCTION("""COMPUTED_VALUE"""),1492.99)</f>
        <v>1492.99</v>
      </c>
      <c r="AH2994" s="6" t="str">
        <f t="shared" ca="1" si="840"/>
        <v>20263</v>
      </c>
      <c r="AI2994" s="6">
        <f t="shared" ca="1" si="841"/>
        <v>2026</v>
      </c>
      <c r="AJ2994" s="6">
        <f t="shared" ca="1" si="842"/>
        <v>3</v>
      </c>
      <c r="AK2994" s="68">
        <f ca="1">IFERROR(__xludf.DUMMYFUNCTION("""COMPUTED_VALUE"""),46089.9986111111)</f>
        <v>46089.998611111099</v>
      </c>
      <c r="AL2994" s="6">
        <f ca="1">IFERROR(__xludf.DUMMYFUNCTION("""COMPUTED_VALUE"""),66641.69)</f>
        <v>66641.69</v>
      </c>
      <c r="AP2994" s="6" t="str">
        <f t="shared" si="843"/>
        <v>19001</v>
      </c>
      <c r="AQ2994" s="6">
        <f t="shared" si="844"/>
        <v>1900</v>
      </c>
      <c r="AR2994" s="6">
        <f t="shared" si="845"/>
        <v>1</v>
      </c>
    </row>
    <row r="2995" spans="2:44" x14ac:dyDescent="0.35">
      <c r="B2995" s="6" t="str">
        <f t="shared" si="828"/>
        <v>19001</v>
      </c>
      <c r="C2995" s="6">
        <f t="shared" si="829"/>
        <v>1900</v>
      </c>
      <c r="D2995" s="6">
        <f t="shared" si="830"/>
        <v>1</v>
      </c>
      <c r="J2995" s="6" t="str">
        <f t="shared" si="831"/>
        <v>19001</v>
      </c>
      <c r="K2995" s="6">
        <f t="shared" si="832"/>
        <v>1900</v>
      </c>
      <c r="L2995" s="6">
        <f t="shared" si="833"/>
        <v>1</v>
      </c>
      <c r="R2995" s="6" t="str">
        <f t="shared" si="834"/>
        <v>19001</v>
      </c>
      <c r="S2995" s="6">
        <f t="shared" si="835"/>
        <v>1900</v>
      </c>
      <c r="T2995" s="6">
        <f t="shared" si="836"/>
        <v>1</v>
      </c>
      <c r="Z2995" s="6" t="str">
        <f t="shared" ca="1" si="837"/>
        <v>20265</v>
      </c>
      <c r="AA2995" s="6">
        <f t="shared" ca="1" si="838"/>
        <v>2026</v>
      </c>
      <c r="AB2995" s="6">
        <f t="shared" ca="1" si="839"/>
        <v>5</v>
      </c>
      <c r="AC2995" s="68">
        <f ca="1">IFERROR(__xludf.DUMMYFUNCTION("""COMPUTED_VALUE"""),46155.9986111111)</f>
        <v>46155.998611111099</v>
      </c>
      <c r="AD2995" s="6">
        <f ca="1">IFERROR(__xludf.DUMMYFUNCTION("""COMPUTED_VALUE"""),1489.84)</f>
        <v>1489.84</v>
      </c>
      <c r="AH2995" s="6" t="str">
        <f t="shared" ca="1" si="840"/>
        <v>20263</v>
      </c>
      <c r="AI2995" s="6">
        <f t="shared" ca="1" si="841"/>
        <v>2026</v>
      </c>
      <c r="AJ2995" s="6">
        <f t="shared" ca="1" si="842"/>
        <v>3</v>
      </c>
      <c r="AK2995" s="68">
        <f ca="1">IFERROR(__xludf.DUMMYFUNCTION("""COMPUTED_VALUE"""),46090.9986111111)</f>
        <v>46090.998611111099</v>
      </c>
      <c r="AL2995" s="6">
        <f ca="1">IFERROR(__xludf.DUMMYFUNCTION("""COMPUTED_VALUE"""),67219.71)</f>
        <v>67219.710000000006</v>
      </c>
      <c r="AP2995" s="6" t="str">
        <f t="shared" si="843"/>
        <v>19001</v>
      </c>
      <c r="AQ2995" s="6">
        <f t="shared" si="844"/>
        <v>1900</v>
      </c>
      <c r="AR2995" s="6">
        <f t="shared" si="845"/>
        <v>1</v>
      </c>
    </row>
    <row r="2996" spans="2:44" x14ac:dyDescent="0.35">
      <c r="B2996" s="6" t="str">
        <f t="shared" si="828"/>
        <v>19001</v>
      </c>
      <c r="C2996" s="6">
        <f t="shared" si="829"/>
        <v>1900</v>
      </c>
      <c r="D2996" s="6">
        <f t="shared" si="830"/>
        <v>1</v>
      </c>
      <c r="J2996" s="6" t="str">
        <f t="shared" si="831"/>
        <v>19001</v>
      </c>
      <c r="K2996" s="6">
        <f t="shared" si="832"/>
        <v>1900</v>
      </c>
      <c r="L2996" s="6">
        <f t="shared" si="833"/>
        <v>1</v>
      </c>
      <c r="R2996" s="6" t="str">
        <f t="shared" si="834"/>
        <v>19001</v>
      </c>
      <c r="S2996" s="6">
        <f t="shared" si="835"/>
        <v>1900</v>
      </c>
      <c r="T2996" s="6">
        <f t="shared" si="836"/>
        <v>1</v>
      </c>
      <c r="Z2996" s="6" t="str">
        <f t="shared" ca="1" si="837"/>
        <v>20265</v>
      </c>
      <c r="AA2996" s="6">
        <f t="shared" ca="1" si="838"/>
        <v>2026</v>
      </c>
      <c r="AB2996" s="6">
        <f t="shared" ca="1" si="839"/>
        <v>5</v>
      </c>
      <c r="AC2996" s="68">
        <f ca="1">IFERROR(__xludf.DUMMYFUNCTION("""COMPUTED_VALUE"""),46156.9986111111)</f>
        <v>46156.998611111099</v>
      </c>
      <c r="AD2996" s="6">
        <f ca="1">IFERROR(__xludf.DUMMYFUNCTION("""COMPUTED_VALUE"""),1493.34)</f>
        <v>1493.34</v>
      </c>
      <c r="AH2996" s="6" t="str">
        <f t="shared" ca="1" si="840"/>
        <v>20263</v>
      </c>
      <c r="AI2996" s="6">
        <f t="shared" ca="1" si="841"/>
        <v>2026</v>
      </c>
      <c r="AJ2996" s="6">
        <f t="shared" ca="1" si="842"/>
        <v>3</v>
      </c>
      <c r="AK2996" s="68">
        <f ca="1">IFERROR(__xludf.DUMMYFUNCTION("""COMPUTED_VALUE"""),46091.9986111111)</f>
        <v>46091.998611111099</v>
      </c>
      <c r="AL2996" s="6">
        <f ca="1">IFERROR(__xludf.DUMMYFUNCTION("""COMPUTED_VALUE"""),69446.6)</f>
        <v>69446.600000000006</v>
      </c>
      <c r="AP2996" s="6" t="str">
        <f t="shared" si="843"/>
        <v>19001</v>
      </c>
      <c r="AQ2996" s="6">
        <f t="shared" si="844"/>
        <v>1900</v>
      </c>
      <c r="AR2996" s="6">
        <f t="shared" si="845"/>
        <v>1</v>
      </c>
    </row>
    <row r="2997" spans="2:44" x14ac:dyDescent="0.35">
      <c r="B2997" s="6" t="str">
        <f t="shared" si="828"/>
        <v>19001</v>
      </c>
      <c r="C2997" s="6">
        <f t="shared" si="829"/>
        <v>1900</v>
      </c>
      <c r="D2997" s="6">
        <f t="shared" si="830"/>
        <v>1</v>
      </c>
      <c r="J2997" s="6" t="str">
        <f t="shared" si="831"/>
        <v>19001</v>
      </c>
      <c r="K2997" s="6">
        <f t="shared" si="832"/>
        <v>1900</v>
      </c>
      <c r="L2997" s="6">
        <f t="shared" si="833"/>
        <v>1</v>
      </c>
      <c r="R2997" s="6" t="str">
        <f t="shared" si="834"/>
        <v>19001</v>
      </c>
      <c r="S2997" s="6">
        <f t="shared" si="835"/>
        <v>1900</v>
      </c>
      <c r="T2997" s="6">
        <f t="shared" si="836"/>
        <v>1</v>
      </c>
      <c r="Z2997" s="6" t="str">
        <f t="shared" ca="1" si="837"/>
        <v>20265</v>
      </c>
      <c r="AA2997" s="6">
        <f t="shared" ca="1" si="838"/>
        <v>2026</v>
      </c>
      <c r="AB2997" s="6">
        <f t="shared" ca="1" si="839"/>
        <v>5</v>
      </c>
      <c r="AC2997" s="68">
        <f ca="1">IFERROR(__xludf.DUMMYFUNCTION("""COMPUTED_VALUE"""),46157.9986111111)</f>
        <v>46157.998611111099</v>
      </c>
      <c r="AD2997" s="6">
        <f ca="1">IFERROR(__xludf.DUMMYFUNCTION("""COMPUTED_VALUE"""),1496.3)</f>
        <v>1496.3</v>
      </c>
      <c r="AH2997" s="6" t="str">
        <f t="shared" ca="1" si="840"/>
        <v>20263</v>
      </c>
      <c r="AI2997" s="6">
        <f t="shared" ca="1" si="841"/>
        <v>2026</v>
      </c>
      <c r="AJ2997" s="6">
        <f t="shared" ca="1" si="842"/>
        <v>3</v>
      </c>
      <c r="AK2997" s="68">
        <f ca="1">IFERROR(__xludf.DUMMYFUNCTION("""COMPUTED_VALUE"""),46092.9986111111)</f>
        <v>46092.998611111099</v>
      </c>
      <c r="AL2997" s="6">
        <f ca="1">IFERROR(__xludf.DUMMYFUNCTION("""COMPUTED_VALUE"""),69571.17)</f>
        <v>69571.17</v>
      </c>
      <c r="AP2997" s="6" t="str">
        <f t="shared" si="843"/>
        <v>19001</v>
      </c>
      <c r="AQ2997" s="6">
        <f t="shared" si="844"/>
        <v>1900</v>
      </c>
      <c r="AR2997" s="6">
        <f t="shared" si="845"/>
        <v>1</v>
      </c>
    </row>
    <row r="2998" spans="2:44" x14ac:dyDescent="0.35">
      <c r="B2998" s="6" t="str">
        <f t="shared" si="828"/>
        <v>19001</v>
      </c>
      <c r="C2998" s="6">
        <f t="shared" si="829"/>
        <v>1900</v>
      </c>
      <c r="D2998" s="6">
        <f t="shared" si="830"/>
        <v>1</v>
      </c>
      <c r="J2998" s="6" t="str">
        <f t="shared" si="831"/>
        <v>19001</v>
      </c>
      <c r="K2998" s="6">
        <f t="shared" si="832"/>
        <v>1900</v>
      </c>
      <c r="L2998" s="6">
        <f t="shared" si="833"/>
        <v>1</v>
      </c>
      <c r="R2998" s="6" t="str">
        <f t="shared" si="834"/>
        <v>19001</v>
      </c>
      <c r="S2998" s="6">
        <f t="shared" si="835"/>
        <v>1900</v>
      </c>
      <c r="T2998" s="6">
        <f t="shared" si="836"/>
        <v>1</v>
      </c>
      <c r="Z2998" s="6" t="str">
        <f t="shared" ca="1" si="837"/>
        <v>20265</v>
      </c>
      <c r="AA2998" s="6">
        <f t="shared" ca="1" si="838"/>
        <v>2026</v>
      </c>
      <c r="AB2998" s="6">
        <f t="shared" ca="1" si="839"/>
        <v>5</v>
      </c>
      <c r="AC2998" s="68">
        <f ca="1">IFERROR(__xludf.DUMMYFUNCTION("""COMPUTED_VALUE"""),46158.9986111111)</f>
        <v>46158.998611111099</v>
      </c>
      <c r="AD2998" s="6">
        <f ca="1">IFERROR(__xludf.DUMMYFUNCTION("""COMPUTED_VALUE"""),1496.15)</f>
        <v>1496.15</v>
      </c>
      <c r="AH2998" s="6" t="str">
        <f t="shared" ca="1" si="840"/>
        <v>20263</v>
      </c>
      <c r="AI2998" s="6">
        <f t="shared" ca="1" si="841"/>
        <v>2026</v>
      </c>
      <c r="AJ2998" s="6">
        <f t="shared" ca="1" si="842"/>
        <v>3</v>
      </c>
      <c r="AK2998" s="68">
        <f ca="1">IFERROR(__xludf.DUMMYFUNCTION("""COMPUTED_VALUE"""),46093.9986111111)</f>
        <v>46093.998611111099</v>
      </c>
      <c r="AL2998" s="6">
        <f ca="1">IFERROR(__xludf.DUMMYFUNCTION("""COMPUTED_VALUE"""),69448.47)</f>
        <v>69448.47</v>
      </c>
      <c r="AP2998" s="6" t="str">
        <f t="shared" si="843"/>
        <v>19001</v>
      </c>
      <c r="AQ2998" s="6">
        <f t="shared" si="844"/>
        <v>1900</v>
      </c>
      <c r="AR2998" s="6">
        <f t="shared" si="845"/>
        <v>1</v>
      </c>
    </row>
    <row r="2999" spans="2:44" x14ac:dyDescent="0.35">
      <c r="B2999" s="6" t="str">
        <f t="shared" si="828"/>
        <v>19001</v>
      </c>
      <c r="C2999" s="6">
        <f t="shared" si="829"/>
        <v>1900</v>
      </c>
      <c r="D2999" s="6">
        <f t="shared" si="830"/>
        <v>1</v>
      </c>
      <c r="J2999" s="6" t="str">
        <f t="shared" si="831"/>
        <v>19001</v>
      </c>
      <c r="K2999" s="6">
        <f t="shared" si="832"/>
        <v>1900</v>
      </c>
      <c r="L2999" s="6">
        <f t="shared" si="833"/>
        <v>1</v>
      </c>
      <c r="R2999" s="6" t="str">
        <f t="shared" si="834"/>
        <v>19001</v>
      </c>
      <c r="S2999" s="6">
        <f t="shared" si="835"/>
        <v>1900</v>
      </c>
      <c r="T2999" s="6">
        <f t="shared" si="836"/>
        <v>1</v>
      </c>
      <c r="Z2999" s="6" t="str">
        <f t="shared" ca="1" si="837"/>
        <v>20265</v>
      </c>
      <c r="AA2999" s="6">
        <f t="shared" ca="1" si="838"/>
        <v>2026</v>
      </c>
      <c r="AB2999" s="6">
        <f t="shared" ca="1" si="839"/>
        <v>5</v>
      </c>
      <c r="AC2999" s="68">
        <f ca="1">IFERROR(__xludf.DUMMYFUNCTION("""COMPUTED_VALUE"""),46159.9986111111)</f>
        <v>46159.998611111099</v>
      </c>
      <c r="AD2999" s="6">
        <f ca="1">IFERROR(__xludf.DUMMYFUNCTION("""COMPUTED_VALUE"""),1497.15)</f>
        <v>1497.15</v>
      </c>
      <c r="AH2999" s="6" t="str">
        <f t="shared" ca="1" si="840"/>
        <v>20263</v>
      </c>
      <c r="AI2999" s="6">
        <f t="shared" ca="1" si="841"/>
        <v>2026</v>
      </c>
      <c r="AJ2999" s="6">
        <f t="shared" ca="1" si="842"/>
        <v>3</v>
      </c>
      <c r="AK2999" s="68">
        <f ca="1">IFERROR(__xludf.DUMMYFUNCTION("""COMPUTED_VALUE"""),46094.9986111111)</f>
        <v>46094.998611111099</v>
      </c>
      <c r="AL2999" s="6">
        <f ca="1">IFERROR(__xludf.DUMMYFUNCTION("""COMPUTED_VALUE"""),71371.01)</f>
        <v>71371.009999999995</v>
      </c>
      <c r="AP2999" s="6" t="str">
        <f t="shared" si="843"/>
        <v>19001</v>
      </c>
      <c r="AQ2999" s="6">
        <f t="shared" si="844"/>
        <v>1900</v>
      </c>
      <c r="AR2999" s="6">
        <f t="shared" si="845"/>
        <v>1</v>
      </c>
    </row>
    <row r="3000" spans="2:44" x14ac:dyDescent="0.35">
      <c r="B3000" s="6" t="str">
        <f t="shared" si="828"/>
        <v>19001</v>
      </c>
      <c r="C3000" s="6">
        <f t="shared" si="829"/>
        <v>1900</v>
      </c>
      <c r="D3000" s="6">
        <f t="shared" si="830"/>
        <v>1</v>
      </c>
      <c r="J3000" s="6" t="str">
        <f t="shared" si="831"/>
        <v>19001</v>
      </c>
      <c r="K3000" s="6">
        <f t="shared" si="832"/>
        <v>1900</v>
      </c>
      <c r="L3000" s="6">
        <f t="shared" si="833"/>
        <v>1</v>
      </c>
      <c r="R3000" s="6" t="str">
        <f t="shared" si="834"/>
        <v>19001</v>
      </c>
      <c r="S3000" s="6">
        <f t="shared" si="835"/>
        <v>1900</v>
      </c>
      <c r="T3000" s="6">
        <f t="shared" si="836"/>
        <v>1</v>
      </c>
      <c r="Z3000" s="6" t="str">
        <f t="shared" ca="1" si="837"/>
        <v>20265</v>
      </c>
      <c r="AA3000" s="6">
        <f t="shared" ca="1" si="838"/>
        <v>2026</v>
      </c>
      <c r="AB3000" s="6">
        <f t="shared" ca="1" si="839"/>
        <v>5</v>
      </c>
      <c r="AC3000" s="68">
        <f ca="1">IFERROR(__xludf.DUMMYFUNCTION("""COMPUTED_VALUE"""),46160.9986111111)</f>
        <v>46160.998611111099</v>
      </c>
      <c r="AD3000" s="6">
        <f ca="1">IFERROR(__xludf.DUMMYFUNCTION("""COMPUTED_VALUE"""),1492.32)</f>
        <v>1492.32</v>
      </c>
      <c r="AH3000" s="6" t="str">
        <f t="shared" ca="1" si="840"/>
        <v>20263</v>
      </c>
      <c r="AI3000" s="6">
        <f t="shared" ca="1" si="841"/>
        <v>2026</v>
      </c>
      <c r="AJ3000" s="6">
        <f t="shared" ca="1" si="842"/>
        <v>3</v>
      </c>
      <c r="AK3000" s="68">
        <f ca="1">IFERROR(__xludf.DUMMYFUNCTION("""COMPUTED_VALUE"""),46095.9986111111)</f>
        <v>46095.998611111099</v>
      </c>
      <c r="AL3000" s="6">
        <f ca="1">IFERROR(__xludf.DUMMYFUNCTION("""COMPUTED_VALUE"""),71115.02)</f>
        <v>71115.02</v>
      </c>
      <c r="AP3000" s="6" t="str">
        <f t="shared" si="843"/>
        <v>19001</v>
      </c>
      <c r="AQ3000" s="6">
        <f t="shared" si="844"/>
        <v>1900</v>
      </c>
      <c r="AR3000" s="6">
        <f t="shared" si="845"/>
        <v>1</v>
      </c>
    </row>
    <row r="3001" spans="2:44" x14ac:dyDescent="0.35">
      <c r="B3001" s="6" t="str">
        <f t="shared" si="828"/>
        <v>19001</v>
      </c>
      <c r="C3001" s="6">
        <f t="shared" si="829"/>
        <v>1900</v>
      </c>
      <c r="D3001" s="6">
        <f t="shared" si="830"/>
        <v>1</v>
      </c>
      <c r="J3001" s="6" t="str">
        <f t="shared" si="831"/>
        <v>19001</v>
      </c>
      <c r="K3001" s="6">
        <f t="shared" si="832"/>
        <v>1900</v>
      </c>
      <c r="L3001" s="6">
        <f t="shared" si="833"/>
        <v>1</v>
      </c>
      <c r="R3001" s="6" t="str">
        <f t="shared" si="834"/>
        <v>19001</v>
      </c>
      <c r="S3001" s="6">
        <f t="shared" si="835"/>
        <v>1900</v>
      </c>
      <c r="T3001" s="6">
        <f t="shared" si="836"/>
        <v>1</v>
      </c>
      <c r="Z3001" s="6" t="str">
        <f t="shared" ca="1" si="837"/>
        <v>20265</v>
      </c>
      <c r="AA3001" s="6">
        <f t="shared" ca="1" si="838"/>
        <v>2026</v>
      </c>
      <c r="AB3001" s="6">
        <f t="shared" ca="1" si="839"/>
        <v>5</v>
      </c>
      <c r="AC3001" s="68">
        <f ca="1">IFERROR(__xludf.DUMMYFUNCTION("""COMPUTED_VALUE"""),46161.9986111111)</f>
        <v>46161.998611111099</v>
      </c>
      <c r="AD3001" s="6">
        <f ca="1">IFERROR(__xludf.DUMMYFUNCTION("""COMPUTED_VALUE"""),1507.85)</f>
        <v>1507.85</v>
      </c>
      <c r="AH3001" s="6" t="str">
        <f t="shared" ca="1" si="840"/>
        <v>20263</v>
      </c>
      <c r="AI3001" s="6">
        <f t="shared" ca="1" si="841"/>
        <v>2026</v>
      </c>
      <c r="AJ3001" s="6">
        <f t="shared" ca="1" si="842"/>
        <v>3</v>
      </c>
      <c r="AK3001" s="68">
        <f ca="1">IFERROR(__xludf.DUMMYFUNCTION("""COMPUTED_VALUE"""),46096.9986111111)</f>
        <v>46096.998611111099</v>
      </c>
      <c r="AL3001" s="6">
        <f ca="1">IFERROR(__xludf.DUMMYFUNCTION("""COMPUTED_VALUE"""),71352.13)</f>
        <v>71352.13</v>
      </c>
      <c r="AP3001" s="6" t="str">
        <f t="shared" si="843"/>
        <v>19001</v>
      </c>
      <c r="AQ3001" s="6">
        <f t="shared" si="844"/>
        <v>1900</v>
      </c>
      <c r="AR3001" s="6">
        <f t="shared" si="845"/>
        <v>1</v>
      </c>
    </row>
    <row r="3002" spans="2:44" x14ac:dyDescent="0.35">
      <c r="B3002" s="6" t="str">
        <f t="shared" si="828"/>
        <v>19001</v>
      </c>
      <c r="C3002" s="6">
        <f t="shared" si="829"/>
        <v>1900</v>
      </c>
      <c r="D3002" s="6">
        <f t="shared" si="830"/>
        <v>1</v>
      </c>
      <c r="J3002" s="6" t="str">
        <f t="shared" si="831"/>
        <v>19001</v>
      </c>
      <c r="K3002" s="6">
        <f t="shared" si="832"/>
        <v>1900</v>
      </c>
      <c r="L3002" s="6">
        <f t="shared" si="833"/>
        <v>1</v>
      </c>
      <c r="R3002" s="6" t="str">
        <f t="shared" si="834"/>
        <v>19001</v>
      </c>
      <c r="S3002" s="6">
        <f t="shared" si="835"/>
        <v>1900</v>
      </c>
      <c r="T3002" s="6">
        <f t="shared" si="836"/>
        <v>1</v>
      </c>
      <c r="Z3002" s="6" t="str">
        <f t="shared" ca="1" si="837"/>
        <v>20265</v>
      </c>
      <c r="AA3002" s="6">
        <f t="shared" ca="1" si="838"/>
        <v>2026</v>
      </c>
      <c r="AB3002" s="6">
        <f t="shared" ca="1" si="839"/>
        <v>5</v>
      </c>
      <c r="AC3002" s="68">
        <f ca="1">IFERROR(__xludf.DUMMYFUNCTION("""COMPUTED_VALUE"""),46162.9986111111)</f>
        <v>46162.998611111099</v>
      </c>
      <c r="AD3002" s="6">
        <f ca="1">IFERROR(__xludf.DUMMYFUNCTION("""COMPUTED_VALUE"""),1499.77)</f>
        <v>1499.77</v>
      </c>
      <c r="AH3002" s="6" t="str">
        <f t="shared" ca="1" si="840"/>
        <v>20263</v>
      </c>
      <c r="AI3002" s="6">
        <f t="shared" ca="1" si="841"/>
        <v>2026</v>
      </c>
      <c r="AJ3002" s="6">
        <f t="shared" ca="1" si="842"/>
        <v>3</v>
      </c>
      <c r="AK3002" s="68">
        <f ca="1">IFERROR(__xludf.DUMMYFUNCTION("""COMPUTED_VALUE"""),46097.9986111111)</f>
        <v>46097.998611111099</v>
      </c>
      <c r="AL3002" s="6">
        <f ca="1">IFERROR(__xludf.DUMMYFUNCTION("""COMPUTED_VALUE"""),73607.4)</f>
        <v>73607.399999999994</v>
      </c>
      <c r="AP3002" s="6" t="str">
        <f t="shared" si="843"/>
        <v>19001</v>
      </c>
      <c r="AQ3002" s="6">
        <f t="shared" si="844"/>
        <v>1900</v>
      </c>
      <c r="AR3002" s="6">
        <f t="shared" si="845"/>
        <v>1</v>
      </c>
    </row>
    <row r="3003" spans="2:44" x14ac:dyDescent="0.35">
      <c r="B3003" s="6" t="str">
        <f t="shared" si="828"/>
        <v>19001</v>
      </c>
      <c r="C3003" s="6">
        <f t="shared" si="829"/>
        <v>1900</v>
      </c>
      <c r="D3003" s="6">
        <f t="shared" si="830"/>
        <v>1</v>
      </c>
      <c r="J3003" s="6" t="str">
        <f t="shared" si="831"/>
        <v>19001</v>
      </c>
      <c r="K3003" s="6">
        <f t="shared" si="832"/>
        <v>1900</v>
      </c>
      <c r="L3003" s="6">
        <f t="shared" si="833"/>
        <v>1</v>
      </c>
      <c r="R3003" s="6" t="str">
        <f t="shared" si="834"/>
        <v>19001</v>
      </c>
      <c r="S3003" s="6">
        <f t="shared" si="835"/>
        <v>1900</v>
      </c>
      <c r="T3003" s="6">
        <f t="shared" si="836"/>
        <v>1</v>
      </c>
      <c r="Z3003" s="6" t="str">
        <f t="shared" ca="1" si="837"/>
        <v>20265</v>
      </c>
      <c r="AA3003" s="6">
        <f t="shared" ca="1" si="838"/>
        <v>2026</v>
      </c>
      <c r="AB3003" s="6">
        <f t="shared" ca="1" si="839"/>
        <v>5</v>
      </c>
      <c r="AC3003" s="68">
        <f ca="1">IFERROR(__xludf.DUMMYFUNCTION("""COMPUTED_VALUE"""),46163.9986111111)</f>
        <v>46163.998611111099</v>
      </c>
      <c r="AD3003" s="6">
        <f ca="1">IFERROR(__xludf.DUMMYFUNCTION("""COMPUTED_VALUE"""),1504.4)</f>
        <v>1504.4</v>
      </c>
      <c r="AH3003" s="6" t="str">
        <f t="shared" ca="1" si="840"/>
        <v>20263</v>
      </c>
      <c r="AI3003" s="6">
        <f t="shared" ca="1" si="841"/>
        <v>2026</v>
      </c>
      <c r="AJ3003" s="6">
        <f t="shared" ca="1" si="842"/>
        <v>3</v>
      </c>
      <c r="AK3003" s="68">
        <f ca="1">IFERROR(__xludf.DUMMYFUNCTION("""COMPUTED_VALUE"""),46098.9986111111)</f>
        <v>46098.998611111099</v>
      </c>
      <c r="AL3003" s="6">
        <f ca="1">IFERROR(__xludf.DUMMYFUNCTION("""COMPUTED_VALUE"""),74486.24)</f>
        <v>74486.240000000005</v>
      </c>
      <c r="AP3003" s="6" t="str">
        <f t="shared" si="843"/>
        <v>19001</v>
      </c>
      <c r="AQ3003" s="6">
        <f t="shared" si="844"/>
        <v>1900</v>
      </c>
      <c r="AR3003" s="6">
        <f t="shared" si="845"/>
        <v>1</v>
      </c>
    </row>
    <row r="3004" spans="2:44" x14ac:dyDescent="0.35">
      <c r="B3004" s="6" t="str">
        <f t="shared" si="828"/>
        <v>19001</v>
      </c>
      <c r="C3004" s="6">
        <f t="shared" si="829"/>
        <v>1900</v>
      </c>
      <c r="D3004" s="6">
        <f t="shared" si="830"/>
        <v>1</v>
      </c>
      <c r="J3004" s="6" t="str">
        <f t="shared" si="831"/>
        <v>19001</v>
      </c>
      <c r="K3004" s="6">
        <f t="shared" si="832"/>
        <v>1900</v>
      </c>
      <c r="L3004" s="6">
        <f t="shared" si="833"/>
        <v>1</v>
      </c>
      <c r="R3004" s="6" t="str">
        <f t="shared" si="834"/>
        <v>19001</v>
      </c>
      <c r="S3004" s="6">
        <f t="shared" si="835"/>
        <v>1900</v>
      </c>
      <c r="T3004" s="6">
        <f t="shared" si="836"/>
        <v>1</v>
      </c>
      <c r="Z3004" s="6" t="str">
        <f t="shared" ca="1" si="837"/>
        <v>20265</v>
      </c>
      <c r="AA3004" s="6">
        <f t="shared" ca="1" si="838"/>
        <v>2026</v>
      </c>
      <c r="AB3004" s="6">
        <f t="shared" ca="1" si="839"/>
        <v>5</v>
      </c>
      <c r="AC3004" s="68">
        <f ca="1">IFERROR(__xludf.DUMMYFUNCTION("""COMPUTED_VALUE"""),46164.9986111111)</f>
        <v>46164.998611111099</v>
      </c>
      <c r="AD3004" s="6">
        <f ca="1">IFERROR(__xludf.DUMMYFUNCTION("""COMPUTED_VALUE"""),1519.65)</f>
        <v>1519.65</v>
      </c>
      <c r="AH3004" s="6" t="str">
        <f t="shared" ca="1" si="840"/>
        <v>20263</v>
      </c>
      <c r="AI3004" s="6">
        <f t="shared" ca="1" si="841"/>
        <v>2026</v>
      </c>
      <c r="AJ3004" s="6">
        <f t="shared" ca="1" si="842"/>
        <v>3</v>
      </c>
      <c r="AK3004" s="68">
        <f ca="1">IFERROR(__xludf.DUMMYFUNCTION("""COMPUTED_VALUE"""),46099.9986111111)</f>
        <v>46099.998611111099</v>
      </c>
      <c r="AL3004" s="6">
        <f ca="1">IFERROR(__xludf.DUMMYFUNCTION("""COMPUTED_VALUE"""),74474.25)</f>
        <v>74474.25</v>
      </c>
      <c r="AP3004" s="6" t="str">
        <f t="shared" si="843"/>
        <v>19001</v>
      </c>
      <c r="AQ3004" s="6">
        <f t="shared" si="844"/>
        <v>1900</v>
      </c>
      <c r="AR3004" s="6">
        <f t="shared" si="845"/>
        <v>1</v>
      </c>
    </row>
    <row r="3005" spans="2:44" x14ac:dyDescent="0.35">
      <c r="B3005" s="6" t="str">
        <f t="shared" si="828"/>
        <v>19001</v>
      </c>
      <c r="C3005" s="6">
        <f t="shared" si="829"/>
        <v>1900</v>
      </c>
      <c r="D3005" s="6">
        <f t="shared" si="830"/>
        <v>1</v>
      </c>
      <c r="J3005" s="6" t="str">
        <f t="shared" si="831"/>
        <v>19001</v>
      </c>
      <c r="K3005" s="6">
        <f t="shared" si="832"/>
        <v>1900</v>
      </c>
      <c r="L3005" s="6">
        <f t="shared" si="833"/>
        <v>1</v>
      </c>
      <c r="R3005" s="6" t="str">
        <f t="shared" si="834"/>
        <v>19001</v>
      </c>
      <c r="S3005" s="6">
        <f t="shared" si="835"/>
        <v>1900</v>
      </c>
      <c r="T3005" s="6">
        <f t="shared" si="836"/>
        <v>1</v>
      </c>
      <c r="Z3005" s="6" t="str">
        <f t="shared" ca="1" si="837"/>
        <v>20265</v>
      </c>
      <c r="AA3005" s="6">
        <f t="shared" ca="1" si="838"/>
        <v>2026</v>
      </c>
      <c r="AB3005" s="6">
        <f t="shared" ca="1" si="839"/>
        <v>5</v>
      </c>
      <c r="AC3005" s="68">
        <f ca="1">IFERROR(__xludf.DUMMYFUNCTION("""COMPUTED_VALUE"""),46165.9986111111)</f>
        <v>46165.998611111099</v>
      </c>
      <c r="AD3005" s="6">
        <f ca="1">IFERROR(__xludf.DUMMYFUNCTION("""COMPUTED_VALUE"""),1518.65)</f>
        <v>1518.65</v>
      </c>
      <c r="AH3005" s="6" t="str">
        <f t="shared" ca="1" si="840"/>
        <v>20263</v>
      </c>
      <c r="AI3005" s="6">
        <f t="shared" ca="1" si="841"/>
        <v>2026</v>
      </c>
      <c r="AJ3005" s="6">
        <f t="shared" ca="1" si="842"/>
        <v>3</v>
      </c>
      <c r="AK3005" s="68">
        <f ca="1">IFERROR(__xludf.DUMMYFUNCTION("""COMPUTED_VALUE"""),46100.9986111111)</f>
        <v>46100.998611111099</v>
      </c>
      <c r="AL3005" s="6">
        <f ca="1">IFERROR(__xludf.DUMMYFUNCTION("""COMPUTED_VALUE"""),71240.85)</f>
        <v>71240.850000000006</v>
      </c>
      <c r="AP3005" s="6" t="str">
        <f t="shared" si="843"/>
        <v>19001</v>
      </c>
      <c r="AQ3005" s="6">
        <f t="shared" si="844"/>
        <v>1900</v>
      </c>
      <c r="AR3005" s="6">
        <f t="shared" si="845"/>
        <v>1</v>
      </c>
    </row>
    <row r="3006" spans="2:44" x14ac:dyDescent="0.35">
      <c r="B3006" s="6" t="str">
        <f t="shared" si="828"/>
        <v>19001</v>
      </c>
      <c r="C3006" s="6">
        <f t="shared" si="829"/>
        <v>1900</v>
      </c>
      <c r="D3006" s="6">
        <f t="shared" si="830"/>
        <v>1</v>
      </c>
      <c r="J3006" s="6" t="str">
        <f t="shared" si="831"/>
        <v>19001</v>
      </c>
      <c r="K3006" s="6">
        <f t="shared" si="832"/>
        <v>1900</v>
      </c>
      <c r="L3006" s="6">
        <f t="shared" si="833"/>
        <v>1</v>
      </c>
      <c r="R3006" s="6" t="str">
        <f t="shared" si="834"/>
        <v>19001</v>
      </c>
      <c r="S3006" s="6">
        <f t="shared" si="835"/>
        <v>1900</v>
      </c>
      <c r="T3006" s="6">
        <f t="shared" si="836"/>
        <v>1</v>
      </c>
      <c r="Z3006" s="6" t="str">
        <f t="shared" ca="1" si="837"/>
        <v>20265</v>
      </c>
      <c r="AA3006" s="6">
        <f t="shared" ca="1" si="838"/>
        <v>2026</v>
      </c>
      <c r="AB3006" s="6">
        <f t="shared" ca="1" si="839"/>
        <v>5</v>
      </c>
      <c r="AC3006" s="68">
        <f ca="1">IFERROR(__xludf.DUMMYFUNCTION("""COMPUTED_VALUE"""),46166.9986111111)</f>
        <v>46166.998611111099</v>
      </c>
      <c r="AD3006" s="6">
        <f ca="1">IFERROR(__xludf.DUMMYFUNCTION("""COMPUTED_VALUE"""),1512.83)</f>
        <v>1512.83</v>
      </c>
      <c r="AH3006" s="6" t="str">
        <f t="shared" ca="1" si="840"/>
        <v>20263</v>
      </c>
      <c r="AI3006" s="6">
        <f t="shared" ca="1" si="841"/>
        <v>2026</v>
      </c>
      <c r="AJ3006" s="6">
        <f t="shared" ca="1" si="842"/>
        <v>3</v>
      </c>
      <c r="AK3006" s="68">
        <f ca="1">IFERROR(__xludf.DUMMYFUNCTION("""COMPUTED_VALUE"""),46101.9986111111)</f>
        <v>46101.998611111099</v>
      </c>
      <c r="AL3006" s="6">
        <f ca="1">IFERROR(__xludf.DUMMYFUNCTION("""COMPUTED_VALUE"""),70743.14)</f>
        <v>70743.14</v>
      </c>
      <c r="AP3006" s="6" t="str">
        <f t="shared" si="843"/>
        <v>19001</v>
      </c>
      <c r="AQ3006" s="6">
        <f t="shared" si="844"/>
        <v>1900</v>
      </c>
      <c r="AR3006" s="6">
        <f t="shared" si="845"/>
        <v>1</v>
      </c>
    </row>
    <row r="3007" spans="2:44" x14ac:dyDescent="0.35">
      <c r="B3007" s="6" t="str">
        <f t="shared" si="828"/>
        <v>19001</v>
      </c>
      <c r="C3007" s="6">
        <f t="shared" si="829"/>
        <v>1900</v>
      </c>
      <c r="D3007" s="6">
        <f t="shared" si="830"/>
        <v>1</v>
      </c>
      <c r="J3007" s="6" t="str">
        <f t="shared" si="831"/>
        <v>19001</v>
      </c>
      <c r="K3007" s="6">
        <f t="shared" si="832"/>
        <v>1900</v>
      </c>
      <c r="L3007" s="6">
        <f t="shared" si="833"/>
        <v>1</v>
      </c>
      <c r="R3007" s="6" t="str">
        <f t="shared" si="834"/>
        <v>19001</v>
      </c>
      <c r="S3007" s="6">
        <f t="shared" si="835"/>
        <v>1900</v>
      </c>
      <c r="T3007" s="6">
        <f t="shared" si="836"/>
        <v>1</v>
      </c>
      <c r="Z3007" s="6" t="str">
        <f t="shared" ca="1" si="837"/>
        <v>20265</v>
      </c>
      <c r="AA3007" s="6">
        <f t="shared" ca="1" si="838"/>
        <v>2026</v>
      </c>
      <c r="AB3007" s="6">
        <f t="shared" ca="1" si="839"/>
        <v>5</v>
      </c>
      <c r="AC3007" s="68">
        <f ca="1">IFERROR(__xludf.DUMMYFUNCTION("""COMPUTED_VALUE"""),46167.9986111111)</f>
        <v>46167.998611111099</v>
      </c>
      <c r="AD3007" s="6">
        <f ca="1">IFERROR(__xludf.DUMMYFUNCTION("""COMPUTED_VALUE"""),1514.79)</f>
        <v>1514.79</v>
      </c>
      <c r="AH3007" s="6" t="str">
        <f t="shared" ca="1" si="840"/>
        <v>20263</v>
      </c>
      <c r="AI3007" s="6">
        <f t="shared" ca="1" si="841"/>
        <v>2026</v>
      </c>
      <c r="AJ3007" s="6">
        <f t="shared" ca="1" si="842"/>
        <v>3</v>
      </c>
      <c r="AK3007" s="68">
        <f ca="1">IFERROR(__xludf.DUMMYFUNCTION("""COMPUTED_VALUE"""),46102.9986111111)</f>
        <v>46102.998611111099</v>
      </c>
      <c r="AL3007" s="6">
        <f ca="1">IFERROR(__xludf.DUMMYFUNCTION("""COMPUTED_VALUE"""),70687.77)</f>
        <v>70687.77</v>
      </c>
      <c r="AP3007" s="6" t="str">
        <f t="shared" si="843"/>
        <v>19001</v>
      </c>
      <c r="AQ3007" s="6">
        <f t="shared" si="844"/>
        <v>1900</v>
      </c>
      <c r="AR3007" s="6">
        <f t="shared" si="845"/>
        <v>1</v>
      </c>
    </row>
    <row r="3008" spans="2:44" x14ac:dyDescent="0.35">
      <c r="B3008" s="6" t="str">
        <f t="shared" si="828"/>
        <v>19001</v>
      </c>
      <c r="C3008" s="6">
        <f t="shared" si="829"/>
        <v>1900</v>
      </c>
      <c r="D3008" s="6">
        <f t="shared" si="830"/>
        <v>1</v>
      </c>
      <c r="J3008" s="6" t="str">
        <f t="shared" si="831"/>
        <v>19001</v>
      </c>
      <c r="K3008" s="6">
        <f t="shared" si="832"/>
        <v>1900</v>
      </c>
      <c r="L3008" s="6">
        <f t="shared" si="833"/>
        <v>1</v>
      </c>
      <c r="R3008" s="6" t="str">
        <f t="shared" si="834"/>
        <v>19001</v>
      </c>
      <c r="S3008" s="6">
        <f t="shared" si="835"/>
        <v>1900</v>
      </c>
      <c r="T3008" s="6">
        <f t="shared" si="836"/>
        <v>1</v>
      </c>
      <c r="Z3008" s="6" t="str">
        <f t="shared" ca="1" si="837"/>
        <v>20265</v>
      </c>
      <c r="AA3008" s="6">
        <f t="shared" ca="1" si="838"/>
        <v>2026</v>
      </c>
      <c r="AB3008" s="6">
        <f t="shared" ca="1" si="839"/>
        <v>5</v>
      </c>
      <c r="AC3008" s="68">
        <f ca="1">IFERROR(__xludf.DUMMYFUNCTION("""COMPUTED_VALUE"""),46168.9986111111)</f>
        <v>46168.998611111099</v>
      </c>
      <c r="AD3008" s="6">
        <f ca="1">IFERROR(__xludf.DUMMYFUNCTION("""COMPUTED_VALUE"""),1505.44)</f>
        <v>1505.44</v>
      </c>
      <c r="AH3008" s="6" t="str">
        <f t="shared" ca="1" si="840"/>
        <v>20263</v>
      </c>
      <c r="AI3008" s="6">
        <f t="shared" ca="1" si="841"/>
        <v>2026</v>
      </c>
      <c r="AJ3008" s="6">
        <f t="shared" ca="1" si="842"/>
        <v>3</v>
      </c>
      <c r="AK3008" s="68">
        <f ca="1">IFERROR(__xludf.DUMMYFUNCTION("""COMPUTED_VALUE"""),46103.9986111111)</f>
        <v>46103.998611111099</v>
      </c>
      <c r="AL3008" s="6">
        <f ca="1">IFERROR(__xludf.DUMMYFUNCTION("""COMPUTED_VALUE"""),69365.43)</f>
        <v>69365.429999999993</v>
      </c>
      <c r="AP3008" s="6" t="str">
        <f t="shared" si="843"/>
        <v>19001</v>
      </c>
      <c r="AQ3008" s="6">
        <f t="shared" si="844"/>
        <v>1900</v>
      </c>
      <c r="AR3008" s="6">
        <f t="shared" si="845"/>
        <v>1</v>
      </c>
    </row>
    <row r="3009" spans="2:44" x14ac:dyDescent="0.35">
      <c r="B3009" s="6" t="str">
        <f t="shared" si="828"/>
        <v>19001</v>
      </c>
      <c r="C3009" s="6">
        <f t="shared" si="829"/>
        <v>1900</v>
      </c>
      <c r="D3009" s="6">
        <f t="shared" si="830"/>
        <v>1</v>
      </c>
      <c r="J3009" s="6" t="str">
        <f t="shared" si="831"/>
        <v>19001</v>
      </c>
      <c r="K3009" s="6">
        <f t="shared" si="832"/>
        <v>1900</v>
      </c>
      <c r="L3009" s="6">
        <f t="shared" si="833"/>
        <v>1</v>
      </c>
      <c r="R3009" s="6" t="str">
        <f t="shared" si="834"/>
        <v>19001</v>
      </c>
      <c r="S3009" s="6">
        <f t="shared" si="835"/>
        <v>1900</v>
      </c>
      <c r="T3009" s="6">
        <f t="shared" si="836"/>
        <v>1</v>
      </c>
      <c r="Z3009" s="6" t="str">
        <f t="shared" ca="1" si="837"/>
        <v>20265</v>
      </c>
      <c r="AA3009" s="6">
        <f t="shared" ca="1" si="838"/>
        <v>2026</v>
      </c>
      <c r="AB3009" s="6">
        <f t="shared" ca="1" si="839"/>
        <v>5</v>
      </c>
      <c r="AC3009" s="68">
        <f ca="1">IFERROR(__xludf.DUMMYFUNCTION("""COMPUTED_VALUE"""),46169.9986111111)</f>
        <v>46169.998611111099</v>
      </c>
      <c r="AD3009" s="6">
        <f ca="1">IFERROR(__xludf.DUMMYFUNCTION("""COMPUTED_VALUE"""),1503.11)</f>
        <v>1503.11</v>
      </c>
      <c r="AH3009" s="6" t="str">
        <f t="shared" ca="1" si="840"/>
        <v>20263</v>
      </c>
      <c r="AI3009" s="6">
        <f t="shared" ca="1" si="841"/>
        <v>2026</v>
      </c>
      <c r="AJ3009" s="6">
        <f t="shared" ca="1" si="842"/>
        <v>3</v>
      </c>
      <c r="AK3009" s="68">
        <f ca="1">IFERROR(__xludf.DUMMYFUNCTION("""COMPUTED_VALUE"""),46104.9986111111)</f>
        <v>46104.998611111099</v>
      </c>
      <c r="AL3009" s="6">
        <f ca="1">IFERROR(__xludf.DUMMYFUNCTION("""COMPUTED_VALUE"""),68076.59)</f>
        <v>68076.59</v>
      </c>
      <c r="AP3009" s="6" t="str">
        <f t="shared" si="843"/>
        <v>19001</v>
      </c>
      <c r="AQ3009" s="6">
        <f t="shared" si="844"/>
        <v>1900</v>
      </c>
      <c r="AR3009" s="6">
        <f t="shared" si="845"/>
        <v>1</v>
      </c>
    </row>
    <row r="3010" spans="2:44" x14ac:dyDescent="0.35">
      <c r="B3010" s="6" t="str">
        <f t="shared" si="828"/>
        <v>19001</v>
      </c>
      <c r="C3010" s="6">
        <f t="shared" si="829"/>
        <v>1900</v>
      </c>
      <c r="D3010" s="6">
        <f t="shared" si="830"/>
        <v>1</v>
      </c>
      <c r="J3010" s="6" t="str">
        <f t="shared" si="831"/>
        <v>19001</v>
      </c>
      <c r="K3010" s="6">
        <f t="shared" si="832"/>
        <v>1900</v>
      </c>
      <c r="L3010" s="6">
        <f t="shared" si="833"/>
        <v>1</v>
      </c>
      <c r="R3010" s="6" t="str">
        <f t="shared" si="834"/>
        <v>19001</v>
      </c>
      <c r="S3010" s="6">
        <f t="shared" si="835"/>
        <v>1900</v>
      </c>
      <c r="T3010" s="6">
        <f t="shared" si="836"/>
        <v>1</v>
      </c>
      <c r="Z3010" s="6" t="str">
        <f t="shared" ca="1" si="837"/>
        <v>20265</v>
      </c>
      <c r="AA3010" s="6">
        <f t="shared" ca="1" si="838"/>
        <v>2026</v>
      </c>
      <c r="AB3010" s="6">
        <f t="shared" ca="1" si="839"/>
        <v>5</v>
      </c>
      <c r="AC3010" s="68">
        <f ca="1">IFERROR(__xludf.DUMMYFUNCTION("""COMPUTED_VALUE"""),46170.9986111111)</f>
        <v>46170.998611111099</v>
      </c>
      <c r="AD3010" s="6">
        <f ca="1">IFERROR(__xludf.DUMMYFUNCTION("""COMPUTED_VALUE"""),1495.29)</f>
        <v>1495.29</v>
      </c>
      <c r="AH3010" s="6" t="str">
        <f t="shared" ca="1" si="840"/>
        <v>20263</v>
      </c>
      <c r="AI3010" s="6">
        <f t="shared" ca="1" si="841"/>
        <v>2026</v>
      </c>
      <c r="AJ3010" s="6">
        <f t="shared" ca="1" si="842"/>
        <v>3</v>
      </c>
      <c r="AK3010" s="68">
        <f ca="1">IFERROR(__xludf.DUMMYFUNCTION("""COMPUTED_VALUE"""),46105.9986111111)</f>
        <v>46105.998611111099</v>
      </c>
      <c r="AL3010" s="6">
        <f ca="1">IFERROR(__xludf.DUMMYFUNCTION("""COMPUTED_VALUE"""),70523.14)</f>
        <v>70523.14</v>
      </c>
      <c r="AP3010" s="6" t="str">
        <f t="shared" si="843"/>
        <v>19001</v>
      </c>
      <c r="AQ3010" s="6">
        <f t="shared" si="844"/>
        <v>1900</v>
      </c>
      <c r="AR3010" s="6">
        <f t="shared" si="845"/>
        <v>1</v>
      </c>
    </row>
    <row r="3011" spans="2:44" x14ac:dyDescent="0.35">
      <c r="B3011" s="6" t="str">
        <f t="shared" si="828"/>
        <v>19001</v>
      </c>
      <c r="C3011" s="6">
        <f t="shared" si="829"/>
        <v>1900</v>
      </c>
      <c r="D3011" s="6">
        <f t="shared" si="830"/>
        <v>1</v>
      </c>
      <c r="J3011" s="6" t="str">
        <f t="shared" si="831"/>
        <v>19001</v>
      </c>
      <c r="K3011" s="6">
        <f t="shared" si="832"/>
        <v>1900</v>
      </c>
      <c r="L3011" s="6">
        <f t="shared" si="833"/>
        <v>1</v>
      </c>
      <c r="R3011" s="6" t="str">
        <f t="shared" si="834"/>
        <v>19001</v>
      </c>
      <c r="S3011" s="6">
        <f t="shared" si="835"/>
        <v>1900</v>
      </c>
      <c r="T3011" s="6">
        <f t="shared" si="836"/>
        <v>1</v>
      </c>
      <c r="Z3011" s="6" t="str">
        <f t="shared" ca="1" si="837"/>
        <v>20265</v>
      </c>
      <c r="AA3011" s="6">
        <f t="shared" ca="1" si="838"/>
        <v>2026</v>
      </c>
      <c r="AB3011" s="6">
        <f t="shared" ca="1" si="839"/>
        <v>5</v>
      </c>
      <c r="AC3011" s="68">
        <f ca="1">IFERROR(__xludf.DUMMYFUNCTION("""COMPUTED_VALUE"""),46171.9986111111)</f>
        <v>46171.998611111099</v>
      </c>
      <c r="AD3011" s="6">
        <f ca="1">IFERROR(__xludf.DUMMYFUNCTION("""COMPUTED_VALUE"""),1506.36)</f>
        <v>1506.36</v>
      </c>
      <c r="AH3011" s="6" t="str">
        <f t="shared" ca="1" si="840"/>
        <v>20263</v>
      </c>
      <c r="AI3011" s="6">
        <f t="shared" ca="1" si="841"/>
        <v>2026</v>
      </c>
      <c r="AJ3011" s="6">
        <f t="shared" ca="1" si="842"/>
        <v>3</v>
      </c>
      <c r="AK3011" s="68">
        <f ca="1">IFERROR(__xludf.DUMMYFUNCTION("""COMPUTED_VALUE"""),46106.9986111111)</f>
        <v>46106.998611111099</v>
      </c>
      <c r="AL3011" s="6">
        <f ca="1">IFERROR(__xludf.DUMMYFUNCTION("""COMPUTED_VALUE"""),70705.11)</f>
        <v>70705.11</v>
      </c>
      <c r="AP3011" s="6" t="str">
        <f t="shared" si="843"/>
        <v>19001</v>
      </c>
      <c r="AQ3011" s="6">
        <f t="shared" si="844"/>
        <v>1900</v>
      </c>
      <c r="AR3011" s="6">
        <f t="shared" si="845"/>
        <v>1</v>
      </c>
    </row>
    <row r="3012" spans="2:44" x14ac:dyDescent="0.35">
      <c r="B3012" s="6" t="str">
        <f t="shared" si="828"/>
        <v>19001</v>
      </c>
      <c r="C3012" s="6">
        <f t="shared" si="829"/>
        <v>1900</v>
      </c>
      <c r="D3012" s="6">
        <f t="shared" si="830"/>
        <v>1</v>
      </c>
      <c r="J3012" s="6" t="str">
        <f t="shared" si="831"/>
        <v>19001</v>
      </c>
      <c r="K3012" s="6">
        <f t="shared" si="832"/>
        <v>1900</v>
      </c>
      <c r="L3012" s="6">
        <f t="shared" si="833"/>
        <v>1</v>
      </c>
      <c r="R3012" s="6" t="str">
        <f t="shared" si="834"/>
        <v>19001</v>
      </c>
      <c r="S3012" s="6">
        <f t="shared" si="835"/>
        <v>1900</v>
      </c>
      <c r="T3012" s="6">
        <f t="shared" si="836"/>
        <v>1</v>
      </c>
      <c r="Z3012" s="6" t="str">
        <f t="shared" ca="1" si="837"/>
        <v>20265</v>
      </c>
      <c r="AA3012" s="6">
        <f t="shared" ca="1" si="838"/>
        <v>2026</v>
      </c>
      <c r="AB3012" s="6">
        <f t="shared" ca="1" si="839"/>
        <v>5</v>
      </c>
      <c r="AC3012" s="68">
        <f ca="1">IFERROR(__xludf.DUMMYFUNCTION("""COMPUTED_VALUE"""),46172.9986111111)</f>
        <v>46172.998611111099</v>
      </c>
      <c r="AD3012" s="6">
        <f ca="1">IFERROR(__xludf.DUMMYFUNCTION("""COMPUTED_VALUE"""),1505.96)</f>
        <v>1505.96</v>
      </c>
      <c r="AH3012" s="6" t="str">
        <f t="shared" ca="1" si="840"/>
        <v>20263</v>
      </c>
      <c r="AI3012" s="6">
        <f t="shared" ca="1" si="841"/>
        <v>2026</v>
      </c>
      <c r="AJ3012" s="6">
        <f t="shared" ca="1" si="842"/>
        <v>3</v>
      </c>
      <c r="AK3012" s="68">
        <f ca="1">IFERROR(__xludf.DUMMYFUNCTION("""COMPUTED_VALUE"""),46107.9986111111)</f>
        <v>46107.998611111099</v>
      </c>
      <c r="AL3012" s="6">
        <f ca="1">IFERROR(__xludf.DUMMYFUNCTION("""COMPUTED_VALUE"""),70851.4)</f>
        <v>70851.399999999994</v>
      </c>
      <c r="AP3012" s="6" t="str">
        <f t="shared" si="843"/>
        <v>19001</v>
      </c>
      <c r="AQ3012" s="6">
        <f t="shared" si="844"/>
        <v>1900</v>
      </c>
      <c r="AR3012" s="6">
        <f t="shared" si="845"/>
        <v>1</v>
      </c>
    </row>
    <row r="3013" spans="2:44" x14ac:dyDescent="0.35">
      <c r="B3013" s="6" t="str">
        <f t="shared" si="828"/>
        <v>19001</v>
      </c>
      <c r="C3013" s="6">
        <f t="shared" si="829"/>
        <v>1900</v>
      </c>
      <c r="D3013" s="6">
        <f t="shared" si="830"/>
        <v>1</v>
      </c>
      <c r="J3013" s="6" t="str">
        <f t="shared" si="831"/>
        <v>19001</v>
      </c>
      <c r="K3013" s="6">
        <f t="shared" si="832"/>
        <v>1900</v>
      </c>
      <c r="L3013" s="6">
        <f t="shared" si="833"/>
        <v>1</v>
      </c>
      <c r="R3013" s="6" t="str">
        <f t="shared" si="834"/>
        <v>19001</v>
      </c>
      <c r="S3013" s="6">
        <f t="shared" si="835"/>
        <v>1900</v>
      </c>
      <c r="T3013" s="6">
        <f t="shared" si="836"/>
        <v>1</v>
      </c>
      <c r="Z3013" s="6" t="str">
        <f t="shared" ca="1" si="837"/>
        <v>20265</v>
      </c>
      <c r="AA3013" s="6">
        <f t="shared" ca="1" si="838"/>
        <v>2026</v>
      </c>
      <c r="AB3013" s="6">
        <f t="shared" ca="1" si="839"/>
        <v>5</v>
      </c>
      <c r="AC3013" s="68">
        <f ca="1">IFERROR(__xludf.DUMMYFUNCTION("""COMPUTED_VALUE"""),46173.9986111111)</f>
        <v>46173.998611111099</v>
      </c>
      <c r="AD3013" s="6">
        <f ca="1">IFERROR(__xludf.DUMMYFUNCTION("""COMPUTED_VALUE"""),1506.84)</f>
        <v>1506.84</v>
      </c>
      <c r="AH3013" s="6" t="str">
        <f t="shared" ca="1" si="840"/>
        <v>20263</v>
      </c>
      <c r="AI3013" s="6">
        <f t="shared" ca="1" si="841"/>
        <v>2026</v>
      </c>
      <c r="AJ3013" s="6">
        <f t="shared" ca="1" si="842"/>
        <v>3</v>
      </c>
      <c r="AK3013" s="68">
        <f ca="1">IFERROR(__xludf.DUMMYFUNCTION("""COMPUTED_VALUE"""),46108.9986111111)</f>
        <v>46108.998611111099</v>
      </c>
      <c r="AL3013" s="6">
        <f ca="1">IFERROR(__xludf.DUMMYFUNCTION("""COMPUTED_VALUE"""),68749.36)</f>
        <v>68749.36</v>
      </c>
      <c r="AP3013" s="6" t="str">
        <f t="shared" si="843"/>
        <v>19001</v>
      </c>
      <c r="AQ3013" s="6">
        <f t="shared" si="844"/>
        <v>1900</v>
      </c>
      <c r="AR3013" s="6">
        <f t="shared" si="845"/>
        <v>1</v>
      </c>
    </row>
    <row r="3014" spans="2:44" x14ac:dyDescent="0.35">
      <c r="B3014" s="6" t="str">
        <f t="shared" si="828"/>
        <v>19001</v>
      </c>
      <c r="C3014" s="6">
        <f t="shared" si="829"/>
        <v>1900</v>
      </c>
      <c r="D3014" s="6">
        <f t="shared" si="830"/>
        <v>1</v>
      </c>
      <c r="J3014" s="6" t="str">
        <f t="shared" si="831"/>
        <v>19001</v>
      </c>
      <c r="K3014" s="6">
        <f t="shared" si="832"/>
        <v>1900</v>
      </c>
      <c r="L3014" s="6">
        <f t="shared" si="833"/>
        <v>1</v>
      </c>
      <c r="R3014" s="6" t="str">
        <f t="shared" si="834"/>
        <v>19001</v>
      </c>
      <c r="S3014" s="6">
        <f t="shared" si="835"/>
        <v>1900</v>
      </c>
      <c r="T3014" s="6">
        <f t="shared" si="836"/>
        <v>1</v>
      </c>
      <c r="Z3014" s="6" t="str">
        <f t="shared" ca="1" si="837"/>
        <v>20266</v>
      </c>
      <c r="AA3014" s="6">
        <f t="shared" ca="1" si="838"/>
        <v>2026</v>
      </c>
      <c r="AB3014" s="6">
        <f t="shared" ca="1" si="839"/>
        <v>6</v>
      </c>
      <c r="AC3014" s="68">
        <f ca="1">IFERROR(__xludf.DUMMYFUNCTION("""COMPUTED_VALUE"""),46174.9986111111)</f>
        <v>46174.998611111099</v>
      </c>
      <c r="AD3014" s="6">
        <f ca="1">IFERROR(__xludf.DUMMYFUNCTION("""COMPUTED_VALUE"""),1511.27)</f>
        <v>1511.27</v>
      </c>
      <c r="AH3014" s="6" t="str">
        <f t="shared" ca="1" si="840"/>
        <v>20263</v>
      </c>
      <c r="AI3014" s="6">
        <f t="shared" ca="1" si="841"/>
        <v>2026</v>
      </c>
      <c r="AJ3014" s="6">
        <f t="shared" ca="1" si="842"/>
        <v>3</v>
      </c>
      <c r="AK3014" s="68">
        <f ca="1">IFERROR(__xludf.DUMMYFUNCTION("""COMPUTED_VALUE"""),46109.9986111111)</f>
        <v>46109.998611111099</v>
      </c>
      <c r="AL3014" s="6">
        <f ca="1">IFERROR(__xludf.DUMMYFUNCTION("""COMPUTED_VALUE"""),66214.26)</f>
        <v>66214.259999999995</v>
      </c>
      <c r="AP3014" s="6" t="str">
        <f t="shared" si="843"/>
        <v>19001</v>
      </c>
      <c r="AQ3014" s="6">
        <f t="shared" si="844"/>
        <v>1900</v>
      </c>
      <c r="AR3014" s="6">
        <f t="shared" si="845"/>
        <v>1</v>
      </c>
    </row>
    <row r="3015" spans="2:44" x14ac:dyDescent="0.35">
      <c r="B3015" s="6" t="str">
        <f t="shared" ref="B3015:B3078" si="846">C3015&amp;D3015</f>
        <v>19001</v>
      </c>
      <c r="C3015" s="6">
        <f t="shared" ref="C3015:C3078" si="847">YEAR(E3015)</f>
        <v>1900</v>
      </c>
      <c r="D3015" s="6">
        <f t="shared" ref="D3015:D3078" si="848">MONTH(E3015)</f>
        <v>1</v>
      </c>
      <c r="J3015" s="6" t="str">
        <f t="shared" ref="J3015:J3078" si="849">K3015&amp;L3015</f>
        <v>19001</v>
      </c>
      <c r="K3015" s="6">
        <f t="shared" ref="K3015:K3078" si="850">YEAR(M3015)</f>
        <v>1900</v>
      </c>
      <c r="L3015" s="6">
        <f t="shared" ref="L3015:L3078" si="851">MONTH(M3015)</f>
        <v>1</v>
      </c>
      <c r="R3015" s="6" t="str">
        <f t="shared" ref="R3015:R3078" si="852">S3015&amp;T3015</f>
        <v>19001</v>
      </c>
      <c r="S3015" s="6">
        <f t="shared" ref="S3015:S3078" si="853">YEAR(U3015)</f>
        <v>1900</v>
      </c>
      <c r="T3015" s="6">
        <f t="shared" ref="T3015:T3078" si="854">MONTH(U3015)</f>
        <v>1</v>
      </c>
      <c r="Z3015" s="6" t="str">
        <f t="shared" ref="Z3015:Z3078" ca="1" si="855">AA3015&amp;AB3015</f>
        <v>20266</v>
      </c>
      <c r="AA3015" s="6">
        <f t="shared" ref="AA3015:AA3078" ca="1" si="856">YEAR(AC3015)</f>
        <v>2026</v>
      </c>
      <c r="AB3015" s="6">
        <f t="shared" ref="AB3015:AB3078" ca="1" si="857">MONTH(AC3015)</f>
        <v>6</v>
      </c>
      <c r="AC3015" s="68">
        <f ca="1">IFERROR(__xludf.DUMMYFUNCTION("""COMPUTED_VALUE"""),46175.9986111111)</f>
        <v>46175.998611111099</v>
      </c>
      <c r="AD3015" s="6">
        <f ca="1">IFERROR(__xludf.DUMMYFUNCTION("""COMPUTED_VALUE"""),1516.6)</f>
        <v>1516.6</v>
      </c>
      <c r="AH3015" s="6" t="str">
        <f t="shared" ref="AH3015:AH3078" ca="1" si="858">AI3015&amp;AJ3015</f>
        <v>20263</v>
      </c>
      <c r="AI3015" s="6">
        <f t="shared" ref="AI3015:AI3078" ca="1" si="859">YEAR(AK3015)</f>
        <v>2026</v>
      </c>
      <c r="AJ3015" s="6">
        <f t="shared" ref="AJ3015:AJ3078" ca="1" si="860">MONTH(AK3015)</f>
        <v>3</v>
      </c>
      <c r="AK3015" s="68">
        <f ca="1">IFERROR(__xludf.DUMMYFUNCTION("""COMPUTED_VALUE"""),46110.9986111111)</f>
        <v>46110.998611111099</v>
      </c>
      <c r="AL3015" s="6">
        <f ca="1">IFERROR(__xludf.DUMMYFUNCTION("""COMPUTED_VALUE"""),66920.02)</f>
        <v>66920.02</v>
      </c>
      <c r="AP3015" s="6" t="str">
        <f t="shared" ref="AP3015:AP3078" si="861">AQ3015&amp;AR3015</f>
        <v>19001</v>
      </c>
      <c r="AQ3015" s="6">
        <f t="shared" ref="AQ3015:AQ3078" si="862">YEAR(AS3015)</f>
        <v>1900</v>
      </c>
      <c r="AR3015" s="6">
        <f t="shared" ref="AR3015:AR3078" si="863">MONTH(AS3015)</f>
        <v>1</v>
      </c>
    </row>
    <row r="3016" spans="2:44" x14ac:dyDescent="0.35">
      <c r="B3016" s="6" t="str">
        <f t="shared" si="846"/>
        <v>19001</v>
      </c>
      <c r="C3016" s="6">
        <f t="shared" si="847"/>
        <v>1900</v>
      </c>
      <c r="D3016" s="6">
        <f t="shared" si="848"/>
        <v>1</v>
      </c>
      <c r="J3016" s="6" t="str">
        <f t="shared" si="849"/>
        <v>19001</v>
      </c>
      <c r="K3016" s="6">
        <f t="shared" si="850"/>
        <v>1900</v>
      </c>
      <c r="L3016" s="6">
        <f t="shared" si="851"/>
        <v>1</v>
      </c>
      <c r="R3016" s="6" t="str">
        <f t="shared" si="852"/>
        <v>19001</v>
      </c>
      <c r="S3016" s="6">
        <f t="shared" si="853"/>
        <v>1900</v>
      </c>
      <c r="T3016" s="6">
        <f t="shared" si="854"/>
        <v>1</v>
      </c>
      <c r="Z3016" s="6" t="str">
        <f t="shared" ca="1" si="855"/>
        <v>20266</v>
      </c>
      <c r="AA3016" s="6">
        <f t="shared" ca="1" si="856"/>
        <v>2026</v>
      </c>
      <c r="AB3016" s="6">
        <f t="shared" ca="1" si="857"/>
        <v>6</v>
      </c>
      <c r="AC3016" s="68">
        <f ca="1">IFERROR(__xludf.DUMMYFUNCTION("""COMPUTED_VALUE"""),46176.9986111111)</f>
        <v>46176.998611111099</v>
      </c>
      <c r="AD3016" s="6">
        <f ca="1">IFERROR(__xludf.DUMMYFUNCTION("""COMPUTED_VALUE"""),1530.11)</f>
        <v>1530.11</v>
      </c>
      <c r="AH3016" s="6" t="str">
        <f t="shared" ca="1" si="858"/>
        <v>20263</v>
      </c>
      <c r="AI3016" s="6">
        <f t="shared" ca="1" si="859"/>
        <v>2026</v>
      </c>
      <c r="AJ3016" s="6">
        <f t="shared" ca="1" si="860"/>
        <v>3</v>
      </c>
      <c r="AK3016" s="68">
        <f ca="1">IFERROR(__xludf.DUMMYFUNCTION("""COMPUTED_VALUE"""),46111.9986111111)</f>
        <v>46111.998611111099</v>
      </c>
      <c r="AL3016" s="6">
        <f ca="1">IFERROR(__xludf.DUMMYFUNCTION("""COMPUTED_VALUE"""),67120.27)</f>
        <v>67120.27</v>
      </c>
      <c r="AP3016" s="6" t="str">
        <f t="shared" si="861"/>
        <v>19001</v>
      </c>
      <c r="AQ3016" s="6">
        <f t="shared" si="862"/>
        <v>1900</v>
      </c>
      <c r="AR3016" s="6">
        <f t="shared" si="863"/>
        <v>1</v>
      </c>
    </row>
    <row r="3017" spans="2:44" x14ac:dyDescent="0.35">
      <c r="B3017" s="6" t="str">
        <f t="shared" si="846"/>
        <v>19001</v>
      </c>
      <c r="C3017" s="6">
        <f t="shared" si="847"/>
        <v>1900</v>
      </c>
      <c r="D3017" s="6">
        <f t="shared" si="848"/>
        <v>1</v>
      </c>
      <c r="J3017" s="6" t="str">
        <f t="shared" si="849"/>
        <v>19001</v>
      </c>
      <c r="K3017" s="6">
        <f t="shared" si="850"/>
        <v>1900</v>
      </c>
      <c r="L3017" s="6">
        <f t="shared" si="851"/>
        <v>1</v>
      </c>
      <c r="R3017" s="6" t="str">
        <f t="shared" si="852"/>
        <v>19001</v>
      </c>
      <c r="S3017" s="6">
        <f t="shared" si="853"/>
        <v>1900</v>
      </c>
      <c r="T3017" s="6">
        <f t="shared" si="854"/>
        <v>1</v>
      </c>
      <c r="Z3017" s="6" t="str">
        <f t="shared" ca="1" si="855"/>
        <v>20266</v>
      </c>
      <c r="AA3017" s="6">
        <f t="shared" ca="1" si="856"/>
        <v>2026</v>
      </c>
      <c r="AB3017" s="6">
        <f t="shared" ca="1" si="857"/>
        <v>6</v>
      </c>
      <c r="AC3017" s="68">
        <f ca="1">IFERROR(__xludf.DUMMYFUNCTION("""COMPUTED_VALUE"""),46177.9986111111)</f>
        <v>46177.998611111099</v>
      </c>
      <c r="AD3017" s="6">
        <f ca="1">IFERROR(__xludf.DUMMYFUNCTION("""COMPUTED_VALUE"""),1533.07)</f>
        <v>1533.07</v>
      </c>
      <c r="AH3017" s="6" t="str">
        <f t="shared" ca="1" si="858"/>
        <v>20263</v>
      </c>
      <c r="AI3017" s="6">
        <f t="shared" ca="1" si="859"/>
        <v>2026</v>
      </c>
      <c r="AJ3017" s="6">
        <f t="shared" ca="1" si="860"/>
        <v>3</v>
      </c>
      <c r="AK3017" s="68">
        <f ca="1">IFERROR(__xludf.DUMMYFUNCTION("""COMPUTED_VALUE"""),46112.9986111111)</f>
        <v>46112.998611111099</v>
      </c>
      <c r="AL3017" s="6">
        <f ca="1">IFERROR(__xludf.DUMMYFUNCTION("""COMPUTED_VALUE"""),67647.5)</f>
        <v>67647.5</v>
      </c>
      <c r="AP3017" s="6" t="str">
        <f t="shared" si="861"/>
        <v>19001</v>
      </c>
      <c r="AQ3017" s="6">
        <f t="shared" si="862"/>
        <v>1900</v>
      </c>
      <c r="AR3017" s="6">
        <f t="shared" si="863"/>
        <v>1</v>
      </c>
    </row>
    <row r="3018" spans="2:44" x14ac:dyDescent="0.35">
      <c r="B3018" s="6" t="str">
        <f t="shared" si="846"/>
        <v>19001</v>
      </c>
      <c r="C3018" s="6">
        <f t="shared" si="847"/>
        <v>1900</v>
      </c>
      <c r="D3018" s="6">
        <f t="shared" si="848"/>
        <v>1</v>
      </c>
      <c r="J3018" s="6" t="str">
        <f t="shared" si="849"/>
        <v>19001</v>
      </c>
      <c r="K3018" s="6">
        <f t="shared" si="850"/>
        <v>1900</v>
      </c>
      <c r="L3018" s="6">
        <f t="shared" si="851"/>
        <v>1</v>
      </c>
      <c r="R3018" s="6" t="str">
        <f t="shared" si="852"/>
        <v>19001</v>
      </c>
      <c r="S3018" s="6">
        <f t="shared" si="853"/>
        <v>1900</v>
      </c>
      <c r="T3018" s="6">
        <f t="shared" si="854"/>
        <v>1</v>
      </c>
      <c r="Z3018" s="6" t="str">
        <f t="shared" ca="1" si="855"/>
        <v>20266</v>
      </c>
      <c r="AA3018" s="6">
        <f t="shared" ca="1" si="856"/>
        <v>2026</v>
      </c>
      <c r="AB3018" s="6">
        <f t="shared" ca="1" si="857"/>
        <v>6</v>
      </c>
      <c r="AC3018" s="68">
        <f ca="1">IFERROR(__xludf.DUMMYFUNCTION("""COMPUTED_VALUE"""),46178.9986111111)</f>
        <v>46178.998611111099</v>
      </c>
      <c r="AD3018" s="6">
        <f ca="1">IFERROR(__xludf.DUMMYFUNCTION("""COMPUTED_VALUE"""),1558.47)</f>
        <v>1558.47</v>
      </c>
      <c r="AH3018" s="6" t="str">
        <f t="shared" ca="1" si="858"/>
        <v>20264</v>
      </c>
      <c r="AI3018" s="6">
        <f t="shared" ca="1" si="859"/>
        <v>2026</v>
      </c>
      <c r="AJ3018" s="6">
        <f t="shared" ca="1" si="860"/>
        <v>4</v>
      </c>
      <c r="AK3018" s="68">
        <f ca="1">IFERROR(__xludf.DUMMYFUNCTION("""COMPUTED_VALUE"""),46113.9986111111)</f>
        <v>46113.998611111099</v>
      </c>
      <c r="AL3018" s="6">
        <f ca="1">IFERROR(__xludf.DUMMYFUNCTION("""COMPUTED_VALUE"""),68084.47)</f>
        <v>68084.47</v>
      </c>
      <c r="AP3018" s="6" t="str">
        <f t="shared" si="861"/>
        <v>19001</v>
      </c>
      <c r="AQ3018" s="6">
        <f t="shared" si="862"/>
        <v>1900</v>
      </c>
      <c r="AR3018" s="6">
        <f t="shared" si="863"/>
        <v>1</v>
      </c>
    </row>
    <row r="3019" spans="2:44" x14ac:dyDescent="0.35">
      <c r="B3019" s="6" t="str">
        <f t="shared" si="846"/>
        <v>19001</v>
      </c>
      <c r="C3019" s="6">
        <f t="shared" si="847"/>
        <v>1900</v>
      </c>
      <c r="D3019" s="6">
        <f t="shared" si="848"/>
        <v>1</v>
      </c>
      <c r="J3019" s="6" t="str">
        <f t="shared" si="849"/>
        <v>19001</v>
      </c>
      <c r="K3019" s="6">
        <f t="shared" si="850"/>
        <v>1900</v>
      </c>
      <c r="L3019" s="6">
        <f t="shared" si="851"/>
        <v>1</v>
      </c>
      <c r="R3019" s="6" t="str">
        <f t="shared" si="852"/>
        <v>19001</v>
      </c>
      <c r="S3019" s="6">
        <f t="shared" si="853"/>
        <v>1900</v>
      </c>
      <c r="T3019" s="6">
        <f t="shared" si="854"/>
        <v>1</v>
      </c>
      <c r="Z3019" s="6" t="str">
        <f t="shared" ca="1" si="855"/>
        <v>20266</v>
      </c>
      <c r="AA3019" s="6">
        <f t="shared" ca="1" si="856"/>
        <v>2026</v>
      </c>
      <c r="AB3019" s="6">
        <f t="shared" ca="1" si="857"/>
        <v>6</v>
      </c>
      <c r="AC3019" s="68">
        <f ca="1">IFERROR(__xludf.DUMMYFUNCTION("""COMPUTED_VALUE"""),46179.9986111111)</f>
        <v>46179.998611111099</v>
      </c>
      <c r="AD3019" s="6">
        <f ca="1">IFERROR(__xludf.DUMMYFUNCTION("""COMPUTED_VALUE"""),1557.47)</f>
        <v>1557.47</v>
      </c>
      <c r="AH3019" s="6" t="str">
        <f t="shared" ca="1" si="858"/>
        <v>20264</v>
      </c>
      <c r="AI3019" s="6">
        <f t="shared" ca="1" si="859"/>
        <v>2026</v>
      </c>
      <c r="AJ3019" s="6">
        <f t="shared" ca="1" si="860"/>
        <v>4</v>
      </c>
      <c r="AK3019" s="68">
        <f ca="1">IFERROR(__xludf.DUMMYFUNCTION("""COMPUTED_VALUE"""),46114.9986111111)</f>
        <v>46114.998611111099</v>
      </c>
      <c r="AL3019" s="6">
        <f ca="1">IFERROR(__xludf.DUMMYFUNCTION("""COMPUTED_VALUE"""),66597.65)</f>
        <v>66597.649999999994</v>
      </c>
      <c r="AP3019" s="6" t="str">
        <f t="shared" si="861"/>
        <v>19001</v>
      </c>
      <c r="AQ3019" s="6">
        <f t="shared" si="862"/>
        <v>1900</v>
      </c>
      <c r="AR3019" s="6">
        <f t="shared" si="863"/>
        <v>1</v>
      </c>
    </row>
    <row r="3020" spans="2:44" x14ac:dyDescent="0.35">
      <c r="B3020" s="6" t="str">
        <f t="shared" si="846"/>
        <v>19001</v>
      </c>
      <c r="C3020" s="6">
        <f t="shared" si="847"/>
        <v>1900</v>
      </c>
      <c r="D3020" s="6">
        <f t="shared" si="848"/>
        <v>1</v>
      </c>
      <c r="J3020" s="6" t="str">
        <f t="shared" si="849"/>
        <v>19001</v>
      </c>
      <c r="K3020" s="6">
        <f t="shared" si="850"/>
        <v>1900</v>
      </c>
      <c r="L3020" s="6">
        <f t="shared" si="851"/>
        <v>1</v>
      </c>
      <c r="R3020" s="6" t="str">
        <f t="shared" si="852"/>
        <v>19001</v>
      </c>
      <c r="S3020" s="6">
        <f t="shared" si="853"/>
        <v>1900</v>
      </c>
      <c r="T3020" s="6">
        <f t="shared" si="854"/>
        <v>1</v>
      </c>
      <c r="Z3020" s="6" t="str">
        <f t="shared" ca="1" si="855"/>
        <v>20266</v>
      </c>
      <c r="AA3020" s="6">
        <f t="shared" ca="1" si="856"/>
        <v>2026</v>
      </c>
      <c r="AB3020" s="6">
        <f t="shared" ca="1" si="857"/>
        <v>6</v>
      </c>
      <c r="AC3020" s="68">
        <f ca="1">IFERROR(__xludf.DUMMYFUNCTION("""COMPUTED_VALUE"""),46180.9986111111)</f>
        <v>46180.998611111099</v>
      </c>
      <c r="AD3020" s="6">
        <f ca="1">IFERROR(__xludf.DUMMYFUNCTION("""COMPUTED_VALUE"""),1554.48)</f>
        <v>1554.48</v>
      </c>
      <c r="AH3020" s="6" t="str">
        <f t="shared" ca="1" si="858"/>
        <v>20264</v>
      </c>
      <c r="AI3020" s="6">
        <f t="shared" ca="1" si="859"/>
        <v>2026</v>
      </c>
      <c r="AJ3020" s="6">
        <f t="shared" ca="1" si="860"/>
        <v>4</v>
      </c>
      <c r="AK3020" s="68">
        <f ca="1">IFERROR(__xludf.DUMMYFUNCTION("""COMPUTED_VALUE"""),46115.9986111111)</f>
        <v>46115.998611111099</v>
      </c>
      <c r="AL3020" s="6">
        <f ca="1">IFERROR(__xludf.DUMMYFUNCTION("""COMPUTED_VALUE"""),66597.64)</f>
        <v>66597.64</v>
      </c>
      <c r="AP3020" s="6" t="str">
        <f t="shared" si="861"/>
        <v>19001</v>
      </c>
      <c r="AQ3020" s="6">
        <f t="shared" si="862"/>
        <v>1900</v>
      </c>
      <c r="AR3020" s="6">
        <f t="shared" si="863"/>
        <v>1</v>
      </c>
    </row>
    <row r="3021" spans="2:44" x14ac:dyDescent="0.35">
      <c r="B3021" s="6" t="str">
        <f t="shared" si="846"/>
        <v>19001</v>
      </c>
      <c r="C3021" s="6">
        <f t="shared" si="847"/>
        <v>1900</v>
      </c>
      <c r="D3021" s="6">
        <f t="shared" si="848"/>
        <v>1</v>
      </c>
      <c r="J3021" s="6" t="str">
        <f t="shared" si="849"/>
        <v>19001</v>
      </c>
      <c r="K3021" s="6">
        <f t="shared" si="850"/>
        <v>1900</v>
      </c>
      <c r="L3021" s="6">
        <f t="shared" si="851"/>
        <v>1</v>
      </c>
      <c r="R3021" s="6" t="str">
        <f t="shared" si="852"/>
        <v>19001</v>
      </c>
      <c r="S3021" s="6">
        <f t="shared" si="853"/>
        <v>1900</v>
      </c>
      <c r="T3021" s="6">
        <f t="shared" si="854"/>
        <v>1</v>
      </c>
      <c r="Z3021" s="6" t="str">
        <f t="shared" ca="1" si="855"/>
        <v>20266</v>
      </c>
      <c r="AA3021" s="6">
        <f t="shared" ca="1" si="856"/>
        <v>2026</v>
      </c>
      <c r="AB3021" s="6">
        <f t="shared" ca="1" si="857"/>
        <v>6</v>
      </c>
      <c r="AC3021" s="68">
        <f ca="1">IFERROR(__xludf.DUMMYFUNCTION("""COMPUTED_VALUE"""),46181.9986111111)</f>
        <v>46181.998611111099</v>
      </c>
      <c r="AD3021" s="6">
        <f ca="1">IFERROR(__xludf.DUMMYFUNCTION("""COMPUTED_VALUE"""),1528.88)</f>
        <v>1528.88</v>
      </c>
      <c r="AH3021" s="6" t="str">
        <f t="shared" ca="1" si="858"/>
        <v>20264</v>
      </c>
      <c r="AI3021" s="6">
        <f t="shared" ca="1" si="859"/>
        <v>2026</v>
      </c>
      <c r="AJ3021" s="6">
        <f t="shared" ca="1" si="860"/>
        <v>4</v>
      </c>
      <c r="AK3021" s="68">
        <f ca="1">IFERROR(__xludf.DUMMYFUNCTION("""COMPUTED_VALUE"""),46116.9986111111)</f>
        <v>46116.998611111099</v>
      </c>
      <c r="AL3021" s="6">
        <f ca="1">IFERROR(__xludf.DUMMYFUNCTION("""COMPUTED_VALUE"""),66828.99)</f>
        <v>66828.990000000005</v>
      </c>
      <c r="AP3021" s="6" t="str">
        <f t="shared" si="861"/>
        <v>19001</v>
      </c>
      <c r="AQ3021" s="6">
        <f t="shared" si="862"/>
        <v>1900</v>
      </c>
      <c r="AR3021" s="6">
        <f t="shared" si="863"/>
        <v>1</v>
      </c>
    </row>
    <row r="3022" spans="2:44" x14ac:dyDescent="0.35">
      <c r="B3022" s="6" t="str">
        <f t="shared" si="846"/>
        <v>19001</v>
      </c>
      <c r="C3022" s="6">
        <f t="shared" si="847"/>
        <v>1900</v>
      </c>
      <c r="D3022" s="6">
        <f t="shared" si="848"/>
        <v>1</v>
      </c>
      <c r="J3022" s="6" t="str">
        <f t="shared" si="849"/>
        <v>19001</v>
      </c>
      <c r="K3022" s="6">
        <f t="shared" si="850"/>
        <v>1900</v>
      </c>
      <c r="L3022" s="6">
        <f t="shared" si="851"/>
        <v>1</v>
      </c>
      <c r="R3022" s="6" t="str">
        <f t="shared" si="852"/>
        <v>19001</v>
      </c>
      <c r="S3022" s="6">
        <f t="shared" si="853"/>
        <v>1900</v>
      </c>
      <c r="T3022" s="6">
        <f t="shared" si="854"/>
        <v>1</v>
      </c>
      <c r="Z3022" s="6" t="str">
        <f t="shared" ca="1" si="855"/>
        <v>20266</v>
      </c>
      <c r="AA3022" s="6">
        <f t="shared" ca="1" si="856"/>
        <v>2026</v>
      </c>
      <c r="AB3022" s="6">
        <f t="shared" ca="1" si="857"/>
        <v>6</v>
      </c>
      <c r="AC3022" s="68">
        <f ca="1">IFERROR(__xludf.DUMMYFUNCTION("""COMPUTED_VALUE"""),46182.9986111111)</f>
        <v>46182.998611111099</v>
      </c>
      <c r="AD3022" s="6">
        <f ca="1">IFERROR(__xludf.DUMMYFUNCTION("""COMPUTED_VALUE"""),1525.81)</f>
        <v>1525.81</v>
      </c>
      <c r="AH3022" s="6" t="str">
        <f t="shared" ca="1" si="858"/>
        <v>20264</v>
      </c>
      <c r="AI3022" s="6">
        <f t="shared" ca="1" si="859"/>
        <v>2026</v>
      </c>
      <c r="AJ3022" s="6">
        <f t="shared" ca="1" si="860"/>
        <v>4</v>
      </c>
      <c r="AK3022" s="68">
        <f ca="1">IFERROR(__xludf.DUMMYFUNCTION("""COMPUTED_VALUE"""),46117.9986111111)</f>
        <v>46117.998611111099</v>
      </c>
      <c r="AL3022" s="6">
        <f ca="1">IFERROR(__xludf.DUMMYFUNCTION("""COMPUTED_VALUE"""),67130.08)</f>
        <v>67130.080000000002</v>
      </c>
      <c r="AP3022" s="6" t="str">
        <f t="shared" si="861"/>
        <v>19001</v>
      </c>
      <c r="AQ3022" s="6">
        <f t="shared" si="862"/>
        <v>1900</v>
      </c>
      <c r="AR3022" s="6">
        <f t="shared" si="863"/>
        <v>1</v>
      </c>
    </row>
    <row r="3023" spans="2:44" x14ac:dyDescent="0.35">
      <c r="B3023" s="6" t="str">
        <f t="shared" si="846"/>
        <v>19001</v>
      </c>
      <c r="C3023" s="6">
        <f t="shared" si="847"/>
        <v>1900</v>
      </c>
      <c r="D3023" s="6">
        <f t="shared" si="848"/>
        <v>1</v>
      </c>
      <c r="J3023" s="6" t="str">
        <f t="shared" si="849"/>
        <v>19001</v>
      </c>
      <c r="K3023" s="6">
        <f t="shared" si="850"/>
        <v>1900</v>
      </c>
      <c r="L3023" s="6">
        <f t="shared" si="851"/>
        <v>1</v>
      </c>
      <c r="R3023" s="6" t="str">
        <f t="shared" si="852"/>
        <v>19001</v>
      </c>
      <c r="S3023" s="6">
        <f t="shared" si="853"/>
        <v>1900</v>
      </c>
      <c r="T3023" s="6">
        <f t="shared" si="854"/>
        <v>1</v>
      </c>
      <c r="Z3023" s="6" t="str">
        <f t="shared" ca="1" si="855"/>
        <v>20266</v>
      </c>
      <c r="AA3023" s="6">
        <f t="shared" ca="1" si="856"/>
        <v>2026</v>
      </c>
      <c r="AB3023" s="6">
        <f t="shared" ca="1" si="857"/>
        <v>6</v>
      </c>
      <c r="AC3023" s="68">
        <f ca="1">IFERROR(__xludf.DUMMYFUNCTION("""COMPUTED_VALUE"""),46183.9986111111)</f>
        <v>46183.998611111099</v>
      </c>
      <c r="AD3023" s="6">
        <f ca="1">IFERROR(__xludf.DUMMYFUNCTION("""COMPUTED_VALUE"""),1525.05)</f>
        <v>1525.05</v>
      </c>
      <c r="AH3023" s="6" t="str">
        <f t="shared" ca="1" si="858"/>
        <v>20264</v>
      </c>
      <c r="AI3023" s="6">
        <f t="shared" ca="1" si="859"/>
        <v>2026</v>
      </c>
      <c r="AJ3023" s="6">
        <f t="shared" ca="1" si="860"/>
        <v>4</v>
      </c>
      <c r="AK3023" s="68">
        <f ca="1">IFERROR(__xludf.DUMMYFUNCTION("""COMPUTED_VALUE"""),46118.9986111111)</f>
        <v>46118.998611111099</v>
      </c>
      <c r="AL3023" s="6">
        <f ca="1">IFERROR(__xludf.DUMMYFUNCTION("""COMPUTED_VALUE"""),69066.4)</f>
        <v>69066.399999999994</v>
      </c>
      <c r="AP3023" s="6" t="str">
        <f t="shared" si="861"/>
        <v>19001</v>
      </c>
      <c r="AQ3023" s="6">
        <f t="shared" si="862"/>
        <v>1900</v>
      </c>
      <c r="AR3023" s="6">
        <f t="shared" si="863"/>
        <v>1</v>
      </c>
    </row>
    <row r="3024" spans="2:44" x14ac:dyDescent="0.35">
      <c r="B3024" s="6" t="str">
        <f t="shared" si="846"/>
        <v>19001</v>
      </c>
      <c r="C3024" s="6">
        <f t="shared" si="847"/>
        <v>1900</v>
      </c>
      <c r="D3024" s="6">
        <f t="shared" si="848"/>
        <v>1</v>
      </c>
      <c r="J3024" s="6" t="str">
        <f t="shared" si="849"/>
        <v>19001</v>
      </c>
      <c r="K3024" s="6">
        <f t="shared" si="850"/>
        <v>1900</v>
      </c>
      <c r="L3024" s="6">
        <f t="shared" si="851"/>
        <v>1</v>
      </c>
      <c r="R3024" s="6" t="str">
        <f t="shared" si="852"/>
        <v>19001</v>
      </c>
      <c r="S3024" s="6">
        <f t="shared" si="853"/>
        <v>1900</v>
      </c>
      <c r="T3024" s="6">
        <f t="shared" si="854"/>
        <v>1</v>
      </c>
      <c r="Z3024" s="6" t="str">
        <f t="shared" ca="1" si="855"/>
        <v>20266</v>
      </c>
      <c r="AA3024" s="6">
        <f t="shared" ca="1" si="856"/>
        <v>2026</v>
      </c>
      <c r="AB3024" s="6">
        <f t="shared" ca="1" si="857"/>
        <v>6</v>
      </c>
      <c r="AC3024" s="68">
        <f ca="1">IFERROR(__xludf.DUMMYFUNCTION("""COMPUTED_VALUE"""),46184.9986111111)</f>
        <v>46184.998611111099</v>
      </c>
      <c r="AD3024" s="6">
        <f ca="1">IFERROR(__xludf.DUMMYFUNCTION("""COMPUTED_VALUE"""),1517.38)</f>
        <v>1517.38</v>
      </c>
      <c r="AH3024" s="6" t="str">
        <f t="shared" ca="1" si="858"/>
        <v>20264</v>
      </c>
      <c r="AI3024" s="6">
        <f t="shared" ca="1" si="859"/>
        <v>2026</v>
      </c>
      <c r="AJ3024" s="6">
        <f t="shared" ca="1" si="860"/>
        <v>4</v>
      </c>
      <c r="AK3024" s="68">
        <f ca="1">IFERROR(__xludf.DUMMYFUNCTION("""COMPUTED_VALUE"""),46119.9986111111)</f>
        <v>46119.998611111099</v>
      </c>
      <c r="AL3024" s="6">
        <f ca="1">IFERROR(__xludf.DUMMYFUNCTION("""COMPUTED_VALUE"""),68748.08)</f>
        <v>68748.08</v>
      </c>
      <c r="AP3024" s="6" t="str">
        <f t="shared" si="861"/>
        <v>19001</v>
      </c>
      <c r="AQ3024" s="6">
        <f t="shared" si="862"/>
        <v>1900</v>
      </c>
      <c r="AR3024" s="6">
        <f t="shared" si="863"/>
        <v>1</v>
      </c>
    </row>
    <row r="3025" spans="2:44" x14ac:dyDescent="0.35">
      <c r="B3025" s="6" t="str">
        <f t="shared" si="846"/>
        <v>19001</v>
      </c>
      <c r="C3025" s="6">
        <f t="shared" si="847"/>
        <v>1900</v>
      </c>
      <c r="D3025" s="6">
        <f t="shared" si="848"/>
        <v>1</v>
      </c>
      <c r="J3025" s="6" t="str">
        <f t="shared" si="849"/>
        <v>19001</v>
      </c>
      <c r="K3025" s="6">
        <f t="shared" si="850"/>
        <v>1900</v>
      </c>
      <c r="L3025" s="6">
        <f t="shared" si="851"/>
        <v>1</v>
      </c>
      <c r="R3025" s="6" t="str">
        <f t="shared" si="852"/>
        <v>19001</v>
      </c>
      <c r="S3025" s="6">
        <f t="shared" si="853"/>
        <v>1900</v>
      </c>
      <c r="T3025" s="6">
        <f t="shared" si="854"/>
        <v>1</v>
      </c>
      <c r="Z3025" s="6" t="str">
        <f t="shared" ca="1" si="855"/>
        <v>20266</v>
      </c>
      <c r="AA3025" s="6">
        <f t="shared" ca="1" si="856"/>
        <v>2026</v>
      </c>
      <c r="AB3025" s="6">
        <f t="shared" ca="1" si="857"/>
        <v>6</v>
      </c>
      <c r="AC3025" s="68">
        <f ca="1">IFERROR(__xludf.DUMMYFUNCTION("""COMPUTED_VALUE"""),46185.9986111111)</f>
        <v>46185.998611111099</v>
      </c>
      <c r="AD3025" s="6">
        <f ca="1">IFERROR(__xludf.DUMMYFUNCTION("""COMPUTED_VALUE"""),1515.74)</f>
        <v>1515.74</v>
      </c>
      <c r="AH3025" s="6" t="str">
        <f t="shared" ca="1" si="858"/>
        <v>20264</v>
      </c>
      <c r="AI3025" s="6">
        <f t="shared" ca="1" si="859"/>
        <v>2026</v>
      </c>
      <c r="AJ3025" s="6">
        <f t="shared" ca="1" si="860"/>
        <v>4</v>
      </c>
      <c r="AK3025" s="68">
        <f ca="1">IFERROR(__xludf.DUMMYFUNCTION("""COMPUTED_VALUE"""),46120.9986111111)</f>
        <v>46120.998611111099</v>
      </c>
      <c r="AL3025" s="6">
        <f ca="1">IFERROR(__xludf.DUMMYFUNCTION("""COMPUTED_VALUE"""),71290.38)</f>
        <v>71290.38</v>
      </c>
      <c r="AP3025" s="6" t="str">
        <f t="shared" si="861"/>
        <v>19001</v>
      </c>
      <c r="AQ3025" s="6">
        <f t="shared" si="862"/>
        <v>1900</v>
      </c>
      <c r="AR3025" s="6">
        <f t="shared" si="863"/>
        <v>1</v>
      </c>
    </row>
    <row r="3026" spans="2:44" x14ac:dyDescent="0.35">
      <c r="B3026" s="6" t="str">
        <f t="shared" si="846"/>
        <v>19001</v>
      </c>
      <c r="C3026" s="6">
        <f t="shared" si="847"/>
        <v>1900</v>
      </c>
      <c r="D3026" s="6">
        <f t="shared" si="848"/>
        <v>1</v>
      </c>
      <c r="J3026" s="6" t="str">
        <f t="shared" si="849"/>
        <v>19001</v>
      </c>
      <c r="K3026" s="6">
        <f t="shared" si="850"/>
        <v>1900</v>
      </c>
      <c r="L3026" s="6">
        <f t="shared" si="851"/>
        <v>1</v>
      </c>
      <c r="R3026" s="6" t="str">
        <f t="shared" si="852"/>
        <v>19001</v>
      </c>
      <c r="S3026" s="6">
        <f t="shared" si="853"/>
        <v>1900</v>
      </c>
      <c r="T3026" s="6">
        <f t="shared" si="854"/>
        <v>1</v>
      </c>
      <c r="Z3026" s="6" t="str">
        <f t="shared" ca="1" si="855"/>
        <v>20266</v>
      </c>
      <c r="AA3026" s="6">
        <f t="shared" ca="1" si="856"/>
        <v>2026</v>
      </c>
      <c r="AB3026" s="6">
        <f t="shared" ca="1" si="857"/>
        <v>6</v>
      </c>
      <c r="AC3026" s="68">
        <f ca="1">IFERROR(__xludf.DUMMYFUNCTION("""COMPUTED_VALUE"""),46186.9986111111)</f>
        <v>46186.998611111099</v>
      </c>
      <c r="AD3026" s="6">
        <f ca="1">IFERROR(__xludf.DUMMYFUNCTION("""COMPUTED_VALUE"""),1516.23)</f>
        <v>1516.23</v>
      </c>
      <c r="AH3026" s="6" t="str">
        <f t="shared" ca="1" si="858"/>
        <v>20264</v>
      </c>
      <c r="AI3026" s="6">
        <f t="shared" ca="1" si="859"/>
        <v>2026</v>
      </c>
      <c r="AJ3026" s="6">
        <f t="shared" ca="1" si="860"/>
        <v>4</v>
      </c>
      <c r="AK3026" s="68">
        <f ca="1">IFERROR(__xludf.DUMMYFUNCTION("""COMPUTED_VALUE"""),46121.9986111111)</f>
        <v>46121.998611111099</v>
      </c>
      <c r="AL3026" s="6">
        <f ca="1">IFERROR(__xludf.DUMMYFUNCTION("""COMPUTED_VALUE"""),70981.11)</f>
        <v>70981.11</v>
      </c>
      <c r="AP3026" s="6" t="str">
        <f t="shared" si="861"/>
        <v>19001</v>
      </c>
      <c r="AQ3026" s="6">
        <f t="shared" si="862"/>
        <v>1900</v>
      </c>
      <c r="AR3026" s="6">
        <f t="shared" si="863"/>
        <v>1</v>
      </c>
    </row>
    <row r="3027" spans="2:44" x14ac:dyDescent="0.35">
      <c r="B3027" s="6" t="str">
        <f t="shared" si="846"/>
        <v>19001</v>
      </c>
      <c r="C3027" s="6">
        <f t="shared" si="847"/>
        <v>1900</v>
      </c>
      <c r="D3027" s="6">
        <f t="shared" si="848"/>
        <v>1</v>
      </c>
      <c r="J3027" s="6" t="str">
        <f t="shared" si="849"/>
        <v>19001</v>
      </c>
      <c r="K3027" s="6">
        <f t="shared" si="850"/>
        <v>1900</v>
      </c>
      <c r="L3027" s="6">
        <f t="shared" si="851"/>
        <v>1</v>
      </c>
      <c r="R3027" s="6" t="str">
        <f t="shared" si="852"/>
        <v>19001</v>
      </c>
      <c r="S3027" s="6">
        <f t="shared" si="853"/>
        <v>1900</v>
      </c>
      <c r="T3027" s="6">
        <f t="shared" si="854"/>
        <v>1</v>
      </c>
      <c r="Z3027" s="6" t="str">
        <f t="shared" ca="1" si="855"/>
        <v>20266</v>
      </c>
      <c r="AA3027" s="6">
        <f t="shared" ca="1" si="856"/>
        <v>2026</v>
      </c>
      <c r="AB3027" s="6">
        <f t="shared" ca="1" si="857"/>
        <v>6</v>
      </c>
      <c r="AC3027" s="68">
        <f ca="1">IFERROR(__xludf.DUMMYFUNCTION("""COMPUTED_VALUE"""),46187.9986111111)</f>
        <v>46187.998611111099</v>
      </c>
      <c r="AD3027" s="6">
        <f ca="1">IFERROR(__xludf.DUMMYFUNCTION("""COMPUTED_VALUE"""),1509.5)</f>
        <v>1509.5</v>
      </c>
      <c r="AH3027" s="6" t="str">
        <f t="shared" ca="1" si="858"/>
        <v>20264</v>
      </c>
      <c r="AI3027" s="6">
        <f t="shared" ca="1" si="859"/>
        <v>2026</v>
      </c>
      <c r="AJ3027" s="6">
        <f t="shared" ca="1" si="860"/>
        <v>4</v>
      </c>
      <c r="AK3027" s="68">
        <f ca="1">IFERROR(__xludf.DUMMYFUNCTION("""COMPUTED_VALUE"""),46122.9986111111)</f>
        <v>46122.998611111099</v>
      </c>
      <c r="AL3027" s="6">
        <f ca="1">IFERROR(__xludf.DUMMYFUNCTION("""COMPUTED_VALUE"""),71878.66)</f>
        <v>71878.66</v>
      </c>
      <c r="AP3027" s="6" t="str">
        <f t="shared" si="861"/>
        <v>19001</v>
      </c>
      <c r="AQ3027" s="6">
        <f t="shared" si="862"/>
        <v>1900</v>
      </c>
      <c r="AR3027" s="6">
        <f t="shared" si="863"/>
        <v>1</v>
      </c>
    </row>
    <row r="3028" spans="2:44" x14ac:dyDescent="0.35">
      <c r="B3028" s="6" t="str">
        <f t="shared" si="846"/>
        <v>19001</v>
      </c>
      <c r="C3028" s="6">
        <f t="shared" si="847"/>
        <v>1900</v>
      </c>
      <c r="D3028" s="6">
        <f t="shared" si="848"/>
        <v>1</v>
      </c>
      <c r="J3028" s="6" t="str">
        <f t="shared" si="849"/>
        <v>19001</v>
      </c>
      <c r="K3028" s="6">
        <f t="shared" si="850"/>
        <v>1900</v>
      </c>
      <c r="L3028" s="6">
        <f t="shared" si="851"/>
        <v>1</v>
      </c>
      <c r="R3028" s="6" t="str">
        <f t="shared" si="852"/>
        <v>19001</v>
      </c>
      <c r="S3028" s="6">
        <f t="shared" si="853"/>
        <v>1900</v>
      </c>
      <c r="T3028" s="6">
        <f t="shared" si="854"/>
        <v>1</v>
      </c>
      <c r="Z3028" s="6" t="str">
        <f t="shared" ca="1" si="855"/>
        <v>20266</v>
      </c>
      <c r="AA3028" s="6">
        <f t="shared" ca="1" si="856"/>
        <v>2026</v>
      </c>
      <c r="AB3028" s="6">
        <f t="shared" ca="1" si="857"/>
        <v>6</v>
      </c>
      <c r="AC3028" s="68">
        <f ca="1">IFERROR(__xludf.DUMMYFUNCTION("""COMPUTED_VALUE"""),46188.9986111111)</f>
        <v>46188.998611111099</v>
      </c>
      <c r="AD3028" s="6">
        <f ca="1">IFERROR(__xludf.DUMMYFUNCTION("""COMPUTED_VALUE"""),1513.31)</f>
        <v>1513.31</v>
      </c>
      <c r="AH3028" s="6" t="str">
        <f t="shared" ca="1" si="858"/>
        <v>20264</v>
      </c>
      <c r="AI3028" s="6">
        <f t="shared" ca="1" si="859"/>
        <v>2026</v>
      </c>
      <c r="AJ3028" s="6">
        <f t="shared" ca="1" si="860"/>
        <v>4</v>
      </c>
      <c r="AK3028" s="68">
        <f ca="1">IFERROR(__xludf.DUMMYFUNCTION("""COMPUTED_VALUE"""),46123.9986111111)</f>
        <v>46123.998611111099</v>
      </c>
      <c r="AL3028" s="6">
        <f ca="1">IFERROR(__xludf.DUMMYFUNCTION("""COMPUTED_VALUE"""),72892.87)</f>
        <v>72892.87</v>
      </c>
      <c r="AP3028" s="6" t="str">
        <f t="shared" si="861"/>
        <v>19001</v>
      </c>
      <c r="AQ3028" s="6">
        <f t="shared" si="862"/>
        <v>1900</v>
      </c>
      <c r="AR3028" s="6">
        <f t="shared" si="863"/>
        <v>1</v>
      </c>
    </row>
    <row r="3029" spans="2:44" x14ac:dyDescent="0.35">
      <c r="B3029" s="6" t="str">
        <f t="shared" si="846"/>
        <v>19001</v>
      </c>
      <c r="C3029" s="6">
        <f t="shared" si="847"/>
        <v>1900</v>
      </c>
      <c r="D3029" s="6">
        <f t="shared" si="848"/>
        <v>1</v>
      </c>
      <c r="J3029" s="6" t="str">
        <f t="shared" si="849"/>
        <v>19001</v>
      </c>
      <c r="K3029" s="6">
        <f t="shared" si="850"/>
        <v>1900</v>
      </c>
      <c r="L3029" s="6">
        <f t="shared" si="851"/>
        <v>1</v>
      </c>
      <c r="R3029" s="6" t="str">
        <f t="shared" si="852"/>
        <v>19001</v>
      </c>
      <c r="S3029" s="6">
        <f t="shared" si="853"/>
        <v>1900</v>
      </c>
      <c r="T3029" s="6">
        <f t="shared" si="854"/>
        <v>1</v>
      </c>
      <c r="Z3029" s="6" t="str">
        <f t="shared" ca="1" si="855"/>
        <v>20266</v>
      </c>
      <c r="AA3029" s="6">
        <f t="shared" ca="1" si="856"/>
        <v>2026</v>
      </c>
      <c r="AB3029" s="6">
        <f t="shared" ca="1" si="857"/>
        <v>6</v>
      </c>
      <c r="AC3029" s="68">
        <f ca="1">IFERROR(__xludf.DUMMYFUNCTION("""COMPUTED_VALUE"""),46189.9986111111)</f>
        <v>46189.998611111099</v>
      </c>
      <c r="AD3029" s="6">
        <f ca="1">IFERROR(__xludf.DUMMYFUNCTION("""COMPUTED_VALUE"""),1510.96)</f>
        <v>1510.96</v>
      </c>
      <c r="AH3029" s="6" t="str">
        <f t="shared" ca="1" si="858"/>
        <v>20264</v>
      </c>
      <c r="AI3029" s="6">
        <f t="shared" ca="1" si="859"/>
        <v>2026</v>
      </c>
      <c r="AJ3029" s="6">
        <f t="shared" ca="1" si="860"/>
        <v>4</v>
      </c>
      <c r="AK3029" s="68">
        <f ca="1">IFERROR(__xludf.DUMMYFUNCTION("""COMPUTED_VALUE"""),46124.9986111111)</f>
        <v>46124.998611111099</v>
      </c>
      <c r="AL3029" s="6">
        <f ca="1">IFERROR(__xludf.DUMMYFUNCTION("""COMPUTED_VALUE"""),71673.75)</f>
        <v>71673.75</v>
      </c>
      <c r="AP3029" s="6" t="str">
        <f t="shared" si="861"/>
        <v>19001</v>
      </c>
      <c r="AQ3029" s="6">
        <f t="shared" si="862"/>
        <v>1900</v>
      </c>
      <c r="AR3029" s="6">
        <f t="shared" si="863"/>
        <v>1</v>
      </c>
    </row>
    <row r="3030" spans="2:44" x14ac:dyDescent="0.35">
      <c r="B3030" s="6" t="str">
        <f t="shared" si="846"/>
        <v>19001</v>
      </c>
      <c r="C3030" s="6">
        <f t="shared" si="847"/>
        <v>1900</v>
      </c>
      <c r="D3030" s="6">
        <f t="shared" si="848"/>
        <v>1</v>
      </c>
      <c r="J3030" s="6" t="str">
        <f t="shared" si="849"/>
        <v>19001</v>
      </c>
      <c r="K3030" s="6">
        <f t="shared" si="850"/>
        <v>1900</v>
      </c>
      <c r="L3030" s="6">
        <f t="shared" si="851"/>
        <v>1</v>
      </c>
      <c r="R3030" s="6" t="str">
        <f t="shared" si="852"/>
        <v>19001</v>
      </c>
      <c r="S3030" s="6">
        <f t="shared" si="853"/>
        <v>1900</v>
      </c>
      <c r="T3030" s="6">
        <f t="shared" si="854"/>
        <v>1</v>
      </c>
      <c r="Z3030" s="6" t="str">
        <f t="shared" ca="1" si="855"/>
        <v>20266</v>
      </c>
      <c r="AA3030" s="6">
        <f t="shared" ca="1" si="856"/>
        <v>2026</v>
      </c>
      <c r="AB3030" s="6">
        <f t="shared" ca="1" si="857"/>
        <v>6</v>
      </c>
      <c r="AC3030" s="68">
        <f ca="1">IFERROR(__xludf.DUMMYFUNCTION("""COMPUTED_VALUE"""),46190.9986111111)</f>
        <v>46190.998611111099</v>
      </c>
      <c r="AD3030" s="6">
        <f ca="1">IFERROR(__xludf.DUMMYFUNCTION("""COMPUTED_VALUE"""),1525.42)</f>
        <v>1525.42</v>
      </c>
      <c r="AH3030" s="6" t="str">
        <f t="shared" ca="1" si="858"/>
        <v>20264</v>
      </c>
      <c r="AI3030" s="6">
        <f t="shared" ca="1" si="859"/>
        <v>2026</v>
      </c>
      <c r="AJ3030" s="6">
        <f t="shared" ca="1" si="860"/>
        <v>4</v>
      </c>
      <c r="AK3030" s="68">
        <f ca="1">IFERROR(__xludf.DUMMYFUNCTION("""COMPUTED_VALUE"""),46125.9986111111)</f>
        <v>46125.998611111099</v>
      </c>
      <c r="AL3030" s="6">
        <f ca="1">IFERROR(__xludf.DUMMYFUNCTION("""COMPUTED_VALUE"""),71006.52)</f>
        <v>71006.52</v>
      </c>
      <c r="AP3030" s="6" t="str">
        <f t="shared" si="861"/>
        <v>19001</v>
      </c>
      <c r="AQ3030" s="6">
        <f t="shared" si="862"/>
        <v>1900</v>
      </c>
      <c r="AR3030" s="6">
        <f t="shared" si="863"/>
        <v>1</v>
      </c>
    </row>
    <row r="3031" spans="2:44" x14ac:dyDescent="0.35">
      <c r="B3031" s="6" t="str">
        <f t="shared" si="846"/>
        <v>19001</v>
      </c>
      <c r="C3031" s="6">
        <f t="shared" si="847"/>
        <v>1900</v>
      </c>
      <c r="D3031" s="6">
        <f t="shared" si="848"/>
        <v>1</v>
      </c>
      <c r="J3031" s="6" t="str">
        <f t="shared" si="849"/>
        <v>19001</v>
      </c>
      <c r="K3031" s="6">
        <f t="shared" si="850"/>
        <v>1900</v>
      </c>
      <c r="L3031" s="6">
        <f t="shared" si="851"/>
        <v>1</v>
      </c>
      <c r="R3031" s="6" t="str">
        <f t="shared" si="852"/>
        <v>19001</v>
      </c>
      <c r="S3031" s="6">
        <f t="shared" si="853"/>
        <v>1900</v>
      </c>
      <c r="T3031" s="6">
        <f t="shared" si="854"/>
        <v>1</v>
      </c>
      <c r="Z3031" s="6" t="str">
        <f t="shared" ca="1" si="855"/>
        <v>20266</v>
      </c>
      <c r="AA3031" s="6">
        <f t="shared" ca="1" si="856"/>
        <v>2026</v>
      </c>
      <c r="AB3031" s="6">
        <f t="shared" ca="1" si="857"/>
        <v>6</v>
      </c>
      <c r="AC3031" s="68">
        <f ca="1">IFERROR(__xludf.DUMMYFUNCTION("""COMPUTED_VALUE"""),46191.9986111111)</f>
        <v>46191.998611111099</v>
      </c>
      <c r="AD3031" s="6">
        <f ca="1">IFERROR(__xludf.DUMMYFUNCTION("""COMPUTED_VALUE"""),1537.56)</f>
        <v>1537.56</v>
      </c>
      <c r="AH3031" s="6" t="str">
        <f t="shared" ca="1" si="858"/>
        <v>20264</v>
      </c>
      <c r="AI3031" s="6">
        <f t="shared" ca="1" si="859"/>
        <v>2026</v>
      </c>
      <c r="AJ3031" s="6">
        <f t="shared" ca="1" si="860"/>
        <v>4</v>
      </c>
      <c r="AK3031" s="68">
        <f ca="1">IFERROR(__xludf.DUMMYFUNCTION("""COMPUTED_VALUE"""),46126.9986111111)</f>
        <v>46126.998611111099</v>
      </c>
      <c r="AL3031" s="6">
        <f ca="1">IFERROR(__xludf.DUMMYFUNCTION("""COMPUTED_VALUE"""),74461.09)</f>
        <v>74461.09</v>
      </c>
      <c r="AP3031" s="6" t="str">
        <f t="shared" si="861"/>
        <v>19001</v>
      </c>
      <c r="AQ3031" s="6">
        <f t="shared" si="862"/>
        <v>1900</v>
      </c>
      <c r="AR3031" s="6">
        <f t="shared" si="863"/>
        <v>1</v>
      </c>
    </row>
    <row r="3032" spans="2:44" x14ac:dyDescent="0.35">
      <c r="B3032" s="6" t="str">
        <f t="shared" si="846"/>
        <v>19001</v>
      </c>
      <c r="C3032" s="6">
        <f t="shared" si="847"/>
        <v>1900</v>
      </c>
      <c r="D3032" s="6">
        <f t="shared" si="848"/>
        <v>1</v>
      </c>
      <c r="J3032" s="6" t="str">
        <f t="shared" si="849"/>
        <v>19001</v>
      </c>
      <c r="K3032" s="6">
        <f t="shared" si="850"/>
        <v>1900</v>
      </c>
      <c r="L3032" s="6">
        <f t="shared" si="851"/>
        <v>1</v>
      </c>
      <c r="R3032" s="6" t="str">
        <f t="shared" si="852"/>
        <v>19001</v>
      </c>
      <c r="S3032" s="6">
        <f t="shared" si="853"/>
        <v>1900</v>
      </c>
      <c r="T3032" s="6">
        <f t="shared" si="854"/>
        <v>1</v>
      </c>
      <c r="Z3032" s="6" t="str">
        <f t="shared" ca="1" si="855"/>
        <v>20266</v>
      </c>
      <c r="AA3032" s="6">
        <f t="shared" ca="1" si="856"/>
        <v>2026</v>
      </c>
      <c r="AB3032" s="6">
        <f t="shared" ca="1" si="857"/>
        <v>6</v>
      </c>
      <c r="AC3032" s="68">
        <f ca="1">IFERROR(__xludf.DUMMYFUNCTION("""COMPUTED_VALUE"""),46192.9986111111)</f>
        <v>46192.998611111099</v>
      </c>
      <c r="AD3032" s="6">
        <f ca="1">IFERROR(__xludf.DUMMYFUNCTION("""COMPUTED_VALUE"""),1525.82)</f>
        <v>1525.82</v>
      </c>
      <c r="AH3032" s="6" t="str">
        <f t="shared" ca="1" si="858"/>
        <v>20264</v>
      </c>
      <c r="AI3032" s="6">
        <f t="shared" ca="1" si="859"/>
        <v>2026</v>
      </c>
      <c r="AJ3032" s="6">
        <f t="shared" ca="1" si="860"/>
        <v>4</v>
      </c>
      <c r="AK3032" s="68">
        <f ca="1">IFERROR(__xludf.DUMMYFUNCTION("""COMPUTED_VALUE"""),46127.9986111111)</f>
        <v>46127.998611111099</v>
      </c>
      <c r="AL3032" s="6">
        <f ca="1">IFERROR(__xludf.DUMMYFUNCTION("""COMPUTED_VALUE"""),74374.27)</f>
        <v>74374.27</v>
      </c>
      <c r="AP3032" s="6" t="str">
        <f t="shared" si="861"/>
        <v>19001</v>
      </c>
      <c r="AQ3032" s="6">
        <f t="shared" si="862"/>
        <v>1900</v>
      </c>
      <c r="AR3032" s="6">
        <f t="shared" si="863"/>
        <v>1</v>
      </c>
    </row>
    <row r="3033" spans="2:44" x14ac:dyDescent="0.35">
      <c r="B3033" s="6" t="str">
        <f t="shared" si="846"/>
        <v>19001</v>
      </c>
      <c r="C3033" s="6">
        <f t="shared" si="847"/>
        <v>1900</v>
      </c>
      <c r="D3033" s="6">
        <f t="shared" si="848"/>
        <v>1</v>
      </c>
      <c r="J3033" s="6" t="str">
        <f t="shared" si="849"/>
        <v>19001</v>
      </c>
      <c r="K3033" s="6">
        <f t="shared" si="850"/>
        <v>1900</v>
      </c>
      <c r="L3033" s="6">
        <f t="shared" si="851"/>
        <v>1</v>
      </c>
      <c r="R3033" s="6" t="str">
        <f t="shared" si="852"/>
        <v>19001</v>
      </c>
      <c r="S3033" s="6">
        <f t="shared" si="853"/>
        <v>1900</v>
      </c>
      <c r="T3033" s="6">
        <f t="shared" si="854"/>
        <v>1</v>
      </c>
      <c r="Z3033" s="6" t="str">
        <f t="shared" ca="1" si="855"/>
        <v>20266</v>
      </c>
      <c r="AA3033" s="6">
        <f t="shared" ca="1" si="856"/>
        <v>2026</v>
      </c>
      <c r="AB3033" s="6">
        <f t="shared" ca="1" si="857"/>
        <v>6</v>
      </c>
      <c r="AC3033" s="68">
        <f ca="1">IFERROR(__xludf.DUMMYFUNCTION("""COMPUTED_VALUE"""),46193.9986111111)</f>
        <v>46193.998611111099</v>
      </c>
      <c r="AD3033" s="6">
        <f ca="1">IFERROR(__xludf.DUMMYFUNCTION("""COMPUTED_VALUE"""),1526.01)</f>
        <v>1526.01</v>
      </c>
      <c r="AH3033" s="6" t="str">
        <f t="shared" ca="1" si="858"/>
        <v>20264</v>
      </c>
      <c r="AI3033" s="6">
        <f t="shared" ca="1" si="859"/>
        <v>2026</v>
      </c>
      <c r="AJ3033" s="6">
        <f t="shared" ca="1" si="860"/>
        <v>4</v>
      </c>
      <c r="AK3033" s="68">
        <f ca="1">IFERROR(__xludf.DUMMYFUNCTION("""COMPUTED_VALUE"""),46128.9986111111)</f>
        <v>46128.998611111099</v>
      </c>
      <c r="AL3033" s="6">
        <f ca="1">IFERROR(__xludf.DUMMYFUNCTION("""COMPUTED_VALUE"""),74032.73)</f>
        <v>74032.73</v>
      </c>
      <c r="AP3033" s="6" t="str">
        <f t="shared" si="861"/>
        <v>19001</v>
      </c>
      <c r="AQ3033" s="6">
        <f t="shared" si="862"/>
        <v>1900</v>
      </c>
      <c r="AR3033" s="6">
        <f t="shared" si="863"/>
        <v>1</v>
      </c>
    </row>
    <row r="3034" spans="2:44" x14ac:dyDescent="0.35">
      <c r="B3034" s="6" t="str">
        <f t="shared" si="846"/>
        <v>19001</v>
      </c>
      <c r="C3034" s="6">
        <f t="shared" si="847"/>
        <v>1900</v>
      </c>
      <c r="D3034" s="6">
        <f t="shared" si="848"/>
        <v>1</v>
      </c>
      <c r="J3034" s="6" t="str">
        <f t="shared" si="849"/>
        <v>19001</v>
      </c>
      <c r="K3034" s="6">
        <f t="shared" si="850"/>
        <v>1900</v>
      </c>
      <c r="L3034" s="6">
        <f t="shared" si="851"/>
        <v>1</v>
      </c>
      <c r="R3034" s="6" t="str">
        <f t="shared" si="852"/>
        <v>19001</v>
      </c>
      <c r="S3034" s="6">
        <f t="shared" si="853"/>
        <v>1900</v>
      </c>
      <c r="T3034" s="6">
        <f t="shared" si="854"/>
        <v>1</v>
      </c>
      <c r="Z3034" s="6" t="str">
        <f t="shared" ca="1" si="855"/>
        <v>20266</v>
      </c>
      <c r="AA3034" s="6">
        <f t="shared" ca="1" si="856"/>
        <v>2026</v>
      </c>
      <c r="AB3034" s="6">
        <f t="shared" ca="1" si="857"/>
        <v>6</v>
      </c>
      <c r="AC3034" s="68">
        <f ca="1">IFERROR(__xludf.DUMMYFUNCTION("""COMPUTED_VALUE"""),46194.9986111111)</f>
        <v>46194.998611111099</v>
      </c>
      <c r="AD3034" s="6">
        <f ca="1">IFERROR(__xludf.DUMMYFUNCTION("""COMPUTED_VALUE"""),1531.33)</f>
        <v>1531.33</v>
      </c>
      <c r="AH3034" s="6" t="str">
        <f t="shared" ca="1" si="858"/>
        <v>20264</v>
      </c>
      <c r="AI3034" s="6">
        <f t="shared" ca="1" si="859"/>
        <v>2026</v>
      </c>
      <c r="AJ3034" s="6">
        <f t="shared" ca="1" si="860"/>
        <v>4</v>
      </c>
      <c r="AK3034" s="68">
        <f ca="1">IFERROR(__xludf.DUMMYFUNCTION("""COMPUTED_VALUE"""),46141.9986111111)</f>
        <v>46141.998611111099</v>
      </c>
      <c r="AL3034" s="6">
        <f ca="1">IFERROR(__xludf.DUMMYFUNCTION("""COMPUTED_VALUE"""),76990.81)</f>
        <v>76990.81</v>
      </c>
      <c r="AP3034" s="6" t="str">
        <f t="shared" si="861"/>
        <v>19001</v>
      </c>
      <c r="AQ3034" s="6">
        <f t="shared" si="862"/>
        <v>1900</v>
      </c>
      <c r="AR3034" s="6">
        <f t="shared" si="863"/>
        <v>1</v>
      </c>
    </row>
    <row r="3035" spans="2:44" x14ac:dyDescent="0.35">
      <c r="B3035" s="6" t="str">
        <f t="shared" si="846"/>
        <v>19001</v>
      </c>
      <c r="C3035" s="6">
        <f t="shared" si="847"/>
        <v>1900</v>
      </c>
      <c r="D3035" s="6">
        <f t="shared" si="848"/>
        <v>1</v>
      </c>
      <c r="J3035" s="6" t="str">
        <f t="shared" si="849"/>
        <v>19001</v>
      </c>
      <c r="K3035" s="6">
        <f t="shared" si="850"/>
        <v>1900</v>
      </c>
      <c r="L3035" s="6">
        <f t="shared" si="851"/>
        <v>1</v>
      </c>
      <c r="R3035" s="6" t="str">
        <f t="shared" si="852"/>
        <v>19001</v>
      </c>
      <c r="S3035" s="6">
        <f t="shared" si="853"/>
        <v>1900</v>
      </c>
      <c r="T3035" s="6">
        <f t="shared" si="854"/>
        <v>1</v>
      </c>
      <c r="Z3035" s="6" t="str">
        <f t="shared" ca="1" si="855"/>
        <v>20266</v>
      </c>
      <c r="AA3035" s="6">
        <f t="shared" ca="1" si="856"/>
        <v>2026</v>
      </c>
      <c r="AB3035" s="6">
        <f t="shared" ca="1" si="857"/>
        <v>6</v>
      </c>
      <c r="AC3035" s="68">
        <f ca="1">IFERROR(__xludf.DUMMYFUNCTION("""COMPUTED_VALUE"""),46195.9986111111)</f>
        <v>46195.998611111099</v>
      </c>
      <c r="AD3035" s="6">
        <f ca="1">IFERROR(__xludf.DUMMYFUNCTION("""COMPUTED_VALUE"""),1539.05)</f>
        <v>1539.05</v>
      </c>
      <c r="AH3035" s="6" t="str">
        <f t="shared" ca="1" si="858"/>
        <v>20264</v>
      </c>
      <c r="AI3035" s="6">
        <f t="shared" ca="1" si="859"/>
        <v>2026</v>
      </c>
      <c r="AJ3035" s="6">
        <f t="shared" ca="1" si="860"/>
        <v>4</v>
      </c>
      <c r="AK3035" s="68">
        <f ca="1">IFERROR(__xludf.DUMMYFUNCTION("""COMPUTED_VALUE"""),46142.9986111111)</f>
        <v>46142.998611111099</v>
      </c>
      <c r="AL3035" s="6">
        <f ca="1">IFERROR(__xludf.DUMMYFUNCTION("""COMPUTED_VALUE"""),75902.99)</f>
        <v>75902.990000000005</v>
      </c>
      <c r="AP3035" s="6" t="str">
        <f t="shared" si="861"/>
        <v>19001</v>
      </c>
      <c r="AQ3035" s="6">
        <f t="shared" si="862"/>
        <v>1900</v>
      </c>
      <c r="AR3035" s="6">
        <f t="shared" si="863"/>
        <v>1</v>
      </c>
    </row>
    <row r="3036" spans="2:44" x14ac:dyDescent="0.35">
      <c r="B3036" s="6" t="str">
        <f t="shared" si="846"/>
        <v>19001</v>
      </c>
      <c r="C3036" s="6">
        <f t="shared" si="847"/>
        <v>1900</v>
      </c>
      <c r="D3036" s="6">
        <f t="shared" si="848"/>
        <v>1</v>
      </c>
      <c r="J3036" s="6" t="str">
        <f t="shared" si="849"/>
        <v>19001</v>
      </c>
      <c r="K3036" s="6">
        <f t="shared" si="850"/>
        <v>1900</v>
      </c>
      <c r="L3036" s="6">
        <f t="shared" si="851"/>
        <v>1</v>
      </c>
      <c r="R3036" s="6" t="str">
        <f t="shared" si="852"/>
        <v>19001</v>
      </c>
      <c r="S3036" s="6">
        <f t="shared" si="853"/>
        <v>1900</v>
      </c>
      <c r="T3036" s="6">
        <f t="shared" si="854"/>
        <v>1</v>
      </c>
      <c r="Z3036" s="6" t="str">
        <f t="shared" ca="1" si="855"/>
        <v>20266</v>
      </c>
      <c r="AA3036" s="6">
        <f t="shared" ca="1" si="856"/>
        <v>2026</v>
      </c>
      <c r="AB3036" s="6">
        <f t="shared" ca="1" si="857"/>
        <v>6</v>
      </c>
      <c r="AC3036" s="68">
        <f ca="1">IFERROR(__xludf.DUMMYFUNCTION("""COMPUTED_VALUE"""),46196.9986111111)</f>
        <v>46196.998611111099</v>
      </c>
      <c r="AD3036" s="6">
        <f ca="1">IFERROR(__xludf.DUMMYFUNCTION("""COMPUTED_VALUE"""),1535.25)</f>
        <v>1535.25</v>
      </c>
      <c r="AH3036" s="6" t="str">
        <f t="shared" ca="1" si="858"/>
        <v>20265</v>
      </c>
      <c r="AI3036" s="6">
        <f t="shared" ca="1" si="859"/>
        <v>2026</v>
      </c>
      <c r="AJ3036" s="6">
        <f t="shared" ca="1" si="860"/>
        <v>5</v>
      </c>
      <c r="AK3036" s="68">
        <f ca="1">IFERROR(__xludf.DUMMYFUNCTION("""COMPUTED_VALUE"""),46143.9986111111)</f>
        <v>46143.998611111099</v>
      </c>
      <c r="AL3036" s="6">
        <f ca="1">IFERROR(__xludf.DUMMYFUNCTION("""COMPUTED_VALUE"""),77087.38)</f>
        <v>77087.38</v>
      </c>
      <c r="AP3036" s="6" t="str">
        <f t="shared" si="861"/>
        <v>19001</v>
      </c>
      <c r="AQ3036" s="6">
        <f t="shared" si="862"/>
        <v>1900</v>
      </c>
      <c r="AR3036" s="6">
        <f t="shared" si="863"/>
        <v>1</v>
      </c>
    </row>
    <row r="3037" spans="2:44" x14ac:dyDescent="0.35">
      <c r="B3037" s="6" t="str">
        <f t="shared" si="846"/>
        <v>19001</v>
      </c>
      <c r="C3037" s="6">
        <f t="shared" si="847"/>
        <v>1900</v>
      </c>
      <c r="D3037" s="6">
        <f t="shared" si="848"/>
        <v>1</v>
      </c>
      <c r="J3037" s="6" t="str">
        <f t="shared" si="849"/>
        <v>19001</v>
      </c>
      <c r="K3037" s="6">
        <f t="shared" si="850"/>
        <v>1900</v>
      </c>
      <c r="L3037" s="6">
        <f t="shared" si="851"/>
        <v>1</v>
      </c>
      <c r="R3037" s="6" t="str">
        <f t="shared" si="852"/>
        <v>19001</v>
      </c>
      <c r="S3037" s="6">
        <f t="shared" si="853"/>
        <v>1900</v>
      </c>
      <c r="T3037" s="6">
        <f t="shared" si="854"/>
        <v>1</v>
      </c>
      <c r="Z3037" s="6" t="str">
        <f t="shared" ca="1" si="855"/>
        <v>20266</v>
      </c>
      <c r="AA3037" s="6">
        <f t="shared" ca="1" si="856"/>
        <v>2026</v>
      </c>
      <c r="AB3037" s="6">
        <f t="shared" ca="1" si="857"/>
        <v>6</v>
      </c>
      <c r="AC3037" s="68">
        <f ca="1">IFERROR(__xludf.DUMMYFUNCTION("""COMPUTED_VALUE"""),46197.9986111111)</f>
        <v>46197.998611111099</v>
      </c>
      <c r="AD3037" s="6">
        <f ca="1">IFERROR(__xludf.DUMMYFUNCTION("""COMPUTED_VALUE"""),1542.76)</f>
        <v>1542.76</v>
      </c>
      <c r="AH3037" s="6" t="str">
        <f t="shared" ca="1" si="858"/>
        <v>20265</v>
      </c>
      <c r="AI3037" s="6">
        <f t="shared" ca="1" si="859"/>
        <v>2026</v>
      </c>
      <c r="AJ3037" s="6">
        <f t="shared" ca="1" si="860"/>
        <v>5</v>
      </c>
      <c r="AK3037" s="68">
        <f ca="1">IFERROR(__xludf.DUMMYFUNCTION("""COMPUTED_VALUE"""),46144.9986111111)</f>
        <v>46144.998611111099</v>
      </c>
      <c r="AL3037" s="6">
        <f ca="1">IFERROR(__xludf.DUMMYFUNCTION("""COMPUTED_VALUE"""),78409.63)</f>
        <v>78409.63</v>
      </c>
      <c r="AP3037" s="6" t="str">
        <f t="shared" si="861"/>
        <v>19001</v>
      </c>
      <c r="AQ3037" s="6">
        <f t="shared" si="862"/>
        <v>1900</v>
      </c>
      <c r="AR3037" s="6">
        <f t="shared" si="863"/>
        <v>1</v>
      </c>
    </row>
    <row r="3038" spans="2:44" x14ac:dyDescent="0.35">
      <c r="B3038" s="6" t="str">
        <f t="shared" si="846"/>
        <v>19001</v>
      </c>
      <c r="C3038" s="6">
        <f t="shared" si="847"/>
        <v>1900</v>
      </c>
      <c r="D3038" s="6">
        <f t="shared" si="848"/>
        <v>1</v>
      </c>
      <c r="J3038" s="6" t="str">
        <f t="shared" si="849"/>
        <v>19001</v>
      </c>
      <c r="K3038" s="6">
        <f t="shared" si="850"/>
        <v>1900</v>
      </c>
      <c r="L3038" s="6">
        <f t="shared" si="851"/>
        <v>1</v>
      </c>
      <c r="R3038" s="6" t="str">
        <f t="shared" si="852"/>
        <v>19001</v>
      </c>
      <c r="S3038" s="6">
        <f t="shared" si="853"/>
        <v>1900</v>
      </c>
      <c r="T3038" s="6">
        <f t="shared" si="854"/>
        <v>1</v>
      </c>
      <c r="Z3038" s="6" t="str">
        <f t="shared" ca="1" si="855"/>
        <v>20266</v>
      </c>
      <c r="AA3038" s="6">
        <f t="shared" ca="1" si="856"/>
        <v>2026</v>
      </c>
      <c r="AB3038" s="6">
        <f t="shared" ca="1" si="857"/>
        <v>6</v>
      </c>
      <c r="AC3038" s="68">
        <f ca="1">IFERROR(__xludf.DUMMYFUNCTION("""COMPUTED_VALUE"""),46198.9986111111)</f>
        <v>46198.998611111099</v>
      </c>
      <c r="AD3038" s="6">
        <f ca="1">IFERROR(__xludf.DUMMYFUNCTION("""COMPUTED_VALUE"""),1546.48)</f>
        <v>1546.48</v>
      </c>
      <c r="AH3038" s="6" t="str">
        <f t="shared" ca="1" si="858"/>
        <v>20265</v>
      </c>
      <c r="AI3038" s="6">
        <f t="shared" ca="1" si="859"/>
        <v>2026</v>
      </c>
      <c r="AJ3038" s="6">
        <f t="shared" ca="1" si="860"/>
        <v>5</v>
      </c>
      <c r="AK3038" s="68">
        <f ca="1">IFERROR(__xludf.DUMMYFUNCTION("""COMPUTED_VALUE"""),46145.9986111111)</f>
        <v>46145.998611111099</v>
      </c>
      <c r="AL3038" s="6">
        <f ca="1">IFERROR(__xludf.DUMMYFUNCTION("""COMPUTED_VALUE"""),78196.01)</f>
        <v>78196.009999999995</v>
      </c>
      <c r="AP3038" s="6" t="str">
        <f t="shared" si="861"/>
        <v>19001</v>
      </c>
      <c r="AQ3038" s="6">
        <f t="shared" si="862"/>
        <v>1900</v>
      </c>
      <c r="AR3038" s="6">
        <f t="shared" si="863"/>
        <v>1</v>
      </c>
    </row>
    <row r="3039" spans="2:44" x14ac:dyDescent="0.35">
      <c r="B3039" s="6" t="str">
        <f t="shared" si="846"/>
        <v>19001</v>
      </c>
      <c r="C3039" s="6">
        <f t="shared" si="847"/>
        <v>1900</v>
      </c>
      <c r="D3039" s="6">
        <f t="shared" si="848"/>
        <v>1</v>
      </c>
      <c r="J3039" s="6" t="str">
        <f t="shared" si="849"/>
        <v>19001</v>
      </c>
      <c r="K3039" s="6">
        <f t="shared" si="850"/>
        <v>1900</v>
      </c>
      <c r="L3039" s="6">
        <f t="shared" si="851"/>
        <v>1</v>
      </c>
      <c r="R3039" s="6" t="str">
        <f t="shared" si="852"/>
        <v>19001</v>
      </c>
      <c r="S3039" s="6">
        <f t="shared" si="853"/>
        <v>1900</v>
      </c>
      <c r="T3039" s="6">
        <f t="shared" si="854"/>
        <v>1</v>
      </c>
      <c r="Z3039" s="6" t="str">
        <f t="shared" ca="1" si="855"/>
        <v>20266</v>
      </c>
      <c r="AA3039" s="6">
        <f t="shared" ca="1" si="856"/>
        <v>2026</v>
      </c>
      <c r="AB3039" s="6">
        <f t="shared" ca="1" si="857"/>
        <v>6</v>
      </c>
      <c r="AC3039" s="68">
        <f ca="1">IFERROR(__xludf.DUMMYFUNCTION("""COMPUTED_VALUE"""),46199.9986111111)</f>
        <v>46199.998611111099</v>
      </c>
      <c r="AD3039" s="6">
        <f ca="1">IFERROR(__xludf.DUMMYFUNCTION("""COMPUTED_VALUE"""),1533.56)</f>
        <v>1533.56</v>
      </c>
      <c r="AH3039" s="6" t="str">
        <f t="shared" ca="1" si="858"/>
        <v>20265</v>
      </c>
      <c r="AI3039" s="6">
        <f t="shared" ca="1" si="859"/>
        <v>2026</v>
      </c>
      <c r="AJ3039" s="6">
        <f t="shared" ca="1" si="860"/>
        <v>5</v>
      </c>
      <c r="AK3039" s="68">
        <f ca="1">IFERROR(__xludf.DUMMYFUNCTION("""COMPUTED_VALUE"""),46146.9986111111)</f>
        <v>46146.998611111099</v>
      </c>
      <c r="AL3039" s="6">
        <f ca="1">IFERROR(__xludf.DUMMYFUNCTION("""COMPUTED_VALUE"""),80305.37)</f>
        <v>80305.37</v>
      </c>
      <c r="AP3039" s="6" t="str">
        <f t="shared" si="861"/>
        <v>19001</v>
      </c>
      <c r="AQ3039" s="6">
        <f t="shared" si="862"/>
        <v>1900</v>
      </c>
      <c r="AR3039" s="6">
        <f t="shared" si="863"/>
        <v>1</v>
      </c>
    </row>
    <row r="3040" spans="2:44" x14ac:dyDescent="0.35">
      <c r="B3040" s="6" t="str">
        <f t="shared" si="846"/>
        <v>19001</v>
      </c>
      <c r="C3040" s="6">
        <f t="shared" si="847"/>
        <v>1900</v>
      </c>
      <c r="D3040" s="6">
        <f t="shared" si="848"/>
        <v>1</v>
      </c>
      <c r="J3040" s="6" t="str">
        <f t="shared" si="849"/>
        <v>19001</v>
      </c>
      <c r="K3040" s="6">
        <f t="shared" si="850"/>
        <v>1900</v>
      </c>
      <c r="L3040" s="6">
        <f t="shared" si="851"/>
        <v>1</v>
      </c>
      <c r="R3040" s="6" t="str">
        <f t="shared" si="852"/>
        <v>19001</v>
      </c>
      <c r="S3040" s="6">
        <f t="shared" si="853"/>
        <v>1900</v>
      </c>
      <c r="T3040" s="6">
        <f t="shared" si="854"/>
        <v>1</v>
      </c>
      <c r="Z3040" s="6" t="str">
        <f t="shared" ca="1" si="855"/>
        <v>20266</v>
      </c>
      <c r="AA3040" s="6">
        <f t="shared" ca="1" si="856"/>
        <v>2026</v>
      </c>
      <c r="AB3040" s="6">
        <f t="shared" ca="1" si="857"/>
        <v>6</v>
      </c>
      <c r="AC3040" s="68">
        <f ca="1">IFERROR(__xludf.DUMMYFUNCTION("""COMPUTED_VALUE"""),46200.9986111111)</f>
        <v>46200.998611111099</v>
      </c>
      <c r="AD3040" s="6">
        <f ca="1">IFERROR(__xludf.DUMMYFUNCTION("""COMPUTED_VALUE"""),1533.12)</f>
        <v>1533.12</v>
      </c>
      <c r="AH3040" s="6" t="str">
        <f t="shared" ca="1" si="858"/>
        <v>20265</v>
      </c>
      <c r="AI3040" s="6">
        <f t="shared" ca="1" si="859"/>
        <v>2026</v>
      </c>
      <c r="AJ3040" s="6">
        <f t="shared" ca="1" si="860"/>
        <v>5</v>
      </c>
      <c r="AK3040" s="68">
        <f ca="1">IFERROR(__xludf.DUMMYFUNCTION("""COMPUTED_VALUE"""),46147.9986111111)</f>
        <v>46147.998611111099</v>
      </c>
      <c r="AL3040" s="6">
        <f ca="1">IFERROR(__xludf.DUMMYFUNCTION("""COMPUTED_VALUE"""),80870.03)</f>
        <v>80870.03</v>
      </c>
      <c r="AP3040" s="6" t="str">
        <f t="shared" si="861"/>
        <v>19001</v>
      </c>
      <c r="AQ3040" s="6">
        <f t="shared" si="862"/>
        <v>1900</v>
      </c>
      <c r="AR3040" s="6">
        <f t="shared" si="863"/>
        <v>1</v>
      </c>
    </row>
    <row r="3041" spans="2:44" x14ac:dyDescent="0.35">
      <c r="B3041" s="6" t="str">
        <f t="shared" si="846"/>
        <v>19001</v>
      </c>
      <c r="C3041" s="6">
        <f t="shared" si="847"/>
        <v>1900</v>
      </c>
      <c r="D3041" s="6">
        <f t="shared" si="848"/>
        <v>1</v>
      </c>
      <c r="J3041" s="6" t="str">
        <f t="shared" si="849"/>
        <v>19001</v>
      </c>
      <c r="K3041" s="6">
        <f t="shared" si="850"/>
        <v>1900</v>
      </c>
      <c r="L3041" s="6">
        <f t="shared" si="851"/>
        <v>1</v>
      </c>
      <c r="R3041" s="6" t="str">
        <f t="shared" si="852"/>
        <v>19001</v>
      </c>
      <c r="S3041" s="6">
        <f t="shared" si="853"/>
        <v>1900</v>
      </c>
      <c r="T3041" s="6">
        <f t="shared" si="854"/>
        <v>1</v>
      </c>
      <c r="Z3041" s="6" t="str">
        <f t="shared" ca="1" si="855"/>
        <v>20266</v>
      </c>
      <c r="AA3041" s="6">
        <f t="shared" ca="1" si="856"/>
        <v>2026</v>
      </c>
      <c r="AB3041" s="6">
        <f t="shared" ca="1" si="857"/>
        <v>6</v>
      </c>
      <c r="AC3041" s="68">
        <f ca="1">IFERROR(__xludf.DUMMYFUNCTION("""COMPUTED_VALUE"""),46201.9986111111)</f>
        <v>46201.998611111099</v>
      </c>
      <c r="AD3041" s="6">
        <f ca="1">IFERROR(__xludf.DUMMYFUNCTION("""COMPUTED_VALUE"""),1535.24)</f>
        <v>1535.24</v>
      </c>
      <c r="AH3041" s="6" t="str">
        <f t="shared" ca="1" si="858"/>
        <v>20265</v>
      </c>
      <c r="AI3041" s="6">
        <f t="shared" ca="1" si="859"/>
        <v>2026</v>
      </c>
      <c r="AJ3041" s="6">
        <f t="shared" ca="1" si="860"/>
        <v>5</v>
      </c>
      <c r="AK3041" s="68">
        <f ca="1">IFERROR(__xludf.DUMMYFUNCTION("""COMPUTED_VALUE"""),46148.9986111111)</f>
        <v>46148.998611111099</v>
      </c>
      <c r="AL3041" s="6">
        <f ca="1">IFERROR(__xludf.DUMMYFUNCTION("""COMPUTED_VALUE"""),81579.16)</f>
        <v>81579.16</v>
      </c>
      <c r="AP3041" s="6" t="str">
        <f t="shared" si="861"/>
        <v>19001</v>
      </c>
      <c r="AQ3041" s="6">
        <f t="shared" si="862"/>
        <v>1900</v>
      </c>
      <c r="AR3041" s="6">
        <f t="shared" si="863"/>
        <v>1</v>
      </c>
    </row>
    <row r="3042" spans="2:44" x14ac:dyDescent="0.35">
      <c r="B3042" s="6" t="str">
        <f t="shared" si="846"/>
        <v>19001</v>
      </c>
      <c r="C3042" s="6">
        <f t="shared" si="847"/>
        <v>1900</v>
      </c>
      <c r="D3042" s="6">
        <f t="shared" si="848"/>
        <v>1</v>
      </c>
      <c r="J3042" s="6" t="str">
        <f t="shared" si="849"/>
        <v>19001</v>
      </c>
      <c r="K3042" s="6">
        <f t="shared" si="850"/>
        <v>1900</v>
      </c>
      <c r="L3042" s="6">
        <f t="shared" si="851"/>
        <v>1</v>
      </c>
      <c r="R3042" s="6" t="str">
        <f t="shared" si="852"/>
        <v>19001</v>
      </c>
      <c r="S3042" s="6">
        <f t="shared" si="853"/>
        <v>1900</v>
      </c>
      <c r="T3042" s="6">
        <f t="shared" si="854"/>
        <v>1</v>
      </c>
      <c r="Z3042" s="6" t="str">
        <f t="shared" ca="1" si="855"/>
        <v>20266</v>
      </c>
      <c r="AA3042" s="6">
        <f t="shared" ca="1" si="856"/>
        <v>2026</v>
      </c>
      <c r="AB3042" s="6">
        <f t="shared" ca="1" si="857"/>
        <v>6</v>
      </c>
      <c r="AC3042" s="68">
        <f ca="1">IFERROR(__xludf.DUMMYFUNCTION("""COMPUTED_VALUE"""),46202.9986111111)</f>
        <v>46202.998611111099</v>
      </c>
      <c r="AD3042" s="6">
        <f ca="1">IFERROR(__xludf.DUMMYFUNCTION("""COMPUTED_VALUE"""),1541.73)</f>
        <v>1541.73</v>
      </c>
      <c r="AH3042" s="6" t="str">
        <f t="shared" ca="1" si="858"/>
        <v>20265</v>
      </c>
      <c r="AI3042" s="6">
        <f t="shared" ca="1" si="859"/>
        <v>2026</v>
      </c>
      <c r="AJ3042" s="6">
        <f t="shared" ca="1" si="860"/>
        <v>5</v>
      </c>
      <c r="AK3042" s="68">
        <f ca="1">IFERROR(__xludf.DUMMYFUNCTION("""COMPUTED_VALUE"""),46149.9986111111)</f>
        <v>46149.998611111099</v>
      </c>
      <c r="AL3042" s="6">
        <f ca="1">IFERROR(__xludf.DUMMYFUNCTION("""COMPUTED_VALUE"""),80841.99)</f>
        <v>80841.990000000005</v>
      </c>
      <c r="AP3042" s="6" t="str">
        <f t="shared" si="861"/>
        <v>19001</v>
      </c>
      <c r="AQ3042" s="6">
        <f t="shared" si="862"/>
        <v>1900</v>
      </c>
      <c r="AR3042" s="6">
        <f t="shared" si="863"/>
        <v>1</v>
      </c>
    </row>
    <row r="3043" spans="2:44" x14ac:dyDescent="0.35">
      <c r="B3043" s="6" t="str">
        <f t="shared" si="846"/>
        <v>19001</v>
      </c>
      <c r="C3043" s="6">
        <f t="shared" si="847"/>
        <v>1900</v>
      </c>
      <c r="D3043" s="6">
        <f t="shared" si="848"/>
        <v>1</v>
      </c>
      <c r="J3043" s="6" t="str">
        <f t="shared" si="849"/>
        <v>19001</v>
      </c>
      <c r="K3043" s="6">
        <f t="shared" si="850"/>
        <v>1900</v>
      </c>
      <c r="L3043" s="6">
        <f t="shared" si="851"/>
        <v>1</v>
      </c>
      <c r="R3043" s="6" t="str">
        <f t="shared" si="852"/>
        <v>19001</v>
      </c>
      <c r="S3043" s="6">
        <f t="shared" si="853"/>
        <v>1900</v>
      </c>
      <c r="T3043" s="6">
        <f t="shared" si="854"/>
        <v>1</v>
      </c>
      <c r="Z3043" s="6" t="str">
        <f t="shared" ca="1" si="855"/>
        <v>20266</v>
      </c>
      <c r="AA3043" s="6">
        <f t="shared" ca="1" si="856"/>
        <v>2026</v>
      </c>
      <c r="AB3043" s="6">
        <f t="shared" ca="1" si="857"/>
        <v>6</v>
      </c>
      <c r="AC3043" s="68">
        <f ca="1">IFERROR(__xludf.DUMMYFUNCTION("""COMPUTED_VALUE"""),46203.9986111111)</f>
        <v>46203.998611111099</v>
      </c>
      <c r="AD3043" s="6">
        <f ca="1">IFERROR(__xludf.DUMMYFUNCTION("""COMPUTED_VALUE"""),1548.61)</f>
        <v>1548.61</v>
      </c>
      <c r="AH3043" s="6" t="str">
        <f t="shared" ca="1" si="858"/>
        <v>20265</v>
      </c>
      <c r="AI3043" s="6">
        <f t="shared" ca="1" si="859"/>
        <v>2026</v>
      </c>
      <c r="AJ3043" s="6">
        <f t="shared" ca="1" si="860"/>
        <v>5</v>
      </c>
      <c r="AK3043" s="68">
        <f ca="1">IFERROR(__xludf.DUMMYFUNCTION("""COMPUTED_VALUE"""),46150.9986111111)</f>
        <v>46150.998611111099</v>
      </c>
      <c r="AL3043" s="6">
        <f ca="1">IFERROR(__xludf.DUMMYFUNCTION("""COMPUTED_VALUE"""),79553.25)</f>
        <v>79553.25</v>
      </c>
      <c r="AP3043" s="6" t="str">
        <f t="shared" si="861"/>
        <v>19001</v>
      </c>
      <c r="AQ3043" s="6">
        <f t="shared" si="862"/>
        <v>1900</v>
      </c>
      <c r="AR3043" s="6">
        <f t="shared" si="863"/>
        <v>1</v>
      </c>
    </row>
    <row r="3044" spans="2:44" x14ac:dyDescent="0.35">
      <c r="B3044" s="6" t="str">
        <f t="shared" si="846"/>
        <v>19001</v>
      </c>
      <c r="C3044" s="6">
        <f t="shared" si="847"/>
        <v>1900</v>
      </c>
      <c r="D3044" s="6">
        <f t="shared" si="848"/>
        <v>1</v>
      </c>
      <c r="J3044" s="6" t="str">
        <f t="shared" si="849"/>
        <v>19001</v>
      </c>
      <c r="K3044" s="6">
        <f t="shared" si="850"/>
        <v>1900</v>
      </c>
      <c r="L3044" s="6">
        <f t="shared" si="851"/>
        <v>1</v>
      </c>
      <c r="R3044" s="6" t="str">
        <f t="shared" si="852"/>
        <v>19001</v>
      </c>
      <c r="S3044" s="6">
        <f t="shared" si="853"/>
        <v>1900</v>
      </c>
      <c r="T3044" s="6">
        <f t="shared" si="854"/>
        <v>1</v>
      </c>
      <c r="Z3044" s="6" t="str">
        <f t="shared" ca="1" si="855"/>
        <v>20267</v>
      </c>
      <c r="AA3044" s="6">
        <f t="shared" ca="1" si="856"/>
        <v>2026</v>
      </c>
      <c r="AB3044" s="6">
        <f t="shared" ca="1" si="857"/>
        <v>7</v>
      </c>
      <c r="AC3044" s="68">
        <f ca="1">IFERROR(__xludf.DUMMYFUNCTION("""COMPUTED_VALUE"""),46204.9986111111)</f>
        <v>46204.998611111099</v>
      </c>
      <c r="AD3044" s="6">
        <f ca="1">IFERROR(__xludf.DUMMYFUNCTION("""COMPUTED_VALUE"""),1551.81)</f>
        <v>1551.81</v>
      </c>
      <c r="AH3044" s="6" t="str">
        <f t="shared" ca="1" si="858"/>
        <v>20265</v>
      </c>
      <c r="AI3044" s="6">
        <f t="shared" ca="1" si="859"/>
        <v>2026</v>
      </c>
      <c r="AJ3044" s="6">
        <f t="shared" ca="1" si="860"/>
        <v>5</v>
      </c>
      <c r="AK3044" s="68">
        <f ca="1">IFERROR(__xludf.DUMMYFUNCTION("""COMPUTED_VALUE"""),46151.9986111111)</f>
        <v>46151.998611111099</v>
      </c>
      <c r="AL3044" s="6">
        <f ca="1">IFERROR(__xludf.DUMMYFUNCTION("""COMPUTED_VALUE"""),80380.3)</f>
        <v>80380.3</v>
      </c>
      <c r="AP3044" s="6" t="str">
        <f t="shared" si="861"/>
        <v>19001</v>
      </c>
      <c r="AQ3044" s="6">
        <f t="shared" si="862"/>
        <v>1900</v>
      </c>
      <c r="AR3044" s="6">
        <f t="shared" si="863"/>
        <v>1</v>
      </c>
    </row>
    <row r="3045" spans="2:44" x14ac:dyDescent="0.35">
      <c r="B3045" s="6" t="str">
        <f t="shared" si="846"/>
        <v>19001</v>
      </c>
      <c r="C3045" s="6">
        <f t="shared" si="847"/>
        <v>1900</v>
      </c>
      <c r="D3045" s="6">
        <f t="shared" si="848"/>
        <v>1</v>
      </c>
      <c r="J3045" s="6" t="str">
        <f t="shared" si="849"/>
        <v>19001</v>
      </c>
      <c r="K3045" s="6">
        <f t="shared" si="850"/>
        <v>1900</v>
      </c>
      <c r="L3045" s="6">
        <f t="shared" si="851"/>
        <v>1</v>
      </c>
      <c r="R3045" s="6" t="str">
        <f t="shared" si="852"/>
        <v>19001</v>
      </c>
      <c r="S3045" s="6">
        <f t="shared" si="853"/>
        <v>1900</v>
      </c>
      <c r="T3045" s="6">
        <f t="shared" si="854"/>
        <v>1</v>
      </c>
      <c r="Z3045" s="6" t="str">
        <f t="shared" ca="1" si="855"/>
        <v>20267</v>
      </c>
      <c r="AA3045" s="6">
        <f t="shared" ca="1" si="856"/>
        <v>2026</v>
      </c>
      <c r="AB3045" s="6">
        <f t="shared" ca="1" si="857"/>
        <v>7</v>
      </c>
      <c r="AC3045" s="68">
        <f ca="1">IFERROR(__xludf.DUMMYFUNCTION("""COMPUTED_VALUE"""),46205.9986111111)</f>
        <v>46205.998611111099</v>
      </c>
      <c r="AD3045" s="6">
        <f ca="1">IFERROR(__xludf.DUMMYFUNCTION("""COMPUTED_VALUE"""),1542.13)</f>
        <v>1542.13</v>
      </c>
      <c r="AH3045" s="6" t="str">
        <f t="shared" ca="1" si="858"/>
        <v>20265</v>
      </c>
      <c r="AI3045" s="6">
        <f t="shared" ca="1" si="859"/>
        <v>2026</v>
      </c>
      <c r="AJ3045" s="6">
        <f t="shared" ca="1" si="860"/>
        <v>5</v>
      </c>
      <c r="AK3045" s="68">
        <f ca="1">IFERROR(__xludf.DUMMYFUNCTION("""COMPUTED_VALUE"""),46152.9986111111)</f>
        <v>46152.998611111099</v>
      </c>
      <c r="AL3045" s="6">
        <f ca="1">IFERROR(__xludf.DUMMYFUNCTION("""COMPUTED_VALUE"""),80752.23)</f>
        <v>80752.23</v>
      </c>
      <c r="AP3045" s="6" t="str">
        <f t="shared" si="861"/>
        <v>19001</v>
      </c>
      <c r="AQ3045" s="6">
        <f t="shared" si="862"/>
        <v>1900</v>
      </c>
      <c r="AR3045" s="6">
        <f t="shared" si="863"/>
        <v>1</v>
      </c>
    </row>
    <row r="3046" spans="2:44" x14ac:dyDescent="0.35">
      <c r="B3046" s="6" t="str">
        <f t="shared" si="846"/>
        <v>19001</v>
      </c>
      <c r="C3046" s="6">
        <f t="shared" si="847"/>
        <v>1900</v>
      </c>
      <c r="D3046" s="6">
        <f t="shared" si="848"/>
        <v>1</v>
      </c>
      <c r="J3046" s="6" t="str">
        <f t="shared" si="849"/>
        <v>19001</v>
      </c>
      <c r="K3046" s="6">
        <f t="shared" si="850"/>
        <v>1900</v>
      </c>
      <c r="L3046" s="6">
        <f t="shared" si="851"/>
        <v>1</v>
      </c>
      <c r="R3046" s="6" t="str">
        <f t="shared" si="852"/>
        <v>19001</v>
      </c>
      <c r="S3046" s="6">
        <f t="shared" si="853"/>
        <v>1900</v>
      </c>
      <c r="T3046" s="6">
        <f t="shared" si="854"/>
        <v>1</v>
      </c>
      <c r="Z3046" s="6" t="str">
        <f t="shared" ca="1" si="855"/>
        <v>20267</v>
      </c>
      <c r="AA3046" s="6">
        <f t="shared" ca="1" si="856"/>
        <v>2026</v>
      </c>
      <c r="AB3046" s="6">
        <f t="shared" ca="1" si="857"/>
        <v>7</v>
      </c>
      <c r="AC3046" s="68">
        <f ca="1">IFERROR(__xludf.DUMMYFUNCTION("""COMPUTED_VALUE"""),46206.9986111111)</f>
        <v>46206.998611111099</v>
      </c>
      <c r="AD3046" s="6">
        <f ca="1">IFERROR(__xludf.DUMMYFUNCTION("""COMPUTED_VALUE"""),1528.18)</f>
        <v>1528.18</v>
      </c>
      <c r="AH3046" s="6" t="str">
        <f t="shared" ca="1" si="858"/>
        <v>20265</v>
      </c>
      <c r="AI3046" s="6">
        <f t="shared" ca="1" si="859"/>
        <v>2026</v>
      </c>
      <c r="AJ3046" s="6">
        <f t="shared" ca="1" si="860"/>
        <v>5</v>
      </c>
      <c r="AK3046" s="68">
        <f ca="1">IFERROR(__xludf.DUMMYFUNCTION("""COMPUTED_VALUE"""),46153.9986111111)</f>
        <v>46153.998611111099</v>
      </c>
      <c r="AL3046" s="6">
        <f ca="1">IFERROR(__xludf.DUMMYFUNCTION("""COMPUTED_VALUE"""),80719.92)</f>
        <v>80719.92</v>
      </c>
      <c r="AP3046" s="6" t="str">
        <f t="shared" si="861"/>
        <v>19001</v>
      </c>
      <c r="AQ3046" s="6">
        <f t="shared" si="862"/>
        <v>1900</v>
      </c>
      <c r="AR3046" s="6">
        <f t="shared" si="863"/>
        <v>1</v>
      </c>
    </row>
    <row r="3047" spans="2:44" x14ac:dyDescent="0.35">
      <c r="B3047" s="6" t="str">
        <f t="shared" si="846"/>
        <v>19001</v>
      </c>
      <c r="C3047" s="6">
        <f t="shared" si="847"/>
        <v>1900</v>
      </c>
      <c r="D3047" s="6">
        <f t="shared" si="848"/>
        <v>1</v>
      </c>
      <c r="J3047" s="6" t="str">
        <f t="shared" si="849"/>
        <v>19001</v>
      </c>
      <c r="K3047" s="6">
        <f t="shared" si="850"/>
        <v>1900</v>
      </c>
      <c r="L3047" s="6">
        <f t="shared" si="851"/>
        <v>1</v>
      </c>
      <c r="R3047" s="6" t="str">
        <f t="shared" si="852"/>
        <v>19001</v>
      </c>
      <c r="S3047" s="6">
        <f t="shared" si="853"/>
        <v>1900</v>
      </c>
      <c r="T3047" s="6">
        <f t="shared" si="854"/>
        <v>1</v>
      </c>
      <c r="Z3047" s="6" t="str">
        <f t="shared" ca="1" si="855"/>
        <v>20267</v>
      </c>
      <c r="AA3047" s="6">
        <f t="shared" ca="1" si="856"/>
        <v>2026</v>
      </c>
      <c r="AB3047" s="6">
        <f t="shared" ca="1" si="857"/>
        <v>7</v>
      </c>
      <c r="AC3047" s="68">
        <f ca="1">IFERROR(__xludf.DUMMYFUNCTION("""COMPUTED_VALUE"""),46207.9986111111)</f>
        <v>46207.998611111099</v>
      </c>
      <c r="AD3047" s="6">
        <f ca="1">IFERROR(__xludf.DUMMYFUNCTION("""COMPUTED_VALUE"""),1527.3)</f>
        <v>1527.3</v>
      </c>
      <c r="AH3047" s="6" t="str">
        <f t="shared" ca="1" si="858"/>
        <v>20265</v>
      </c>
      <c r="AI3047" s="6">
        <f t="shared" ca="1" si="859"/>
        <v>2026</v>
      </c>
      <c r="AJ3047" s="6">
        <f t="shared" ca="1" si="860"/>
        <v>5</v>
      </c>
      <c r="AK3047" s="68">
        <f ca="1">IFERROR(__xludf.DUMMYFUNCTION("""COMPUTED_VALUE"""),46154.9986111111)</f>
        <v>46154.998611111099</v>
      </c>
      <c r="AL3047" s="6">
        <f ca="1">IFERROR(__xludf.DUMMYFUNCTION("""COMPUTED_VALUE"""),81037.06)</f>
        <v>81037.06</v>
      </c>
      <c r="AP3047" s="6" t="str">
        <f t="shared" si="861"/>
        <v>19001</v>
      </c>
      <c r="AQ3047" s="6">
        <f t="shared" si="862"/>
        <v>1900</v>
      </c>
      <c r="AR3047" s="6">
        <f t="shared" si="863"/>
        <v>1</v>
      </c>
    </row>
    <row r="3048" spans="2:44" x14ac:dyDescent="0.35">
      <c r="B3048" s="6" t="str">
        <f t="shared" si="846"/>
        <v>19001</v>
      </c>
      <c r="C3048" s="6">
        <f t="shared" si="847"/>
        <v>1900</v>
      </c>
      <c r="D3048" s="6">
        <f t="shared" si="848"/>
        <v>1</v>
      </c>
      <c r="J3048" s="6" t="str">
        <f t="shared" si="849"/>
        <v>19001</v>
      </c>
      <c r="K3048" s="6">
        <f t="shared" si="850"/>
        <v>1900</v>
      </c>
      <c r="L3048" s="6">
        <f t="shared" si="851"/>
        <v>1</v>
      </c>
      <c r="R3048" s="6" t="str">
        <f t="shared" si="852"/>
        <v>19001</v>
      </c>
      <c r="S3048" s="6">
        <f t="shared" si="853"/>
        <v>1900</v>
      </c>
      <c r="T3048" s="6">
        <f t="shared" si="854"/>
        <v>1</v>
      </c>
      <c r="Z3048" s="6" t="str">
        <f t="shared" ca="1" si="855"/>
        <v>20267</v>
      </c>
      <c r="AA3048" s="6">
        <f t="shared" ca="1" si="856"/>
        <v>2026</v>
      </c>
      <c r="AB3048" s="6">
        <f t="shared" ca="1" si="857"/>
        <v>7</v>
      </c>
      <c r="AC3048" s="68">
        <f ca="1">IFERROR(__xludf.DUMMYFUNCTION("""COMPUTED_VALUE"""),46208.9986111111)</f>
        <v>46208.998611111099</v>
      </c>
      <c r="AD3048" s="6">
        <f ca="1">IFERROR(__xludf.DUMMYFUNCTION("""COMPUTED_VALUE"""),1531)</f>
        <v>1531</v>
      </c>
      <c r="AH3048" s="6" t="str">
        <f t="shared" ca="1" si="858"/>
        <v>20265</v>
      </c>
      <c r="AI3048" s="6">
        <f t="shared" ca="1" si="859"/>
        <v>2026</v>
      </c>
      <c r="AJ3048" s="6">
        <f t="shared" ca="1" si="860"/>
        <v>5</v>
      </c>
      <c r="AK3048" s="68">
        <f ca="1">IFERROR(__xludf.DUMMYFUNCTION("""COMPUTED_VALUE"""),46155.9986111111)</f>
        <v>46155.998611111099</v>
      </c>
      <c r="AL3048" s="6">
        <f ca="1">IFERROR(__xludf.DUMMYFUNCTION("""COMPUTED_VALUE"""),81240.78)</f>
        <v>81240.78</v>
      </c>
      <c r="AP3048" s="6" t="str">
        <f t="shared" si="861"/>
        <v>19001</v>
      </c>
      <c r="AQ3048" s="6">
        <f t="shared" si="862"/>
        <v>1900</v>
      </c>
      <c r="AR3048" s="6">
        <f t="shared" si="863"/>
        <v>1</v>
      </c>
    </row>
    <row r="3049" spans="2:44" x14ac:dyDescent="0.35">
      <c r="B3049" s="6" t="str">
        <f t="shared" si="846"/>
        <v>19001</v>
      </c>
      <c r="C3049" s="6">
        <f t="shared" si="847"/>
        <v>1900</v>
      </c>
      <c r="D3049" s="6">
        <f t="shared" si="848"/>
        <v>1</v>
      </c>
      <c r="J3049" s="6" t="str">
        <f t="shared" si="849"/>
        <v>19001</v>
      </c>
      <c r="K3049" s="6">
        <f t="shared" si="850"/>
        <v>1900</v>
      </c>
      <c r="L3049" s="6">
        <f t="shared" si="851"/>
        <v>1</v>
      </c>
      <c r="R3049" s="6" t="str">
        <f t="shared" si="852"/>
        <v>19001</v>
      </c>
      <c r="S3049" s="6">
        <f t="shared" si="853"/>
        <v>1900</v>
      </c>
      <c r="T3049" s="6">
        <f t="shared" si="854"/>
        <v>1</v>
      </c>
      <c r="Z3049" s="6" t="str">
        <f t="shared" ca="1" si="855"/>
        <v>20267</v>
      </c>
      <c r="AA3049" s="6">
        <f t="shared" ca="1" si="856"/>
        <v>2026</v>
      </c>
      <c r="AB3049" s="6">
        <f t="shared" ca="1" si="857"/>
        <v>7</v>
      </c>
      <c r="AC3049" s="68">
        <f ca="1">IFERROR(__xludf.DUMMYFUNCTION("""COMPUTED_VALUE"""),46209.9986111111)</f>
        <v>46209.998611111099</v>
      </c>
      <c r="AD3049" s="6">
        <f ca="1">IFERROR(__xludf.DUMMYFUNCTION("""COMPUTED_VALUE"""),1528.76)</f>
        <v>1528.76</v>
      </c>
      <c r="AH3049" s="6" t="str">
        <f t="shared" ca="1" si="858"/>
        <v>20265</v>
      </c>
      <c r="AI3049" s="6">
        <f t="shared" ca="1" si="859"/>
        <v>2026</v>
      </c>
      <c r="AJ3049" s="6">
        <f t="shared" ca="1" si="860"/>
        <v>5</v>
      </c>
      <c r="AK3049" s="68">
        <f ca="1">IFERROR(__xludf.DUMMYFUNCTION("""COMPUTED_VALUE"""),46156.9986111111)</f>
        <v>46156.998611111099</v>
      </c>
      <c r="AL3049" s="6">
        <f ca="1">IFERROR(__xludf.DUMMYFUNCTION("""COMPUTED_VALUE"""),79014.78)</f>
        <v>79014.78</v>
      </c>
      <c r="AP3049" s="6" t="str">
        <f t="shared" si="861"/>
        <v>19001</v>
      </c>
      <c r="AQ3049" s="6">
        <f t="shared" si="862"/>
        <v>1900</v>
      </c>
      <c r="AR3049" s="6">
        <f t="shared" si="863"/>
        <v>1</v>
      </c>
    </row>
    <row r="3050" spans="2:44" x14ac:dyDescent="0.35">
      <c r="B3050" s="6" t="str">
        <f t="shared" si="846"/>
        <v>19001</v>
      </c>
      <c r="C3050" s="6">
        <f t="shared" si="847"/>
        <v>1900</v>
      </c>
      <c r="D3050" s="6">
        <f t="shared" si="848"/>
        <v>1</v>
      </c>
      <c r="J3050" s="6" t="str">
        <f t="shared" si="849"/>
        <v>19001</v>
      </c>
      <c r="K3050" s="6">
        <f t="shared" si="850"/>
        <v>1900</v>
      </c>
      <c r="L3050" s="6">
        <f t="shared" si="851"/>
        <v>1</v>
      </c>
      <c r="R3050" s="6" t="str">
        <f t="shared" si="852"/>
        <v>19001</v>
      </c>
      <c r="S3050" s="6">
        <f t="shared" si="853"/>
        <v>1900</v>
      </c>
      <c r="T3050" s="6">
        <f t="shared" si="854"/>
        <v>1</v>
      </c>
      <c r="Z3050" s="6" t="str">
        <f t="shared" ca="1" si="855"/>
        <v>20267</v>
      </c>
      <c r="AA3050" s="6">
        <f t="shared" ca="1" si="856"/>
        <v>2026</v>
      </c>
      <c r="AB3050" s="6">
        <f t="shared" ca="1" si="857"/>
        <v>7</v>
      </c>
      <c r="AC3050" s="68">
        <f ca="1">IFERROR(__xludf.DUMMYFUNCTION("""COMPUTED_VALUE"""),46210.9986111111)</f>
        <v>46210.998611111099</v>
      </c>
      <c r="AD3050" s="6">
        <f ca="1">IFERROR(__xludf.DUMMYFUNCTION("""COMPUTED_VALUE"""),1519.86)</f>
        <v>1519.86</v>
      </c>
      <c r="AH3050" s="6" t="str">
        <f t="shared" ca="1" si="858"/>
        <v>20265</v>
      </c>
      <c r="AI3050" s="6">
        <f t="shared" ca="1" si="859"/>
        <v>2026</v>
      </c>
      <c r="AJ3050" s="6">
        <f t="shared" ca="1" si="860"/>
        <v>5</v>
      </c>
      <c r="AK3050" s="68">
        <f ca="1">IFERROR(__xludf.DUMMYFUNCTION("""COMPUTED_VALUE"""),46157.9986111111)</f>
        <v>46157.998611111099</v>
      </c>
      <c r="AL3050" s="6">
        <f ca="1">IFERROR(__xludf.DUMMYFUNCTION("""COMPUTED_VALUE"""),81060.27)</f>
        <v>81060.27</v>
      </c>
      <c r="AP3050" s="6" t="str">
        <f t="shared" si="861"/>
        <v>19001</v>
      </c>
      <c r="AQ3050" s="6">
        <f t="shared" si="862"/>
        <v>1900</v>
      </c>
      <c r="AR3050" s="6">
        <f t="shared" si="863"/>
        <v>1</v>
      </c>
    </row>
    <row r="3051" spans="2:44" x14ac:dyDescent="0.35">
      <c r="B3051" s="6" t="str">
        <f t="shared" si="846"/>
        <v>19001</v>
      </c>
      <c r="C3051" s="6">
        <f t="shared" si="847"/>
        <v>1900</v>
      </c>
      <c r="D3051" s="6">
        <f t="shared" si="848"/>
        <v>1</v>
      </c>
      <c r="J3051" s="6" t="str">
        <f t="shared" si="849"/>
        <v>19001</v>
      </c>
      <c r="K3051" s="6">
        <f t="shared" si="850"/>
        <v>1900</v>
      </c>
      <c r="L3051" s="6">
        <f t="shared" si="851"/>
        <v>1</v>
      </c>
      <c r="R3051" s="6" t="str">
        <f t="shared" si="852"/>
        <v>19001</v>
      </c>
      <c r="S3051" s="6">
        <f t="shared" si="853"/>
        <v>1900</v>
      </c>
      <c r="T3051" s="6">
        <f t="shared" si="854"/>
        <v>1</v>
      </c>
      <c r="Z3051" s="6" t="str">
        <f t="shared" ca="1" si="855"/>
        <v>20267</v>
      </c>
      <c r="AA3051" s="6">
        <f t="shared" ca="1" si="856"/>
        <v>2026</v>
      </c>
      <c r="AB3051" s="6">
        <f t="shared" ca="1" si="857"/>
        <v>7</v>
      </c>
      <c r="AC3051" s="68">
        <f ca="1">IFERROR(__xludf.DUMMYFUNCTION("""COMPUTED_VALUE"""),46211.9986111111)</f>
        <v>46211.998611111099</v>
      </c>
      <c r="AD3051" s="6">
        <f ca="1">IFERROR(__xludf.DUMMYFUNCTION("""COMPUTED_VALUE"""),1503.35)</f>
        <v>1503.35</v>
      </c>
      <c r="AH3051" s="6" t="str">
        <f t="shared" ca="1" si="858"/>
        <v>20265</v>
      </c>
      <c r="AI3051" s="6">
        <f t="shared" ca="1" si="859"/>
        <v>2026</v>
      </c>
      <c r="AJ3051" s="6">
        <f t="shared" ca="1" si="860"/>
        <v>5</v>
      </c>
      <c r="AK3051" s="68">
        <f ca="1">IFERROR(__xludf.DUMMYFUNCTION("""COMPUTED_VALUE"""),46158.9986111111)</f>
        <v>46158.998611111099</v>
      </c>
      <c r="AL3051" s="6">
        <f ca="1">IFERROR(__xludf.DUMMYFUNCTION("""COMPUTED_VALUE"""),79016.69)</f>
        <v>79016.69</v>
      </c>
      <c r="AP3051" s="6" t="str">
        <f t="shared" si="861"/>
        <v>19001</v>
      </c>
      <c r="AQ3051" s="6">
        <f t="shared" si="862"/>
        <v>1900</v>
      </c>
      <c r="AR3051" s="6">
        <f t="shared" si="863"/>
        <v>1</v>
      </c>
    </row>
    <row r="3052" spans="2:44" x14ac:dyDescent="0.35">
      <c r="B3052" s="6" t="str">
        <f t="shared" si="846"/>
        <v>19001</v>
      </c>
      <c r="C3052" s="6">
        <f t="shared" si="847"/>
        <v>1900</v>
      </c>
      <c r="D3052" s="6">
        <f t="shared" si="848"/>
        <v>1</v>
      </c>
      <c r="J3052" s="6" t="str">
        <f t="shared" si="849"/>
        <v>19001</v>
      </c>
      <c r="K3052" s="6">
        <f t="shared" si="850"/>
        <v>1900</v>
      </c>
      <c r="L3052" s="6">
        <f t="shared" si="851"/>
        <v>1</v>
      </c>
      <c r="R3052" s="6" t="str">
        <f t="shared" si="852"/>
        <v>19001</v>
      </c>
      <c r="S3052" s="6">
        <f t="shared" si="853"/>
        <v>1900</v>
      </c>
      <c r="T3052" s="6">
        <f t="shared" si="854"/>
        <v>1</v>
      </c>
      <c r="Z3052" s="6" t="str">
        <f t="shared" ca="1" si="855"/>
        <v>20267</v>
      </c>
      <c r="AA3052" s="6">
        <f t="shared" ca="1" si="856"/>
        <v>2026</v>
      </c>
      <c r="AB3052" s="6">
        <f t="shared" ca="1" si="857"/>
        <v>7</v>
      </c>
      <c r="AC3052" s="68">
        <f ca="1">IFERROR(__xludf.DUMMYFUNCTION("""COMPUTED_VALUE"""),46212.9986111111)</f>
        <v>46212.998611111099</v>
      </c>
      <c r="AD3052" s="6">
        <f ca="1">IFERROR(__xludf.DUMMYFUNCTION("""COMPUTED_VALUE"""),1505.91)</f>
        <v>1505.91</v>
      </c>
      <c r="AH3052" s="6" t="str">
        <f t="shared" ca="1" si="858"/>
        <v>20265</v>
      </c>
      <c r="AI3052" s="6">
        <f t="shared" ca="1" si="859"/>
        <v>2026</v>
      </c>
      <c r="AJ3052" s="6">
        <f t="shared" ca="1" si="860"/>
        <v>5</v>
      </c>
      <c r="AK3052" s="68">
        <f ca="1">IFERROR(__xludf.DUMMYFUNCTION("""COMPUTED_VALUE"""),46159.9986111111)</f>
        <v>46159.998611111099</v>
      </c>
      <c r="AL3052" s="6">
        <f ca="1">IFERROR(__xludf.DUMMYFUNCTION("""COMPUTED_VALUE"""),77993.23)</f>
        <v>77993.23</v>
      </c>
      <c r="AP3052" s="6" t="str">
        <f t="shared" si="861"/>
        <v>19001</v>
      </c>
      <c r="AQ3052" s="6">
        <f t="shared" si="862"/>
        <v>1900</v>
      </c>
      <c r="AR3052" s="6">
        <f t="shared" si="863"/>
        <v>1</v>
      </c>
    </row>
    <row r="3053" spans="2:44" x14ac:dyDescent="0.35">
      <c r="B3053" s="6" t="str">
        <f t="shared" si="846"/>
        <v>19001</v>
      </c>
      <c r="C3053" s="6">
        <f t="shared" si="847"/>
        <v>1900</v>
      </c>
      <c r="D3053" s="6">
        <f t="shared" si="848"/>
        <v>1</v>
      </c>
      <c r="J3053" s="6" t="str">
        <f t="shared" si="849"/>
        <v>19001</v>
      </c>
      <c r="K3053" s="6">
        <f t="shared" si="850"/>
        <v>1900</v>
      </c>
      <c r="L3053" s="6">
        <f t="shared" si="851"/>
        <v>1</v>
      </c>
      <c r="R3053" s="6" t="str">
        <f t="shared" si="852"/>
        <v>19001</v>
      </c>
      <c r="S3053" s="6">
        <f t="shared" si="853"/>
        <v>1900</v>
      </c>
      <c r="T3053" s="6">
        <f t="shared" si="854"/>
        <v>1</v>
      </c>
      <c r="Z3053" s="6" t="str">
        <f t="shared" ca="1" si="855"/>
        <v>20267</v>
      </c>
      <c r="AA3053" s="6">
        <f t="shared" ca="1" si="856"/>
        <v>2026</v>
      </c>
      <c r="AB3053" s="6">
        <f t="shared" ca="1" si="857"/>
        <v>7</v>
      </c>
      <c r="AC3053" s="68">
        <f ca="1">IFERROR(__xludf.DUMMYFUNCTION("""COMPUTED_VALUE"""),46213.9986111111)</f>
        <v>46213.998611111099</v>
      </c>
      <c r="AD3053" s="6">
        <f ca="1">IFERROR(__xludf.DUMMYFUNCTION("""COMPUTED_VALUE"""),1498.07)</f>
        <v>1498.07</v>
      </c>
      <c r="AH3053" s="6" t="str">
        <f t="shared" ca="1" si="858"/>
        <v>20265</v>
      </c>
      <c r="AI3053" s="6">
        <f t="shared" ca="1" si="859"/>
        <v>2026</v>
      </c>
      <c r="AJ3053" s="6">
        <f t="shared" ca="1" si="860"/>
        <v>5</v>
      </c>
      <c r="AK3053" s="68">
        <f ca="1">IFERROR(__xludf.DUMMYFUNCTION("""COMPUTED_VALUE"""),46160.9986111111)</f>
        <v>46160.998611111099</v>
      </c>
      <c r="AL3053" s="6">
        <f ca="1">IFERROR(__xludf.DUMMYFUNCTION("""COMPUTED_VALUE"""),76869.57)</f>
        <v>76869.570000000007</v>
      </c>
      <c r="AP3053" s="6" t="str">
        <f t="shared" si="861"/>
        <v>19001</v>
      </c>
      <c r="AQ3053" s="6">
        <f t="shared" si="862"/>
        <v>1900</v>
      </c>
      <c r="AR3053" s="6">
        <f t="shared" si="863"/>
        <v>1</v>
      </c>
    </row>
    <row r="3054" spans="2:44" x14ac:dyDescent="0.35">
      <c r="B3054" s="6" t="str">
        <f t="shared" si="846"/>
        <v>19001</v>
      </c>
      <c r="C3054" s="6">
        <f t="shared" si="847"/>
        <v>1900</v>
      </c>
      <c r="D3054" s="6">
        <f t="shared" si="848"/>
        <v>1</v>
      </c>
      <c r="J3054" s="6" t="str">
        <f t="shared" si="849"/>
        <v>19001</v>
      </c>
      <c r="K3054" s="6">
        <f t="shared" si="850"/>
        <v>1900</v>
      </c>
      <c r="L3054" s="6">
        <f t="shared" si="851"/>
        <v>1</v>
      </c>
      <c r="R3054" s="6" t="str">
        <f t="shared" si="852"/>
        <v>19001</v>
      </c>
      <c r="S3054" s="6">
        <f t="shared" si="853"/>
        <v>1900</v>
      </c>
      <c r="T3054" s="6">
        <f t="shared" si="854"/>
        <v>1</v>
      </c>
      <c r="Z3054" s="6" t="str">
        <f t="shared" ca="1" si="855"/>
        <v>20267</v>
      </c>
      <c r="AA3054" s="6">
        <f t="shared" ca="1" si="856"/>
        <v>2026</v>
      </c>
      <c r="AB3054" s="6">
        <f t="shared" ca="1" si="857"/>
        <v>7</v>
      </c>
      <c r="AC3054" s="68">
        <f ca="1">IFERROR(__xludf.DUMMYFUNCTION("""COMPUTED_VALUE"""),46214.9986111111)</f>
        <v>46214.998611111099</v>
      </c>
      <c r="AD3054" s="6">
        <f ca="1">IFERROR(__xludf.DUMMYFUNCTION("""COMPUTED_VALUE"""),1497.15)</f>
        <v>1497.15</v>
      </c>
      <c r="AH3054" s="6" t="str">
        <f t="shared" ca="1" si="858"/>
        <v>20265</v>
      </c>
      <c r="AI3054" s="6">
        <f t="shared" ca="1" si="859"/>
        <v>2026</v>
      </c>
      <c r="AJ3054" s="6">
        <f t="shared" ca="1" si="860"/>
        <v>5</v>
      </c>
      <c r="AK3054" s="68">
        <f ca="1">IFERROR(__xludf.DUMMYFUNCTION("""COMPUTED_VALUE"""),46161.9986111111)</f>
        <v>46161.998611111099</v>
      </c>
      <c r="AL3054" s="6">
        <f ca="1">IFERROR(__xludf.DUMMYFUNCTION("""COMPUTED_VALUE"""),76721.99)</f>
        <v>76721.990000000005</v>
      </c>
      <c r="AP3054" s="6" t="str">
        <f t="shared" si="861"/>
        <v>19001</v>
      </c>
      <c r="AQ3054" s="6">
        <f t="shared" si="862"/>
        <v>1900</v>
      </c>
      <c r="AR3054" s="6">
        <f t="shared" si="863"/>
        <v>1</v>
      </c>
    </row>
    <row r="3055" spans="2:44" x14ac:dyDescent="0.35">
      <c r="B3055" s="6" t="str">
        <f t="shared" si="846"/>
        <v>19001</v>
      </c>
      <c r="C3055" s="6">
        <f t="shared" si="847"/>
        <v>1900</v>
      </c>
      <c r="D3055" s="6">
        <f t="shared" si="848"/>
        <v>1</v>
      </c>
      <c r="J3055" s="6" t="str">
        <f t="shared" si="849"/>
        <v>19001</v>
      </c>
      <c r="K3055" s="6">
        <f t="shared" si="850"/>
        <v>1900</v>
      </c>
      <c r="L3055" s="6">
        <f t="shared" si="851"/>
        <v>1</v>
      </c>
      <c r="R3055" s="6" t="str">
        <f t="shared" si="852"/>
        <v>19001</v>
      </c>
      <c r="S3055" s="6">
        <f t="shared" si="853"/>
        <v>1900</v>
      </c>
      <c r="T3055" s="6">
        <f t="shared" si="854"/>
        <v>1</v>
      </c>
      <c r="Z3055" s="6" t="str">
        <f t="shared" ca="1" si="855"/>
        <v>20267</v>
      </c>
      <c r="AA3055" s="6">
        <f t="shared" ca="1" si="856"/>
        <v>2026</v>
      </c>
      <c r="AB3055" s="6">
        <f t="shared" ca="1" si="857"/>
        <v>7</v>
      </c>
      <c r="AC3055" s="68">
        <f ca="1">IFERROR(__xludf.DUMMYFUNCTION("""COMPUTED_VALUE"""),46215.9986111111)</f>
        <v>46215.998611111099</v>
      </c>
      <c r="AD3055" s="6">
        <f ca="1">IFERROR(__xludf.DUMMYFUNCTION("""COMPUTED_VALUE"""),1498.48)</f>
        <v>1498.48</v>
      </c>
      <c r="AH3055" s="6" t="str">
        <f t="shared" ca="1" si="858"/>
        <v>20265</v>
      </c>
      <c r="AI3055" s="6">
        <f t="shared" ca="1" si="859"/>
        <v>2026</v>
      </c>
      <c r="AJ3055" s="6">
        <f t="shared" ca="1" si="860"/>
        <v>5</v>
      </c>
      <c r="AK3055" s="68">
        <f ca="1">IFERROR(__xludf.DUMMYFUNCTION("""COMPUTED_VALUE"""),46162.9986111111)</f>
        <v>46162.998611111099</v>
      </c>
      <c r="AL3055" s="6">
        <f ca="1">IFERROR(__xludf.DUMMYFUNCTION("""COMPUTED_VALUE"""),76637.61)</f>
        <v>76637.61</v>
      </c>
      <c r="AP3055" s="6" t="str">
        <f t="shared" si="861"/>
        <v>19001</v>
      </c>
      <c r="AQ3055" s="6">
        <f t="shared" si="862"/>
        <v>1900</v>
      </c>
      <c r="AR3055" s="6">
        <f t="shared" si="863"/>
        <v>1</v>
      </c>
    </row>
    <row r="3056" spans="2:44" x14ac:dyDescent="0.35">
      <c r="B3056" s="6" t="str">
        <f t="shared" si="846"/>
        <v>19001</v>
      </c>
      <c r="C3056" s="6">
        <f t="shared" si="847"/>
        <v>1900</v>
      </c>
      <c r="D3056" s="6">
        <f t="shared" si="848"/>
        <v>1</v>
      </c>
      <c r="J3056" s="6" t="str">
        <f t="shared" si="849"/>
        <v>19001</v>
      </c>
      <c r="K3056" s="6">
        <f t="shared" si="850"/>
        <v>1900</v>
      </c>
      <c r="L3056" s="6">
        <f t="shared" si="851"/>
        <v>1</v>
      </c>
      <c r="R3056" s="6" t="str">
        <f t="shared" si="852"/>
        <v>19001</v>
      </c>
      <c r="S3056" s="6">
        <f t="shared" si="853"/>
        <v>1900</v>
      </c>
      <c r="T3056" s="6">
        <f t="shared" si="854"/>
        <v>1</v>
      </c>
      <c r="Z3056" s="6" t="str">
        <f t="shared" ca="1" si="855"/>
        <v>20267</v>
      </c>
      <c r="AA3056" s="6">
        <f t="shared" ca="1" si="856"/>
        <v>2026</v>
      </c>
      <c r="AB3056" s="6">
        <f t="shared" ca="1" si="857"/>
        <v>7</v>
      </c>
      <c r="AC3056" s="68">
        <f ca="1">IFERROR(__xludf.DUMMYFUNCTION("""COMPUTED_VALUE"""),46216.9986111111)</f>
        <v>46216.998611111099</v>
      </c>
      <c r="AD3056" s="6">
        <f ca="1">IFERROR(__xludf.DUMMYFUNCTION("""COMPUTED_VALUE"""),1497.7)</f>
        <v>1497.7</v>
      </c>
      <c r="AH3056" s="6" t="str">
        <f t="shared" ca="1" si="858"/>
        <v>20265</v>
      </c>
      <c r="AI3056" s="6">
        <f t="shared" ca="1" si="859"/>
        <v>2026</v>
      </c>
      <c r="AJ3056" s="6">
        <f t="shared" ca="1" si="860"/>
        <v>5</v>
      </c>
      <c r="AK3056" s="68">
        <f ca="1">IFERROR(__xludf.DUMMYFUNCTION("""COMPUTED_VALUE"""),46163.9986111111)</f>
        <v>46163.998611111099</v>
      </c>
      <c r="AL3056" s="6">
        <f ca="1">IFERROR(__xludf.DUMMYFUNCTION("""COMPUTED_VALUE"""),78001.65)</f>
        <v>78001.649999999994</v>
      </c>
      <c r="AP3056" s="6" t="str">
        <f t="shared" si="861"/>
        <v>19001</v>
      </c>
      <c r="AQ3056" s="6">
        <f t="shared" si="862"/>
        <v>1900</v>
      </c>
      <c r="AR3056" s="6">
        <f t="shared" si="863"/>
        <v>1</v>
      </c>
    </row>
    <row r="3057" spans="2:44" x14ac:dyDescent="0.35">
      <c r="B3057" s="6" t="str">
        <f t="shared" si="846"/>
        <v>19001</v>
      </c>
      <c r="C3057" s="6">
        <f t="shared" si="847"/>
        <v>1900</v>
      </c>
      <c r="D3057" s="6">
        <f t="shared" si="848"/>
        <v>1</v>
      </c>
      <c r="J3057" s="6" t="str">
        <f t="shared" si="849"/>
        <v>19001</v>
      </c>
      <c r="K3057" s="6">
        <f t="shared" si="850"/>
        <v>1900</v>
      </c>
      <c r="L3057" s="6">
        <f t="shared" si="851"/>
        <v>1</v>
      </c>
      <c r="R3057" s="6" t="str">
        <f t="shared" si="852"/>
        <v>19001</v>
      </c>
      <c r="S3057" s="6">
        <f t="shared" si="853"/>
        <v>1900</v>
      </c>
      <c r="T3057" s="6">
        <f t="shared" si="854"/>
        <v>1</v>
      </c>
      <c r="Z3057" s="6" t="str">
        <f t="shared" ca="1" si="855"/>
        <v>20267</v>
      </c>
      <c r="AA3057" s="6">
        <f t="shared" ca="1" si="856"/>
        <v>2026</v>
      </c>
      <c r="AB3057" s="6">
        <f t="shared" ca="1" si="857"/>
        <v>7</v>
      </c>
      <c r="AC3057" s="68">
        <f ca="1">IFERROR(__xludf.DUMMYFUNCTION("""COMPUTED_VALUE"""),46217.9986111111)</f>
        <v>46217.998611111099</v>
      </c>
      <c r="AD3057" s="6">
        <f ca="1">IFERROR(__xludf.DUMMYFUNCTION("""COMPUTED_VALUE"""),1487.88)</f>
        <v>1487.88</v>
      </c>
      <c r="AH3057" s="6" t="str">
        <f t="shared" ca="1" si="858"/>
        <v>20265</v>
      </c>
      <c r="AI3057" s="6">
        <f t="shared" ca="1" si="859"/>
        <v>2026</v>
      </c>
      <c r="AJ3057" s="6">
        <f t="shared" ca="1" si="860"/>
        <v>5</v>
      </c>
      <c r="AK3057" s="68">
        <f ca="1">IFERROR(__xludf.DUMMYFUNCTION("""COMPUTED_VALUE"""),46164.9986111111)</f>
        <v>46164.998611111099</v>
      </c>
      <c r="AL3057" s="6">
        <f ca="1">IFERROR(__xludf.DUMMYFUNCTION("""COMPUTED_VALUE"""),77705.25)</f>
        <v>77705.25</v>
      </c>
      <c r="AP3057" s="6" t="str">
        <f t="shared" si="861"/>
        <v>19001</v>
      </c>
      <c r="AQ3057" s="6">
        <f t="shared" si="862"/>
        <v>1900</v>
      </c>
      <c r="AR3057" s="6">
        <f t="shared" si="863"/>
        <v>1</v>
      </c>
    </row>
    <row r="3058" spans="2:44" x14ac:dyDescent="0.35">
      <c r="B3058" s="6" t="str">
        <f t="shared" si="846"/>
        <v>19001</v>
      </c>
      <c r="C3058" s="6">
        <f t="shared" si="847"/>
        <v>1900</v>
      </c>
      <c r="D3058" s="6">
        <f t="shared" si="848"/>
        <v>1</v>
      </c>
      <c r="J3058" s="6" t="str">
        <f t="shared" si="849"/>
        <v>19001</v>
      </c>
      <c r="K3058" s="6">
        <f t="shared" si="850"/>
        <v>1900</v>
      </c>
      <c r="L3058" s="6">
        <f t="shared" si="851"/>
        <v>1</v>
      </c>
      <c r="R3058" s="6" t="str">
        <f t="shared" si="852"/>
        <v>19001</v>
      </c>
      <c r="S3058" s="6">
        <f t="shared" si="853"/>
        <v>1900</v>
      </c>
      <c r="T3058" s="6">
        <f t="shared" si="854"/>
        <v>1</v>
      </c>
      <c r="Z3058" s="6" t="str">
        <f t="shared" ca="1" si="855"/>
        <v>20267</v>
      </c>
      <c r="AA3058" s="6">
        <f t="shared" ca="1" si="856"/>
        <v>2026</v>
      </c>
      <c r="AB3058" s="6">
        <f t="shared" ca="1" si="857"/>
        <v>7</v>
      </c>
      <c r="AC3058" s="68">
        <f ca="1">IFERROR(__xludf.DUMMYFUNCTION("""COMPUTED_VALUE"""),46218.9986111111)</f>
        <v>46218.998611111099</v>
      </c>
      <c r="AD3058" s="6">
        <f ca="1">IFERROR(__xludf.DUMMYFUNCTION("""COMPUTED_VALUE"""),1486.2)</f>
        <v>1486.2</v>
      </c>
      <c r="AH3058" s="6" t="str">
        <f t="shared" ca="1" si="858"/>
        <v>20265</v>
      </c>
      <c r="AI3058" s="6">
        <f t="shared" ca="1" si="859"/>
        <v>2026</v>
      </c>
      <c r="AJ3058" s="6">
        <f t="shared" ca="1" si="860"/>
        <v>5</v>
      </c>
      <c r="AK3058" s="68">
        <f ca="1">IFERROR(__xludf.DUMMYFUNCTION("""COMPUTED_VALUE"""),46165.9986111111)</f>
        <v>46165.998611111099</v>
      </c>
      <c r="AL3058" s="6">
        <f ca="1">IFERROR(__xludf.DUMMYFUNCTION("""COMPUTED_VALUE"""),75545.7)</f>
        <v>75545.7</v>
      </c>
      <c r="AP3058" s="6" t="str">
        <f t="shared" si="861"/>
        <v>19001</v>
      </c>
      <c r="AQ3058" s="6">
        <f t="shared" si="862"/>
        <v>1900</v>
      </c>
      <c r="AR3058" s="6">
        <f t="shared" si="863"/>
        <v>1</v>
      </c>
    </row>
    <row r="3059" spans="2:44" x14ac:dyDescent="0.35">
      <c r="B3059" s="6" t="str">
        <f t="shared" si="846"/>
        <v>19001</v>
      </c>
      <c r="C3059" s="6">
        <f t="shared" si="847"/>
        <v>1900</v>
      </c>
      <c r="D3059" s="6">
        <f t="shared" si="848"/>
        <v>1</v>
      </c>
      <c r="J3059" s="6" t="str">
        <f t="shared" si="849"/>
        <v>19001</v>
      </c>
      <c r="K3059" s="6">
        <f t="shared" si="850"/>
        <v>1900</v>
      </c>
      <c r="L3059" s="6">
        <f t="shared" si="851"/>
        <v>1</v>
      </c>
      <c r="R3059" s="6" t="str">
        <f t="shared" si="852"/>
        <v>19001</v>
      </c>
      <c r="S3059" s="6">
        <f t="shared" si="853"/>
        <v>1900</v>
      </c>
      <c r="T3059" s="6">
        <f t="shared" si="854"/>
        <v>1</v>
      </c>
      <c r="Z3059" s="6" t="str">
        <f t="shared" ca="1" si="855"/>
        <v>20267</v>
      </c>
      <c r="AA3059" s="6">
        <f t="shared" ca="1" si="856"/>
        <v>2026</v>
      </c>
      <c r="AB3059" s="6">
        <f t="shared" ca="1" si="857"/>
        <v>7</v>
      </c>
      <c r="AC3059" s="68">
        <f ca="1">IFERROR(__xludf.DUMMYFUNCTION("""COMPUTED_VALUE"""),46219.9986111111)</f>
        <v>46219.998611111099</v>
      </c>
      <c r="AD3059" s="6">
        <f ca="1">IFERROR(__xludf.DUMMYFUNCTION("""COMPUTED_VALUE"""),1478.85)</f>
        <v>1478.85</v>
      </c>
      <c r="AH3059" s="6" t="str">
        <f t="shared" ca="1" si="858"/>
        <v>20265</v>
      </c>
      <c r="AI3059" s="6">
        <f t="shared" ca="1" si="859"/>
        <v>2026</v>
      </c>
      <c r="AJ3059" s="6">
        <f t="shared" ca="1" si="860"/>
        <v>5</v>
      </c>
      <c r="AK3059" s="68">
        <f ca="1">IFERROR(__xludf.DUMMYFUNCTION("""COMPUTED_VALUE"""),46166.9986111111)</f>
        <v>46166.998611111099</v>
      </c>
      <c r="AL3059" s="6">
        <f ca="1">IFERROR(__xludf.DUMMYFUNCTION("""COMPUTED_VALUE"""),76665.13)</f>
        <v>76665.13</v>
      </c>
      <c r="AP3059" s="6" t="str">
        <f t="shared" si="861"/>
        <v>19001</v>
      </c>
      <c r="AQ3059" s="6">
        <f t="shared" si="862"/>
        <v>1900</v>
      </c>
      <c r="AR3059" s="6">
        <f t="shared" si="863"/>
        <v>1</v>
      </c>
    </row>
    <row r="3060" spans="2:44" x14ac:dyDescent="0.35">
      <c r="B3060" s="6" t="str">
        <f t="shared" si="846"/>
        <v>19001</v>
      </c>
      <c r="C3060" s="6">
        <f t="shared" si="847"/>
        <v>1900</v>
      </c>
      <c r="D3060" s="6">
        <f t="shared" si="848"/>
        <v>1</v>
      </c>
      <c r="J3060" s="6" t="str">
        <f t="shared" si="849"/>
        <v>19001</v>
      </c>
      <c r="K3060" s="6">
        <f t="shared" si="850"/>
        <v>1900</v>
      </c>
      <c r="L3060" s="6">
        <f t="shared" si="851"/>
        <v>1</v>
      </c>
      <c r="R3060" s="6" t="str">
        <f t="shared" si="852"/>
        <v>19001</v>
      </c>
      <c r="S3060" s="6">
        <f t="shared" si="853"/>
        <v>1900</v>
      </c>
      <c r="T3060" s="6">
        <f t="shared" si="854"/>
        <v>1</v>
      </c>
      <c r="Z3060" s="6" t="str">
        <f t="shared" ca="1" si="855"/>
        <v>20267</v>
      </c>
      <c r="AA3060" s="6">
        <f t="shared" ca="1" si="856"/>
        <v>2026</v>
      </c>
      <c r="AB3060" s="6">
        <f t="shared" ca="1" si="857"/>
        <v>7</v>
      </c>
      <c r="AC3060" s="68">
        <f ca="1">IFERROR(__xludf.DUMMYFUNCTION("""COMPUTED_VALUE"""),46220.9986111111)</f>
        <v>46220.998611111099</v>
      </c>
      <c r="AD3060" s="6">
        <f ca="1">IFERROR(__xludf.DUMMYFUNCTION("""COMPUTED_VALUE"""),1487.77)</f>
        <v>1487.77</v>
      </c>
      <c r="AH3060" s="6" t="str">
        <f t="shared" ca="1" si="858"/>
        <v>20265</v>
      </c>
      <c r="AI3060" s="6">
        <f t="shared" ca="1" si="859"/>
        <v>2026</v>
      </c>
      <c r="AJ3060" s="6">
        <f t="shared" ca="1" si="860"/>
        <v>5</v>
      </c>
      <c r="AK3060" s="68">
        <f ca="1">IFERROR(__xludf.DUMMYFUNCTION("""COMPUTED_VALUE"""),46167.9986111111)</f>
        <v>46167.998611111099</v>
      </c>
      <c r="AL3060" s="6">
        <f ca="1">IFERROR(__xludf.DUMMYFUNCTION("""COMPUTED_VALUE"""),76933.1)</f>
        <v>76933.100000000006</v>
      </c>
      <c r="AP3060" s="6" t="str">
        <f t="shared" si="861"/>
        <v>19001</v>
      </c>
      <c r="AQ3060" s="6">
        <f t="shared" si="862"/>
        <v>1900</v>
      </c>
      <c r="AR3060" s="6">
        <f t="shared" si="863"/>
        <v>1</v>
      </c>
    </row>
    <row r="3061" spans="2:44" x14ac:dyDescent="0.35">
      <c r="B3061" s="6" t="str">
        <f t="shared" si="846"/>
        <v>19001</v>
      </c>
      <c r="C3061" s="6">
        <f t="shared" si="847"/>
        <v>1900</v>
      </c>
      <c r="D3061" s="6">
        <f t="shared" si="848"/>
        <v>1</v>
      </c>
      <c r="J3061" s="6" t="str">
        <f t="shared" si="849"/>
        <v>19001</v>
      </c>
      <c r="K3061" s="6">
        <f t="shared" si="850"/>
        <v>1900</v>
      </c>
      <c r="L3061" s="6">
        <f t="shared" si="851"/>
        <v>1</v>
      </c>
      <c r="R3061" s="6" t="str">
        <f t="shared" si="852"/>
        <v>19001</v>
      </c>
      <c r="S3061" s="6">
        <f t="shared" si="853"/>
        <v>1900</v>
      </c>
      <c r="T3061" s="6">
        <f t="shared" si="854"/>
        <v>1</v>
      </c>
      <c r="Z3061" s="6" t="str">
        <f t="shared" ca="1" si="855"/>
        <v>20267</v>
      </c>
      <c r="AA3061" s="6">
        <f t="shared" ca="1" si="856"/>
        <v>2026</v>
      </c>
      <c r="AB3061" s="6">
        <f t="shared" ca="1" si="857"/>
        <v>7</v>
      </c>
      <c r="AC3061" s="68">
        <f ca="1">IFERROR(__xludf.DUMMYFUNCTION("""COMPUTED_VALUE"""),46221.9986111111)</f>
        <v>46221.998611111099</v>
      </c>
      <c r="AD3061" s="6">
        <f ca="1">IFERROR(__xludf.DUMMYFUNCTION("""COMPUTED_VALUE"""),1487.93)</f>
        <v>1487.93</v>
      </c>
      <c r="AH3061" s="6" t="str">
        <f t="shared" ca="1" si="858"/>
        <v>20265</v>
      </c>
      <c r="AI3061" s="6">
        <f t="shared" ca="1" si="859"/>
        <v>2026</v>
      </c>
      <c r="AJ3061" s="6">
        <f t="shared" ca="1" si="860"/>
        <v>5</v>
      </c>
      <c r="AK3061" s="68">
        <f ca="1">IFERROR(__xludf.DUMMYFUNCTION("""COMPUTED_VALUE"""),46168.9986111111)</f>
        <v>46168.998611111099</v>
      </c>
      <c r="AL3061" s="6">
        <f ca="1">IFERROR(__xludf.DUMMYFUNCTION("""COMPUTED_VALUE"""),76571.72)</f>
        <v>76571.72</v>
      </c>
      <c r="AP3061" s="6" t="str">
        <f t="shared" si="861"/>
        <v>19001</v>
      </c>
      <c r="AQ3061" s="6">
        <f t="shared" si="862"/>
        <v>1900</v>
      </c>
      <c r="AR3061" s="6">
        <f t="shared" si="863"/>
        <v>1</v>
      </c>
    </row>
    <row r="3062" spans="2:44" x14ac:dyDescent="0.35">
      <c r="B3062" s="6" t="str">
        <f t="shared" si="846"/>
        <v>19001</v>
      </c>
      <c r="C3062" s="6">
        <f t="shared" si="847"/>
        <v>1900</v>
      </c>
      <c r="D3062" s="6">
        <f t="shared" si="848"/>
        <v>1</v>
      </c>
      <c r="J3062" s="6" t="str">
        <f t="shared" si="849"/>
        <v>19001</v>
      </c>
      <c r="K3062" s="6">
        <f t="shared" si="850"/>
        <v>1900</v>
      </c>
      <c r="L3062" s="6">
        <f t="shared" si="851"/>
        <v>1</v>
      </c>
      <c r="R3062" s="6" t="str">
        <f t="shared" si="852"/>
        <v>19001</v>
      </c>
      <c r="S3062" s="6">
        <f t="shared" si="853"/>
        <v>1900</v>
      </c>
      <c r="T3062" s="6">
        <f t="shared" si="854"/>
        <v>1</v>
      </c>
      <c r="Z3062" s="6" t="str">
        <f t="shared" si="855"/>
        <v>19001</v>
      </c>
      <c r="AA3062" s="6">
        <f t="shared" si="856"/>
        <v>1900</v>
      </c>
      <c r="AB3062" s="6">
        <f t="shared" si="857"/>
        <v>1</v>
      </c>
      <c r="AH3062" s="6" t="str">
        <f t="shared" ca="1" si="858"/>
        <v>20265</v>
      </c>
      <c r="AI3062" s="6">
        <f t="shared" ca="1" si="859"/>
        <v>2026</v>
      </c>
      <c r="AJ3062" s="6">
        <f t="shared" ca="1" si="860"/>
        <v>5</v>
      </c>
      <c r="AK3062" s="68">
        <f ca="1">IFERROR(__xludf.DUMMYFUNCTION("""COMPUTED_VALUE"""),46169.9986111111)</f>
        <v>46169.998611111099</v>
      </c>
      <c r="AL3062" s="6">
        <f ca="1">IFERROR(__xludf.DUMMYFUNCTION("""COMPUTED_VALUE"""),75556.04)</f>
        <v>75556.039999999994</v>
      </c>
      <c r="AP3062" s="6" t="str">
        <f t="shared" si="861"/>
        <v>19001</v>
      </c>
      <c r="AQ3062" s="6">
        <f t="shared" si="862"/>
        <v>1900</v>
      </c>
      <c r="AR3062" s="6">
        <f t="shared" si="863"/>
        <v>1</v>
      </c>
    </row>
    <row r="3063" spans="2:44" x14ac:dyDescent="0.35">
      <c r="B3063" s="6" t="str">
        <f t="shared" si="846"/>
        <v>19001</v>
      </c>
      <c r="C3063" s="6">
        <f t="shared" si="847"/>
        <v>1900</v>
      </c>
      <c r="D3063" s="6">
        <f t="shared" si="848"/>
        <v>1</v>
      </c>
      <c r="J3063" s="6" t="str">
        <f t="shared" si="849"/>
        <v>19001</v>
      </c>
      <c r="K3063" s="6">
        <f t="shared" si="850"/>
        <v>1900</v>
      </c>
      <c r="L3063" s="6">
        <f t="shared" si="851"/>
        <v>1</v>
      </c>
      <c r="R3063" s="6" t="str">
        <f t="shared" si="852"/>
        <v>19001</v>
      </c>
      <c r="S3063" s="6">
        <f t="shared" si="853"/>
        <v>1900</v>
      </c>
      <c r="T3063" s="6">
        <f t="shared" si="854"/>
        <v>1</v>
      </c>
      <c r="Z3063" s="6" t="str">
        <f t="shared" si="855"/>
        <v>19001</v>
      </c>
      <c r="AA3063" s="6">
        <f t="shared" si="856"/>
        <v>1900</v>
      </c>
      <c r="AB3063" s="6">
        <f t="shared" si="857"/>
        <v>1</v>
      </c>
      <c r="AH3063" s="6" t="str">
        <f t="shared" ca="1" si="858"/>
        <v>20265</v>
      </c>
      <c r="AI3063" s="6">
        <f t="shared" ca="1" si="859"/>
        <v>2026</v>
      </c>
      <c r="AJ3063" s="6">
        <f t="shared" ca="1" si="860"/>
        <v>5</v>
      </c>
      <c r="AK3063" s="68">
        <f ca="1">IFERROR(__xludf.DUMMYFUNCTION("""COMPUTED_VALUE"""),46170.9986111111)</f>
        <v>46170.998611111099</v>
      </c>
      <c r="AL3063" s="6">
        <f ca="1">IFERROR(__xludf.DUMMYFUNCTION("""COMPUTED_VALUE"""),73130.01)</f>
        <v>73130.009999999995</v>
      </c>
      <c r="AP3063" s="6" t="str">
        <f t="shared" si="861"/>
        <v>19001</v>
      </c>
      <c r="AQ3063" s="6">
        <f t="shared" si="862"/>
        <v>1900</v>
      </c>
      <c r="AR3063" s="6">
        <f t="shared" si="863"/>
        <v>1</v>
      </c>
    </row>
    <row r="3064" spans="2:44" x14ac:dyDescent="0.35">
      <c r="B3064" s="6" t="str">
        <f t="shared" si="846"/>
        <v>19001</v>
      </c>
      <c r="C3064" s="6">
        <f t="shared" si="847"/>
        <v>1900</v>
      </c>
      <c r="D3064" s="6">
        <f t="shared" si="848"/>
        <v>1</v>
      </c>
      <c r="J3064" s="6" t="str">
        <f t="shared" si="849"/>
        <v>19001</v>
      </c>
      <c r="K3064" s="6">
        <f t="shared" si="850"/>
        <v>1900</v>
      </c>
      <c r="L3064" s="6">
        <f t="shared" si="851"/>
        <v>1</v>
      </c>
      <c r="R3064" s="6" t="str">
        <f t="shared" si="852"/>
        <v>19001</v>
      </c>
      <c r="S3064" s="6">
        <f t="shared" si="853"/>
        <v>1900</v>
      </c>
      <c r="T3064" s="6">
        <f t="shared" si="854"/>
        <v>1</v>
      </c>
      <c r="Z3064" s="6" t="str">
        <f t="shared" si="855"/>
        <v>19001</v>
      </c>
      <c r="AA3064" s="6">
        <f t="shared" si="856"/>
        <v>1900</v>
      </c>
      <c r="AB3064" s="6">
        <f t="shared" si="857"/>
        <v>1</v>
      </c>
      <c r="AH3064" s="6" t="str">
        <f t="shared" ca="1" si="858"/>
        <v>20265</v>
      </c>
      <c r="AI3064" s="6">
        <f t="shared" ca="1" si="859"/>
        <v>2026</v>
      </c>
      <c r="AJ3064" s="6">
        <f t="shared" ca="1" si="860"/>
        <v>5</v>
      </c>
      <c r="AK3064" s="68">
        <f ca="1">IFERROR(__xludf.DUMMYFUNCTION("""COMPUTED_VALUE"""),46171.9986111111)</f>
        <v>46171.998611111099</v>
      </c>
      <c r="AL3064" s="6">
        <f ca="1">IFERROR(__xludf.DUMMYFUNCTION("""COMPUTED_VALUE"""),73195.61)</f>
        <v>73195.61</v>
      </c>
      <c r="AP3064" s="6" t="str">
        <f t="shared" si="861"/>
        <v>19001</v>
      </c>
      <c r="AQ3064" s="6">
        <f t="shared" si="862"/>
        <v>1900</v>
      </c>
      <c r="AR3064" s="6">
        <f t="shared" si="863"/>
        <v>1</v>
      </c>
    </row>
    <row r="3065" spans="2:44" x14ac:dyDescent="0.35">
      <c r="B3065" s="6" t="str">
        <f t="shared" si="846"/>
        <v>19001</v>
      </c>
      <c r="C3065" s="6">
        <f t="shared" si="847"/>
        <v>1900</v>
      </c>
      <c r="D3065" s="6">
        <f t="shared" si="848"/>
        <v>1</v>
      </c>
      <c r="J3065" s="6" t="str">
        <f t="shared" si="849"/>
        <v>19001</v>
      </c>
      <c r="K3065" s="6">
        <f t="shared" si="850"/>
        <v>1900</v>
      </c>
      <c r="L3065" s="6">
        <f t="shared" si="851"/>
        <v>1</v>
      </c>
      <c r="R3065" s="6" t="str">
        <f t="shared" si="852"/>
        <v>19001</v>
      </c>
      <c r="S3065" s="6">
        <f t="shared" si="853"/>
        <v>1900</v>
      </c>
      <c r="T3065" s="6">
        <f t="shared" si="854"/>
        <v>1</v>
      </c>
      <c r="Z3065" s="6" t="str">
        <f t="shared" si="855"/>
        <v>19001</v>
      </c>
      <c r="AA3065" s="6">
        <f t="shared" si="856"/>
        <v>1900</v>
      </c>
      <c r="AB3065" s="6">
        <f t="shared" si="857"/>
        <v>1</v>
      </c>
      <c r="AH3065" s="6" t="str">
        <f t="shared" ca="1" si="858"/>
        <v>20265</v>
      </c>
      <c r="AI3065" s="6">
        <f t="shared" ca="1" si="859"/>
        <v>2026</v>
      </c>
      <c r="AJ3065" s="6">
        <f t="shared" ca="1" si="860"/>
        <v>5</v>
      </c>
      <c r="AK3065" s="68">
        <f ca="1">IFERROR(__xludf.DUMMYFUNCTION("""COMPUTED_VALUE"""),46172.9986111111)</f>
        <v>46172.998611111099</v>
      </c>
      <c r="AL3065" s="6">
        <f ca="1">IFERROR(__xludf.DUMMYFUNCTION("""COMPUTED_VALUE"""),73426.55)</f>
        <v>73426.55</v>
      </c>
      <c r="AP3065" s="6" t="str">
        <f t="shared" si="861"/>
        <v>19001</v>
      </c>
      <c r="AQ3065" s="6">
        <f t="shared" si="862"/>
        <v>1900</v>
      </c>
      <c r="AR3065" s="6">
        <f t="shared" si="863"/>
        <v>1</v>
      </c>
    </row>
    <row r="3066" spans="2:44" x14ac:dyDescent="0.35">
      <c r="B3066" s="6" t="str">
        <f t="shared" si="846"/>
        <v>19001</v>
      </c>
      <c r="C3066" s="6">
        <f t="shared" si="847"/>
        <v>1900</v>
      </c>
      <c r="D3066" s="6">
        <f t="shared" si="848"/>
        <v>1</v>
      </c>
      <c r="J3066" s="6" t="str">
        <f t="shared" si="849"/>
        <v>19001</v>
      </c>
      <c r="K3066" s="6">
        <f t="shared" si="850"/>
        <v>1900</v>
      </c>
      <c r="L3066" s="6">
        <f t="shared" si="851"/>
        <v>1</v>
      </c>
      <c r="R3066" s="6" t="str">
        <f t="shared" si="852"/>
        <v>19001</v>
      </c>
      <c r="S3066" s="6">
        <f t="shared" si="853"/>
        <v>1900</v>
      </c>
      <c r="T3066" s="6">
        <f t="shared" si="854"/>
        <v>1</v>
      </c>
      <c r="Z3066" s="6" t="str">
        <f t="shared" si="855"/>
        <v>19001</v>
      </c>
      <c r="AA3066" s="6">
        <f t="shared" si="856"/>
        <v>1900</v>
      </c>
      <c r="AB3066" s="6">
        <f t="shared" si="857"/>
        <v>1</v>
      </c>
      <c r="AH3066" s="6" t="str">
        <f t="shared" ca="1" si="858"/>
        <v>20265</v>
      </c>
      <c r="AI3066" s="6">
        <f t="shared" ca="1" si="859"/>
        <v>2026</v>
      </c>
      <c r="AJ3066" s="6">
        <f t="shared" ca="1" si="860"/>
        <v>5</v>
      </c>
      <c r="AK3066" s="68">
        <f ca="1">IFERROR(__xludf.DUMMYFUNCTION("""COMPUTED_VALUE"""),46173.9986111111)</f>
        <v>46173.998611111099</v>
      </c>
      <c r="AL3066" s="6">
        <f ca="1">IFERROR(__xludf.DUMMYFUNCTION("""COMPUTED_VALUE"""),74032.05)</f>
        <v>74032.05</v>
      </c>
      <c r="AP3066" s="6" t="str">
        <f t="shared" si="861"/>
        <v>19001</v>
      </c>
      <c r="AQ3066" s="6">
        <f t="shared" si="862"/>
        <v>1900</v>
      </c>
      <c r="AR3066" s="6">
        <f t="shared" si="863"/>
        <v>1</v>
      </c>
    </row>
    <row r="3067" spans="2:44" x14ac:dyDescent="0.35">
      <c r="B3067" s="6" t="str">
        <f t="shared" si="846"/>
        <v>19001</v>
      </c>
      <c r="C3067" s="6">
        <f t="shared" si="847"/>
        <v>1900</v>
      </c>
      <c r="D3067" s="6">
        <f t="shared" si="848"/>
        <v>1</v>
      </c>
      <c r="J3067" s="6" t="str">
        <f t="shared" si="849"/>
        <v>19001</v>
      </c>
      <c r="K3067" s="6">
        <f t="shared" si="850"/>
        <v>1900</v>
      </c>
      <c r="L3067" s="6">
        <f t="shared" si="851"/>
        <v>1</v>
      </c>
      <c r="R3067" s="6" t="str">
        <f t="shared" si="852"/>
        <v>19001</v>
      </c>
      <c r="S3067" s="6">
        <f t="shared" si="853"/>
        <v>1900</v>
      </c>
      <c r="T3067" s="6">
        <f t="shared" si="854"/>
        <v>1</v>
      </c>
      <c r="Z3067" s="6" t="str">
        <f t="shared" si="855"/>
        <v>19001</v>
      </c>
      <c r="AA3067" s="6">
        <f t="shared" si="856"/>
        <v>1900</v>
      </c>
      <c r="AB3067" s="6">
        <f t="shared" si="857"/>
        <v>1</v>
      </c>
      <c r="AH3067" s="6" t="str">
        <f t="shared" ca="1" si="858"/>
        <v>20266</v>
      </c>
      <c r="AI3067" s="6">
        <f t="shared" ca="1" si="859"/>
        <v>2026</v>
      </c>
      <c r="AJ3067" s="6">
        <f t="shared" ca="1" si="860"/>
        <v>6</v>
      </c>
      <c r="AK3067" s="68">
        <f ca="1">IFERROR(__xludf.DUMMYFUNCTION("""COMPUTED_VALUE"""),46174.9986111111)</f>
        <v>46174.998611111099</v>
      </c>
      <c r="AL3067" s="6">
        <f ca="1">IFERROR(__xludf.DUMMYFUNCTION("""COMPUTED_VALUE"""),73661.73)</f>
        <v>73661.73</v>
      </c>
      <c r="AP3067" s="6" t="str">
        <f t="shared" si="861"/>
        <v>19001</v>
      </c>
      <c r="AQ3067" s="6">
        <f t="shared" si="862"/>
        <v>1900</v>
      </c>
      <c r="AR3067" s="6">
        <f t="shared" si="863"/>
        <v>1</v>
      </c>
    </row>
    <row r="3068" spans="2:44" x14ac:dyDescent="0.35">
      <c r="B3068" s="6" t="str">
        <f t="shared" si="846"/>
        <v>19001</v>
      </c>
      <c r="C3068" s="6">
        <f t="shared" si="847"/>
        <v>1900</v>
      </c>
      <c r="D3068" s="6">
        <f t="shared" si="848"/>
        <v>1</v>
      </c>
      <c r="J3068" s="6" t="str">
        <f t="shared" si="849"/>
        <v>19001</v>
      </c>
      <c r="K3068" s="6">
        <f t="shared" si="850"/>
        <v>1900</v>
      </c>
      <c r="L3068" s="6">
        <f t="shared" si="851"/>
        <v>1</v>
      </c>
      <c r="R3068" s="6" t="str">
        <f t="shared" si="852"/>
        <v>19001</v>
      </c>
      <c r="S3068" s="6">
        <f t="shared" si="853"/>
        <v>1900</v>
      </c>
      <c r="T3068" s="6">
        <f t="shared" si="854"/>
        <v>1</v>
      </c>
      <c r="Z3068" s="6" t="str">
        <f t="shared" si="855"/>
        <v>19001</v>
      </c>
      <c r="AA3068" s="6">
        <f t="shared" si="856"/>
        <v>1900</v>
      </c>
      <c r="AB3068" s="6">
        <f t="shared" si="857"/>
        <v>1</v>
      </c>
      <c r="AH3068" s="6" t="str">
        <f t="shared" ca="1" si="858"/>
        <v>20266</v>
      </c>
      <c r="AI3068" s="6">
        <f t="shared" ca="1" si="859"/>
        <v>2026</v>
      </c>
      <c r="AJ3068" s="6">
        <f t="shared" ca="1" si="860"/>
        <v>6</v>
      </c>
      <c r="AK3068" s="68">
        <f ca="1">IFERROR(__xludf.DUMMYFUNCTION("""COMPUTED_VALUE"""),46175.9986111111)</f>
        <v>46175.998611111099</v>
      </c>
      <c r="AL3068" s="6">
        <f ca="1">IFERROR(__xludf.DUMMYFUNCTION("""COMPUTED_VALUE"""),70839.5)</f>
        <v>70839.5</v>
      </c>
      <c r="AP3068" s="6" t="str">
        <f t="shared" si="861"/>
        <v>19001</v>
      </c>
      <c r="AQ3068" s="6">
        <f t="shared" si="862"/>
        <v>1900</v>
      </c>
      <c r="AR3068" s="6">
        <f t="shared" si="863"/>
        <v>1</v>
      </c>
    </row>
    <row r="3069" spans="2:44" x14ac:dyDescent="0.35">
      <c r="B3069" s="6" t="str">
        <f t="shared" si="846"/>
        <v>19001</v>
      </c>
      <c r="C3069" s="6">
        <f t="shared" si="847"/>
        <v>1900</v>
      </c>
      <c r="D3069" s="6">
        <f t="shared" si="848"/>
        <v>1</v>
      </c>
      <c r="J3069" s="6" t="str">
        <f t="shared" si="849"/>
        <v>19001</v>
      </c>
      <c r="K3069" s="6">
        <f t="shared" si="850"/>
        <v>1900</v>
      </c>
      <c r="L3069" s="6">
        <f t="shared" si="851"/>
        <v>1</v>
      </c>
      <c r="R3069" s="6" t="str">
        <f t="shared" si="852"/>
        <v>19001</v>
      </c>
      <c r="S3069" s="6">
        <f t="shared" si="853"/>
        <v>1900</v>
      </c>
      <c r="T3069" s="6">
        <f t="shared" si="854"/>
        <v>1</v>
      </c>
      <c r="Z3069" s="6" t="str">
        <f t="shared" si="855"/>
        <v>19001</v>
      </c>
      <c r="AA3069" s="6">
        <f t="shared" si="856"/>
        <v>1900</v>
      </c>
      <c r="AB3069" s="6">
        <f t="shared" si="857"/>
        <v>1</v>
      </c>
      <c r="AH3069" s="6" t="str">
        <f t="shared" ca="1" si="858"/>
        <v>20266</v>
      </c>
      <c r="AI3069" s="6">
        <f t="shared" ca="1" si="859"/>
        <v>2026</v>
      </c>
      <c r="AJ3069" s="6">
        <f t="shared" ca="1" si="860"/>
        <v>6</v>
      </c>
      <c r="AK3069" s="68">
        <f ca="1">IFERROR(__xludf.DUMMYFUNCTION("""COMPUTED_VALUE"""),46176.9986111111)</f>
        <v>46176.998611111099</v>
      </c>
      <c r="AL3069" s="6">
        <f ca="1">IFERROR(__xludf.DUMMYFUNCTION("""COMPUTED_VALUE"""),65761.27)</f>
        <v>65761.27</v>
      </c>
      <c r="AP3069" s="6" t="str">
        <f t="shared" si="861"/>
        <v>19001</v>
      </c>
      <c r="AQ3069" s="6">
        <f t="shared" si="862"/>
        <v>1900</v>
      </c>
      <c r="AR3069" s="6">
        <f t="shared" si="863"/>
        <v>1</v>
      </c>
    </row>
    <row r="3070" spans="2:44" x14ac:dyDescent="0.35">
      <c r="B3070" s="6" t="str">
        <f t="shared" si="846"/>
        <v>19001</v>
      </c>
      <c r="C3070" s="6">
        <f t="shared" si="847"/>
        <v>1900</v>
      </c>
      <c r="D3070" s="6">
        <f t="shared" si="848"/>
        <v>1</v>
      </c>
      <c r="J3070" s="6" t="str">
        <f t="shared" si="849"/>
        <v>19001</v>
      </c>
      <c r="K3070" s="6">
        <f t="shared" si="850"/>
        <v>1900</v>
      </c>
      <c r="L3070" s="6">
        <f t="shared" si="851"/>
        <v>1</v>
      </c>
      <c r="R3070" s="6" t="str">
        <f t="shared" si="852"/>
        <v>19001</v>
      </c>
      <c r="S3070" s="6">
        <f t="shared" si="853"/>
        <v>1900</v>
      </c>
      <c r="T3070" s="6">
        <f t="shared" si="854"/>
        <v>1</v>
      </c>
      <c r="Z3070" s="6" t="str">
        <f t="shared" si="855"/>
        <v>19001</v>
      </c>
      <c r="AA3070" s="6">
        <f t="shared" si="856"/>
        <v>1900</v>
      </c>
      <c r="AB3070" s="6">
        <f t="shared" si="857"/>
        <v>1</v>
      </c>
      <c r="AH3070" s="6" t="str">
        <f t="shared" ca="1" si="858"/>
        <v>20266</v>
      </c>
      <c r="AI3070" s="6">
        <f t="shared" ca="1" si="859"/>
        <v>2026</v>
      </c>
      <c r="AJ3070" s="6">
        <f t="shared" ca="1" si="860"/>
        <v>6</v>
      </c>
      <c r="AK3070" s="68">
        <f ca="1">IFERROR(__xludf.DUMMYFUNCTION("""COMPUTED_VALUE"""),46177.9986111111)</f>
        <v>46177.998611111099</v>
      </c>
      <c r="AL3070" s="6">
        <f ca="1">IFERROR(__xludf.DUMMYFUNCTION("""COMPUTED_VALUE"""),64275.99)</f>
        <v>64275.99</v>
      </c>
      <c r="AP3070" s="6" t="str">
        <f t="shared" si="861"/>
        <v>19001</v>
      </c>
      <c r="AQ3070" s="6">
        <f t="shared" si="862"/>
        <v>1900</v>
      </c>
      <c r="AR3070" s="6">
        <f t="shared" si="863"/>
        <v>1</v>
      </c>
    </row>
    <row r="3071" spans="2:44" x14ac:dyDescent="0.35">
      <c r="B3071" s="6" t="str">
        <f t="shared" si="846"/>
        <v>19001</v>
      </c>
      <c r="C3071" s="6">
        <f t="shared" si="847"/>
        <v>1900</v>
      </c>
      <c r="D3071" s="6">
        <f t="shared" si="848"/>
        <v>1</v>
      </c>
      <c r="J3071" s="6" t="str">
        <f t="shared" si="849"/>
        <v>19001</v>
      </c>
      <c r="K3071" s="6">
        <f t="shared" si="850"/>
        <v>1900</v>
      </c>
      <c r="L3071" s="6">
        <f t="shared" si="851"/>
        <v>1</v>
      </c>
      <c r="R3071" s="6" t="str">
        <f t="shared" si="852"/>
        <v>19001</v>
      </c>
      <c r="S3071" s="6">
        <f t="shared" si="853"/>
        <v>1900</v>
      </c>
      <c r="T3071" s="6">
        <f t="shared" si="854"/>
        <v>1</v>
      </c>
      <c r="Z3071" s="6" t="str">
        <f t="shared" si="855"/>
        <v>19001</v>
      </c>
      <c r="AA3071" s="6">
        <f t="shared" si="856"/>
        <v>1900</v>
      </c>
      <c r="AB3071" s="6">
        <f t="shared" si="857"/>
        <v>1</v>
      </c>
      <c r="AH3071" s="6" t="str">
        <f t="shared" ca="1" si="858"/>
        <v>20266</v>
      </c>
      <c r="AI3071" s="6">
        <f t="shared" ca="1" si="859"/>
        <v>2026</v>
      </c>
      <c r="AJ3071" s="6">
        <f t="shared" ca="1" si="860"/>
        <v>6</v>
      </c>
      <c r="AK3071" s="68">
        <f ca="1">IFERROR(__xludf.DUMMYFUNCTION("""COMPUTED_VALUE"""),46178.9986111111)</f>
        <v>46178.998611111099</v>
      </c>
      <c r="AL3071" s="6">
        <f ca="1">IFERROR(__xludf.DUMMYFUNCTION("""COMPUTED_VALUE"""),62667.48)</f>
        <v>62667.48</v>
      </c>
      <c r="AP3071" s="6" t="str">
        <f t="shared" si="861"/>
        <v>19001</v>
      </c>
      <c r="AQ3071" s="6">
        <f t="shared" si="862"/>
        <v>1900</v>
      </c>
      <c r="AR3071" s="6">
        <f t="shared" si="863"/>
        <v>1</v>
      </c>
    </row>
    <row r="3072" spans="2:44" x14ac:dyDescent="0.35">
      <c r="B3072" s="6" t="str">
        <f t="shared" si="846"/>
        <v>19001</v>
      </c>
      <c r="C3072" s="6">
        <f t="shared" si="847"/>
        <v>1900</v>
      </c>
      <c r="D3072" s="6">
        <f t="shared" si="848"/>
        <v>1</v>
      </c>
      <c r="J3072" s="6" t="str">
        <f t="shared" si="849"/>
        <v>19001</v>
      </c>
      <c r="K3072" s="6">
        <f t="shared" si="850"/>
        <v>1900</v>
      </c>
      <c r="L3072" s="6">
        <f t="shared" si="851"/>
        <v>1</v>
      </c>
      <c r="R3072" s="6" t="str">
        <f t="shared" si="852"/>
        <v>19001</v>
      </c>
      <c r="S3072" s="6">
        <f t="shared" si="853"/>
        <v>1900</v>
      </c>
      <c r="T3072" s="6">
        <f t="shared" si="854"/>
        <v>1</v>
      </c>
      <c r="Z3072" s="6" t="str">
        <f t="shared" si="855"/>
        <v>19001</v>
      </c>
      <c r="AA3072" s="6">
        <f t="shared" si="856"/>
        <v>1900</v>
      </c>
      <c r="AB3072" s="6">
        <f t="shared" si="857"/>
        <v>1</v>
      </c>
      <c r="AH3072" s="6" t="str">
        <f t="shared" ca="1" si="858"/>
        <v>20266</v>
      </c>
      <c r="AI3072" s="6">
        <f t="shared" ca="1" si="859"/>
        <v>2026</v>
      </c>
      <c r="AJ3072" s="6">
        <f t="shared" ca="1" si="860"/>
        <v>6</v>
      </c>
      <c r="AK3072" s="68">
        <f ca="1">IFERROR(__xludf.DUMMYFUNCTION("""COMPUTED_VALUE"""),46179.9986111111)</f>
        <v>46179.998611111099</v>
      </c>
      <c r="AL3072" s="6">
        <f ca="1">IFERROR(__xludf.DUMMYFUNCTION("""COMPUTED_VALUE"""),60659.22)</f>
        <v>60659.22</v>
      </c>
      <c r="AP3072" s="6" t="str">
        <f t="shared" si="861"/>
        <v>19001</v>
      </c>
      <c r="AQ3072" s="6">
        <f t="shared" si="862"/>
        <v>1900</v>
      </c>
      <c r="AR3072" s="6">
        <f t="shared" si="863"/>
        <v>1</v>
      </c>
    </row>
    <row r="3073" spans="2:44" x14ac:dyDescent="0.35">
      <c r="B3073" s="6" t="str">
        <f t="shared" si="846"/>
        <v>19001</v>
      </c>
      <c r="C3073" s="6">
        <f t="shared" si="847"/>
        <v>1900</v>
      </c>
      <c r="D3073" s="6">
        <f t="shared" si="848"/>
        <v>1</v>
      </c>
      <c r="J3073" s="6" t="str">
        <f t="shared" si="849"/>
        <v>19001</v>
      </c>
      <c r="K3073" s="6">
        <f t="shared" si="850"/>
        <v>1900</v>
      </c>
      <c r="L3073" s="6">
        <f t="shared" si="851"/>
        <v>1</v>
      </c>
      <c r="R3073" s="6" t="str">
        <f t="shared" si="852"/>
        <v>19001</v>
      </c>
      <c r="S3073" s="6">
        <f t="shared" si="853"/>
        <v>1900</v>
      </c>
      <c r="T3073" s="6">
        <f t="shared" si="854"/>
        <v>1</v>
      </c>
      <c r="Z3073" s="6" t="str">
        <f t="shared" si="855"/>
        <v>19001</v>
      </c>
      <c r="AA3073" s="6">
        <f t="shared" si="856"/>
        <v>1900</v>
      </c>
      <c r="AB3073" s="6">
        <f t="shared" si="857"/>
        <v>1</v>
      </c>
      <c r="AH3073" s="6" t="str">
        <f t="shared" ca="1" si="858"/>
        <v>20266</v>
      </c>
      <c r="AI3073" s="6">
        <f t="shared" ca="1" si="859"/>
        <v>2026</v>
      </c>
      <c r="AJ3073" s="6">
        <f t="shared" ca="1" si="860"/>
        <v>6</v>
      </c>
      <c r="AK3073" s="68">
        <f ca="1">IFERROR(__xludf.DUMMYFUNCTION("""COMPUTED_VALUE"""),46180.9986111111)</f>
        <v>46180.998611111099</v>
      </c>
      <c r="AL3073" s="6">
        <f ca="1">IFERROR(__xludf.DUMMYFUNCTION("""COMPUTED_VALUE"""),61692.44)</f>
        <v>61692.44</v>
      </c>
      <c r="AP3073" s="6" t="str">
        <f t="shared" si="861"/>
        <v>19001</v>
      </c>
      <c r="AQ3073" s="6">
        <f t="shared" si="862"/>
        <v>1900</v>
      </c>
      <c r="AR3073" s="6">
        <f t="shared" si="863"/>
        <v>1</v>
      </c>
    </row>
    <row r="3074" spans="2:44" x14ac:dyDescent="0.35">
      <c r="B3074" s="6" t="str">
        <f t="shared" si="846"/>
        <v>19001</v>
      </c>
      <c r="C3074" s="6">
        <f t="shared" si="847"/>
        <v>1900</v>
      </c>
      <c r="D3074" s="6">
        <f t="shared" si="848"/>
        <v>1</v>
      </c>
      <c r="J3074" s="6" t="str">
        <f t="shared" si="849"/>
        <v>19001</v>
      </c>
      <c r="K3074" s="6">
        <f t="shared" si="850"/>
        <v>1900</v>
      </c>
      <c r="L3074" s="6">
        <f t="shared" si="851"/>
        <v>1</v>
      </c>
      <c r="R3074" s="6" t="str">
        <f t="shared" si="852"/>
        <v>19001</v>
      </c>
      <c r="S3074" s="6">
        <f t="shared" si="853"/>
        <v>1900</v>
      </c>
      <c r="T3074" s="6">
        <f t="shared" si="854"/>
        <v>1</v>
      </c>
      <c r="Z3074" s="6" t="str">
        <f t="shared" si="855"/>
        <v>19001</v>
      </c>
      <c r="AA3074" s="6">
        <f t="shared" si="856"/>
        <v>1900</v>
      </c>
      <c r="AB3074" s="6">
        <f t="shared" si="857"/>
        <v>1</v>
      </c>
      <c r="AH3074" s="6" t="str">
        <f t="shared" ca="1" si="858"/>
        <v>20266</v>
      </c>
      <c r="AI3074" s="6">
        <f t="shared" ca="1" si="859"/>
        <v>2026</v>
      </c>
      <c r="AJ3074" s="6">
        <f t="shared" ca="1" si="860"/>
        <v>6</v>
      </c>
      <c r="AK3074" s="68">
        <f ca="1">IFERROR(__xludf.DUMMYFUNCTION("""COMPUTED_VALUE"""),46181.9986111111)</f>
        <v>46181.998611111099</v>
      </c>
      <c r="AL3074" s="6">
        <f ca="1">IFERROR(__xludf.DUMMYFUNCTION("""COMPUTED_VALUE"""),63108.54)</f>
        <v>63108.54</v>
      </c>
      <c r="AP3074" s="6" t="str">
        <f t="shared" si="861"/>
        <v>19001</v>
      </c>
      <c r="AQ3074" s="6">
        <f t="shared" si="862"/>
        <v>1900</v>
      </c>
      <c r="AR3074" s="6">
        <f t="shared" si="863"/>
        <v>1</v>
      </c>
    </row>
    <row r="3075" spans="2:44" x14ac:dyDescent="0.35">
      <c r="B3075" s="6" t="str">
        <f t="shared" si="846"/>
        <v>19001</v>
      </c>
      <c r="C3075" s="6">
        <f t="shared" si="847"/>
        <v>1900</v>
      </c>
      <c r="D3075" s="6">
        <f t="shared" si="848"/>
        <v>1</v>
      </c>
      <c r="J3075" s="6" t="str">
        <f t="shared" si="849"/>
        <v>19001</v>
      </c>
      <c r="K3075" s="6">
        <f t="shared" si="850"/>
        <v>1900</v>
      </c>
      <c r="L3075" s="6">
        <f t="shared" si="851"/>
        <v>1</v>
      </c>
      <c r="R3075" s="6" t="str">
        <f t="shared" si="852"/>
        <v>19001</v>
      </c>
      <c r="S3075" s="6">
        <f t="shared" si="853"/>
        <v>1900</v>
      </c>
      <c r="T3075" s="6">
        <f t="shared" si="854"/>
        <v>1</v>
      </c>
      <c r="Z3075" s="6" t="str">
        <f t="shared" si="855"/>
        <v>19001</v>
      </c>
      <c r="AA3075" s="6">
        <f t="shared" si="856"/>
        <v>1900</v>
      </c>
      <c r="AB3075" s="6">
        <f t="shared" si="857"/>
        <v>1</v>
      </c>
      <c r="AH3075" s="6" t="str">
        <f t="shared" ca="1" si="858"/>
        <v>20266</v>
      </c>
      <c r="AI3075" s="6">
        <f t="shared" ca="1" si="859"/>
        <v>2026</v>
      </c>
      <c r="AJ3075" s="6">
        <f t="shared" ca="1" si="860"/>
        <v>6</v>
      </c>
      <c r="AK3075" s="68">
        <f ca="1">IFERROR(__xludf.DUMMYFUNCTION("""COMPUTED_VALUE"""),46182.9986111111)</f>
        <v>46182.998611111099</v>
      </c>
      <c r="AL3075" s="6">
        <f ca="1">IFERROR(__xludf.DUMMYFUNCTION("""COMPUTED_VALUE"""),62839.98)</f>
        <v>62839.98</v>
      </c>
      <c r="AP3075" s="6" t="str">
        <f t="shared" si="861"/>
        <v>19001</v>
      </c>
      <c r="AQ3075" s="6">
        <f t="shared" si="862"/>
        <v>1900</v>
      </c>
      <c r="AR3075" s="6">
        <f t="shared" si="863"/>
        <v>1</v>
      </c>
    </row>
    <row r="3076" spans="2:44" x14ac:dyDescent="0.35">
      <c r="B3076" s="6" t="str">
        <f t="shared" si="846"/>
        <v>19001</v>
      </c>
      <c r="C3076" s="6">
        <f t="shared" si="847"/>
        <v>1900</v>
      </c>
      <c r="D3076" s="6">
        <f t="shared" si="848"/>
        <v>1</v>
      </c>
      <c r="J3076" s="6" t="str">
        <f t="shared" si="849"/>
        <v>19001</v>
      </c>
      <c r="K3076" s="6">
        <f t="shared" si="850"/>
        <v>1900</v>
      </c>
      <c r="L3076" s="6">
        <f t="shared" si="851"/>
        <v>1</v>
      </c>
      <c r="R3076" s="6" t="str">
        <f t="shared" si="852"/>
        <v>19001</v>
      </c>
      <c r="S3076" s="6">
        <f t="shared" si="853"/>
        <v>1900</v>
      </c>
      <c r="T3076" s="6">
        <f t="shared" si="854"/>
        <v>1</v>
      </c>
      <c r="Z3076" s="6" t="str">
        <f t="shared" si="855"/>
        <v>19001</v>
      </c>
      <c r="AA3076" s="6">
        <f t="shared" si="856"/>
        <v>1900</v>
      </c>
      <c r="AB3076" s="6">
        <f t="shared" si="857"/>
        <v>1</v>
      </c>
      <c r="AH3076" s="6" t="str">
        <f t="shared" ca="1" si="858"/>
        <v>20266</v>
      </c>
      <c r="AI3076" s="6">
        <f t="shared" ca="1" si="859"/>
        <v>2026</v>
      </c>
      <c r="AJ3076" s="6">
        <f t="shared" ca="1" si="860"/>
        <v>6</v>
      </c>
      <c r="AK3076" s="68">
        <f ca="1">IFERROR(__xludf.DUMMYFUNCTION("""COMPUTED_VALUE"""),46183.9986111111)</f>
        <v>46183.998611111099</v>
      </c>
      <c r="AL3076" s="6">
        <f ca="1">IFERROR(__xludf.DUMMYFUNCTION("""COMPUTED_VALUE"""),61503.96)</f>
        <v>61503.96</v>
      </c>
      <c r="AP3076" s="6" t="str">
        <f t="shared" si="861"/>
        <v>19001</v>
      </c>
      <c r="AQ3076" s="6">
        <f t="shared" si="862"/>
        <v>1900</v>
      </c>
      <c r="AR3076" s="6">
        <f t="shared" si="863"/>
        <v>1</v>
      </c>
    </row>
    <row r="3077" spans="2:44" x14ac:dyDescent="0.35">
      <c r="B3077" s="6" t="str">
        <f t="shared" si="846"/>
        <v>19001</v>
      </c>
      <c r="C3077" s="6">
        <f t="shared" si="847"/>
        <v>1900</v>
      </c>
      <c r="D3077" s="6">
        <f t="shared" si="848"/>
        <v>1</v>
      </c>
      <c r="J3077" s="6" t="str">
        <f t="shared" si="849"/>
        <v>19001</v>
      </c>
      <c r="K3077" s="6">
        <f t="shared" si="850"/>
        <v>1900</v>
      </c>
      <c r="L3077" s="6">
        <f t="shared" si="851"/>
        <v>1</v>
      </c>
      <c r="R3077" s="6" t="str">
        <f t="shared" si="852"/>
        <v>19001</v>
      </c>
      <c r="S3077" s="6">
        <f t="shared" si="853"/>
        <v>1900</v>
      </c>
      <c r="T3077" s="6">
        <f t="shared" si="854"/>
        <v>1</v>
      </c>
      <c r="Z3077" s="6" t="str">
        <f t="shared" si="855"/>
        <v>19001</v>
      </c>
      <c r="AA3077" s="6">
        <f t="shared" si="856"/>
        <v>1900</v>
      </c>
      <c r="AB3077" s="6">
        <f t="shared" si="857"/>
        <v>1</v>
      </c>
      <c r="AH3077" s="6" t="str">
        <f t="shared" ca="1" si="858"/>
        <v>20266</v>
      </c>
      <c r="AI3077" s="6">
        <f t="shared" ca="1" si="859"/>
        <v>2026</v>
      </c>
      <c r="AJ3077" s="6">
        <f t="shared" ca="1" si="860"/>
        <v>6</v>
      </c>
      <c r="AK3077" s="68">
        <f ca="1">IFERROR(__xludf.DUMMYFUNCTION("""COMPUTED_VALUE"""),46184.9986111111)</f>
        <v>46184.998611111099</v>
      </c>
      <c r="AL3077" s="6">
        <f ca="1">IFERROR(__xludf.DUMMYFUNCTION("""COMPUTED_VALUE"""),62598.13)</f>
        <v>62598.13</v>
      </c>
      <c r="AP3077" s="6" t="str">
        <f t="shared" si="861"/>
        <v>19001</v>
      </c>
      <c r="AQ3077" s="6">
        <f t="shared" si="862"/>
        <v>1900</v>
      </c>
      <c r="AR3077" s="6">
        <f t="shared" si="863"/>
        <v>1</v>
      </c>
    </row>
    <row r="3078" spans="2:44" x14ac:dyDescent="0.35">
      <c r="B3078" s="6" t="str">
        <f t="shared" si="846"/>
        <v>19001</v>
      </c>
      <c r="C3078" s="6">
        <f t="shared" si="847"/>
        <v>1900</v>
      </c>
      <c r="D3078" s="6">
        <f t="shared" si="848"/>
        <v>1</v>
      </c>
      <c r="J3078" s="6" t="str">
        <f t="shared" si="849"/>
        <v>19001</v>
      </c>
      <c r="K3078" s="6">
        <f t="shared" si="850"/>
        <v>1900</v>
      </c>
      <c r="L3078" s="6">
        <f t="shared" si="851"/>
        <v>1</v>
      </c>
      <c r="R3078" s="6" t="str">
        <f t="shared" si="852"/>
        <v>19001</v>
      </c>
      <c r="S3078" s="6">
        <f t="shared" si="853"/>
        <v>1900</v>
      </c>
      <c r="T3078" s="6">
        <f t="shared" si="854"/>
        <v>1</v>
      </c>
      <c r="Z3078" s="6" t="str">
        <f t="shared" si="855"/>
        <v>19001</v>
      </c>
      <c r="AA3078" s="6">
        <f t="shared" si="856"/>
        <v>1900</v>
      </c>
      <c r="AB3078" s="6">
        <f t="shared" si="857"/>
        <v>1</v>
      </c>
      <c r="AH3078" s="6" t="str">
        <f t="shared" ca="1" si="858"/>
        <v>20266</v>
      </c>
      <c r="AI3078" s="6">
        <f t="shared" ca="1" si="859"/>
        <v>2026</v>
      </c>
      <c r="AJ3078" s="6">
        <f t="shared" ca="1" si="860"/>
        <v>6</v>
      </c>
      <c r="AK3078" s="68">
        <f ca="1">IFERROR(__xludf.DUMMYFUNCTION("""COMPUTED_VALUE"""),46185.9986111111)</f>
        <v>46185.998611111099</v>
      </c>
      <c r="AL3078" s="6">
        <f ca="1">IFERROR(__xludf.DUMMYFUNCTION("""COMPUTED_VALUE"""),63430.49)</f>
        <v>63430.49</v>
      </c>
      <c r="AP3078" s="6" t="str">
        <f t="shared" si="861"/>
        <v>19001</v>
      </c>
      <c r="AQ3078" s="6">
        <f t="shared" si="862"/>
        <v>1900</v>
      </c>
      <c r="AR3078" s="6">
        <f t="shared" si="863"/>
        <v>1</v>
      </c>
    </row>
    <row r="3079" spans="2:44" x14ac:dyDescent="0.35">
      <c r="B3079" s="6" t="str">
        <f t="shared" ref="B3079:B3142" si="864">C3079&amp;D3079</f>
        <v>19001</v>
      </c>
      <c r="C3079" s="6">
        <f t="shared" ref="C3079:C3142" si="865">YEAR(E3079)</f>
        <v>1900</v>
      </c>
      <c r="D3079" s="6">
        <f t="shared" ref="D3079:D3142" si="866">MONTH(E3079)</f>
        <v>1</v>
      </c>
      <c r="J3079" s="6" t="str">
        <f t="shared" ref="J3079:J3142" si="867">K3079&amp;L3079</f>
        <v>19001</v>
      </c>
      <c r="K3079" s="6">
        <f t="shared" ref="K3079:K3142" si="868">YEAR(M3079)</f>
        <v>1900</v>
      </c>
      <c r="L3079" s="6">
        <f t="shared" ref="L3079:L3142" si="869">MONTH(M3079)</f>
        <v>1</v>
      </c>
      <c r="R3079" s="6" t="str">
        <f t="shared" ref="R3079:R3142" si="870">S3079&amp;T3079</f>
        <v>19001</v>
      </c>
      <c r="S3079" s="6">
        <f t="shared" ref="S3079:S3142" si="871">YEAR(U3079)</f>
        <v>1900</v>
      </c>
      <c r="T3079" s="6">
        <f t="shared" ref="T3079:T3142" si="872">MONTH(U3079)</f>
        <v>1</v>
      </c>
      <c r="Z3079" s="6" t="str">
        <f t="shared" ref="Z3079:Z3142" si="873">AA3079&amp;AB3079</f>
        <v>19001</v>
      </c>
      <c r="AA3079" s="6">
        <f t="shared" ref="AA3079:AA3142" si="874">YEAR(AC3079)</f>
        <v>1900</v>
      </c>
      <c r="AB3079" s="6">
        <f t="shared" ref="AB3079:AB3142" si="875">MONTH(AC3079)</f>
        <v>1</v>
      </c>
      <c r="AH3079" s="6" t="str">
        <f t="shared" ref="AH3079:AH3142" ca="1" si="876">AI3079&amp;AJ3079</f>
        <v>20266</v>
      </c>
      <c r="AI3079" s="6">
        <f t="shared" ref="AI3079:AI3142" ca="1" si="877">YEAR(AK3079)</f>
        <v>2026</v>
      </c>
      <c r="AJ3079" s="6">
        <f t="shared" ref="AJ3079:AJ3142" ca="1" si="878">MONTH(AK3079)</f>
        <v>6</v>
      </c>
      <c r="AK3079" s="68">
        <f ca="1">IFERROR(__xludf.DUMMYFUNCTION("""COMPUTED_VALUE"""),46186.9986111111)</f>
        <v>46186.998611111099</v>
      </c>
      <c r="AL3079" s="6">
        <f ca="1">IFERROR(__xludf.DUMMYFUNCTION("""COMPUTED_VALUE"""),63494.13)</f>
        <v>63494.13</v>
      </c>
      <c r="AP3079" s="6" t="str">
        <f t="shared" ref="AP3079:AP3142" si="879">AQ3079&amp;AR3079</f>
        <v>19001</v>
      </c>
      <c r="AQ3079" s="6">
        <f t="shared" ref="AQ3079:AQ3142" si="880">YEAR(AS3079)</f>
        <v>1900</v>
      </c>
      <c r="AR3079" s="6">
        <f t="shared" ref="AR3079:AR3142" si="881">MONTH(AS3079)</f>
        <v>1</v>
      </c>
    </row>
    <row r="3080" spans="2:44" x14ac:dyDescent="0.35">
      <c r="B3080" s="6" t="str">
        <f t="shared" si="864"/>
        <v>19001</v>
      </c>
      <c r="C3080" s="6">
        <f t="shared" si="865"/>
        <v>1900</v>
      </c>
      <c r="D3080" s="6">
        <f t="shared" si="866"/>
        <v>1</v>
      </c>
      <c r="J3080" s="6" t="str">
        <f t="shared" si="867"/>
        <v>19001</v>
      </c>
      <c r="K3080" s="6">
        <f t="shared" si="868"/>
        <v>1900</v>
      </c>
      <c r="L3080" s="6">
        <f t="shared" si="869"/>
        <v>1</v>
      </c>
      <c r="R3080" s="6" t="str">
        <f t="shared" si="870"/>
        <v>19001</v>
      </c>
      <c r="S3080" s="6">
        <f t="shared" si="871"/>
        <v>1900</v>
      </c>
      <c r="T3080" s="6">
        <f t="shared" si="872"/>
        <v>1</v>
      </c>
      <c r="Z3080" s="6" t="str">
        <f t="shared" si="873"/>
        <v>19001</v>
      </c>
      <c r="AA3080" s="6">
        <f t="shared" si="874"/>
        <v>1900</v>
      </c>
      <c r="AB3080" s="6">
        <f t="shared" si="875"/>
        <v>1</v>
      </c>
      <c r="AH3080" s="6" t="str">
        <f t="shared" ca="1" si="876"/>
        <v>20266</v>
      </c>
      <c r="AI3080" s="6">
        <f t="shared" ca="1" si="877"/>
        <v>2026</v>
      </c>
      <c r="AJ3080" s="6">
        <f t="shared" ca="1" si="878"/>
        <v>6</v>
      </c>
      <c r="AK3080" s="68">
        <f ca="1">IFERROR(__xludf.DUMMYFUNCTION("""COMPUTED_VALUE"""),46187.9986111111)</f>
        <v>46187.998611111099</v>
      </c>
      <c r="AL3080" s="6">
        <f ca="1">IFERROR(__xludf.DUMMYFUNCTION("""COMPUTED_VALUE"""),64513.58)</f>
        <v>64513.58</v>
      </c>
      <c r="AP3080" s="6" t="str">
        <f t="shared" si="879"/>
        <v>19001</v>
      </c>
      <c r="AQ3080" s="6">
        <f t="shared" si="880"/>
        <v>1900</v>
      </c>
      <c r="AR3080" s="6">
        <f t="shared" si="881"/>
        <v>1</v>
      </c>
    </row>
    <row r="3081" spans="2:44" x14ac:dyDescent="0.35">
      <c r="B3081" s="6" t="str">
        <f t="shared" si="864"/>
        <v>19001</v>
      </c>
      <c r="C3081" s="6">
        <f t="shared" si="865"/>
        <v>1900</v>
      </c>
      <c r="D3081" s="6">
        <f t="shared" si="866"/>
        <v>1</v>
      </c>
      <c r="J3081" s="6" t="str">
        <f t="shared" si="867"/>
        <v>19001</v>
      </c>
      <c r="K3081" s="6">
        <f t="shared" si="868"/>
        <v>1900</v>
      </c>
      <c r="L3081" s="6">
        <f t="shared" si="869"/>
        <v>1</v>
      </c>
      <c r="R3081" s="6" t="str">
        <f t="shared" si="870"/>
        <v>19001</v>
      </c>
      <c r="S3081" s="6">
        <f t="shared" si="871"/>
        <v>1900</v>
      </c>
      <c r="T3081" s="6">
        <f t="shared" si="872"/>
        <v>1</v>
      </c>
      <c r="Z3081" s="6" t="str">
        <f t="shared" si="873"/>
        <v>19001</v>
      </c>
      <c r="AA3081" s="6">
        <f t="shared" si="874"/>
        <v>1900</v>
      </c>
      <c r="AB3081" s="6">
        <f t="shared" si="875"/>
        <v>1</v>
      </c>
      <c r="AH3081" s="6" t="str">
        <f t="shared" ca="1" si="876"/>
        <v>20266</v>
      </c>
      <c r="AI3081" s="6">
        <f t="shared" ca="1" si="877"/>
        <v>2026</v>
      </c>
      <c r="AJ3081" s="6">
        <f t="shared" ca="1" si="878"/>
        <v>6</v>
      </c>
      <c r="AK3081" s="68">
        <f ca="1">IFERROR(__xludf.DUMMYFUNCTION("""COMPUTED_VALUE"""),46188.9986111111)</f>
        <v>46188.998611111099</v>
      </c>
      <c r="AL3081" s="6">
        <f ca="1">IFERROR(__xludf.DUMMYFUNCTION("""COMPUTED_VALUE"""),65894.03)</f>
        <v>65894.03</v>
      </c>
      <c r="AP3081" s="6" t="str">
        <f t="shared" si="879"/>
        <v>19001</v>
      </c>
      <c r="AQ3081" s="6">
        <f t="shared" si="880"/>
        <v>1900</v>
      </c>
      <c r="AR3081" s="6">
        <f t="shared" si="881"/>
        <v>1</v>
      </c>
    </row>
    <row r="3082" spans="2:44" x14ac:dyDescent="0.35">
      <c r="B3082" s="6" t="str">
        <f t="shared" si="864"/>
        <v>19001</v>
      </c>
      <c r="C3082" s="6">
        <f t="shared" si="865"/>
        <v>1900</v>
      </c>
      <c r="D3082" s="6">
        <f t="shared" si="866"/>
        <v>1</v>
      </c>
      <c r="J3082" s="6" t="str">
        <f t="shared" si="867"/>
        <v>19001</v>
      </c>
      <c r="K3082" s="6">
        <f t="shared" si="868"/>
        <v>1900</v>
      </c>
      <c r="L3082" s="6">
        <f t="shared" si="869"/>
        <v>1</v>
      </c>
      <c r="R3082" s="6" t="str">
        <f t="shared" si="870"/>
        <v>19001</v>
      </c>
      <c r="S3082" s="6">
        <f t="shared" si="871"/>
        <v>1900</v>
      </c>
      <c r="T3082" s="6">
        <f t="shared" si="872"/>
        <v>1</v>
      </c>
      <c r="Z3082" s="6" t="str">
        <f t="shared" si="873"/>
        <v>19001</v>
      </c>
      <c r="AA3082" s="6">
        <f t="shared" si="874"/>
        <v>1900</v>
      </c>
      <c r="AB3082" s="6">
        <f t="shared" si="875"/>
        <v>1</v>
      </c>
      <c r="AH3082" s="6" t="str">
        <f t="shared" ca="1" si="876"/>
        <v>20266</v>
      </c>
      <c r="AI3082" s="6">
        <f t="shared" ca="1" si="877"/>
        <v>2026</v>
      </c>
      <c r="AJ3082" s="6">
        <f t="shared" ca="1" si="878"/>
        <v>6</v>
      </c>
      <c r="AK3082" s="68">
        <f ca="1">IFERROR(__xludf.DUMMYFUNCTION("""COMPUTED_VALUE"""),46189.9986111111)</f>
        <v>46189.998611111099</v>
      </c>
      <c r="AL3082" s="6">
        <f ca="1">IFERROR(__xludf.DUMMYFUNCTION("""COMPUTED_VALUE"""),66111.75)</f>
        <v>66111.75</v>
      </c>
      <c r="AP3082" s="6" t="str">
        <f t="shared" si="879"/>
        <v>19001</v>
      </c>
      <c r="AQ3082" s="6">
        <f t="shared" si="880"/>
        <v>1900</v>
      </c>
      <c r="AR3082" s="6">
        <f t="shared" si="881"/>
        <v>1</v>
      </c>
    </row>
    <row r="3083" spans="2:44" x14ac:dyDescent="0.35">
      <c r="B3083" s="6" t="str">
        <f t="shared" si="864"/>
        <v>19001</v>
      </c>
      <c r="C3083" s="6">
        <f t="shared" si="865"/>
        <v>1900</v>
      </c>
      <c r="D3083" s="6">
        <f t="shared" si="866"/>
        <v>1</v>
      </c>
      <c r="J3083" s="6" t="str">
        <f t="shared" si="867"/>
        <v>19001</v>
      </c>
      <c r="K3083" s="6">
        <f t="shared" si="868"/>
        <v>1900</v>
      </c>
      <c r="L3083" s="6">
        <f t="shared" si="869"/>
        <v>1</v>
      </c>
      <c r="R3083" s="6" t="str">
        <f t="shared" si="870"/>
        <v>19001</v>
      </c>
      <c r="S3083" s="6">
        <f t="shared" si="871"/>
        <v>1900</v>
      </c>
      <c r="T3083" s="6">
        <f t="shared" si="872"/>
        <v>1</v>
      </c>
      <c r="Z3083" s="6" t="str">
        <f t="shared" si="873"/>
        <v>19001</v>
      </c>
      <c r="AA3083" s="6">
        <f t="shared" si="874"/>
        <v>1900</v>
      </c>
      <c r="AB3083" s="6">
        <f t="shared" si="875"/>
        <v>1</v>
      </c>
      <c r="AH3083" s="6" t="str">
        <f t="shared" ca="1" si="876"/>
        <v>20266</v>
      </c>
      <c r="AI3083" s="6">
        <f t="shared" ca="1" si="877"/>
        <v>2026</v>
      </c>
      <c r="AJ3083" s="6">
        <f t="shared" ca="1" si="878"/>
        <v>6</v>
      </c>
      <c r="AK3083" s="68">
        <f ca="1">IFERROR(__xludf.DUMMYFUNCTION("""COMPUTED_VALUE"""),46190.9986111111)</f>
        <v>46190.998611111099</v>
      </c>
      <c r="AL3083" s="6">
        <f ca="1">IFERROR(__xludf.DUMMYFUNCTION("""COMPUTED_VALUE"""),65800.22)</f>
        <v>65800.22</v>
      </c>
      <c r="AP3083" s="6" t="str">
        <f t="shared" si="879"/>
        <v>19001</v>
      </c>
      <c r="AQ3083" s="6">
        <f t="shared" si="880"/>
        <v>1900</v>
      </c>
      <c r="AR3083" s="6">
        <f t="shared" si="881"/>
        <v>1</v>
      </c>
    </row>
    <row r="3084" spans="2:44" x14ac:dyDescent="0.35">
      <c r="B3084" s="6" t="str">
        <f t="shared" si="864"/>
        <v>19001</v>
      </c>
      <c r="C3084" s="6">
        <f t="shared" si="865"/>
        <v>1900</v>
      </c>
      <c r="D3084" s="6">
        <f t="shared" si="866"/>
        <v>1</v>
      </c>
      <c r="J3084" s="6" t="str">
        <f t="shared" si="867"/>
        <v>19001</v>
      </c>
      <c r="K3084" s="6">
        <f t="shared" si="868"/>
        <v>1900</v>
      </c>
      <c r="L3084" s="6">
        <f t="shared" si="869"/>
        <v>1</v>
      </c>
      <c r="R3084" s="6" t="str">
        <f t="shared" si="870"/>
        <v>19001</v>
      </c>
      <c r="S3084" s="6">
        <f t="shared" si="871"/>
        <v>1900</v>
      </c>
      <c r="T3084" s="6">
        <f t="shared" si="872"/>
        <v>1</v>
      </c>
      <c r="Z3084" s="6" t="str">
        <f t="shared" si="873"/>
        <v>19001</v>
      </c>
      <c r="AA3084" s="6">
        <f t="shared" si="874"/>
        <v>1900</v>
      </c>
      <c r="AB3084" s="6">
        <f t="shared" si="875"/>
        <v>1</v>
      </c>
      <c r="AH3084" s="6" t="str">
        <f t="shared" ca="1" si="876"/>
        <v>20266</v>
      </c>
      <c r="AI3084" s="6">
        <f t="shared" ca="1" si="877"/>
        <v>2026</v>
      </c>
      <c r="AJ3084" s="6">
        <f t="shared" ca="1" si="878"/>
        <v>6</v>
      </c>
      <c r="AK3084" s="68">
        <f ca="1">IFERROR(__xludf.DUMMYFUNCTION("""COMPUTED_VALUE"""),46191.9986111111)</f>
        <v>46191.998611111099</v>
      </c>
      <c r="AL3084" s="6">
        <f ca="1">IFERROR(__xludf.DUMMYFUNCTION("""COMPUTED_VALUE"""),64215.05)</f>
        <v>64215.05</v>
      </c>
      <c r="AP3084" s="6" t="str">
        <f t="shared" si="879"/>
        <v>19001</v>
      </c>
      <c r="AQ3084" s="6">
        <f t="shared" si="880"/>
        <v>1900</v>
      </c>
      <c r="AR3084" s="6">
        <f t="shared" si="881"/>
        <v>1</v>
      </c>
    </row>
    <row r="3085" spans="2:44" x14ac:dyDescent="0.35">
      <c r="B3085" s="6" t="str">
        <f t="shared" si="864"/>
        <v>19001</v>
      </c>
      <c r="C3085" s="6">
        <f t="shared" si="865"/>
        <v>1900</v>
      </c>
      <c r="D3085" s="6">
        <f t="shared" si="866"/>
        <v>1</v>
      </c>
      <c r="J3085" s="6" t="str">
        <f t="shared" si="867"/>
        <v>19001</v>
      </c>
      <c r="K3085" s="6">
        <f t="shared" si="868"/>
        <v>1900</v>
      </c>
      <c r="L3085" s="6">
        <f t="shared" si="869"/>
        <v>1</v>
      </c>
      <c r="R3085" s="6" t="str">
        <f t="shared" si="870"/>
        <v>19001</v>
      </c>
      <c r="S3085" s="6">
        <f t="shared" si="871"/>
        <v>1900</v>
      </c>
      <c r="T3085" s="6">
        <f t="shared" si="872"/>
        <v>1</v>
      </c>
      <c r="Z3085" s="6" t="str">
        <f t="shared" si="873"/>
        <v>19001</v>
      </c>
      <c r="AA3085" s="6">
        <f t="shared" si="874"/>
        <v>1900</v>
      </c>
      <c r="AB3085" s="6">
        <f t="shared" si="875"/>
        <v>1</v>
      </c>
      <c r="AH3085" s="6" t="str">
        <f t="shared" ca="1" si="876"/>
        <v>20266</v>
      </c>
      <c r="AI3085" s="6">
        <f t="shared" ca="1" si="877"/>
        <v>2026</v>
      </c>
      <c r="AJ3085" s="6">
        <f t="shared" ca="1" si="878"/>
        <v>6</v>
      </c>
      <c r="AK3085" s="68">
        <f ca="1">IFERROR(__xludf.DUMMYFUNCTION("""COMPUTED_VALUE"""),46192.9986111111)</f>
        <v>46192.998611111099</v>
      </c>
      <c r="AL3085" s="6">
        <f ca="1">IFERROR(__xludf.DUMMYFUNCTION("""COMPUTED_VALUE"""),62702.07)</f>
        <v>62702.07</v>
      </c>
      <c r="AP3085" s="6" t="str">
        <f t="shared" si="879"/>
        <v>19001</v>
      </c>
      <c r="AQ3085" s="6">
        <f t="shared" si="880"/>
        <v>1900</v>
      </c>
      <c r="AR3085" s="6">
        <f t="shared" si="881"/>
        <v>1</v>
      </c>
    </row>
    <row r="3086" spans="2:44" x14ac:dyDescent="0.35">
      <c r="B3086" s="6" t="str">
        <f t="shared" si="864"/>
        <v>19001</v>
      </c>
      <c r="C3086" s="6">
        <f t="shared" si="865"/>
        <v>1900</v>
      </c>
      <c r="D3086" s="6">
        <f t="shared" si="866"/>
        <v>1</v>
      </c>
      <c r="J3086" s="6" t="str">
        <f t="shared" si="867"/>
        <v>19001</v>
      </c>
      <c r="K3086" s="6">
        <f t="shared" si="868"/>
        <v>1900</v>
      </c>
      <c r="L3086" s="6">
        <f t="shared" si="869"/>
        <v>1</v>
      </c>
      <c r="R3086" s="6" t="str">
        <f t="shared" si="870"/>
        <v>19001</v>
      </c>
      <c r="S3086" s="6">
        <f t="shared" si="871"/>
        <v>1900</v>
      </c>
      <c r="T3086" s="6">
        <f t="shared" si="872"/>
        <v>1</v>
      </c>
      <c r="Z3086" s="6" t="str">
        <f t="shared" si="873"/>
        <v>19001</v>
      </c>
      <c r="AA3086" s="6">
        <f t="shared" si="874"/>
        <v>1900</v>
      </c>
      <c r="AB3086" s="6">
        <f t="shared" si="875"/>
        <v>1</v>
      </c>
      <c r="AH3086" s="6" t="str">
        <f t="shared" ca="1" si="876"/>
        <v>20266</v>
      </c>
      <c r="AI3086" s="6">
        <f t="shared" ca="1" si="877"/>
        <v>2026</v>
      </c>
      <c r="AJ3086" s="6">
        <f t="shared" ca="1" si="878"/>
        <v>6</v>
      </c>
      <c r="AK3086" s="68">
        <f ca="1">IFERROR(__xludf.DUMMYFUNCTION("""COMPUTED_VALUE"""),46193.9986111111)</f>
        <v>46193.998611111099</v>
      </c>
      <c r="AL3086" s="6">
        <f ca="1">IFERROR(__xludf.DUMMYFUNCTION("""COMPUTED_VALUE"""),63418.16)</f>
        <v>63418.16</v>
      </c>
      <c r="AP3086" s="6" t="str">
        <f t="shared" si="879"/>
        <v>19001</v>
      </c>
      <c r="AQ3086" s="6">
        <f t="shared" si="880"/>
        <v>1900</v>
      </c>
      <c r="AR3086" s="6">
        <f t="shared" si="881"/>
        <v>1</v>
      </c>
    </row>
    <row r="3087" spans="2:44" x14ac:dyDescent="0.35">
      <c r="B3087" s="6" t="str">
        <f t="shared" si="864"/>
        <v>19001</v>
      </c>
      <c r="C3087" s="6">
        <f t="shared" si="865"/>
        <v>1900</v>
      </c>
      <c r="D3087" s="6">
        <f t="shared" si="866"/>
        <v>1</v>
      </c>
      <c r="J3087" s="6" t="str">
        <f t="shared" si="867"/>
        <v>19001</v>
      </c>
      <c r="K3087" s="6">
        <f t="shared" si="868"/>
        <v>1900</v>
      </c>
      <c r="L3087" s="6">
        <f t="shared" si="869"/>
        <v>1</v>
      </c>
      <c r="R3087" s="6" t="str">
        <f t="shared" si="870"/>
        <v>19001</v>
      </c>
      <c r="S3087" s="6">
        <f t="shared" si="871"/>
        <v>1900</v>
      </c>
      <c r="T3087" s="6">
        <f t="shared" si="872"/>
        <v>1</v>
      </c>
      <c r="Z3087" s="6" t="str">
        <f t="shared" si="873"/>
        <v>19001</v>
      </c>
      <c r="AA3087" s="6">
        <f t="shared" si="874"/>
        <v>1900</v>
      </c>
      <c r="AB3087" s="6">
        <f t="shared" si="875"/>
        <v>1</v>
      </c>
      <c r="AH3087" s="6" t="str">
        <f t="shared" ca="1" si="876"/>
        <v>20266</v>
      </c>
      <c r="AI3087" s="6">
        <f t="shared" ca="1" si="877"/>
        <v>2026</v>
      </c>
      <c r="AJ3087" s="6">
        <f t="shared" ca="1" si="878"/>
        <v>6</v>
      </c>
      <c r="AK3087" s="68">
        <f ca="1">IFERROR(__xludf.DUMMYFUNCTION("""COMPUTED_VALUE"""),46194.9986111111)</f>
        <v>46194.998611111099</v>
      </c>
      <c r="AL3087" s="6">
        <f ca="1">IFERROR(__xludf.DUMMYFUNCTION("""COMPUTED_VALUE"""),64339.42)</f>
        <v>64339.42</v>
      </c>
      <c r="AP3087" s="6" t="str">
        <f t="shared" si="879"/>
        <v>19001</v>
      </c>
      <c r="AQ3087" s="6">
        <f t="shared" si="880"/>
        <v>1900</v>
      </c>
      <c r="AR3087" s="6">
        <f t="shared" si="881"/>
        <v>1</v>
      </c>
    </row>
    <row r="3088" spans="2:44" x14ac:dyDescent="0.35">
      <c r="B3088" s="6" t="str">
        <f t="shared" si="864"/>
        <v>19001</v>
      </c>
      <c r="C3088" s="6">
        <f t="shared" si="865"/>
        <v>1900</v>
      </c>
      <c r="D3088" s="6">
        <f t="shared" si="866"/>
        <v>1</v>
      </c>
      <c r="J3088" s="6" t="str">
        <f t="shared" si="867"/>
        <v>19001</v>
      </c>
      <c r="K3088" s="6">
        <f t="shared" si="868"/>
        <v>1900</v>
      </c>
      <c r="L3088" s="6">
        <f t="shared" si="869"/>
        <v>1</v>
      </c>
      <c r="R3088" s="6" t="str">
        <f t="shared" si="870"/>
        <v>19001</v>
      </c>
      <c r="S3088" s="6">
        <f t="shared" si="871"/>
        <v>1900</v>
      </c>
      <c r="T3088" s="6">
        <f t="shared" si="872"/>
        <v>1</v>
      </c>
      <c r="Z3088" s="6" t="str">
        <f t="shared" si="873"/>
        <v>19001</v>
      </c>
      <c r="AA3088" s="6">
        <f t="shared" si="874"/>
        <v>1900</v>
      </c>
      <c r="AB3088" s="6">
        <f t="shared" si="875"/>
        <v>1</v>
      </c>
      <c r="AH3088" s="6" t="str">
        <f t="shared" ca="1" si="876"/>
        <v>20266</v>
      </c>
      <c r="AI3088" s="6">
        <f t="shared" ca="1" si="877"/>
        <v>2026</v>
      </c>
      <c r="AJ3088" s="6">
        <f t="shared" ca="1" si="878"/>
        <v>6</v>
      </c>
      <c r="AK3088" s="68">
        <f ca="1">IFERROR(__xludf.DUMMYFUNCTION("""COMPUTED_VALUE"""),46195.9986111111)</f>
        <v>46195.998611111099</v>
      </c>
      <c r="AL3088" s="6">
        <f ca="1">IFERROR(__xludf.DUMMYFUNCTION("""COMPUTED_VALUE"""),63886.56)</f>
        <v>63886.559999999998</v>
      </c>
      <c r="AP3088" s="6" t="str">
        <f t="shared" si="879"/>
        <v>19001</v>
      </c>
      <c r="AQ3088" s="6">
        <f t="shared" si="880"/>
        <v>1900</v>
      </c>
      <c r="AR3088" s="6">
        <f t="shared" si="881"/>
        <v>1</v>
      </c>
    </row>
    <row r="3089" spans="2:44" x14ac:dyDescent="0.35">
      <c r="B3089" s="6" t="str">
        <f t="shared" si="864"/>
        <v>19001</v>
      </c>
      <c r="C3089" s="6">
        <f t="shared" si="865"/>
        <v>1900</v>
      </c>
      <c r="D3089" s="6">
        <f t="shared" si="866"/>
        <v>1</v>
      </c>
      <c r="J3089" s="6" t="str">
        <f t="shared" si="867"/>
        <v>19001</v>
      </c>
      <c r="K3089" s="6">
        <f t="shared" si="868"/>
        <v>1900</v>
      </c>
      <c r="L3089" s="6">
        <f t="shared" si="869"/>
        <v>1</v>
      </c>
      <c r="R3089" s="6" t="str">
        <f t="shared" si="870"/>
        <v>19001</v>
      </c>
      <c r="S3089" s="6">
        <f t="shared" si="871"/>
        <v>1900</v>
      </c>
      <c r="T3089" s="6">
        <f t="shared" si="872"/>
        <v>1</v>
      </c>
      <c r="Z3089" s="6" t="str">
        <f t="shared" si="873"/>
        <v>19001</v>
      </c>
      <c r="AA3089" s="6">
        <f t="shared" si="874"/>
        <v>1900</v>
      </c>
      <c r="AB3089" s="6">
        <f t="shared" si="875"/>
        <v>1</v>
      </c>
      <c r="AH3089" s="6" t="str">
        <f t="shared" ca="1" si="876"/>
        <v>20266</v>
      </c>
      <c r="AI3089" s="6">
        <f t="shared" ca="1" si="877"/>
        <v>2026</v>
      </c>
      <c r="AJ3089" s="6">
        <f t="shared" ca="1" si="878"/>
        <v>6</v>
      </c>
      <c r="AK3089" s="68">
        <f ca="1">IFERROR(__xludf.DUMMYFUNCTION("""COMPUTED_VALUE"""),46196.9986111111)</f>
        <v>46196.998611111099</v>
      </c>
      <c r="AL3089" s="6">
        <f ca="1">IFERROR(__xludf.DUMMYFUNCTION("""COMPUTED_VALUE"""),63987.82)</f>
        <v>63987.82</v>
      </c>
      <c r="AP3089" s="6" t="str">
        <f t="shared" si="879"/>
        <v>19001</v>
      </c>
      <c r="AQ3089" s="6">
        <f t="shared" si="880"/>
        <v>1900</v>
      </c>
      <c r="AR3089" s="6">
        <f t="shared" si="881"/>
        <v>1</v>
      </c>
    </row>
    <row r="3090" spans="2:44" x14ac:dyDescent="0.35">
      <c r="B3090" s="6" t="str">
        <f t="shared" si="864"/>
        <v>19001</v>
      </c>
      <c r="C3090" s="6">
        <f t="shared" si="865"/>
        <v>1900</v>
      </c>
      <c r="D3090" s="6">
        <f t="shared" si="866"/>
        <v>1</v>
      </c>
      <c r="J3090" s="6" t="str">
        <f t="shared" si="867"/>
        <v>19001</v>
      </c>
      <c r="K3090" s="6">
        <f t="shared" si="868"/>
        <v>1900</v>
      </c>
      <c r="L3090" s="6">
        <f t="shared" si="869"/>
        <v>1</v>
      </c>
      <c r="R3090" s="6" t="str">
        <f t="shared" si="870"/>
        <v>19001</v>
      </c>
      <c r="S3090" s="6">
        <f t="shared" si="871"/>
        <v>1900</v>
      </c>
      <c r="T3090" s="6">
        <f t="shared" si="872"/>
        <v>1</v>
      </c>
      <c r="Z3090" s="6" t="str">
        <f t="shared" si="873"/>
        <v>19001</v>
      </c>
      <c r="AA3090" s="6">
        <f t="shared" si="874"/>
        <v>1900</v>
      </c>
      <c r="AB3090" s="6">
        <f t="shared" si="875"/>
        <v>1</v>
      </c>
      <c r="AH3090" s="6" t="str">
        <f t="shared" ca="1" si="876"/>
        <v>20266</v>
      </c>
      <c r="AI3090" s="6">
        <f t="shared" ca="1" si="877"/>
        <v>2026</v>
      </c>
      <c r="AJ3090" s="6">
        <f t="shared" ca="1" si="878"/>
        <v>6</v>
      </c>
      <c r="AK3090" s="68">
        <f ca="1">IFERROR(__xludf.DUMMYFUNCTION("""COMPUTED_VALUE"""),46197.9986111111)</f>
        <v>46197.998611111099</v>
      </c>
      <c r="AL3090" s="6">
        <f ca="1">IFERROR(__xludf.DUMMYFUNCTION("""COMPUTED_VALUE"""),62649.7)</f>
        <v>62649.7</v>
      </c>
      <c r="AP3090" s="6" t="str">
        <f t="shared" si="879"/>
        <v>19001</v>
      </c>
      <c r="AQ3090" s="6">
        <f t="shared" si="880"/>
        <v>1900</v>
      </c>
      <c r="AR3090" s="6">
        <f t="shared" si="881"/>
        <v>1</v>
      </c>
    </row>
    <row r="3091" spans="2:44" x14ac:dyDescent="0.35">
      <c r="B3091" s="6" t="str">
        <f t="shared" si="864"/>
        <v>19001</v>
      </c>
      <c r="C3091" s="6">
        <f t="shared" si="865"/>
        <v>1900</v>
      </c>
      <c r="D3091" s="6">
        <f t="shared" si="866"/>
        <v>1</v>
      </c>
      <c r="J3091" s="6" t="str">
        <f t="shared" si="867"/>
        <v>19001</v>
      </c>
      <c r="K3091" s="6">
        <f t="shared" si="868"/>
        <v>1900</v>
      </c>
      <c r="L3091" s="6">
        <f t="shared" si="869"/>
        <v>1</v>
      </c>
      <c r="R3091" s="6" t="str">
        <f t="shared" si="870"/>
        <v>19001</v>
      </c>
      <c r="S3091" s="6">
        <f t="shared" si="871"/>
        <v>1900</v>
      </c>
      <c r="T3091" s="6">
        <f t="shared" si="872"/>
        <v>1</v>
      </c>
      <c r="Z3091" s="6" t="str">
        <f t="shared" si="873"/>
        <v>19001</v>
      </c>
      <c r="AA3091" s="6">
        <f t="shared" si="874"/>
        <v>1900</v>
      </c>
      <c r="AB3091" s="6">
        <f t="shared" si="875"/>
        <v>1</v>
      </c>
      <c r="AH3091" s="6" t="str">
        <f t="shared" ca="1" si="876"/>
        <v>20266</v>
      </c>
      <c r="AI3091" s="6">
        <f t="shared" ca="1" si="877"/>
        <v>2026</v>
      </c>
      <c r="AJ3091" s="6">
        <f t="shared" ca="1" si="878"/>
        <v>6</v>
      </c>
      <c r="AK3091" s="68">
        <f ca="1">IFERROR(__xludf.DUMMYFUNCTION("""COMPUTED_VALUE"""),46198.9986111111)</f>
        <v>46198.998611111099</v>
      </c>
      <c r="AL3091" s="6">
        <f ca="1">IFERROR(__xludf.DUMMYFUNCTION("""COMPUTED_VALUE"""),60795.28)</f>
        <v>60795.28</v>
      </c>
      <c r="AP3091" s="6" t="str">
        <f t="shared" si="879"/>
        <v>19001</v>
      </c>
      <c r="AQ3091" s="6">
        <f t="shared" si="880"/>
        <v>1900</v>
      </c>
      <c r="AR3091" s="6">
        <f t="shared" si="881"/>
        <v>1</v>
      </c>
    </row>
    <row r="3092" spans="2:44" x14ac:dyDescent="0.35">
      <c r="B3092" s="6" t="str">
        <f t="shared" si="864"/>
        <v>19001</v>
      </c>
      <c r="C3092" s="6">
        <f t="shared" si="865"/>
        <v>1900</v>
      </c>
      <c r="D3092" s="6">
        <f t="shared" si="866"/>
        <v>1</v>
      </c>
      <c r="J3092" s="6" t="str">
        <f t="shared" si="867"/>
        <v>19001</v>
      </c>
      <c r="K3092" s="6">
        <f t="shared" si="868"/>
        <v>1900</v>
      </c>
      <c r="L3092" s="6">
        <f t="shared" si="869"/>
        <v>1</v>
      </c>
      <c r="R3092" s="6" t="str">
        <f t="shared" si="870"/>
        <v>19001</v>
      </c>
      <c r="S3092" s="6">
        <f t="shared" si="871"/>
        <v>1900</v>
      </c>
      <c r="T3092" s="6">
        <f t="shared" si="872"/>
        <v>1</v>
      </c>
      <c r="Z3092" s="6" t="str">
        <f t="shared" si="873"/>
        <v>19001</v>
      </c>
      <c r="AA3092" s="6">
        <f t="shared" si="874"/>
        <v>1900</v>
      </c>
      <c r="AB3092" s="6">
        <f t="shared" si="875"/>
        <v>1</v>
      </c>
      <c r="AH3092" s="6" t="str">
        <f t="shared" ca="1" si="876"/>
        <v>20266</v>
      </c>
      <c r="AI3092" s="6">
        <f t="shared" ca="1" si="877"/>
        <v>2026</v>
      </c>
      <c r="AJ3092" s="6">
        <f t="shared" ca="1" si="878"/>
        <v>6</v>
      </c>
      <c r="AK3092" s="68">
        <f ca="1">IFERROR(__xludf.DUMMYFUNCTION("""COMPUTED_VALUE"""),46199.9986111111)</f>
        <v>46199.998611111099</v>
      </c>
      <c r="AL3092" s="6">
        <f ca="1">IFERROR(__xludf.DUMMYFUNCTION("""COMPUTED_VALUE"""),59952.33)</f>
        <v>59952.33</v>
      </c>
      <c r="AP3092" s="6" t="str">
        <f t="shared" si="879"/>
        <v>19001</v>
      </c>
      <c r="AQ3092" s="6">
        <f t="shared" si="880"/>
        <v>1900</v>
      </c>
      <c r="AR3092" s="6">
        <f t="shared" si="881"/>
        <v>1</v>
      </c>
    </row>
    <row r="3093" spans="2:44" x14ac:dyDescent="0.35">
      <c r="B3093" s="6" t="str">
        <f t="shared" si="864"/>
        <v>19001</v>
      </c>
      <c r="C3093" s="6">
        <f t="shared" si="865"/>
        <v>1900</v>
      </c>
      <c r="D3093" s="6">
        <f t="shared" si="866"/>
        <v>1</v>
      </c>
      <c r="J3093" s="6" t="str">
        <f t="shared" si="867"/>
        <v>19001</v>
      </c>
      <c r="K3093" s="6">
        <f t="shared" si="868"/>
        <v>1900</v>
      </c>
      <c r="L3093" s="6">
        <f t="shared" si="869"/>
        <v>1</v>
      </c>
      <c r="R3093" s="6" t="str">
        <f t="shared" si="870"/>
        <v>19001</v>
      </c>
      <c r="S3093" s="6">
        <f t="shared" si="871"/>
        <v>1900</v>
      </c>
      <c r="T3093" s="6">
        <f t="shared" si="872"/>
        <v>1</v>
      </c>
      <c r="Z3093" s="6" t="str">
        <f t="shared" si="873"/>
        <v>19001</v>
      </c>
      <c r="AA3093" s="6">
        <f t="shared" si="874"/>
        <v>1900</v>
      </c>
      <c r="AB3093" s="6">
        <f t="shared" si="875"/>
        <v>1</v>
      </c>
      <c r="AH3093" s="6" t="str">
        <f t="shared" ca="1" si="876"/>
        <v>20266</v>
      </c>
      <c r="AI3093" s="6">
        <f t="shared" ca="1" si="877"/>
        <v>2026</v>
      </c>
      <c r="AJ3093" s="6">
        <f t="shared" ca="1" si="878"/>
        <v>6</v>
      </c>
      <c r="AK3093" s="68">
        <f ca="1">IFERROR(__xludf.DUMMYFUNCTION("""COMPUTED_VALUE"""),46200.9986111111)</f>
        <v>46200.998611111099</v>
      </c>
      <c r="AL3093" s="6">
        <f ca="1">IFERROR(__xludf.DUMMYFUNCTION("""COMPUTED_VALUE"""),60211.57)</f>
        <v>60211.57</v>
      </c>
      <c r="AP3093" s="6" t="str">
        <f t="shared" si="879"/>
        <v>19001</v>
      </c>
      <c r="AQ3093" s="6">
        <f t="shared" si="880"/>
        <v>1900</v>
      </c>
      <c r="AR3093" s="6">
        <f t="shared" si="881"/>
        <v>1</v>
      </c>
    </row>
    <row r="3094" spans="2:44" x14ac:dyDescent="0.35">
      <c r="B3094" s="6" t="str">
        <f t="shared" si="864"/>
        <v>19001</v>
      </c>
      <c r="C3094" s="6">
        <f t="shared" si="865"/>
        <v>1900</v>
      </c>
      <c r="D3094" s="6">
        <f t="shared" si="866"/>
        <v>1</v>
      </c>
      <c r="J3094" s="6" t="str">
        <f t="shared" si="867"/>
        <v>19001</v>
      </c>
      <c r="K3094" s="6">
        <f t="shared" si="868"/>
        <v>1900</v>
      </c>
      <c r="L3094" s="6">
        <f t="shared" si="869"/>
        <v>1</v>
      </c>
      <c r="R3094" s="6" t="str">
        <f t="shared" si="870"/>
        <v>19001</v>
      </c>
      <c r="S3094" s="6">
        <f t="shared" si="871"/>
        <v>1900</v>
      </c>
      <c r="T3094" s="6">
        <f t="shared" si="872"/>
        <v>1</v>
      </c>
      <c r="Z3094" s="6" t="str">
        <f t="shared" si="873"/>
        <v>19001</v>
      </c>
      <c r="AA3094" s="6">
        <f t="shared" si="874"/>
        <v>1900</v>
      </c>
      <c r="AB3094" s="6">
        <f t="shared" si="875"/>
        <v>1</v>
      </c>
      <c r="AH3094" s="6" t="str">
        <f t="shared" ca="1" si="876"/>
        <v>20266</v>
      </c>
      <c r="AI3094" s="6">
        <f t="shared" ca="1" si="877"/>
        <v>2026</v>
      </c>
      <c r="AJ3094" s="6">
        <f t="shared" ca="1" si="878"/>
        <v>6</v>
      </c>
      <c r="AK3094" s="68">
        <f ca="1">IFERROR(__xludf.DUMMYFUNCTION("""COMPUTED_VALUE"""),46201.9986111111)</f>
        <v>46201.998611111099</v>
      </c>
      <c r="AL3094" s="6">
        <f ca="1">IFERROR(__xludf.DUMMYFUNCTION("""COMPUTED_VALUE"""),60107.97)</f>
        <v>60107.97</v>
      </c>
      <c r="AP3094" s="6" t="str">
        <f t="shared" si="879"/>
        <v>19001</v>
      </c>
      <c r="AQ3094" s="6">
        <f t="shared" si="880"/>
        <v>1900</v>
      </c>
      <c r="AR3094" s="6">
        <f t="shared" si="881"/>
        <v>1</v>
      </c>
    </row>
    <row r="3095" spans="2:44" x14ac:dyDescent="0.35">
      <c r="B3095" s="6" t="str">
        <f t="shared" si="864"/>
        <v>19001</v>
      </c>
      <c r="C3095" s="6">
        <f t="shared" si="865"/>
        <v>1900</v>
      </c>
      <c r="D3095" s="6">
        <f t="shared" si="866"/>
        <v>1</v>
      </c>
      <c r="J3095" s="6" t="str">
        <f t="shared" si="867"/>
        <v>19001</v>
      </c>
      <c r="K3095" s="6">
        <f t="shared" si="868"/>
        <v>1900</v>
      </c>
      <c r="L3095" s="6">
        <f t="shared" si="869"/>
        <v>1</v>
      </c>
      <c r="R3095" s="6" t="str">
        <f t="shared" si="870"/>
        <v>19001</v>
      </c>
      <c r="S3095" s="6">
        <f t="shared" si="871"/>
        <v>1900</v>
      </c>
      <c r="T3095" s="6">
        <f t="shared" si="872"/>
        <v>1</v>
      </c>
      <c r="Z3095" s="6" t="str">
        <f t="shared" si="873"/>
        <v>19001</v>
      </c>
      <c r="AA3095" s="6">
        <f t="shared" si="874"/>
        <v>1900</v>
      </c>
      <c r="AB3095" s="6">
        <f t="shared" si="875"/>
        <v>1</v>
      </c>
      <c r="AH3095" s="6" t="str">
        <f t="shared" ca="1" si="876"/>
        <v>20266</v>
      </c>
      <c r="AI3095" s="6">
        <f t="shared" ca="1" si="877"/>
        <v>2026</v>
      </c>
      <c r="AJ3095" s="6">
        <f t="shared" ca="1" si="878"/>
        <v>6</v>
      </c>
      <c r="AK3095" s="68">
        <f ca="1">IFERROR(__xludf.DUMMYFUNCTION("""COMPUTED_VALUE"""),46202.9986111111)</f>
        <v>46202.998611111099</v>
      </c>
      <c r="AL3095" s="6">
        <f ca="1">IFERROR(__xludf.DUMMYFUNCTION("""COMPUTED_VALUE"""),59942.83)</f>
        <v>59942.83</v>
      </c>
      <c r="AP3095" s="6" t="str">
        <f t="shared" si="879"/>
        <v>19001</v>
      </c>
      <c r="AQ3095" s="6">
        <f t="shared" si="880"/>
        <v>1900</v>
      </c>
      <c r="AR3095" s="6">
        <f t="shared" si="881"/>
        <v>1</v>
      </c>
    </row>
    <row r="3096" spans="2:44" x14ac:dyDescent="0.35">
      <c r="B3096" s="6" t="str">
        <f t="shared" si="864"/>
        <v>19001</v>
      </c>
      <c r="C3096" s="6">
        <f t="shared" si="865"/>
        <v>1900</v>
      </c>
      <c r="D3096" s="6">
        <f t="shared" si="866"/>
        <v>1</v>
      </c>
      <c r="J3096" s="6" t="str">
        <f t="shared" si="867"/>
        <v>19001</v>
      </c>
      <c r="K3096" s="6">
        <f t="shared" si="868"/>
        <v>1900</v>
      </c>
      <c r="L3096" s="6">
        <f t="shared" si="869"/>
        <v>1</v>
      </c>
      <c r="R3096" s="6" t="str">
        <f t="shared" si="870"/>
        <v>19001</v>
      </c>
      <c r="S3096" s="6">
        <f t="shared" si="871"/>
        <v>1900</v>
      </c>
      <c r="T3096" s="6">
        <f t="shared" si="872"/>
        <v>1</v>
      </c>
      <c r="Z3096" s="6" t="str">
        <f t="shared" si="873"/>
        <v>19001</v>
      </c>
      <c r="AA3096" s="6">
        <f t="shared" si="874"/>
        <v>1900</v>
      </c>
      <c r="AB3096" s="6">
        <f t="shared" si="875"/>
        <v>1</v>
      </c>
      <c r="AH3096" s="6" t="str">
        <f t="shared" ca="1" si="876"/>
        <v>20266</v>
      </c>
      <c r="AI3096" s="6">
        <f t="shared" ca="1" si="877"/>
        <v>2026</v>
      </c>
      <c r="AJ3096" s="6">
        <f t="shared" ca="1" si="878"/>
        <v>6</v>
      </c>
      <c r="AK3096" s="68">
        <f ca="1">IFERROR(__xludf.DUMMYFUNCTION("""COMPUTED_VALUE"""),46203.9986111111)</f>
        <v>46203.998611111099</v>
      </c>
      <c r="AL3096" s="6">
        <f ca="1">IFERROR(__xludf.DUMMYFUNCTION("""COMPUTED_VALUE"""),59513.99)</f>
        <v>59513.99</v>
      </c>
      <c r="AP3096" s="6" t="str">
        <f t="shared" si="879"/>
        <v>19001</v>
      </c>
      <c r="AQ3096" s="6">
        <f t="shared" si="880"/>
        <v>1900</v>
      </c>
      <c r="AR3096" s="6">
        <f t="shared" si="881"/>
        <v>1</v>
      </c>
    </row>
    <row r="3097" spans="2:44" x14ac:dyDescent="0.35">
      <c r="B3097" s="6" t="str">
        <f t="shared" si="864"/>
        <v>19001</v>
      </c>
      <c r="C3097" s="6">
        <f t="shared" si="865"/>
        <v>1900</v>
      </c>
      <c r="D3097" s="6">
        <f t="shared" si="866"/>
        <v>1</v>
      </c>
      <c r="J3097" s="6" t="str">
        <f t="shared" si="867"/>
        <v>19001</v>
      </c>
      <c r="K3097" s="6">
        <f t="shared" si="868"/>
        <v>1900</v>
      </c>
      <c r="L3097" s="6">
        <f t="shared" si="869"/>
        <v>1</v>
      </c>
      <c r="R3097" s="6" t="str">
        <f t="shared" si="870"/>
        <v>19001</v>
      </c>
      <c r="S3097" s="6">
        <f t="shared" si="871"/>
        <v>1900</v>
      </c>
      <c r="T3097" s="6">
        <f t="shared" si="872"/>
        <v>1</v>
      </c>
      <c r="Z3097" s="6" t="str">
        <f t="shared" si="873"/>
        <v>19001</v>
      </c>
      <c r="AA3097" s="6">
        <f t="shared" si="874"/>
        <v>1900</v>
      </c>
      <c r="AB3097" s="6">
        <f t="shared" si="875"/>
        <v>1</v>
      </c>
      <c r="AH3097" s="6" t="str">
        <f t="shared" ca="1" si="876"/>
        <v>20267</v>
      </c>
      <c r="AI3097" s="6">
        <f t="shared" ca="1" si="877"/>
        <v>2026</v>
      </c>
      <c r="AJ3097" s="6">
        <f t="shared" ca="1" si="878"/>
        <v>7</v>
      </c>
      <c r="AK3097" s="68">
        <f ca="1">IFERROR(__xludf.DUMMYFUNCTION("""COMPUTED_VALUE"""),46204.9986111111)</f>
        <v>46204.998611111099</v>
      </c>
      <c r="AL3097" s="6">
        <f ca="1">IFERROR(__xludf.DUMMYFUNCTION("""COMPUTED_VALUE"""),59101.49)</f>
        <v>59101.49</v>
      </c>
      <c r="AP3097" s="6" t="str">
        <f t="shared" si="879"/>
        <v>19001</v>
      </c>
      <c r="AQ3097" s="6">
        <f t="shared" si="880"/>
        <v>1900</v>
      </c>
      <c r="AR3097" s="6">
        <f t="shared" si="881"/>
        <v>1</v>
      </c>
    </row>
    <row r="3098" spans="2:44" x14ac:dyDescent="0.35">
      <c r="B3098" s="6" t="str">
        <f t="shared" si="864"/>
        <v>19001</v>
      </c>
      <c r="C3098" s="6">
        <f t="shared" si="865"/>
        <v>1900</v>
      </c>
      <c r="D3098" s="6">
        <f t="shared" si="866"/>
        <v>1</v>
      </c>
      <c r="J3098" s="6" t="str">
        <f t="shared" si="867"/>
        <v>19001</v>
      </c>
      <c r="K3098" s="6">
        <f t="shared" si="868"/>
        <v>1900</v>
      </c>
      <c r="L3098" s="6">
        <f t="shared" si="869"/>
        <v>1</v>
      </c>
      <c r="R3098" s="6" t="str">
        <f t="shared" si="870"/>
        <v>19001</v>
      </c>
      <c r="S3098" s="6">
        <f t="shared" si="871"/>
        <v>1900</v>
      </c>
      <c r="T3098" s="6">
        <f t="shared" si="872"/>
        <v>1</v>
      </c>
      <c r="Z3098" s="6" t="str">
        <f t="shared" si="873"/>
        <v>19001</v>
      </c>
      <c r="AA3098" s="6">
        <f t="shared" si="874"/>
        <v>1900</v>
      </c>
      <c r="AB3098" s="6">
        <f t="shared" si="875"/>
        <v>1</v>
      </c>
      <c r="AH3098" s="6" t="str">
        <f t="shared" ca="1" si="876"/>
        <v>20267</v>
      </c>
      <c r="AI3098" s="6">
        <f t="shared" ca="1" si="877"/>
        <v>2026</v>
      </c>
      <c r="AJ3098" s="6">
        <f t="shared" ca="1" si="878"/>
        <v>7</v>
      </c>
      <c r="AK3098" s="68">
        <f ca="1">IFERROR(__xludf.DUMMYFUNCTION("""COMPUTED_VALUE"""),46205.9986111111)</f>
        <v>46205.998611111099</v>
      </c>
      <c r="AL3098" s="6">
        <f ca="1">IFERROR(__xludf.DUMMYFUNCTION("""COMPUTED_VALUE"""),60996.8)</f>
        <v>60996.800000000003</v>
      </c>
      <c r="AP3098" s="6" t="str">
        <f t="shared" si="879"/>
        <v>19001</v>
      </c>
      <c r="AQ3098" s="6">
        <f t="shared" si="880"/>
        <v>1900</v>
      </c>
      <c r="AR3098" s="6">
        <f t="shared" si="881"/>
        <v>1</v>
      </c>
    </row>
    <row r="3099" spans="2:44" x14ac:dyDescent="0.35">
      <c r="B3099" s="6" t="str">
        <f t="shared" si="864"/>
        <v>19001</v>
      </c>
      <c r="C3099" s="6">
        <f t="shared" si="865"/>
        <v>1900</v>
      </c>
      <c r="D3099" s="6">
        <f t="shared" si="866"/>
        <v>1</v>
      </c>
      <c r="J3099" s="6" t="str">
        <f t="shared" si="867"/>
        <v>19001</v>
      </c>
      <c r="K3099" s="6">
        <f t="shared" si="868"/>
        <v>1900</v>
      </c>
      <c r="L3099" s="6">
        <f t="shared" si="869"/>
        <v>1</v>
      </c>
      <c r="R3099" s="6" t="str">
        <f t="shared" si="870"/>
        <v>19001</v>
      </c>
      <c r="S3099" s="6">
        <f t="shared" si="871"/>
        <v>1900</v>
      </c>
      <c r="T3099" s="6">
        <f t="shared" si="872"/>
        <v>1</v>
      </c>
      <c r="Z3099" s="6" t="str">
        <f t="shared" si="873"/>
        <v>19001</v>
      </c>
      <c r="AA3099" s="6">
        <f t="shared" si="874"/>
        <v>1900</v>
      </c>
      <c r="AB3099" s="6">
        <f t="shared" si="875"/>
        <v>1</v>
      </c>
      <c r="AH3099" s="6" t="str">
        <f t="shared" ca="1" si="876"/>
        <v>20267</v>
      </c>
      <c r="AI3099" s="6">
        <f t="shared" ca="1" si="877"/>
        <v>2026</v>
      </c>
      <c r="AJ3099" s="6">
        <f t="shared" ca="1" si="878"/>
        <v>7</v>
      </c>
      <c r="AK3099" s="68">
        <f ca="1">IFERROR(__xludf.DUMMYFUNCTION("""COMPUTED_VALUE"""),46206.9986111111)</f>
        <v>46206.998611111099</v>
      </c>
      <c r="AL3099" s="6">
        <f ca="1">IFERROR(__xludf.DUMMYFUNCTION("""COMPUTED_VALUE"""),61350.93)</f>
        <v>61350.93</v>
      </c>
      <c r="AP3099" s="6" t="str">
        <f t="shared" si="879"/>
        <v>19001</v>
      </c>
      <c r="AQ3099" s="6">
        <f t="shared" si="880"/>
        <v>1900</v>
      </c>
      <c r="AR3099" s="6">
        <f t="shared" si="881"/>
        <v>1</v>
      </c>
    </row>
    <row r="3100" spans="2:44" x14ac:dyDescent="0.35">
      <c r="B3100" s="6" t="str">
        <f t="shared" si="864"/>
        <v>19001</v>
      </c>
      <c r="C3100" s="6">
        <f t="shared" si="865"/>
        <v>1900</v>
      </c>
      <c r="D3100" s="6">
        <f t="shared" si="866"/>
        <v>1</v>
      </c>
      <c r="J3100" s="6" t="str">
        <f t="shared" si="867"/>
        <v>19001</v>
      </c>
      <c r="K3100" s="6">
        <f t="shared" si="868"/>
        <v>1900</v>
      </c>
      <c r="L3100" s="6">
        <f t="shared" si="869"/>
        <v>1</v>
      </c>
      <c r="R3100" s="6" t="str">
        <f t="shared" si="870"/>
        <v>19001</v>
      </c>
      <c r="S3100" s="6">
        <f t="shared" si="871"/>
        <v>1900</v>
      </c>
      <c r="T3100" s="6">
        <f t="shared" si="872"/>
        <v>1</v>
      </c>
      <c r="Z3100" s="6" t="str">
        <f t="shared" si="873"/>
        <v>19001</v>
      </c>
      <c r="AA3100" s="6">
        <f t="shared" si="874"/>
        <v>1900</v>
      </c>
      <c r="AB3100" s="6">
        <f t="shared" si="875"/>
        <v>1</v>
      </c>
      <c r="AH3100" s="6" t="str">
        <f t="shared" ca="1" si="876"/>
        <v>20267</v>
      </c>
      <c r="AI3100" s="6">
        <f t="shared" ca="1" si="877"/>
        <v>2026</v>
      </c>
      <c r="AJ3100" s="6">
        <f t="shared" ca="1" si="878"/>
        <v>7</v>
      </c>
      <c r="AK3100" s="68">
        <f ca="1">IFERROR(__xludf.DUMMYFUNCTION("""COMPUTED_VALUE"""),46207.9986111111)</f>
        <v>46207.998611111099</v>
      </c>
      <c r="AL3100" s="6">
        <f ca="1">IFERROR(__xludf.DUMMYFUNCTION("""COMPUTED_VALUE"""),62560.55)</f>
        <v>62560.55</v>
      </c>
      <c r="AP3100" s="6" t="str">
        <f t="shared" si="879"/>
        <v>19001</v>
      </c>
      <c r="AQ3100" s="6">
        <f t="shared" si="880"/>
        <v>1900</v>
      </c>
      <c r="AR3100" s="6">
        <f t="shared" si="881"/>
        <v>1</v>
      </c>
    </row>
    <row r="3101" spans="2:44" x14ac:dyDescent="0.35">
      <c r="B3101" s="6" t="str">
        <f t="shared" si="864"/>
        <v>19001</v>
      </c>
      <c r="C3101" s="6">
        <f t="shared" si="865"/>
        <v>1900</v>
      </c>
      <c r="D3101" s="6">
        <f t="shared" si="866"/>
        <v>1</v>
      </c>
      <c r="J3101" s="6" t="str">
        <f t="shared" si="867"/>
        <v>19001</v>
      </c>
      <c r="K3101" s="6">
        <f t="shared" si="868"/>
        <v>1900</v>
      </c>
      <c r="L3101" s="6">
        <f t="shared" si="869"/>
        <v>1</v>
      </c>
      <c r="R3101" s="6" t="str">
        <f t="shared" si="870"/>
        <v>19001</v>
      </c>
      <c r="S3101" s="6">
        <f t="shared" si="871"/>
        <v>1900</v>
      </c>
      <c r="T3101" s="6">
        <f t="shared" si="872"/>
        <v>1</v>
      </c>
      <c r="Z3101" s="6" t="str">
        <f t="shared" si="873"/>
        <v>19001</v>
      </c>
      <c r="AA3101" s="6">
        <f t="shared" si="874"/>
        <v>1900</v>
      </c>
      <c r="AB3101" s="6">
        <f t="shared" si="875"/>
        <v>1</v>
      </c>
      <c r="AH3101" s="6" t="str">
        <f t="shared" ca="1" si="876"/>
        <v>20267</v>
      </c>
      <c r="AI3101" s="6">
        <f t="shared" ca="1" si="877"/>
        <v>2026</v>
      </c>
      <c r="AJ3101" s="6">
        <f t="shared" ca="1" si="878"/>
        <v>7</v>
      </c>
      <c r="AK3101" s="68">
        <f ca="1">IFERROR(__xludf.DUMMYFUNCTION("""COMPUTED_VALUE"""),46208.9986111111)</f>
        <v>46208.998611111099</v>
      </c>
      <c r="AL3101" s="6">
        <f ca="1">IFERROR(__xludf.DUMMYFUNCTION("""COMPUTED_VALUE"""),62711.21)</f>
        <v>62711.21</v>
      </c>
      <c r="AP3101" s="6" t="str">
        <f t="shared" si="879"/>
        <v>19001</v>
      </c>
      <c r="AQ3101" s="6">
        <f t="shared" si="880"/>
        <v>1900</v>
      </c>
      <c r="AR3101" s="6">
        <f t="shared" si="881"/>
        <v>1</v>
      </c>
    </row>
    <row r="3102" spans="2:44" x14ac:dyDescent="0.35">
      <c r="B3102" s="6" t="str">
        <f t="shared" si="864"/>
        <v>19001</v>
      </c>
      <c r="C3102" s="6">
        <f t="shared" si="865"/>
        <v>1900</v>
      </c>
      <c r="D3102" s="6">
        <f t="shared" si="866"/>
        <v>1</v>
      </c>
      <c r="J3102" s="6" t="str">
        <f t="shared" si="867"/>
        <v>19001</v>
      </c>
      <c r="K3102" s="6">
        <f t="shared" si="868"/>
        <v>1900</v>
      </c>
      <c r="L3102" s="6">
        <f t="shared" si="869"/>
        <v>1</v>
      </c>
      <c r="R3102" s="6" t="str">
        <f t="shared" si="870"/>
        <v>19001</v>
      </c>
      <c r="S3102" s="6">
        <f t="shared" si="871"/>
        <v>1900</v>
      </c>
      <c r="T3102" s="6">
        <f t="shared" si="872"/>
        <v>1</v>
      </c>
      <c r="Z3102" s="6" t="str">
        <f t="shared" si="873"/>
        <v>19001</v>
      </c>
      <c r="AA3102" s="6">
        <f t="shared" si="874"/>
        <v>1900</v>
      </c>
      <c r="AB3102" s="6">
        <f t="shared" si="875"/>
        <v>1</v>
      </c>
      <c r="AH3102" s="6" t="str">
        <f t="shared" ca="1" si="876"/>
        <v>20267</v>
      </c>
      <c r="AI3102" s="6">
        <f t="shared" ca="1" si="877"/>
        <v>2026</v>
      </c>
      <c r="AJ3102" s="6">
        <f t="shared" ca="1" si="878"/>
        <v>7</v>
      </c>
      <c r="AK3102" s="68">
        <f ca="1">IFERROR(__xludf.DUMMYFUNCTION("""COMPUTED_VALUE"""),46209.9986111111)</f>
        <v>46209.998611111099</v>
      </c>
      <c r="AL3102" s="6">
        <f ca="1">IFERROR(__xludf.DUMMYFUNCTION("""COMPUTED_VALUE"""),63232.34)</f>
        <v>63232.34</v>
      </c>
      <c r="AP3102" s="6" t="str">
        <f t="shared" si="879"/>
        <v>19001</v>
      </c>
      <c r="AQ3102" s="6">
        <f t="shared" si="880"/>
        <v>1900</v>
      </c>
      <c r="AR3102" s="6">
        <f t="shared" si="881"/>
        <v>1</v>
      </c>
    </row>
    <row r="3103" spans="2:44" x14ac:dyDescent="0.35">
      <c r="B3103" s="6" t="str">
        <f t="shared" si="864"/>
        <v>19001</v>
      </c>
      <c r="C3103" s="6">
        <f t="shared" si="865"/>
        <v>1900</v>
      </c>
      <c r="D3103" s="6">
        <f t="shared" si="866"/>
        <v>1</v>
      </c>
      <c r="J3103" s="6" t="str">
        <f t="shared" si="867"/>
        <v>19001</v>
      </c>
      <c r="K3103" s="6">
        <f t="shared" si="868"/>
        <v>1900</v>
      </c>
      <c r="L3103" s="6">
        <f t="shared" si="869"/>
        <v>1</v>
      </c>
      <c r="R3103" s="6" t="str">
        <f t="shared" si="870"/>
        <v>19001</v>
      </c>
      <c r="S3103" s="6">
        <f t="shared" si="871"/>
        <v>1900</v>
      </c>
      <c r="T3103" s="6">
        <f t="shared" si="872"/>
        <v>1</v>
      </c>
      <c r="Z3103" s="6" t="str">
        <f t="shared" si="873"/>
        <v>19001</v>
      </c>
      <c r="AA3103" s="6">
        <f t="shared" si="874"/>
        <v>1900</v>
      </c>
      <c r="AB3103" s="6">
        <f t="shared" si="875"/>
        <v>1</v>
      </c>
      <c r="AH3103" s="6" t="str">
        <f t="shared" ca="1" si="876"/>
        <v>20267</v>
      </c>
      <c r="AI3103" s="6">
        <f t="shared" ca="1" si="877"/>
        <v>2026</v>
      </c>
      <c r="AJ3103" s="6">
        <f t="shared" ca="1" si="878"/>
        <v>7</v>
      </c>
      <c r="AK3103" s="68">
        <f ca="1">IFERROR(__xludf.DUMMYFUNCTION("""COMPUTED_VALUE"""),46210.9986111111)</f>
        <v>46210.998611111099</v>
      </c>
      <c r="AL3103" s="6">
        <f ca="1">IFERROR(__xludf.DUMMYFUNCTION("""COMPUTED_VALUE"""),63140.03)</f>
        <v>63140.03</v>
      </c>
      <c r="AP3103" s="6" t="str">
        <f t="shared" si="879"/>
        <v>19001</v>
      </c>
      <c r="AQ3103" s="6">
        <f t="shared" si="880"/>
        <v>1900</v>
      </c>
      <c r="AR3103" s="6">
        <f t="shared" si="881"/>
        <v>1</v>
      </c>
    </row>
    <row r="3104" spans="2:44" x14ac:dyDescent="0.35">
      <c r="B3104" s="6" t="str">
        <f t="shared" si="864"/>
        <v>19001</v>
      </c>
      <c r="C3104" s="6">
        <f t="shared" si="865"/>
        <v>1900</v>
      </c>
      <c r="D3104" s="6">
        <f t="shared" si="866"/>
        <v>1</v>
      </c>
      <c r="J3104" s="6" t="str">
        <f t="shared" si="867"/>
        <v>19001</v>
      </c>
      <c r="K3104" s="6">
        <f t="shared" si="868"/>
        <v>1900</v>
      </c>
      <c r="L3104" s="6">
        <f t="shared" si="869"/>
        <v>1</v>
      </c>
      <c r="R3104" s="6" t="str">
        <f t="shared" si="870"/>
        <v>19001</v>
      </c>
      <c r="S3104" s="6">
        <f t="shared" si="871"/>
        <v>1900</v>
      </c>
      <c r="T3104" s="6">
        <f t="shared" si="872"/>
        <v>1</v>
      </c>
      <c r="Z3104" s="6" t="str">
        <f t="shared" si="873"/>
        <v>19001</v>
      </c>
      <c r="AA3104" s="6">
        <f t="shared" si="874"/>
        <v>1900</v>
      </c>
      <c r="AB3104" s="6">
        <f t="shared" si="875"/>
        <v>1</v>
      </c>
      <c r="AH3104" s="6" t="str">
        <f t="shared" ca="1" si="876"/>
        <v>20267</v>
      </c>
      <c r="AI3104" s="6">
        <f t="shared" ca="1" si="877"/>
        <v>2026</v>
      </c>
      <c r="AJ3104" s="6">
        <f t="shared" ca="1" si="878"/>
        <v>7</v>
      </c>
      <c r="AK3104" s="68">
        <f ca="1">IFERROR(__xludf.DUMMYFUNCTION("""COMPUTED_VALUE"""),46211.9986111111)</f>
        <v>46211.998611111099</v>
      </c>
      <c r="AL3104" s="6">
        <f ca="1">IFERROR(__xludf.DUMMYFUNCTION("""COMPUTED_VALUE"""),62718.59)</f>
        <v>62718.59</v>
      </c>
      <c r="AP3104" s="6" t="str">
        <f t="shared" si="879"/>
        <v>19001</v>
      </c>
      <c r="AQ3104" s="6">
        <f t="shared" si="880"/>
        <v>1900</v>
      </c>
      <c r="AR3104" s="6">
        <f t="shared" si="881"/>
        <v>1</v>
      </c>
    </row>
    <row r="3105" spans="2:44" x14ac:dyDescent="0.35">
      <c r="B3105" s="6" t="str">
        <f t="shared" si="864"/>
        <v>19001</v>
      </c>
      <c r="C3105" s="6">
        <f t="shared" si="865"/>
        <v>1900</v>
      </c>
      <c r="D3105" s="6">
        <f t="shared" si="866"/>
        <v>1</v>
      </c>
      <c r="J3105" s="6" t="str">
        <f t="shared" si="867"/>
        <v>19001</v>
      </c>
      <c r="K3105" s="6">
        <f t="shared" si="868"/>
        <v>1900</v>
      </c>
      <c r="L3105" s="6">
        <f t="shared" si="869"/>
        <v>1</v>
      </c>
      <c r="R3105" s="6" t="str">
        <f t="shared" si="870"/>
        <v>19001</v>
      </c>
      <c r="S3105" s="6">
        <f t="shared" si="871"/>
        <v>1900</v>
      </c>
      <c r="T3105" s="6">
        <f t="shared" si="872"/>
        <v>1</v>
      </c>
      <c r="Z3105" s="6" t="str">
        <f t="shared" si="873"/>
        <v>19001</v>
      </c>
      <c r="AA3105" s="6">
        <f t="shared" si="874"/>
        <v>1900</v>
      </c>
      <c r="AB3105" s="6">
        <f t="shared" si="875"/>
        <v>1</v>
      </c>
      <c r="AH3105" s="6" t="str">
        <f t="shared" ca="1" si="876"/>
        <v>20267</v>
      </c>
      <c r="AI3105" s="6">
        <f t="shared" ca="1" si="877"/>
        <v>2026</v>
      </c>
      <c r="AJ3105" s="6">
        <f t="shared" ca="1" si="878"/>
        <v>7</v>
      </c>
      <c r="AK3105" s="68">
        <f ca="1">IFERROR(__xludf.DUMMYFUNCTION("""COMPUTED_VALUE"""),46212.9986111111)</f>
        <v>46212.998611111099</v>
      </c>
      <c r="AL3105" s="6">
        <f ca="1">IFERROR(__xludf.DUMMYFUNCTION("""COMPUTED_VALUE"""),61913.99)</f>
        <v>61913.99</v>
      </c>
      <c r="AP3105" s="6" t="str">
        <f t="shared" si="879"/>
        <v>19001</v>
      </c>
      <c r="AQ3105" s="6">
        <f t="shared" si="880"/>
        <v>1900</v>
      </c>
      <c r="AR3105" s="6">
        <f t="shared" si="881"/>
        <v>1</v>
      </c>
    </row>
    <row r="3106" spans="2:44" x14ac:dyDescent="0.35">
      <c r="B3106" s="6" t="str">
        <f t="shared" si="864"/>
        <v>19001</v>
      </c>
      <c r="C3106" s="6">
        <f t="shared" si="865"/>
        <v>1900</v>
      </c>
      <c r="D3106" s="6">
        <f t="shared" si="866"/>
        <v>1</v>
      </c>
      <c r="J3106" s="6" t="str">
        <f t="shared" si="867"/>
        <v>19001</v>
      </c>
      <c r="K3106" s="6">
        <f t="shared" si="868"/>
        <v>1900</v>
      </c>
      <c r="L3106" s="6">
        <f t="shared" si="869"/>
        <v>1</v>
      </c>
      <c r="R3106" s="6" t="str">
        <f t="shared" si="870"/>
        <v>19001</v>
      </c>
      <c r="S3106" s="6">
        <f t="shared" si="871"/>
        <v>1900</v>
      </c>
      <c r="T3106" s="6">
        <f t="shared" si="872"/>
        <v>1</v>
      </c>
      <c r="Z3106" s="6" t="str">
        <f t="shared" si="873"/>
        <v>19001</v>
      </c>
      <c r="AA3106" s="6">
        <f t="shared" si="874"/>
        <v>1900</v>
      </c>
      <c r="AB3106" s="6">
        <f t="shared" si="875"/>
        <v>1</v>
      </c>
      <c r="AH3106" s="6" t="str">
        <f t="shared" ca="1" si="876"/>
        <v>20267</v>
      </c>
      <c r="AI3106" s="6">
        <f t="shared" ca="1" si="877"/>
        <v>2026</v>
      </c>
      <c r="AJ3106" s="6">
        <f t="shared" ca="1" si="878"/>
        <v>7</v>
      </c>
      <c r="AK3106" s="68">
        <f ca="1">IFERROR(__xludf.DUMMYFUNCTION("""COMPUTED_VALUE"""),46213.9986111111)</f>
        <v>46213.998611111099</v>
      </c>
      <c r="AL3106" s="6">
        <f ca="1">IFERROR(__xludf.DUMMYFUNCTION("""COMPUTED_VALUE"""),63899.99)</f>
        <v>63899.99</v>
      </c>
      <c r="AP3106" s="6" t="str">
        <f t="shared" si="879"/>
        <v>19001</v>
      </c>
      <c r="AQ3106" s="6">
        <f t="shared" si="880"/>
        <v>1900</v>
      </c>
      <c r="AR3106" s="6">
        <f t="shared" si="881"/>
        <v>1</v>
      </c>
    </row>
    <row r="3107" spans="2:44" x14ac:dyDescent="0.35">
      <c r="B3107" s="6" t="str">
        <f t="shared" si="864"/>
        <v>19001</v>
      </c>
      <c r="C3107" s="6">
        <f t="shared" si="865"/>
        <v>1900</v>
      </c>
      <c r="D3107" s="6">
        <f t="shared" si="866"/>
        <v>1</v>
      </c>
      <c r="J3107" s="6" t="str">
        <f t="shared" si="867"/>
        <v>19001</v>
      </c>
      <c r="K3107" s="6">
        <f t="shared" si="868"/>
        <v>1900</v>
      </c>
      <c r="L3107" s="6">
        <f t="shared" si="869"/>
        <v>1</v>
      </c>
      <c r="R3107" s="6" t="str">
        <f t="shared" si="870"/>
        <v>19001</v>
      </c>
      <c r="S3107" s="6">
        <f t="shared" si="871"/>
        <v>1900</v>
      </c>
      <c r="T3107" s="6">
        <f t="shared" si="872"/>
        <v>1</v>
      </c>
      <c r="Z3107" s="6" t="str">
        <f t="shared" si="873"/>
        <v>19001</v>
      </c>
      <c r="AA3107" s="6">
        <f t="shared" si="874"/>
        <v>1900</v>
      </c>
      <c r="AB3107" s="6">
        <f t="shared" si="875"/>
        <v>1</v>
      </c>
      <c r="AH3107" s="6" t="str">
        <f t="shared" ca="1" si="876"/>
        <v>20267</v>
      </c>
      <c r="AI3107" s="6">
        <f t="shared" ca="1" si="877"/>
        <v>2026</v>
      </c>
      <c r="AJ3107" s="6">
        <f t="shared" ca="1" si="878"/>
        <v>7</v>
      </c>
      <c r="AK3107" s="68">
        <f ca="1">IFERROR(__xludf.DUMMYFUNCTION("""COMPUTED_VALUE"""),46214.9986111111)</f>
        <v>46214.998611111099</v>
      </c>
      <c r="AL3107" s="6">
        <f ca="1">IFERROR(__xludf.DUMMYFUNCTION("""COMPUTED_VALUE"""),64107.68)</f>
        <v>64107.68</v>
      </c>
      <c r="AP3107" s="6" t="str">
        <f t="shared" si="879"/>
        <v>19001</v>
      </c>
      <c r="AQ3107" s="6">
        <f t="shared" si="880"/>
        <v>1900</v>
      </c>
      <c r="AR3107" s="6">
        <f t="shared" si="881"/>
        <v>1</v>
      </c>
    </row>
    <row r="3108" spans="2:44" x14ac:dyDescent="0.35">
      <c r="B3108" s="6" t="str">
        <f t="shared" si="864"/>
        <v>19001</v>
      </c>
      <c r="C3108" s="6">
        <f t="shared" si="865"/>
        <v>1900</v>
      </c>
      <c r="D3108" s="6">
        <f t="shared" si="866"/>
        <v>1</v>
      </c>
      <c r="J3108" s="6" t="str">
        <f t="shared" si="867"/>
        <v>19001</v>
      </c>
      <c r="K3108" s="6">
        <f t="shared" si="868"/>
        <v>1900</v>
      </c>
      <c r="L3108" s="6">
        <f t="shared" si="869"/>
        <v>1</v>
      </c>
      <c r="R3108" s="6" t="str">
        <f t="shared" si="870"/>
        <v>19001</v>
      </c>
      <c r="S3108" s="6">
        <f t="shared" si="871"/>
        <v>1900</v>
      </c>
      <c r="T3108" s="6">
        <f t="shared" si="872"/>
        <v>1</v>
      </c>
      <c r="Z3108" s="6" t="str">
        <f t="shared" si="873"/>
        <v>19001</v>
      </c>
      <c r="AA3108" s="6">
        <f t="shared" si="874"/>
        <v>1900</v>
      </c>
      <c r="AB3108" s="6">
        <f t="shared" si="875"/>
        <v>1</v>
      </c>
      <c r="AH3108" s="6" t="str">
        <f t="shared" ca="1" si="876"/>
        <v>20267</v>
      </c>
      <c r="AI3108" s="6">
        <f t="shared" ca="1" si="877"/>
        <v>2026</v>
      </c>
      <c r="AJ3108" s="6">
        <f t="shared" ca="1" si="878"/>
        <v>7</v>
      </c>
      <c r="AK3108" s="68">
        <f ca="1">IFERROR(__xludf.DUMMYFUNCTION("""COMPUTED_VALUE"""),46215.9986111111)</f>
        <v>46215.998611111099</v>
      </c>
      <c r="AL3108" s="6">
        <f ca="1">IFERROR(__xludf.DUMMYFUNCTION("""COMPUTED_VALUE"""),64195.03)</f>
        <v>64195.03</v>
      </c>
      <c r="AP3108" s="6" t="str">
        <f t="shared" si="879"/>
        <v>19001</v>
      </c>
      <c r="AQ3108" s="6">
        <f t="shared" si="880"/>
        <v>1900</v>
      </c>
      <c r="AR3108" s="6">
        <f t="shared" si="881"/>
        <v>1</v>
      </c>
    </row>
    <row r="3109" spans="2:44" x14ac:dyDescent="0.35">
      <c r="B3109" s="6" t="str">
        <f t="shared" si="864"/>
        <v>19001</v>
      </c>
      <c r="C3109" s="6">
        <f t="shared" si="865"/>
        <v>1900</v>
      </c>
      <c r="D3109" s="6">
        <f t="shared" si="866"/>
        <v>1</v>
      </c>
      <c r="J3109" s="6" t="str">
        <f t="shared" si="867"/>
        <v>19001</v>
      </c>
      <c r="K3109" s="6">
        <f t="shared" si="868"/>
        <v>1900</v>
      </c>
      <c r="L3109" s="6">
        <f t="shared" si="869"/>
        <v>1</v>
      </c>
      <c r="R3109" s="6" t="str">
        <f t="shared" si="870"/>
        <v>19001</v>
      </c>
      <c r="S3109" s="6">
        <f t="shared" si="871"/>
        <v>1900</v>
      </c>
      <c r="T3109" s="6">
        <f t="shared" si="872"/>
        <v>1</v>
      </c>
      <c r="Z3109" s="6" t="str">
        <f t="shared" si="873"/>
        <v>19001</v>
      </c>
      <c r="AA3109" s="6">
        <f t="shared" si="874"/>
        <v>1900</v>
      </c>
      <c r="AB3109" s="6">
        <f t="shared" si="875"/>
        <v>1</v>
      </c>
      <c r="AH3109" s="6" t="str">
        <f t="shared" ca="1" si="876"/>
        <v>20267</v>
      </c>
      <c r="AI3109" s="6">
        <f t="shared" ca="1" si="877"/>
        <v>2026</v>
      </c>
      <c r="AJ3109" s="6">
        <f t="shared" ca="1" si="878"/>
        <v>7</v>
      </c>
      <c r="AK3109" s="68">
        <f ca="1">IFERROR(__xludf.DUMMYFUNCTION("""COMPUTED_VALUE"""),46216.9986111111)</f>
        <v>46216.998611111099</v>
      </c>
      <c r="AL3109" s="6">
        <f ca="1">IFERROR(__xludf.DUMMYFUNCTION("""COMPUTED_VALUE"""),62758.57)</f>
        <v>62758.57</v>
      </c>
      <c r="AP3109" s="6" t="str">
        <f t="shared" si="879"/>
        <v>19001</v>
      </c>
      <c r="AQ3109" s="6">
        <f t="shared" si="880"/>
        <v>1900</v>
      </c>
      <c r="AR3109" s="6">
        <f t="shared" si="881"/>
        <v>1</v>
      </c>
    </row>
    <row r="3110" spans="2:44" x14ac:dyDescent="0.35">
      <c r="B3110" s="6" t="str">
        <f t="shared" si="864"/>
        <v>19001</v>
      </c>
      <c r="C3110" s="6">
        <f t="shared" si="865"/>
        <v>1900</v>
      </c>
      <c r="D3110" s="6">
        <f t="shared" si="866"/>
        <v>1</v>
      </c>
      <c r="J3110" s="6" t="str">
        <f t="shared" si="867"/>
        <v>19001</v>
      </c>
      <c r="K3110" s="6">
        <f t="shared" si="868"/>
        <v>1900</v>
      </c>
      <c r="L3110" s="6">
        <f t="shared" si="869"/>
        <v>1</v>
      </c>
      <c r="R3110" s="6" t="str">
        <f t="shared" si="870"/>
        <v>19001</v>
      </c>
      <c r="S3110" s="6">
        <f t="shared" si="871"/>
        <v>1900</v>
      </c>
      <c r="T3110" s="6">
        <f t="shared" si="872"/>
        <v>1</v>
      </c>
      <c r="Z3110" s="6" t="str">
        <f t="shared" si="873"/>
        <v>19001</v>
      </c>
      <c r="AA3110" s="6">
        <f t="shared" si="874"/>
        <v>1900</v>
      </c>
      <c r="AB3110" s="6">
        <f t="shared" si="875"/>
        <v>1</v>
      </c>
      <c r="AH3110" s="6" t="str">
        <f t="shared" ca="1" si="876"/>
        <v>20267</v>
      </c>
      <c r="AI3110" s="6">
        <f t="shared" ca="1" si="877"/>
        <v>2026</v>
      </c>
      <c r="AJ3110" s="6">
        <f t="shared" ca="1" si="878"/>
        <v>7</v>
      </c>
      <c r="AK3110" s="68">
        <f ca="1">IFERROR(__xludf.DUMMYFUNCTION("""COMPUTED_VALUE"""),46217.9986111111)</f>
        <v>46217.998611111099</v>
      </c>
      <c r="AL3110" s="6">
        <f ca="1">IFERROR(__xludf.DUMMYFUNCTION("""COMPUTED_VALUE"""),62500)</f>
        <v>62500</v>
      </c>
      <c r="AP3110" s="6" t="str">
        <f t="shared" si="879"/>
        <v>19001</v>
      </c>
      <c r="AQ3110" s="6">
        <f t="shared" si="880"/>
        <v>1900</v>
      </c>
      <c r="AR3110" s="6">
        <f t="shared" si="881"/>
        <v>1</v>
      </c>
    </row>
    <row r="3111" spans="2:44" x14ac:dyDescent="0.35">
      <c r="B3111" s="6" t="str">
        <f t="shared" si="864"/>
        <v>19001</v>
      </c>
      <c r="C3111" s="6">
        <f t="shared" si="865"/>
        <v>1900</v>
      </c>
      <c r="D3111" s="6">
        <f t="shared" si="866"/>
        <v>1</v>
      </c>
      <c r="J3111" s="6" t="str">
        <f t="shared" si="867"/>
        <v>19001</v>
      </c>
      <c r="K3111" s="6">
        <f t="shared" si="868"/>
        <v>1900</v>
      </c>
      <c r="L3111" s="6">
        <f t="shared" si="869"/>
        <v>1</v>
      </c>
      <c r="R3111" s="6" t="str">
        <f t="shared" si="870"/>
        <v>19001</v>
      </c>
      <c r="S3111" s="6">
        <f t="shared" si="871"/>
        <v>1900</v>
      </c>
      <c r="T3111" s="6">
        <f t="shared" si="872"/>
        <v>1</v>
      </c>
      <c r="Z3111" s="6" t="str">
        <f t="shared" si="873"/>
        <v>19001</v>
      </c>
      <c r="AA3111" s="6">
        <f t="shared" si="874"/>
        <v>1900</v>
      </c>
      <c r="AB3111" s="6">
        <f t="shared" si="875"/>
        <v>1</v>
      </c>
      <c r="AH3111" s="6" t="str">
        <f t="shared" ca="1" si="876"/>
        <v>20267</v>
      </c>
      <c r="AI3111" s="6">
        <f t="shared" ca="1" si="877"/>
        <v>2026</v>
      </c>
      <c r="AJ3111" s="6">
        <f t="shared" ca="1" si="878"/>
        <v>7</v>
      </c>
      <c r="AK3111" s="68">
        <f ca="1">IFERROR(__xludf.DUMMYFUNCTION("""COMPUTED_VALUE"""),46218.9986111111)</f>
        <v>46218.998611111099</v>
      </c>
      <c r="AL3111" s="6">
        <f ca="1">IFERROR(__xludf.DUMMYFUNCTION("""COMPUTED_VALUE"""),64740.27)</f>
        <v>64740.27</v>
      </c>
      <c r="AP3111" s="6" t="str">
        <f t="shared" si="879"/>
        <v>19001</v>
      </c>
      <c r="AQ3111" s="6">
        <f t="shared" si="880"/>
        <v>1900</v>
      </c>
      <c r="AR3111" s="6">
        <f t="shared" si="881"/>
        <v>1</v>
      </c>
    </row>
    <row r="3112" spans="2:44" x14ac:dyDescent="0.35">
      <c r="B3112" s="6" t="str">
        <f t="shared" si="864"/>
        <v>19001</v>
      </c>
      <c r="C3112" s="6">
        <f t="shared" si="865"/>
        <v>1900</v>
      </c>
      <c r="D3112" s="6">
        <f t="shared" si="866"/>
        <v>1</v>
      </c>
      <c r="J3112" s="6" t="str">
        <f t="shared" si="867"/>
        <v>19001</v>
      </c>
      <c r="K3112" s="6">
        <f t="shared" si="868"/>
        <v>1900</v>
      </c>
      <c r="L3112" s="6">
        <f t="shared" si="869"/>
        <v>1</v>
      </c>
      <c r="R3112" s="6" t="str">
        <f t="shared" si="870"/>
        <v>19001</v>
      </c>
      <c r="S3112" s="6">
        <f t="shared" si="871"/>
        <v>1900</v>
      </c>
      <c r="T3112" s="6">
        <f t="shared" si="872"/>
        <v>1</v>
      </c>
      <c r="Z3112" s="6" t="str">
        <f t="shared" si="873"/>
        <v>19001</v>
      </c>
      <c r="AA3112" s="6">
        <f t="shared" si="874"/>
        <v>1900</v>
      </c>
      <c r="AB3112" s="6">
        <f t="shared" si="875"/>
        <v>1</v>
      </c>
      <c r="AH3112" s="6" t="str">
        <f t="shared" ca="1" si="876"/>
        <v>20267</v>
      </c>
      <c r="AI3112" s="6">
        <f t="shared" ca="1" si="877"/>
        <v>2026</v>
      </c>
      <c r="AJ3112" s="6">
        <f t="shared" ca="1" si="878"/>
        <v>7</v>
      </c>
      <c r="AK3112" s="68">
        <f ca="1">IFERROR(__xludf.DUMMYFUNCTION("""COMPUTED_VALUE"""),46219.9986111111)</f>
        <v>46219.998611111099</v>
      </c>
      <c r="AL3112" s="6">
        <f ca="1">IFERROR(__xludf.DUMMYFUNCTION("""COMPUTED_VALUE"""),64562.14)</f>
        <v>64562.14</v>
      </c>
      <c r="AP3112" s="6" t="str">
        <f t="shared" si="879"/>
        <v>19001</v>
      </c>
      <c r="AQ3112" s="6">
        <f t="shared" si="880"/>
        <v>1900</v>
      </c>
      <c r="AR3112" s="6">
        <f t="shared" si="881"/>
        <v>1</v>
      </c>
    </row>
    <row r="3113" spans="2:44" x14ac:dyDescent="0.35">
      <c r="B3113" s="6" t="str">
        <f t="shared" si="864"/>
        <v>19001</v>
      </c>
      <c r="C3113" s="6">
        <f t="shared" si="865"/>
        <v>1900</v>
      </c>
      <c r="D3113" s="6">
        <f t="shared" si="866"/>
        <v>1</v>
      </c>
      <c r="J3113" s="6" t="str">
        <f t="shared" si="867"/>
        <v>19001</v>
      </c>
      <c r="K3113" s="6">
        <f t="shared" si="868"/>
        <v>1900</v>
      </c>
      <c r="L3113" s="6">
        <f t="shared" si="869"/>
        <v>1</v>
      </c>
      <c r="R3113" s="6" t="str">
        <f t="shared" si="870"/>
        <v>19001</v>
      </c>
      <c r="S3113" s="6">
        <f t="shared" si="871"/>
        <v>1900</v>
      </c>
      <c r="T3113" s="6">
        <f t="shared" si="872"/>
        <v>1</v>
      </c>
      <c r="Z3113" s="6" t="str">
        <f t="shared" si="873"/>
        <v>19001</v>
      </c>
      <c r="AA3113" s="6">
        <f t="shared" si="874"/>
        <v>1900</v>
      </c>
      <c r="AB3113" s="6">
        <f t="shared" si="875"/>
        <v>1</v>
      </c>
      <c r="AH3113" s="6" t="str">
        <f t="shared" ca="1" si="876"/>
        <v>20267</v>
      </c>
      <c r="AI3113" s="6">
        <f t="shared" ca="1" si="877"/>
        <v>2026</v>
      </c>
      <c r="AJ3113" s="6">
        <f t="shared" ca="1" si="878"/>
        <v>7</v>
      </c>
      <c r="AK3113" s="68">
        <f ca="1">IFERROR(__xludf.DUMMYFUNCTION("""COMPUTED_VALUE"""),46220.9986111111)</f>
        <v>46220.998611111099</v>
      </c>
      <c r="AL3113" s="6">
        <f ca="1">IFERROR(__xludf.DUMMYFUNCTION("""COMPUTED_VALUE"""),63899.1786)</f>
        <v>63899.178599999999</v>
      </c>
      <c r="AP3113" s="6" t="str">
        <f t="shared" si="879"/>
        <v>19001</v>
      </c>
      <c r="AQ3113" s="6">
        <f t="shared" si="880"/>
        <v>1900</v>
      </c>
      <c r="AR3113" s="6">
        <f t="shared" si="881"/>
        <v>1</v>
      </c>
    </row>
    <row r="3114" spans="2:44" x14ac:dyDescent="0.35">
      <c r="B3114" s="6" t="str">
        <f t="shared" si="864"/>
        <v>19001</v>
      </c>
      <c r="C3114" s="6">
        <f t="shared" si="865"/>
        <v>1900</v>
      </c>
      <c r="D3114" s="6">
        <f t="shared" si="866"/>
        <v>1</v>
      </c>
      <c r="J3114" s="6" t="str">
        <f t="shared" si="867"/>
        <v>19001</v>
      </c>
      <c r="K3114" s="6">
        <f t="shared" si="868"/>
        <v>1900</v>
      </c>
      <c r="L3114" s="6">
        <f t="shared" si="869"/>
        <v>1</v>
      </c>
      <c r="R3114" s="6" t="str">
        <f t="shared" si="870"/>
        <v>19001</v>
      </c>
      <c r="S3114" s="6">
        <f t="shared" si="871"/>
        <v>1900</v>
      </c>
      <c r="T3114" s="6">
        <f t="shared" si="872"/>
        <v>1</v>
      </c>
      <c r="Z3114" s="6" t="str">
        <f t="shared" si="873"/>
        <v>19001</v>
      </c>
      <c r="AA3114" s="6">
        <f t="shared" si="874"/>
        <v>1900</v>
      </c>
      <c r="AB3114" s="6">
        <f t="shared" si="875"/>
        <v>1</v>
      </c>
      <c r="AH3114" s="6" t="str">
        <f t="shared" ca="1" si="876"/>
        <v>20267</v>
      </c>
      <c r="AI3114" s="6">
        <f t="shared" ca="1" si="877"/>
        <v>2026</v>
      </c>
      <c r="AJ3114" s="6">
        <f t="shared" ca="1" si="878"/>
        <v>7</v>
      </c>
      <c r="AK3114" s="68">
        <f ca="1">IFERROR(__xludf.DUMMYFUNCTION("""COMPUTED_VALUE"""),46221.9986111111)</f>
        <v>46221.998611111099</v>
      </c>
      <c r="AL3114" s="6">
        <f ca="1">IFERROR(__xludf.DUMMYFUNCTION("""COMPUTED_VALUE"""),64794.2509)</f>
        <v>64794.250899999999</v>
      </c>
      <c r="AP3114" s="6" t="str">
        <f t="shared" si="879"/>
        <v>19001</v>
      </c>
      <c r="AQ3114" s="6">
        <f t="shared" si="880"/>
        <v>1900</v>
      </c>
      <c r="AR3114" s="6">
        <f t="shared" si="881"/>
        <v>1</v>
      </c>
    </row>
    <row r="3115" spans="2:44" x14ac:dyDescent="0.35">
      <c r="B3115" s="6" t="str">
        <f t="shared" si="864"/>
        <v>19001</v>
      </c>
      <c r="C3115" s="6">
        <f t="shared" si="865"/>
        <v>1900</v>
      </c>
      <c r="D3115" s="6">
        <f t="shared" si="866"/>
        <v>1</v>
      </c>
      <c r="J3115" s="6" t="str">
        <f t="shared" si="867"/>
        <v>19001</v>
      </c>
      <c r="K3115" s="6">
        <f t="shared" si="868"/>
        <v>1900</v>
      </c>
      <c r="L3115" s="6">
        <f t="shared" si="869"/>
        <v>1</v>
      </c>
      <c r="R3115" s="6" t="str">
        <f t="shared" si="870"/>
        <v>19001</v>
      </c>
      <c r="S3115" s="6">
        <f t="shared" si="871"/>
        <v>1900</v>
      </c>
      <c r="T3115" s="6">
        <f t="shared" si="872"/>
        <v>1</v>
      </c>
      <c r="Z3115" s="6" t="str">
        <f t="shared" si="873"/>
        <v>19001</v>
      </c>
      <c r="AA3115" s="6">
        <f t="shared" si="874"/>
        <v>1900</v>
      </c>
      <c r="AB3115" s="6">
        <f t="shared" si="875"/>
        <v>1</v>
      </c>
      <c r="AH3115" s="6" t="str">
        <f t="shared" si="876"/>
        <v>19001</v>
      </c>
      <c r="AI3115" s="6">
        <f t="shared" si="877"/>
        <v>1900</v>
      </c>
      <c r="AJ3115" s="6">
        <f t="shared" si="878"/>
        <v>1</v>
      </c>
      <c r="AP3115" s="6" t="str">
        <f t="shared" si="879"/>
        <v>19001</v>
      </c>
      <c r="AQ3115" s="6">
        <f t="shared" si="880"/>
        <v>1900</v>
      </c>
      <c r="AR3115" s="6">
        <f t="shared" si="881"/>
        <v>1</v>
      </c>
    </row>
    <row r="3116" spans="2:44" x14ac:dyDescent="0.35">
      <c r="B3116" s="6" t="str">
        <f t="shared" si="864"/>
        <v>19001</v>
      </c>
      <c r="C3116" s="6">
        <f t="shared" si="865"/>
        <v>1900</v>
      </c>
      <c r="D3116" s="6">
        <f t="shared" si="866"/>
        <v>1</v>
      </c>
      <c r="J3116" s="6" t="str">
        <f t="shared" si="867"/>
        <v>19001</v>
      </c>
      <c r="K3116" s="6">
        <f t="shared" si="868"/>
        <v>1900</v>
      </c>
      <c r="L3116" s="6">
        <f t="shared" si="869"/>
        <v>1</v>
      </c>
      <c r="R3116" s="6" t="str">
        <f t="shared" si="870"/>
        <v>19001</v>
      </c>
      <c r="S3116" s="6">
        <f t="shared" si="871"/>
        <v>1900</v>
      </c>
      <c r="T3116" s="6">
        <f t="shared" si="872"/>
        <v>1</v>
      </c>
      <c r="Z3116" s="6" t="str">
        <f t="shared" si="873"/>
        <v>19001</v>
      </c>
      <c r="AA3116" s="6">
        <f t="shared" si="874"/>
        <v>1900</v>
      </c>
      <c r="AB3116" s="6">
        <f t="shared" si="875"/>
        <v>1</v>
      </c>
      <c r="AH3116" s="6" t="str">
        <f t="shared" si="876"/>
        <v>19001</v>
      </c>
      <c r="AI3116" s="6">
        <f t="shared" si="877"/>
        <v>1900</v>
      </c>
      <c r="AJ3116" s="6">
        <f t="shared" si="878"/>
        <v>1</v>
      </c>
      <c r="AP3116" s="6" t="str">
        <f t="shared" si="879"/>
        <v>19001</v>
      </c>
      <c r="AQ3116" s="6">
        <f t="shared" si="880"/>
        <v>1900</v>
      </c>
      <c r="AR3116" s="6">
        <f t="shared" si="881"/>
        <v>1</v>
      </c>
    </row>
    <row r="3117" spans="2:44" x14ac:dyDescent="0.35">
      <c r="B3117" s="6" t="str">
        <f t="shared" si="864"/>
        <v>19001</v>
      </c>
      <c r="C3117" s="6">
        <f t="shared" si="865"/>
        <v>1900</v>
      </c>
      <c r="D3117" s="6">
        <f t="shared" si="866"/>
        <v>1</v>
      </c>
      <c r="J3117" s="6" t="str">
        <f t="shared" si="867"/>
        <v>19001</v>
      </c>
      <c r="K3117" s="6">
        <f t="shared" si="868"/>
        <v>1900</v>
      </c>
      <c r="L3117" s="6">
        <f t="shared" si="869"/>
        <v>1</v>
      </c>
      <c r="R3117" s="6" t="str">
        <f t="shared" si="870"/>
        <v>19001</v>
      </c>
      <c r="S3117" s="6">
        <f t="shared" si="871"/>
        <v>1900</v>
      </c>
      <c r="T3117" s="6">
        <f t="shared" si="872"/>
        <v>1</v>
      </c>
      <c r="Z3117" s="6" t="str">
        <f t="shared" si="873"/>
        <v>19001</v>
      </c>
      <c r="AA3117" s="6">
        <f t="shared" si="874"/>
        <v>1900</v>
      </c>
      <c r="AB3117" s="6">
        <f t="shared" si="875"/>
        <v>1</v>
      </c>
      <c r="AH3117" s="6" t="str">
        <f t="shared" si="876"/>
        <v>19001</v>
      </c>
      <c r="AI3117" s="6">
        <f t="shared" si="877"/>
        <v>1900</v>
      </c>
      <c r="AJ3117" s="6">
        <f t="shared" si="878"/>
        <v>1</v>
      </c>
      <c r="AP3117" s="6" t="str">
        <f t="shared" si="879"/>
        <v>19001</v>
      </c>
      <c r="AQ3117" s="6">
        <f t="shared" si="880"/>
        <v>1900</v>
      </c>
      <c r="AR3117" s="6">
        <f t="shared" si="881"/>
        <v>1</v>
      </c>
    </row>
    <row r="3118" spans="2:44" x14ac:dyDescent="0.35">
      <c r="B3118" s="6" t="str">
        <f t="shared" si="864"/>
        <v>19001</v>
      </c>
      <c r="C3118" s="6">
        <f t="shared" si="865"/>
        <v>1900</v>
      </c>
      <c r="D3118" s="6">
        <f t="shared" si="866"/>
        <v>1</v>
      </c>
      <c r="J3118" s="6" t="str">
        <f t="shared" si="867"/>
        <v>19001</v>
      </c>
      <c r="K3118" s="6">
        <f t="shared" si="868"/>
        <v>1900</v>
      </c>
      <c r="L3118" s="6">
        <f t="shared" si="869"/>
        <v>1</v>
      </c>
      <c r="R3118" s="6" t="str">
        <f t="shared" si="870"/>
        <v>19001</v>
      </c>
      <c r="S3118" s="6">
        <f t="shared" si="871"/>
        <v>1900</v>
      </c>
      <c r="T3118" s="6">
        <f t="shared" si="872"/>
        <v>1</v>
      </c>
      <c r="Z3118" s="6" t="str">
        <f t="shared" si="873"/>
        <v>19001</v>
      </c>
      <c r="AA3118" s="6">
        <f t="shared" si="874"/>
        <v>1900</v>
      </c>
      <c r="AB3118" s="6">
        <f t="shared" si="875"/>
        <v>1</v>
      </c>
      <c r="AH3118" s="6" t="str">
        <f t="shared" si="876"/>
        <v>19001</v>
      </c>
      <c r="AI3118" s="6">
        <f t="shared" si="877"/>
        <v>1900</v>
      </c>
      <c r="AJ3118" s="6">
        <f t="shared" si="878"/>
        <v>1</v>
      </c>
      <c r="AP3118" s="6" t="str">
        <f t="shared" si="879"/>
        <v>19001</v>
      </c>
      <c r="AQ3118" s="6">
        <f t="shared" si="880"/>
        <v>1900</v>
      </c>
      <c r="AR3118" s="6">
        <f t="shared" si="881"/>
        <v>1</v>
      </c>
    </row>
    <row r="3119" spans="2:44" x14ac:dyDescent="0.35">
      <c r="B3119" s="6" t="str">
        <f t="shared" si="864"/>
        <v>19001</v>
      </c>
      <c r="C3119" s="6">
        <f t="shared" si="865"/>
        <v>1900</v>
      </c>
      <c r="D3119" s="6">
        <f t="shared" si="866"/>
        <v>1</v>
      </c>
      <c r="J3119" s="6" t="str">
        <f t="shared" si="867"/>
        <v>19001</v>
      </c>
      <c r="K3119" s="6">
        <f t="shared" si="868"/>
        <v>1900</v>
      </c>
      <c r="L3119" s="6">
        <f t="shared" si="869"/>
        <v>1</v>
      </c>
      <c r="R3119" s="6" t="str">
        <f t="shared" si="870"/>
        <v>19001</v>
      </c>
      <c r="S3119" s="6">
        <f t="shared" si="871"/>
        <v>1900</v>
      </c>
      <c r="T3119" s="6">
        <f t="shared" si="872"/>
        <v>1</v>
      </c>
      <c r="Z3119" s="6" t="str">
        <f t="shared" si="873"/>
        <v>19001</v>
      </c>
      <c r="AA3119" s="6">
        <f t="shared" si="874"/>
        <v>1900</v>
      </c>
      <c r="AB3119" s="6">
        <f t="shared" si="875"/>
        <v>1</v>
      </c>
      <c r="AH3119" s="6" t="str">
        <f t="shared" si="876"/>
        <v>19001</v>
      </c>
      <c r="AI3119" s="6">
        <f t="shared" si="877"/>
        <v>1900</v>
      </c>
      <c r="AJ3119" s="6">
        <f t="shared" si="878"/>
        <v>1</v>
      </c>
      <c r="AP3119" s="6" t="str">
        <f t="shared" si="879"/>
        <v>19001</v>
      </c>
      <c r="AQ3119" s="6">
        <f t="shared" si="880"/>
        <v>1900</v>
      </c>
      <c r="AR3119" s="6">
        <f t="shared" si="881"/>
        <v>1</v>
      </c>
    </row>
    <row r="3120" spans="2:44" x14ac:dyDescent="0.35">
      <c r="B3120" s="6" t="str">
        <f t="shared" si="864"/>
        <v>19001</v>
      </c>
      <c r="C3120" s="6">
        <f t="shared" si="865"/>
        <v>1900</v>
      </c>
      <c r="D3120" s="6">
        <f t="shared" si="866"/>
        <v>1</v>
      </c>
      <c r="J3120" s="6" t="str">
        <f t="shared" si="867"/>
        <v>19001</v>
      </c>
      <c r="K3120" s="6">
        <f t="shared" si="868"/>
        <v>1900</v>
      </c>
      <c r="L3120" s="6">
        <f t="shared" si="869"/>
        <v>1</v>
      </c>
      <c r="R3120" s="6" t="str">
        <f t="shared" si="870"/>
        <v>19001</v>
      </c>
      <c r="S3120" s="6">
        <f t="shared" si="871"/>
        <v>1900</v>
      </c>
      <c r="T3120" s="6">
        <f t="shared" si="872"/>
        <v>1</v>
      </c>
      <c r="Z3120" s="6" t="str">
        <f t="shared" si="873"/>
        <v>19001</v>
      </c>
      <c r="AA3120" s="6">
        <f t="shared" si="874"/>
        <v>1900</v>
      </c>
      <c r="AB3120" s="6">
        <f t="shared" si="875"/>
        <v>1</v>
      </c>
      <c r="AH3120" s="6" t="str">
        <f t="shared" si="876"/>
        <v>19001</v>
      </c>
      <c r="AI3120" s="6">
        <f t="shared" si="877"/>
        <v>1900</v>
      </c>
      <c r="AJ3120" s="6">
        <f t="shared" si="878"/>
        <v>1</v>
      </c>
      <c r="AP3120" s="6" t="str">
        <f t="shared" si="879"/>
        <v>19001</v>
      </c>
      <c r="AQ3120" s="6">
        <f t="shared" si="880"/>
        <v>1900</v>
      </c>
      <c r="AR3120" s="6">
        <f t="shared" si="881"/>
        <v>1</v>
      </c>
    </row>
    <row r="3121" spans="2:44" x14ac:dyDescent="0.35">
      <c r="B3121" s="6" t="str">
        <f t="shared" si="864"/>
        <v>19001</v>
      </c>
      <c r="C3121" s="6">
        <f t="shared" si="865"/>
        <v>1900</v>
      </c>
      <c r="D3121" s="6">
        <f t="shared" si="866"/>
        <v>1</v>
      </c>
      <c r="J3121" s="6" t="str">
        <f t="shared" si="867"/>
        <v>19001</v>
      </c>
      <c r="K3121" s="6">
        <f t="shared" si="868"/>
        <v>1900</v>
      </c>
      <c r="L3121" s="6">
        <f t="shared" si="869"/>
        <v>1</v>
      </c>
      <c r="R3121" s="6" t="str">
        <f t="shared" si="870"/>
        <v>19001</v>
      </c>
      <c r="S3121" s="6">
        <f t="shared" si="871"/>
        <v>1900</v>
      </c>
      <c r="T3121" s="6">
        <f t="shared" si="872"/>
        <v>1</v>
      </c>
      <c r="Z3121" s="6" t="str">
        <f t="shared" si="873"/>
        <v>19001</v>
      </c>
      <c r="AA3121" s="6">
        <f t="shared" si="874"/>
        <v>1900</v>
      </c>
      <c r="AB3121" s="6">
        <f t="shared" si="875"/>
        <v>1</v>
      </c>
      <c r="AH3121" s="6" t="str">
        <f t="shared" si="876"/>
        <v>19001</v>
      </c>
      <c r="AI3121" s="6">
        <f t="shared" si="877"/>
        <v>1900</v>
      </c>
      <c r="AJ3121" s="6">
        <f t="shared" si="878"/>
        <v>1</v>
      </c>
      <c r="AP3121" s="6" t="str">
        <f t="shared" si="879"/>
        <v>19001</v>
      </c>
      <c r="AQ3121" s="6">
        <f t="shared" si="880"/>
        <v>1900</v>
      </c>
      <c r="AR3121" s="6">
        <f t="shared" si="881"/>
        <v>1</v>
      </c>
    </row>
    <row r="3122" spans="2:44" x14ac:dyDescent="0.35">
      <c r="B3122" s="6" t="str">
        <f t="shared" si="864"/>
        <v>19001</v>
      </c>
      <c r="C3122" s="6">
        <f t="shared" si="865"/>
        <v>1900</v>
      </c>
      <c r="D3122" s="6">
        <f t="shared" si="866"/>
        <v>1</v>
      </c>
      <c r="J3122" s="6" t="str">
        <f t="shared" si="867"/>
        <v>19001</v>
      </c>
      <c r="K3122" s="6">
        <f t="shared" si="868"/>
        <v>1900</v>
      </c>
      <c r="L3122" s="6">
        <f t="shared" si="869"/>
        <v>1</v>
      </c>
      <c r="R3122" s="6" t="str">
        <f t="shared" si="870"/>
        <v>19001</v>
      </c>
      <c r="S3122" s="6">
        <f t="shared" si="871"/>
        <v>1900</v>
      </c>
      <c r="T3122" s="6">
        <f t="shared" si="872"/>
        <v>1</v>
      </c>
      <c r="Z3122" s="6" t="str">
        <f t="shared" si="873"/>
        <v>19001</v>
      </c>
      <c r="AA3122" s="6">
        <f t="shared" si="874"/>
        <v>1900</v>
      </c>
      <c r="AB3122" s="6">
        <f t="shared" si="875"/>
        <v>1</v>
      </c>
      <c r="AH3122" s="6" t="str">
        <f t="shared" si="876"/>
        <v>19001</v>
      </c>
      <c r="AI3122" s="6">
        <f t="shared" si="877"/>
        <v>1900</v>
      </c>
      <c r="AJ3122" s="6">
        <f t="shared" si="878"/>
        <v>1</v>
      </c>
      <c r="AP3122" s="6" t="str">
        <f t="shared" si="879"/>
        <v>19001</v>
      </c>
      <c r="AQ3122" s="6">
        <f t="shared" si="880"/>
        <v>1900</v>
      </c>
      <c r="AR3122" s="6">
        <f t="shared" si="881"/>
        <v>1</v>
      </c>
    </row>
    <row r="3123" spans="2:44" x14ac:dyDescent="0.35">
      <c r="B3123" s="6" t="str">
        <f t="shared" si="864"/>
        <v>19001</v>
      </c>
      <c r="C3123" s="6">
        <f t="shared" si="865"/>
        <v>1900</v>
      </c>
      <c r="D3123" s="6">
        <f t="shared" si="866"/>
        <v>1</v>
      </c>
      <c r="J3123" s="6" t="str">
        <f t="shared" si="867"/>
        <v>19001</v>
      </c>
      <c r="K3123" s="6">
        <f t="shared" si="868"/>
        <v>1900</v>
      </c>
      <c r="L3123" s="6">
        <f t="shared" si="869"/>
        <v>1</v>
      </c>
      <c r="R3123" s="6" t="str">
        <f t="shared" si="870"/>
        <v>19001</v>
      </c>
      <c r="S3123" s="6">
        <f t="shared" si="871"/>
        <v>1900</v>
      </c>
      <c r="T3123" s="6">
        <f t="shared" si="872"/>
        <v>1</v>
      </c>
      <c r="Z3123" s="6" t="str">
        <f t="shared" si="873"/>
        <v>19001</v>
      </c>
      <c r="AA3123" s="6">
        <f t="shared" si="874"/>
        <v>1900</v>
      </c>
      <c r="AB3123" s="6">
        <f t="shared" si="875"/>
        <v>1</v>
      </c>
      <c r="AH3123" s="6" t="str">
        <f t="shared" si="876"/>
        <v>19001</v>
      </c>
      <c r="AI3123" s="6">
        <f t="shared" si="877"/>
        <v>1900</v>
      </c>
      <c r="AJ3123" s="6">
        <f t="shared" si="878"/>
        <v>1</v>
      </c>
      <c r="AP3123" s="6" t="str">
        <f t="shared" si="879"/>
        <v>19001</v>
      </c>
      <c r="AQ3123" s="6">
        <f t="shared" si="880"/>
        <v>1900</v>
      </c>
      <c r="AR3123" s="6">
        <f t="shared" si="881"/>
        <v>1</v>
      </c>
    </row>
    <row r="3124" spans="2:44" x14ac:dyDescent="0.35">
      <c r="B3124" s="6" t="str">
        <f t="shared" si="864"/>
        <v>19001</v>
      </c>
      <c r="C3124" s="6">
        <f t="shared" si="865"/>
        <v>1900</v>
      </c>
      <c r="D3124" s="6">
        <f t="shared" si="866"/>
        <v>1</v>
      </c>
      <c r="J3124" s="6" t="str">
        <f t="shared" si="867"/>
        <v>19001</v>
      </c>
      <c r="K3124" s="6">
        <f t="shared" si="868"/>
        <v>1900</v>
      </c>
      <c r="L3124" s="6">
        <f t="shared" si="869"/>
        <v>1</v>
      </c>
      <c r="R3124" s="6" t="str">
        <f t="shared" si="870"/>
        <v>19001</v>
      </c>
      <c r="S3124" s="6">
        <f t="shared" si="871"/>
        <v>1900</v>
      </c>
      <c r="T3124" s="6">
        <f t="shared" si="872"/>
        <v>1</v>
      </c>
      <c r="Z3124" s="6" t="str">
        <f t="shared" si="873"/>
        <v>19001</v>
      </c>
      <c r="AA3124" s="6">
        <f t="shared" si="874"/>
        <v>1900</v>
      </c>
      <c r="AB3124" s="6">
        <f t="shared" si="875"/>
        <v>1</v>
      </c>
      <c r="AH3124" s="6" t="str">
        <f t="shared" si="876"/>
        <v>19001</v>
      </c>
      <c r="AI3124" s="6">
        <f t="shared" si="877"/>
        <v>1900</v>
      </c>
      <c r="AJ3124" s="6">
        <f t="shared" si="878"/>
        <v>1</v>
      </c>
      <c r="AP3124" s="6" t="str">
        <f t="shared" si="879"/>
        <v>19001</v>
      </c>
      <c r="AQ3124" s="6">
        <f t="shared" si="880"/>
        <v>1900</v>
      </c>
      <c r="AR3124" s="6">
        <f t="shared" si="881"/>
        <v>1</v>
      </c>
    </row>
    <row r="3125" spans="2:44" x14ac:dyDescent="0.35">
      <c r="B3125" s="6" t="str">
        <f t="shared" si="864"/>
        <v>19001</v>
      </c>
      <c r="C3125" s="6">
        <f t="shared" si="865"/>
        <v>1900</v>
      </c>
      <c r="D3125" s="6">
        <f t="shared" si="866"/>
        <v>1</v>
      </c>
      <c r="J3125" s="6" t="str">
        <f t="shared" si="867"/>
        <v>19001</v>
      </c>
      <c r="K3125" s="6">
        <f t="shared" si="868"/>
        <v>1900</v>
      </c>
      <c r="L3125" s="6">
        <f t="shared" si="869"/>
        <v>1</v>
      </c>
      <c r="R3125" s="6" t="str">
        <f t="shared" si="870"/>
        <v>19001</v>
      </c>
      <c r="S3125" s="6">
        <f t="shared" si="871"/>
        <v>1900</v>
      </c>
      <c r="T3125" s="6">
        <f t="shared" si="872"/>
        <v>1</v>
      </c>
      <c r="Z3125" s="6" t="str">
        <f t="shared" si="873"/>
        <v>19001</v>
      </c>
      <c r="AA3125" s="6">
        <f t="shared" si="874"/>
        <v>1900</v>
      </c>
      <c r="AB3125" s="6">
        <f t="shared" si="875"/>
        <v>1</v>
      </c>
      <c r="AH3125" s="6" t="str">
        <f t="shared" si="876"/>
        <v>19001</v>
      </c>
      <c r="AI3125" s="6">
        <f t="shared" si="877"/>
        <v>1900</v>
      </c>
      <c r="AJ3125" s="6">
        <f t="shared" si="878"/>
        <v>1</v>
      </c>
      <c r="AP3125" s="6" t="str">
        <f t="shared" si="879"/>
        <v>19001</v>
      </c>
      <c r="AQ3125" s="6">
        <f t="shared" si="880"/>
        <v>1900</v>
      </c>
      <c r="AR3125" s="6">
        <f t="shared" si="881"/>
        <v>1</v>
      </c>
    </row>
    <row r="3126" spans="2:44" x14ac:dyDescent="0.35">
      <c r="B3126" s="6" t="str">
        <f t="shared" si="864"/>
        <v>19001</v>
      </c>
      <c r="C3126" s="6">
        <f t="shared" si="865"/>
        <v>1900</v>
      </c>
      <c r="D3126" s="6">
        <f t="shared" si="866"/>
        <v>1</v>
      </c>
      <c r="J3126" s="6" t="str">
        <f t="shared" si="867"/>
        <v>19001</v>
      </c>
      <c r="K3126" s="6">
        <f t="shared" si="868"/>
        <v>1900</v>
      </c>
      <c r="L3126" s="6">
        <f t="shared" si="869"/>
        <v>1</v>
      </c>
      <c r="R3126" s="6" t="str">
        <f t="shared" si="870"/>
        <v>19001</v>
      </c>
      <c r="S3126" s="6">
        <f t="shared" si="871"/>
        <v>1900</v>
      </c>
      <c r="T3126" s="6">
        <f t="shared" si="872"/>
        <v>1</v>
      </c>
      <c r="Z3126" s="6" t="str">
        <f t="shared" si="873"/>
        <v>19001</v>
      </c>
      <c r="AA3126" s="6">
        <f t="shared" si="874"/>
        <v>1900</v>
      </c>
      <c r="AB3126" s="6">
        <f t="shared" si="875"/>
        <v>1</v>
      </c>
      <c r="AH3126" s="6" t="str">
        <f t="shared" si="876"/>
        <v>19001</v>
      </c>
      <c r="AI3126" s="6">
        <f t="shared" si="877"/>
        <v>1900</v>
      </c>
      <c r="AJ3126" s="6">
        <f t="shared" si="878"/>
        <v>1</v>
      </c>
      <c r="AP3126" s="6" t="str">
        <f t="shared" si="879"/>
        <v>19001</v>
      </c>
      <c r="AQ3126" s="6">
        <f t="shared" si="880"/>
        <v>1900</v>
      </c>
      <c r="AR3126" s="6">
        <f t="shared" si="881"/>
        <v>1</v>
      </c>
    </row>
    <row r="3127" spans="2:44" x14ac:dyDescent="0.35">
      <c r="B3127" s="6" t="str">
        <f t="shared" si="864"/>
        <v>19001</v>
      </c>
      <c r="C3127" s="6">
        <f t="shared" si="865"/>
        <v>1900</v>
      </c>
      <c r="D3127" s="6">
        <f t="shared" si="866"/>
        <v>1</v>
      </c>
      <c r="J3127" s="6" t="str">
        <f t="shared" si="867"/>
        <v>19001</v>
      </c>
      <c r="K3127" s="6">
        <f t="shared" si="868"/>
        <v>1900</v>
      </c>
      <c r="L3127" s="6">
        <f t="shared" si="869"/>
        <v>1</v>
      </c>
      <c r="R3127" s="6" t="str">
        <f t="shared" si="870"/>
        <v>19001</v>
      </c>
      <c r="S3127" s="6">
        <f t="shared" si="871"/>
        <v>1900</v>
      </c>
      <c r="T3127" s="6">
        <f t="shared" si="872"/>
        <v>1</v>
      </c>
      <c r="Z3127" s="6" t="str">
        <f t="shared" si="873"/>
        <v>19001</v>
      </c>
      <c r="AA3127" s="6">
        <f t="shared" si="874"/>
        <v>1900</v>
      </c>
      <c r="AB3127" s="6">
        <f t="shared" si="875"/>
        <v>1</v>
      </c>
      <c r="AH3127" s="6" t="str">
        <f t="shared" si="876"/>
        <v>19001</v>
      </c>
      <c r="AI3127" s="6">
        <f t="shared" si="877"/>
        <v>1900</v>
      </c>
      <c r="AJ3127" s="6">
        <f t="shared" si="878"/>
        <v>1</v>
      </c>
      <c r="AP3127" s="6" t="str">
        <f t="shared" si="879"/>
        <v>19001</v>
      </c>
      <c r="AQ3127" s="6">
        <f t="shared" si="880"/>
        <v>1900</v>
      </c>
      <c r="AR3127" s="6">
        <f t="shared" si="881"/>
        <v>1</v>
      </c>
    </row>
    <row r="3128" spans="2:44" x14ac:dyDescent="0.35">
      <c r="B3128" s="6" t="str">
        <f t="shared" si="864"/>
        <v>19001</v>
      </c>
      <c r="C3128" s="6">
        <f t="shared" si="865"/>
        <v>1900</v>
      </c>
      <c r="D3128" s="6">
        <f t="shared" si="866"/>
        <v>1</v>
      </c>
      <c r="J3128" s="6" t="str">
        <f t="shared" si="867"/>
        <v>19001</v>
      </c>
      <c r="K3128" s="6">
        <f t="shared" si="868"/>
        <v>1900</v>
      </c>
      <c r="L3128" s="6">
        <f t="shared" si="869"/>
        <v>1</v>
      </c>
      <c r="R3128" s="6" t="str">
        <f t="shared" si="870"/>
        <v>19001</v>
      </c>
      <c r="S3128" s="6">
        <f t="shared" si="871"/>
        <v>1900</v>
      </c>
      <c r="T3128" s="6">
        <f t="shared" si="872"/>
        <v>1</v>
      </c>
      <c r="Z3128" s="6" t="str">
        <f t="shared" si="873"/>
        <v>19001</v>
      </c>
      <c r="AA3128" s="6">
        <f t="shared" si="874"/>
        <v>1900</v>
      </c>
      <c r="AB3128" s="6">
        <f t="shared" si="875"/>
        <v>1</v>
      </c>
      <c r="AH3128" s="6" t="str">
        <f t="shared" si="876"/>
        <v>19001</v>
      </c>
      <c r="AI3128" s="6">
        <f t="shared" si="877"/>
        <v>1900</v>
      </c>
      <c r="AJ3128" s="6">
        <f t="shared" si="878"/>
        <v>1</v>
      </c>
      <c r="AP3128" s="6" t="str">
        <f t="shared" si="879"/>
        <v>19001</v>
      </c>
      <c r="AQ3128" s="6">
        <f t="shared" si="880"/>
        <v>1900</v>
      </c>
      <c r="AR3128" s="6">
        <f t="shared" si="881"/>
        <v>1</v>
      </c>
    </row>
    <row r="3129" spans="2:44" x14ac:dyDescent="0.35">
      <c r="B3129" s="6" t="str">
        <f t="shared" si="864"/>
        <v>19001</v>
      </c>
      <c r="C3129" s="6">
        <f t="shared" si="865"/>
        <v>1900</v>
      </c>
      <c r="D3129" s="6">
        <f t="shared" si="866"/>
        <v>1</v>
      </c>
      <c r="J3129" s="6" t="str">
        <f t="shared" si="867"/>
        <v>19001</v>
      </c>
      <c r="K3129" s="6">
        <f t="shared" si="868"/>
        <v>1900</v>
      </c>
      <c r="L3129" s="6">
        <f t="shared" si="869"/>
        <v>1</v>
      </c>
      <c r="R3129" s="6" t="str">
        <f t="shared" si="870"/>
        <v>19001</v>
      </c>
      <c r="S3129" s="6">
        <f t="shared" si="871"/>
        <v>1900</v>
      </c>
      <c r="T3129" s="6">
        <f t="shared" si="872"/>
        <v>1</v>
      </c>
      <c r="Z3129" s="6" t="str">
        <f t="shared" si="873"/>
        <v>19001</v>
      </c>
      <c r="AA3129" s="6">
        <f t="shared" si="874"/>
        <v>1900</v>
      </c>
      <c r="AB3129" s="6">
        <f t="shared" si="875"/>
        <v>1</v>
      </c>
      <c r="AH3129" s="6" t="str">
        <f t="shared" si="876"/>
        <v>19001</v>
      </c>
      <c r="AI3129" s="6">
        <f t="shared" si="877"/>
        <v>1900</v>
      </c>
      <c r="AJ3129" s="6">
        <f t="shared" si="878"/>
        <v>1</v>
      </c>
      <c r="AP3129" s="6" t="str">
        <f t="shared" si="879"/>
        <v>19001</v>
      </c>
      <c r="AQ3129" s="6">
        <f t="shared" si="880"/>
        <v>1900</v>
      </c>
      <c r="AR3129" s="6">
        <f t="shared" si="881"/>
        <v>1</v>
      </c>
    </row>
    <row r="3130" spans="2:44" x14ac:dyDescent="0.35">
      <c r="B3130" s="6" t="str">
        <f t="shared" si="864"/>
        <v>19001</v>
      </c>
      <c r="C3130" s="6">
        <f t="shared" si="865"/>
        <v>1900</v>
      </c>
      <c r="D3130" s="6">
        <f t="shared" si="866"/>
        <v>1</v>
      </c>
      <c r="J3130" s="6" t="str">
        <f t="shared" si="867"/>
        <v>19001</v>
      </c>
      <c r="K3130" s="6">
        <f t="shared" si="868"/>
        <v>1900</v>
      </c>
      <c r="L3130" s="6">
        <f t="shared" si="869"/>
        <v>1</v>
      </c>
      <c r="R3130" s="6" t="str">
        <f t="shared" si="870"/>
        <v>19001</v>
      </c>
      <c r="S3130" s="6">
        <f t="shared" si="871"/>
        <v>1900</v>
      </c>
      <c r="T3130" s="6">
        <f t="shared" si="872"/>
        <v>1</v>
      </c>
      <c r="Z3130" s="6" t="str">
        <f t="shared" si="873"/>
        <v>19001</v>
      </c>
      <c r="AA3130" s="6">
        <f t="shared" si="874"/>
        <v>1900</v>
      </c>
      <c r="AB3130" s="6">
        <f t="shared" si="875"/>
        <v>1</v>
      </c>
      <c r="AH3130" s="6" t="str">
        <f t="shared" si="876"/>
        <v>19001</v>
      </c>
      <c r="AI3130" s="6">
        <f t="shared" si="877"/>
        <v>1900</v>
      </c>
      <c r="AJ3130" s="6">
        <f t="shared" si="878"/>
        <v>1</v>
      </c>
      <c r="AP3130" s="6" t="str">
        <f t="shared" si="879"/>
        <v>19001</v>
      </c>
      <c r="AQ3130" s="6">
        <f t="shared" si="880"/>
        <v>1900</v>
      </c>
      <c r="AR3130" s="6">
        <f t="shared" si="881"/>
        <v>1</v>
      </c>
    </row>
    <row r="3131" spans="2:44" x14ac:dyDescent="0.35">
      <c r="B3131" s="6" t="str">
        <f t="shared" si="864"/>
        <v>19001</v>
      </c>
      <c r="C3131" s="6">
        <f t="shared" si="865"/>
        <v>1900</v>
      </c>
      <c r="D3131" s="6">
        <f t="shared" si="866"/>
        <v>1</v>
      </c>
      <c r="J3131" s="6" t="str">
        <f t="shared" si="867"/>
        <v>19001</v>
      </c>
      <c r="K3131" s="6">
        <f t="shared" si="868"/>
        <v>1900</v>
      </c>
      <c r="L3131" s="6">
        <f t="shared" si="869"/>
        <v>1</v>
      </c>
      <c r="R3131" s="6" t="str">
        <f t="shared" si="870"/>
        <v>19001</v>
      </c>
      <c r="S3131" s="6">
        <f t="shared" si="871"/>
        <v>1900</v>
      </c>
      <c r="T3131" s="6">
        <f t="shared" si="872"/>
        <v>1</v>
      </c>
      <c r="Z3131" s="6" t="str">
        <f t="shared" si="873"/>
        <v>19001</v>
      </c>
      <c r="AA3131" s="6">
        <f t="shared" si="874"/>
        <v>1900</v>
      </c>
      <c r="AB3131" s="6">
        <f t="shared" si="875"/>
        <v>1</v>
      </c>
      <c r="AH3131" s="6" t="str">
        <f t="shared" si="876"/>
        <v>19001</v>
      </c>
      <c r="AI3131" s="6">
        <f t="shared" si="877"/>
        <v>1900</v>
      </c>
      <c r="AJ3131" s="6">
        <f t="shared" si="878"/>
        <v>1</v>
      </c>
      <c r="AP3131" s="6" t="str">
        <f t="shared" si="879"/>
        <v>19001</v>
      </c>
      <c r="AQ3131" s="6">
        <f t="shared" si="880"/>
        <v>1900</v>
      </c>
      <c r="AR3131" s="6">
        <f t="shared" si="881"/>
        <v>1</v>
      </c>
    </row>
    <row r="3132" spans="2:44" x14ac:dyDescent="0.35">
      <c r="B3132" s="6" t="str">
        <f t="shared" si="864"/>
        <v>19001</v>
      </c>
      <c r="C3132" s="6">
        <f t="shared" si="865"/>
        <v>1900</v>
      </c>
      <c r="D3132" s="6">
        <f t="shared" si="866"/>
        <v>1</v>
      </c>
      <c r="J3132" s="6" t="str">
        <f t="shared" si="867"/>
        <v>19001</v>
      </c>
      <c r="K3132" s="6">
        <f t="shared" si="868"/>
        <v>1900</v>
      </c>
      <c r="L3132" s="6">
        <f t="shared" si="869"/>
        <v>1</v>
      </c>
      <c r="R3132" s="6" t="str">
        <f t="shared" si="870"/>
        <v>19001</v>
      </c>
      <c r="S3132" s="6">
        <f t="shared" si="871"/>
        <v>1900</v>
      </c>
      <c r="T3132" s="6">
        <f t="shared" si="872"/>
        <v>1</v>
      </c>
      <c r="Z3132" s="6" t="str">
        <f t="shared" si="873"/>
        <v>19001</v>
      </c>
      <c r="AA3132" s="6">
        <f t="shared" si="874"/>
        <v>1900</v>
      </c>
      <c r="AB3132" s="6">
        <f t="shared" si="875"/>
        <v>1</v>
      </c>
      <c r="AH3132" s="6" t="str">
        <f t="shared" si="876"/>
        <v>19001</v>
      </c>
      <c r="AI3132" s="6">
        <f t="shared" si="877"/>
        <v>1900</v>
      </c>
      <c r="AJ3132" s="6">
        <f t="shared" si="878"/>
        <v>1</v>
      </c>
      <c r="AP3132" s="6" t="str">
        <f t="shared" si="879"/>
        <v>19001</v>
      </c>
      <c r="AQ3132" s="6">
        <f t="shared" si="880"/>
        <v>1900</v>
      </c>
      <c r="AR3132" s="6">
        <f t="shared" si="881"/>
        <v>1</v>
      </c>
    </row>
    <row r="3133" spans="2:44" x14ac:dyDescent="0.35">
      <c r="B3133" s="6" t="str">
        <f t="shared" si="864"/>
        <v>19001</v>
      </c>
      <c r="C3133" s="6">
        <f t="shared" si="865"/>
        <v>1900</v>
      </c>
      <c r="D3133" s="6">
        <f t="shared" si="866"/>
        <v>1</v>
      </c>
      <c r="J3133" s="6" t="str">
        <f t="shared" si="867"/>
        <v>19001</v>
      </c>
      <c r="K3133" s="6">
        <f t="shared" si="868"/>
        <v>1900</v>
      </c>
      <c r="L3133" s="6">
        <f t="shared" si="869"/>
        <v>1</v>
      </c>
      <c r="R3133" s="6" t="str">
        <f t="shared" si="870"/>
        <v>19001</v>
      </c>
      <c r="S3133" s="6">
        <f t="shared" si="871"/>
        <v>1900</v>
      </c>
      <c r="T3133" s="6">
        <f t="shared" si="872"/>
        <v>1</v>
      </c>
      <c r="Z3133" s="6" t="str">
        <f t="shared" si="873"/>
        <v>19001</v>
      </c>
      <c r="AA3133" s="6">
        <f t="shared" si="874"/>
        <v>1900</v>
      </c>
      <c r="AB3133" s="6">
        <f t="shared" si="875"/>
        <v>1</v>
      </c>
      <c r="AH3133" s="6" t="str">
        <f t="shared" si="876"/>
        <v>19001</v>
      </c>
      <c r="AI3133" s="6">
        <f t="shared" si="877"/>
        <v>1900</v>
      </c>
      <c r="AJ3133" s="6">
        <f t="shared" si="878"/>
        <v>1</v>
      </c>
      <c r="AP3133" s="6" t="str">
        <f t="shared" si="879"/>
        <v>19001</v>
      </c>
      <c r="AQ3133" s="6">
        <f t="shared" si="880"/>
        <v>1900</v>
      </c>
      <c r="AR3133" s="6">
        <f t="shared" si="881"/>
        <v>1</v>
      </c>
    </row>
    <row r="3134" spans="2:44" x14ac:dyDescent="0.35">
      <c r="B3134" s="6" t="str">
        <f t="shared" si="864"/>
        <v>19001</v>
      </c>
      <c r="C3134" s="6">
        <f t="shared" si="865"/>
        <v>1900</v>
      </c>
      <c r="D3134" s="6">
        <f t="shared" si="866"/>
        <v>1</v>
      </c>
      <c r="J3134" s="6" t="str">
        <f t="shared" si="867"/>
        <v>19001</v>
      </c>
      <c r="K3134" s="6">
        <f t="shared" si="868"/>
        <v>1900</v>
      </c>
      <c r="L3134" s="6">
        <f t="shared" si="869"/>
        <v>1</v>
      </c>
      <c r="R3134" s="6" t="str">
        <f t="shared" si="870"/>
        <v>19001</v>
      </c>
      <c r="S3134" s="6">
        <f t="shared" si="871"/>
        <v>1900</v>
      </c>
      <c r="T3134" s="6">
        <f t="shared" si="872"/>
        <v>1</v>
      </c>
      <c r="Z3134" s="6" t="str">
        <f t="shared" si="873"/>
        <v>19001</v>
      </c>
      <c r="AA3134" s="6">
        <f t="shared" si="874"/>
        <v>1900</v>
      </c>
      <c r="AB3134" s="6">
        <f t="shared" si="875"/>
        <v>1</v>
      </c>
      <c r="AH3134" s="6" t="str">
        <f t="shared" si="876"/>
        <v>19001</v>
      </c>
      <c r="AI3134" s="6">
        <f t="shared" si="877"/>
        <v>1900</v>
      </c>
      <c r="AJ3134" s="6">
        <f t="shared" si="878"/>
        <v>1</v>
      </c>
      <c r="AP3134" s="6" t="str">
        <f t="shared" si="879"/>
        <v>19001</v>
      </c>
      <c r="AQ3134" s="6">
        <f t="shared" si="880"/>
        <v>1900</v>
      </c>
      <c r="AR3134" s="6">
        <f t="shared" si="881"/>
        <v>1</v>
      </c>
    </row>
    <row r="3135" spans="2:44" x14ac:dyDescent="0.35">
      <c r="B3135" s="6" t="str">
        <f t="shared" si="864"/>
        <v>19001</v>
      </c>
      <c r="C3135" s="6">
        <f t="shared" si="865"/>
        <v>1900</v>
      </c>
      <c r="D3135" s="6">
        <f t="shared" si="866"/>
        <v>1</v>
      </c>
      <c r="J3135" s="6" t="str">
        <f t="shared" si="867"/>
        <v>19001</v>
      </c>
      <c r="K3135" s="6">
        <f t="shared" si="868"/>
        <v>1900</v>
      </c>
      <c r="L3135" s="6">
        <f t="shared" si="869"/>
        <v>1</v>
      </c>
      <c r="R3135" s="6" t="str">
        <f t="shared" si="870"/>
        <v>19001</v>
      </c>
      <c r="S3135" s="6">
        <f t="shared" si="871"/>
        <v>1900</v>
      </c>
      <c r="T3135" s="6">
        <f t="shared" si="872"/>
        <v>1</v>
      </c>
      <c r="Z3135" s="6" t="str">
        <f t="shared" si="873"/>
        <v>19001</v>
      </c>
      <c r="AA3135" s="6">
        <f t="shared" si="874"/>
        <v>1900</v>
      </c>
      <c r="AB3135" s="6">
        <f t="shared" si="875"/>
        <v>1</v>
      </c>
      <c r="AH3135" s="6" t="str">
        <f t="shared" si="876"/>
        <v>19001</v>
      </c>
      <c r="AI3135" s="6">
        <f t="shared" si="877"/>
        <v>1900</v>
      </c>
      <c r="AJ3135" s="6">
        <f t="shared" si="878"/>
        <v>1</v>
      </c>
      <c r="AP3135" s="6" t="str">
        <f t="shared" si="879"/>
        <v>19001</v>
      </c>
      <c r="AQ3135" s="6">
        <f t="shared" si="880"/>
        <v>1900</v>
      </c>
      <c r="AR3135" s="6">
        <f t="shared" si="881"/>
        <v>1</v>
      </c>
    </row>
    <row r="3136" spans="2:44" x14ac:dyDescent="0.35">
      <c r="B3136" s="6" t="str">
        <f t="shared" si="864"/>
        <v>19001</v>
      </c>
      <c r="C3136" s="6">
        <f t="shared" si="865"/>
        <v>1900</v>
      </c>
      <c r="D3136" s="6">
        <f t="shared" si="866"/>
        <v>1</v>
      </c>
      <c r="J3136" s="6" t="str">
        <f t="shared" si="867"/>
        <v>19001</v>
      </c>
      <c r="K3136" s="6">
        <f t="shared" si="868"/>
        <v>1900</v>
      </c>
      <c r="L3136" s="6">
        <f t="shared" si="869"/>
        <v>1</v>
      </c>
      <c r="R3136" s="6" t="str">
        <f t="shared" si="870"/>
        <v>19001</v>
      </c>
      <c r="S3136" s="6">
        <f t="shared" si="871"/>
        <v>1900</v>
      </c>
      <c r="T3136" s="6">
        <f t="shared" si="872"/>
        <v>1</v>
      </c>
      <c r="Z3136" s="6" t="str">
        <f t="shared" si="873"/>
        <v>19001</v>
      </c>
      <c r="AA3136" s="6">
        <f t="shared" si="874"/>
        <v>1900</v>
      </c>
      <c r="AB3136" s="6">
        <f t="shared" si="875"/>
        <v>1</v>
      </c>
      <c r="AH3136" s="6" t="str">
        <f t="shared" si="876"/>
        <v>19001</v>
      </c>
      <c r="AI3136" s="6">
        <f t="shared" si="877"/>
        <v>1900</v>
      </c>
      <c r="AJ3136" s="6">
        <f t="shared" si="878"/>
        <v>1</v>
      </c>
      <c r="AP3136" s="6" t="str">
        <f t="shared" si="879"/>
        <v>19001</v>
      </c>
      <c r="AQ3136" s="6">
        <f t="shared" si="880"/>
        <v>1900</v>
      </c>
      <c r="AR3136" s="6">
        <f t="shared" si="881"/>
        <v>1</v>
      </c>
    </row>
    <row r="3137" spans="2:44" x14ac:dyDescent="0.35">
      <c r="B3137" s="6" t="str">
        <f t="shared" si="864"/>
        <v>19001</v>
      </c>
      <c r="C3137" s="6">
        <f t="shared" si="865"/>
        <v>1900</v>
      </c>
      <c r="D3137" s="6">
        <f t="shared" si="866"/>
        <v>1</v>
      </c>
      <c r="J3137" s="6" t="str">
        <f t="shared" si="867"/>
        <v>19001</v>
      </c>
      <c r="K3137" s="6">
        <f t="shared" si="868"/>
        <v>1900</v>
      </c>
      <c r="L3137" s="6">
        <f t="shared" si="869"/>
        <v>1</v>
      </c>
      <c r="R3137" s="6" t="str">
        <f t="shared" si="870"/>
        <v>19001</v>
      </c>
      <c r="S3137" s="6">
        <f t="shared" si="871"/>
        <v>1900</v>
      </c>
      <c r="T3137" s="6">
        <f t="shared" si="872"/>
        <v>1</v>
      </c>
      <c r="Z3137" s="6" t="str">
        <f t="shared" si="873"/>
        <v>19001</v>
      </c>
      <c r="AA3137" s="6">
        <f t="shared" si="874"/>
        <v>1900</v>
      </c>
      <c r="AB3137" s="6">
        <f t="shared" si="875"/>
        <v>1</v>
      </c>
      <c r="AH3137" s="6" t="str">
        <f t="shared" si="876"/>
        <v>19001</v>
      </c>
      <c r="AI3137" s="6">
        <f t="shared" si="877"/>
        <v>1900</v>
      </c>
      <c r="AJ3137" s="6">
        <f t="shared" si="878"/>
        <v>1</v>
      </c>
      <c r="AP3137" s="6" t="str">
        <f t="shared" si="879"/>
        <v>19001</v>
      </c>
      <c r="AQ3137" s="6">
        <f t="shared" si="880"/>
        <v>1900</v>
      </c>
      <c r="AR3137" s="6">
        <f t="shared" si="881"/>
        <v>1</v>
      </c>
    </row>
    <row r="3138" spans="2:44" x14ac:dyDescent="0.35">
      <c r="B3138" s="6" t="str">
        <f t="shared" si="864"/>
        <v>19001</v>
      </c>
      <c r="C3138" s="6">
        <f t="shared" si="865"/>
        <v>1900</v>
      </c>
      <c r="D3138" s="6">
        <f t="shared" si="866"/>
        <v>1</v>
      </c>
      <c r="J3138" s="6" t="str">
        <f t="shared" si="867"/>
        <v>19001</v>
      </c>
      <c r="K3138" s="6">
        <f t="shared" si="868"/>
        <v>1900</v>
      </c>
      <c r="L3138" s="6">
        <f t="shared" si="869"/>
        <v>1</v>
      </c>
      <c r="R3138" s="6" t="str">
        <f t="shared" si="870"/>
        <v>19001</v>
      </c>
      <c r="S3138" s="6">
        <f t="shared" si="871"/>
        <v>1900</v>
      </c>
      <c r="T3138" s="6">
        <f t="shared" si="872"/>
        <v>1</v>
      </c>
      <c r="Z3138" s="6" t="str">
        <f t="shared" si="873"/>
        <v>19001</v>
      </c>
      <c r="AA3138" s="6">
        <f t="shared" si="874"/>
        <v>1900</v>
      </c>
      <c r="AB3138" s="6">
        <f t="shared" si="875"/>
        <v>1</v>
      </c>
      <c r="AH3138" s="6" t="str">
        <f t="shared" si="876"/>
        <v>19001</v>
      </c>
      <c r="AI3138" s="6">
        <f t="shared" si="877"/>
        <v>1900</v>
      </c>
      <c r="AJ3138" s="6">
        <f t="shared" si="878"/>
        <v>1</v>
      </c>
      <c r="AP3138" s="6" t="str">
        <f t="shared" si="879"/>
        <v>19001</v>
      </c>
      <c r="AQ3138" s="6">
        <f t="shared" si="880"/>
        <v>1900</v>
      </c>
      <c r="AR3138" s="6">
        <f t="shared" si="881"/>
        <v>1</v>
      </c>
    </row>
    <row r="3139" spans="2:44" x14ac:dyDescent="0.35">
      <c r="B3139" s="6" t="str">
        <f t="shared" si="864"/>
        <v>19001</v>
      </c>
      <c r="C3139" s="6">
        <f t="shared" si="865"/>
        <v>1900</v>
      </c>
      <c r="D3139" s="6">
        <f t="shared" si="866"/>
        <v>1</v>
      </c>
      <c r="J3139" s="6" t="str">
        <f t="shared" si="867"/>
        <v>19001</v>
      </c>
      <c r="K3139" s="6">
        <f t="shared" si="868"/>
        <v>1900</v>
      </c>
      <c r="L3139" s="6">
        <f t="shared" si="869"/>
        <v>1</v>
      </c>
      <c r="R3139" s="6" t="str">
        <f t="shared" si="870"/>
        <v>19001</v>
      </c>
      <c r="S3139" s="6">
        <f t="shared" si="871"/>
        <v>1900</v>
      </c>
      <c r="T3139" s="6">
        <f t="shared" si="872"/>
        <v>1</v>
      </c>
      <c r="Z3139" s="6" t="str">
        <f t="shared" si="873"/>
        <v>19001</v>
      </c>
      <c r="AA3139" s="6">
        <f t="shared" si="874"/>
        <v>1900</v>
      </c>
      <c r="AB3139" s="6">
        <f t="shared" si="875"/>
        <v>1</v>
      </c>
      <c r="AH3139" s="6" t="str">
        <f t="shared" si="876"/>
        <v>19001</v>
      </c>
      <c r="AI3139" s="6">
        <f t="shared" si="877"/>
        <v>1900</v>
      </c>
      <c r="AJ3139" s="6">
        <f t="shared" si="878"/>
        <v>1</v>
      </c>
      <c r="AP3139" s="6" t="str">
        <f t="shared" si="879"/>
        <v>19001</v>
      </c>
      <c r="AQ3139" s="6">
        <f t="shared" si="880"/>
        <v>1900</v>
      </c>
      <c r="AR3139" s="6">
        <f t="shared" si="881"/>
        <v>1</v>
      </c>
    </row>
    <row r="3140" spans="2:44" x14ac:dyDescent="0.35">
      <c r="B3140" s="6" t="str">
        <f t="shared" si="864"/>
        <v>19001</v>
      </c>
      <c r="C3140" s="6">
        <f t="shared" si="865"/>
        <v>1900</v>
      </c>
      <c r="D3140" s="6">
        <f t="shared" si="866"/>
        <v>1</v>
      </c>
      <c r="J3140" s="6" t="str">
        <f t="shared" si="867"/>
        <v>19001</v>
      </c>
      <c r="K3140" s="6">
        <f t="shared" si="868"/>
        <v>1900</v>
      </c>
      <c r="L3140" s="6">
        <f t="shared" si="869"/>
        <v>1</v>
      </c>
      <c r="R3140" s="6" t="str">
        <f t="shared" si="870"/>
        <v>19001</v>
      </c>
      <c r="S3140" s="6">
        <f t="shared" si="871"/>
        <v>1900</v>
      </c>
      <c r="T3140" s="6">
        <f t="shared" si="872"/>
        <v>1</v>
      </c>
      <c r="Z3140" s="6" t="str">
        <f t="shared" si="873"/>
        <v>19001</v>
      </c>
      <c r="AA3140" s="6">
        <f t="shared" si="874"/>
        <v>1900</v>
      </c>
      <c r="AB3140" s="6">
        <f t="shared" si="875"/>
        <v>1</v>
      </c>
      <c r="AH3140" s="6" t="str">
        <f t="shared" si="876"/>
        <v>19001</v>
      </c>
      <c r="AI3140" s="6">
        <f t="shared" si="877"/>
        <v>1900</v>
      </c>
      <c r="AJ3140" s="6">
        <f t="shared" si="878"/>
        <v>1</v>
      </c>
      <c r="AP3140" s="6" t="str">
        <f t="shared" si="879"/>
        <v>19001</v>
      </c>
      <c r="AQ3140" s="6">
        <f t="shared" si="880"/>
        <v>1900</v>
      </c>
      <c r="AR3140" s="6">
        <f t="shared" si="881"/>
        <v>1</v>
      </c>
    </row>
    <row r="3141" spans="2:44" x14ac:dyDescent="0.35">
      <c r="B3141" s="6" t="str">
        <f t="shared" si="864"/>
        <v>19001</v>
      </c>
      <c r="C3141" s="6">
        <f t="shared" si="865"/>
        <v>1900</v>
      </c>
      <c r="D3141" s="6">
        <f t="shared" si="866"/>
        <v>1</v>
      </c>
      <c r="J3141" s="6" t="str">
        <f t="shared" si="867"/>
        <v>19001</v>
      </c>
      <c r="K3141" s="6">
        <f t="shared" si="868"/>
        <v>1900</v>
      </c>
      <c r="L3141" s="6">
        <f t="shared" si="869"/>
        <v>1</v>
      </c>
      <c r="R3141" s="6" t="str">
        <f t="shared" si="870"/>
        <v>19001</v>
      </c>
      <c r="S3141" s="6">
        <f t="shared" si="871"/>
        <v>1900</v>
      </c>
      <c r="T3141" s="6">
        <f t="shared" si="872"/>
        <v>1</v>
      </c>
      <c r="Z3141" s="6" t="str">
        <f t="shared" si="873"/>
        <v>19001</v>
      </c>
      <c r="AA3141" s="6">
        <f t="shared" si="874"/>
        <v>1900</v>
      </c>
      <c r="AB3141" s="6">
        <f t="shared" si="875"/>
        <v>1</v>
      </c>
      <c r="AH3141" s="6" t="str">
        <f t="shared" si="876"/>
        <v>19001</v>
      </c>
      <c r="AI3141" s="6">
        <f t="shared" si="877"/>
        <v>1900</v>
      </c>
      <c r="AJ3141" s="6">
        <f t="shared" si="878"/>
        <v>1</v>
      </c>
      <c r="AP3141" s="6" t="str">
        <f t="shared" si="879"/>
        <v>19001</v>
      </c>
      <c r="AQ3141" s="6">
        <f t="shared" si="880"/>
        <v>1900</v>
      </c>
      <c r="AR3141" s="6">
        <f t="shared" si="881"/>
        <v>1</v>
      </c>
    </row>
    <row r="3142" spans="2:44" x14ac:dyDescent="0.35">
      <c r="B3142" s="6" t="str">
        <f t="shared" si="864"/>
        <v>19001</v>
      </c>
      <c r="C3142" s="6">
        <f t="shared" si="865"/>
        <v>1900</v>
      </c>
      <c r="D3142" s="6">
        <f t="shared" si="866"/>
        <v>1</v>
      </c>
      <c r="J3142" s="6" t="str">
        <f t="shared" si="867"/>
        <v>19001</v>
      </c>
      <c r="K3142" s="6">
        <f t="shared" si="868"/>
        <v>1900</v>
      </c>
      <c r="L3142" s="6">
        <f t="shared" si="869"/>
        <v>1</v>
      </c>
      <c r="R3142" s="6" t="str">
        <f t="shared" si="870"/>
        <v>19001</v>
      </c>
      <c r="S3142" s="6">
        <f t="shared" si="871"/>
        <v>1900</v>
      </c>
      <c r="T3142" s="6">
        <f t="shared" si="872"/>
        <v>1</v>
      </c>
      <c r="Z3142" s="6" t="str">
        <f t="shared" si="873"/>
        <v>19001</v>
      </c>
      <c r="AA3142" s="6">
        <f t="shared" si="874"/>
        <v>1900</v>
      </c>
      <c r="AB3142" s="6">
        <f t="shared" si="875"/>
        <v>1</v>
      </c>
      <c r="AH3142" s="6" t="str">
        <f t="shared" si="876"/>
        <v>19001</v>
      </c>
      <c r="AI3142" s="6">
        <f t="shared" si="877"/>
        <v>1900</v>
      </c>
      <c r="AJ3142" s="6">
        <f t="shared" si="878"/>
        <v>1</v>
      </c>
      <c r="AP3142" s="6" t="str">
        <f t="shared" si="879"/>
        <v>19001</v>
      </c>
      <c r="AQ3142" s="6">
        <f t="shared" si="880"/>
        <v>1900</v>
      </c>
      <c r="AR3142" s="6">
        <f t="shared" si="881"/>
        <v>1</v>
      </c>
    </row>
    <row r="3143" spans="2:44" x14ac:dyDescent="0.35">
      <c r="B3143" s="6" t="str">
        <f t="shared" ref="B3143:B3206" si="882">C3143&amp;D3143</f>
        <v>19001</v>
      </c>
      <c r="C3143" s="6">
        <f t="shared" ref="C3143:C3182" si="883">YEAR(E3143)</f>
        <v>1900</v>
      </c>
      <c r="D3143" s="6">
        <f t="shared" ref="D3143:D3206" si="884">MONTH(E3143)</f>
        <v>1</v>
      </c>
      <c r="J3143" s="6" t="str">
        <f t="shared" ref="J3143:J3206" si="885">K3143&amp;L3143</f>
        <v>19001</v>
      </c>
      <c r="K3143" s="6">
        <f t="shared" ref="K3143:K3182" si="886">YEAR(M3143)</f>
        <v>1900</v>
      </c>
      <c r="L3143" s="6">
        <f t="shared" ref="L3143:L3206" si="887">MONTH(M3143)</f>
        <v>1</v>
      </c>
      <c r="R3143" s="6" t="str">
        <f t="shared" ref="R3143:R3206" si="888">S3143&amp;T3143</f>
        <v>19001</v>
      </c>
      <c r="S3143" s="6">
        <f t="shared" ref="S3143:S3182" si="889">YEAR(U3143)</f>
        <v>1900</v>
      </c>
      <c r="T3143" s="6">
        <f t="shared" ref="T3143:T3206" si="890">MONTH(U3143)</f>
        <v>1</v>
      </c>
      <c r="Z3143" s="6" t="str">
        <f t="shared" ref="Z3143:Z3206" si="891">AA3143&amp;AB3143</f>
        <v>19001</v>
      </c>
      <c r="AA3143" s="6">
        <f t="shared" ref="AA3143:AA3182" si="892">YEAR(AC3143)</f>
        <v>1900</v>
      </c>
      <c r="AB3143" s="6">
        <f t="shared" ref="AB3143:AB3206" si="893">MONTH(AC3143)</f>
        <v>1</v>
      </c>
      <c r="AH3143" s="6" t="str">
        <f t="shared" ref="AH3143:AH3206" si="894">AI3143&amp;AJ3143</f>
        <v>19001</v>
      </c>
      <c r="AI3143" s="6">
        <f t="shared" ref="AI3143:AI3182" si="895">YEAR(AK3143)</f>
        <v>1900</v>
      </c>
      <c r="AJ3143" s="6">
        <f t="shared" ref="AJ3143:AJ3206" si="896">MONTH(AK3143)</f>
        <v>1</v>
      </c>
      <c r="AP3143" s="6" t="str">
        <f t="shared" ref="AP3143:AP3206" si="897">AQ3143&amp;AR3143</f>
        <v>19001</v>
      </c>
      <c r="AQ3143" s="6">
        <f t="shared" ref="AQ3143:AQ3182" si="898">YEAR(AS3143)</f>
        <v>1900</v>
      </c>
      <c r="AR3143" s="6">
        <f t="shared" ref="AR3143:AR3206" si="899">MONTH(AS3143)</f>
        <v>1</v>
      </c>
    </row>
    <row r="3144" spans="2:44" x14ac:dyDescent="0.35">
      <c r="B3144" s="6" t="str">
        <f t="shared" si="882"/>
        <v>19001</v>
      </c>
      <c r="C3144" s="6">
        <f t="shared" si="883"/>
        <v>1900</v>
      </c>
      <c r="D3144" s="6">
        <f t="shared" si="884"/>
        <v>1</v>
      </c>
      <c r="J3144" s="6" t="str">
        <f t="shared" si="885"/>
        <v>19001</v>
      </c>
      <c r="K3144" s="6">
        <f t="shared" si="886"/>
        <v>1900</v>
      </c>
      <c r="L3144" s="6">
        <f t="shared" si="887"/>
        <v>1</v>
      </c>
      <c r="R3144" s="6" t="str">
        <f t="shared" si="888"/>
        <v>19001</v>
      </c>
      <c r="S3144" s="6">
        <f t="shared" si="889"/>
        <v>1900</v>
      </c>
      <c r="T3144" s="6">
        <f t="shared" si="890"/>
        <v>1</v>
      </c>
      <c r="Z3144" s="6" t="str">
        <f t="shared" si="891"/>
        <v>19001</v>
      </c>
      <c r="AA3144" s="6">
        <f t="shared" si="892"/>
        <v>1900</v>
      </c>
      <c r="AB3144" s="6">
        <f t="shared" si="893"/>
        <v>1</v>
      </c>
      <c r="AH3144" s="6" t="str">
        <f t="shared" si="894"/>
        <v>19001</v>
      </c>
      <c r="AI3144" s="6">
        <f t="shared" si="895"/>
        <v>1900</v>
      </c>
      <c r="AJ3144" s="6">
        <f t="shared" si="896"/>
        <v>1</v>
      </c>
      <c r="AP3144" s="6" t="str">
        <f t="shared" si="897"/>
        <v>19001</v>
      </c>
      <c r="AQ3144" s="6">
        <f t="shared" si="898"/>
        <v>1900</v>
      </c>
      <c r="AR3144" s="6">
        <f t="shared" si="899"/>
        <v>1</v>
      </c>
    </row>
    <row r="3145" spans="2:44" x14ac:dyDescent="0.35">
      <c r="B3145" s="6" t="str">
        <f t="shared" si="882"/>
        <v>19001</v>
      </c>
      <c r="C3145" s="6">
        <f t="shared" si="883"/>
        <v>1900</v>
      </c>
      <c r="D3145" s="6">
        <f t="shared" si="884"/>
        <v>1</v>
      </c>
      <c r="J3145" s="6" t="str">
        <f t="shared" si="885"/>
        <v>19001</v>
      </c>
      <c r="K3145" s="6">
        <f t="shared" si="886"/>
        <v>1900</v>
      </c>
      <c r="L3145" s="6">
        <f t="shared" si="887"/>
        <v>1</v>
      </c>
      <c r="R3145" s="6" t="str">
        <f t="shared" si="888"/>
        <v>19001</v>
      </c>
      <c r="S3145" s="6">
        <f t="shared" si="889"/>
        <v>1900</v>
      </c>
      <c r="T3145" s="6">
        <f t="shared" si="890"/>
        <v>1</v>
      </c>
      <c r="Z3145" s="6" t="str">
        <f t="shared" si="891"/>
        <v>19001</v>
      </c>
      <c r="AA3145" s="6">
        <f t="shared" si="892"/>
        <v>1900</v>
      </c>
      <c r="AB3145" s="6">
        <f t="shared" si="893"/>
        <v>1</v>
      </c>
      <c r="AH3145" s="6" t="str">
        <f t="shared" si="894"/>
        <v>19001</v>
      </c>
      <c r="AI3145" s="6">
        <f t="shared" si="895"/>
        <v>1900</v>
      </c>
      <c r="AJ3145" s="6">
        <f t="shared" si="896"/>
        <v>1</v>
      </c>
      <c r="AP3145" s="6" t="str">
        <f t="shared" si="897"/>
        <v>19001</v>
      </c>
      <c r="AQ3145" s="6">
        <f t="shared" si="898"/>
        <v>1900</v>
      </c>
      <c r="AR3145" s="6">
        <f t="shared" si="899"/>
        <v>1</v>
      </c>
    </row>
    <row r="3146" spans="2:44" x14ac:dyDescent="0.35">
      <c r="B3146" s="6" t="str">
        <f t="shared" si="882"/>
        <v>19001</v>
      </c>
      <c r="C3146" s="6">
        <f t="shared" si="883"/>
        <v>1900</v>
      </c>
      <c r="D3146" s="6">
        <f t="shared" si="884"/>
        <v>1</v>
      </c>
      <c r="J3146" s="6" t="str">
        <f t="shared" si="885"/>
        <v>19001</v>
      </c>
      <c r="K3146" s="6">
        <f t="shared" si="886"/>
        <v>1900</v>
      </c>
      <c r="L3146" s="6">
        <f t="shared" si="887"/>
        <v>1</v>
      </c>
      <c r="R3146" s="6" t="str">
        <f t="shared" si="888"/>
        <v>19001</v>
      </c>
      <c r="S3146" s="6">
        <f t="shared" si="889"/>
        <v>1900</v>
      </c>
      <c r="T3146" s="6">
        <f t="shared" si="890"/>
        <v>1</v>
      </c>
      <c r="Z3146" s="6" t="str">
        <f t="shared" si="891"/>
        <v>19001</v>
      </c>
      <c r="AA3146" s="6">
        <f t="shared" si="892"/>
        <v>1900</v>
      </c>
      <c r="AB3146" s="6">
        <f t="shared" si="893"/>
        <v>1</v>
      </c>
      <c r="AH3146" s="6" t="str">
        <f t="shared" si="894"/>
        <v>19001</v>
      </c>
      <c r="AI3146" s="6">
        <f t="shared" si="895"/>
        <v>1900</v>
      </c>
      <c r="AJ3146" s="6">
        <f t="shared" si="896"/>
        <v>1</v>
      </c>
      <c r="AP3146" s="6" t="str">
        <f t="shared" si="897"/>
        <v>19001</v>
      </c>
      <c r="AQ3146" s="6">
        <f t="shared" si="898"/>
        <v>1900</v>
      </c>
      <c r="AR3146" s="6">
        <f t="shared" si="899"/>
        <v>1</v>
      </c>
    </row>
    <row r="3147" spans="2:44" x14ac:dyDescent="0.35">
      <c r="B3147" s="6" t="str">
        <f t="shared" si="882"/>
        <v>19001</v>
      </c>
      <c r="C3147" s="6">
        <f t="shared" si="883"/>
        <v>1900</v>
      </c>
      <c r="D3147" s="6">
        <f t="shared" si="884"/>
        <v>1</v>
      </c>
      <c r="J3147" s="6" t="str">
        <f t="shared" si="885"/>
        <v>19001</v>
      </c>
      <c r="K3147" s="6">
        <f t="shared" si="886"/>
        <v>1900</v>
      </c>
      <c r="L3147" s="6">
        <f t="shared" si="887"/>
        <v>1</v>
      </c>
      <c r="R3147" s="6" t="str">
        <f t="shared" si="888"/>
        <v>19001</v>
      </c>
      <c r="S3147" s="6">
        <f t="shared" si="889"/>
        <v>1900</v>
      </c>
      <c r="T3147" s="6">
        <f t="shared" si="890"/>
        <v>1</v>
      </c>
      <c r="Z3147" s="6" t="str">
        <f t="shared" si="891"/>
        <v>19001</v>
      </c>
      <c r="AA3147" s="6">
        <f t="shared" si="892"/>
        <v>1900</v>
      </c>
      <c r="AB3147" s="6">
        <f t="shared" si="893"/>
        <v>1</v>
      </c>
      <c r="AH3147" s="6" t="str">
        <f t="shared" si="894"/>
        <v>19001</v>
      </c>
      <c r="AI3147" s="6">
        <f t="shared" si="895"/>
        <v>1900</v>
      </c>
      <c r="AJ3147" s="6">
        <f t="shared" si="896"/>
        <v>1</v>
      </c>
      <c r="AP3147" s="6" t="str">
        <f t="shared" si="897"/>
        <v>19001</v>
      </c>
      <c r="AQ3147" s="6">
        <f t="shared" si="898"/>
        <v>1900</v>
      </c>
      <c r="AR3147" s="6">
        <f t="shared" si="899"/>
        <v>1</v>
      </c>
    </row>
    <row r="3148" spans="2:44" x14ac:dyDescent="0.35">
      <c r="B3148" s="6" t="str">
        <f t="shared" si="882"/>
        <v>19001</v>
      </c>
      <c r="C3148" s="6">
        <f t="shared" si="883"/>
        <v>1900</v>
      </c>
      <c r="D3148" s="6">
        <f t="shared" si="884"/>
        <v>1</v>
      </c>
      <c r="J3148" s="6" t="str">
        <f t="shared" si="885"/>
        <v>19001</v>
      </c>
      <c r="K3148" s="6">
        <f t="shared" si="886"/>
        <v>1900</v>
      </c>
      <c r="L3148" s="6">
        <f t="shared" si="887"/>
        <v>1</v>
      </c>
      <c r="R3148" s="6" t="str">
        <f t="shared" si="888"/>
        <v>19001</v>
      </c>
      <c r="S3148" s="6">
        <f t="shared" si="889"/>
        <v>1900</v>
      </c>
      <c r="T3148" s="6">
        <f t="shared" si="890"/>
        <v>1</v>
      </c>
      <c r="Z3148" s="6" t="str">
        <f t="shared" si="891"/>
        <v>19001</v>
      </c>
      <c r="AA3148" s="6">
        <f t="shared" si="892"/>
        <v>1900</v>
      </c>
      <c r="AB3148" s="6">
        <f t="shared" si="893"/>
        <v>1</v>
      </c>
      <c r="AH3148" s="6" t="str">
        <f t="shared" si="894"/>
        <v>19001</v>
      </c>
      <c r="AI3148" s="6">
        <f t="shared" si="895"/>
        <v>1900</v>
      </c>
      <c r="AJ3148" s="6">
        <f t="shared" si="896"/>
        <v>1</v>
      </c>
      <c r="AP3148" s="6" t="str">
        <f t="shared" si="897"/>
        <v>19001</v>
      </c>
      <c r="AQ3148" s="6">
        <f t="shared" si="898"/>
        <v>1900</v>
      </c>
      <c r="AR3148" s="6">
        <f t="shared" si="899"/>
        <v>1</v>
      </c>
    </row>
    <row r="3149" spans="2:44" x14ac:dyDescent="0.35">
      <c r="B3149" s="6" t="str">
        <f t="shared" si="882"/>
        <v>19001</v>
      </c>
      <c r="C3149" s="6">
        <f t="shared" si="883"/>
        <v>1900</v>
      </c>
      <c r="D3149" s="6">
        <f t="shared" si="884"/>
        <v>1</v>
      </c>
      <c r="J3149" s="6" t="str">
        <f t="shared" si="885"/>
        <v>19001</v>
      </c>
      <c r="K3149" s="6">
        <f t="shared" si="886"/>
        <v>1900</v>
      </c>
      <c r="L3149" s="6">
        <f t="shared" si="887"/>
        <v>1</v>
      </c>
      <c r="R3149" s="6" t="str">
        <f t="shared" si="888"/>
        <v>19001</v>
      </c>
      <c r="S3149" s="6">
        <f t="shared" si="889"/>
        <v>1900</v>
      </c>
      <c r="T3149" s="6">
        <f t="shared" si="890"/>
        <v>1</v>
      </c>
      <c r="Z3149" s="6" t="str">
        <f t="shared" si="891"/>
        <v>19001</v>
      </c>
      <c r="AA3149" s="6">
        <f t="shared" si="892"/>
        <v>1900</v>
      </c>
      <c r="AB3149" s="6">
        <f t="shared" si="893"/>
        <v>1</v>
      </c>
      <c r="AH3149" s="6" t="str">
        <f t="shared" si="894"/>
        <v>19001</v>
      </c>
      <c r="AI3149" s="6">
        <f t="shared" si="895"/>
        <v>1900</v>
      </c>
      <c r="AJ3149" s="6">
        <f t="shared" si="896"/>
        <v>1</v>
      </c>
      <c r="AP3149" s="6" t="str">
        <f t="shared" si="897"/>
        <v>19001</v>
      </c>
      <c r="AQ3149" s="6">
        <f t="shared" si="898"/>
        <v>1900</v>
      </c>
      <c r="AR3149" s="6">
        <f t="shared" si="899"/>
        <v>1</v>
      </c>
    </row>
    <row r="3150" spans="2:44" x14ac:dyDescent="0.35">
      <c r="B3150" s="6" t="str">
        <f t="shared" si="882"/>
        <v>19001</v>
      </c>
      <c r="C3150" s="6">
        <f t="shared" si="883"/>
        <v>1900</v>
      </c>
      <c r="D3150" s="6">
        <f t="shared" si="884"/>
        <v>1</v>
      </c>
      <c r="J3150" s="6" t="str">
        <f t="shared" si="885"/>
        <v>19001</v>
      </c>
      <c r="K3150" s="6">
        <f t="shared" si="886"/>
        <v>1900</v>
      </c>
      <c r="L3150" s="6">
        <f t="shared" si="887"/>
        <v>1</v>
      </c>
      <c r="R3150" s="6" t="str">
        <f t="shared" si="888"/>
        <v>19001</v>
      </c>
      <c r="S3150" s="6">
        <f t="shared" si="889"/>
        <v>1900</v>
      </c>
      <c r="T3150" s="6">
        <f t="shared" si="890"/>
        <v>1</v>
      </c>
      <c r="Z3150" s="6" t="str">
        <f t="shared" si="891"/>
        <v>19001</v>
      </c>
      <c r="AA3150" s="6">
        <f t="shared" si="892"/>
        <v>1900</v>
      </c>
      <c r="AB3150" s="6">
        <f t="shared" si="893"/>
        <v>1</v>
      </c>
      <c r="AH3150" s="6" t="str">
        <f t="shared" si="894"/>
        <v>19001</v>
      </c>
      <c r="AI3150" s="6">
        <f t="shared" si="895"/>
        <v>1900</v>
      </c>
      <c r="AJ3150" s="6">
        <f t="shared" si="896"/>
        <v>1</v>
      </c>
      <c r="AP3150" s="6" t="str">
        <f t="shared" si="897"/>
        <v>19001</v>
      </c>
      <c r="AQ3150" s="6">
        <f t="shared" si="898"/>
        <v>1900</v>
      </c>
      <c r="AR3150" s="6">
        <f t="shared" si="899"/>
        <v>1</v>
      </c>
    </row>
    <row r="3151" spans="2:44" x14ac:dyDescent="0.35">
      <c r="B3151" s="6" t="str">
        <f t="shared" si="882"/>
        <v>19001</v>
      </c>
      <c r="C3151" s="6">
        <f t="shared" si="883"/>
        <v>1900</v>
      </c>
      <c r="D3151" s="6">
        <f t="shared" si="884"/>
        <v>1</v>
      </c>
      <c r="J3151" s="6" t="str">
        <f t="shared" si="885"/>
        <v>19001</v>
      </c>
      <c r="K3151" s="6">
        <f t="shared" si="886"/>
        <v>1900</v>
      </c>
      <c r="L3151" s="6">
        <f t="shared" si="887"/>
        <v>1</v>
      </c>
      <c r="R3151" s="6" t="str">
        <f t="shared" si="888"/>
        <v>19001</v>
      </c>
      <c r="S3151" s="6">
        <f t="shared" si="889"/>
        <v>1900</v>
      </c>
      <c r="T3151" s="6">
        <f t="shared" si="890"/>
        <v>1</v>
      </c>
      <c r="Z3151" s="6" t="str">
        <f t="shared" si="891"/>
        <v>19001</v>
      </c>
      <c r="AA3151" s="6">
        <f t="shared" si="892"/>
        <v>1900</v>
      </c>
      <c r="AB3151" s="6">
        <f t="shared" si="893"/>
        <v>1</v>
      </c>
      <c r="AH3151" s="6" t="str">
        <f t="shared" si="894"/>
        <v>19001</v>
      </c>
      <c r="AI3151" s="6">
        <f t="shared" si="895"/>
        <v>1900</v>
      </c>
      <c r="AJ3151" s="6">
        <f t="shared" si="896"/>
        <v>1</v>
      </c>
      <c r="AP3151" s="6" t="str">
        <f t="shared" si="897"/>
        <v>19001</v>
      </c>
      <c r="AQ3151" s="6">
        <f t="shared" si="898"/>
        <v>1900</v>
      </c>
      <c r="AR3151" s="6">
        <f t="shared" si="899"/>
        <v>1</v>
      </c>
    </row>
    <row r="3152" spans="2:44" x14ac:dyDescent="0.35">
      <c r="B3152" s="6" t="str">
        <f t="shared" si="882"/>
        <v>19001</v>
      </c>
      <c r="C3152" s="6">
        <f t="shared" si="883"/>
        <v>1900</v>
      </c>
      <c r="D3152" s="6">
        <f t="shared" si="884"/>
        <v>1</v>
      </c>
      <c r="J3152" s="6" t="str">
        <f t="shared" si="885"/>
        <v>19001</v>
      </c>
      <c r="K3152" s="6">
        <f t="shared" si="886"/>
        <v>1900</v>
      </c>
      <c r="L3152" s="6">
        <f t="shared" si="887"/>
        <v>1</v>
      </c>
      <c r="R3152" s="6" t="str">
        <f t="shared" si="888"/>
        <v>19001</v>
      </c>
      <c r="S3152" s="6">
        <f t="shared" si="889"/>
        <v>1900</v>
      </c>
      <c r="T3152" s="6">
        <f t="shared" si="890"/>
        <v>1</v>
      </c>
      <c r="Z3152" s="6" t="str">
        <f t="shared" si="891"/>
        <v>19001</v>
      </c>
      <c r="AA3152" s="6">
        <f t="shared" si="892"/>
        <v>1900</v>
      </c>
      <c r="AB3152" s="6">
        <f t="shared" si="893"/>
        <v>1</v>
      </c>
      <c r="AH3152" s="6" t="str">
        <f t="shared" si="894"/>
        <v>19001</v>
      </c>
      <c r="AI3152" s="6">
        <f t="shared" si="895"/>
        <v>1900</v>
      </c>
      <c r="AJ3152" s="6">
        <f t="shared" si="896"/>
        <v>1</v>
      </c>
      <c r="AP3152" s="6" t="str">
        <f t="shared" si="897"/>
        <v>19001</v>
      </c>
      <c r="AQ3152" s="6">
        <f t="shared" si="898"/>
        <v>1900</v>
      </c>
      <c r="AR3152" s="6">
        <f t="shared" si="899"/>
        <v>1</v>
      </c>
    </row>
    <row r="3153" spans="2:44" x14ac:dyDescent="0.35">
      <c r="B3153" s="6" t="str">
        <f t="shared" si="882"/>
        <v>19001</v>
      </c>
      <c r="C3153" s="6">
        <f t="shared" si="883"/>
        <v>1900</v>
      </c>
      <c r="D3153" s="6">
        <f t="shared" si="884"/>
        <v>1</v>
      </c>
      <c r="J3153" s="6" t="str">
        <f t="shared" si="885"/>
        <v>19001</v>
      </c>
      <c r="K3153" s="6">
        <f t="shared" si="886"/>
        <v>1900</v>
      </c>
      <c r="L3153" s="6">
        <f t="shared" si="887"/>
        <v>1</v>
      </c>
      <c r="R3153" s="6" t="str">
        <f t="shared" si="888"/>
        <v>19001</v>
      </c>
      <c r="S3153" s="6">
        <f t="shared" si="889"/>
        <v>1900</v>
      </c>
      <c r="T3153" s="6">
        <f t="shared" si="890"/>
        <v>1</v>
      </c>
      <c r="Z3153" s="6" t="str">
        <f t="shared" si="891"/>
        <v>19001</v>
      </c>
      <c r="AA3153" s="6">
        <f t="shared" si="892"/>
        <v>1900</v>
      </c>
      <c r="AB3153" s="6">
        <f t="shared" si="893"/>
        <v>1</v>
      </c>
      <c r="AH3153" s="6" t="str">
        <f t="shared" si="894"/>
        <v>19001</v>
      </c>
      <c r="AI3153" s="6">
        <f t="shared" si="895"/>
        <v>1900</v>
      </c>
      <c r="AJ3153" s="6">
        <f t="shared" si="896"/>
        <v>1</v>
      </c>
      <c r="AP3153" s="6" t="str">
        <f t="shared" si="897"/>
        <v>19001</v>
      </c>
      <c r="AQ3153" s="6">
        <f t="shared" si="898"/>
        <v>1900</v>
      </c>
      <c r="AR3153" s="6">
        <f t="shared" si="899"/>
        <v>1</v>
      </c>
    </row>
    <row r="3154" spans="2:44" x14ac:dyDescent="0.35">
      <c r="B3154" s="6" t="str">
        <f t="shared" si="882"/>
        <v>19001</v>
      </c>
      <c r="C3154" s="6">
        <f t="shared" si="883"/>
        <v>1900</v>
      </c>
      <c r="D3154" s="6">
        <f t="shared" si="884"/>
        <v>1</v>
      </c>
      <c r="J3154" s="6" t="str">
        <f t="shared" si="885"/>
        <v>19001</v>
      </c>
      <c r="K3154" s="6">
        <f t="shared" si="886"/>
        <v>1900</v>
      </c>
      <c r="L3154" s="6">
        <f t="shared" si="887"/>
        <v>1</v>
      </c>
      <c r="R3154" s="6" t="str">
        <f t="shared" si="888"/>
        <v>19001</v>
      </c>
      <c r="S3154" s="6">
        <f t="shared" si="889"/>
        <v>1900</v>
      </c>
      <c r="T3154" s="6">
        <f t="shared" si="890"/>
        <v>1</v>
      </c>
      <c r="Z3154" s="6" t="str">
        <f t="shared" si="891"/>
        <v>19001</v>
      </c>
      <c r="AA3154" s="6">
        <f t="shared" si="892"/>
        <v>1900</v>
      </c>
      <c r="AB3154" s="6">
        <f t="shared" si="893"/>
        <v>1</v>
      </c>
      <c r="AH3154" s="6" t="str">
        <f t="shared" si="894"/>
        <v>19001</v>
      </c>
      <c r="AI3154" s="6">
        <f t="shared" si="895"/>
        <v>1900</v>
      </c>
      <c r="AJ3154" s="6">
        <f t="shared" si="896"/>
        <v>1</v>
      </c>
      <c r="AP3154" s="6" t="str">
        <f t="shared" si="897"/>
        <v>19001</v>
      </c>
      <c r="AQ3154" s="6">
        <f t="shared" si="898"/>
        <v>1900</v>
      </c>
      <c r="AR3154" s="6">
        <f t="shared" si="899"/>
        <v>1</v>
      </c>
    </row>
    <row r="3155" spans="2:44" x14ac:dyDescent="0.35">
      <c r="B3155" s="6" t="str">
        <f t="shared" si="882"/>
        <v>19001</v>
      </c>
      <c r="C3155" s="6">
        <f t="shared" si="883"/>
        <v>1900</v>
      </c>
      <c r="D3155" s="6">
        <f t="shared" si="884"/>
        <v>1</v>
      </c>
      <c r="J3155" s="6" t="str">
        <f t="shared" si="885"/>
        <v>19001</v>
      </c>
      <c r="K3155" s="6">
        <f t="shared" si="886"/>
        <v>1900</v>
      </c>
      <c r="L3155" s="6">
        <f t="shared" si="887"/>
        <v>1</v>
      </c>
      <c r="R3155" s="6" t="str">
        <f t="shared" si="888"/>
        <v>19001</v>
      </c>
      <c r="S3155" s="6">
        <f t="shared" si="889"/>
        <v>1900</v>
      </c>
      <c r="T3155" s="6">
        <f t="shared" si="890"/>
        <v>1</v>
      </c>
      <c r="Z3155" s="6" t="str">
        <f t="shared" si="891"/>
        <v>19001</v>
      </c>
      <c r="AA3155" s="6">
        <f t="shared" si="892"/>
        <v>1900</v>
      </c>
      <c r="AB3155" s="6">
        <f t="shared" si="893"/>
        <v>1</v>
      </c>
      <c r="AH3155" s="6" t="str">
        <f t="shared" si="894"/>
        <v>19001</v>
      </c>
      <c r="AI3155" s="6">
        <f t="shared" si="895"/>
        <v>1900</v>
      </c>
      <c r="AJ3155" s="6">
        <f t="shared" si="896"/>
        <v>1</v>
      </c>
      <c r="AP3155" s="6" t="str">
        <f t="shared" si="897"/>
        <v>19001</v>
      </c>
      <c r="AQ3155" s="6">
        <f t="shared" si="898"/>
        <v>1900</v>
      </c>
      <c r="AR3155" s="6">
        <f t="shared" si="899"/>
        <v>1</v>
      </c>
    </row>
    <row r="3156" spans="2:44" x14ac:dyDescent="0.35">
      <c r="B3156" s="6" t="str">
        <f t="shared" si="882"/>
        <v>19001</v>
      </c>
      <c r="C3156" s="6">
        <f t="shared" si="883"/>
        <v>1900</v>
      </c>
      <c r="D3156" s="6">
        <f t="shared" si="884"/>
        <v>1</v>
      </c>
      <c r="J3156" s="6" t="str">
        <f t="shared" si="885"/>
        <v>19001</v>
      </c>
      <c r="K3156" s="6">
        <f t="shared" si="886"/>
        <v>1900</v>
      </c>
      <c r="L3156" s="6">
        <f t="shared" si="887"/>
        <v>1</v>
      </c>
      <c r="R3156" s="6" t="str">
        <f t="shared" si="888"/>
        <v>19001</v>
      </c>
      <c r="S3156" s="6">
        <f t="shared" si="889"/>
        <v>1900</v>
      </c>
      <c r="T3156" s="6">
        <f t="shared" si="890"/>
        <v>1</v>
      </c>
      <c r="Z3156" s="6" t="str">
        <f t="shared" si="891"/>
        <v>19001</v>
      </c>
      <c r="AA3156" s="6">
        <f t="shared" si="892"/>
        <v>1900</v>
      </c>
      <c r="AB3156" s="6">
        <f t="shared" si="893"/>
        <v>1</v>
      </c>
      <c r="AH3156" s="6" t="str">
        <f t="shared" si="894"/>
        <v>19001</v>
      </c>
      <c r="AI3156" s="6">
        <f t="shared" si="895"/>
        <v>1900</v>
      </c>
      <c r="AJ3156" s="6">
        <f t="shared" si="896"/>
        <v>1</v>
      </c>
      <c r="AP3156" s="6" t="str">
        <f t="shared" si="897"/>
        <v>19001</v>
      </c>
      <c r="AQ3156" s="6">
        <f t="shared" si="898"/>
        <v>1900</v>
      </c>
      <c r="AR3156" s="6">
        <f t="shared" si="899"/>
        <v>1</v>
      </c>
    </row>
    <row r="3157" spans="2:44" x14ac:dyDescent="0.35">
      <c r="B3157" s="6" t="str">
        <f t="shared" si="882"/>
        <v>19001</v>
      </c>
      <c r="C3157" s="6">
        <f t="shared" si="883"/>
        <v>1900</v>
      </c>
      <c r="D3157" s="6">
        <f t="shared" si="884"/>
        <v>1</v>
      </c>
      <c r="J3157" s="6" t="str">
        <f t="shared" si="885"/>
        <v>19001</v>
      </c>
      <c r="K3157" s="6">
        <f t="shared" si="886"/>
        <v>1900</v>
      </c>
      <c r="L3157" s="6">
        <f t="shared" si="887"/>
        <v>1</v>
      </c>
      <c r="R3157" s="6" t="str">
        <f t="shared" si="888"/>
        <v>19001</v>
      </c>
      <c r="S3157" s="6">
        <f t="shared" si="889"/>
        <v>1900</v>
      </c>
      <c r="T3157" s="6">
        <f t="shared" si="890"/>
        <v>1</v>
      </c>
      <c r="Z3157" s="6" t="str">
        <f t="shared" si="891"/>
        <v>19001</v>
      </c>
      <c r="AA3157" s="6">
        <f t="shared" si="892"/>
        <v>1900</v>
      </c>
      <c r="AB3157" s="6">
        <f t="shared" si="893"/>
        <v>1</v>
      </c>
      <c r="AH3157" s="6" t="str">
        <f t="shared" si="894"/>
        <v>19001</v>
      </c>
      <c r="AI3157" s="6">
        <f t="shared" si="895"/>
        <v>1900</v>
      </c>
      <c r="AJ3157" s="6">
        <f t="shared" si="896"/>
        <v>1</v>
      </c>
      <c r="AP3157" s="6" t="str">
        <f t="shared" si="897"/>
        <v>19001</v>
      </c>
      <c r="AQ3157" s="6">
        <f t="shared" si="898"/>
        <v>1900</v>
      </c>
      <c r="AR3157" s="6">
        <f t="shared" si="899"/>
        <v>1</v>
      </c>
    </row>
    <row r="3158" spans="2:44" x14ac:dyDescent="0.35">
      <c r="B3158" s="6" t="str">
        <f t="shared" si="882"/>
        <v>19001</v>
      </c>
      <c r="C3158" s="6">
        <f t="shared" si="883"/>
        <v>1900</v>
      </c>
      <c r="D3158" s="6">
        <f t="shared" si="884"/>
        <v>1</v>
      </c>
      <c r="J3158" s="6" t="str">
        <f t="shared" si="885"/>
        <v>19001</v>
      </c>
      <c r="K3158" s="6">
        <f t="shared" si="886"/>
        <v>1900</v>
      </c>
      <c r="L3158" s="6">
        <f t="shared" si="887"/>
        <v>1</v>
      </c>
      <c r="R3158" s="6" t="str">
        <f t="shared" si="888"/>
        <v>19001</v>
      </c>
      <c r="S3158" s="6">
        <f t="shared" si="889"/>
        <v>1900</v>
      </c>
      <c r="T3158" s="6">
        <f t="shared" si="890"/>
        <v>1</v>
      </c>
      <c r="Z3158" s="6" t="str">
        <f t="shared" si="891"/>
        <v>19001</v>
      </c>
      <c r="AA3158" s="6">
        <f t="shared" si="892"/>
        <v>1900</v>
      </c>
      <c r="AB3158" s="6">
        <f t="shared" si="893"/>
        <v>1</v>
      </c>
      <c r="AH3158" s="6" t="str">
        <f t="shared" si="894"/>
        <v>19001</v>
      </c>
      <c r="AI3158" s="6">
        <f t="shared" si="895"/>
        <v>1900</v>
      </c>
      <c r="AJ3158" s="6">
        <f t="shared" si="896"/>
        <v>1</v>
      </c>
      <c r="AP3158" s="6" t="str">
        <f t="shared" si="897"/>
        <v>19001</v>
      </c>
      <c r="AQ3158" s="6">
        <f t="shared" si="898"/>
        <v>1900</v>
      </c>
      <c r="AR3158" s="6">
        <f t="shared" si="899"/>
        <v>1</v>
      </c>
    </row>
    <row r="3159" spans="2:44" x14ac:dyDescent="0.35">
      <c r="B3159" s="6" t="str">
        <f t="shared" si="882"/>
        <v>19001</v>
      </c>
      <c r="C3159" s="6">
        <f t="shared" si="883"/>
        <v>1900</v>
      </c>
      <c r="D3159" s="6">
        <f t="shared" si="884"/>
        <v>1</v>
      </c>
      <c r="J3159" s="6" t="str">
        <f t="shared" si="885"/>
        <v>19001</v>
      </c>
      <c r="K3159" s="6">
        <f t="shared" si="886"/>
        <v>1900</v>
      </c>
      <c r="L3159" s="6">
        <f t="shared" si="887"/>
        <v>1</v>
      </c>
      <c r="R3159" s="6" t="str">
        <f t="shared" si="888"/>
        <v>19001</v>
      </c>
      <c r="S3159" s="6">
        <f t="shared" si="889"/>
        <v>1900</v>
      </c>
      <c r="T3159" s="6">
        <f t="shared" si="890"/>
        <v>1</v>
      </c>
      <c r="Z3159" s="6" t="str">
        <f t="shared" si="891"/>
        <v>19001</v>
      </c>
      <c r="AA3159" s="6">
        <f t="shared" si="892"/>
        <v>1900</v>
      </c>
      <c r="AB3159" s="6">
        <f t="shared" si="893"/>
        <v>1</v>
      </c>
      <c r="AH3159" s="6" t="str">
        <f t="shared" si="894"/>
        <v>19001</v>
      </c>
      <c r="AI3159" s="6">
        <f t="shared" si="895"/>
        <v>1900</v>
      </c>
      <c r="AJ3159" s="6">
        <f t="shared" si="896"/>
        <v>1</v>
      </c>
      <c r="AP3159" s="6" t="str">
        <f t="shared" si="897"/>
        <v>19001</v>
      </c>
      <c r="AQ3159" s="6">
        <f t="shared" si="898"/>
        <v>1900</v>
      </c>
      <c r="AR3159" s="6">
        <f t="shared" si="899"/>
        <v>1</v>
      </c>
    </row>
    <row r="3160" spans="2:44" x14ac:dyDescent="0.35">
      <c r="B3160" s="6" t="str">
        <f t="shared" si="882"/>
        <v>19001</v>
      </c>
      <c r="C3160" s="6">
        <f t="shared" si="883"/>
        <v>1900</v>
      </c>
      <c r="D3160" s="6">
        <f t="shared" si="884"/>
        <v>1</v>
      </c>
      <c r="J3160" s="6" t="str">
        <f t="shared" si="885"/>
        <v>19001</v>
      </c>
      <c r="K3160" s="6">
        <f t="shared" si="886"/>
        <v>1900</v>
      </c>
      <c r="L3160" s="6">
        <f t="shared" si="887"/>
        <v>1</v>
      </c>
      <c r="R3160" s="6" t="str">
        <f t="shared" si="888"/>
        <v>19001</v>
      </c>
      <c r="S3160" s="6">
        <f t="shared" si="889"/>
        <v>1900</v>
      </c>
      <c r="T3160" s="6">
        <f t="shared" si="890"/>
        <v>1</v>
      </c>
      <c r="Z3160" s="6" t="str">
        <f t="shared" si="891"/>
        <v>19001</v>
      </c>
      <c r="AA3160" s="6">
        <f t="shared" si="892"/>
        <v>1900</v>
      </c>
      <c r="AB3160" s="6">
        <f t="shared" si="893"/>
        <v>1</v>
      </c>
      <c r="AH3160" s="6" t="str">
        <f t="shared" si="894"/>
        <v>19001</v>
      </c>
      <c r="AI3160" s="6">
        <f t="shared" si="895"/>
        <v>1900</v>
      </c>
      <c r="AJ3160" s="6">
        <f t="shared" si="896"/>
        <v>1</v>
      </c>
      <c r="AP3160" s="6" t="str">
        <f t="shared" si="897"/>
        <v>19001</v>
      </c>
      <c r="AQ3160" s="6">
        <f t="shared" si="898"/>
        <v>1900</v>
      </c>
      <c r="AR3160" s="6">
        <f t="shared" si="899"/>
        <v>1</v>
      </c>
    </row>
    <row r="3161" spans="2:44" x14ac:dyDescent="0.35">
      <c r="B3161" s="6" t="str">
        <f t="shared" si="882"/>
        <v>19001</v>
      </c>
      <c r="C3161" s="6">
        <f t="shared" si="883"/>
        <v>1900</v>
      </c>
      <c r="D3161" s="6">
        <f t="shared" si="884"/>
        <v>1</v>
      </c>
      <c r="J3161" s="6" t="str">
        <f t="shared" si="885"/>
        <v>19001</v>
      </c>
      <c r="K3161" s="6">
        <f t="shared" si="886"/>
        <v>1900</v>
      </c>
      <c r="L3161" s="6">
        <f t="shared" si="887"/>
        <v>1</v>
      </c>
      <c r="R3161" s="6" t="str">
        <f t="shared" si="888"/>
        <v>19001</v>
      </c>
      <c r="S3161" s="6">
        <f t="shared" si="889"/>
        <v>1900</v>
      </c>
      <c r="T3161" s="6">
        <f t="shared" si="890"/>
        <v>1</v>
      </c>
      <c r="Z3161" s="6" t="str">
        <f t="shared" si="891"/>
        <v>19001</v>
      </c>
      <c r="AA3161" s="6">
        <f t="shared" si="892"/>
        <v>1900</v>
      </c>
      <c r="AB3161" s="6">
        <f t="shared" si="893"/>
        <v>1</v>
      </c>
      <c r="AH3161" s="6" t="str">
        <f t="shared" si="894"/>
        <v>19001</v>
      </c>
      <c r="AI3161" s="6">
        <f t="shared" si="895"/>
        <v>1900</v>
      </c>
      <c r="AJ3161" s="6">
        <f t="shared" si="896"/>
        <v>1</v>
      </c>
      <c r="AP3161" s="6" t="str">
        <f t="shared" si="897"/>
        <v>19001</v>
      </c>
      <c r="AQ3161" s="6">
        <f t="shared" si="898"/>
        <v>1900</v>
      </c>
      <c r="AR3161" s="6">
        <f t="shared" si="899"/>
        <v>1</v>
      </c>
    </row>
    <row r="3162" spans="2:44" x14ac:dyDescent="0.35">
      <c r="B3162" s="6" t="str">
        <f t="shared" si="882"/>
        <v>19001</v>
      </c>
      <c r="C3162" s="6">
        <f t="shared" si="883"/>
        <v>1900</v>
      </c>
      <c r="D3162" s="6">
        <f t="shared" si="884"/>
        <v>1</v>
      </c>
      <c r="J3162" s="6" t="str">
        <f t="shared" si="885"/>
        <v>19001</v>
      </c>
      <c r="K3162" s="6">
        <f t="shared" si="886"/>
        <v>1900</v>
      </c>
      <c r="L3162" s="6">
        <f t="shared" si="887"/>
        <v>1</v>
      </c>
      <c r="R3162" s="6" t="str">
        <f t="shared" si="888"/>
        <v>19001</v>
      </c>
      <c r="S3162" s="6">
        <f t="shared" si="889"/>
        <v>1900</v>
      </c>
      <c r="T3162" s="6">
        <f t="shared" si="890"/>
        <v>1</v>
      </c>
      <c r="Z3162" s="6" t="str">
        <f t="shared" si="891"/>
        <v>19001</v>
      </c>
      <c r="AA3162" s="6">
        <f t="shared" si="892"/>
        <v>1900</v>
      </c>
      <c r="AB3162" s="6">
        <f t="shared" si="893"/>
        <v>1</v>
      </c>
      <c r="AH3162" s="6" t="str">
        <f t="shared" si="894"/>
        <v>19001</v>
      </c>
      <c r="AI3162" s="6">
        <f t="shared" si="895"/>
        <v>1900</v>
      </c>
      <c r="AJ3162" s="6">
        <f t="shared" si="896"/>
        <v>1</v>
      </c>
      <c r="AP3162" s="6" t="str">
        <f t="shared" si="897"/>
        <v>19001</v>
      </c>
      <c r="AQ3162" s="6">
        <f t="shared" si="898"/>
        <v>1900</v>
      </c>
      <c r="AR3162" s="6">
        <f t="shared" si="899"/>
        <v>1</v>
      </c>
    </row>
    <row r="3163" spans="2:44" x14ac:dyDescent="0.35">
      <c r="B3163" s="6" t="str">
        <f t="shared" si="882"/>
        <v>19001</v>
      </c>
      <c r="C3163" s="6">
        <f t="shared" si="883"/>
        <v>1900</v>
      </c>
      <c r="D3163" s="6">
        <f t="shared" si="884"/>
        <v>1</v>
      </c>
      <c r="J3163" s="6" t="str">
        <f t="shared" si="885"/>
        <v>19001</v>
      </c>
      <c r="K3163" s="6">
        <f t="shared" si="886"/>
        <v>1900</v>
      </c>
      <c r="L3163" s="6">
        <f t="shared" si="887"/>
        <v>1</v>
      </c>
      <c r="R3163" s="6" t="str">
        <f t="shared" si="888"/>
        <v>19001</v>
      </c>
      <c r="S3163" s="6">
        <f t="shared" si="889"/>
        <v>1900</v>
      </c>
      <c r="T3163" s="6">
        <f t="shared" si="890"/>
        <v>1</v>
      </c>
      <c r="Z3163" s="6" t="str">
        <f t="shared" si="891"/>
        <v>19001</v>
      </c>
      <c r="AA3163" s="6">
        <f t="shared" si="892"/>
        <v>1900</v>
      </c>
      <c r="AB3163" s="6">
        <f t="shared" si="893"/>
        <v>1</v>
      </c>
      <c r="AH3163" s="6" t="str">
        <f t="shared" si="894"/>
        <v>19001</v>
      </c>
      <c r="AI3163" s="6">
        <f t="shared" si="895"/>
        <v>1900</v>
      </c>
      <c r="AJ3163" s="6">
        <f t="shared" si="896"/>
        <v>1</v>
      </c>
      <c r="AP3163" s="6" t="str">
        <f t="shared" si="897"/>
        <v>19001</v>
      </c>
      <c r="AQ3163" s="6">
        <f t="shared" si="898"/>
        <v>1900</v>
      </c>
      <c r="AR3163" s="6">
        <f t="shared" si="899"/>
        <v>1</v>
      </c>
    </row>
    <row r="3164" spans="2:44" x14ac:dyDescent="0.35">
      <c r="B3164" s="6" t="str">
        <f t="shared" si="882"/>
        <v>19001</v>
      </c>
      <c r="C3164" s="6">
        <f t="shared" si="883"/>
        <v>1900</v>
      </c>
      <c r="D3164" s="6">
        <f t="shared" si="884"/>
        <v>1</v>
      </c>
      <c r="J3164" s="6" t="str">
        <f t="shared" si="885"/>
        <v>19001</v>
      </c>
      <c r="K3164" s="6">
        <f t="shared" si="886"/>
        <v>1900</v>
      </c>
      <c r="L3164" s="6">
        <f t="shared" si="887"/>
        <v>1</v>
      </c>
      <c r="R3164" s="6" t="str">
        <f t="shared" si="888"/>
        <v>19001</v>
      </c>
      <c r="S3164" s="6">
        <f t="shared" si="889"/>
        <v>1900</v>
      </c>
      <c r="T3164" s="6">
        <f t="shared" si="890"/>
        <v>1</v>
      </c>
      <c r="Z3164" s="6" t="str">
        <f t="shared" si="891"/>
        <v>19001</v>
      </c>
      <c r="AA3164" s="6">
        <f t="shared" si="892"/>
        <v>1900</v>
      </c>
      <c r="AB3164" s="6">
        <f t="shared" si="893"/>
        <v>1</v>
      </c>
      <c r="AH3164" s="6" t="str">
        <f t="shared" si="894"/>
        <v>19001</v>
      </c>
      <c r="AI3164" s="6">
        <f t="shared" si="895"/>
        <v>1900</v>
      </c>
      <c r="AJ3164" s="6">
        <f t="shared" si="896"/>
        <v>1</v>
      </c>
      <c r="AP3164" s="6" t="str">
        <f t="shared" si="897"/>
        <v>19001</v>
      </c>
      <c r="AQ3164" s="6">
        <f t="shared" si="898"/>
        <v>1900</v>
      </c>
      <c r="AR3164" s="6">
        <f t="shared" si="899"/>
        <v>1</v>
      </c>
    </row>
    <row r="3165" spans="2:44" x14ac:dyDescent="0.35">
      <c r="B3165" s="6" t="str">
        <f t="shared" si="882"/>
        <v>19001</v>
      </c>
      <c r="C3165" s="6">
        <f t="shared" si="883"/>
        <v>1900</v>
      </c>
      <c r="D3165" s="6">
        <f t="shared" si="884"/>
        <v>1</v>
      </c>
      <c r="J3165" s="6" t="str">
        <f t="shared" si="885"/>
        <v>19001</v>
      </c>
      <c r="K3165" s="6">
        <f t="shared" si="886"/>
        <v>1900</v>
      </c>
      <c r="L3165" s="6">
        <f t="shared" si="887"/>
        <v>1</v>
      </c>
      <c r="R3165" s="6" t="str">
        <f t="shared" si="888"/>
        <v>19001</v>
      </c>
      <c r="S3165" s="6">
        <f t="shared" si="889"/>
        <v>1900</v>
      </c>
      <c r="T3165" s="6">
        <f t="shared" si="890"/>
        <v>1</v>
      </c>
      <c r="Z3165" s="6" t="str">
        <f t="shared" si="891"/>
        <v>19001</v>
      </c>
      <c r="AA3165" s="6">
        <f t="shared" si="892"/>
        <v>1900</v>
      </c>
      <c r="AB3165" s="6">
        <f t="shared" si="893"/>
        <v>1</v>
      </c>
      <c r="AH3165" s="6" t="str">
        <f t="shared" si="894"/>
        <v>19001</v>
      </c>
      <c r="AI3165" s="6">
        <f t="shared" si="895"/>
        <v>1900</v>
      </c>
      <c r="AJ3165" s="6">
        <f t="shared" si="896"/>
        <v>1</v>
      </c>
      <c r="AP3165" s="6" t="str">
        <f t="shared" si="897"/>
        <v>19001</v>
      </c>
      <c r="AQ3165" s="6">
        <f t="shared" si="898"/>
        <v>1900</v>
      </c>
      <c r="AR3165" s="6">
        <f t="shared" si="899"/>
        <v>1</v>
      </c>
    </row>
    <row r="3166" spans="2:44" x14ac:dyDescent="0.35">
      <c r="B3166" s="6" t="str">
        <f t="shared" si="882"/>
        <v>19001</v>
      </c>
      <c r="C3166" s="6">
        <f t="shared" si="883"/>
        <v>1900</v>
      </c>
      <c r="D3166" s="6">
        <f t="shared" si="884"/>
        <v>1</v>
      </c>
      <c r="J3166" s="6" t="str">
        <f t="shared" si="885"/>
        <v>19001</v>
      </c>
      <c r="K3166" s="6">
        <f t="shared" si="886"/>
        <v>1900</v>
      </c>
      <c r="L3166" s="6">
        <f t="shared" si="887"/>
        <v>1</v>
      </c>
      <c r="R3166" s="6" t="str">
        <f t="shared" si="888"/>
        <v>19001</v>
      </c>
      <c r="S3166" s="6">
        <f t="shared" si="889"/>
        <v>1900</v>
      </c>
      <c r="T3166" s="6">
        <f t="shared" si="890"/>
        <v>1</v>
      </c>
      <c r="Z3166" s="6" t="str">
        <f t="shared" si="891"/>
        <v>19001</v>
      </c>
      <c r="AA3166" s="6">
        <f t="shared" si="892"/>
        <v>1900</v>
      </c>
      <c r="AB3166" s="6">
        <f t="shared" si="893"/>
        <v>1</v>
      </c>
      <c r="AH3166" s="6" t="str">
        <f t="shared" si="894"/>
        <v>19001</v>
      </c>
      <c r="AI3166" s="6">
        <f t="shared" si="895"/>
        <v>1900</v>
      </c>
      <c r="AJ3166" s="6">
        <f t="shared" si="896"/>
        <v>1</v>
      </c>
      <c r="AP3166" s="6" t="str">
        <f t="shared" si="897"/>
        <v>19001</v>
      </c>
      <c r="AQ3166" s="6">
        <f t="shared" si="898"/>
        <v>1900</v>
      </c>
      <c r="AR3166" s="6">
        <f t="shared" si="899"/>
        <v>1</v>
      </c>
    </row>
    <row r="3167" spans="2:44" x14ac:dyDescent="0.35">
      <c r="B3167" s="6" t="str">
        <f t="shared" si="882"/>
        <v>19001</v>
      </c>
      <c r="C3167" s="6">
        <f t="shared" si="883"/>
        <v>1900</v>
      </c>
      <c r="D3167" s="6">
        <f t="shared" si="884"/>
        <v>1</v>
      </c>
      <c r="J3167" s="6" t="str">
        <f t="shared" si="885"/>
        <v>19001</v>
      </c>
      <c r="K3167" s="6">
        <f t="shared" si="886"/>
        <v>1900</v>
      </c>
      <c r="L3167" s="6">
        <f t="shared" si="887"/>
        <v>1</v>
      </c>
      <c r="R3167" s="6" t="str">
        <f t="shared" si="888"/>
        <v>19001</v>
      </c>
      <c r="S3167" s="6">
        <f t="shared" si="889"/>
        <v>1900</v>
      </c>
      <c r="T3167" s="6">
        <f t="shared" si="890"/>
        <v>1</v>
      </c>
      <c r="Z3167" s="6" t="str">
        <f t="shared" si="891"/>
        <v>19001</v>
      </c>
      <c r="AA3167" s="6">
        <f t="shared" si="892"/>
        <v>1900</v>
      </c>
      <c r="AB3167" s="6">
        <f t="shared" si="893"/>
        <v>1</v>
      </c>
      <c r="AH3167" s="6" t="str">
        <f t="shared" si="894"/>
        <v>19001</v>
      </c>
      <c r="AI3167" s="6">
        <f t="shared" si="895"/>
        <v>1900</v>
      </c>
      <c r="AJ3167" s="6">
        <f t="shared" si="896"/>
        <v>1</v>
      </c>
      <c r="AP3167" s="6" t="str">
        <f t="shared" si="897"/>
        <v>19001</v>
      </c>
      <c r="AQ3167" s="6">
        <f t="shared" si="898"/>
        <v>1900</v>
      </c>
      <c r="AR3167" s="6">
        <f t="shared" si="899"/>
        <v>1</v>
      </c>
    </row>
    <row r="3168" spans="2:44" x14ac:dyDescent="0.35">
      <c r="B3168" s="6" t="str">
        <f t="shared" si="882"/>
        <v>19001</v>
      </c>
      <c r="C3168" s="6">
        <f t="shared" si="883"/>
        <v>1900</v>
      </c>
      <c r="D3168" s="6">
        <f t="shared" si="884"/>
        <v>1</v>
      </c>
      <c r="J3168" s="6" t="str">
        <f t="shared" si="885"/>
        <v>19001</v>
      </c>
      <c r="K3168" s="6">
        <f t="shared" si="886"/>
        <v>1900</v>
      </c>
      <c r="L3168" s="6">
        <f t="shared" si="887"/>
        <v>1</v>
      </c>
      <c r="R3168" s="6" t="str">
        <f t="shared" si="888"/>
        <v>19001</v>
      </c>
      <c r="S3168" s="6">
        <f t="shared" si="889"/>
        <v>1900</v>
      </c>
      <c r="T3168" s="6">
        <f t="shared" si="890"/>
        <v>1</v>
      </c>
      <c r="Z3168" s="6" t="str">
        <f t="shared" si="891"/>
        <v>19001</v>
      </c>
      <c r="AA3168" s="6">
        <f t="shared" si="892"/>
        <v>1900</v>
      </c>
      <c r="AB3168" s="6">
        <f t="shared" si="893"/>
        <v>1</v>
      </c>
      <c r="AH3168" s="6" t="str">
        <f t="shared" si="894"/>
        <v>19001</v>
      </c>
      <c r="AI3168" s="6">
        <f t="shared" si="895"/>
        <v>1900</v>
      </c>
      <c r="AJ3168" s="6">
        <f t="shared" si="896"/>
        <v>1</v>
      </c>
      <c r="AP3168" s="6" t="str">
        <f t="shared" si="897"/>
        <v>19001</v>
      </c>
      <c r="AQ3168" s="6">
        <f t="shared" si="898"/>
        <v>1900</v>
      </c>
      <c r="AR3168" s="6">
        <f t="shared" si="899"/>
        <v>1</v>
      </c>
    </row>
    <row r="3169" spans="2:44" x14ac:dyDescent="0.35">
      <c r="B3169" s="6" t="str">
        <f t="shared" si="882"/>
        <v>19001</v>
      </c>
      <c r="C3169" s="6">
        <f t="shared" si="883"/>
        <v>1900</v>
      </c>
      <c r="D3169" s="6">
        <f t="shared" si="884"/>
        <v>1</v>
      </c>
      <c r="J3169" s="6" t="str">
        <f t="shared" si="885"/>
        <v>19001</v>
      </c>
      <c r="K3169" s="6">
        <f t="shared" si="886"/>
        <v>1900</v>
      </c>
      <c r="L3169" s="6">
        <f t="shared" si="887"/>
        <v>1</v>
      </c>
      <c r="R3169" s="6" t="str">
        <f t="shared" si="888"/>
        <v>19001</v>
      </c>
      <c r="S3169" s="6">
        <f t="shared" si="889"/>
        <v>1900</v>
      </c>
      <c r="T3169" s="6">
        <f t="shared" si="890"/>
        <v>1</v>
      </c>
      <c r="Z3169" s="6" t="str">
        <f t="shared" si="891"/>
        <v>19001</v>
      </c>
      <c r="AA3169" s="6">
        <f t="shared" si="892"/>
        <v>1900</v>
      </c>
      <c r="AB3169" s="6">
        <f t="shared" si="893"/>
        <v>1</v>
      </c>
      <c r="AH3169" s="6" t="str">
        <f t="shared" si="894"/>
        <v>19001</v>
      </c>
      <c r="AI3169" s="6">
        <f t="shared" si="895"/>
        <v>1900</v>
      </c>
      <c r="AJ3169" s="6">
        <f t="shared" si="896"/>
        <v>1</v>
      </c>
      <c r="AP3169" s="6" t="str">
        <f t="shared" si="897"/>
        <v>19001</v>
      </c>
      <c r="AQ3169" s="6">
        <f t="shared" si="898"/>
        <v>1900</v>
      </c>
      <c r="AR3169" s="6">
        <f t="shared" si="899"/>
        <v>1</v>
      </c>
    </row>
    <row r="3170" spans="2:44" x14ac:dyDescent="0.35">
      <c r="B3170" s="6" t="str">
        <f t="shared" si="882"/>
        <v>19001</v>
      </c>
      <c r="C3170" s="6">
        <f t="shared" si="883"/>
        <v>1900</v>
      </c>
      <c r="D3170" s="6">
        <f t="shared" si="884"/>
        <v>1</v>
      </c>
      <c r="J3170" s="6" t="str">
        <f t="shared" si="885"/>
        <v>19001</v>
      </c>
      <c r="K3170" s="6">
        <f t="shared" si="886"/>
        <v>1900</v>
      </c>
      <c r="L3170" s="6">
        <f t="shared" si="887"/>
        <v>1</v>
      </c>
      <c r="R3170" s="6" t="str">
        <f t="shared" si="888"/>
        <v>19001</v>
      </c>
      <c r="S3170" s="6">
        <f t="shared" si="889"/>
        <v>1900</v>
      </c>
      <c r="T3170" s="6">
        <f t="shared" si="890"/>
        <v>1</v>
      </c>
      <c r="Z3170" s="6" t="str">
        <f t="shared" si="891"/>
        <v>19001</v>
      </c>
      <c r="AA3170" s="6">
        <f t="shared" si="892"/>
        <v>1900</v>
      </c>
      <c r="AB3170" s="6">
        <f t="shared" si="893"/>
        <v>1</v>
      </c>
      <c r="AH3170" s="6" t="str">
        <f t="shared" si="894"/>
        <v>19001</v>
      </c>
      <c r="AI3170" s="6">
        <f t="shared" si="895"/>
        <v>1900</v>
      </c>
      <c r="AJ3170" s="6">
        <f t="shared" si="896"/>
        <v>1</v>
      </c>
      <c r="AP3170" s="6" t="str">
        <f t="shared" si="897"/>
        <v>19001</v>
      </c>
      <c r="AQ3170" s="6">
        <f t="shared" si="898"/>
        <v>1900</v>
      </c>
      <c r="AR3170" s="6">
        <f t="shared" si="899"/>
        <v>1</v>
      </c>
    </row>
    <row r="3171" spans="2:44" x14ac:dyDescent="0.35">
      <c r="B3171" s="6" t="str">
        <f t="shared" si="882"/>
        <v>19001</v>
      </c>
      <c r="C3171" s="6">
        <f t="shared" si="883"/>
        <v>1900</v>
      </c>
      <c r="D3171" s="6">
        <f t="shared" si="884"/>
        <v>1</v>
      </c>
      <c r="J3171" s="6" t="str">
        <f t="shared" si="885"/>
        <v>19001</v>
      </c>
      <c r="K3171" s="6">
        <f t="shared" si="886"/>
        <v>1900</v>
      </c>
      <c r="L3171" s="6">
        <f t="shared" si="887"/>
        <v>1</v>
      </c>
      <c r="R3171" s="6" t="str">
        <f t="shared" si="888"/>
        <v>19001</v>
      </c>
      <c r="S3171" s="6">
        <f t="shared" si="889"/>
        <v>1900</v>
      </c>
      <c r="T3171" s="6">
        <f t="shared" si="890"/>
        <v>1</v>
      </c>
      <c r="Z3171" s="6" t="str">
        <f t="shared" si="891"/>
        <v>19001</v>
      </c>
      <c r="AA3171" s="6">
        <f t="shared" si="892"/>
        <v>1900</v>
      </c>
      <c r="AB3171" s="6">
        <f t="shared" si="893"/>
        <v>1</v>
      </c>
      <c r="AH3171" s="6" t="str">
        <f t="shared" si="894"/>
        <v>19001</v>
      </c>
      <c r="AI3171" s="6">
        <f t="shared" si="895"/>
        <v>1900</v>
      </c>
      <c r="AJ3171" s="6">
        <f t="shared" si="896"/>
        <v>1</v>
      </c>
      <c r="AP3171" s="6" t="str">
        <f t="shared" si="897"/>
        <v>19001</v>
      </c>
      <c r="AQ3171" s="6">
        <f t="shared" si="898"/>
        <v>1900</v>
      </c>
      <c r="AR3171" s="6">
        <f t="shared" si="899"/>
        <v>1</v>
      </c>
    </row>
    <row r="3172" spans="2:44" x14ac:dyDescent="0.35">
      <c r="B3172" s="6" t="str">
        <f t="shared" si="882"/>
        <v>19001</v>
      </c>
      <c r="C3172" s="6">
        <f t="shared" si="883"/>
        <v>1900</v>
      </c>
      <c r="D3172" s="6">
        <f t="shared" si="884"/>
        <v>1</v>
      </c>
      <c r="J3172" s="6" t="str">
        <f t="shared" si="885"/>
        <v>19001</v>
      </c>
      <c r="K3172" s="6">
        <f t="shared" si="886"/>
        <v>1900</v>
      </c>
      <c r="L3172" s="6">
        <f t="shared" si="887"/>
        <v>1</v>
      </c>
      <c r="R3172" s="6" t="str">
        <f t="shared" si="888"/>
        <v>19001</v>
      </c>
      <c r="S3172" s="6">
        <f t="shared" si="889"/>
        <v>1900</v>
      </c>
      <c r="T3172" s="6">
        <f t="shared" si="890"/>
        <v>1</v>
      </c>
      <c r="Z3172" s="6" t="str">
        <f t="shared" si="891"/>
        <v>19001</v>
      </c>
      <c r="AA3172" s="6">
        <f t="shared" si="892"/>
        <v>1900</v>
      </c>
      <c r="AB3172" s="6">
        <f t="shared" si="893"/>
        <v>1</v>
      </c>
      <c r="AH3172" s="6" t="str">
        <f t="shared" si="894"/>
        <v>19001</v>
      </c>
      <c r="AI3172" s="6">
        <f t="shared" si="895"/>
        <v>1900</v>
      </c>
      <c r="AJ3172" s="6">
        <f t="shared" si="896"/>
        <v>1</v>
      </c>
      <c r="AP3172" s="6" t="str">
        <f t="shared" si="897"/>
        <v>19001</v>
      </c>
      <c r="AQ3172" s="6">
        <f t="shared" si="898"/>
        <v>1900</v>
      </c>
      <c r="AR3172" s="6">
        <f t="shared" si="899"/>
        <v>1</v>
      </c>
    </row>
    <row r="3173" spans="2:44" x14ac:dyDescent="0.35">
      <c r="B3173" s="6" t="str">
        <f t="shared" si="882"/>
        <v>19001</v>
      </c>
      <c r="C3173" s="6">
        <f t="shared" si="883"/>
        <v>1900</v>
      </c>
      <c r="D3173" s="6">
        <f t="shared" si="884"/>
        <v>1</v>
      </c>
      <c r="J3173" s="6" t="str">
        <f t="shared" si="885"/>
        <v>19001</v>
      </c>
      <c r="K3173" s="6">
        <f t="shared" si="886"/>
        <v>1900</v>
      </c>
      <c r="L3173" s="6">
        <f t="shared" si="887"/>
        <v>1</v>
      </c>
      <c r="R3173" s="6" t="str">
        <f t="shared" si="888"/>
        <v>19001</v>
      </c>
      <c r="S3173" s="6">
        <f t="shared" si="889"/>
        <v>1900</v>
      </c>
      <c r="T3173" s="6">
        <f t="shared" si="890"/>
        <v>1</v>
      </c>
      <c r="Z3173" s="6" t="str">
        <f t="shared" si="891"/>
        <v>19001</v>
      </c>
      <c r="AA3173" s="6">
        <f t="shared" si="892"/>
        <v>1900</v>
      </c>
      <c r="AB3173" s="6">
        <f t="shared" si="893"/>
        <v>1</v>
      </c>
      <c r="AH3173" s="6" t="str">
        <f t="shared" si="894"/>
        <v>19001</v>
      </c>
      <c r="AI3173" s="6">
        <f t="shared" si="895"/>
        <v>1900</v>
      </c>
      <c r="AJ3173" s="6">
        <f t="shared" si="896"/>
        <v>1</v>
      </c>
      <c r="AP3173" s="6" t="str">
        <f t="shared" si="897"/>
        <v>19001</v>
      </c>
      <c r="AQ3173" s="6">
        <f t="shared" si="898"/>
        <v>1900</v>
      </c>
      <c r="AR3173" s="6">
        <f t="shared" si="899"/>
        <v>1</v>
      </c>
    </row>
    <row r="3174" spans="2:44" x14ac:dyDescent="0.35">
      <c r="B3174" s="6" t="str">
        <f t="shared" si="882"/>
        <v>19001</v>
      </c>
      <c r="C3174" s="6">
        <f t="shared" si="883"/>
        <v>1900</v>
      </c>
      <c r="D3174" s="6">
        <f t="shared" si="884"/>
        <v>1</v>
      </c>
      <c r="J3174" s="6" t="str">
        <f t="shared" si="885"/>
        <v>19001</v>
      </c>
      <c r="K3174" s="6">
        <f t="shared" si="886"/>
        <v>1900</v>
      </c>
      <c r="L3174" s="6">
        <f t="shared" si="887"/>
        <v>1</v>
      </c>
      <c r="R3174" s="6" t="str">
        <f t="shared" si="888"/>
        <v>19001</v>
      </c>
      <c r="S3174" s="6">
        <f t="shared" si="889"/>
        <v>1900</v>
      </c>
      <c r="T3174" s="6">
        <f t="shared" si="890"/>
        <v>1</v>
      </c>
      <c r="Z3174" s="6" t="str">
        <f t="shared" si="891"/>
        <v>19001</v>
      </c>
      <c r="AA3174" s="6">
        <f t="shared" si="892"/>
        <v>1900</v>
      </c>
      <c r="AB3174" s="6">
        <f t="shared" si="893"/>
        <v>1</v>
      </c>
      <c r="AH3174" s="6" t="str">
        <f t="shared" si="894"/>
        <v>19001</v>
      </c>
      <c r="AI3174" s="6">
        <f t="shared" si="895"/>
        <v>1900</v>
      </c>
      <c r="AJ3174" s="6">
        <f t="shared" si="896"/>
        <v>1</v>
      </c>
      <c r="AP3174" s="6" t="str">
        <f t="shared" si="897"/>
        <v>19001</v>
      </c>
      <c r="AQ3174" s="6">
        <f t="shared" si="898"/>
        <v>1900</v>
      </c>
      <c r="AR3174" s="6">
        <f t="shared" si="899"/>
        <v>1</v>
      </c>
    </row>
    <row r="3175" spans="2:44" x14ac:dyDescent="0.35">
      <c r="B3175" s="6" t="str">
        <f t="shared" si="882"/>
        <v>19001</v>
      </c>
      <c r="C3175" s="6">
        <f t="shared" si="883"/>
        <v>1900</v>
      </c>
      <c r="D3175" s="6">
        <f t="shared" si="884"/>
        <v>1</v>
      </c>
      <c r="J3175" s="6" t="str">
        <f t="shared" si="885"/>
        <v>19001</v>
      </c>
      <c r="K3175" s="6">
        <f t="shared" si="886"/>
        <v>1900</v>
      </c>
      <c r="L3175" s="6">
        <f t="shared" si="887"/>
        <v>1</v>
      </c>
      <c r="R3175" s="6" t="str">
        <f t="shared" si="888"/>
        <v>19001</v>
      </c>
      <c r="S3175" s="6">
        <f t="shared" si="889"/>
        <v>1900</v>
      </c>
      <c r="T3175" s="6">
        <f t="shared" si="890"/>
        <v>1</v>
      </c>
      <c r="Z3175" s="6" t="str">
        <f t="shared" si="891"/>
        <v>19001</v>
      </c>
      <c r="AA3175" s="6">
        <f t="shared" si="892"/>
        <v>1900</v>
      </c>
      <c r="AB3175" s="6">
        <f t="shared" si="893"/>
        <v>1</v>
      </c>
      <c r="AH3175" s="6" t="str">
        <f t="shared" si="894"/>
        <v>19001</v>
      </c>
      <c r="AI3175" s="6">
        <f t="shared" si="895"/>
        <v>1900</v>
      </c>
      <c r="AJ3175" s="6">
        <f t="shared" si="896"/>
        <v>1</v>
      </c>
      <c r="AP3175" s="6" t="str">
        <f t="shared" si="897"/>
        <v>19001</v>
      </c>
      <c r="AQ3175" s="6">
        <f t="shared" si="898"/>
        <v>1900</v>
      </c>
      <c r="AR3175" s="6">
        <f t="shared" si="899"/>
        <v>1</v>
      </c>
    </row>
    <row r="3176" spans="2:44" x14ac:dyDescent="0.35">
      <c r="B3176" s="6" t="str">
        <f t="shared" si="882"/>
        <v>19001</v>
      </c>
      <c r="C3176" s="6">
        <f t="shared" si="883"/>
        <v>1900</v>
      </c>
      <c r="D3176" s="6">
        <f t="shared" si="884"/>
        <v>1</v>
      </c>
      <c r="J3176" s="6" t="str">
        <f t="shared" si="885"/>
        <v>19001</v>
      </c>
      <c r="K3176" s="6">
        <f t="shared" si="886"/>
        <v>1900</v>
      </c>
      <c r="L3176" s="6">
        <f t="shared" si="887"/>
        <v>1</v>
      </c>
      <c r="R3176" s="6" t="str">
        <f t="shared" si="888"/>
        <v>19001</v>
      </c>
      <c r="S3176" s="6">
        <f t="shared" si="889"/>
        <v>1900</v>
      </c>
      <c r="T3176" s="6">
        <f t="shared" si="890"/>
        <v>1</v>
      </c>
      <c r="Z3176" s="6" t="str">
        <f t="shared" si="891"/>
        <v>19001</v>
      </c>
      <c r="AA3176" s="6">
        <f t="shared" si="892"/>
        <v>1900</v>
      </c>
      <c r="AB3176" s="6">
        <f t="shared" si="893"/>
        <v>1</v>
      </c>
      <c r="AH3176" s="6" t="str">
        <f t="shared" si="894"/>
        <v>19001</v>
      </c>
      <c r="AI3176" s="6">
        <f t="shared" si="895"/>
        <v>1900</v>
      </c>
      <c r="AJ3176" s="6">
        <f t="shared" si="896"/>
        <v>1</v>
      </c>
      <c r="AP3176" s="6" t="str">
        <f t="shared" si="897"/>
        <v>19001</v>
      </c>
      <c r="AQ3176" s="6">
        <f t="shared" si="898"/>
        <v>1900</v>
      </c>
      <c r="AR3176" s="6">
        <f t="shared" si="899"/>
        <v>1</v>
      </c>
    </row>
    <row r="3177" spans="2:44" x14ac:dyDescent="0.35">
      <c r="B3177" s="6" t="str">
        <f t="shared" si="882"/>
        <v>19001</v>
      </c>
      <c r="C3177" s="6">
        <f t="shared" si="883"/>
        <v>1900</v>
      </c>
      <c r="D3177" s="6">
        <f t="shared" si="884"/>
        <v>1</v>
      </c>
      <c r="J3177" s="6" t="str">
        <f t="shared" si="885"/>
        <v>19001</v>
      </c>
      <c r="K3177" s="6">
        <f t="shared" si="886"/>
        <v>1900</v>
      </c>
      <c r="L3177" s="6">
        <f t="shared" si="887"/>
        <v>1</v>
      </c>
      <c r="R3177" s="6" t="str">
        <f t="shared" si="888"/>
        <v>19001</v>
      </c>
      <c r="S3177" s="6">
        <f t="shared" si="889"/>
        <v>1900</v>
      </c>
      <c r="T3177" s="6">
        <f t="shared" si="890"/>
        <v>1</v>
      </c>
      <c r="Z3177" s="6" t="str">
        <f t="shared" si="891"/>
        <v>19001</v>
      </c>
      <c r="AA3177" s="6">
        <f t="shared" si="892"/>
        <v>1900</v>
      </c>
      <c r="AB3177" s="6">
        <f t="shared" si="893"/>
        <v>1</v>
      </c>
      <c r="AH3177" s="6" t="str">
        <f t="shared" si="894"/>
        <v>19001</v>
      </c>
      <c r="AI3177" s="6">
        <f t="shared" si="895"/>
        <v>1900</v>
      </c>
      <c r="AJ3177" s="6">
        <f t="shared" si="896"/>
        <v>1</v>
      </c>
      <c r="AP3177" s="6" t="str">
        <f t="shared" si="897"/>
        <v>19001</v>
      </c>
      <c r="AQ3177" s="6">
        <f t="shared" si="898"/>
        <v>1900</v>
      </c>
      <c r="AR3177" s="6">
        <f t="shared" si="899"/>
        <v>1</v>
      </c>
    </row>
    <row r="3178" spans="2:44" x14ac:dyDescent="0.35">
      <c r="B3178" s="6" t="str">
        <f t="shared" si="882"/>
        <v>19001</v>
      </c>
      <c r="C3178" s="6">
        <f t="shared" si="883"/>
        <v>1900</v>
      </c>
      <c r="D3178" s="6">
        <f t="shared" si="884"/>
        <v>1</v>
      </c>
      <c r="J3178" s="6" t="str">
        <f t="shared" si="885"/>
        <v>19001</v>
      </c>
      <c r="K3178" s="6">
        <f t="shared" si="886"/>
        <v>1900</v>
      </c>
      <c r="L3178" s="6">
        <f t="shared" si="887"/>
        <v>1</v>
      </c>
      <c r="R3178" s="6" t="str">
        <f t="shared" si="888"/>
        <v>19001</v>
      </c>
      <c r="S3178" s="6">
        <f t="shared" si="889"/>
        <v>1900</v>
      </c>
      <c r="T3178" s="6">
        <f t="shared" si="890"/>
        <v>1</v>
      </c>
      <c r="Z3178" s="6" t="str">
        <f t="shared" si="891"/>
        <v>19001</v>
      </c>
      <c r="AA3178" s="6">
        <f t="shared" si="892"/>
        <v>1900</v>
      </c>
      <c r="AB3178" s="6">
        <f t="shared" si="893"/>
        <v>1</v>
      </c>
      <c r="AH3178" s="6" t="str">
        <f t="shared" si="894"/>
        <v>19001</v>
      </c>
      <c r="AI3178" s="6">
        <f t="shared" si="895"/>
        <v>1900</v>
      </c>
      <c r="AJ3178" s="6">
        <f t="shared" si="896"/>
        <v>1</v>
      </c>
      <c r="AP3178" s="6" t="str">
        <f t="shared" si="897"/>
        <v>19001</v>
      </c>
      <c r="AQ3178" s="6">
        <f t="shared" si="898"/>
        <v>1900</v>
      </c>
      <c r="AR3178" s="6">
        <f t="shared" si="899"/>
        <v>1</v>
      </c>
    </row>
    <row r="3179" spans="2:44" x14ac:dyDescent="0.35">
      <c r="B3179" s="6" t="str">
        <f t="shared" si="882"/>
        <v>19001</v>
      </c>
      <c r="C3179" s="6">
        <f t="shared" si="883"/>
        <v>1900</v>
      </c>
      <c r="D3179" s="6">
        <f t="shared" si="884"/>
        <v>1</v>
      </c>
      <c r="J3179" s="6" t="str">
        <f t="shared" si="885"/>
        <v>19001</v>
      </c>
      <c r="K3179" s="6">
        <f t="shared" si="886"/>
        <v>1900</v>
      </c>
      <c r="L3179" s="6">
        <f t="shared" si="887"/>
        <v>1</v>
      </c>
      <c r="R3179" s="6" t="str">
        <f t="shared" si="888"/>
        <v>19001</v>
      </c>
      <c r="S3179" s="6">
        <f t="shared" si="889"/>
        <v>1900</v>
      </c>
      <c r="T3179" s="6">
        <f t="shared" si="890"/>
        <v>1</v>
      </c>
      <c r="Z3179" s="6" t="str">
        <f t="shared" si="891"/>
        <v>19001</v>
      </c>
      <c r="AA3179" s="6">
        <f t="shared" si="892"/>
        <v>1900</v>
      </c>
      <c r="AB3179" s="6">
        <f t="shared" si="893"/>
        <v>1</v>
      </c>
      <c r="AH3179" s="6" t="str">
        <f t="shared" si="894"/>
        <v>19001</v>
      </c>
      <c r="AI3179" s="6">
        <f t="shared" si="895"/>
        <v>1900</v>
      </c>
      <c r="AJ3179" s="6">
        <f t="shared" si="896"/>
        <v>1</v>
      </c>
      <c r="AP3179" s="6" t="str">
        <f t="shared" si="897"/>
        <v>19001</v>
      </c>
      <c r="AQ3179" s="6">
        <f t="shared" si="898"/>
        <v>1900</v>
      </c>
      <c r="AR3179" s="6">
        <f t="shared" si="899"/>
        <v>1</v>
      </c>
    </row>
    <row r="3180" spans="2:44" x14ac:dyDescent="0.35">
      <c r="B3180" s="6" t="str">
        <f t="shared" si="882"/>
        <v>19001</v>
      </c>
      <c r="C3180" s="6">
        <f t="shared" si="883"/>
        <v>1900</v>
      </c>
      <c r="D3180" s="6">
        <f t="shared" si="884"/>
        <v>1</v>
      </c>
      <c r="J3180" s="6" t="str">
        <f t="shared" si="885"/>
        <v>19001</v>
      </c>
      <c r="K3180" s="6">
        <f t="shared" si="886"/>
        <v>1900</v>
      </c>
      <c r="L3180" s="6">
        <f t="shared" si="887"/>
        <v>1</v>
      </c>
      <c r="R3180" s="6" t="str">
        <f t="shared" si="888"/>
        <v>19001</v>
      </c>
      <c r="S3180" s="6">
        <f t="shared" si="889"/>
        <v>1900</v>
      </c>
      <c r="T3180" s="6">
        <f t="shared" si="890"/>
        <v>1</v>
      </c>
      <c r="Z3180" s="6" t="str">
        <f t="shared" si="891"/>
        <v>19001</v>
      </c>
      <c r="AA3180" s="6">
        <f t="shared" si="892"/>
        <v>1900</v>
      </c>
      <c r="AB3180" s="6">
        <f t="shared" si="893"/>
        <v>1</v>
      </c>
      <c r="AH3180" s="6" t="str">
        <f t="shared" si="894"/>
        <v>19001</v>
      </c>
      <c r="AI3180" s="6">
        <f t="shared" si="895"/>
        <v>1900</v>
      </c>
      <c r="AJ3180" s="6">
        <f t="shared" si="896"/>
        <v>1</v>
      </c>
      <c r="AP3180" s="6" t="str">
        <f t="shared" si="897"/>
        <v>19001</v>
      </c>
      <c r="AQ3180" s="6">
        <f t="shared" si="898"/>
        <v>1900</v>
      </c>
      <c r="AR3180" s="6">
        <f t="shared" si="899"/>
        <v>1</v>
      </c>
    </row>
    <row r="3181" spans="2:44" x14ac:dyDescent="0.35">
      <c r="B3181" s="6" t="str">
        <f t="shared" si="882"/>
        <v>19001</v>
      </c>
      <c r="C3181" s="6">
        <f t="shared" si="883"/>
        <v>1900</v>
      </c>
      <c r="D3181" s="6">
        <f t="shared" si="884"/>
        <v>1</v>
      </c>
      <c r="J3181" s="6" t="str">
        <f t="shared" si="885"/>
        <v>19001</v>
      </c>
      <c r="K3181" s="6">
        <f t="shared" si="886"/>
        <v>1900</v>
      </c>
      <c r="L3181" s="6">
        <f t="shared" si="887"/>
        <v>1</v>
      </c>
      <c r="R3181" s="6" t="str">
        <f t="shared" si="888"/>
        <v>19001</v>
      </c>
      <c r="S3181" s="6">
        <f t="shared" si="889"/>
        <v>1900</v>
      </c>
      <c r="T3181" s="6">
        <f t="shared" si="890"/>
        <v>1</v>
      </c>
      <c r="Z3181" s="6" t="str">
        <f t="shared" si="891"/>
        <v>19001</v>
      </c>
      <c r="AA3181" s="6">
        <f t="shared" si="892"/>
        <v>1900</v>
      </c>
      <c r="AB3181" s="6">
        <f t="shared" si="893"/>
        <v>1</v>
      </c>
      <c r="AH3181" s="6" t="str">
        <f t="shared" si="894"/>
        <v>19001</v>
      </c>
      <c r="AI3181" s="6">
        <f t="shared" si="895"/>
        <v>1900</v>
      </c>
      <c r="AJ3181" s="6">
        <f t="shared" si="896"/>
        <v>1</v>
      </c>
      <c r="AP3181" s="6" t="str">
        <f t="shared" si="897"/>
        <v>19001</v>
      </c>
      <c r="AQ3181" s="6">
        <f t="shared" si="898"/>
        <v>1900</v>
      </c>
      <c r="AR3181" s="6">
        <f t="shared" si="899"/>
        <v>1</v>
      </c>
    </row>
    <row r="3182" spans="2:44" x14ac:dyDescent="0.35">
      <c r="B3182" s="6" t="str">
        <f t="shared" si="882"/>
        <v>19001</v>
      </c>
      <c r="C3182" s="6">
        <f t="shared" si="883"/>
        <v>1900</v>
      </c>
      <c r="D3182" s="6">
        <f t="shared" si="884"/>
        <v>1</v>
      </c>
      <c r="J3182" s="6" t="str">
        <f t="shared" si="885"/>
        <v>19001</v>
      </c>
      <c r="K3182" s="6">
        <f t="shared" si="886"/>
        <v>1900</v>
      </c>
      <c r="L3182" s="6">
        <f t="shared" si="887"/>
        <v>1</v>
      </c>
      <c r="R3182" s="6" t="str">
        <f t="shared" si="888"/>
        <v>19001</v>
      </c>
      <c r="S3182" s="6">
        <f t="shared" si="889"/>
        <v>1900</v>
      </c>
      <c r="T3182" s="6">
        <f t="shared" si="890"/>
        <v>1</v>
      </c>
      <c r="Z3182" s="6" t="str">
        <f t="shared" si="891"/>
        <v>19001</v>
      </c>
      <c r="AA3182" s="6">
        <f t="shared" si="892"/>
        <v>1900</v>
      </c>
      <c r="AB3182" s="6">
        <f t="shared" si="893"/>
        <v>1</v>
      </c>
      <c r="AH3182" s="6" t="str">
        <f t="shared" si="894"/>
        <v>19001</v>
      </c>
      <c r="AI3182" s="6">
        <f t="shared" si="895"/>
        <v>1900</v>
      </c>
      <c r="AJ3182" s="6">
        <f t="shared" si="896"/>
        <v>1</v>
      </c>
      <c r="AP3182" s="6" t="str">
        <f t="shared" si="897"/>
        <v>19001</v>
      </c>
      <c r="AQ3182" s="6">
        <f t="shared" si="898"/>
        <v>1900</v>
      </c>
      <c r="AR3182" s="6">
        <f t="shared" si="899"/>
        <v>1</v>
      </c>
    </row>
  </sheetData>
  <phoneticPr fontId="10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C5:C13"/>
  <sheetViews>
    <sheetView workbookViewId="0"/>
  </sheetViews>
  <sheetFormatPr defaultColWidth="12.59765625" defaultRowHeight="15.75" customHeight="1" x14ac:dyDescent="0.35"/>
  <sheetData>
    <row r="5" spans="3:3" x14ac:dyDescent="0.35">
      <c r="C5" s="6" t="s">
        <v>265</v>
      </c>
    </row>
    <row r="6" spans="3:3" x14ac:dyDescent="0.35">
      <c r="C6" s="6" t="s">
        <v>266</v>
      </c>
    </row>
    <row r="7" spans="3:3" x14ac:dyDescent="0.35">
      <c r="C7" s="6" t="s">
        <v>111</v>
      </c>
    </row>
    <row r="8" spans="3:3" x14ac:dyDescent="0.35">
      <c r="C8" s="6" t="s">
        <v>41</v>
      </c>
    </row>
    <row r="9" spans="3:3" x14ac:dyDescent="0.35">
      <c r="C9" s="6" t="s">
        <v>54</v>
      </c>
    </row>
    <row r="10" spans="3:3" x14ac:dyDescent="0.35">
      <c r="C10" s="6" t="s">
        <v>267</v>
      </c>
    </row>
    <row r="11" spans="3:3" x14ac:dyDescent="0.35">
      <c r="C11" s="6" t="s">
        <v>268</v>
      </c>
    </row>
    <row r="12" spans="3:3" x14ac:dyDescent="0.35">
      <c r="C12" s="6" t="s">
        <v>59</v>
      </c>
    </row>
    <row r="13" spans="3:3" x14ac:dyDescent="0.35">
      <c r="C13" s="6" t="s">
        <v>269</v>
      </c>
    </row>
  </sheetData>
  <phoneticPr fontId="10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47"/>
  <sheetViews>
    <sheetView topLeftCell="A65" workbookViewId="0">
      <selection activeCell="D281" sqref="D281:D295"/>
    </sheetView>
  </sheetViews>
  <sheetFormatPr defaultRowHeight="12.75" x14ac:dyDescent="0.35"/>
  <cols>
    <col min="1" max="1" width="12" customWidth="1"/>
    <col min="2" max="2" width="10" customWidth="1"/>
    <col min="3" max="3" width="14" customWidth="1"/>
    <col min="4" max="4" width="34" customWidth="1"/>
    <col min="5" max="6" width="12" customWidth="1"/>
    <col min="7" max="7" width="14" customWidth="1"/>
    <col min="8" max="8" width="10" customWidth="1"/>
  </cols>
  <sheetData>
    <row r="1" spans="1:8" ht="17.649999999999999" x14ac:dyDescent="0.5">
      <c r="A1" s="211" t="s">
        <v>270</v>
      </c>
      <c r="B1" s="210"/>
      <c r="C1" s="210"/>
      <c r="D1" s="210"/>
      <c r="E1" s="210"/>
      <c r="F1" s="210"/>
      <c r="G1" s="210"/>
      <c r="H1" s="210"/>
    </row>
    <row r="2" spans="1:8" x14ac:dyDescent="0.35">
      <c r="A2" s="212" t="s">
        <v>271</v>
      </c>
      <c r="B2" s="210"/>
      <c r="C2" s="210"/>
      <c r="D2" s="210"/>
      <c r="E2" s="210"/>
      <c r="F2" s="210"/>
      <c r="G2" s="210"/>
      <c r="H2" s="210"/>
    </row>
    <row r="3" spans="1:8" x14ac:dyDescent="0.35">
      <c r="A3" s="200" t="s">
        <v>272</v>
      </c>
    </row>
    <row r="5" spans="1:8" ht="17.649999999999999" x14ac:dyDescent="0.5">
      <c r="A5" s="137" t="s">
        <v>273</v>
      </c>
    </row>
    <row r="6" spans="1:8" ht="13.15" x14ac:dyDescent="0.4">
      <c r="A6" s="140" t="s">
        <v>233</v>
      </c>
      <c r="B6" s="140" t="s">
        <v>274</v>
      </c>
      <c r="C6" s="140" t="s">
        <v>275</v>
      </c>
      <c r="D6" s="140" t="s">
        <v>208</v>
      </c>
      <c r="E6" s="140" t="s">
        <v>276</v>
      </c>
    </row>
    <row r="7" spans="1:8" x14ac:dyDescent="0.35">
      <c r="A7" s="144" t="s">
        <v>237</v>
      </c>
      <c r="B7" s="145">
        <v>3835318.06</v>
      </c>
      <c r="C7" s="145">
        <v>216480</v>
      </c>
      <c r="D7" s="145">
        <v>4051798.06</v>
      </c>
      <c r="E7" s="144" t="s">
        <v>277</v>
      </c>
    </row>
    <row r="8" spans="1:8" x14ac:dyDescent="0.35">
      <c r="A8" s="144" t="s">
        <v>239</v>
      </c>
      <c r="B8" s="145">
        <v>3955534.6</v>
      </c>
      <c r="C8" s="145">
        <v>216480</v>
      </c>
      <c r="D8" s="145">
        <v>4172014.6</v>
      </c>
      <c r="E8" s="144" t="s">
        <v>277</v>
      </c>
    </row>
    <row r="9" spans="1:8" x14ac:dyDescent="0.35">
      <c r="A9" s="144" t="s">
        <v>241</v>
      </c>
      <c r="B9" s="145">
        <v>4341118.432000001</v>
      </c>
      <c r="C9" s="145">
        <v>251888</v>
      </c>
      <c r="D9" s="145">
        <v>4593006.432000001</v>
      </c>
      <c r="E9" s="144" t="s">
        <v>277</v>
      </c>
    </row>
    <row r="10" spans="1:8" x14ac:dyDescent="0.35">
      <c r="A10" s="144" t="s">
        <v>243</v>
      </c>
      <c r="B10" s="145">
        <v>3965421.0380000002</v>
      </c>
      <c r="C10" s="145">
        <v>221584</v>
      </c>
      <c r="D10" s="145">
        <v>4187005.0380000002</v>
      </c>
      <c r="E10" s="144" t="s">
        <v>277</v>
      </c>
    </row>
    <row r="11" spans="1:8" x14ac:dyDescent="0.35">
      <c r="A11" s="144" t="s">
        <v>245</v>
      </c>
      <c r="B11" s="145">
        <v>4053219.2179999999</v>
      </c>
      <c r="C11" s="145">
        <v>216480</v>
      </c>
      <c r="D11" s="145">
        <v>4269699.2180000003</v>
      </c>
      <c r="E11" s="144" t="s">
        <v>277</v>
      </c>
    </row>
    <row r="12" spans="1:8" x14ac:dyDescent="0.35">
      <c r="A12" s="144" t="s">
        <v>247</v>
      </c>
      <c r="B12" s="145">
        <v>4096824.48</v>
      </c>
      <c r="C12" s="145">
        <v>251972</v>
      </c>
      <c r="D12" s="145">
        <v>4348796.4800000004</v>
      </c>
      <c r="E12" s="144" t="s">
        <v>277</v>
      </c>
    </row>
    <row r="13" spans="1:8" x14ac:dyDescent="0.35">
      <c r="A13" s="141" t="s">
        <v>249</v>
      </c>
      <c r="B13" s="142">
        <v>4126973.338</v>
      </c>
      <c r="C13" s="142">
        <v>0</v>
      </c>
      <c r="D13" s="142">
        <v>4126973.338</v>
      </c>
      <c r="E13" s="141" t="s">
        <v>274</v>
      </c>
    </row>
    <row r="14" spans="1:8" x14ac:dyDescent="0.35">
      <c r="A14" s="141" t="s">
        <v>251</v>
      </c>
      <c r="B14" s="142">
        <v>3994333.5279999999</v>
      </c>
      <c r="C14" s="142">
        <v>0</v>
      </c>
      <c r="D14" s="142">
        <v>3994333.5279999999</v>
      </c>
      <c r="E14" s="141" t="s">
        <v>274</v>
      </c>
    </row>
    <row r="15" spans="1:8" x14ac:dyDescent="0.35">
      <c r="A15" s="144" t="s">
        <v>253</v>
      </c>
      <c r="B15" s="145">
        <v>3999993.0860000001</v>
      </c>
      <c r="C15" s="145">
        <v>71724</v>
      </c>
      <c r="D15" s="145">
        <v>4071717.0860000001</v>
      </c>
      <c r="E15" s="144" t="s">
        <v>277</v>
      </c>
    </row>
    <row r="16" spans="1:8" x14ac:dyDescent="0.35">
      <c r="A16" s="144" t="s">
        <v>255</v>
      </c>
      <c r="B16" s="145">
        <v>1153769</v>
      </c>
      <c r="C16" s="145">
        <v>2771341.1039999998</v>
      </c>
      <c r="D16" s="145">
        <v>3925110.1039999998</v>
      </c>
      <c r="E16" s="144" t="s">
        <v>277</v>
      </c>
    </row>
    <row r="17" spans="1:6" x14ac:dyDescent="0.35">
      <c r="A17" s="150" t="s">
        <v>257</v>
      </c>
      <c r="B17" s="151">
        <v>0</v>
      </c>
      <c r="C17" s="151">
        <v>4181682.0959999999</v>
      </c>
      <c r="D17" s="151">
        <v>4181682.0959999999</v>
      </c>
      <c r="E17" s="150" t="s">
        <v>275</v>
      </c>
    </row>
    <row r="18" spans="1:6" x14ac:dyDescent="0.35">
      <c r="A18" s="150" t="s">
        <v>259</v>
      </c>
      <c r="B18" s="151">
        <v>0</v>
      </c>
      <c r="C18" s="151">
        <v>5363846.4119999995</v>
      </c>
      <c r="D18" s="151">
        <v>5363846.4119999995</v>
      </c>
      <c r="E18" s="150" t="s">
        <v>275</v>
      </c>
    </row>
    <row r="20" spans="1:6" ht="13.15" x14ac:dyDescent="0.4">
      <c r="A20" s="139" t="s">
        <v>208</v>
      </c>
      <c r="B20" s="198">
        <f>SUM(B7:B18)</f>
        <v>37522504.780000001</v>
      </c>
      <c r="C20" s="198">
        <f>SUM(C7:C18)</f>
        <v>13763477.612</v>
      </c>
      <c r="D20" s="198">
        <f>SUM(D7:D18)</f>
        <v>51285982.392000005</v>
      </c>
    </row>
    <row r="22" spans="1:6" ht="17.649999999999999" x14ac:dyDescent="0.5">
      <c r="A22" s="137" t="s">
        <v>278</v>
      </c>
    </row>
    <row r="23" spans="1:6" ht="13.15" x14ac:dyDescent="0.4">
      <c r="A23" s="201" t="s">
        <v>203</v>
      </c>
      <c r="B23" s="201" t="s">
        <v>4</v>
      </c>
      <c r="C23" s="201" t="s">
        <v>279</v>
      </c>
      <c r="D23" s="201" t="s">
        <v>280</v>
      </c>
      <c r="E23" s="201" t="s">
        <v>281</v>
      </c>
      <c r="F23" s="201" t="s">
        <v>198</v>
      </c>
    </row>
    <row r="24" spans="1:6" x14ac:dyDescent="0.35">
      <c r="A24" s="165" t="s">
        <v>19</v>
      </c>
      <c r="B24" s="165" t="s">
        <v>62</v>
      </c>
      <c r="C24" s="165" t="s">
        <v>282</v>
      </c>
      <c r="D24" s="166">
        <v>17038824</v>
      </c>
      <c r="E24" s="191">
        <v>0.1045</v>
      </c>
      <c r="F24" s="166">
        <v>163006800</v>
      </c>
    </row>
    <row r="25" spans="1:6" x14ac:dyDescent="0.35">
      <c r="A25" s="165" t="s">
        <v>42</v>
      </c>
      <c r="B25" s="165" t="s">
        <v>63</v>
      </c>
      <c r="C25" s="165" t="s">
        <v>282</v>
      </c>
      <c r="D25" s="166">
        <v>7129365</v>
      </c>
      <c r="E25" s="191">
        <v>0.1071</v>
      </c>
      <c r="F25" s="166">
        <v>66591450</v>
      </c>
    </row>
    <row r="26" spans="1:6" x14ac:dyDescent="0.35">
      <c r="A26" s="165" t="s">
        <v>27</v>
      </c>
      <c r="B26" s="165" t="s">
        <v>28</v>
      </c>
      <c r="C26" s="165" t="s">
        <v>282</v>
      </c>
      <c r="D26" s="166">
        <v>4444990</v>
      </c>
      <c r="E26" s="191">
        <v>0.17399999999999999</v>
      </c>
      <c r="F26" s="166">
        <v>25552750</v>
      </c>
    </row>
    <row r="27" spans="1:6" x14ac:dyDescent="0.35">
      <c r="A27" s="165" t="s">
        <v>60</v>
      </c>
      <c r="B27" s="165" t="s">
        <v>61</v>
      </c>
      <c r="C27" s="165" t="s">
        <v>282</v>
      </c>
      <c r="D27" s="166">
        <v>4009026</v>
      </c>
      <c r="E27" s="191">
        <v>0.16259999999999999</v>
      </c>
      <c r="F27" s="166">
        <v>24652950</v>
      </c>
    </row>
    <row r="28" spans="1:6" x14ac:dyDescent="0.35">
      <c r="A28" s="165" t="s">
        <v>25</v>
      </c>
      <c r="B28" s="165" t="s">
        <v>26</v>
      </c>
      <c r="C28" s="165" t="s">
        <v>282</v>
      </c>
      <c r="D28" s="166">
        <v>3546000</v>
      </c>
      <c r="E28" s="191">
        <v>0.1242</v>
      </c>
      <c r="F28" s="166">
        <v>28545000</v>
      </c>
    </row>
    <row r="29" spans="1:6" x14ac:dyDescent="0.35">
      <c r="A29" s="165" t="s">
        <v>116</v>
      </c>
      <c r="B29" s="165" t="s">
        <v>117</v>
      </c>
      <c r="C29" s="165" t="s">
        <v>282</v>
      </c>
      <c r="D29" s="166">
        <v>2597760</v>
      </c>
      <c r="E29" s="191">
        <v>0.30249999999999999</v>
      </c>
      <c r="F29" s="166">
        <v>8587040</v>
      </c>
    </row>
    <row r="30" spans="1:6" x14ac:dyDescent="0.35">
      <c r="A30" s="165" t="s">
        <v>94</v>
      </c>
      <c r="B30" s="165" t="s">
        <v>95</v>
      </c>
      <c r="C30" s="165" t="s">
        <v>282</v>
      </c>
      <c r="D30" s="166">
        <v>2277440</v>
      </c>
      <c r="E30" s="191">
        <v>0.2021</v>
      </c>
      <c r="F30" s="166">
        <v>11267520</v>
      </c>
    </row>
    <row r="31" spans="1:6" x14ac:dyDescent="0.35">
      <c r="A31" s="165" t="s">
        <v>35</v>
      </c>
      <c r="B31" s="165" t="s">
        <v>36</v>
      </c>
      <c r="C31" s="165" t="s">
        <v>282</v>
      </c>
      <c r="D31" s="166">
        <v>1867500</v>
      </c>
      <c r="E31" s="191">
        <v>9.3399999999999997E-2</v>
      </c>
      <c r="F31" s="166">
        <v>20000000</v>
      </c>
    </row>
    <row r="32" spans="1:6" x14ac:dyDescent="0.35">
      <c r="A32" s="165" t="s">
        <v>33</v>
      </c>
      <c r="B32" s="165" t="s">
        <v>34</v>
      </c>
      <c r="C32" s="165" t="s">
        <v>282</v>
      </c>
      <c r="D32" s="166">
        <v>1539000</v>
      </c>
      <c r="E32" s="191">
        <v>7.5800000000000006E-2</v>
      </c>
      <c r="F32" s="166">
        <v>20310000</v>
      </c>
    </row>
    <row r="33" spans="1:8" x14ac:dyDescent="0.35">
      <c r="A33" s="165" t="s">
        <v>22</v>
      </c>
      <c r="B33" s="165" t="s">
        <v>23</v>
      </c>
      <c r="C33" s="165" t="s">
        <v>282</v>
      </c>
      <c r="D33" s="166">
        <v>1234183</v>
      </c>
      <c r="E33" s="191">
        <v>3.0499999999999999E-2</v>
      </c>
      <c r="F33" s="166">
        <v>40464390</v>
      </c>
    </row>
    <row r="34" spans="1:8" x14ac:dyDescent="0.35">
      <c r="A34" s="165" t="s">
        <v>30</v>
      </c>
      <c r="B34" s="165" t="s">
        <v>31</v>
      </c>
      <c r="C34" s="165" t="s">
        <v>283</v>
      </c>
      <c r="D34" s="166">
        <v>1061859</v>
      </c>
      <c r="E34" s="191">
        <v>2.1000000000000001E-2</v>
      </c>
      <c r="F34" s="166">
        <v>50556895</v>
      </c>
    </row>
    <row r="35" spans="1:8" x14ac:dyDescent="0.35">
      <c r="A35" s="165" t="s">
        <v>67</v>
      </c>
      <c r="B35" s="165" t="s">
        <v>68</v>
      </c>
      <c r="C35" s="165" t="s">
        <v>282</v>
      </c>
      <c r="D35" s="166">
        <v>956640</v>
      </c>
      <c r="E35" s="191">
        <v>0.1323</v>
      </c>
      <c r="F35" s="166">
        <v>7228800</v>
      </c>
    </row>
    <row r="36" spans="1:8" x14ac:dyDescent="0.35">
      <c r="A36" s="165" t="s">
        <v>45</v>
      </c>
      <c r="B36" s="165" t="s">
        <v>46</v>
      </c>
      <c r="C36" s="165" t="s">
        <v>282</v>
      </c>
      <c r="D36" s="166">
        <v>547295</v>
      </c>
      <c r="E36" s="191">
        <v>3.0800000000000001E-2</v>
      </c>
      <c r="F36" s="166">
        <v>17762150</v>
      </c>
    </row>
    <row r="37" spans="1:8" x14ac:dyDescent="0.35">
      <c r="A37" s="165" t="s">
        <v>51</v>
      </c>
      <c r="B37" s="165" t="s">
        <v>284</v>
      </c>
      <c r="C37" s="165" t="s">
        <v>282</v>
      </c>
      <c r="D37" s="166">
        <v>525300</v>
      </c>
      <c r="E37" s="191">
        <v>0.11119999999999999</v>
      </c>
      <c r="F37" s="166">
        <v>4723875</v>
      </c>
    </row>
    <row r="38" spans="1:8" x14ac:dyDescent="0.35">
      <c r="A38" s="165" t="s">
        <v>48</v>
      </c>
      <c r="B38" s="165" t="s">
        <v>285</v>
      </c>
      <c r="C38" s="165" t="s">
        <v>282</v>
      </c>
      <c r="D38" s="166">
        <v>282371</v>
      </c>
      <c r="E38" s="191">
        <v>9.300000000000001E-3</v>
      </c>
      <c r="F38" s="166">
        <v>30306330</v>
      </c>
    </row>
    <row r="42" spans="1:8" ht="17.649999999999999" x14ac:dyDescent="0.5">
      <c r="A42" s="137" t="s">
        <v>286</v>
      </c>
    </row>
    <row r="43" spans="1:8" ht="13.15" x14ac:dyDescent="0.4">
      <c r="A43" s="140" t="s">
        <v>231</v>
      </c>
      <c r="B43" s="140" t="s">
        <v>233</v>
      </c>
      <c r="C43" s="140" t="s">
        <v>203</v>
      </c>
      <c r="D43" s="140" t="s">
        <v>4</v>
      </c>
      <c r="E43" s="140" t="s">
        <v>13</v>
      </c>
      <c r="F43" s="140" t="s">
        <v>14</v>
      </c>
      <c r="G43" s="140" t="s">
        <v>287</v>
      </c>
      <c r="H43" s="140" t="s">
        <v>276</v>
      </c>
    </row>
    <row r="44" spans="1:8" x14ac:dyDescent="0.35">
      <c r="A44" s="202">
        <v>46031</v>
      </c>
      <c r="B44" s="141">
        <v>1</v>
      </c>
      <c r="C44" s="141" t="s">
        <v>156</v>
      </c>
      <c r="D44" s="141" t="s">
        <v>157</v>
      </c>
      <c r="E44" s="142"/>
      <c r="F44" s="203">
        <v>1</v>
      </c>
      <c r="G44" s="142">
        <v>1326</v>
      </c>
      <c r="H44" s="141" t="s">
        <v>274</v>
      </c>
    </row>
    <row r="45" spans="1:8" x14ac:dyDescent="0.35">
      <c r="A45" s="202">
        <v>46036</v>
      </c>
      <c r="B45" s="141">
        <v>1</v>
      </c>
      <c r="C45" s="141" t="s">
        <v>25</v>
      </c>
      <c r="D45" s="141" t="s">
        <v>26</v>
      </c>
      <c r="E45" s="142">
        <v>285000</v>
      </c>
      <c r="F45" s="203"/>
      <c r="G45" s="142">
        <v>285000</v>
      </c>
      <c r="H45" s="141" t="s">
        <v>274</v>
      </c>
    </row>
    <row r="46" spans="1:8" x14ac:dyDescent="0.35">
      <c r="A46" s="202">
        <v>46036</v>
      </c>
      <c r="B46" s="141">
        <v>1</v>
      </c>
      <c r="C46" s="141" t="s">
        <v>42</v>
      </c>
      <c r="D46" s="141" t="s">
        <v>63</v>
      </c>
      <c r="E46" s="142">
        <v>617740</v>
      </c>
      <c r="F46" s="203"/>
      <c r="G46" s="142">
        <v>617740</v>
      </c>
      <c r="H46" s="141" t="s">
        <v>274</v>
      </c>
    </row>
    <row r="47" spans="1:8" x14ac:dyDescent="0.35">
      <c r="A47" s="202">
        <v>46036</v>
      </c>
      <c r="B47" s="141">
        <v>1</v>
      </c>
      <c r="C47" s="141" t="s">
        <v>22</v>
      </c>
      <c r="D47" s="141" t="s">
        <v>23</v>
      </c>
      <c r="E47" s="142">
        <v>118451</v>
      </c>
      <c r="F47" s="203"/>
      <c r="G47" s="142">
        <v>118451</v>
      </c>
      <c r="H47" s="141" t="s">
        <v>274</v>
      </c>
    </row>
    <row r="48" spans="1:8" x14ac:dyDescent="0.35">
      <c r="A48" s="202">
        <v>46036</v>
      </c>
      <c r="B48" s="141">
        <v>1</v>
      </c>
      <c r="C48" s="141" t="s">
        <v>94</v>
      </c>
      <c r="D48" s="141" t="s">
        <v>95</v>
      </c>
      <c r="E48" s="142">
        <v>149952</v>
      </c>
      <c r="F48" s="203"/>
      <c r="G48" s="142">
        <v>149952</v>
      </c>
      <c r="H48" s="141" t="s">
        <v>274</v>
      </c>
    </row>
    <row r="49" spans="1:8" x14ac:dyDescent="0.35">
      <c r="A49" s="202">
        <v>46051</v>
      </c>
      <c r="B49" s="141">
        <v>1</v>
      </c>
      <c r="C49" s="141" t="s">
        <v>177</v>
      </c>
      <c r="D49" s="141" t="s">
        <v>178</v>
      </c>
      <c r="E49" s="142">
        <v>12825</v>
      </c>
      <c r="F49" s="203"/>
      <c r="G49" s="142">
        <v>12825</v>
      </c>
      <c r="H49" s="141" t="s">
        <v>274</v>
      </c>
    </row>
    <row r="50" spans="1:8" x14ac:dyDescent="0.35">
      <c r="A50" s="202">
        <v>46051</v>
      </c>
      <c r="B50" s="141">
        <v>1</v>
      </c>
      <c r="C50" s="141" t="s">
        <v>35</v>
      </c>
      <c r="D50" s="141" t="s">
        <v>36</v>
      </c>
      <c r="E50" s="142">
        <v>165000</v>
      </c>
      <c r="F50" s="203"/>
      <c r="G50" s="142">
        <v>165000</v>
      </c>
      <c r="H50" s="141" t="s">
        <v>274</v>
      </c>
    </row>
    <row r="51" spans="1:8" x14ac:dyDescent="0.35">
      <c r="A51" s="202">
        <v>46051</v>
      </c>
      <c r="B51" s="141">
        <v>1</v>
      </c>
      <c r="C51" s="141" t="s">
        <v>57</v>
      </c>
      <c r="D51" s="141" t="s">
        <v>58</v>
      </c>
      <c r="E51" s="142">
        <v>14365</v>
      </c>
      <c r="F51" s="203"/>
      <c r="G51" s="142">
        <v>14365</v>
      </c>
      <c r="H51" s="141" t="s">
        <v>274</v>
      </c>
    </row>
    <row r="52" spans="1:8" x14ac:dyDescent="0.35">
      <c r="A52" s="202">
        <v>46051</v>
      </c>
      <c r="B52" s="141">
        <v>1</v>
      </c>
      <c r="C52" s="141" t="s">
        <v>55</v>
      </c>
      <c r="D52" s="141" t="s">
        <v>56</v>
      </c>
      <c r="E52" s="142">
        <v>12844</v>
      </c>
      <c r="F52" s="203"/>
      <c r="G52" s="142">
        <v>12844</v>
      </c>
      <c r="H52" s="141" t="s">
        <v>274</v>
      </c>
    </row>
    <row r="53" spans="1:8" x14ac:dyDescent="0.35">
      <c r="A53" s="202">
        <v>46051</v>
      </c>
      <c r="B53" s="141">
        <v>1</v>
      </c>
      <c r="C53" s="141" t="s">
        <v>38</v>
      </c>
      <c r="D53" s="141" t="s">
        <v>39</v>
      </c>
      <c r="E53" s="142">
        <v>35292</v>
      </c>
      <c r="F53" s="203"/>
      <c r="G53" s="142">
        <v>35292</v>
      </c>
      <c r="H53" s="141" t="s">
        <v>274</v>
      </c>
    </row>
    <row r="54" spans="1:8" x14ac:dyDescent="0.35">
      <c r="A54" s="202">
        <v>46051</v>
      </c>
      <c r="B54" s="141">
        <v>1</v>
      </c>
      <c r="C54" s="141" t="s">
        <v>48</v>
      </c>
      <c r="D54" s="141" t="s">
        <v>285</v>
      </c>
      <c r="E54" s="142">
        <v>17244</v>
      </c>
      <c r="F54" s="203"/>
      <c r="G54" s="142">
        <v>17244</v>
      </c>
      <c r="H54" s="141" t="s">
        <v>274</v>
      </c>
    </row>
    <row r="55" spans="1:8" x14ac:dyDescent="0.35">
      <c r="A55" s="202">
        <v>46051</v>
      </c>
      <c r="B55" s="141">
        <v>1</v>
      </c>
      <c r="C55" s="141" t="s">
        <v>45</v>
      </c>
      <c r="D55" s="141" t="s">
        <v>46</v>
      </c>
      <c r="E55" s="142">
        <v>39900</v>
      </c>
      <c r="F55" s="203"/>
      <c r="G55" s="142">
        <v>39900</v>
      </c>
      <c r="H55" s="141" t="s">
        <v>274</v>
      </c>
    </row>
    <row r="56" spans="1:8" x14ac:dyDescent="0.35">
      <c r="A56" s="202">
        <v>46051</v>
      </c>
      <c r="B56" s="141">
        <v>1</v>
      </c>
      <c r="C56" s="141" t="s">
        <v>19</v>
      </c>
      <c r="D56" s="141" t="s">
        <v>62</v>
      </c>
      <c r="E56" s="142">
        <v>1353264</v>
      </c>
      <c r="F56" s="203"/>
      <c r="G56" s="142">
        <v>1353264</v>
      </c>
      <c r="H56" s="141" t="s">
        <v>274</v>
      </c>
    </row>
    <row r="57" spans="1:8" x14ac:dyDescent="0.35">
      <c r="A57" s="202">
        <v>46051</v>
      </c>
      <c r="B57" s="141">
        <v>1</v>
      </c>
      <c r="C57" s="141" t="s">
        <v>33</v>
      </c>
      <c r="D57" s="141" t="s">
        <v>34</v>
      </c>
      <c r="E57" s="142">
        <v>146000</v>
      </c>
      <c r="F57" s="203"/>
      <c r="G57" s="142">
        <v>146000</v>
      </c>
      <c r="H57" s="141" t="s">
        <v>274</v>
      </c>
    </row>
    <row r="58" spans="1:8" x14ac:dyDescent="0.35">
      <c r="A58" s="202">
        <v>46051</v>
      </c>
      <c r="B58" s="141">
        <v>1</v>
      </c>
      <c r="C58" s="141" t="s">
        <v>67</v>
      </c>
      <c r="D58" s="141" t="s">
        <v>68</v>
      </c>
      <c r="E58" s="142">
        <v>72000</v>
      </c>
      <c r="F58" s="203"/>
      <c r="G58" s="142">
        <v>72000</v>
      </c>
      <c r="H58" s="141" t="s">
        <v>274</v>
      </c>
    </row>
    <row r="59" spans="1:8" x14ac:dyDescent="0.35">
      <c r="A59" s="202">
        <v>46051</v>
      </c>
      <c r="B59" s="141">
        <v>1</v>
      </c>
      <c r="C59" s="141" t="s">
        <v>87</v>
      </c>
      <c r="D59" s="141" t="s">
        <v>88</v>
      </c>
      <c r="E59" s="142">
        <v>3131</v>
      </c>
      <c r="F59" s="203"/>
      <c r="G59" s="142">
        <v>3131</v>
      </c>
      <c r="H59" s="141" t="s">
        <v>274</v>
      </c>
    </row>
    <row r="60" spans="1:8" x14ac:dyDescent="0.35">
      <c r="A60" s="202">
        <v>46051</v>
      </c>
      <c r="B60" s="141">
        <v>1</v>
      </c>
      <c r="C60" s="141" t="s">
        <v>84</v>
      </c>
      <c r="D60" s="141" t="s">
        <v>85</v>
      </c>
      <c r="E60" s="142">
        <v>1200</v>
      </c>
      <c r="F60" s="203"/>
      <c r="G60" s="142">
        <v>1200</v>
      </c>
      <c r="H60" s="141" t="s">
        <v>274</v>
      </c>
    </row>
    <row r="61" spans="1:8" x14ac:dyDescent="0.35">
      <c r="A61" s="202">
        <v>46051</v>
      </c>
      <c r="B61" s="141">
        <v>1</v>
      </c>
      <c r="C61" s="141" t="s">
        <v>51</v>
      </c>
      <c r="D61" s="141" t="s">
        <v>284</v>
      </c>
      <c r="E61" s="142">
        <v>42500</v>
      </c>
      <c r="F61" s="203"/>
      <c r="G61" s="142">
        <v>42500</v>
      </c>
      <c r="H61" s="141" t="s">
        <v>274</v>
      </c>
    </row>
    <row r="62" spans="1:8" x14ac:dyDescent="0.35">
      <c r="A62" s="202">
        <v>46051</v>
      </c>
      <c r="B62" s="141">
        <v>1</v>
      </c>
      <c r="C62" s="141" t="s">
        <v>60</v>
      </c>
      <c r="D62" s="141" t="s">
        <v>61</v>
      </c>
      <c r="E62" s="142">
        <v>353934</v>
      </c>
      <c r="F62" s="203"/>
      <c r="G62" s="142">
        <v>353934</v>
      </c>
      <c r="H62" s="141" t="s">
        <v>274</v>
      </c>
    </row>
    <row r="63" spans="1:8" x14ac:dyDescent="0.35">
      <c r="A63" s="202">
        <v>46051</v>
      </c>
      <c r="B63" s="141">
        <v>1</v>
      </c>
      <c r="C63" s="141" t="s">
        <v>72</v>
      </c>
      <c r="D63" s="141" t="s">
        <v>73</v>
      </c>
      <c r="E63" s="142">
        <v>5940</v>
      </c>
      <c r="F63" s="203"/>
      <c r="G63" s="142">
        <v>5940</v>
      </c>
      <c r="H63" s="141" t="s">
        <v>274</v>
      </c>
    </row>
    <row r="64" spans="1:8" x14ac:dyDescent="0.35">
      <c r="A64" s="202">
        <v>46051</v>
      </c>
      <c r="B64" s="141">
        <v>1</v>
      </c>
      <c r="C64" s="141" t="s">
        <v>27</v>
      </c>
      <c r="D64" s="141" t="s">
        <v>28</v>
      </c>
      <c r="E64" s="142">
        <v>368435</v>
      </c>
      <c r="F64" s="203"/>
      <c r="G64" s="142">
        <v>368435</v>
      </c>
      <c r="H64" s="141" t="s">
        <v>274</v>
      </c>
    </row>
    <row r="65" spans="1:8" x14ac:dyDescent="0.35">
      <c r="A65" s="202">
        <v>46052</v>
      </c>
      <c r="B65" s="141">
        <v>1</v>
      </c>
      <c r="C65" s="141" t="s">
        <v>98</v>
      </c>
      <c r="D65" s="141" t="s">
        <v>99</v>
      </c>
      <c r="E65" s="142"/>
      <c r="F65" s="203">
        <v>14.31</v>
      </c>
      <c r="G65" s="142">
        <v>18975.060000000001</v>
      </c>
      <c r="H65" s="141" t="s">
        <v>274</v>
      </c>
    </row>
    <row r="66" spans="1:8" x14ac:dyDescent="0.35">
      <c r="A66" s="204">
        <v>46053</v>
      </c>
      <c r="B66" s="150">
        <v>1</v>
      </c>
      <c r="C66" s="150" t="s">
        <v>116</v>
      </c>
      <c r="D66" s="150" t="s">
        <v>117</v>
      </c>
      <c r="E66" s="151">
        <v>216480</v>
      </c>
      <c r="F66" s="205"/>
      <c r="G66" s="151">
        <v>216480</v>
      </c>
      <c r="H66" s="150" t="s">
        <v>275</v>
      </c>
    </row>
    <row r="67" spans="1:8" x14ac:dyDescent="0.35">
      <c r="A67" s="202">
        <v>46062</v>
      </c>
      <c r="B67" s="141">
        <v>2</v>
      </c>
      <c r="C67" s="141" t="s">
        <v>103</v>
      </c>
      <c r="D67" s="141" t="s">
        <v>104</v>
      </c>
      <c r="E67" s="142"/>
      <c r="F67" s="203">
        <v>2.34</v>
      </c>
      <c r="G67" s="142">
        <v>3102.84</v>
      </c>
      <c r="H67" s="141" t="s">
        <v>274</v>
      </c>
    </row>
    <row r="68" spans="1:8" x14ac:dyDescent="0.35">
      <c r="A68" s="202">
        <v>46065</v>
      </c>
      <c r="B68" s="141">
        <v>2</v>
      </c>
      <c r="C68" s="141" t="s">
        <v>25</v>
      </c>
      <c r="D68" s="141" t="s">
        <v>26</v>
      </c>
      <c r="E68" s="142">
        <v>306000</v>
      </c>
      <c r="F68" s="203"/>
      <c r="G68" s="142">
        <v>306000</v>
      </c>
      <c r="H68" s="141" t="s">
        <v>274</v>
      </c>
    </row>
    <row r="69" spans="1:8" x14ac:dyDescent="0.35">
      <c r="A69" s="202">
        <v>46065</v>
      </c>
      <c r="B69" s="141">
        <v>2</v>
      </c>
      <c r="C69" s="141" t="s">
        <v>42</v>
      </c>
      <c r="D69" s="141" t="s">
        <v>63</v>
      </c>
      <c r="E69" s="142">
        <v>594690</v>
      </c>
      <c r="F69" s="203"/>
      <c r="G69" s="142">
        <v>594690</v>
      </c>
      <c r="H69" s="141" t="s">
        <v>274</v>
      </c>
    </row>
    <row r="70" spans="1:8" x14ac:dyDescent="0.35">
      <c r="A70" s="202">
        <v>46065</v>
      </c>
      <c r="B70" s="141">
        <v>2</v>
      </c>
      <c r="C70" s="141" t="s">
        <v>22</v>
      </c>
      <c r="D70" s="141" t="s">
        <v>23</v>
      </c>
      <c r="E70" s="142">
        <v>91704</v>
      </c>
      <c r="F70" s="203"/>
      <c r="G70" s="142">
        <v>91704</v>
      </c>
      <c r="H70" s="141" t="s">
        <v>274</v>
      </c>
    </row>
    <row r="71" spans="1:8" x14ac:dyDescent="0.35">
      <c r="A71" s="202">
        <v>46065</v>
      </c>
      <c r="B71" s="141">
        <v>2</v>
      </c>
      <c r="C71" s="141" t="s">
        <v>94</v>
      </c>
      <c r="D71" s="141" t="s">
        <v>95</v>
      </c>
      <c r="E71" s="142">
        <v>171776</v>
      </c>
      <c r="F71" s="203"/>
      <c r="G71" s="142">
        <v>171776</v>
      </c>
      <c r="H71" s="141" t="s">
        <v>274</v>
      </c>
    </row>
    <row r="72" spans="1:8" x14ac:dyDescent="0.35">
      <c r="A72" s="202">
        <v>46065</v>
      </c>
      <c r="B72" s="141">
        <v>2</v>
      </c>
      <c r="C72" s="141" t="s">
        <v>189</v>
      </c>
      <c r="D72" s="141" t="s">
        <v>190</v>
      </c>
      <c r="E72" s="142"/>
      <c r="F72" s="203">
        <v>1.03</v>
      </c>
      <c r="G72" s="142">
        <v>1365.78</v>
      </c>
      <c r="H72" s="141" t="s">
        <v>274</v>
      </c>
    </row>
    <row r="73" spans="1:8" x14ac:dyDescent="0.35">
      <c r="A73" s="202">
        <v>46066</v>
      </c>
      <c r="B73" s="141">
        <v>2</v>
      </c>
      <c r="C73" s="141" t="s">
        <v>161</v>
      </c>
      <c r="D73" s="141" t="s">
        <v>162</v>
      </c>
      <c r="E73" s="142"/>
      <c r="F73" s="203">
        <v>1.24</v>
      </c>
      <c r="G73" s="142">
        <v>1644.24</v>
      </c>
      <c r="H73" s="141" t="s">
        <v>274</v>
      </c>
    </row>
    <row r="74" spans="1:8" x14ac:dyDescent="0.35">
      <c r="A74" s="202">
        <v>46070</v>
      </c>
      <c r="B74" s="141">
        <v>2</v>
      </c>
      <c r="C74" s="141" t="s">
        <v>187</v>
      </c>
      <c r="D74" s="141" t="s">
        <v>188</v>
      </c>
      <c r="E74" s="142"/>
      <c r="F74" s="203">
        <v>1.78</v>
      </c>
      <c r="G74" s="142">
        <v>2360.2800000000002</v>
      </c>
      <c r="H74" s="141" t="s">
        <v>274</v>
      </c>
    </row>
    <row r="75" spans="1:8" x14ac:dyDescent="0.35">
      <c r="A75" s="202">
        <v>46072</v>
      </c>
      <c r="B75" s="141">
        <v>2</v>
      </c>
      <c r="C75" s="141" t="s">
        <v>130</v>
      </c>
      <c r="D75" s="141" t="s">
        <v>131</v>
      </c>
      <c r="E75" s="142"/>
      <c r="F75" s="203">
        <v>1.82</v>
      </c>
      <c r="G75" s="142">
        <v>2413.3200000000002</v>
      </c>
      <c r="H75" s="141" t="s">
        <v>274</v>
      </c>
    </row>
    <row r="76" spans="1:8" x14ac:dyDescent="0.35">
      <c r="A76" s="202">
        <v>46079</v>
      </c>
      <c r="B76" s="141">
        <v>2</v>
      </c>
      <c r="C76" s="141" t="s">
        <v>78</v>
      </c>
      <c r="D76" s="141" t="s">
        <v>79</v>
      </c>
      <c r="E76" s="142">
        <v>33150</v>
      </c>
      <c r="F76" s="203"/>
      <c r="G76" s="142">
        <v>33150</v>
      </c>
      <c r="H76" s="141" t="s">
        <v>274</v>
      </c>
    </row>
    <row r="77" spans="1:8" x14ac:dyDescent="0.35">
      <c r="A77" s="202">
        <v>46079</v>
      </c>
      <c r="B77" s="141">
        <v>2</v>
      </c>
      <c r="C77" s="141">
        <v>105560</v>
      </c>
      <c r="D77" s="141" t="s">
        <v>112</v>
      </c>
      <c r="E77" s="142">
        <v>19260</v>
      </c>
      <c r="F77" s="203"/>
      <c r="G77" s="142">
        <v>19260</v>
      </c>
      <c r="H77" s="141" t="s">
        <v>274</v>
      </c>
    </row>
    <row r="78" spans="1:8" x14ac:dyDescent="0.35">
      <c r="A78" s="202">
        <v>46079</v>
      </c>
      <c r="B78" s="141">
        <v>2</v>
      </c>
      <c r="C78" s="141" t="s">
        <v>35</v>
      </c>
      <c r="D78" s="141" t="s">
        <v>36</v>
      </c>
      <c r="E78" s="142">
        <v>165000</v>
      </c>
      <c r="F78" s="203"/>
      <c r="G78" s="142">
        <v>165000</v>
      </c>
      <c r="H78" s="141" t="s">
        <v>274</v>
      </c>
    </row>
    <row r="79" spans="1:8" x14ac:dyDescent="0.35">
      <c r="A79" s="202">
        <v>46079</v>
      </c>
      <c r="B79" s="141">
        <v>2</v>
      </c>
      <c r="C79" s="141" t="s">
        <v>48</v>
      </c>
      <c r="D79" s="141" t="s">
        <v>285</v>
      </c>
      <c r="E79" s="142">
        <v>20118</v>
      </c>
      <c r="F79" s="203"/>
      <c r="G79" s="142">
        <v>20118</v>
      </c>
      <c r="H79" s="141" t="s">
        <v>274</v>
      </c>
    </row>
    <row r="80" spans="1:8" x14ac:dyDescent="0.35">
      <c r="A80" s="202">
        <v>46079</v>
      </c>
      <c r="B80" s="141">
        <v>2</v>
      </c>
      <c r="C80" s="141" t="s">
        <v>45</v>
      </c>
      <c r="D80" s="141" t="s">
        <v>46</v>
      </c>
      <c r="E80" s="142">
        <v>46550</v>
      </c>
      <c r="F80" s="203"/>
      <c r="G80" s="142">
        <v>46550</v>
      </c>
      <c r="H80" s="141" t="s">
        <v>274</v>
      </c>
    </row>
    <row r="81" spans="1:8" x14ac:dyDescent="0.35">
      <c r="A81" s="202">
        <v>46079</v>
      </c>
      <c r="B81" s="141">
        <v>2</v>
      </c>
      <c r="C81" s="141" t="s">
        <v>19</v>
      </c>
      <c r="D81" s="141" t="s">
        <v>62</v>
      </c>
      <c r="E81" s="142">
        <v>1445532</v>
      </c>
      <c r="F81" s="203"/>
      <c r="G81" s="142">
        <v>1445532</v>
      </c>
      <c r="H81" s="141" t="s">
        <v>274</v>
      </c>
    </row>
    <row r="82" spans="1:8" x14ac:dyDescent="0.35">
      <c r="A82" s="202">
        <v>46079</v>
      </c>
      <c r="B82" s="141">
        <v>2</v>
      </c>
      <c r="C82" s="141" t="s">
        <v>33</v>
      </c>
      <c r="D82" s="141" t="s">
        <v>34</v>
      </c>
      <c r="E82" s="142">
        <v>128000</v>
      </c>
      <c r="F82" s="203"/>
      <c r="G82" s="142">
        <v>128000</v>
      </c>
      <c r="H82" s="141" t="s">
        <v>274</v>
      </c>
    </row>
    <row r="83" spans="1:8" x14ac:dyDescent="0.35">
      <c r="A83" s="202">
        <v>46079</v>
      </c>
      <c r="B83" s="141">
        <v>2</v>
      </c>
      <c r="C83" s="141" t="s">
        <v>67</v>
      </c>
      <c r="D83" s="141" t="s">
        <v>68</v>
      </c>
      <c r="E83" s="142">
        <v>72000</v>
      </c>
      <c r="F83" s="203"/>
      <c r="G83" s="142">
        <v>72000</v>
      </c>
      <c r="H83" s="141" t="s">
        <v>274</v>
      </c>
    </row>
    <row r="84" spans="1:8" x14ac:dyDescent="0.35">
      <c r="A84" s="202">
        <v>46079</v>
      </c>
      <c r="B84" s="141">
        <v>2</v>
      </c>
      <c r="C84" s="141" t="s">
        <v>87</v>
      </c>
      <c r="D84" s="141" t="s">
        <v>88</v>
      </c>
      <c r="E84" s="142">
        <v>3131</v>
      </c>
      <c r="F84" s="203"/>
      <c r="G84" s="142">
        <v>3131</v>
      </c>
      <c r="H84" s="141" t="s">
        <v>274</v>
      </c>
    </row>
    <row r="85" spans="1:8" x14ac:dyDescent="0.35">
      <c r="A85" s="202">
        <v>46079</v>
      </c>
      <c r="B85" s="141">
        <v>2</v>
      </c>
      <c r="C85" s="141" t="s">
        <v>84</v>
      </c>
      <c r="D85" s="141" t="s">
        <v>85</v>
      </c>
      <c r="E85" s="142">
        <v>1200</v>
      </c>
      <c r="F85" s="203"/>
      <c r="G85" s="142">
        <v>1200</v>
      </c>
      <c r="H85" s="141" t="s">
        <v>274</v>
      </c>
    </row>
    <row r="86" spans="1:8" x14ac:dyDescent="0.35">
      <c r="A86" s="202">
        <v>46079</v>
      </c>
      <c r="B86" s="141">
        <v>2</v>
      </c>
      <c r="C86" s="141" t="s">
        <v>51</v>
      </c>
      <c r="D86" s="141" t="s">
        <v>284</v>
      </c>
      <c r="E86" s="142">
        <v>41225</v>
      </c>
      <c r="F86" s="203"/>
      <c r="G86" s="142">
        <v>41225</v>
      </c>
      <c r="H86" s="141" t="s">
        <v>274</v>
      </c>
    </row>
    <row r="87" spans="1:8" x14ac:dyDescent="0.35">
      <c r="A87" s="202">
        <v>46079</v>
      </c>
      <c r="B87" s="141">
        <v>2</v>
      </c>
      <c r="C87" s="141" t="s">
        <v>60</v>
      </c>
      <c r="D87" s="141" t="s">
        <v>61</v>
      </c>
      <c r="E87" s="142">
        <v>331674</v>
      </c>
      <c r="F87" s="203"/>
      <c r="G87" s="142">
        <v>331674</v>
      </c>
      <c r="H87" s="141" t="s">
        <v>274</v>
      </c>
    </row>
    <row r="88" spans="1:8" x14ac:dyDescent="0.35">
      <c r="A88" s="202">
        <v>46079</v>
      </c>
      <c r="B88" s="141">
        <v>2</v>
      </c>
      <c r="C88" s="141" t="s">
        <v>27</v>
      </c>
      <c r="D88" s="141" t="s">
        <v>28</v>
      </c>
      <c r="E88" s="142">
        <v>449253</v>
      </c>
      <c r="F88" s="203"/>
      <c r="G88" s="142">
        <v>449253</v>
      </c>
      <c r="H88" s="141" t="s">
        <v>274</v>
      </c>
    </row>
    <row r="89" spans="1:8" x14ac:dyDescent="0.35">
      <c r="A89" s="202">
        <v>46080</v>
      </c>
      <c r="B89" s="141">
        <v>2</v>
      </c>
      <c r="C89" s="141" t="s">
        <v>98</v>
      </c>
      <c r="D89" s="141" t="s">
        <v>99</v>
      </c>
      <c r="E89" s="142"/>
      <c r="F89" s="203">
        <v>14.31</v>
      </c>
      <c r="G89" s="142">
        <v>18975.060000000001</v>
      </c>
      <c r="H89" s="141" t="s">
        <v>274</v>
      </c>
    </row>
    <row r="90" spans="1:8" x14ac:dyDescent="0.35">
      <c r="A90" s="202">
        <v>46080</v>
      </c>
      <c r="B90" s="141">
        <v>2</v>
      </c>
      <c r="C90" s="141" t="s">
        <v>133</v>
      </c>
      <c r="D90" s="141" t="s">
        <v>134</v>
      </c>
      <c r="E90" s="142"/>
      <c r="F90" s="203">
        <v>4.08</v>
      </c>
      <c r="G90" s="142">
        <v>5410.08</v>
      </c>
      <c r="H90" s="141" t="s">
        <v>274</v>
      </c>
    </row>
    <row r="91" spans="1:8" x14ac:dyDescent="0.35">
      <c r="A91" s="204">
        <v>46081</v>
      </c>
      <c r="B91" s="150">
        <v>2</v>
      </c>
      <c r="C91" s="150" t="s">
        <v>116</v>
      </c>
      <c r="D91" s="150" t="s">
        <v>117</v>
      </c>
      <c r="E91" s="151">
        <v>216480</v>
      </c>
      <c r="F91" s="205"/>
      <c r="G91" s="151">
        <v>216480</v>
      </c>
      <c r="H91" s="150" t="s">
        <v>275</v>
      </c>
    </row>
    <row r="92" spans="1:8" x14ac:dyDescent="0.35">
      <c r="A92" s="202">
        <v>46083</v>
      </c>
      <c r="B92" s="141">
        <v>3</v>
      </c>
      <c r="C92" s="141" t="s">
        <v>146</v>
      </c>
      <c r="D92" s="141" t="s">
        <v>147</v>
      </c>
      <c r="E92" s="142"/>
      <c r="F92" s="203">
        <v>4.0999999999999996</v>
      </c>
      <c r="G92" s="142">
        <v>5436.5999999999995</v>
      </c>
      <c r="H92" s="141" t="s">
        <v>274</v>
      </c>
    </row>
    <row r="93" spans="1:8" x14ac:dyDescent="0.35">
      <c r="A93" s="202">
        <v>46093</v>
      </c>
      <c r="B93" s="141">
        <v>3</v>
      </c>
      <c r="C93" s="141" t="s">
        <v>25</v>
      </c>
      <c r="D93" s="141" t="s">
        <v>26</v>
      </c>
      <c r="E93" s="142">
        <v>303000</v>
      </c>
      <c r="F93" s="203"/>
      <c r="G93" s="142">
        <v>303000</v>
      </c>
      <c r="H93" s="141" t="s">
        <v>274</v>
      </c>
    </row>
    <row r="94" spans="1:8" x14ac:dyDescent="0.35">
      <c r="A94" s="202">
        <v>46093</v>
      </c>
      <c r="B94" s="141">
        <v>3</v>
      </c>
      <c r="C94" s="141" t="s">
        <v>107</v>
      </c>
      <c r="D94" s="141" t="s">
        <v>108</v>
      </c>
      <c r="E94" s="142">
        <v>9000</v>
      </c>
      <c r="F94" s="203"/>
      <c r="G94" s="142">
        <v>9000</v>
      </c>
      <c r="H94" s="141" t="s">
        <v>274</v>
      </c>
    </row>
    <row r="95" spans="1:8" x14ac:dyDescent="0.35">
      <c r="A95" s="202">
        <v>46093</v>
      </c>
      <c r="B95" s="141">
        <v>3</v>
      </c>
      <c r="C95" s="141" t="s">
        <v>42</v>
      </c>
      <c r="D95" s="141" t="s">
        <v>63</v>
      </c>
      <c r="E95" s="142">
        <v>580860</v>
      </c>
      <c r="F95" s="203"/>
      <c r="G95" s="142">
        <v>580860</v>
      </c>
      <c r="H95" s="141" t="s">
        <v>274</v>
      </c>
    </row>
    <row r="96" spans="1:8" x14ac:dyDescent="0.35">
      <c r="A96" s="202">
        <v>46093</v>
      </c>
      <c r="B96" s="141">
        <v>3</v>
      </c>
      <c r="C96" s="141" t="s">
        <v>22</v>
      </c>
      <c r="D96" s="141" t="s">
        <v>23</v>
      </c>
      <c r="E96" s="142">
        <v>114630</v>
      </c>
      <c r="F96" s="203"/>
      <c r="G96" s="142">
        <v>114630</v>
      </c>
      <c r="H96" s="141" t="s">
        <v>274</v>
      </c>
    </row>
    <row r="97" spans="1:8" x14ac:dyDescent="0.35">
      <c r="A97" s="202">
        <v>46093</v>
      </c>
      <c r="B97" s="141">
        <v>3</v>
      </c>
      <c r="C97" s="141" t="s">
        <v>94</v>
      </c>
      <c r="D97" s="141" t="s">
        <v>95</v>
      </c>
      <c r="E97" s="142">
        <v>177408</v>
      </c>
      <c r="F97" s="203"/>
      <c r="G97" s="142">
        <v>177408</v>
      </c>
      <c r="H97" s="141" t="s">
        <v>274</v>
      </c>
    </row>
    <row r="98" spans="1:8" x14ac:dyDescent="0.35">
      <c r="A98" s="202">
        <v>46098</v>
      </c>
      <c r="B98" s="141">
        <v>3</v>
      </c>
      <c r="C98" s="141" t="s">
        <v>148</v>
      </c>
      <c r="D98" s="141" t="s">
        <v>149</v>
      </c>
      <c r="E98" s="142"/>
      <c r="F98" s="203">
        <v>0.95599999999999996</v>
      </c>
      <c r="G98" s="142">
        <v>1267.6559999999999</v>
      </c>
      <c r="H98" s="141" t="s">
        <v>274</v>
      </c>
    </row>
    <row r="99" spans="1:8" x14ac:dyDescent="0.35">
      <c r="A99" s="202">
        <v>46105</v>
      </c>
      <c r="B99" s="141">
        <v>3</v>
      </c>
      <c r="C99" s="141" t="s">
        <v>70</v>
      </c>
      <c r="D99" s="141" t="s">
        <v>71</v>
      </c>
      <c r="E99" s="142">
        <v>231200</v>
      </c>
      <c r="F99" s="203"/>
      <c r="G99" s="142">
        <v>231200</v>
      </c>
      <c r="H99" s="141" t="s">
        <v>274</v>
      </c>
    </row>
    <row r="100" spans="1:8" x14ac:dyDescent="0.35">
      <c r="A100" s="202">
        <v>46106</v>
      </c>
      <c r="B100" s="141">
        <v>3</v>
      </c>
      <c r="C100" s="141" t="s">
        <v>110</v>
      </c>
      <c r="D100" s="141" t="s">
        <v>110</v>
      </c>
      <c r="E100" s="142"/>
      <c r="F100" s="203">
        <v>1.82</v>
      </c>
      <c r="G100" s="142">
        <v>2413.3200000000002</v>
      </c>
      <c r="H100" s="141" t="s">
        <v>274</v>
      </c>
    </row>
    <row r="101" spans="1:8" x14ac:dyDescent="0.35">
      <c r="A101" s="202">
        <v>46106</v>
      </c>
      <c r="B101" s="141">
        <v>3</v>
      </c>
      <c r="C101" s="141" t="s">
        <v>129</v>
      </c>
      <c r="D101" s="141" t="s">
        <v>129</v>
      </c>
      <c r="E101" s="142"/>
      <c r="F101" s="203">
        <v>6.1680000000000001</v>
      </c>
      <c r="G101" s="142">
        <v>8178.768</v>
      </c>
      <c r="H101" s="141" t="s">
        <v>274</v>
      </c>
    </row>
    <row r="102" spans="1:8" x14ac:dyDescent="0.35">
      <c r="A102" s="204">
        <v>46109</v>
      </c>
      <c r="B102" s="150">
        <v>3</v>
      </c>
      <c r="C102" s="150" t="s">
        <v>78</v>
      </c>
      <c r="D102" s="150" t="s">
        <v>79</v>
      </c>
      <c r="E102" s="151">
        <v>26000</v>
      </c>
      <c r="F102" s="205"/>
      <c r="G102" s="151">
        <v>26000</v>
      </c>
      <c r="H102" s="150" t="s">
        <v>275</v>
      </c>
    </row>
    <row r="103" spans="1:8" x14ac:dyDescent="0.35">
      <c r="A103" s="204">
        <v>46109</v>
      </c>
      <c r="B103" s="150">
        <v>3</v>
      </c>
      <c r="C103" s="150">
        <v>105560</v>
      </c>
      <c r="D103" s="150" t="s">
        <v>112</v>
      </c>
      <c r="E103" s="151">
        <v>9408</v>
      </c>
      <c r="F103" s="205"/>
      <c r="G103" s="151">
        <v>9408</v>
      </c>
      <c r="H103" s="150" t="s">
        <v>275</v>
      </c>
    </row>
    <row r="104" spans="1:8" x14ac:dyDescent="0.35">
      <c r="A104" s="202">
        <v>46111</v>
      </c>
      <c r="B104" s="141">
        <v>3</v>
      </c>
      <c r="C104" s="141" t="s">
        <v>91</v>
      </c>
      <c r="D104" s="141" t="s">
        <v>92</v>
      </c>
      <c r="E104" s="142">
        <v>36828</v>
      </c>
      <c r="F104" s="203"/>
      <c r="G104" s="142">
        <v>36828</v>
      </c>
      <c r="H104" s="141" t="s">
        <v>274</v>
      </c>
    </row>
    <row r="105" spans="1:8" x14ac:dyDescent="0.35">
      <c r="A105" s="202">
        <v>46111</v>
      </c>
      <c r="B105" s="141">
        <v>3</v>
      </c>
      <c r="C105" s="141" t="s">
        <v>105</v>
      </c>
      <c r="D105" s="141" t="s">
        <v>106</v>
      </c>
      <c r="E105" s="142">
        <v>187592</v>
      </c>
      <c r="F105" s="203"/>
      <c r="G105" s="142">
        <v>187592</v>
      </c>
      <c r="H105" s="141" t="s">
        <v>274</v>
      </c>
    </row>
    <row r="106" spans="1:8" x14ac:dyDescent="0.35">
      <c r="A106" s="202">
        <v>46111</v>
      </c>
      <c r="B106" s="141">
        <v>3</v>
      </c>
      <c r="C106" s="141" t="s">
        <v>35</v>
      </c>
      <c r="D106" s="141" t="s">
        <v>36</v>
      </c>
      <c r="E106" s="142">
        <v>165000</v>
      </c>
      <c r="F106" s="203"/>
      <c r="G106" s="142">
        <v>165000</v>
      </c>
      <c r="H106" s="141" t="s">
        <v>274</v>
      </c>
    </row>
    <row r="107" spans="1:8" x14ac:dyDescent="0.35">
      <c r="A107" s="202">
        <v>46111</v>
      </c>
      <c r="B107" s="141">
        <v>3</v>
      </c>
      <c r="C107" s="141" t="s">
        <v>48</v>
      </c>
      <c r="D107" s="141" t="s">
        <v>285</v>
      </c>
      <c r="E107" s="142">
        <v>30177</v>
      </c>
      <c r="F107" s="203"/>
      <c r="G107" s="142">
        <v>30177</v>
      </c>
      <c r="H107" s="141" t="s">
        <v>274</v>
      </c>
    </row>
    <row r="108" spans="1:8" x14ac:dyDescent="0.35">
      <c r="A108" s="202">
        <v>46111</v>
      </c>
      <c r="B108" s="141">
        <v>3</v>
      </c>
      <c r="C108" s="141" t="s">
        <v>45</v>
      </c>
      <c r="D108" s="141" t="s">
        <v>46</v>
      </c>
      <c r="E108" s="142">
        <v>43890</v>
      </c>
      <c r="F108" s="203"/>
      <c r="G108" s="142">
        <v>43890</v>
      </c>
      <c r="H108" s="141" t="s">
        <v>274</v>
      </c>
    </row>
    <row r="109" spans="1:8" x14ac:dyDescent="0.35">
      <c r="A109" s="202">
        <v>46111</v>
      </c>
      <c r="B109" s="141">
        <v>3</v>
      </c>
      <c r="C109" s="141" t="s">
        <v>19</v>
      </c>
      <c r="D109" s="141" t="s">
        <v>62</v>
      </c>
      <c r="E109" s="142">
        <v>1445532</v>
      </c>
      <c r="F109" s="203"/>
      <c r="G109" s="142">
        <v>1445532</v>
      </c>
      <c r="H109" s="141" t="s">
        <v>274</v>
      </c>
    </row>
    <row r="110" spans="1:8" x14ac:dyDescent="0.35">
      <c r="A110" s="202">
        <v>46111</v>
      </c>
      <c r="B110" s="141">
        <v>3</v>
      </c>
      <c r="C110" s="141" t="s">
        <v>33</v>
      </c>
      <c r="D110" s="141" t="s">
        <v>34</v>
      </c>
      <c r="E110" s="142">
        <v>118000</v>
      </c>
      <c r="F110" s="203"/>
      <c r="G110" s="142">
        <v>118000</v>
      </c>
      <c r="H110" s="141" t="s">
        <v>274</v>
      </c>
    </row>
    <row r="111" spans="1:8" x14ac:dyDescent="0.35">
      <c r="A111" s="202">
        <v>46111</v>
      </c>
      <c r="B111" s="141">
        <v>3</v>
      </c>
      <c r="C111" s="141" t="s">
        <v>67</v>
      </c>
      <c r="D111" s="141" t="s">
        <v>68</v>
      </c>
      <c r="E111" s="142">
        <v>73920</v>
      </c>
      <c r="F111" s="203"/>
      <c r="G111" s="142">
        <v>73920</v>
      </c>
      <c r="H111" s="141" t="s">
        <v>274</v>
      </c>
    </row>
    <row r="112" spans="1:8" x14ac:dyDescent="0.35">
      <c r="A112" s="202">
        <v>46111</v>
      </c>
      <c r="B112" s="141">
        <v>3</v>
      </c>
      <c r="C112" s="141" t="s">
        <v>87</v>
      </c>
      <c r="D112" s="141" t="s">
        <v>88</v>
      </c>
      <c r="E112" s="142">
        <v>3333</v>
      </c>
      <c r="F112" s="203"/>
      <c r="G112" s="142">
        <v>3333</v>
      </c>
      <c r="H112" s="141" t="s">
        <v>274</v>
      </c>
    </row>
    <row r="113" spans="1:8" x14ac:dyDescent="0.35">
      <c r="A113" s="202">
        <v>46111</v>
      </c>
      <c r="B113" s="141">
        <v>3</v>
      </c>
      <c r="C113" s="141" t="s">
        <v>84</v>
      </c>
      <c r="D113" s="141" t="s">
        <v>85</v>
      </c>
      <c r="E113" s="142">
        <v>3300</v>
      </c>
      <c r="F113" s="203"/>
      <c r="G113" s="142">
        <v>3300</v>
      </c>
      <c r="H113" s="141" t="s">
        <v>274</v>
      </c>
    </row>
    <row r="114" spans="1:8" x14ac:dyDescent="0.35">
      <c r="A114" s="202">
        <v>46111</v>
      </c>
      <c r="B114" s="141">
        <v>3</v>
      </c>
      <c r="C114" s="141" t="s">
        <v>51</v>
      </c>
      <c r="D114" s="141" t="s">
        <v>284</v>
      </c>
      <c r="E114" s="142">
        <v>41225</v>
      </c>
      <c r="F114" s="203"/>
      <c r="G114" s="142">
        <v>41225</v>
      </c>
      <c r="H114" s="141" t="s">
        <v>274</v>
      </c>
    </row>
    <row r="115" spans="1:8" x14ac:dyDescent="0.35">
      <c r="A115" s="202">
        <v>46111</v>
      </c>
      <c r="B115" s="141">
        <v>3</v>
      </c>
      <c r="C115" s="141" t="s">
        <v>60</v>
      </c>
      <c r="D115" s="141" t="s">
        <v>61</v>
      </c>
      <c r="E115" s="142">
        <v>329448</v>
      </c>
      <c r="F115" s="203"/>
      <c r="G115" s="142">
        <v>329448</v>
      </c>
      <c r="H115" s="141" t="s">
        <v>274</v>
      </c>
    </row>
    <row r="116" spans="1:8" x14ac:dyDescent="0.35">
      <c r="A116" s="202">
        <v>46111</v>
      </c>
      <c r="B116" s="141">
        <v>3</v>
      </c>
      <c r="C116" s="141" t="s">
        <v>27</v>
      </c>
      <c r="D116" s="141" t="s">
        <v>28</v>
      </c>
      <c r="E116" s="142">
        <v>385074</v>
      </c>
      <c r="F116" s="203"/>
      <c r="G116" s="142">
        <v>385074</v>
      </c>
      <c r="H116" s="141" t="s">
        <v>274</v>
      </c>
    </row>
    <row r="117" spans="1:8" x14ac:dyDescent="0.35">
      <c r="A117" s="202">
        <v>46111</v>
      </c>
      <c r="B117" s="141">
        <v>3</v>
      </c>
      <c r="C117" s="141" t="s">
        <v>136</v>
      </c>
      <c r="D117" s="141" t="s">
        <v>137</v>
      </c>
      <c r="E117" s="142"/>
      <c r="F117" s="203">
        <v>19.125</v>
      </c>
      <c r="G117" s="142">
        <v>25359.75</v>
      </c>
      <c r="H117" s="141" t="s">
        <v>274</v>
      </c>
    </row>
    <row r="118" spans="1:8" x14ac:dyDescent="0.35">
      <c r="A118" s="204">
        <v>46112</v>
      </c>
      <c r="B118" s="150">
        <v>3</v>
      </c>
      <c r="C118" s="150" t="s">
        <v>116</v>
      </c>
      <c r="D118" s="150" t="s">
        <v>117</v>
      </c>
      <c r="E118" s="151">
        <v>216480</v>
      </c>
      <c r="F118" s="205"/>
      <c r="G118" s="151">
        <v>216480</v>
      </c>
      <c r="H118" s="150" t="s">
        <v>275</v>
      </c>
    </row>
    <row r="119" spans="1:8" x14ac:dyDescent="0.35">
      <c r="A119" s="202">
        <v>46112</v>
      </c>
      <c r="B119" s="141">
        <v>3</v>
      </c>
      <c r="C119" s="141" t="s">
        <v>98</v>
      </c>
      <c r="D119" s="141" t="s">
        <v>99</v>
      </c>
      <c r="E119" s="142"/>
      <c r="F119" s="203">
        <v>14.363</v>
      </c>
      <c r="G119" s="142">
        <v>19045.338</v>
      </c>
      <c r="H119" s="141" t="s">
        <v>274</v>
      </c>
    </row>
    <row r="120" spans="1:8" x14ac:dyDescent="0.35">
      <c r="A120" s="202">
        <v>46114</v>
      </c>
      <c r="B120" s="141">
        <v>4</v>
      </c>
      <c r="C120" s="141" t="s">
        <v>166</v>
      </c>
      <c r="D120" s="141" t="s">
        <v>167</v>
      </c>
      <c r="E120" s="142">
        <v>7500</v>
      </c>
      <c r="F120" s="203"/>
      <c r="G120" s="142">
        <v>7500</v>
      </c>
      <c r="H120" s="141" t="s">
        <v>274</v>
      </c>
    </row>
    <row r="121" spans="1:8" x14ac:dyDescent="0.35">
      <c r="A121" s="202">
        <v>46121</v>
      </c>
      <c r="B121" s="141">
        <v>4</v>
      </c>
      <c r="C121" s="141" t="s">
        <v>156</v>
      </c>
      <c r="D121" s="141" t="s">
        <v>157</v>
      </c>
      <c r="E121" s="142"/>
      <c r="F121" s="203">
        <v>1</v>
      </c>
      <c r="G121" s="142">
        <v>1326</v>
      </c>
      <c r="H121" s="141" t="s">
        <v>274</v>
      </c>
    </row>
    <row r="122" spans="1:8" x14ac:dyDescent="0.35">
      <c r="A122" s="202">
        <v>46126</v>
      </c>
      <c r="B122" s="141">
        <v>4</v>
      </c>
      <c r="C122" s="141" t="s">
        <v>25</v>
      </c>
      <c r="D122" s="141" t="s">
        <v>26</v>
      </c>
      <c r="E122" s="142">
        <v>303000</v>
      </c>
      <c r="F122" s="203"/>
      <c r="G122" s="142">
        <v>303000</v>
      </c>
      <c r="H122" s="141" t="s">
        <v>274</v>
      </c>
    </row>
    <row r="123" spans="1:8" x14ac:dyDescent="0.35">
      <c r="A123" s="202">
        <v>46126</v>
      </c>
      <c r="B123" s="141">
        <v>4</v>
      </c>
      <c r="C123" s="141" t="s">
        <v>42</v>
      </c>
      <c r="D123" s="141" t="s">
        <v>63</v>
      </c>
      <c r="E123" s="142">
        <v>580860</v>
      </c>
      <c r="F123" s="203"/>
      <c r="G123" s="142">
        <v>580860</v>
      </c>
      <c r="H123" s="141" t="s">
        <v>274</v>
      </c>
    </row>
    <row r="124" spans="1:8" x14ac:dyDescent="0.35">
      <c r="A124" s="202">
        <v>46126</v>
      </c>
      <c r="B124" s="141">
        <v>4</v>
      </c>
      <c r="C124" s="141" t="s">
        <v>22</v>
      </c>
      <c r="D124" s="141" t="s">
        <v>23</v>
      </c>
      <c r="E124" s="142">
        <v>114630</v>
      </c>
      <c r="F124" s="203"/>
      <c r="G124" s="142">
        <v>114630</v>
      </c>
      <c r="H124" s="141" t="s">
        <v>274</v>
      </c>
    </row>
    <row r="125" spans="1:8" x14ac:dyDescent="0.35">
      <c r="A125" s="202">
        <v>46126</v>
      </c>
      <c r="B125" s="141">
        <v>4</v>
      </c>
      <c r="C125" s="141" t="s">
        <v>94</v>
      </c>
      <c r="D125" s="141" t="s">
        <v>95</v>
      </c>
      <c r="E125" s="142">
        <v>184448</v>
      </c>
      <c r="F125" s="203"/>
      <c r="G125" s="142">
        <v>184448</v>
      </c>
      <c r="H125" s="141" t="s">
        <v>274</v>
      </c>
    </row>
    <row r="126" spans="1:8" x14ac:dyDescent="0.35">
      <c r="A126" s="202">
        <v>46126</v>
      </c>
      <c r="B126" s="141">
        <v>4</v>
      </c>
      <c r="C126" s="141" t="s">
        <v>125</v>
      </c>
      <c r="D126" s="141" t="s">
        <v>126</v>
      </c>
      <c r="E126" s="142"/>
      <c r="F126" s="203">
        <v>8.9499999999999993</v>
      </c>
      <c r="G126" s="142">
        <v>11867.7</v>
      </c>
      <c r="H126" s="141" t="s">
        <v>274</v>
      </c>
    </row>
    <row r="127" spans="1:8" x14ac:dyDescent="0.35">
      <c r="A127" s="202">
        <v>46141</v>
      </c>
      <c r="B127" s="141">
        <v>4</v>
      </c>
      <c r="C127" s="141" t="s">
        <v>177</v>
      </c>
      <c r="D127" s="141" t="s">
        <v>178</v>
      </c>
      <c r="E127" s="142">
        <v>13395</v>
      </c>
      <c r="F127" s="203"/>
      <c r="G127" s="142">
        <v>13395</v>
      </c>
      <c r="H127" s="141" t="s">
        <v>274</v>
      </c>
    </row>
    <row r="128" spans="1:8" x14ac:dyDescent="0.35">
      <c r="A128" s="202">
        <v>46141</v>
      </c>
      <c r="B128" s="141">
        <v>4</v>
      </c>
      <c r="C128" s="141" t="s">
        <v>35</v>
      </c>
      <c r="D128" s="141" t="s">
        <v>36</v>
      </c>
      <c r="E128" s="142">
        <v>165000</v>
      </c>
      <c r="F128" s="203"/>
      <c r="G128" s="142">
        <v>165000</v>
      </c>
      <c r="H128" s="141" t="s">
        <v>274</v>
      </c>
    </row>
    <row r="129" spans="1:8" x14ac:dyDescent="0.35">
      <c r="A129" s="202">
        <v>46141</v>
      </c>
      <c r="B129" s="141">
        <v>4</v>
      </c>
      <c r="C129" s="141" t="s">
        <v>57</v>
      </c>
      <c r="D129" s="141" t="s">
        <v>58</v>
      </c>
      <c r="E129" s="142">
        <v>13702</v>
      </c>
      <c r="F129" s="203"/>
      <c r="G129" s="142">
        <v>13702</v>
      </c>
      <c r="H129" s="141" t="s">
        <v>274</v>
      </c>
    </row>
    <row r="130" spans="1:8" x14ac:dyDescent="0.35">
      <c r="A130" s="204">
        <v>46141</v>
      </c>
      <c r="B130" s="150">
        <v>4</v>
      </c>
      <c r="C130" s="150" t="s">
        <v>81</v>
      </c>
      <c r="D130" s="150" t="s">
        <v>82</v>
      </c>
      <c r="E130" s="151">
        <v>5104</v>
      </c>
      <c r="F130" s="205"/>
      <c r="G130" s="151">
        <v>5104</v>
      </c>
      <c r="H130" s="150" t="s">
        <v>275</v>
      </c>
    </row>
    <row r="131" spans="1:8" x14ac:dyDescent="0.35">
      <c r="A131" s="202">
        <v>46141</v>
      </c>
      <c r="B131" s="141">
        <v>4</v>
      </c>
      <c r="C131" s="141" t="s">
        <v>55</v>
      </c>
      <c r="D131" s="141" t="s">
        <v>56</v>
      </c>
      <c r="E131" s="142">
        <v>13520</v>
      </c>
      <c r="F131" s="203"/>
      <c r="G131" s="142">
        <v>13520</v>
      </c>
      <c r="H131" s="141" t="s">
        <v>274</v>
      </c>
    </row>
    <row r="132" spans="1:8" x14ac:dyDescent="0.35">
      <c r="A132" s="202">
        <v>46141</v>
      </c>
      <c r="B132" s="141">
        <v>4</v>
      </c>
      <c r="C132" s="141" t="s">
        <v>38</v>
      </c>
      <c r="D132" s="141" t="s">
        <v>39</v>
      </c>
      <c r="E132" s="142">
        <v>35292</v>
      </c>
      <c r="F132" s="203"/>
      <c r="G132" s="142">
        <v>35292</v>
      </c>
      <c r="H132" s="141" t="s">
        <v>274</v>
      </c>
    </row>
    <row r="133" spans="1:8" x14ac:dyDescent="0.35">
      <c r="A133" s="202">
        <v>46141</v>
      </c>
      <c r="B133" s="141">
        <v>4</v>
      </c>
      <c r="C133" s="141" t="s">
        <v>48</v>
      </c>
      <c r="D133" s="141" t="s">
        <v>285</v>
      </c>
      <c r="E133" s="142">
        <v>14370</v>
      </c>
      <c r="F133" s="203"/>
      <c r="G133" s="142">
        <v>14370</v>
      </c>
      <c r="H133" s="141" t="s">
        <v>274</v>
      </c>
    </row>
    <row r="134" spans="1:8" x14ac:dyDescent="0.35">
      <c r="A134" s="202">
        <v>46141</v>
      </c>
      <c r="B134" s="141">
        <v>4</v>
      </c>
      <c r="C134" s="141" t="s">
        <v>45</v>
      </c>
      <c r="D134" s="141" t="s">
        <v>46</v>
      </c>
      <c r="E134" s="142">
        <v>39900</v>
      </c>
      <c r="F134" s="203"/>
      <c r="G134" s="142">
        <v>39900</v>
      </c>
      <c r="H134" s="141" t="s">
        <v>274</v>
      </c>
    </row>
    <row r="135" spans="1:8" x14ac:dyDescent="0.35">
      <c r="A135" s="202">
        <v>46141</v>
      </c>
      <c r="B135" s="141">
        <v>4</v>
      </c>
      <c r="C135" s="141" t="s">
        <v>19</v>
      </c>
      <c r="D135" s="141" t="s">
        <v>62</v>
      </c>
      <c r="E135" s="142">
        <v>1414776</v>
      </c>
      <c r="F135" s="203"/>
      <c r="G135" s="142">
        <v>1414776</v>
      </c>
      <c r="H135" s="141" t="s">
        <v>274</v>
      </c>
    </row>
    <row r="136" spans="1:8" x14ac:dyDescent="0.35">
      <c r="A136" s="202">
        <v>46141</v>
      </c>
      <c r="B136" s="141">
        <v>4</v>
      </c>
      <c r="C136" s="141" t="s">
        <v>33</v>
      </c>
      <c r="D136" s="141" t="s">
        <v>34</v>
      </c>
      <c r="E136" s="142">
        <v>142000</v>
      </c>
      <c r="F136" s="203"/>
      <c r="G136" s="142">
        <v>142000</v>
      </c>
      <c r="H136" s="141" t="s">
        <v>274</v>
      </c>
    </row>
    <row r="137" spans="1:8" x14ac:dyDescent="0.35">
      <c r="A137" s="202">
        <v>46141</v>
      </c>
      <c r="B137" s="141">
        <v>4</v>
      </c>
      <c r="C137" s="141" t="s">
        <v>67</v>
      </c>
      <c r="D137" s="141" t="s">
        <v>68</v>
      </c>
      <c r="E137" s="142">
        <v>91200</v>
      </c>
      <c r="F137" s="203"/>
      <c r="G137" s="142">
        <v>91200</v>
      </c>
      <c r="H137" s="141" t="s">
        <v>274</v>
      </c>
    </row>
    <row r="138" spans="1:8" x14ac:dyDescent="0.35">
      <c r="A138" s="202">
        <v>46141</v>
      </c>
      <c r="B138" s="141">
        <v>4</v>
      </c>
      <c r="C138" s="141" t="s">
        <v>87</v>
      </c>
      <c r="D138" s="141" t="s">
        <v>88</v>
      </c>
      <c r="E138" s="142">
        <v>3535</v>
      </c>
      <c r="F138" s="203"/>
      <c r="G138" s="142">
        <v>3535</v>
      </c>
      <c r="H138" s="141" t="s">
        <v>274</v>
      </c>
    </row>
    <row r="139" spans="1:8" x14ac:dyDescent="0.35">
      <c r="A139" s="202">
        <v>46141</v>
      </c>
      <c r="B139" s="141">
        <v>4</v>
      </c>
      <c r="C139" s="141" t="s">
        <v>84</v>
      </c>
      <c r="D139" s="141" t="s">
        <v>85</v>
      </c>
      <c r="E139" s="142">
        <v>1200</v>
      </c>
      <c r="F139" s="203"/>
      <c r="G139" s="142">
        <v>1200</v>
      </c>
      <c r="H139" s="141" t="s">
        <v>274</v>
      </c>
    </row>
    <row r="140" spans="1:8" x14ac:dyDescent="0.35">
      <c r="A140" s="202">
        <v>46141</v>
      </c>
      <c r="B140" s="141">
        <v>4</v>
      </c>
      <c r="C140" s="141" t="s">
        <v>51</v>
      </c>
      <c r="D140" s="141" t="s">
        <v>284</v>
      </c>
      <c r="E140" s="142">
        <v>42925</v>
      </c>
      <c r="F140" s="203"/>
      <c r="G140" s="142">
        <v>42925</v>
      </c>
      <c r="H140" s="141" t="s">
        <v>274</v>
      </c>
    </row>
    <row r="141" spans="1:8" x14ac:dyDescent="0.35">
      <c r="A141" s="202">
        <v>46141</v>
      </c>
      <c r="B141" s="141">
        <v>4</v>
      </c>
      <c r="C141" s="141" t="s">
        <v>60</v>
      </c>
      <c r="D141" s="141" t="s">
        <v>61</v>
      </c>
      <c r="E141" s="142">
        <v>356160</v>
      </c>
      <c r="F141" s="203"/>
      <c r="G141" s="142">
        <v>356160</v>
      </c>
      <c r="H141" s="141" t="s">
        <v>274</v>
      </c>
    </row>
    <row r="142" spans="1:8" x14ac:dyDescent="0.35">
      <c r="A142" s="202">
        <v>46141</v>
      </c>
      <c r="B142" s="141">
        <v>4</v>
      </c>
      <c r="C142" s="141" t="s">
        <v>72</v>
      </c>
      <c r="D142" s="141" t="s">
        <v>73</v>
      </c>
      <c r="E142" s="142">
        <v>3564</v>
      </c>
      <c r="F142" s="203"/>
      <c r="G142" s="142">
        <v>3564</v>
      </c>
      <c r="H142" s="141" t="s">
        <v>274</v>
      </c>
    </row>
    <row r="143" spans="1:8" x14ac:dyDescent="0.35">
      <c r="A143" s="202">
        <v>46141</v>
      </c>
      <c r="B143" s="141">
        <v>4</v>
      </c>
      <c r="C143" s="141" t="s">
        <v>27</v>
      </c>
      <c r="D143" s="141" t="s">
        <v>28</v>
      </c>
      <c r="E143" s="142">
        <v>392205</v>
      </c>
      <c r="F143" s="203"/>
      <c r="G143" s="142">
        <v>392205</v>
      </c>
      <c r="H143" s="141" t="s">
        <v>274</v>
      </c>
    </row>
    <row r="144" spans="1:8" x14ac:dyDescent="0.35">
      <c r="A144" s="204">
        <v>46142</v>
      </c>
      <c r="B144" s="150">
        <v>4</v>
      </c>
      <c r="C144" s="150" t="s">
        <v>116</v>
      </c>
      <c r="D144" s="150" t="s">
        <v>117</v>
      </c>
      <c r="E144" s="151">
        <v>216480</v>
      </c>
      <c r="F144" s="205"/>
      <c r="G144" s="151">
        <v>216480</v>
      </c>
      <c r="H144" s="150" t="s">
        <v>275</v>
      </c>
    </row>
    <row r="145" spans="1:8" x14ac:dyDescent="0.35">
      <c r="A145" s="202">
        <v>46142</v>
      </c>
      <c r="B145" s="141">
        <v>4</v>
      </c>
      <c r="C145" s="141" t="s">
        <v>98</v>
      </c>
      <c r="D145" s="141" t="s">
        <v>99</v>
      </c>
      <c r="E145" s="142"/>
      <c r="F145" s="203">
        <v>14.363</v>
      </c>
      <c r="G145" s="142">
        <v>19045.338</v>
      </c>
      <c r="H145" s="141" t="s">
        <v>274</v>
      </c>
    </row>
    <row r="146" spans="1:8" x14ac:dyDescent="0.35">
      <c r="A146" s="202">
        <v>46149</v>
      </c>
      <c r="B146" s="141">
        <v>5</v>
      </c>
      <c r="C146" s="141">
        <v>105560</v>
      </c>
      <c r="D146" s="141" t="s">
        <v>112</v>
      </c>
      <c r="E146" s="142">
        <v>13716</v>
      </c>
      <c r="F146" s="203"/>
      <c r="G146" s="142">
        <v>13716</v>
      </c>
      <c r="H146" s="141" t="s">
        <v>274</v>
      </c>
    </row>
    <row r="147" spans="1:8" x14ac:dyDescent="0.35">
      <c r="A147" s="202">
        <v>46153</v>
      </c>
      <c r="B147" s="141">
        <v>5</v>
      </c>
      <c r="C147" s="141" t="s">
        <v>103</v>
      </c>
      <c r="D147" s="141" t="s">
        <v>104</v>
      </c>
      <c r="E147" s="142"/>
      <c r="F147" s="203">
        <v>2.4300000000000002</v>
      </c>
      <c r="G147" s="142">
        <v>3222.18</v>
      </c>
      <c r="H147" s="141" t="s">
        <v>274</v>
      </c>
    </row>
    <row r="148" spans="1:8" x14ac:dyDescent="0.35">
      <c r="A148" s="202">
        <v>46156</v>
      </c>
      <c r="B148" s="141">
        <v>5</v>
      </c>
      <c r="C148" s="141" t="s">
        <v>25</v>
      </c>
      <c r="D148" s="141" t="s">
        <v>26</v>
      </c>
      <c r="E148" s="142">
        <v>306000</v>
      </c>
      <c r="F148" s="203"/>
      <c r="G148" s="142">
        <v>306000</v>
      </c>
      <c r="H148" s="141" t="s">
        <v>274</v>
      </c>
    </row>
    <row r="149" spans="1:8" x14ac:dyDescent="0.35">
      <c r="A149" s="202">
        <v>46156</v>
      </c>
      <c r="B149" s="141">
        <v>5</v>
      </c>
      <c r="C149" s="141" t="s">
        <v>42</v>
      </c>
      <c r="D149" s="141" t="s">
        <v>63</v>
      </c>
      <c r="E149" s="142">
        <v>636180</v>
      </c>
      <c r="F149" s="203"/>
      <c r="G149" s="142">
        <v>636180</v>
      </c>
      <c r="H149" s="141" t="s">
        <v>274</v>
      </c>
    </row>
    <row r="150" spans="1:8" x14ac:dyDescent="0.35">
      <c r="A150" s="202">
        <v>46156</v>
      </c>
      <c r="B150" s="141">
        <v>5</v>
      </c>
      <c r="C150" s="141" t="s">
        <v>22</v>
      </c>
      <c r="D150" s="141" t="s">
        <v>23</v>
      </c>
      <c r="E150" s="142">
        <v>84062</v>
      </c>
      <c r="F150" s="203"/>
      <c r="G150" s="142">
        <v>84062</v>
      </c>
      <c r="H150" s="141" t="s">
        <v>274</v>
      </c>
    </row>
    <row r="151" spans="1:8" x14ac:dyDescent="0.35">
      <c r="A151" s="202">
        <v>46156</v>
      </c>
      <c r="B151" s="141">
        <v>5</v>
      </c>
      <c r="C151" s="141" t="s">
        <v>94</v>
      </c>
      <c r="D151" s="141" t="s">
        <v>95</v>
      </c>
      <c r="E151" s="142">
        <v>244992</v>
      </c>
      <c r="F151" s="203"/>
      <c r="G151" s="142">
        <v>244992</v>
      </c>
      <c r="H151" s="141" t="s">
        <v>274</v>
      </c>
    </row>
    <row r="152" spans="1:8" x14ac:dyDescent="0.35">
      <c r="A152" s="202">
        <v>46157</v>
      </c>
      <c r="B152" s="141">
        <v>5</v>
      </c>
      <c r="C152" s="141" t="s">
        <v>161</v>
      </c>
      <c r="D152" s="141" t="s">
        <v>162</v>
      </c>
      <c r="E152" s="142"/>
      <c r="F152" s="203">
        <v>1.24</v>
      </c>
      <c r="G152" s="142">
        <v>1644.24</v>
      </c>
      <c r="H152" s="141" t="s">
        <v>274</v>
      </c>
    </row>
    <row r="153" spans="1:8" x14ac:dyDescent="0.35">
      <c r="A153" s="202">
        <v>46157</v>
      </c>
      <c r="B153" s="141">
        <v>5</v>
      </c>
      <c r="C153" s="141" t="s">
        <v>189</v>
      </c>
      <c r="D153" s="141" t="s">
        <v>190</v>
      </c>
      <c r="E153" s="142"/>
      <c r="F153" s="203">
        <v>1.03</v>
      </c>
      <c r="G153" s="142">
        <v>1365.78</v>
      </c>
      <c r="H153" s="141" t="s">
        <v>274</v>
      </c>
    </row>
    <row r="154" spans="1:8" x14ac:dyDescent="0.35">
      <c r="A154" s="202">
        <v>46161</v>
      </c>
      <c r="B154" s="141">
        <v>5</v>
      </c>
      <c r="C154" s="141" t="s">
        <v>187</v>
      </c>
      <c r="D154" s="141" t="s">
        <v>188</v>
      </c>
      <c r="E154" s="142"/>
      <c r="F154" s="203">
        <v>1.78</v>
      </c>
      <c r="G154" s="142">
        <v>2360.2800000000002</v>
      </c>
      <c r="H154" s="141" t="s">
        <v>274</v>
      </c>
    </row>
    <row r="155" spans="1:8" x14ac:dyDescent="0.35">
      <c r="A155" s="202">
        <v>46163</v>
      </c>
      <c r="B155" s="141">
        <v>5</v>
      </c>
      <c r="C155" s="141" t="s">
        <v>130</v>
      </c>
      <c r="D155" s="141" t="s">
        <v>131</v>
      </c>
      <c r="E155" s="142"/>
      <c r="F155" s="203">
        <v>1.82</v>
      </c>
      <c r="G155" s="142">
        <v>2413.3200000000002</v>
      </c>
      <c r="H155" s="141" t="s">
        <v>274</v>
      </c>
    </row>
    <row r="156" spans="1:8" x14ac:dyDescent="0.35">
      <c r="A156" s="202">
        <v>46170</v>
      </c>
      <c r="B156" s="141">
        <v>5</v>
      </c>
      <c r="C156" s="141" t="s">
        <v>78</v>
      </c>
      <c r="D156" s="141" t="s">
        <v>79</v>
      </c>
      <c r="E156" s="142">
        <v>32500</v>
      </c>
      <c r="F156" s="203"/>
      <c r="G156" s="142">
        <v>32500</v>
      </c>
      <c r="H156" s="141" t="s">
        <v>274</v>
      </c>
    </row>
    <row r="157" spans="1:8" x14ac:dyDescent="0.35">
      <c r="A157" s="202">
        <v>46170</v>
      </c>
      <c r="B157" s="141">
        <v>5</v>
      </c>
      <c r="C157" s="141" t="s">
        <v>35</v>
      </c>
      <c r="D157" s="141" t="s">
        <v>36</v>
      </c>
      <c r="E157" s="142">
        <v>165000</v>
      </c>
      <c r="F157" s="203"/>
      <c r="G157" s="142">
        <v>165000</v>
      </c>
      <c r="H157" s="141" t="s">
        <v>274</v>
      </c>
    </row>
    <row r="158" spans="1:8" x14ac:dyDescent="0.35">
      <c r="A158" s="202">
        <v>46170</v>
      </c>
      <c r="B158" s="141">
        <v>5</v>
      </c>
      <c r="C158" s="141" t="s">
        <v>48</v>
      </c>
      <c r="D158" s="141" t="s">
        <v>285</v>
      </c>
      <c r="E158" s="142">
        <v>25866</v>
      </c>
      <c r="F158" s="203"/>
      <c r="G158" s="142">
        <v>25866</v>
      </c>
      <c r="H158" s="141" t="s">
        <v>274</v>
      </c>
    </row>
    <row r="159" spans="1:8" x14ac:dyDescent="0.35">
      <c r="A159" s="202">
        <v>46170</v>
      </c>
      <c r="B159" s="141">
        <v>5</v>
      </c>
      <c r="C159" s="141" t="s">
        <v>45</v>
      </c>
      <c r="D159" s="141" t="s">
        <v>46</v>
      </c>
      <c r="E159" s="142">
        <v>43890</v>
      </c>
      <c r="F159" s="203"/>
      <c r="G159" s="142">
        <v>43890</v>
      </c>
      <c r="H159" s="141" t="s">
        <v>274</v>
      </c>
    </row>
    <row r="160" spans="1:8" x14ac:dyDescent="0.35">
      <c r="A160" s="202">
        <v>46170</v>
      </c>
      <c r="B160" s="141">
        <v>5</v>
      </c>
      <c r="C160" s="141" t="s">
        <v>19</v>
      </c>
      <c r="D160" s="141" t="s">
        <v>62</v>
      </c>
      <c r="E160" s="142">
        <v>1476288</v>
      </c>
      <c r="F160" s="203"/>
      <c r="G160" s="142">
        <v>1476288</v>
      </c>
      <c r="H160" s="141" t="s">
        <v>274</v>
      </c>
    </row>
    <row r="161" spans="1:8" x14ac:dyDescent="0.35">
      <c r="A161" s="202">
        <v>46170</v>
      </c>
      <c r="B161" s="141">
        <v>5</v>
      </c>
      <c r="C161" s="141" t="s">
        <v>33</v>
      </c>
      <c r="D161" s="141" t="s">
        <v>34</v>
      </c>
      <c r="E161" s="142">
        <v>122000</v>
      </c>
      <c r="F161" s="203"/>
      <c r="G161" s="142">
        <v>122000</v>
      </c>
      <c r="H161" s="141" t="s">
        <v>274</v>
      </c>
    </row>
    <row r="162" spans="1:8" x14ac:dyDescent="0.35">
      <c r="A162" s="202">
        <v>46170</v>
      </c>
      <c r="B162" s="141">
        <v>5</v>
      </c>
      <c r="C162" s="141" t="s">
        <v>67</v>
      </c>
      <c r="D162" s="141" t="s">
        <v>68</v>
      </c>
      <c r="E162" s="142">
        <v>72000</v>
      </c>
      <c r="F162" s="203"/>
      <c r="G162" s="142">
        <v>72000</v>
      </c>
      <c r="H162" s="141" t="s">
        <v>274</v>
      </c>
    </row>
    <row r="163" spans="1:8" x14ac:dyDescent="0.35">
      <c r="A163" s="202">
        <v>46170</v>
      </c>
      <c r="B163" s="141">
        <v>5</v>
      </c>
      <c r="C163" s="141" t="s">
        <v>87</v>
      </c>
      <c r="D163" s="141" t="s">
        <v>88</v>
      </c>
      <c r="E163" s="142">
        <v>3535</v>
      </c>
      <c r="F163" s="203"/>
      <c r="G163" s="142">
        <v>3535</v>
      </c>
      <c r="H163" s="141" t="s">
        <v>274</v>
      </c>
    </row>
    <row r="164" spans="1:8" x14ac:dyDescent="0.35">
      <c r="A164" s="202">
        <v>46170</v>
      </c>
      <c r="B164" s="141">
        <v>5</v>
      </c>
      <c r="C164" s="141" t="s">
        <v>84</v>
      </c>
      <c r="D164" s="141" t="s">
        <v>85</v>
      </c>
      <c r="E164" s="142">
        <v>1200</v>
      </c>
      <c r="F164" s="203"/>
      <c r="G164" s="142">
        <v>1200</v>
      </c>
      <c r="H164" s="141" t="s">
        <v>274</v>
      </c>
    </row>
    <row r="165" spans="1:8" x14ac:dyDescent="0.35">
      <c r="A165" s="202">
        <v>46170</v>
      </c>
      <c r="B165" s="141">
        <v>5</v>
      </c>
      <c r="C165" s="141" t="s">
        <v>51</v>
      </c>
      <c r="D165" s="141" t="s">
        <v>284</v>
      </c>
      <c r="E165" s="142">
        <v>45900</v>
      </c>
      <c r="F165" s="203"/>
      <c r="G165" s="142">
        <v>45900</v>
      </c>
      <c r="H165" s="141" t="s">
        <v>274</v>
      </c>
    </row>
    <row r="166" spans="1:8" x14ac:dyDescent="0.35">
      <c r="A166" s="202">
        <v>46170</v>
      </c>
      <c r="B166" s="141">
        <v>5</v>
      </c>
      <c r="C166" s="141" t="s">
        <v>60</v>
      </c>
      <c r="D166" s="141" t="s">
        <v>61</v>
      </c>
      <c r="E166" s="142">
        <v>376194</v>
      </c>
      <c r="F166" s="203"/>
      <c r="G166" s="142">
        <v>376194</v>
      </c>
      <c r="H166" s="141" t="s">
        <v>274</v>
      </c>
    </row>
    <row r="167" spans="1:8" x14ac:dyDescent="0.35">
      <c r="A167" s="202">
        <v>46170</v>
      </c>
      <c r="B167" s="141">
        <v>5</v>
      </c>
      <c r="C167" s="141" t="s">
        <v>27</v>
      </c>
      <c r="D167" s="141" t="s">
        <v>28</v>
      </c>
      <c r="E167" s="142">
        <v>368435</v>
      </c>
      <c r="F167" s="203"/>
      <c r="G167" s="142">
        <v>368435</v>
      </c>
      <c r="H167" s="141" t="s">
        <v>274</v>
      </c>
    </row>
    <row r="168" spans="1:8" x14ac:dyDescent="0.35">
      <c r="A168" s="202">
        <v>46171</v>
      </c>
      <c r="B168" s="141">
        <v>5</v>
      </c>
      <c r="C168" s="141" t="s">
        <v>98</v>
      </c>
      <c r="D168" s="141" t="s">
        <v>99</v>
      </c>
      <c r="E168" s="142"/>
      <c r="F168" s="203">
        <v>14.363</v>
      </c>
      <c r="G168" s="142">
        <v>19045.338</v>
      </c>
      <c r="H168" s="141" t="s">
        <v>274</v>
      </c>
    </row>
    <row r="169" spans="1:8" x14ac:dyDescent="0.35">
      <c r="A169" s="202">
        <v>46171</v>
      </c>
      <c r="B169" s="141">
        <v>5</v>
      </c>
      <c r="C169" s="141" t="s">
        <v>133</v>
      </c>
      <c r="D169" s="141" t="s">
        <v>134</v>
      </c>
      <c r="E169" s="142"/>
      <c r="F169" s="203">
        <v>4.08</v>
      </c>
      <c r="G169" s="142">
        <v>5410.08</v>
      </c>
      <c r="H169" s="141" t="s">
        <v>274</v>
      </c>
    </row>
    <row r="170" spans="1:8" x14ac:dyDescent="0.35">
      <c r="A170" s="204">
        <v>46173</v>
      </c>
      <c r="B170" s="150">
        <v>5</v>
      </c>
      <c r="C170" s="150" t="s">
        <v>116</v>
      </c>
      <c r="D170" s="150" t="s">
        <v>117</v>
      </c>
      <c r="E170" s="151">
        <v>216480</v>
      </c>
      <c r="F170" s="205"/>
      <c r="G170" s="151">
        <v>216480</v>
      </c>
      <c r="H170" s="150" t="s">
        <v>275</v>
      </c>
    </row>
    <row r="171" spans="1:8" x14ac:dyDescent="0.35">
      <c r="A171" s="202">
        <v>46174</v>
      </c>
      <c r="B171" s="141">
        <v>6</v>
      </c>
      <c r="C171" s="141" t="s">
        <v>146</v>
      </c>
      <c r="D171" s="141" t="s">
        <v>147</v>
      </c>
      <c r="E171" s="142"/>
      <c r="F171" s="203">
        <v>4.0999999999999996</v>
      </c>
      <c r="G171" s="142">
        <v>5436.5999999999995</v>
      </c>
      <c r="H171" s="141" t="s">
        <v>274</v>
      </c>
    </row>
    <row r="172" spans="1:8" x14ac:dyDescent="0.35">
      <c r="A172" s="202">
        <v>46177</v>
      </c>
      <c r="B172" s="141">
        <v>6</v>
      </c>
      <c r="C172" s="141" t="s">
        <v>127</v>
      </c>
      <c r="D172" s="141" t="s">
        <v>128</v>
      </c>
      <c r="E172" s="142"/>
      <c r="F172" s="203">
        <v>1</v>
      </c>
      <c r="G172" s="142">
        <v>1326</v>
      </c>
      <c r="H172" s="141" t="s">
        <v>274</v>
      </c>
    </row>
    <row r="173" spans="1:8" x14ac:dyDescent="0.35">
      <c r="A173" s="202">
        <v>46184</v>
      </c>
      <c r="B173" s="141">
        <v>6</v>
      </c>
      <c r="C173" s="141" t="s">
        <v>148</v>
      </c>
      <c r="D173" s="141" t="s">
        <v>149</v>
      </c>
      <c r="E173" s="142"/>
      <c r="F173" s="203">
        <v>0.95499999999999996</v>
      </c>
      <c r="G173" s="142">
        <v>1266.33</v>
      </c>
      <c r="H173" s="141" t="s">
        <v>274</v>
      </c>
    </row>
    <row r="174" spans="1:8" x14ac:dyDescent="0.35">
      <c r="A174" s="202">
        <v>46185</v>
      </c>
      <c r="B174" s="141">
        <v>6</v>
      </c>
      <c r="C174" s="141" t="s">
        <v>25</v>
      </c>
      <c r="D174" s="141" t="s">
        <v>26</v>
      </c>
      <c r="E174" s="142">
        <v>318000</v>
      </c>
      <c r="F174" s="203"/>
      <c r="G174" s="142">
        <v>318000</v>
      </c>
      <c r="H174" s="141" t="s">
        <v>274</v>
      </c>
    </row>
    <row r="175" spans="1:8" x14ac:dyDescent="0.35">
      <c r="A175" s="202">
        <v>46185</v>
      </c>
      <c r="B175" s="141">
        <v>6</v>
      </c>
      <c r="C175" s="141" t="s">
        <v>42</v>
      </c>
      <c r="D175" s="141" t="s">
        <v>63</v>
      </c>
      <c r="E175" s="142">
        <v>613130</v>
      </c>
      <c r="F175" s="203"/>
      <c r="G175" s="142">
        <v>613130</v>
      </c>
      <c r="H175" s="141" t="s">
        <v>274</v>
      </c>
    </row>
    <row r="176" spans="1:8" x14ac:dyDescent="0.35">
      <c r="A176" s="202">
        <v>46185</v>
      </c>
      <c r="B176" s="141">
        <v>6</v>
      </c>
      <c r="C176" s="141" t="s">
        <v>22</v>
      </c>
      <c r="D176" s="141" t="s">
        <v>23</v>
      </c>
      <c r="E176" s="142">
        <v>129914</v>
      </c>
      <c r="F176" s="203"/>
      <c r="G176" s="142">
        <v>129914</v>
      </c>
      <c r="H176" s="141" t="s">
        <v>274</v>
      </c>
    </row>
    <row r="177" spans="1:8" x14ac:dyDescent="0.35">
      <c r="A177" s="202">
        <v>46185</v>
      </c>
      <c r="B177" s="141">
        <v>6</v>
      </c>
      <c r="C177" s="141" t="s">
        <v>94</v>
      </c>
      <c r="D177" s="141" t="s">
        <v>95</v>
      </c>
      <c r="E177" s="142">
        <v>246400</v>
      </c>
      <c r="F177" s="203"/>
      <c r="G177" s="142">
        <v>246400</v>
      </c>
      <c r="H177" s="141" t="s">
        <v>274</v>
      </c>
    </row>
    <row r="178" spans="1:8" x14ac:dyDescent="0.35">
      <c r="A178" s="202">
        <v>46185</v>
      </c>
      <c r="B178" s="141">
        <v>6</v>
      </c>
      <c r="C178" s="141" t="s">
        <v>125</v>
      </c>
      <c r="D178" s="141" t="s">
        <v>126</v>
      </c>
      <c r="E178" s="142"/>
      <c r="F178" s="203">
        <v>8.9499999999999993</v>
      </c>
      <c r="G178" s="142">
        <v>11867.7</v>
      </c>
      <c r="H178" s="141" t="s">
        <v>274</v>
      </c>
    </row>
    <row r="179" spans="1:8" x14ac:dyDescent="0.35">
      <c r="A179" s="202">
        <v>46197</v>
      </c>
      <c r="B179" s="141">
        <v>6</v>
      </c>
      <c r="C179" s="141" t="s">
        <v>110</v>
      </c>
      <c r="D179" s="141" t="s">
        <v>110</v>
      </c>
      <c r="E179" s="142"/>
      <c r="F179" s="203">
        <v>8.5399999999999991</v>
      </c>
      <c r="G179" s="142">
        <v>11324.04</v>
      </c>
      <c r="H179" s="141" t="s">
        <v>274</v>
      </c>
    </row>
    <row r="180" spans="1:8" x14ac:dyDescent="0.35">
      <c r="A180" s="202">
        <v>46197</v>
      </c>
      <c r="B180" s="141">
        <v>6</v>
      </c>
      <c r="C180" s="141" t="s">
        <v>129</v>
      </c>
      <c r="D180" s="141" t="s">
        <v>129</v>
      </c>
      <c r="E180" s="142"/>
      <c r="F180" s="203">
        <v>6.0720000000000001</v>
      </c>
      <c r="G180" s="142">
        <v>8051.4719999999998</v>
      </c>
      <c r="H180" s="141" t="s">
        <v>274</v>
      </c>
    </row>
    <row r="181" spans="1:8" x14ac:dyDescent="0.35">
      <c r="A181" s="204">
        <v>46200</v>
      </c>
      <c r="B181" s="150">
        <v>6</v>
      </c>
      <c r="C181" s="150" t="s">
        <v>78</v>
      </c>
      <c r="D181" s="150" t="s">
        <v>79</v>
      </c>
      <c r="E181" s="151">
        <v>26000</v>
      </c>
      <c r="F181" s="205"/>
      <c r="G181" s="151">
        <v>26000</v>
      </c>
      <c r="H181" s="150" t="s">
        <v>275</v>
      </c>
    </row>
    <row r="182" spans="1:8" x14ac:dyDescent="0.35">
      <c r="A182" s="204">
        <v>46200</v>
      </c>
      <c r="B182" s="150">
        <v>6</v>
      </c>
      <c r="C182" s="150">
        <v>105560</v>
      </c>
      <c r="D182" s="150" t="s">
        <v>112</v>
      </c>
      <c r="E182" s="151">
        <v>9492</v>
      </c>
      <c r="F182" s="205"/>
      <c r="G182" s="151">
        <v>9492</v>
      </c>
      <c r="H182" s="150" t="s">
        <v>275</v>
      </c>
    </row>
    <row r="183" spans="1:8" x14ac:dyDescent="0.35">
      <c r="A183" s="202">
        <v>46202</v>
      </c>
      <c r="B183" s="141">
        <v>6</v>
      </c>
      <c r="C183" s="141" t="s">
        <v>91</v>
      </c>
      <c r="D183" s="141" t="s">
        <v>92</v>
      </c>
      <c r="E183" s="142">
        <v>37026</v>
      </c>
      <c r="F183" s="203"/>
      <c r="G183" s="142">
        <v>37026</v>
      </c>
      <c r="H183" s="141" t="s">
        <v>274</v>
      </c>
    </row>
    <row r="184" spans="1:8" x14ac:dyDescent="0.35">
      <c r="A184" s="202">
        <v>46202</v>
      </c>
      <c r="B184" s="141">
        <v>6</v>
      </c>
      <c r="C184" s="141" t="s">
        <v>35</v>
      </c>
      <c r="D184" s="141" t="s">
        <v>36</v>
      </c>
      <c r="E184" s="142">
        <v>165000</v>
      </c>
      <c r="F184" s="203"/>
      <c r="G184" s="142">
        <v>165000</v>
      </c>
      <c r="H184" s="141" t="s">
        <v>274</v>
      </c>
    </row>
    <row r="185" spans="1:8" x14ac:dyDescent="0.35">
      <c r="A185" s="202">
        <v>46202</v>
      </c>
      <c r="B185" s="141">
        <v>6</v>
      </c>
      <c r="C185" s="141" t="s">
        <v>48</v>
      </c>
      <c r="D185" s="141" t="s">
        <v>285</v>
      </c>
      <c r="E185" s="142">
        <v>34488</v>
      </c>
      <c r="F185" s="203"/>
      <c r="G185" s="142">
        <v>34488</v>
      </c>
      <c r="H185" s="141" t="s">
        <v>274</v>
      </c>
    </row>
    <row r="186" spans="1:8" x14ac:dyDescent="0.35">
      <c r="A186" s="202">
        <v>46202</v>
      </c>
      <c r="B186" s="141">
        <v>6</v>
      </c>
      <c r="C186" s="141" t="s">
        <v>45</v>
      </c>
      <c r="D186" s="141" t="s">
        <v>46</v>
      </c>
      <c r="E186" s="142">
        <v>55860</v>
      </c>
      <c r="F186" s="203"/>
      <c r="G186" s="142">
        <v>55860</v>
      </c>
      <c r="H186" s="141" t="s">
        <v>274</v>
      </c>
    </row>
    <row r="187" spans="1:8" x14ac:dyDescent="0.35">
      <c r="A187" s="202">
        <v>46202</v>
      </c>
      <c r="B187" s="141">
        <v>6</v>
      </c>
      <c r="C187" s="141" t="s">
        <v>19</v>
      </c>
      <c r="D187" s="141" t="s">
        <v>62</v>
      </c>
      <c r="E187" s="142">
        <v>1491666</v>
      </c>
      <c r="F187" s="203"/>
      <c r="G187" s="142">
        <v>1491666</v>
      </c>
      <c r="H187" s="141" t="s">
        <v>274</v>
      </c>
    </row>
    <row r="188" spans="1:8" x14ac:dyDescent="0.35">
      <c r="A188" s="202">
        <v>46202</v>
      </c>
      <c r="B188" s="141">
        <v>6</v>
      </c>
      <c r="C188" s="141" t="s">
        <v>33</v>
      </c>
      <c r="D188" s="141" t="s">
        <v>34</v>
      </c>
      <c r="E188" s="142">
        <v>130000</v>
      </c>
      <c r="F188" s="203"/>
      <c r="G188" s="142">
        <v>130000</v>
      </c>
      <c r="H188" s="141" t="s">
        <v>274</v>
      </c>
    </row>
    <row r="189" spans="1:8" x14ac:dyDescent="0.35">
      <c r="A189" s="202">
        <v>46202</v>
      </c>
      <c r="B189" s="141">
        <v>6</v>
      </c>
      <c r="C189" s="141" t="s">
        <v>67</v>
      </c>
      <c r="D189" s="141" t="s">
        <v>68</v>
      </c>
      <c r="E189" s="142">
        <v>81600</v>
      </c>
      <c r="F189" s="203"/>
      <c r="G189" s="142">
        <v>81600</v>
      </c>
      <c r="H189" s="141" t="s">
        <v>274</v>
      </c>
    </row>
    <row r="190" spans="1:8" x14ac:dyDescent="0.35">
      <c r="A190" s="202">
        <v>46202</v>
      </c>
      <c r="B190" s="141">
        <v>6</v>
      </c>
      <c r="C190" s="141" t="s">
        <v>87</v>
      </c>
      <c r="D190" s="141" t="s">
        <v>88</v>
      </c>
      <c r="E190" s="142">
        <v>3535</v>
      </c>
      <c r="F190" s="203"/>
      <c r="G190" s="142">
        <v>3535</v>
      </c>
      <c r="H190" s="141" t="s">
        <v>274</v>
      </c>
    </row>
    <row r="191" spans="1:8" x14ac:dyDescent="0.35">
      <c r="A191" s="202">
        <v>46202</v>
      </c>
      <c r="B191" s="141">
        <v>6</v>
      </c>
      <c r="C191" s="141" t="s">
        <v>84</v>
      </c>
      <c r="D191" s="141" t="s">
        <v>85</v>
      </c>
      <c r="E191" s="142">
        <v>1500</v>
      </c>
      <c r="F191" s="203"/>
      <c r="G191" s="142">
        <v>1500</v>
      </c>
      <c r="H191" s="141" t="s">
        <v>274</v>
      </c>
    </row>
    <row r="192" spans="1:8" x14ac:dyDescent="0.35">
      <c r="A192" s="202">
        <v>46202</v>
      </c>
      <c r="B192" s="141">
        <v>6</v>
      </c>
      <c r="C192" s="141" t="s">
        <v>51</v>
      </c>
      <c r="D192" s="141" t="s">
        <v>284</v>
      </c>
      <c r="E192" s="142">
        <v>45900</v>
      </c>
      <c r="F192" s="203"/>
      <c r="G192" s="142">
        <v>45900</v>
      </c>
      <c r="H192" s="141" t="s">
        <v>274</v>
      </c>
    </row>
    <row r="193" spans="1:8" x14ac:dyDescent="0.35">
      <c r="A193" s="202">
        <v>46202</v>
      </c>
      <c r="B193" s="141">
        <v>6</v>
      </c>
      <c r="C193" s="141" t="s">
        <v>60</v>
      </c>
      <c r="D193" s="141" t="s">
        <v>61</v>
      </c>
      <c r="E193" s="142">
        <v>351708</v>
      </c>
      <c r="F193" s="203"/>
      <c r="G193" s="142">
        <v>351708</v>
      </c>
      <c r="H193" s="141" t="s">
        <v>274</v>
      </c>
    </row>
    <row r="194" spans="1:8" x14ac:dyDescent="0.35">
      <c r="A194" s="202">
        <v>46202</v>
      </c>
      <c r="B194" s="141">
        <v>6</v>
      </c>
      <c r="C194" s="141" t="s">
        <v>27</v>
      </c>
      <c r="D194" s="141" t="s">
        <v>28</v>
      </c>
      <c r="E194" s="142">
        <v>332780</v>
      </c>
      <c r="F194" s="203"/>
      <c r="G194" s="142">
        <v>332780</v>
      </c>
      <c r="H194" s="141" t="s">
        <v>274</v>
      </c>
    </row>
    <row r="195" spans="1:8" x14ac:dyDescent="0.35">
      <c r="A195" s="204">
        <v>46203</v>
      </c>
      <c r="B195" s="150">
        <v>6</v>
      </c>
      <c r="C195" s="150" t="s">
        <v>116</v>
      </c>
      <c r="D195" s="150" t="s">
        <v>117</v>
      </c>
      <c r="E195" s="151">
        <v>216480</v>
      </c>
      <c r="F195" s="205"/>
      <c r="G195" s="151">
        <v>216480</v>
      </c>
      <c r="H195" s="150" t="s">
        <v>275</v>
      </c>
    </row>
    <row r="196" spans="1:8" x14ac:dyDescent="0.35">
      <c r="A196" s="202">
        <v>46203</v>
      </c>
      <c r="B196" s="141">
        <v>6</v>
      </c>
      <c r="C196" s="141" t="s">
        <v>98</v>
      </c>
      <c r="D196" s="141" t="s">
        <v>99</v>
      </c>
      <c r="E196" s="142"/>
      <c r="F196" s="203">
        <v>14.363</v>
      </c>
      <c r="G196" s="142">
        <v>19045.338</v>
      </c>
      <c r="H196" s="141" t="s">
        <v>274</v>
      </c>
    </row>
    <row r="197" spans="1:8" x14ac:dyDescent="0.35">
      <c r="A197" s="202">
        <v>46213</v>
      </c>
      <c r="B197" s="141">
        <v>7</v>
      </c>
      <c r="C197" s="141" t="s">
        <v>156</v>
      </c>
      <c r="D197" s="141" t="s">
        <v>157</v>
      </c>
      <c r="E197" s="142"/>
      <c r="F197" s="203">
        <v>1</v>
      </c>
      <c r="G197" s="142">
        <v>1326</v>
      </c>
      <c r="H197" s="141" t="s">
        <v>274</v>
      </c>
    </row>
    <row r="198" spans="1:8" x14ac:dyDescent="0.35">
      <c r="A198" s="202">
        <v>46217</v>
      </c>
      <c r="B198" s="141">
        <v>7</v>
      </c>
      <c r="C198" s="141" t="s">
        <v>25</v>
      </c>
      <c r="D198" s="141" t="s">
        <v>26</v>
      </c>
      <c r="E198" s="142">
        <v>312000</v>
      </c>
      <c r="F198" s="203"/>
      <c r="G198" s="142">
        <v>312000</v>
      </c>
      <c r="H198" s="141" t="s">
        <v>274</v>
      </c>
    </row>
    <row r="199" spans="1:8" x14ac:dyDescent="0.35">
      <c r="A199" s="202">
        <v>46217</v>
      </c>
      <c r="B199" s="141">
        <v>7</v>
      </c>
      <c r="C199" s="141" t="s">
        <v>42</v>
      </c>
      <c r="D199" s="141" t="s">
        <v>63</v>
      </c>
      <c r="E199" s="142">
        <v>608520</v>
      </c>
      <c r="F199" s="203"/>
      <c r="G199" s="142">
        <v>608520</v>
      </c>
      <c r="H199" s="141" t="s">
        <v>274</v>
      </c>
    </row>
    <row r="200" spans="1:8" x14ac:dyDescent="0.35">
      <c r="A200" s="202">
        <v>46217</v>
      </c>
      <c r="B200" s="141">
        <v>7</v>
      </c>
      <c r="C200" s="141" t="s">
        <v>22</v>
      </c>
      <c r="D200" s="141" t="s">
        <v>23</v>
      </c>
      <c r="E200" s="142">
        <v>103167</v>
      </c>
      <c r="F200" s="203"/>
      <c r="G200" s="142">
        <v>103167</v>
      </c>
      <c r="H200" s="141" t="s">
        <v>274</v>
      </c>
    </row>
    <row r="201" spans="1:8" x14ac:dyDescent="0.35">
      <c r="A201" s="202">
        <v>46217</v>
      </c>
      <c r="B201" s="141">
        <v>7</v>
      </c>
      <c r="C201" s="141" t="s">
        <v>94</v>
      </c>
      <c r="D201" s="141" t="s">
        <v>95</v>
      </c>
      <c r="E201" s="142">
        <v>227392</v>
      </c>
      <c r="F201" s="203"/>
      <c r="G201" s="142">
        <v>227392</v>
      </c>
      <c r="H201" s="141" t="s">
        <v>274</v>
      </c>
    </row>
    <row r="202" spans="1:8" x14ac:dyDescent="0.35">
      <c r="A202" s="202">
        <v>46233</v>
      </c>
      <c r="B202" s="141">
        <v>7</v>
      </c>
      <c r="C202" s="141" t="s">
        <v>116</v>
      </c>
      <c r="D202" s="141" t="s">
        <v>117</v>
      </c>
      <c r="E202" s="142">
        <v>200736</v>
      </c>
      <c r="F202" s="203"/>
      <c r="G202" s="142">
        <v>200736</v>
      </c>
      <c r="H202" s="141" t="s">
        <v>274</v>
      </c>
    </row>
    <row r="203" spans="1:8" x14ac:dyDescent="0.35">
      <c r="A203" s="202">
        <v>46233</v>
      </c>
      <c r="B203" s="141">
        <v>7</v>
      </c>
      <c r="C203" s="141" t="s">
        <v>105</v>
      </c>
      <c r="D203" s="141" t="s">
        <v>106</v>
      </c>
      <c r="E203" s="142">
        <v>37590</v>
      </c>
      <c r="F203" s="203"/>
      <c r="G203" s="142">
        <v>37590</v>
      </c>
      <c r="H203" s="141" t="s">
        <v>274</v>
      </c>
    </row>
    <row r="204" spans="1:8" x14ac:dyDescent="0.35">
      <c r="A204" s="202">
        <v>46233</v>
      </c>
      <c r="B204" s="141">
        <v>7</v>
      </c>
      <c r="C204" s="141" t="s">
        <v>177</v>
      </c>
      <c r="D204" s="141" t="s">
        <v>178</v>
      </c>
      <c r="E204" s="142">
        <v>14535</v>
      </c>
      <c r="F204" s="203"/>
      <c r="G204" s="142">
        <v>14535</v>
      </c>
      <c r="H204" s="141" t="s">
        <v>274</v>
      </c>
    </row>
    <row r="205" spans="1:8" x14ac:dyDescent="0.35">
      <c r="A205" s="202">
        <v>46233</v>
      </c>
      <c r="B205" s="141">
        <v>7</v>
      </c>
      <c r="C205" s="141" t="s">
        <v>35</v>
      </c>
      <c r="D205" s="141" t="s">
        <v>36</v>
      </c>
      <c r="E205" s="142">
        <v>165000</v>
      </c>
      <c r="F205" s="203"/>
      <c r="G205" s="142">
        <v>165000</v>
      </c>
      <c r="H205" s="141" t="s">
        <v>274</v>
      </c>
    </row>
    <row r="206" spans="1:8" x14ac:dyDescent="0.35">
      <c r="A206" s="202">
        <v>46233</v>
      </c>
      <c r="B206" s="141">
        <v>7</v>
      </c>
      <c r="C206" s="141" t="s">
        <v>57</v>
      </c>
      <c r="D206" s="141" t="s">
        <v>58</v>
      </c>
      <c r="E206" s="142">
        <v>14586</v>
      </c>
      <c r="F206" s="203"/>
      <c r="G206" s="142">
        <v>14586</v>
      </c>
      <c r="H206" s="141" t="s">
        <v>274</v>
      </c>
    </row>
    <row r="207" spans="1:8" x14ac:dyDescent="0.35">
      <c r="A207" s="202">
        <v>46233</v>
      </c>
      <c r="B207" s="141">
        <v>7</v>
      </c>
      <c r="C207" s="141" t="s">
        <v>55</v>
      </c>
      <c r="D207" s="141" t="s">
        <v>56</v>
      </c>
      <c r="E207" s="142">
        <v>15210</v>
      </c>
      <c r="F207" s="203"/>
      <c r="G207" s="142">
        <v>15210</v>
      </c>
      <c r="H207" s="141" t="s">
        <v>274</v>
      </c>
    </row>
    <row r="208" spans="1:8" x14ac:dyDescent="0.35">
      <c r="A208" s="202">
        <v>46233</v>
      </c>
      <c r="B208" s="141">
        <v>7</v>
      </c>
      <c r="C208" s="141" t="s">
        <v>38</v>
      </c>
      <c r="D208" s="141" t="s">
        <v>39</v>
      </c>
      <c r="E208" s="142">
        <v>43077</v>
      </c>
      <c r="F208" s="203"/>
      <c r="G208" s="142">
        <v>43077</v>
      </c>
      <c r="H208" s="141" t="s">
        <v>274</v>
      </c>
    </row>
    <row r="209" spans="1:8" x14ac:dyDescent="0.35">
      <c r="A209" s="202">
        <v>46233</v>
      </c>
      <c r="B209" s="141">
        <v>7</v>
      </c>
      <c r="C209" s="141" t="s">
        <v>48</v>
      </c>
      <c r="D209" s="141" t="s">
        <v>285</v>
      </c>
      <c r="E209" s="142">
        <v>17244</v>
      </c>
      <c r="F209" s="203"/>
      <c r="G209" s="142">
        <v>17244</v>
      </c>
      <c r="H209" s="141" t="s">
        <v>274</v>
      </c>
    </row>
    <row r="210" spans="1:8" x14ac:dyDescent="0.35">
      <c r="A210" s="202">
        <v>46233</v>
      </c>
      <c r="B210" s="141">
        <v>7</v>
      </c>
      <c r="C210" s="141" t="s">
        <v>45</v>
      </c>
      <c r="D210" s="141" t="s">
        <v>46</v>
      </c>
      <c r="E210" s="142">
        <v>46550</v>
      </c>
      <c r="F210" s="203"/>
      <c r="G210" s="142">
        <v>46550</v>
      </c>
      <c r="H210" s="141" t="s">
        <v>274</v>
      </c>
    </row>
    <row r="211" spans="1:8" x14ac:dyDescent="0.35">
      <c r="A211" s="202">
        <v>46233</v>
      </c>
      <c r="B211" s="141">
        <v>7</v>
      </c>
      <c r="C211" s="141" t="s">
        <v>19</v>
      </c>
      <c r="D211" s="141" t="s">
        <v>62</v>
      </c>
      <c r="E211" s="142">
        <v>1430154</v>
      </c>
      <c r="F211" s="203"/>
      <c r="G211" s="142">
        <v>1430154</v>
      </c>
      <c r="H211" s="141" t="s">
        <v>274</v>
      </c>
    </row>
    <row r="212" spans="1:8" x14ac:dyDescent="0.35">
      <c r="A212" s="202">
        <v>46233</v>
      </c>
      <c r="B212" s="141">
        <v>7</v>
      </c>
      <c r="C212" s="141" t="s">
        <v>33</v>
      </c>
      <c r="D212" s="141" t="s">
        <v>34</v>
      </c>
      <c r="E212" s="142">
        <v>130000</v>
      </c>
      <c r="F212" s="203"/>
      <c r="G212" s="142">
        <v>130000</v>
      </c>
      <c r="H212" s="141" t="s">
        <v>274</v>
      </c>
    </row>
    <row r="213" spans="1:8" x14ac:dyDescent="0.35">
      <c r="A213" s="202">
        <v>46233</v>
      </c>
      <c r="B213" s="141">
        <v>7</v>
      </c>
      <c r="C213" s="141" t="s">
        <v>67</v>
      </c>
      <c r="D213" s="141" t="s">
        <v>68</v>
      </c>
      <c r="E213" s="142">
        <v>62400</v>
      </c>
      <c r="F213" s="203"/>
      <c r="G213" s="142">
        <v>62400</v>
      </c>
      <c r="H213" s="141" t="s">
        <v>274</v>
      </c>
    </row>
    <row r="214" spans="1:8" x14ac:dyDescent="0.35">
      <c r="A214" s="202">
        <v>46233</v>
      </c>
      <c r="B214" s="141">
        <v>7</v>
      </c>
      <c r="C214" s="141" t="s">
        <v>87</v>
      </c>
      <c r="D214" s="141" t="s">
        <v>88</v>
      </c>
      <c r="E214" s="142">
        <v>3333</v>
      </c>
      <c r="F214" s="203"/>
      <c r="G214" s="142">
        <v>3333</v>
      </c>
      <c r="H214" s="141" t="s">
        <v>274</v>
      </c>
    </row>
    <row r="215" spans="1:8" x14ac:dyDescent="0.35">
      <c r="A215" s="202">
        <v>46233</v>
      </c>
      <c r="B215" s="141">
        <v>7</v>
      </c>
      <c r="C215" s="141" t="s">
        <v>84</v>
      </c>
      <c r="D215" s="141" t="s">
        <v>85</v>
      </c>
      <c r="E215" s="142">
        <v>1100</v>
      </c>
      <c r="F215" s="203"/>
      <c r="G215" s="142">
        <v>1100</v>
      </c>
      <c r="H215" s="141" t="s">
        <v>274</v>
      </c>
    </row>
    <row r="216" spans="1:8" x14ac:dyDescent="0.35">
      <c r="A216" s="202">
        <v>46233</v>
      </c>
      <c r="B216" s="141">
        <v>7</v>
      </c>
      <c r="C216" s="141" t="s">
        <v>51</v>
      </c>
      <c r="D216" s="141" t="s">
        <v>284</v>
      </c>
      <c r="E216" s="142">
        <v>43350</v>
      </c>
      <c r="F216" s="203"/>
      <c r="G216" s="142">
        <v>43350</v>
      </c>
      <c r="H216" s="141" t="s">
        <v>274</v>
      </c>
    </row>
    <row r="217" spans="1:8" x14ac:dyDescent="0.35">
      <c r="A217" s="202">
        <v>46233</v>
      </c>
      <c r="B217" s="141">
        <v>7</v>
      </c>
      <c r="C217" s="141" t="s">
        <v>60</v>
      </c>
      <c r="D217" s="141" t="s">
        <v>61</v>
      </c>
      <c r="E217" s="142">
        <v>260442</v>
      </c>
      <c r="F217" s="203"/>
      <c r="G217" s="142">
        <v>260442</v>
      </c>
      <c r="H217" s="141" t="s">
        <v>274</v>
      </c>
    </row>
    <row r="218" spans="1:8" x14ac:dyDescent="0.35">
      <c r="A218" s="202">
        <v>46233</v>
      </c>
      <c r="B218" s="141">
        <v>7</v>
      </c>
      <c r="C218" s="141" t="s">
        <v>72</v>
      </c>
      <c r="D218" s="141" t="s">
        <v>73</v>
      </c>
      <c r="E218" s="142">
        <v>4158</v>
      </c>
      <c r="F218" s="203"/>
      <c r="G218" s="142">
        <v>4158</v>
      </c>
      <c r="H218" s="141" t="s">
        <v>274</v>
      </c>
    </row>
    <row r="219" spans="1:8" x14ac:dyDescent="0.35">
      <c r="A219" s="202">
        <v>46233</v>
      </c>
      <c r="B219" s="141">
        <v>7</v>
      </c>
      <c r="C219" s="141" t="s">
        <v>27</v>
      </c>
      <c r="D219" s="141" t="s">
        <v>28</v>
      </c>
      <c r="E219" s="142">
        <v>366058</v>
      </c>
      <c r="F219" s="203"/>
      <c r="G219" s="142">
        <v>366058</v>
      </c>
      <c r="H219" s="141" t="s">
        <v>274</v>
      </c>
    </row>
    <row r="220" spans="1:8" x14ac:dyDescent="0.35">
      <c r="A220" s="202">
        <v>46234</v>
      </c>
      <c r="B220" s="141">
        <v>7</v>
      </c>
      <c r="C220" s="141" t="s">
        <v>98</v>
      </c>
      <c r="D220" s="141" t="s">
        <v>99</v>
      </c>
      <c r="E220" s="142"/>
      <c r="F220" s="203">
        <v>14.363</v>
      </c>
      <c r="G220" s="142">
        <v>19045.338</v>
      </c>
      <c r="H220" s="141" t="s">
        <v>274</v>
      </c>
    </row>
    <row r="221" spans="1:8" x14ac:dyDescent="0.35">
      <c r="A221" s="202">
        <v>46240</v>
      </c>
      <c r="B221" s="141">
        <v>8</v>
      </c>
      <c r="C221" s="141">
        <v>105560</v>
      </c>
      <c r="D221" s="141" t="s">
        <v>112</v>
      </c>
      <c r="E221" s="142">
        <v>13860</v>
      </c>
      <c r="F221" s="203"/>
      <c r="G221" s="142">
        <v>13860</v>
      </c>
      <c r="H221" s="141" t="s">
        <v>274</v>
      </c>
    </row>
    <row r="222" spans="1:8" x14ac:dyDescent="0.35">
      <c r="A222" s="202">
        <v>46244</v>
      </c>
      <c r="B222" s="141">
        <v>8</v>
      </c>
      <c r="C222" s="141" t="s">
        <v>103</v>
      </c>
      <c r="D222" s="141" t="s">
        <v>104</v>
      </c>
      <c r="E222" s="142"/>
      <c r="F222" s="203">
        <v>2.4300000000000002</v>
      </c>
      <c r="G222" s="142">
        <v>3222.18</v>
      </c>
      <c r="H222" s="141" t="s">
        <v>274</v>
      </c>
    </row>
    <row r="223" spans="1:8" x14ac:dyDescent="0.35">
      <c r="A223" s="202">
        <v>46247</v>
      </c>
      <c r="B223" s="141">
        <v>8</v>
      </c>
      <c r="C223" s="141" t="s">
        <v>25</v>
      </c>
      <c r="D223" s="141" t="s">
        <v>26</v>
      </c>
      <c r="E223" s="142">
        <v>309000</v>
      </c>
      <c r="F223" s="203"/>
      <c r="G223" s="142">
        <v>309000</v>
      </c>
      <c r="H223" s="141" t="s">
        <v>274</v>
      </c>
    </row>
    <row r="224" spans="1:8" x14ac:dyDescent="0.35">
      <c r="A224" s="202">
        <v>46247</v>
      </c>
      <c r="B224" s="141">
        <v>8</v>
      </c>
      <c r="C224" s="141" t="s">
        <v>42</v>
      </c>
      <c r="D224" s="141" t="s">
        <v>63</v>
      </c>
      <c r="E224" s="142">
        <v>599300</v>
      </c>
      <c r="F224" s="203"/>
      <c r="G224" s="142">
        <v>599300</v>
      </c>
      <c r="H224" s="141" t="s">
        <v>274</v>
      </c>
    </row>
    <row r="225" spans="1:8" x14ac:dyDescent="0.35">
      <c r="A225" s="202">
        <v>46247</v>
      </c>
      <c r="B225" s="141">
        <v>8</v>
      </c>
      <c r="C225" s="141" t="s">
        <v>22</v>
      </c>
      <c r="D225" s="141" t="s">
        <v>23</v>
      </c>
      <c r="E225" s="142">
        <v>80241</v>
      </c>
      <c r="F225" s="203"/>
      <c r="G225" s="142">
        <v>80241</v>
      </c>
      <c r="H225" s="141" t="s">
        <v>274</v>
      </c>
    </row>
    <row r="226" spans="1:8" x14ac:dyDescent="0.35">
      <c r="A226" s="202">
        <v>46247</v>
      </c>
      <c r="B226" s="141">
        <v>8</v>
      </c>
      <c r="C226" s="141" t="s">
        <v>94</v>
      </c>
      <c r="D226" s="141" t="s">
        <v>95</v>
      </c>
      <c r="E226" s="142">
        <v>190080</v>
      </c>
      <c r="F226" s="203"/>
      <c r="G226" s="142">
        <v>190080</v>
      </c>
      <c r="H226" s="141" t="s">
        <v>274</v>
      </c>
    </row>
    <row r="227" spans="1:8" x14ac:dyDescent="0.35">
      <c r="A227" s="202">
        <v>46248</v>
      </c>
      <c r="B227" s="141">
        <v>8</v>
      </c>
      <c r="C227" s="141" t="s">
        <v>161</v>
      </c>
      <c r="D227" s="141" t="s">
        <v>162</v>
      </c>
      <c r="E227" s="142"/>
      <c r="F227" s="203">
        <v>1.24</v>
      </c>
      <c r="G227" s="142">
        <v>1644.24</v>
      </c>
      <c r="H227" s="141" t="s">
        <v>274</v>
      </c>
    </row>
    <row r="228" spans="1:8" x14ac:dyDescent="0.35">
      <c r="A228" s="202">
        <v>46251</v>
      </c>
      <c r="B228" s="141">
        <v>8</v>
      </c>
      <c r="C228" s="141" t="s">
        <v>136</v>
      </c>
      <c r="D228" s="141" t="s">
        <v>137</v>
      </c>
      <c r="E228" s="142"/>
      <c r="F228" s="203">
        <v>8.6850000000000005</v>
      </c>
      <c r="G228" s="142">
        <v>11516.31</v>
      </c>
      <c r="H228" s="141" t="s">
        <v>274</v>
      </c>
    </row>
    <row r="229" spans="1:8" x14ac:dyDescent="0.35">
      <c r="A229" s="202">
        <v>46251</v>
      </c>
      <c r="B229" s="141">
        <v>8</v>
      </c>
      <c r="C229" s="141" t="s">
        <v>189</v>
      </c>
      <c r="D229" s="141" t="s">
        <v>190</v>
      </c>
      <c r="E229" s="142"/>
      <c r="F229" s="203">
        <v>1.03</v>
      </c>
      <c r="G229" s="142">
        <v>1365.78</v>
      </c>
      <c r="H229" s="141" t="s">
        <v>274</v>
      </c>
    </row>
    <row r="230" spans="1:8" x14ac:dyDescent="0.35">
      <c r="A230" s="202">
        <v>46253</v>
      </c>
      <c r="B230" s="141">
        <v>8</v>
      </c>
      <c r="C230" s="141" t="s">
        <v>187</v>
      </c>
      <c r="D230" s="141" t="s">
        <v>188</v>
      </c>
      <c r="E230" s="142"/>
      <c r="F230" s="203">
        <v>1.78</v>
      </c>
      <c r="G230" s="142">
        <v>2360.2800000000002</v>
      </c>
      <c r="H230" s="141" t="s">
        <v>274</v>
      </c>
    </row>
    <row r="231" spans="1:8" x14ac:dyDescent="0.35">
      <c r="A231" s="202">
        <v>46254</v>
      </c>
      <c r="B231" s="141">
        <v>8</v>
      </c>
      <c r="C231" s="141" t="s">
        <v>130</v>
      </c>
      <c r="D231" s="141" t="s">
        <v>131</v>
      </c>
      <c r="E231" s="142"/>
      <c r="F231" s="203">
        <v>1.82</v>
      </c>
      <c r="G231" s="142">
        <v>2413.3200000000002</v>
      </c>
      <c r="H231" s="141" t="s">
        <v>274</v>
      </c>
    </row>
    <row r="232" spans="1:8" x14ac:dyDescent="0.35">
      <c r="A232" s="202">
        <v>46262</v>
      </c>
      <c r="B232" s="141">
        <v>8</v>
      </c>
      <c r="C232" s="141" t="s">
        <v>78</v>
      </c>
      <c r="D232" s="141" t="s">
        <v>79</v>
      </c>
      <c r="E232" s="142">
        <v>32500</v>
      </c>
      <c r="F232" s="203"/>
      <c r="G232" s="142">
        <v>32500</v>
      </c>
      <c r="H232" s="141" t="s">
        <v>274</v>
      </c>
    </row>
    <row r="233" spans="1:8" x14ac:dyDescent="0.35">
      <c r="A233" s="202">
        <v>46262</v>
      </c>
      <c r="B233" s="141">
        <v>8</v>
      </c>
      <c r="C233" s="141" t="s">
        <v>116</v>
      </c>
      <c r="D233" s="141" t="s">
        <v>117</v>
      </c>
      <c r="E233" s="142">
        <v>219104</v>
      </c>
      <c r="F233" s="203"/>
      <c r="G233" s="142">
        <v>219104</v>
      </c>
      <c r="H233" s="141" t="s">
        <v>274</v>
      </c>
    </row>
    <row r="234" spans="1:8" x14ac:dyDescent="0.35">
      <c r="A234" s="202">
        <v>46262</v>
      </c>
      <c r="B234" s="141">
        <v>8</v>
      </c>
      <c r="C234" s="141" t="s">
        <v>35</v>
      </c>
      <c r="D234" s="141" t="s">
        <v>36</v>
      </c>
      <c r="E234" s="142">
        <v>165000</v>
      </c>
      <c r="F234" s="203"/>
      <c r="G234" s="142">
        <v>165000</v>
      </c>
      <c r="H234" s="141" t="s">
        <v>274</v>
      </c>
    </row>
    <row r="235" spans="1:8" x14ac:dyDescent="0.35">
      <c r="A235" s="202">
        <v>46262</v>
      </c>
      <c r="B235" s="141">
        <v>8</v>
      </c>
      <c r="C235" s="141" t="s">
        <v>48</v>
      </c>
      <c r="D235" s="141" t="s">
        <v>285</v>
      </c>
      <c r="E235" s="142">
        <v>27303</v>
      </c>
      <c r="F235" s="203"/>
      <c r="G235" s="142">
        <v>27303</v>
      </c>
      <c r="H235" s="141" t="s">
        <v>274</v>
      </c>
    </row>
    <row r="236" spans="1:8" x14ac:dyDescent="0.35">
      <c r="A236" s="202">
        <v>46262</v>
      </c>
      <c r="B236" s="141">
        <v>8</v>
      </c>
      <c r="C236" s="141" t="s">
        <v>45</v>
      </c>
      <c r="D236" s="141" t="s">
        <v>46</v>
      </c>
      <c r="E236" s="142">
        <v>35910</v>
      </c>
      <c r="F236" s="203"/>
      <c r="G236" s="142">
        <v>35910</v>
      </c>
      <c r="H236" s="141" t="s">
        <v>274</v>
      </c>
    </row>
    <row r="237" spans="1:8" x14ac:dyDescent="0.35">
      <c r="A237" s="202">
        <v>46262</v>
      </c>
      <c r="B237" s="141">
        <v>8</v>
      </c>
      <c r="C237" s="141" t="s">
        <v>19</v>
      </c>
      <c r="D237" s="141" t="s">
        <v>62</v>
      </c>
      <c r="E237" s="142">
        <v>1384020</v>
      </c>
      <c r="F237" s="203"/>
      <c r="G237" s="142">
        <v>1384020</v>
      </c>
      <c r="H237" s="141" t="s">
        <v>274</v>
      </c>
    </row>
    <row r="238" spans="1:8" x14ac:dyDescent="0.35">
      <c r="A238" s="202">
        <v>46262</v>
      </c>
      <c r="B238" s="141">
        <v>8</v>
      </c>
      <c r="C238" s="141" t="s">
        <v>33</v>
      </c>
      <c r="D238" s="141" t="s">
        <v>34</v>
      </c>
      <c r="E238" s="142">
        <v>126000</v>
      </c>
      <c r="F238" s="203"/>
      <c r="G238" s="142">
        <v>126000</v>
      </c>
      <c r="H238" s="141" t="s">
        <v>274</v>
      </c>
    </row>
    <row r="239" spans="1:8" x14ac:dyDescent="0.35">
      <c r="A239" s="202">
        <v>46262</v>
      </c>
      <c r="B239" s="141">
        <v>8</v>
      </c>
      <c r="C239" s="141" t="s">
        <v>67</v>
      </c>
      <c r="D239" s="141" t="s">
        <v>68</v>
      </c>
      <c r="E239" s="142">
        <v>57600</v>
      </c>
      <c r="F239" s="203"/>
      <c r="G239" s="142">
        <v>57600</v>
      </c>
      <c r="H239" s="141" t="s">
        <v>274</v>
      </c>
    </row>
    <row r="240" spans="1:8" x14ac:dyDescent="0.35">
      <c r="A240" s="202">
        <v>46262</v>
      </c>
      <c r="B240" s="141">
        <v>8</v>
      </c>
      <c r="C240" s="141" t="s">
        <v>87</v>
      </c>
      <c r="D240" s="141" t="s">
        <v>88</v>
      </c>
      <c r="E240" s="142">
        <v>3232</v>
      </c>
      <c r="F240" s="203"/>
      <c r="G240" s="142">
        <v>3232</v>
      </c>
      <c r="H240" s="141" t="s">
        <v>274</v>
      </c>
    </row>
    <row r="241" spans="1:8" x14ac:dyDescent="0.35">
      <c r="A241" s="202">
        <v>46262</v>
      </c>
      <c r="B241" s="141">
        <v>8</v>
      </c>
      <c r="C241" s="141" t="s">
        <v>84</v>
      </c>
      <c r="D241" s="141" t="s">
        <v>85</v>
      </c>
      <c r="E241" s="142">
        <v>1100</v>
      </c>
      <c r="F241" s="203"/>
      <c r="G241" s="142">
        <v>1100</v>
      </c>
      <c r="H241" s="141" t="s">
        <v>274</v>
      </c>
    </row>
    <row r="242" spans="1:8" x14ac:dyDescent="0.35">
      <c r="A242" s="202">
        <v>46262</v>
      </c>
      <c r="B242" s="141">
        <v>8</v>
      </c>
      <c r="C242" s="141" t="s">
        <v>51</v>
      </c>
      <c r="D242" s="141" t="s">
        <v>284</v>
      </c>
      <c r="E242" s="142">
        <v>42500</v>
      </c>
      <c r="F242" s="203"/>
      <c r="G242" s="142">
        <v>42500</v>
      </c>
      <c r="H242" s="141" t="s">
        <v>274</v>
      </c>
    </row>
    <row r="243" spans="1:8" x14ac:dyDescent="0.35">
      <c r="A243" s="202">
        <v>46262</v>
      </c>
      <c r="B243" s="141">
        <v>8</v>
      </c>
      <c r="C243" s="141" t="s">
        <v>60</v>
      </c>
      <c r="D243" s="141" t="s">
        <v>61</v>
      </c>
      <c r="E243" s="142">
        <v>318318</v>
      </c>
      <c r="F243" s="203"/>
      <c r="G243" s="142">
        <v>318318</v>
      </c>
      <c r="H243" s="141" t="s">
        <v>274</v>
      </c>
    </row>
    <row r="244" spans="1:8" x14ac:dyDescent="0.35">
      <c r="A244" s="202">
        <v>46262</v>
      </c>
      <c r="B244" s="141">
        <v>8</v>
      </c>
      <c r="C244" s="141" t="s">
        <v>27</v>
      </c>
      <c r="D244" s="141" t="s">
        <v>28</v>
      </c>
      <c r="E244" s="142">
        <v>342288</v>
      </c>
      <c r="F244" s="203"/>
      <c r="G244" s="142">
        <v>342288</v>
      </c>
      <c r="H244" s="141" t="s">
        <v>274</v>
      </c>
    </row>
    <row r="245" spans="1:8" x14ac:dyDescent="0.35">
      <c r="A245" s="202">
        <v>46262</v>
      </c>
      <c r="B245" s="141">
        <v>8</v>
      </c>
      <c r="C245" s="141" t="s">
        <v>133</v>
      </c>
      <c r="D245" s="141" t="s">
        <v>134</v>
      </c>
      <c r="E245" s="142"/>
      <c r="F245" s="203">
        <v>4.08</v>
      </c>
      <c r="G245" s="142">
        <v>5410.08</v>
      </c>
      <c r="H245" s="141" t="s">
        <v>274</v>
      </c>
    </row>
    <row r="246" spans="1:8" x14ac:dyDescent="0.35">
      <c r="A246" s="202">
        <v>46265</v>
      </c>
      <c r="B246" s="141">
        <v>8</v>
      </c>
      <c r="C246" s="141" t="s">
        <v>98</v>
      </c>
      <c r="D246" s="141" t="s">
        <v>99</v>
      </c>
      <c r="E246" s="142"/>
      <c r="F246" s="203">
        <v>14.363</v>
      </c>
      <c r="G246" s="142">
        <v>19045.338</v>
      </c>
      <c r="H246" s="141" t="s">
        <v>274</v>
      </c>
    </row>
    <row r="247" spans="1:8" x14ac:dyDescent="0.35">
      <c r="A247" s="202">
        <v>46266</v>
      </c>
      <c r="B247" s="141">
        <v>9</v>
      </c>
      <c r="C247" s="141" t="s">
        <v>146</v>
      </c>
      <c r="D247" s="141" t="s">
        <v>147</v>
      </c>
      <c r="E247" s="142"/>
      <c r="F247" s="203">
        <v>4.0999999999999996</v>
      </c>
      <c r="G247" s="142">
        <v>5436.5999999999995</v>
      </c>
      <c r="H247" s="141" t="s">
        <v>274</v>
      </c>
    </row>
    <row r="248" spans="1:8" x14ac:dyDescent="0.35">
      <c r="A248" s="202">
        <v>46275</v>
      </c>
      <c r="B248" s="141">
        <v>9</v>
      </c>
      <c r="C248" s="141" t="s">
        <v>127</v>
      </c>
      <c r="D248" s="141" t="s">
        <v>128</v>
      </c>
      <c r="E248" s="142"/>
      <c r="F248" s="203">
        <v>1</v>
      </c>
      <c r="G248" s="142">
        <v>1326</v>
      </c>
      <c r="H248" s="141" t="s">
        <v>274</v>
      </c>
    </row>
    <row r="249" spans="1:8" x14ac:dyDescent="0.35">
      <c r="A249" s="202">
        <v>46279</v>
      </c>
      <c r="B249" s="141">
        <v>9</v>
      </c>
      <c r="C249" s="141" t="s">
        <v>25</v>
      </c>
      <c r="D249" s="141" t="s">
        <v>26</v>
      </c>
      <c r="E249" s="142">
        <v>288000</v>
      </c>
      <c r="F249" s="203"/>
      <c r="G249" s="142">
        <v>288000</v>
      </c>
      <c r="H249" s="141" t="s">
        <v>274</v>
      </c>
    </row>
    <row r="250" spans="1:8" x14ac:dyDescent="0.35">
      <c r="A250" s="202">
        <v>46279</v>
      </c>
      <c r="B250" s="141">
        <v>9</v>
      </c>
      <c r="C250" s="141" t="s">
        <v>42</v>
      </c>
      <c r="D250" s="141" t="s">
        <v>63</v>
      </c>
      <c r="E250" s="142">
        <v>557810</v>
      </c>
      <c r="F250" s="203"/>
      <c r="G250" s="142">
        <v>557810</v>
      </c>
      <c r="H250" s="141" t="s">
        <v>274</v>
      </c>
    </row>
    <row r="251" spans="1:8" x14ac:dyDescent="0.35">
      <c r="A251" s="202">
        <v>46279</v>
      </c>
      <c r="B251" s="141">
        <v>9</v>
      </c>
      <c r="C251" s="141" t="s">
        <v>51</v>
      </c>
      <c r="D251" s="141" t="s">
        <v>284</v>
      </c>
      <c r="E251" s="142">
        <v>48450</v>
      </c>
      <c r="F251" s="203"/>
      <c r="G251" s="142">
        <v>48450</v>
      </c>
      <c r="H251" s="141" t="s">
        <v>274</v>
      </c>
    </row>
    <row r="252" spans="1:8" x14ac:dyDescent="0.35">
      <c r="A252" s="202">
        <v>46279</v>
      </c>
      <c r="B252" s="141">
        <v>9</v>
      </c>
      <c r="C252" s="141" t="s">
        <v>22</v>
      </c>
      <c r="D252" s="141" t="s">
        <v>23</v>
      </c>
      <c r="E252" s="142">
        <v>106988</v>
      </c>
      <c r="F252" s="203"/>
      <c r="G252" s="142">
        <v>106988</v>
      </c>
      <c r="H252" s="141" t="s">
        <v>274</v>
      </c>
    </row>
    <row r="253" spans="1:8" x14ac:dyDescent="0.35">
      <c r="A253" s="202">
        <v>46279</v>
      </c>
      <c r="B253" s="141">
        <v>9</v>
      </c>
      <c r="C253" s="141" t="s">
        <v>94</v>
      </c>
      <c r="D253" s="141" t="s">
        <v>95</v>
      </c>
      <c r="E253" s="142">
        <v>211200</v>
      </c>
      <c r="F253" s="203"/>
      <c r="G253" s="142">
        <v>211200</v>
      </c>
      <c r="H253" s="141" t="s">
        <v>274</v>
      </c>
    </row>
    <row r="254" spans="1:8" x14ac:dyDescent="0.35">
      <c r="A254" s="202">
        <v>46281</v>
      </c>
      <c r="B254" s="141">
        <v>9</v>
      </c>
      <c r="C254" s="141" t="s">
        <v>148</v>
      </c>
      <c r="D254" s="141" t="s">
        <v>149</v>
      </c>
      <c r="E254" s="142"/>
      <c r="F254" s="203">
        <v>1.107</v>
      </c>
      <c r="G254" s="142">
        <v>1467.8820000000001</v>
      </c>
      <c r="H254" s="141" t="s">
        <v>274</v>
      </c>
    </row>
    <row r="255" spans="1:8" x14ac:dyDescent="0.35">
      <c r="A255" s="202">
        <v>46288</v>
      </c>
      <c r="B255" s="141">
        <v>9</v>
      </c>
      <c r="C255" s="141" t="s">
        <v>110</v>
      </c>
      <c r="D255" s="141" t="s">
        <v>110</v>
      </c>
      <c r="E255" s="142"/>
      <c r="F255" s="203">
        <v>3.78</v>
      </c>
      <c r="G255" s="142">
        <v>5012.28</v>
      </c>
      <c r="H255" s="141" t="s">
        <v>274</v>
      </c>
    </row>
    <row r="256" spans="1:8" x14ac:dyDescent="0.35">
      <c r="A256" s="202">
        <v>46288</v>
      </c>
      <c r="B256" s="141">
        <v>9</v>
      </c>
      <c r="C256" s="141" t="s">
        <v>129</v>
      </c>
      <c r="D256" s="141" t="s">
        <v>129</v>
      </c>
      <c r="E256" s="142"/>
      <c r="F256" s="203">
        <v>6.4080000000000004</v>
      </c>
      <c r="G256" s="142">
        <v>8497.0079999999998</v>
      </c>
      <c r="H256" s="141" t="s">
        <v>274</v>
      </c>
    </row>
    <row r="257" spans="1:8" x14ac:dyDescent="0.35">
      <c r="A257" s="204">
        <v>46292</v>
      </c>
      <c r="B257" s="150">
        <v>9</v>
      </c>
      <c r="C257" s="150" t="s">
        <v>78</v>
      </c>
      <c r="D257" s="150" t="s">
        <v>79</v>
      </c>
      <c r="E257" s="151">
        <v>26000</v>
      </c>
      <c r="F257" s="205"/>
      <c r="G257" s="151">
        <v>26000</v>
      </c>
      <c r="H257" s="150" t="s">
        <v>275</v>
      </c>
    </row>
    <row r="258" spans="1:8" x14ac:dyDescent="0.35">
      <c r="A258" s="204">
        <v>46292</v>
      </c>
      <c r="B258" s="150">
        <v>9</v>
      </c>
      <c r="C258" s="150">
        <v>105560</v>
      </c>
      <c r="D258" s="150" t="s">
        <v>112</v>
      </c>
      <c r="E258" s="151">
        <v>9540</v>
      </c>
      <c r="F258" s="205"/>
      <c r="G258" s="151">
        <v>9540</v>
      </c>
      <c r="H258" s="150" t="s">
        <v>275</v>
      </c>
    </row>
    <row r="259" spans="1:8" x14ac:dyDescent="0.35">
      <c r="A259" s="204">
        <v>46293</v>
      </c>
      <c r="B259" s="150">
        <v>9</v>
      </c>
      <c r="C259" s="150" t="s">
        <v>91</v>
      </c>
      <c r="D259" s="150" t="s">
        <v>92</v>
      </c>
      <c r="E259" s="151">
        <v>36184</v>
      </c>
      <c r="F259" s="205"/>
      <c r="G259" s="151">
        <v>36184</v>
      </c>
      <c r="H259" s="150" t="s">
        <v>275</v>
      </c>
    </row>
    <row r="260" spans="1:8" x14ac:dyDescent="0.35">
      <c r="A260" s="202">
        <v>46294</v>
      </c>
      <c r="B260" s="141">
        <v>9</v>
      </c>
      <c r="C260" s="141" t="s">
        <v>116</v>
      </c>
      <c r="D260" s="141" t="s">
        <v>117</v>
      </c>
      <c r="E260" s="142">
        <v>229600</v>
      </c>
      <c r="F260" s="203"/>
      <c r="G260" s="142">
        <v>229600</v>
      </c>
      <c r="H260" s="141" t="s">
        <v>274</v>
      </c>
    </row>
    <row r="261" spans="1:8" x14ac:dyDescent="0.35">
      <c r="A261" s="202">
        <v>46294</v>
      </c>
      <c r="B261" s="141">
        <v>9</v>
      </c>
      <c r="C261" s="141" t="s">
        <v>35</v>
      </c>
      <c r="D261" s="141" t="s">
        <v>36</v>
      </c>
      <c r="E261" s="142">
        <v>165000</v>
      </c>
      <c r="F261" s="203"/>
      <c r="G261" s="142">
        <v>165000</v>
      </c>
      <c r="H261" s="141" t="s">
        <v>274</v>
      </c>
    </row>
    <row r="262" spans="1:8" x14ac:dyDescent="0.35">
      <c r="A262" s="202">
        <v>46294</v>
      </c>
      <c r="B262" s="141">
        <v>9</v>
      </c>
      <c r="C262" s="141" t="s">
        <v>48</v>
      </c>
      <c r="D262" s="141" t="s">
        <v>285</v>
      </c>
      <c r="E262" s="142">
        <v>28740</v>
      </c>
      <c r="F262" s="203"/>
      <c r="G262" s="142">
        <v>28740</v>
      </c>
      <c r="H262" s="141" t="s">
        <v>274</v>
      </c>
    </row>
    <row r="263" spans="1:8" x14ac:dyDescent="0.35">
      <c r="A263" s="202">
        <v>46294</v>
      </c>
      <c r="B263" s="141">
        <v>9</v>
      </c>
      <c r="C263" s="141" t="s">
        <v>45</v>
      </c>
      <c r="D263" s="141" t="s">
        <v>46</v>
      </c>
      <c r="E263" s="142">
        <v>49210</v>
      </c>
      <c r="F263" s="203"/>
      <c r="G263" s="142">
        <v>49210</v>
      </c>
      <c r="H263" s="141" t="s">
        <v>274</v>
      </c>
    </row>
    <row r="264" spans="1:8" x14ac:dyDescent="0.35">
      <c r="A264" s="202">
        <v>46294</v>
      </c>
      <c r="B264" s="141">
        <v>9</v>
      </c>
      <c r="C264" s="141" t="s">
        <v>19</v>
      </c>
      <c r="D264" s="141" t="s">
        <v>62</v>
      </c>
      <c r="E264" s="142">
        <v>1399398</v>
      </c>
      <c r="F264" s="203"/>
      <c r="G264" s="142">
        <v>1399398</v>
      </c>
      <c r="H264" s="141" t="s">
        <v>274</v>
      </c>
    </row>
    <row r="265" spans="1:8" x14ac:dyDescent="0.35">
      <c r="A265" s="202">
        <v>46294</v>
      </c>
      <c r="B265" s="141">
        <v>9</v>
      </c>
      <c r="C265" s="141" t="s">
        <v>33</v>
      </c>
      <c r="D265" s="141" t="s">
        <v>34</v>
      </c>
      <c r="E265" s="142">
        <v>120000</v>
      </c>
      <c r="F265" s="203"/>
      <c r="G265" s="142">
        <v>120000</v>
      </c>
      <c r="H265" s="141" t="s">
        <v>274</v>
      </c>
    </row>
    <row r="266" spans="1:8" x14ac:dyDescent="0.35">
      <c r="A266" s="202">
        <v>46294</v>
      </c>
      <c r="B266" s="141">
        <v>9</v>
      </c>
      <c r="C266" s="141" t="s">
        <v>67</v>
      </c>
      <c r="D266" s="141" t="s">
        <v>68</v>
      </c>
      <c r="E266" s="142">
        <v>57600</v>
      </c>
      <c r="F266" s="203"/>
      <c r="G266" s="142">
        <v>57600</v>
      </c>
      <c r="H266" s="141" t="s">
        <v>274</v>
      </c>
    </row>
    <row r="267" spans="1:8" x14ac:dyDescent="0.35">
      <c r="A267" s="202">
        <v>46294</v>
      </c>
      <c r="B267" s="141">
        <v>9</v>
      </c>
      <c r="C267" s="141" t="s">
        <v>87</v>
      </c>
      <c r="D267" s="141" t="s">
        <v>88</v>
      </c>
      <c r="E267" s="142">
        <v>3232</v>
      </c>
      <c r="F267" s="203"/>
      <c r="G267" s="142">
        <v>3232</v>
      </c>
      <c r="H267" s="141" t="s">
        <v>274</v>
      </c>
    </row>
    <row r="268" spans="1:8" x14ac:dyDescent="0.35">
      <c r="A268" s="202">
        <v>46294</v>
      </c>
      <c r="B268" s="141">
        <v>9</v>
      </c>
      <c r="C268" s="141" t="s">
        <v>84</v>
      </c>
      <c r="D268" s="141" t="s">
        <v>85</v>
      </c>
      <c r="E268" s="142">
        <v>1100</v>
      </c>
      <c r="F268" s="203"/>
      <c r="G268" s="142">
        <v>1100</v>
      </c>
      <c r="H268" s="141" t="s">
        <v>274</v>
      </c>
    </row>
    <row r="269" spans="1:8" x14ac:dyDescent="0.35">
      <c r="A269" s="202">
        <v>46294</v>
      </c>
      <c r="B269" s="141">
        <v>9</v>
      </c>
      <c r="C269" s="141" t="s">
        <v>60</v>
      </c>
      <c r="D269" s="141" t="s">
        <v>61</v>
      </c>
      <c r="E269" s="142">
        <v>333900</v>
      </c>
      <c r="F269" s="203"/>
      <c r="G269" s="142">
        <v>333900</v>
      </c>
      <c r="H269" s="141" t="s">
        <v>274</v>
      </c>
    </row>
    <row r="270" spans="1:8" x14ac:dyDescent="0.35">
      <c r="A270" s="202">
        <v>46294</v>
      </c>
      <c r="B270" s="141">
        <v>9</v>
      </c>
      <c r="C270" s="141" t="s">
        <v>27</v>
      </c>
      <c r="D270" s="141" t="s">
        <v>28</v>
      </c>
      <c r="E270" s="142">
        <v>347042</v>
      </c>
      <c r="F270" s="203"/>
      <c r="G270" s="142">
        <v>347042</v>
      </c>
      <c r="H270" s="141" t="s">
        <v>274</v>
      </c>
    </row>
    <row r="271" spans="1:8" x14ac:dyDescent="0.35">
      <c r="A271" s="202">
        <v>46295</v>
      </c>
      <c r="B271" s="141">
        <v>9</v>
      </c>
      <c r="C271" s="141" t="s">
        <v>125</v>
      </c>
      <c r="D271" s="141" t="s">
        <v>126</v>
      </c>
      <c r="E271" s="142"/>
      <c r="F271" s="203">
        <v>8.9499999999999993</v>
      </c>
      <c r="G271" s="142">
        <v>11867.7</v>
      </c>
      <c r="H271" s="141" t="s">
        <v>274</v>
      </c>
    </row>
    <row r="272" spans="1:8" x14ac:dyDescent="0.35">
      <c r="A272" s="202">
        <v>46295</v>
      </c>
      <c r="B272" s="141">
        <v>9</v>
      </c>
      <c r="C272" s="141" t="s">
        <v>98</v>
      </c>
      <c r="D272" s="141" t="s">
        <v>99</v>
      </c>
      <c r="E272" s="142"/>
      <c r="F272" s="203">
        <v>14.416</v>
      </c>
      <c r="G272" s="142">
        <v>19115.616000000002</v>
      </c>
      <c r="H272" s="141" t="s">
        <v>274</v>
      </c>
    </row>
    <row r="273" spans="1:8" x14ac:dyDescent="0.35">
      <c r="A273" s="204">
        <v>46304</v>
      </c>
      <c r="B273" s="150">
        <v>10</v>
      </c>
      <c r="C273" s="150" t="s">
        <v>125</v>
      </c>
      <c r="D273" s="150" t="s">
        <v>126</v>
      </c>
      <c r="E273" s="151"/>
      <c r="F273" s="205">
        <v>8.1</v>
      </c>
      <c r="G273" s="151">
        <v>10740.6</v>
      </c>
      <c r="H273" s="150" t="s">
        <v>275</v>
      </c>
    </row>
    <row r="274" spans="1:8" x14ac:dyDescent="0.35">
      <c r="A274" s="202">
        <v>46304</v>
      </c>
      <c r="B274" s="141">
        <v>10</v>
      </c>
      <c r="C274" s="141" t="s">
        <v>156</v>
      </c>
      <c r="D274" s="141" t="s">
        <v>157</v>
      </c>
      <c r="E274" s="142"/>
      <c r="F274" s="203">
        <v>1</v>
      </c>
      <c r="G274" s="142">
        <v>1326</v>
      </c>
      <c r="H274" s="141" t="s">
        <v>274</v>
      </c>
    </row>
    <row r="275" spans="1:8" x14ac:dyDescent="0.35">
      <c r="A275" s="204">
        <v>46306</v>
      </c>
      <c r="B275" s="150">
        <v>10</v>
      </c>
      <c r="C275" s="150" t="s">
        <v>98</v>
      </c>
      <c r="D275" s="150" t="s">
        <v>99</v>
      </c>
      <c r="E275" s="151"/>
      <c r="F275" s="205">
        <v>14.204000000000001</v>
      </c>
      <c r="G275" s="151">
        <v>18834.504000000001</v>
      </c>
      <c r="H275" s="150" t="s">
        <v>275</v>
      </c>
    </row>
    <row r="276" spans="1:8" x14ac:dyDescent="0.35">
      <c r="A276" s="202">
        <v>46309</v>
      </c>
      <c r="B276" s="141">
        <v>10</v>
      </c>
      <c r="C276" s="141" t="s">
        <v>25</v>
      </c>
      <c r="D276" s="141" t="s">
        <v>26</v>
      </c>
      <c r="E276" s="142">
        <v>276000</v>
      </c>
      <c r="F276" s="203"/>
      <c r="G276" s="142">
        <v>276000</v>
      </c>
      <c r="H276" s="141" t="s">
        <v>274</v>
      </c>
    </row>
    <row r="277" spans="1:8" x14ac:dyDescent="0.35">
      <c r="A277" s="202">
        <v>46309</v>
      </c>
      <c r="B277" s="141">
        <v>10</v>
      </c>
      <c r="C277" s="141" t="s">
        <v>42</v>
      </c>
      <c r="D277" s="141" t="s">
        <v>63</v>
      </c>
      <c r="E277" s="142">
        <v>576250</v>
      </c>
      <c r="F277" s="203"/>
      <c r="G277" s="142">
        <v>576250</v>
      </c>
      <c r="H277" s="141" t="s">
        <v>274</v>
      </c>
    </row>
    <row r="278" spans="1:8" x14ac:dyDescent="0.35">
      <c r="A278" s="202">
        <v>46309</v>
      </c>
      <c r="B278" s="141">
        <v>10</v>
      </c>
      <c r="C278" s="141" t="s">
        <v>51</v>
      </c>
      <c r="D278" s="141" t="s">
        <v>284</v>
      </c>
      <c r="E278" s="142">
        <v>48875</v>
      </c>
      <c r="F278" s="203"/>
      <c r="G278" s="142">
        <v>48875</v>
      </c>
      <c r="H278" s="141" t="s">
        <v>274</v>
      </c>
    </row>
    <row r="279" spans="1:8" x14ac:dyDescent="0.35">
      <c r="A279" s="202">
        <v>46309</v>
      </c>
      <c r="B279" s="141">
        <v>10</v>
      </c>
      <c r="C279" s="141" t="s">
        <v>22</v>
      </c>
      <c r="D279" s="141" t="s">
        <v>23</v>
      </c>
      <c r="E279" s="142">
        <v>53494</v>
      </c>
      <c r="F279" s="203"/>
      <c r="G279" s="142">
        <v>53494</v>
      </c>
      <c r="H279" s="141" t="s">
        <v>274</v>
      </c>
    </row>
    <row r="280" spans="1:8" x14ac:dyDescent="0.35">
      <c r="A280" s="202">
        <v>46309</v>
      </c>
      <c r="B280" s="141">
        <v>10</v>
      </c>
      <c r="C280" s="141" t="s">
        <v>94</v>
      </c>
      <c r="D280" s="141" t="s">
        <v>95</v>
      </c>
      <c r="E280" s="142">
        <v>197824</v>
      </c>
      <c r="F280" s="203"/>
      <c r="G280" s="142">
        <v>197824</v>
      </c>
      <c r="H280" s="141" t="s">
        <v>274</v>
      </c>
    </row>
    <row r="281" spans="1:8" x14ac:dyDescent="0.35">
      <c r="A281" s="204">
        <v>46325</v>
      </c>
      <c r="B281" s="150">
        <v>10</v>
      </c>
      <c r="C281" s="150" t="s">
        <v>177</v>
      </c>
      <c r="D281" s="150" t="s">
        <v>178</v>
      </c>
      <c r="E281" s="151">
        <v>11457</v>
      </c>
      <c r="F281" s="205"/>
      <c r="G281" s="151">
        <v>11457</v>
      </c>
      <c r="H281" s="150" t="s">
        <v>275</v>
      </c>
    </row>
    <row r="282" spans="1:8" x14ac:dyDescent="0.35">
      <c r="A282" s="204">
        <v>46325</v>
      </c>
      <c r="B282" s="150">
        <v>10</v>
      </c>
      <c r="C282" s="150" t="s">
        <v>35</v>
      </c>
      <c r="D282" s="150" t="s">
        <v>36</v>
      </c>
      <c r="E282" s="151">
        <v>155000</v>
      </c>
      <c r="F282" s="205"/>
      <c r="G282" s="151">
        <v>155000</v>
      </c>
      <c r="H282" s="150" t="s">
        <v>275</v>
      </c>
    </row>
    <row r="283" spans="1:8" x14ac:dyDescent="0.35">
      <c r="A283" s="204">
        <v>46325</v>
      </c>
      <c r="B283" s="150">
        <v>10</v>
      </c>
      <c r="C283" s="150" t="s">
        <v>57</v>
      </c>
      <c r="D283" s="150" t="s">
        <v>58</v>
      </c>
      <c r="E283" s="151">
        <v>13812</v>
      </c>
      <c r="F283" s="205"/>
      <c r="G283" s="151">
        <v>13812</v>
      </c>
      <c r="H283" s="150" t="s">
        <v>275</v>
      </c>
    </row>
    <row r="284" spans="1:8" x14ac:dyDescent="0.35">
      <c r="A284" s="204">
        <v>46325</v>
      </c>
      <c r="B284" s="150">
        <v>10</v>
      </c>
      <c r="C284" s="150" t="s">
        <v>55</v>
      </c>
      <c r="D284" s="150" t="s">
        <v>56</v>
      </c>
      <c r="E284" s="151">
        <v>12337</v>
      </c>
      <c r="F284" s="205"/>
      <c r="G284" s="151">
        <v>12337</v>
      </c>
      <c r="H284" s="150" t="s">
        <v>275</v>
      </c>
    </row>
    <row r="285" spans="1:8" x14ac:dyDescent="0.35">
      <c r="A285" s="204">
        <v>46325</v>
      </c>
      <c r="B285" s="150">
        <v>10</v>
      </c>
      <c r="C285" s="150" t="s">
        <v>38</v>
      </c>
      <c r="D285" s="150" t="s">
        <v>39</v>
      </c>
      <c r="E285" s="151">
        <v>32697</v>
      </c>
      <c r="F285" s="205"/>
      <c r="G285" s="151">
        <v>32697</v>
      </c>
      <c r="H285" s="150" t="s">
        <v>275</v>
      </c>
    </row>
    <row r="286" spans="1:8" x14ac:dyDescent="0.35">
      <c r="A286" s="204">
        <v>46325</v>
      </c>
      <c r="B286" s="150">
        <v>10</v>
      </c>
      <c r="C286" s="150" t="s">
        <v>48</v>
      </c>
      <c r="D286" s="150" t="s">
        <v>285</v>
      </c>
      <c r="E286" s="151">
        <v>15807</v>
      </c>
      <c r="F286" s="205"/>
      <c r="G286" s="151">
        <v>15807</v>
      </c>
      <c r="H286" s="150" t="s">
        <v>275</v>
      </c>
    </row>
    <row r="287" spans="1:8" x14ac:dyDescent="0.35">
      <c r="A287" s="204">
        <v>46325</v>
      </c>
      <c r="B287" s="150">
        <v>10</v>
      </c>
      <c r="C287" s="150" t="s">
        <v>45</v>
      </c>
      <c r="D287" s="150" t="s">
        <v>46</v>
      </c>
      <c r="E287" s="151">
        <v>43890</v>
      </c>
      <c r="F287" s="205"/>
      <c r="G287" s="151">
        <v>43890</v>
      </c>
      <c r="H287" s="150" t="s">
        <v>275</v>
      </c>
    </row>
    <row r="288" spans="1:8" x14ac:dyDescent="0.35">
      <c r="A288" s="204">
        <v>46325</v>
      </c>
      <c r="B288" s="150">
        <v>10</v>
      </c>
      <c r="C288" s="150" t="s">
        <v>19</v>
      </c>
      <c r="D288" s="150" t="s">
        <v>62</v>
      </c>
      <c r="E288" s="151">
        <v>1345575</v>
      </c>
      <c r="F288" s="205"/>
      <c r="G288" s="151">
        <v>1345575</v>
      </c>
      <c r="H288" s="150" t="s">
        <v>275</v>
      </c>
    </row>
    <row r="289" spans="1:8" x14ac:dyDescent="0.35">
      <c r="A289" s="204">
        <v>46325</v>
      </c>
      <c r="B289" s="150">
        <v>10</v>
      </c>
      <c r="C289" s="150" t="s">
        <v>33</v>
      </c>
      <c r="D289" s="150" t="s">
        <v>34</v>
      </c>
      <c r="E289" s="151">
        <v>120000</v>
      </c>
      <c r="F289" s="205"/>
      <c r="G289" s="151">
        <v>120000</v>
      </c>
      <c r="H289" s="150" t="s">
        <v>275</v>
      </c>
    </row>
    <row r="290" spans="1:8" x14ac:dyDescent="0.35">
      <c r="A290" s="204">
        <v>46325</v>
      </c>
      <c r="B290" s="150">
        <v>10</v>
      </c>
      <c r="C290" s="150" t="s">
        <v>67</v>
      </c>
      <c r="D290" s="150" t="s">
        <v>68</v>
      </c>
      <c r="E290" s="151">
        <v>78720</v>
      </c>
      <c r="F290" s="205"/>
      <c r="G290" s="151">
        <v>78720</v>
      </c>
      <c r="H290" s="150" t="s">
        <v>275</v>
      </c>
    </row>
    <row r="291" spans="1:8" x14ac:dyDescent="0.35">
      <c r="A291" s="204">
        <v>46325</v>
      </c>
      <c r="B291" s="150">
        <v>10</v>
      </c>
      <c r="C291" s="150" t="s">
        <v>87</v>
      </c>
      <c r="D291" s="150" t="s">
        <v>88</v>
      </c>
      <c r="E291" s="151">
        <v>3737</v>
      </c>
      <c r="F291" s="205"/>
      <c r="G291" s="151">
        <v>3737</v>
      </c>
      <c r="H291" s="150" t="s">
        <v>275</v>
      </c>
    </row>
    <row r="292" spans="1:8" x14ac:dyDescent="0.35">
      <c r="A292" s="204">
        <v>46325</v>
      </c>
      <c r="B292" s="150">
        <v>10</v>
      </c>
      <c r="C292" s="150" t="s">
        <v>84</v>
      </c>
      <c r="D292" s="150" t="s">
        <v>85</v>
      </c>
      <c r="E292" s="151">
        <v>1200</v>
      </c>
      <c r="F292" s="205"/>
      <c r="G292" s="151">
        <v>1200</v>
      </c>
      <c r="H292" s="150" t="s">
        <v>275</v>
      </c>
    </row>
    <row r="293" spans="1:8" x14ac:dyDescent="0.35">
      <c r="A293" s="204">
        <v>46325</v>
      </c>
      <c r="B293" s="150">
        <v>10</v>
      </c>
      <c r="C293" s="150" t="s">
        <v>60</v>
      </c>
      <c r="D293" s="150" t="s">
        <v>61</v>
      </c>
      <c r="E293" s="151">
        <v>324996</v>
      </c>
      <c r="F293" s="205"/>
      <c r="G293" s="151">
        <v>324996</v>
      </c>
      <c r="H293" s="150" t="s">
        <v>275</v>
      </c>
    </row>
    <row r="294" spans="1:8" x14ac:dyDescent="0.35">
      <c r="A294" s="204">
        <v>46325</v>
      </c>
      <c r="B294" s="150">
        <v>10</v>
      </c>
      <c r="C294" s="150" t="s">
        <v>27</v>
      </c>
      <c r="D294" s="150" t="s">
        <v>28</v>
      </c>
      <c r="E294" s="151">
        <v>366058</v>
      </c>
      <c r="F294" s="205"/>
      <c r="G294" s="151">
        <v>366058</v>
      </c>
      <c r="H294" s="150" t="s">
        <v>275</v>
      </c>
    </row>
    <row r="295" spans="1:8" x14ac:dyDescent="0.35">
      <c r="A295" s="204">
        <v>46326</v>
      </c>
      <c r="B295" s="150">
        <v>10</v>
      </c>
      <c r="C295" s="150" t="s">
        <v>116</v>
      </c>
      <c r="D295" s="150" t="s">
        <v>117</v>
      </c>
      <c r="E295" s="151">
        <v>216480</v>
      </c>
      <c r="F295" s="205"/>
      <c r="G295" s="151">
        <v>216480</v>
      </c>
      <c r="H295" s="150" t="s">
        <v>275</v>
      </c>
    </row>
    <row r="296" spans="1:8" x14ac:dyDescent="0.35">
      <c r="A296" s="204">
        <v>46335</v>
      </c>
      <c r="B296" s="150">
        <v>11</v>
      </c>
      <c r="C296" s="150" t="s">
        <v>103</v>
      </c>
      <c r="D296" s="150" t="s">
        <v>104</v>
      </c>
      <c r="E296" s="151"/>
      <c r="F296" s="205">
        <v>2.2949999999999999</v>
      </c>
      <c r="G296" s="151">
        <v>3043.17</v>
      </c>
      <c r="H296" s="150" t="s">
        <v>275</v>
      </c>
    </row>
    <row r="297" spans="1:8" x14ac:dyDescent="0.35">
      <c r="A297" s="204">
        <v>46339</v>
      </c>
      <c r="B297" s="150">
        <v>11</v>
      </c>
      <c r="C297" s="150" t="s">
        <v>25</v>
      </c>
      <c r="D297" s="150" t="s">
        <v>26</v>
      </c>
      <c r="E297" s="151">
        <v>267000</v>
      </c>
      <c r="F297" s="205"/>
      <c r="G297" s="151">
        <v>267000</v>
      </c>
      <c r="H297" s="150" t="s">
        <v>275</v>
      </c>
    </row>
    <row r="298" spans="1:8" x14ac:dyDescent="0.35">
      <c r="A298" s="204">
        <v>46339</v>
      </c>
      <c r="B298" s="150">
        <v>11</v>
      </c>
      <c r="C298" s="150">
        <v>105560</v>
      </c>
      <c r="D298" s="150" t="s">
        <v>112</v>
      </c>
      <c r="E298" s="151">
        <v>11160</v>
      </c>
      <c r="F298" s="205"/>
      <c r="G298" s="151">
        <v>11160</v>
      </c>
      <c r="H298" s="150" t="s">
        <v>275</v>
      </c>
    </row>
    <row r="299" spans="1:8" x14ac:dyDescent="0.35">
      <c r="A299" s="204">
        <v>46339</v>
      </c>
      <c r="B299" s="150">
        <v>11</v>
      </c>
      <c r="C299" s="150" t="s">
        <v>94</v>
      </c>
      <c r="D299" s="150" t="s">
        <v>95</v>
      </c>
      <c r="E299" s="151">
        <v>137984</v>
      </c>
      <c r="F299" s="205"/>
      <c r="G299" s="151">
        <v>137984</v>
      </c>
      <c r="H299" s="150" t="s">
        <v>275</v>
      </c>
    </row>
    <row r="300" spans="1:8" x14ac:dyDescent="0.35">
      <c r="A300" s="204">
        <v>46340</v>
      </c>
      <c r="B300" s="150">
        <v>11</v>
      </c>
      <c r="C300" s="150" t="s">
        <v>42</v>
      </c>
      <c r="D300" s="150" t="s">
        <v>63</v>
      </c>
      <c r="E300" s="151">
        <v>576250</v>
      </c>
      <c r="F300" s="205"/>
      <c r="G300" s="151">
        <v>576250</v>
      </c>
      <c r="H300" s="150" t="s">
        <v>275</v>
      </c>
    </row>
    <row r="301" spans="1:8" x14ac:dyDescent="0.35">
      <c r="A301" s="204">
        <v>46340</v>
      </c>
      <c r="B301" s="150">
        <v>11</v>
      </c>
      <c r="C301" s="150" t="s">
        <v>22</v>
      </c>
      <c r="D301" s="150" t="s">
        <v>23</v>
      </c>
      <c r="E301" s="151">
        <v>122272</v>
      </c>
      <c r="F301" s="205"/>
      <c r="G301" s="151">
        <v>122272</v>
      </c>
      <c r="H301" s="150" t="s">
        <v>275</v>
      </c>
    </row>
    <row r="302" spans="1:8" x14ac:dyDescent="0.35">
      <c r="A302" s="204">
        <v>46340</v>
      </c>
      <c r="B302" s="150">
        <v>11</v>
      </c>
      <c r="C302" s="150" t="s">
        <v>98</v>
      </c>
      <c r="D302" s="150" t="s">
        <v>99</v>
      </c>
      <c r="E302" s="151"/>
      <c r="F302" s="205">
        <v>14.151</v>
      </c>
      <c r="G302" s="151">
        <v>18764.225999999999</v>
      </c>
      <c r="H302" s="150" t="s">
        <v>275</v>
      </c>
    </row>
    <row r="303" spans="1:8" x14ac:dyDescent="0.35">
      <c r="A303" s="204">
        <v>46340</v>
      </c>
      <c r="B303" s="150">
        <v>11</v>
      </c>
      <c r="C303" s="150" t="s">
        <v>161</v>
      </c>
      <c r="D303" s="150" t="s">
        <v>162</v>
      </c>
      <c r="E303" s="151"/>
      <c r="F303" s="205">
        <v>1.23</v>
      </c>
      <c r="G303" s="151">
        <v>1630.98</v>
      </c>
      <c r="H303" s="150" t="s">
        <v>275</v>
      </c>
    </row>
    <row r="304" spans="1:8" x14ac:dyDescent="0.35">
      <c r="A304" s="204">
        <v>46340</v>
      </c>
      <c r="B304" s="150">
        <v>11</v>
      </c>
      <c r="C304" s="150" t="s">
        <v>189</v>
      </c>
      <c r="D304" s="150" t="s">
        <v>190</v>
      </c>
      <c r="E304" s="151"/>
      <c r="F304" s="205">
        <v>1.01</v>
      </c>
      <c r="G304" s="151">
        <v>1339.26</v>
      </c>
      <c r="H304" s="150" t="s">
        <v>275</v>
      </c>
    </row>
    <row r="305" spans="1:8" x14ac:dyDescent="0.35">
      <c r="A305" s="204">
        <v>46344</v>
      </c>
      <c r="B305" s="150">
        <v>11</v>
      </c>
      <c r="C305" s="150" t="s">
        <v>187</v>
      </c>
      <c r="D305" s="150" t="s">
        <v>188</v>
      </c>
      <c r="E305" s="151"/>
      <c r="F305" s="205">
        <v>1.67</v>
      </c>
      <c r="G305" s="151">
        <v>2214.42</v>
      </c>
      <c r="H305" s="150" t="s">
        <v>275</v>
      </c>
    </row>
    <row r="306" spans="1:8" x14ac:dyDescent="0.35">
      <c r="A306" s="204">
        <v>46346</v>
      </c>
      <c r="B306" s="150">
        <v>11</v>
      </c>
      <c r="C306" s="150" t="s">
        <v>130</v>
      </c>
      <c r="D306" s="150" t="s">
        <v>131</v>
      </c>
      <c r="E306" s="151"/>
      <c r="F306" s="205">
        <v>1.74</v>
      </c>
      <c r="G306" s="151">
        <v>2307.2399999999998</v>
      </c>
      <c r="H306" s="150" t="s">
        <v>275</v>
      </c>
    </row>
    <row r="307" spans="1:8" x14ac:dyDescent="0.35">
      <c r="A307" s="204">
        <v>46352</v>
      </c>
      <c r="B307" s="150">
        <v>11</v>
      </c>
      <c r="C307" s="150" t="s">
        <v>133</v>
      </c>
      <c r="D307" s="150" t="s">
        <v>134</v>
      </c>
      <c r="E307" s="151"/>
      <c r="F307" s="205">
        <v>3.8</v>
      </c>
      <c r="G307" s="151">
        <v>5038.8</v>
      </c>
      <c r="H307" s="150" t="s">
        <v>275</v>
      </c>
    </row>
    <row r="308" spans="1:8" x14ac:dyDescent="0.35">
      <c r="A308" s="204">
        <v>46353</v>
      </c>
      <c r="B308" s="150">
        <v>11</v>
      </c>
      <c r="C308" s="150" t="s">
        <v>78</v>
      </c>
      <c r="D308" s="150" t="s">
        <v>79</v>
      </c>
      <c r="E308" s="151">
        <v>32500</v>
      </c>
      <c r="F308" s="205"/>
      <c r="G308" s="151">
        <v>32500</v>
      </c>
      <c r="H308" s="150" t="s">
        <v>275</v>
      </c>
    </row>
    <row r="309" spans="1:8" x14ac:dyDescent="0.35">
      <c r="A309" s="204">
        <v>46353</v>
      </c>
      <c r="B309" s="150">
        <v>11</v>
      </c>
      <c r="C309" s="150" t="s">
        <v>30</v>
      </c>
      <c r="D309" s="150" t="s">
        <v>31</v>
      </c>
      <c r="E309" s="151">
        <v>186099</v>
      </c>
      <c r="F309" s="205"/>
      <c r="G309" s="151">
        <v>186099</v>
      </c>
      <c r="H309" s="150" t="s">
        <v>275</v>
      </c>
    </row>
    <row r="310" spans="1:8" x14ac:dyDescent="0.35">
      <c r="A310" s="204">
        <v>46353</v>
      </c>
      <c r="B310" s="150">
        <v>11</v>
      </c>
      <c r="C310" s="150" t="s">
        <v>27</v>
      </c>
      <c r="D310" s="150" t="s">
        <v>28</v>
      </c>
      <c r="E310" s="151">
        <v>366058</v>
      </c>
      <c r="F310" s="205"/>
      <c r="G310" s="151">
        <v>366058</v>
      </c>
      <c r="H310" s="150" t="s">
        <v>275</v>
      </c>
    </row>
    <row r="311" spans="1:8" x14ac:dyDescent="0.35">
      <c r="A311" s="204">
        <v>46354</v>
      </c>
      <c r="B311" s="150">
        <v>11</v>
      </c>
      <c r="C311" s="150" t="s">
        <v>35</v>
      </c>
      <c r="D311" s="150" t="s">
        <v>36</v>
      </c>
      <c r="E311" s="151">
        <v>107500</v>
      </c>
      <c r="F311" s="205"/>
      <c r="G311" s="151">
        <v>107500</v>
      </c>
      <c r="H311" s="150" t="s">
        <v>275</v>
      </c>
    </row>
    <row r="312" spans="1:8" x14ac:dyDescent="0.35">
      <c r="A312" s="204">
        <v>46354</v>
      </c>
      <c r="B312" s="150">
        <v>11</v>
      </c>
      <c r="C312" s="150" t="s">
        <v>48</v>
      </c>
      <c r="D312" s="150" t="s">
        <v>285</v>
      </c>
      <c r="E312" s="151">
        <v>25148</v>
      </c>
      <c r="F312" s="205"/>
      <c r="G312" s="151">
        <v>25148</v>
      </c>
      <c r="H312" s="150" t="s">
        <v>275</v>
      </c>
    </row>
    <row r="313" spans="1:8" x14ac:dyDescent="0.35">
      <c r="A313" s="204">
        <v>46354</v>
      </c>
      <c r="B313" s="150">
        <v>11</v>
      </c>
      <c r="C313" s="150" t="s">
        <v>45</v>
      </c>
      <c r="D313" s="150" t="s">
        <v>46</v>
      </c>
      <c r="E313" s="151">
        <v>53865</v>
      </c>
      <c r="F313" s="205"/>
      <c r="G313" s="151">
        <v>53865</v>
      </c>
      <c r="H313" s="150" t="s">
        <v>275</v>
      </c>
    </row>
    <row r="314" spans="1:8" x14ac:dyDescent="0.35">
      <c r="A314" s="204">
        <v>46354</v>
      </c>
      <c r="B314" s="150">
        <v>11</v>
      </c>
      <c r="C314" s="150" t="s">
        <v>19</v>
      </c>
      <c r="D314" s="150" t="s">
        <v>62</v>
      </c>
      <c r="E314" s="151">
        <v>1437843</v>
      </c>
      <c r="F314" s="205"/>
      <c r="G314" s="151">
        <v>1437843</v>
      </c>
      <c r="H314" s="150" t="s">
        <v>275</v>
      </c>
    </row>
    <row r="315" spans="1:8" x14ac:dyDescent="0.35">
      <c r="A315" s="204">
        <v>46354</v>
      </c>
      <c r="B315" s="150">
        <v>11</v>
      </c>
      <c r="C315" s="150" t="s">
        <v>33</v>
      </c>
      <c r="D315" s="150" t="s">
        <v>34</v>
      </c>
      <c r="E315" s="151">
        <v>124000</v>
      </c>
      <c r="F315" s="205"/>
      <c r="G315" s="151">
        <v>124000</v>
      </c>
      <c r="H315" s="150" t="s">
        <v>275</v>
      </c>
    </row>
    <row r="316" spans="1:8" x14ac:dyDescent="0.35">
      <c r="A316" s="204">
        <v>46354</v>
      </c>
      <c r="B316" s="150">
        <v>11</v>
      </c>
      <c r="C316" s="150" t="s">
        <v>67</v>
      </c>
      <c r="D316" s="150" t="s">
        <v>68</v>
      </c>
      <c r="E316" s="151">
        <v>108000</v>
      </c>
      <c r="F316" s="205"/>
      <c r="G316" s="151">
        <v>108000</v>
      </c>
      <c r="H316" s="150" t="s">
        <v>275</v>
      </c>
    </row>
    <row r="317" spans="1:8" x14ac:dyDescent="0.35">
      <c r="A317" s="204">
        <v>46354</v>
      </c>
      <c r="B317" s="150">
        <v>11</v>
      </c>
      <c r="C317" s="150" t="s">
        <v>87</v>
      </c>
      <c r="D317" s="150" t="s">
        <v>88</v>
      </c>
      <c r="E317" s="151">
        <v>3737</v>
      </c>
      <c r="F317" s="205"/>
      <c r="G317" s="151">
        <v>3737</v>
      </c>
      <c r="H317" s="150" t="s">
        <v>275</v>
      </c>
    </row>
    <row r="318" spans="1:8" x14ac:dyDescent="0.35">
      <c r="A318" s="204">
        <v>46354</v>
      </c>
      <c r="B318" s="150">
        <v>11</v>
      </c>
      <c r="C318" s="150" t="s">
        <v>84</v>
      </c>
      <c r="D318" s="150" t="s">
        <v>85</v>
      </c>
      <c r="E318" s="151">
        <v>1200</v>
      </c>
      <c r="F318" s="205"/>
      <c r="G318" s="151">
        <v>1200</v>
      </c>
      <c r="H318" s="150" t="s">
        <v>275</v>
      </c>
    </row>
    <row r="319" spans="1:8" x14ac:dyDescent="0.35">
      <c r="A319" s="204">
        <v>46354</v>
      </c>
      <c r="B319" s="150">
        <v>11</v>
      </c>
      <c r="C319" s="150" t="s">
        <v>51</v>
      </c>
      <c r="D319" s="150" t="s">
        <v>284</v>
      </c>
      <c r="E319" s="151">
        <v>40800</v>
      </c>
      <c r="F319" s="205"/>
      <c r="G319" s="151">
        <v>40800</v>
      </c>
      <c r="H319" s="150" t="s">
        <v>275</v>
      </c>
    </row>
    <row r="320" spans="1:8" x14ac:dyDescent="0.35">
      <c r="A320" s="204">
        <v>46354</v>
      </c>
      <c r="B320" s="150">
        <v>11</v>
      </c>
      <c r="C320" s="150" t="s">
        <v>60</v>
      </c>
      <c r="D320" s="150" t="s">
        <v>61</v>
      </c>
      <c r="E320" s="151">
        <v>329448</v>
      </c>
      <c r="F320" s="205"/>
      <c r="G320" s="151">
        <v>329448</v>
      </c>
      <c r="H320" s="150" t="s">
        <v>275</v>
      </c>
    </row>
    <row r="321" spans="1:8" x14ac:dyDescent="0.35">
      <c r="A321" s="204">
        <v>46356</v>
      </c>
      <c r="B321" s="150">
        <v>11</v>
      </c>
      <c r="C321" s="150" t="s">
        <v>116</v>
      </c>
      <c r="D321" s="150" t="s">
        <v>117</v>
      </c>
      <c r="E321" s="151">
        <v>216480</v>
      </c>
      <c r="F321" s="205"/>
      <c r="G321" s="151">
        <v>216480</v>
      </c>
      <c r="H321" s="150" t="s">
        <v>275</v>
      </c>
    </row>
    <row r="322" spans="1:8" x14ac:dyDescent="0.35">
      <c r="A322" s="204">
        <v>46358</v>
      </c>
      <c r="B322" s="150">
        <v>12</v>
      </c>
      <c r="C322" s="150" t="s">
        <v>146</v>
      </c>
      <c r="D322" s="150" t="s">
        <v>147</v>
      </c>
      <c r="E322" s="151"/>
      <c r="F322" s="205">
        <v>4.05</v>
      </c>
      <c r="G322" s="151">
        <v>5370.3</v>
      </c>
      <c r="H322" s="150" t="s">
        <v>275</v>
      </c>
    </row>
    <row r="323" spans="1:8" x14ac:dyDescent="0.35">
      <c r="A323" s="204">
        <v>46366</v>
      </c>
      <c r="B323" s="150">
        <v>12</v>
      </c>
      <c r="C323" s="150" t="s">
        <v>129</v>
      </c>
      <c r="D323" s="150" t="s">
        <v>129</v>
      </c>
      <c r="E323" s="151"/>
      <c r="F323" s="205">
        <v>6.516</v>
      </c>
      <c r="G323" s="151">
        <v>8640.2160000000003</v>
      </c>
      <c r="H323" s="150" t="s">
        <v>275</v>
      </c>
    </row>
    <row r="324" spans="1:8" x14ac:dyDescent="0.35">
      <c r="A324" s="204">
        <v>46368</v>
      </c>
      <c r="B324" s="150">
        <v>12</v>
      </c>
      <c r="C324" s="150" t="s">
        <v>25</v>
      </c>
      <c r="D324" s="150" t="s">
        <v>26</v>
      </c>
      <c r="E324" s="151">
        <v>273000</v>
      </c>
      <c r="F324" s="205"/>
      <c r="G324" s="151">
        <v>273000</v>
      </c>
      <c r="H324" s="150" t="s">
        <v>275</v>
      </c>
    </row>
    <row r="325" spans="1:8" x14ac:dyDescent="0.35">
      <c r="A325" s="204">
        <v>46368</v>
      </c>
      <c r="B325" s="150">
        <v>12</v>
      </c>
      <c r="C325" s="150" t="s">
        <v>42</v>
      </c>
      <c r="D325" s="150" t="s">
        <v>63</v>
      </c>
      <c r="E325" s="151">
        <v>587775</v>
      </c>
      <c r="F325" s="205"/>
      <c r="G325" s="151">
        <v>587775</v>
      </c>
      <c r="H325" s="150" t="s">
        <v>275</v>
      </c>
    </row>
    <row r="326" spans="1:8" x14ac:dyDescent="0.35">
      <c r="A326" s="204">
        <v>46368</v>
      </c>
      <c r="B326" s="150">
        <v>12</v>
      </c>
      <c r="C326" s="150" t="s">
        <v>22</v>
      </c>
      <c r="D326" s="150" t="s">
        <v>23</v>
      </c>
      <c r="E326" s="151">
        <v>114630</v>
      </c>
      <c r="F326" s="205"/>
      <c r="G326" s="151">
        <v>114630</v>
      </c>
      <c r="H326" s="150" t="s">
        <v>275</v>
      </c>
    </row>
    <row r="327" spans="1:8" x14ac:dyDescent="0.35">
      <c r="A327" s="204">
        <v>46368</v>
      </c>
      <c r="B327" s="150">
        <v>12</v>
      </c>
      <c r="C327" s="150" t="s">
        <v>94</v>
      </c>
      <c r="D327" s="150" t="s">
        <v>95</v>
      </c>
      <c r="E327" s="151">
        <v>137984</v>
      </c>
      <c r="F327" s="205"/>
      <c r="G327" s="151">
        <v>137984</v>
      </c>
      <c r="H327" s="150" t="s">
        <v>275</v>
      </c>
    </row>
    <row r="328" spans="1:8" x14ac:dyDescent="0.35">
      <c r="A328" s="204">
        <v>46372</v>
      </c>
      <c r="B328" s="150">
        <v>12</v>
      </c>
      <c r="C328" s="150" t="s">
        <v>98</v>
      </c>
      <c r="D328" s="150" t="s">
        <v>99</v>
      </c>
      <c r="E328" s="151"/>
      <c r="F328" s="205">
        <v>14.151</v>
      </c>
      <c r="G328" s="151">
        <v>18764.225999999999</v>
      </c>
      <c r="H328" s="150" t="s">
        <v>275</v>
      </c>
    </row>
    <row r="329" spans="1:8" x14ac:dyDescent="0.35">
      <c r="A329" s="204">
        <v>46380</v>
      </c>
      <c r="B329" s="150">
        <v>12</v>
      </c>
      <c r="C329" s="150" t="s">
        <v>110</v>
      </c>
      <c r="D329" s="150" t="s">
        <v>110</v>
      </c>
      <c r="E329" s="151"/>
      <c r="F329" s="205">
        <v>3.7450000000000001</v>
      </c>
      <c r="G329" s="151">
        <v>4965.87</v>
      </c>
      <c r="H329" s="150" t="s">
        <v>275</v>
      </c>
    </row>
    <row r="330" spans="1:8" x14ac:dyDescent="0.35">
      <c r="A330" s="204">
        <v>46383</v>
      </c>
      <c r="B330" s="150">
        <v>12</v>
      </c>
      <c r="C330" s="150" t="s">
        <v>30</v>
      </c>
      <c r="D330" s="150" t="s">
        <v>31</v>
      </c>
      <c r="E330" s="151">
        <v>875760</v>
      </c>
      <c r="F330" s="205"/>
      <c r="G330" s="151">
        <v>875760</v>
      </c>
      <c r="H330" s="150" t="s">
        <v>275</v>
      </c>
    </row>
    <row r="331" spans="1:8" x14ac:dyDescent="0.35">
      <c r="A331" s="204">
        <v>46384</v>
      </c>
      <c r="B331" s="150">
        <v>12</v>
      </c>
      <c r="C331" s="150" t="s">
        <v>91</v>
      </c>
      <c r="D331" s="150" t="s">
        <v>92</v>
      </c>
      <c r="E331" s="151">
        <v>45986</v>
      </c>
      <c r="F331" s="205"/>
      <c r="G331" s="151">
        <v>45986</v>
      </c>
      <c r="H331" s="150" t="s">
        <v>275</v>
      </c>
    </row>
    <row r="332" spans="1:8" x14ac:dyDescent="0.35">
      <c r="A332" s="204">
        <v>46384</v>
      </c>
      <c r="B332" s="150">
        <v>12</v>
      </c>
      <c r="C332" s="150" t="s">
        <v>35</v>
      </c>
      <c r="D332" s="150" t="s">
        <v>36</v>
      </c>
      <c r="E332" s="151">
        <v>120000</v>
      </c>
      <c r="F332" s="205"/>
      <c r="G332" s="151">
        <v>120000</v>
      </c>
      <c r="H332" s="150" t="s">
        <v>275</v>
      </c>
    </row>
    <row r="333" spans="1:8" x14ac:dyDescent="0.35">
      <c r="A333" s="204">
        <v>46384</v>
      </c>
      <c r="B333" s="150">
        <v>12</v>
      </c>
      <c r="C333" s="150" t="s">
        <v>48</v>
      </c>
      <c r="D333" s="150" t="s">
        <v>285</v>
      </c>
      <c r="E333" s="151">
        <v>25866</v>
      </c>
      <c r="F333" s="205"/>
      <c r="G333" s="151">
        <v>25866</v>
      </c>
      <c r="H333" s="150" t="s">
        <v>275</v>
      </c>
    </row>
    <row r="334" spans="1:8" x14ac:dyDescent="0.35">
      <c r="A334" s="204">
        <v>46384</v>
      </c>
      <c r="B334" s="150">
        <v>12</v>
      </c>
      <c r="C334" s="150" t="s">
        <v>45</v>
      </c>
      <c r="D334" s="150" t="s">
        <v>46</v>
      </c>
      <c r="E334" s="151">
        <v>47880</v>
      </c>
      <c r="F334" s="205"/>
      <c r="G334" s="151">
        <v>47880</v>
      </c>
      <c r="H334" s="150" t="s">
        <v>275</v>
      </c>
    </row>
    <row r="335" spans="1:8" x14ac:dyDescent="0.35">
      <c r="A335" s="204">
        <v>46384</v>
      </c>
      <c r="B335" s="150">
        <v>12</v>
      </c>
      <c r="C335" s="150" t="s">
        <v>19</v>
      </c>
      <c r="D335" s="150" t="s">
        <v>62</v>
      </c>
      <c r="E335" s="151">
        <v>1414776</v>
      </c>
      <c r="F335" s="205"/>
      <c r="G335" s="151">
        <v>1414776</v>
      </c>
      <c r="H335" s="150" t="s">
        <v>275</v>
      </c>
    </row>
    <row r="336" spans="1:8" x14ac:dyDescent="0.35">
      <c r="A336" s="204">
        <v>46384</v>
      </c>
      <c r="B336" s="150">
        <v>12</v>
      </c>
      <c r="C336" s="150" t="s">
        <v>33</v>
      </c>
      <c r="D336" s="150" t="s">
        <v>34</v>
      </c>
      <c r="E336" s="151">
        <v>133000</v>
      </c>
      <c r="F336" s="205"/>
      <c r="G336" s="151">
        <v>133000</v>
      </c>
      <c r="H336" s="150" t="s">
        <v>275</v>
      </c>
    </row>
    <row r="337" spans="1:8" x14ac:dyDescent="0.35">
      <c r="A337" s="204">
        <v>46384</v>
      </c>
      <c r="B337" s="150">
        <v>12</v>
      </c>
      <c r="C337" s="150" t="s">
        <v>67</v>
      </c>
      <c r="D337" s="150" t="s">
        <v>68</v>
      </c>
      <c r="E337" s="151">
        <v>129600</v>
      </c>
      <c r="F337" s="205"/>
      <c r="G337" s="151">
        <v>129600</v>
      </c>
      <c r="H337" s="150" t="s">
        <v>275</v>
      </c>
    </row>
    <row r="338" spans="1:8" x14ac:dyDescent="0.35">
      <c r="A338" s="204">
        <v>46384</v>
      </c>
      <c r="B338" s="150">
        <v>12</v>
      </c>
      <c r="C338" s="150" t="s">
        <v>87</v>
      </c>
      <c r="D338" s="150" t="s">
        <v>88</v>
      </c>
      <c r="E338" s="151">
        <v>3737</v>
      </c>
      <c r="F338" s="205"/>
      <c r="G338" s="151">
        <v>3737</v>
      </c>
      <c r="H338" s="150" t="s">
        <v>275</v>
      </c>
    </row>
    <row r="339" spans="1:8" x14ac:dyDescent="0.35">
      <c r="A339" s="204">
        <v>46384</v>
      </c>
      <c r="B339" s="150">
        <v>12</v>
      </c>
      <c r="C339" s="150" t="s">
        <v>84</v>
      </c>
      <c r="D339" s="150" t="s">
        <v>85</v>
      </c>
      <c r="E339" s="151">
        <v>1350</v>
      </c>
      <c r="F339" s="205"/>
      <c r="G339" s="151">
        <v>1350</v>
      </c>
      <c r="H339" s="150" t="s">
        <v>275</v>
      </c>
    </row>
    <row r="340" spans="1:8" x14ac:dyDescent="0.35">
      <c r="A340" s="204">
        <v>46384</v>
      </c>
      <c r="B340" s="150">
        <v>12</v>
      </c>
      <c r="C340" s="150" t="s">
        <v>51</v>
      </c>
      <c r="D340" s="150" t="s">
        <v>284</v>
      </c>
      <c r="E340" s="151">
        <v>41650</v>
      </c>
      <c r="F340" s="205"/>
      <c r="G340" s="151">
        <v>41650</v>
      </c>
      <c r="H340" s="150" t="s">
        <v>275</v>
      </c>
    </row>
    <row r="341" spans="1:8" x14ac:dyDescent="0.35">
      <c r="A341" s="204">
        <v>46384</v>
      </c>
      <c r="B341" s="150">
        <v>12</v>
      </c>
      <c r="C341" s="150" t="s">
        <v>60</v>
      </c>
      <c r="D341" s="150" t="s">
        <v>61</v>
      </c>
      <c r="E341" s="151">
        <v>342804</v>
      </c>
      <c r="F341" s="205"/>
      <c r="G341" s="151">
        <v>342804</v>
      </c>
      <c r="H341" s="150" t="s">
        <v>275</v>
      </c>
    </row>
    <row r="342" spans="1:8" x14ac:dyDescent="0.35">
      <c r="A342" s="204">
        <v>46384</v>
      </c>
      <c r="B342" s="150">
        <v>12</v>
      </c>
      <c r="C342" s="150" t="s">
        <v>125</v>
      </c>
      <c r="D342" s="150" t="s">
        <v>126</v>
      </c>
      <c r="E342" s="151"/>
      <c r="F342" s="205">
        <v>8.3000000000000007</v>
      </c>
      <c r="G342" s="151">
        <v>11005.8</v>
      </c>
      <c r="H342" s="150" t="s">
        <v>275</v>
      </c>
    </row>
    <row r="343" spans="1:8" x14ac:dyDescent="0.35">
      <c r="A343" s="204">
        <v>46385</v>
      </c>
      <c r="B343" s="150">
        <v>12</v>
      </c>
      <c r="C343" s="150" t="s">
        <v>179</v>
      </c>
      <c r="D343" s="150" t="s">
        <v>180</v>
      </c>
      <c r="E343" s="151">
        <v>24871</v>
      </c>
      <c r="F343" s="205"/>
      <c r="G343" s="151">
        <v>24871</v>
      </c>
      <c r="H343" s="150" t="s">
        <v>275</v>
      </c>
    </row>
    <row r="344" spans="1:8" x14ac:dyDescent="0.35">
      <c r="A344" s="204">
        <v>46385</v>
      </c>
      <c r="B344" s="150">
        <v>12</v>
      </c>
      <c r="C344" s="150" t="s">
        <v>174</v>
      </c>
      <c r="D344" s="150" t="s">
        <v>175</v>
      </c>
      <c r="E344" s="151">
        <v>228672</v>
      </c>
      <c r="F344" s="205"/>
      <c r="G344" s="151">
        <v>228672</v>
      </c>
      <c r="H344" s="150" t="s">
        <v>275</v>
      </c>
    </row>
    <row r="345" spans="1:8" x14ac:dyDescent="0.35">
      <c r="A345" s="204">
        <v>46385</v>
      </c>
      <c r="B345" s="150">
        <v>12</v>
      </c>
      <c r="C345" s="150" t="s">
        <v>64</v>
      </c>
      <c r="D345" s="150" t="s">
        <v>65</v>
      </c>
      <c r="E345" s="151">
        <v>187975</v>
      </c>
      <c r="F345" s="205"/>
      <c r="G345" s="151">
        <v>187975</v>
      </c>
      <c r="H345" s="150" t="s">
        <v>275</v>
      </c>
    </row>
    <row r="346" spans="1:8" x14ac:dyDescent="0.35">
      <c r="A346" s="204">
        <v>46385</v>
      </c>
      <c r="B346" s="150">
        <v>12</v>
      </c>
      <c r="C346" s="150" t="s">
        <v>27</v>
      </c>
      <c r="D346" s="150" t="s">
        <v>28</v>
      </c>
      <c r="E346" s="151">
        <v>361304</v>
      </c>
      <c r="F346" s="205"/>
      <c r="G346" s="151">
        <v>361304</v>
      </c>
      <c r="H346" s="150" t="s">
        <v>275</v>
      </c>
    </row>
    <row r="347" spans="1:8" x14ac:dyDescent="0.35">
      <c r="A347" s="204">
        <v>46387</v>
      </c>
      <c r="B347" s="150">
        <v>12</v>
      </c>
      <c r="C347" s="150" t="s">
        <v>116</v>
      </c>
      <c r="D347" s="150" t="s">
        <v>117</v>
      </c>
      <c r="E347" s="151">
        <v>216480</v>
      </c>
      <c r="F347" s="205"/>
      <c r="G347" s="151">
        <v>216480</v>
      </c>
      <c r="H347" s="150" t="s">
        <v>275</v>
      </c>
    </row>
  </sheetData>
  <autoFilter ref="A43:H347" xr:uid="{00000000-0009-0000-0000-000008000000}"/>
  <mergeCells count="2">
    <mergeCell ref="A2:H2"/>
    <mergeCell ref="A1:H1"/>
  </mergeCells>
  <phoneticPr fontId="10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계좌현황</vt:lpstr>
      <vt:lpstr>금액순</vt:lpstr>
      <vt:lpstr>IMPORTXML함수</vt:lpstr>
      <vt:lpstr>올해수익률 계산시트</vt:lpstr>
      <vt:lpstr>8.거래내역</vt:lpstr>
      <vt:lpstr>인덱스</vt:lpstr>
      <vt:lpstr>지수RAW</vt:lpstr>
      <vt:lpstr>드롭박스</vt:lpstr>
      <vt:lpstr>월별배당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Hyoyol Park</cp:lastModifiedBy>
  <dcterms:created xsi:type="dcterms:W3CDTF">2026-07-19T12:57:25Z</dcterms:created>
  <dcterms:modified xsi:type="dcterms:W3CDTF">2026-10-22T13:55:12Z</dcterms:modified>
</cp:coreProperties>
</file>